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slicers/slicer1.xml" ContentType="application/vnd.ms-excel.slicer+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defaultThemeVersion="166925"/>
  <mc:AlternateContent xmlns:mc="http://schemas.openxmlformats.org/markup-compatibility/2006">
    <mc:Choice Requires="x15">
      <x15ac:absPath xmlns:x15ac="http://schemas.microsoft.com/office/spreadsheetml/2010/11/ac" url="C:\Users\cloudconvert\server\files\tasks\1646f7bf-4dd9-434d-b9c8-9677a305fa03\"/>
    </mc:Choice>
  </mc:AlternateContent>
  <xr:revisionPtr revIDLastSave="0" documentId="8_{37FBD3C9-1FD4-4C2A-9048-B70C3DA5F859}" xr6:coauthVersionLast="46" xr6:coauthVersionMax="46" xr10:uidLastSave="{00000000-0000-0000-0000-000000000000}"/>
  <workbookProtection workbookAlgorithmName="SHA-512" workbookHashValue="DCPEdhDsOuh9iAnrcVU6RRtRzcD2GpeZEOms1l2QFoE5GfUeARdOcfPP2EdBP5NsJWLwS0QMbjjKxTulp6B3iA==" workbookSaltValue="LyfPpyzGBmcLjBfQu9srfg==" workbookSpinCount="100000" lockStructure="1"/>
  <bookViews>
    <workbookView xWindow="1560" yWindow="1560" windowWidth="11520" windowHeight="7875" xr2:uid="{9C786F7E-E242-4079-9D1F-17BAA440D5C7}"/>
  </bookViews>
  <sheets>
    <sheet name="READ ME FIRST!" sheetId="15" r:id="rId1"/>
    <sheet name="Selector" sheetId="14" r:id="rId2"/>
    <sheet name="Months" sheetId="11" r:id="rId3"/>
    <sheet name="Quarters" sheetId="13" r:id="rId4"/>
    <sheet name="Results PT" sheetId="7" state="hidden" r:id="rId5"/>
    <sheet name="Count PT" sheetId="18" state="hidden" r:id="rId6"/>
    <sheet name="loan level results" sheetId="3" state="hidden" r:id="rId7"/>
    <sheet name="Calculator" sheetId="8" state="hidden" r:id="rId8"/>
    <sheet name="Loan Info" sheetId="6" state="hidden" r:id="rId9"/>
    <sheet name="SCHEMATIC Lookup" sheetId="12" state="hidden" r:id="rId10"/>
    <sheet name="SlicerCapture" sheetId="19" state="hidden" r:id="rId11"/>
  </sheets>
  <definedNames>
    <definedName name="_xlnm._FilterDatabase" localSheetId="8" hidden="1">'Loan Info'!$A$1:$A$1</definedName>
    <definedName name="_xlnm._FilterDatabase" localSheetId="6" hidden="1">'loan level results'!$B$2:$R$11690</definedName>
    <definedName name="_xlcn.WorksheetConnection_ThinkingaboutrevisedDASHBOARD.xlsxTable1" hidden="1">Table1[]</definedName>
    <definedName name="_xlcn.WorksheetConnection_ThinkingaboutrevisedDASHBOARD.xlsxTable2" hidden="1">Table2[]</definedName>
    <definedName name="Slicer_G_L_SubStrategy">#N/A</definedName>
    <definedName name="Slicer_LoanType">#N/A</definedName>
    <definedName name="Slicer_LoanType1">CUBESET("ThisWorkbookDataModel","{"&amp;"[Table1].[LoanType].[All]"&amp;"}")</definedName>
    <definedName name="Slicer_LowerAttachLabel">#N/A</definedName>
    <definedName name="Slicer_Pmt_Type">#N/A</definedName>
    <definedName name="Slicer_UpperAttachLabel">#N/A</definedName>
  </definedNames>
  <calcPr calcId="191029"/>
  <pivotCaches>
    <pivotCache cacheId="0" r:id="rId12"/>
    <pivotCache cacheId="1" r:id="rId13"/>
    <pivotCache cacheId="2" r:id="rId14"/>
  </pivotCaches>
  <extLst>
    <ext xmlns:x14="http://schemas.microsoft.com/office/spreadsheetml/2009/9/main" uri="{876F7934-8845-4945-9796-88D515C7AA90}">
      <x14:pivotCaches>
        <pivotCache cacheId="3" r:id="rId15"/>
      </x14:pivotCaches>
    </ext>
    <ext xmlns:x14="http://schemas.microsoft.com/office/spreadsheetml/2009/9/main" uri="{BBE1A952-AA13-448e-AADC-164F8A28A991}">
      <x14:slicerCaches>
        <x14:slicerCache r:id="rId16"/>
        <x14:slicerCache r:id="rId17"/>
        <x14:slicerCache r:id="rId18"/>
        <x14:slicerCache r:id="rId19"/>
        <x14:slicerCache r:id="rId2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2" name="Table2" connection="WorksheetConnection_Thinking about revised DASHBOARD.xlsx!Table2"/>
          <x15:modelTable id="Table1" name="Table1" connection="WorksheetConnection_Thinking about revised DASHBOARD.xlsx!Table1"/>
        </x15:modelTables>
        <x15:modelRelationships>
          <x15:modelRelationship fromTable="Table2" fromColumn="LoanID" toTable="Table1" toColumn="G-L ID"/>
        </x15:modelRelationships>
      </x15:dataModel>
    </ext>
  </extLst>
</workbook>
</file>

<file path=xl/calcChain.xml><?xml version="1.0" encoding="utf-8"?>
<calcChain xmlns="http://schemas.openxmlformats.org/spreadsheetml/2006/main">
  <c r="B49" i="13" l="1"/>
  <c r="B115" i="8"/>
  <c r="A115" i="8" s="1"/>
  <c r="B114" i="8"/>
  <c r="B118" i="11" s="1"/>
  <c r="B113" i="8"/>
  <c r="B117" i="11" s="1"/>
  <c r="R11177" i="3"/>
  <c r="R11178" i="3"/>
  <c r="R11179" i="3"/>
  <c r="R11180" i="3"/>
  <c r="R11181" i="3"/>
  <c r="R11182" i="3"/>
  <c r="R11183" i="3"/>
  <c r="R11184" i="3"/>
  <c r="R11185" i="3"/>
  <c r="R11186" i="3"/>
  <c r="R11187" i="3"/>
  <c r="R11188" i="3"/>
  <c r="R11189" i="3"/>
  <c r="R11190" i="3"/>
  <c r="R11191" i="3"/>
  <c r="R11192" i="3"/>
  <c r="R11193" i="3"/>
  <c r="R11194" i="3"/>
  <c r="R11195" i="3"/>
  <c r="R11196" i="3"/>
  <c r="R11197" i="3"/>
  <c r="R11198" i="3"/>
  <c r="R11199" i="3"/>
  <c r="R11200" i="3"/>
  <c r="R11201" i="3"/>
  <c r="R11202" i="3"/>
  <c r="R11203" i="3"/>
  <c r="R11204" i="3"/>
  <c r="R11205" i="3"/>
  <c r="R11206" i="3"/>
  <c r="R11207" i="3"/>
  <c r="R11208" i="3"/>
  <c r="R11209" i="3"/>
  <c r="R11210" i="3"/>
  <c r="R11211" i="3"/>
  <c r="R11212" i="3"/>
  <c r="R11213" i="3"/>
  <c r="R11214" i="3"/>
  <c r="R11215" i="3"/>
  <c r="R11216" i="3"/>
  <c r="R11217" i="3"/>
  <c r="R11218" i="3"/>
  <c r="R11219" i="3"/>
  <c r="R11220" i="3"/>
  <c r="R11221" i="3"/>
  <c r="R11222" i="3"/>
  <c r="R11223" i="3"/>
  <c r="R11224" i="3"/>
  <c r="R11225" i="3"/>
  <c r="R11226" i="3"/>
  <c r="R11227" i="3"/>
  <c r="R11228" i="3"/>
  <c r="R11229" i="3"/>
  <c r="R11230" i="3"/>
  <c r="R11231" i="3"/>
  <c r="R11232" i="3"/>
  <c r="R11233" i="3"/>
  <c r="R11234" i="3"/>
  <c r="R11235" i="3"/>
  <c r="R11236" i="3"/>
  <c r="R11237" i="3"/>
  <c r="R11238" i="3"/>
  <c r="R11239" i="3"/>
  <c r="R11240" i="3"/>
  <c r="R11241" i="3"/>
  <c r="R11242" i="3"/>
  <c r="R11243" i="3"/>
  <c r="R11244" i="3"/>
  <c r="R11245" i="3"/>
  <c r="R11246" i="3"/>
  <c r="R11247" i="3"/>
  <c r="R11248" i="3"/>
  <c r="R11249" i="3"/>
  <c r="R11250" i="3"/>
  <c r="R11251" i="3"/>
  <c r="R11252" i="3"/>
  <c r="R11253" i="3"/>
  <c r="R11254" i="3"/>
  <c r="R11255" i="3"/>
  <c r="R11256" i="3"/>
  <c r="R11257" i="3"/>
  <c r="R11258" i="3"/>
  <c r="R11259" i="3"/>
  <c r="R11260" i="3"/>
  <c r="R11261" i="3"/>
  <c r="R11262" i="3"/>
  <c r="R11263" i="3"/>
  <c r="R11264" i="3"/>
  <c r="R11265" i="3"/>
  <c r="R11266" i="3"/>
  <c r="R11267" i="3"/>
  <c r="R11268" i="3"/>
  <c r="R11269" i="3"/>
  <c r="R11270" i="3"/>
  <c r="R11271" i="3"/>
  <c r="R11272" i="3"/>
  <c r="R11273" i="3"/>
  <c r="R11274" i="3"/>
  <c r="R11275" i="3"/>
  <c r="R11276" i="3"/>
  <c r="R11277" i="3"/>
  <c r="R11278" i="3"/>
  <c r="R11279" i="3"/>
  <c r="R11280" i="3"/>
  <c r="R11281" i="3"/>
  <c r="R11282" i="3"/>
  <c r="R11283" i="3"/>
  <c r="R11284" i="3"/>
  <c r="R11285" i="3"/>
  <c r="R11286" i="3"/>
  <c r="R11287" i="3"/>
  <c r="R11288" i="3"/>
  <c r="R11289" i="3"/>
  <c r="R11290" i="3"/>
  <c r="R11291" i="3"/>
  <c r="R11292" i="3"/>
  <c r="R11293" i="3"/>
  <c r="R11294" i="3"/>
  <c r="R11295" i="3"/>
  <c r="R11296" i="3"/>
  <c r="R11297" i="3"/>
  <c r="R11298" i="3"/>
  <c r="R11299" i="3"/>
  <c r="R11300" i="3"/>
  <c r="R11301" i="3"/>
  <c r="R11302" i="3"/>
  <c r="R11303" i="3"/>
  <c r="R11304" i="3"/>
  <c r="R11305" i="3"/>
  <c r="R11306" i="3"/>
  <c r="R11307" i="3"/>
  <c r="R11308" i="3"/>
  <c r="R11309" i="3"/>
  <c r="R11310" i="3"/>
  <c r="R11311" i="3"/>
  <c r="R11312" i="3"/>
  <c r="R11313" i="3"/>
  <c r="R11314" i="3"/>
  <c r="R11315" i="3"/>
  <c r="R11316" i="3"/>
  <c r="R11317" i="3"/>
  <c r="R11318" i="3"/>
  <c r="R11319" i="3"/>
  <c r="R11320" i="3"/>
  <c r="R11321" i="3"/>
  <c r="R11322" i="3"/>
  <c r="R11323" i="3"/>
  <c r="R11324" i="3"/>
  <c r="R11325" i="3"/>
  <c r="R11326" i="3"/>
  <c r="R11327" i="3"/>
  <c r="R11328" i="3"/>
  <c r="R11329" i="3"/>
  <c r="R11330" i="3"/>
  <c r="R11331" i="3"/>
  <c r="R11332" i="3"/>
  <c r="R11333" i="3"/>
  <c r="R11334" i="3"/>
  <c r="R11335" i="3"/>
  <c r="R11336" i="3"/>
  <c r="R11337" i="3"/>
  <c r="R11338" i="3"/>
  <c r="R11339" i="3"/>
  <c r="R11340" i="3"/>
  <c r="R11341" i="3"/>
  <c r="R11342" i="3"/>
  <c r="R11343" i="3"/>
  <c r="R11344" i="3"/>
  <c r="R11345" i="3"/>
  <c r="R11346" i="3"/>
  <c r="R11347" i="3"/>
  <c r="R11348" i="3"/>
  <c r="R11349" i="3"/>
  <c r="R11350" i="3"/>
  <c r="R11351" i="3"/>
  <c r="R11352" i="3"/>
  <c r="R11353" i="3"/>
  <c r="R11354" i="3"/>
  <c r="R11355" i="3"/>
  <c r="R11356" i="3"/>
  <c r="R11357" i="3"/>
  <c r="R11358" i="3"/>
  <c r="R11359" i="3"/>
  <c r="R11360" i="3"/>
  <c r="R11361" i="3"/>
  <c r="R11362" i="3"/>
  <c r="R11363" i="3"/>
  <c r="R11364" i="3"/>
  <c r="R11365" i="3"/>
  <c r="R11366" i="3"/>
  <c r="R11367" i="3"/>
  <c r="R11368" i="3"/>
  <c r="R11369" i="3"/>
  <c r="R11370" i="3"/>
  <c r="R11371" i="3"/>
  <c r="R11372" i="3"/>
  <c r="R11373" i="3"/>
  <c r="R11374" i="3"/>
  <c r="R11375" i="3"/>
  <c r="R11376" i="3"/>
  <c r="R11377" i="3"/>
  <c r="R11378" i="3"/>
  <c r="R11379" i="3"/>
  <c r="R11380" i="3"/>
  <c r="R11381" i="3"/>
  <c r="R11382" i="3"/>
  <c r="R11383" i="3"/>
  <c r="R11384" i="3"/>
  <c r="R11385" i="3"/>
  <c r="R11386" i="3"/>
  <c r="R11387" i="3"/>
  <c r="R11388" i="3"/>
  <c r="R11389" i="3"/>
  <c r="R11390" i="3"/>
  <c r="R11391" i="3"/>
  <c r="R11392" i="3"/>
  <c r="R11393" i="3"/>
  <c r="R11394" i="3"/>
  <c r="R11395" i="3"/>
  <c r="R11396" i="3"/>
  <c r="R11397" i="3"/>
  <c r="R11398" i="3"/>
  <c r="R11399" i="3"/>
  <c r="R11400" i="3"/>
  <c r="R11401" i="3"/>
  <c r="R11402" i="3"/>
  <c r="R11403" i="3"/>
  <c r="R11404" i="3"/>
  <c r="R11405" i="3"/>
  <c r="R11406" i="3"/>
  <c r="R11407" i="3"/>
  <c r="R11408" i="3"/>
  <c r="R11409" i="3"/>
  <c r="R11410" i="3"/>
  <c r="R11411" i="3"/>
  <c r="R11412" i="3"/>
  <c r="R11413" i="3"/>
  <c r="R11414" i="3"/>
  <c r="R11415" i="3"/>
  <c r="R11416" i="3"/>
  <c r="R11417" i="3"/>
  <c r="R11418" i="3"/>
  <c r="R11419" i="3"/>
  <c r="R11420" i="3"/>
  <c r="R11421" i="3"/>
  <c r="R11422" i="3"/>
  <c r="R11423" i="3"/>
  <c r="R11424" i="3"/>
  <c r="R11425" i="3"/>
  <c r="R11426" i="3"/>
  <c r="R11427" i="3"/>
  <c r="R11428" i="3"/>
  <c r="R11429" i="3"/>
  <c r="R11430" i="3"/>
  <c r="R11431" i="3"/>
  <c r="R11432" i="3"/>
  <c r="R11433" i="3"/>
  <c r="R11434" i="3"/>
  <c r="R11435" i="3"/>
  <c r="R11436" i="3"/>
  <c r="R11437" i="3"/>
  <c r="R11438" i="3"/>
  <c r="R11439" i="3"/>
  <c r="R11440" i="3"/>
  <c r="R11441" i="3"/>
  <c r="R11442" i="3"/>
  <c r="R11443" i="3"/>
  <c r="R11444" i="3"/>
  <c r="R11445" i="3"/>
  <c r="R11446" i="3"/>
  <c r="R11447" i="3"/>
  <c r="R11448" i="3"/>
  <c r="R11449" i="3"/>
  <c r="R11450" i="3"/>
  <c r="R11451" i="3"/>
  <c r="R11452" i="3"/>
  <c r="R11453" i="3"/>
  <c r="R11454" i="3"/>
  <c r="R11455" i="3"/>
  <c r="R11456" i="3"/>
  <c r="R11457" i="3"/>
  <c r="R11458" i="3"/>
  <c r="R11459" i="3"/>
  <c r="R11460" i="3"/>
  <c r="R11461" i="3"/>
  <c r="R11462" i="3"/>
  <c r="R11463" i="3"/>
  <c r="R11464" i="3"/>
  <c r="R11465" i="3"/>
  <c r="R11466" i="3"/>
  <c r="R11467" i="3"/>
  <c r="R11468" i="3"/>
  <c r="R11469" i="3"/>
  <c r="R11470" i="3"/>
  <c r="R11471" i="3"/>
  <c r="R11472" i="3"/>
  <c r="R11473" i="3"/>
  <c r="R11474" i="3"/>
  <c r="R11475" i="3"/>
  <c r="R11476" i="3"/>
  <c r="R11477" i="3"/>
  <c r="R11478" i="3"/>
  <c r="R11479" i="3"/>
  <c r="R11480" i="3"/>
  <c r="R11481" i="3"/>
  <c r="R11482" i="3"/>
  <c r="R11483" i="3"/>
  <c r="R11484" i="3"/>
  <c r="R11485" i="3"/>
  <c r="R11486" i="3"/>
  <c r="R11487" i="3"/>
  <c r="R11488" i="3"/>
  <c r="R11489" i="3"/>
  <c r="R11490" i="3"/>
  <c r="R11491" i="3"/>
  <c r="R11492" i="3"/>
  <c r="R11493" i="3"/>
  <c r="R11494" i="3"/>
  <c r="R11495" i="3"/>
  <c r="R11496" i="3"/>
  <c r="R11497" i="3"/>
  <c r="R11498" i="3"/>
  <c r="R11499" i="3"/>
  <c r="R11500" i="3"/>
  <c r="R11501" i="3"/>
  <c r="R11502" i="3"/>
  <c r="R11503" i="3"/>
  <c r="R11504" i="3"/>
  <c r="R11505" i="3"/>
  <c r="R11506" i="3"/>
  <c r="R11507" i="3"/>
  <c r="R11508" i="3"/>
  <c r="R11509" i="3"/>
  <c r="R11510" i="3"/>
  <c r="R11511" i="3"/>
  <c r="R11512" i="3"/>
  <c r="R11513" i="3"/>
  <c r="R11514" i="3"/>
  <c r="R11515" i="3"/>
  <c r="R11516" i="3"/>
  <c r="R11517" i="3"/>
  <c r="R11518" i="3"/>
  <c r="R11519" i="3"/>
  <c r="R11520" i="3"/>
  <c r="R11521" i="3"/>
  <c r="R11522" i="3"/>
  <c r="R11523" i="3"/>
  <c r="R11524" i="3"/>
  <c r="R11525" i="3"/>
  <c r="R11526" i="3"/>
  <c r="R11527" i="3"/>
  <c r="R11528" i="3"/>
  <c r="R11529" i="3"/>
  <c r="R11530" i="3"/>
  <c r="R11531" i="3"/>
  <c r="R11532" i="3"/>
  <c r="R11533" i="3"/>
  <c r="R11534" i="3"/>
  <c r="R11535" i="3"/>
  <c r="R11536" i="3"/>
  <c r="R11537" i="3"/>
  <c r="R11538" i="3"/>
  <c r="R11539" i="3"/>
  <c r="R11540" i="3"/>
  <c r="R11541" i="3"/>
  <c r="R11542" i="3"/>
  <c r="R11543" i="3"/>
  <c r="R11544" i="3"/>
  <c r="R11545" i="3"/>
  <c r="R11546" i="3"/>
  <c r="R11547" i="3"/>
  <c r="R11548" i="3"/>
  <c r="R11549" i="3"/>
  <c r="R11550" i="3"/>
  <c r="R11551" i="3"/>
  <c r="R11552" i="3"/>
  <c r="R11553" i="3"/>
  <c r="R11554" i="3"/>
  <c r="R11555" i="3"/>
  <c r="R11556" i="3"/>
  <c r="R11557" i="3"/>
  <c r="R11558" i="3"/>
  <c r="R11559" i="3"/>
  <c r="R11560" i="3"/>
  <c r="R11561" i="3"/>
  <c r="R11562" i="3"/>
  <c r="R11563" i="3"/>
  <c r="R11564" i="3"/>
  <c r="R11565" i="3"/>
  <c r="R11566" i="3"/>
  <c r="R11567" i="3"/>
  <c r="R11568" i="3"/>
  <c r="R11569" i="3"/>
  <c r="R11570" i="3"/>
  <c r="R11571" i="3"/>
  <c r="R11572" i="3"/>
  <c r="R11573" i="3"/>
  <c r="R11574" i="3"/>
  <c r="R11575" i="3"/>
  <c r="R11576" i="3"/>
  <c r="R11577" i="3"/>
  <c r="R11578" i="3"/>
  <c r="R11579" i="3"/>
  <c r="R11580" i="3"/>
  <c r="R11581" i="3"/>
  <c r="R11582" i="3"/>
  <c r="R11583" i="3"/>
  <c r="R11584" i="3"/>
  <c r="R11585" i="3"/>
  <c r="R11586" i="3"/>
  <c r="R11587" i="3"/>
  <c r="R11588" i="3"/>
  <c r="R11589" i="3"/>
  <c r="R11590" i="3"/>
  <c r="R11591" i="3"/>
  <c r="R11592" i="3"/>
  <c r="R11593" i="3"/>
  <c r="R11594" i="3"/>
  <c r="R11595" i="3"/>
  <c r="R11596" i="3"/>
  <c r="R11597" i="3"/>
  <c r="R11598" i="3"/>
  <c r="R11599" i="3"/>
  <c r="R11600" i="3"/>
  <c r="R11601" i="3"/>
  <c r="R11602" i="3"/>
  <c r="R11603" i="3"/>
  <c r="R11604" i="3"/>
  <c r="R11605" i="3"/>
  <c r="R11606" i="3"/>
  <c r="R11607" i="3"/>
  <c r="R11608" i="3"/>
  <c r="R11609" i="3"/>
  <c r="R11610" i="3"/>
  <c r="R11611" i="3"/>
  <c r="R11612" i="3"/>
  <c r="R11613" i="3"/>
  <c r="R11614" i="3"/>
  <c r="R11615" i="3"/>
  <c r="R11616" i="3"/>
  <c r="R11617" i="3"/>
  <c r="R11618" i="3"/>
  <c r="R11619" i="3"/>
  <c r="R11620" i="3"/>
  <c r="R11621" i="3"/>
  <c r="R11622" i="3"/>
  <c r="R11623" i="3"/>
  <c r="R11624" i="3"/>
  <c r="R11625" i="3"/>
  <c r="R11626" i="3"/>
  <c r="R11627" i="3"/>
  <c r="R11628" i="3"/>
  <c r="R11629" i="3"/>
  <c r="R11630" i="3"/>
  <c r="R11631" i="3"/>
  <c r="R11632" i="3"/>
  <c r="R11633" i="3"/>
  <c r="R11634" i="3"/>
  <c r="R11635" i="3"/>
  <c r="R11636" i="3"/>
  <c r="R11637" i="3"/>
  <c r="R11638" i="3"/>
  <c r="R11639" i="3"/>
  <c r="R11640" i="3"/>
  <c r="R11641" i="3"/>
  <c r="R11642" i="3"/>
  <c r="R11643" i="3"/>
  <c r="R11644" i="3"/>
  <c r="R11645" i="3"/>
  <c r="R11646" i="3"/>
  <c r="R11647" i="3"/>
  <c r="R11648" i="3"/>
  <c r="R11649" i="3"/>
  <c r="R11650" i="3"/>
  <c r="R11651" i="3"/>
  <c r="R11652" i="3"/>
  <c r="R11653" i="3"/>
  <c r="R11654" i="3"/>
  <c r="R11655" i="3"/>
  <c r="R11656" i="3"/>
  <c r="R11657" i="3"/>
  <c r="R11658" i="3"/>
  <c r="R11659" i="3"/>
  <c r="R11660" i="3"/>
  <c r="R11661" i="3"/>
  <c r="R11662" i="3"/>
  <c r="R11663" i="3"/>
  <c r="R11664" i="3"/>
  <c r="R11665" i="3"/>
  <c r="R11666" i="3"/>
  <c r="R11667" i="3"/>
  <c r="R11668" i="3"/>
  <c r="R11669" i="3"/>
  <c r="R11670" i="3"/>
  <c r="R11671" i="3"/>
  <c r="R11672" i="3"/>
  <c r="R11673" i="3"/>
  <c r="R11674" i="3"/>
  <c r="R11675" i="3"/>
  <c r="R11676" i="3"/>
  <c r="R11677" i="3"/>
  <c r="R11678" i="3"/>
  <c r="R11679" i="3"/>
  <c r="R11680" i="3"/>
  <c r="R11681" i="3"/>
  <c r="R11682" i="3"/>
  <c r="R11683" i="3"/>
  <c r="R11684" i="3"/>
  <c r="R11685" i="3"/>
  <c r="R11686" i="3"/>
  <c r="R11687" i="3"/>
  <c r="R11688" i="3"/>
  <c r="R11689" i="3"/>
  <c r="R11690" i="3"/>
  <c r="M474" i="6"/>
  <c r="O471" i="6"/>
  <c r="O472" i="6"/>
  <c r="O473" i="6"/>
  <c r="O474" i="6"/>
  <c r="X471" i="6"/>
  <c r="Y471" i="6" s="1"/>
  <c r="X472" i="6"/>
  <c r="Y472" i="6" s="1"/>
  <c r="X473" i="6"/>
  <c r="Y473" i="6" s="1"/>
  <c r="X474" i="6"/>
  <c r="Y474" i="6" s="1"/>
  <c r="Z471" i="6"/>
  <c r="Z472" i="6"/>
  <c r="Z473" i="6"/>
  <c r="Z474" i="6"/>
  <c r="H474" i="6"/>
  <c r="H473" i="6"/>
  <c r="M473" i="6" s="1"/>
  <c r="H472" i="6"/>
  <c r="M472" i="6" s="1"/>
  <c r="H471" i="6"/>
  <c r="M471" i="6" s="1"/>
  <c r="Q113" i="8"/>
  <c r="J114" i="8"/>
  <c r="G115" i="8"/>
  <c r="J115" i="8"/>
  <c r="F114" i="8"/>
  <c r="G113" i="8"/>
  <c r="H113" i="8"/>
  <c r="K113" i="8"/>
  <c r="Q114" i="8"/>
  <c r="R114" i="8"/>
  <c r="P114" i="8"/>
  <c r="I114" i="8"/>
  <c r="O115" i="8"/>
  <c r="F115" i="8"/>
  <c r="AC114" i="8"/>
  <c r="J113" i="8"/>
  <c r="AC115" i="8"/>
  <c r="H114" i="8"/>
  <c r="H115" i="8"/>
  <c r="M113" i="8"/>
  <c r="Q115" i="8"/>
  <c r="AD113" i="8"/>
  <c r="AD115" i="8"/>
  <c r="N114" i="8"/>
  <c r="F113" i="8"/>
  <c r="N113" i="8"/>
  <c r="P113" i="8"/>
  <c r="K115" i="8"/>
  <c r="AD114" i="8"/>
  <c r="R115" i="8"/>
  <c r="I115" i="8"/>
  <c r="G114" i="8"/>
  <c r="R113" i="8"/>
  <c r="M115" i="8"/>
  <c r="O114" i="8"/>
  <c r="AC113" i="8"/>
  <c r="K114" i="8"/>
  <c r="O113" i="8"/>
  <c r="P115" i="8"/>
  <c r="N115" i="8"/>
  <c r="M114" i="8"/>
  <c r="I113" i="8"/>
  <c r="R118" i="11" l="1"/>
  <c r="M118" i="11"/>
  <c r="M117" i="11"/>
  <c r="M49" i="13" s="1"/>
  <c r="N117" i="11"/>
  <c r="O117" i="11"/>
  <c r="O49" i="13" s="1"/>
  <c r="Q119" i="11"/>
  <c r="P117" i="11"/>
  <c r="N118" i="11"/>
  <c r="R119" i="11"/>
  <c r="R49" i="13" s="1"/>
  <c r="Q117" i="11"/>
  <c r="Q49" i="13" s="1"/>
  <c r="O118" i="11"/>
  <c r="M119" i="11"/>
  <c r="R117" i="11"/>
  <c r="P118" i="11"/>
  <c r="N119" i="11"/>
  <c r="N49" i="13" s="1"/>
  <c r="Q118" i="11"/>
  <c r="O119" i="11"/>
  <c r="P119" i="11"/>
  <c r="P49" i="13" s="1"/>
  <c r="K118" i="11"/>
  <c r="K119" i="11"/>
  <c r="K49" i="13" s="1"/>
  <c r="K117" i="11"/>
  <c r="W113" i="8"/>
  <c r="V114" i="8"/>
  <c r="V113" i="8"/>
  <c r="W114" i="8"/>
  <c r="V115" i="8"/>
  <c r="W115" i="8"/>
  <c r="AE114" i="8"/>
  <c r="AF114" i="8"/>
  <c r="AG114" i="8" s="1"/>
  <c r="AF115" i="8"/>
  <c r="AG115" i="8" s="1"/>
  <c r="AE115" i="8"/>
  <c r="AE113" i="8"/>
  <c r="AF113" i="8"/>
  <c r="AG113" i="8" s="1"/>
  <c r="U115" i="8"/>
  <c r="T114" i="8"/>
  <c r="U114" i="8"/>
  <c r="T115" i="8"/>
  <c r="A114" i="8"/>
  <c r="B119" i="11"/>
  <c r="A113" i="8"/>
  <c r="X113" i="8" l="1"/>
  <c r="Y113" i="8"/>
  <c r="Y114" i="8"/>
  <c r="AI114" i="8" s="1"/>
  <c r="AS114" i="8" s="1"/>
  <c r="AM113" i="8"/>
  <c r="AI113" i="8"/>
  <c r="AS113" i="8" s="1"/>
  <c r="D117" i="11" s="1"/>
  <c r="AQ113" i="8"/>
  <c r="BB113" i="8" s="1"/>
  <c r="X114" i="8"/>
  <c r="Y115" i="8"/>
  <c r="X115" i="8"/>
  <c r="AX113" i="8"/>
  <c r="Z115" i="8" l="1"/>
  <c r="AP115" i="8" s="1"/>
  <c r="AK114" i="8"/>
  <c r="AV114" i="8" s="1"/>
  <c r="D118" i="11"/>
  <c r="AM114" i="8"/>
  <c r="AX114" i="8" s="1"/>
  <c r="AJ114" i="8"/>
  <c r="AQ114" i="8"/>
  <c r="BB114" i="8" s="1"/>
  <c r="Z114" i="8"/>
  <c r="AP114" i="8" s="1"/>
  <c r="BA114" i="8" s="1"/>
  <c r="I118" i="11" s="1"/>
  <c r="AJ113" i="8"/>
  <c r="AT113" i="8" s="1"/>
  <c r="E117" i="11" s="1"/>
  <c r="AK113" i="8"/>
  <c r="AV113" i="8" s="1"/>
  <c r="Z113" i="8"/>
  <c r="AP113" i="8" s="1"/>
  <c r="BA113" i="8" s="1"/>
  <c r="I117" i="11" s="1"/>
  <c r="BA115" i="8"/>
  <c r="I119" i="11" s="1"/>
  <c r="AM115" i="8"/>
  <c r="AX115" i="8" s="1"/>
  <c r="AI115" i="8"/>
  <c r="AK115" i="8"/>
  <c r="AV115" i="8" s="1"/>
  <c r="AQ115" i="8"/>
  <c r="BB115" i="8" s="1"/>
  <c r="AJ115" i="8"/>
  <c r="AT115" i="8" s="1"/>
  <c r="E119" i="11" s="1"/>
  <c r="BD113" i="8" l="1"/>
  <c r="AU113" i="8"/>
  <c r="F117" i="11" s="1"/>
  <c r="AL114" i="8"/>
  <c r="AT114" i="8"/>
  <c r="BD114" i="8"/>
  <c r="BP115" i="8"/>
  <c r="AL113" i="8"/>
  <c r="BD115" i="8"/>
  <c r="AL115" i="8"/>
  <c r="AS115" i="8"/>
  <c r="BE115" i="8" l="1"/>
  <c r="BF115" i="8" s="1" a="1"/>
  <c r="BF115" i="8" s="1"/>
  <c r="D49" i="13" s="1"/>
  <c r="AU115" i="8"/>
  <c r="F119" i="11" s="1"/>
  <c r="D119" i="11"/>
  <c r="AW113" i="8"/>
  <c r="AN113" i="8"/>
  <c r="E118" i="11"/>
  <c r="AU114" i="8"/>
  <c r="F118" i="11" s="1"/>
  <c r="AW114" i="8"/>
  <c r="AN114" i="8"/>
  <c r="BG115" i="8" a="1"/>
  <c r="BG115" i="8" s="1"/>
  <c r="E49" i="13" s="1"/>
  <c r="AN115" i="8"/>
  <c r="AW115" i="8"/>
  <c r="BN115" i="8" l="1" a="1"/>
  <c r="BN115" i="8" s="1"/>
  <c r="I49" i="13" s="1"/>
  <c r="BI115" i="8" a="1"/>
  <c r="BI115" i="8" s="1"/>
  <c r="BK115" i="8" a="1"/>
  <c r="BK115" i="8" s="1"/>
  <c r="BJ115" i="8" a="1"/>
  <c r="BJ115" i="8" s="1"/>
  <c r="G49" i="13" s="1"/>
  <c r="AO113" i="8"/>
  <c r="AZ113" i="8" s="1"/>
  <c r="H117" i="11" s="1"/>
  <c r="AY113" i="8"/>
  <c r="G117" i="11" s="1"/>
  <c r="AY114" i="8"/>
  <c r="G118" i="11" s="1"/>
  <c r="AO114" i="8"/>
  <c r="AZ114" i="8" s="1"/>
  <c r="H118" i="11" s="1"/>
  <c r="BH115" i="8" a="1"/>
  <c r="BH115" i="8" s="1"/>
  <c r="F49" i="13" s="1"/>
  <c r="AY115" i="8"/>
  <c r="AO115" i="8"/>
  <c r="AZ115" i="8" s="1"/>
  <c r="BL115" i="8" l="1" a="1"/>
  <c r="BL115" i="8" s="1"/>
  <c r="G119" i="11"/>
  <c r="BM115" i="8" a="1"/>
  <c r="BM115" i="8" s="1"/>
  <c r="H119" i="11"/>
  <c r="BO115" i="8" l="1"/>
  <c r="H49" i="13"/>
  <c r="H441" i="6" l="1"/>
  <c r="M441" i="6" s="1"/>
  <c r="H442" i="6"/>
  <c r="M442" i="6" s="1"/>
  <c r="H443" i="6"/>
  <c r="M443" i="6" s="1"/>
  <c r="O441" i="6"/>
  <c r="O442" i="6"/>
  <c r="O443" i="6"/>
  <c r="X441" i="6"/>
  <c r="Y441" i="6" s="1"/>
  <c r="X442" i="6"/>
  <c r="Y442" i="6" s="1"/>
  <c r="X443" i="6"/>
  <c r="Y443" i="6" s="1"/>
  <c r="Z441" i="6"/>
  <c r="Z442" i="6"/>
  <c r="Z443" i="6"/>
  <c r="H444" i="6"/>
  <c r="M444" i="6" s="1"/>
  <c r="H445" i="6"/>
  <c r="M445" i="6" s="1"/>
  <c r="H446" i="6"/>
  <c r="M446" i="6" s="1"/>
  <c r="H447" i="6"/>
  <c r="M447" i="6" s="1"/>
  <c r="O444" i="6"/>
  <c r="O445" i="6"/>
  <c r="O446" i="6"/>
  <c r="O447" i="6"/>
  <c r="X444" i="6"/>
  <c r="Y444" i="6" s="1"/>
  <c r="X445" i="6"/>
  <c r="Y445" i="6" s="1"/>
  <c r="X446" i="6"/>
  <c r="Y446" i="6" s="1"/>
  <c r="X447" i="6"/>
  <c r="Y447" i="6" s="1"/>
  <c r="Z444" i="6"/>
  <c r="Z445" i="6"/>
  <c r="Z446" i="6"/>
  <c r="Z447" i="6"/>
  <c r="H448" i="6"/>
  <c r="M448" i="6" s="1"/>
  <c r="H449" i="6"/>
  <c r="M449" i="6" s="1"/>
  <c r="O448" i="6"/>
  <c r="O449" i="6"/>
  <c r="X448" i="6"/>
  <c r="Y448" i="6" s="1"/>
  <c r="X449" i="6"/>
  <c r="Y449" i="6" s="1"/>
  <c r="Z448" i="6"/>
  <c r="Z449" i="6"/>
  <c r="H440" i="6"/>
  <c r="M440" i="6" s="1"/>
  <c r="AD11" i="8"/>
  <c r="AC11" i="8"/>
  <c r="AE11" i="8" l="1"/>
  <c r="AF11" i="8"/>
  <c r="AG11" i="8" s="1"/>
  <c r="O440" i="6"/>
  <c r="X440" i="6"/>
  <c r="Y440" i="6" s="1"/>
  <c r="Z440" i="6"/>
  <c r="H453" i="6" l="1"/>
  <c r="M453" i="6" s="1"/>
  <c r="H454" i="6"/>
  <c r="M454" i="6" s="1"/>
  <c r="H455" i="6"/>
  <c r="M455" i="6" s="1"/>
  <c r="H456" i="6"/>
  <c r="M456" i="6" s="1"/>
  <c r="H457" i="6"/>
  <c r="M457" i="6" s="1"/>
  <c r="H458" i="6"/>
  <c r="M458" i="6" s="1"/>
  <c r="H459" i="6"/>
  <c r="M459" i="6" s="1"/>
  <c r="H460" i="6"/>
  <c r="M460" i="6" s="1"/>
  <c r="H461" i="6"/>
  <c r="M461" i="6" s="1"/>
  <c r="H462" i="6"/>
  <c r="M462" i="6" s="1"/>
  <c r="H463" i="6"/>
  <c r="M463" i="6" s="1"/>
  <c r="H464" i="6"/>
  <c r="M464" i="6" s="1"/>
  <c r="H465" i="6"/>
  <c r="M465" i="6" s="1"/>
  <c r="H466" i="6"/>
  <c r="M466" i="6" s="1"/>
  <c r="H467" i="6"/>
  <c r="M467" i="6" s="1"/>
  <c r="H468" i="6"/>
  <c r="M468" i="6" s="1"/>
  <c r="H469" i="6"/>
  <c r="M469" i="6" s="1"/>
  <c r="H470" i="6"/>
  <c r="M470" i="6" s="1"/>
  <c r="O453" i="6"/>
  <c r="O454" i="6"/>
  <c r="O455" i="6"/>
  <c r="O456" i="6"/>
  <c r="O457" i="6"/>
  <c r="O458" i="6"/>
  <c r="O459" i="6"/>
  <c r="O460" i="6"/>
  <c r="O461" i="6"/>
  <c r="O462" i="6"/>
  <c r="O463" i="6"/>
  <c r="O464" i="6"/>
  <c r="O465" i="6"/>
  <c r="O466" i="6"/>
  <c r="O467" i="6"/>
  <c r="O468" i="6"/>
  <c r="O469" i="6"/>
  <c r="O470" i="6"/>
  <c r="X453" i="6"/>
  <c r="Y453" i="6" s="1"/>
  <c r="X454" i="6"/>
  <c r="Y454" i="6" s="1"/>
  <c r="X455" i="6"/>
  <c r="Y455" i="6" s="1"/>
  <c r="X456" i="6"/>
  <c r="Y456" i="6" s="1"/>
  <c r="X457" i="6"/>
  <c r="Y457" i="6" s="1"/>
  <c r="X458" i="6"/>
  <c r="Y458" i="6" s="1"/>
  <c r="X459" i="6"/>
  <c r="X460" i="6"/>
  <c r="Y460" i="6" s="1"/>
  <c r="X461" i="6"/>
  <c r="Y461" i="6" s="1"/>
  <c r="X462" i="6"/>
  <c r="Y462" i="6" s="1"/>
  <c r="X463" i="6"/>
  <c r="Y463" i="6" s="1"/>
  <c r="X464" i="6"/>
  <c r="Y464" i="6" s="1"/>
  <c r="X465" i="6"/>
  <c r="Y465" i="6" s="1"/>
  <c r="X466" i="6"/>
  <c r="Y466" i="6" s="1"/>
  <c r="X467" i="6"/>
  <c r="Y467" i="6" s="1"/>
  <c r="X468" i="6"/>
  <c r="Y468" i="6" s="1"/>
  <c r="X469" i="6"/>
  <c r="Y469" i="6" s="1"/>
  <c r="X470" i="6"/>
  <c r="Y470" i="6" s="1"/>
  <c r="Y459" i="6"/>
  <c r="Z453" i="6"/>
  <c r="Z454" i="6"/>
  <c r="Z455" i="6"/>
  <c r="Z456" i="6"/>
  <c r="Z457" i="6"/>
  <c r="Z458" i="6"/>
  <c r="Z459" i="6"/>
  <c r="Z460" i="6"/>
  <c r="Z461" i="6"/>
  <c r="Z462" i="6"/>
  <c r="Z463" i="6"/>
  <c r="Z464" i="6"/>
  <c r="Z465" i="6"/>
  <c r="Z466" i="6"/>
  <c r="Z467" i="6"/>
  <c r="Z468" i="6"/>
  <c r="Z469" i="6"/>
  <c r="Z470" i="6"/>
  <c r="B10" i="19" a="1"/>
  <c r="B8" i="19" a="1"/>
  <c r="B9" i="19" a="1"/>
  <c r="B7" i="19" a="1"/>
  <c r="B6" i="19" a="1"/>
  <c r="B6" i="19" l="1"/>
  <c r="G4" i="8" s="1"/>
  <c r="B9" i="19"/>
  <c r="G5" i="8" s="1"/>
  <c r="B10" i="19"/>
  <c r="G6" i="8" s="1"/>
  <c r="B8" i="19"/>
  <c r="G2" i="8" s="1"/>
  <c r="B7" i="19"/>
  <c r="G3" i="8" s="1"/>
  <c r="R3" i="3"/>
  <c r="R4"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R1001" i="3"/>
  <c r="R1002" i="3"/>
  <c r="R1003" i="3"/>
  <c r="R1004" i="3"/>
  <c r="R1005" i="3"/>
  <c r="R1006" i="3"/>
  <c r="R1007" i="3"/>
  <c r="R1008" i="3"/>
  <c r="R1009" i="3"/>
  <c r="R1010" i="3"/>
  <c r="R1011" i="3"/>
  <c r="R1012" i="3"/>
  <c r="R1013" i="3"/>
  <c r="R1014" i="3"/>
  <c r="R1015" i="3"/>
  <c r="R1016" i="3"/>
  <c r="R1017" i="3"/>
  <c r="R1018" i="3"/>
  <c r="R1019" i="3"/>
  <c r="R1020" i="3"/>
  <c r="R1021" i="3"/>
  <c r="R1022" i="3"/>
  <c r="R1023" i="3"/>
  <c r="R1024" i="3"/>
  <c r="R1025" i="3"/>
  <c r="R1026" i="3"/>
  <c r="R1027" i="3"/>
  <c r="R1028" i="3"/>
  <c r="R1029" i="3"/>
  <c r="R1030" i="3"/>
  <c r="R1031" i="3"/>
  <c r="R1032" i="3"/>
  <c r="R1033" i="3"/>
  <c r="R1034" i="3"/>
  <c r="R1035" i="3"/>
  <c r="R1036" i="3"/>
  <c r="R1037" i="3"/>
  <c r="R1038" i="3"/>
  <c r="R1039" i="3"/>
  <c r="R1040" i="3"/>
  <c r="R1041" i="3"/>
  <c r="R1042" i="3"/>
  <c r="R1043" i="3"/>
  <c r="R1044" i="3"/>
  <c r="R1045" i="3"/>
  <c r="R1046" i="3"/>
  <c r="R1047" i="3"/>
  <c r="R1048" i="3"/>
  <c r="R1049" i="3"/>
  <c r="R1050" i="3"/>
  <c r="R1051" i="3"/>
  <c r="R1052" i="3"/>
  <c r="R1053" i="3"/>
  <c r="R1054" i="3"/>
  <c r="R1055" i="3"/>
  <c r="R1056" i="3"/>
  <c r="R1057" i="3"/>
  <c r="R1058" i="3"/>
  <c r="R1059" i="3"/>
  <c r="R1060" i="3"/>
  <c r="R1061" i="3"/>
  <c r="R1062" i="3"/>
  <c r="R1063" i="3"/>
  <c r="R1064" i="3"/>
  <c r="R1065" i="3"/>
  <c r="R1066" i="3"/>
  <c r="R1067" i="3"/>
  <c r="R1068" i="3"/>
  <c r="R1069" i="3"/>
  <c r="R1070" i="3"/>
  <c r="R1071" i="3"/>
  <c r="R1072" i="3"/>
  <c r="R1073" i="3"/>
  <c r="R1074" i="3"/>
  <c r="R1075" i="3"/>
  <c r="R1076" i="3"/>
  <c r="R1077" i="3"/>
  <c r="R1078" i="3"/>
  <c r="R1079" i="3"/>
  <c r="R1080" i="3"/>
  <c r="R1081" i="3"/>
  <c r="R1082" i="3"/>
  <c r="R1083" i="3"/>
  <c r="R1084" i="3"/>
  <c r="R1085" i="3"/>
  <c r="R1086" i="3"/>
  <c r="R1087" i="3"/>
  <c r="R1088" i="3"/>
  <c r="R1089" i="3"/>
  <c r="R1090" i="3"/>
  <c r="R1091" i="3"/>
  <c r="R1092" i="3"/>
  <c r="R1093" i="3"/>
  <c r="R1094" i="3"/>
  <c r="R1095" i="3"/>
  <c r="R1096" i="3"/>
  <c r="R1097" i="3"/>
  <c r="R1098" i="3"/>
  <c r="R1099" i="3"/>
  <c r="R1100" i="3"/>
  <c r="R1101" i="3"/>
  <c r="R1102" i="3"/>
  <c r="R1103" i="3"/>
  <c r="R1104" i="3"/>
  <c r="R1105" i="3"/>
  <c r="R1106" i="3"/>
  <c r="R1107" i="3"/>
  <c r="R1108" i="3"/>
  <c r="R1109" i="3"/>
  <c r="R1110" i="3"/>
  <c r="R1111" i="3"/>
  <c r="R1112" i="3"/>
  <c r="R1113" i="3"/>
  <c r="R1114" i="3"/>
  <c r="R1115" i="3"/>
  <c r="R1116" i="3"/>
  <c r="R1117" i="3"/>
  <c r="R1118" i="3"/>
  <c r="R1119" i="3"/>
  <c r="R1120" i="3"/>
  <c r="R1121" i="3"/>
  <c r="R1122" i="3"/>
  <c r="R1123" i="3"/>
  <c r="R1124" i="3"/>
  <c r="R1125" i="3"/>
  <c r="R1126" i="3"/>
  <c r="R1127" i="3"/>
  <c r="R1128" i="3"/>
  <c r="R1129" i="3"/>
  <c r="R1130" i="3"/>
  <c r="R1131" i="3"/>
  <c r="R1132" i="3"/>
  <c r="R1133" i="3"/>
  <c r="R1134" i="3"/>
  <c r="R1135" i="3"/>
  <c r="R1136" i="3"/>
  <c r="R1137" i="3"/>
  <c r="R1138" i="3"/>
  <c r="R1139" i="3"/>
  <c r="R1140" i="3"/>
  <c r="R1141" i="3"/>
  <c r="R1142" i="3"/>
  <c r="R1143" i="3"/>
  <c r="R1144" i="3"/>
  <c r="R1145" i="3"/>
  <c r="R1146" i="3"/>
  <c r="R1147" i="3"/>
  <c r="R1148" i="3"/>
  <c r="R1149" i="3"/>
  <c r="R1150" i="3"/>
  <c r="R1151" i="3"/>
  <c r="R1152" i="3"/>
  <c r="R1153" i="3"/>
  <c r="R1154" i="3"/>
  <c r="R1155" i="3"/>
  <c r="R1156" i="3"/>
  <c r="R1157" i="3"/>
  <c r="R1158" i="3"/>
  <c r="R1159" i="3"/>
  <c r="R1160" i="3"/>
  <c r="R1161" i="3"/>
  <c r="R1162" i="3"/>
  <c r="R1163" i="3"/>
  <c r="R1164" i="3"/>
  <c r="R1165" i="3"/>
  <c r="R1166" i="3"/>
  <c r="R1167" i="3"/>
  <c r="R1168" i="3"/>
  <c r="R1169" i="3"/>
  <c r="R1170" i="3"/>
  <c r="R1171" i="3"/>
  <c r="R1172" i="3"/>
  <c r="R1173" i="3"/>
  <c r="R1174" i="3"/>
  <c r="R1175" i="3"/>
  <c r="R1176" i="3"/>
  <c r="R1177" i="3"/>
  <c r="R1178" i="3"/>
  <c r="R1179" i="3"/>
  <c r="R1180" i="3"/>
  <c r="R1181" i="3"/>
  <c r="R1182" i="3"/>
  <c r="R1183" i="3"/>
  <c r="R1184" i="3"/>
  <c r="R1185" i="3"/>
  <c r="R1186" i="3"/>
  <c r="R1187" i="3"/>
  <c r="R1188" i="3"/>
  <c r="R1189" i="3"/>
  <c r="R1190" i="3"/>
  <c r="R1191" i="3"/>
  <c r="R1192" i="3"/>
  <c r="R1193" i="3"/>
  <c r="R1194" i="3"/>
  <c r="R1195" i="3"/>
  <c r="R1196" i="3"/>
  <c r="R1197" i="3"/>
  <c r="R1198" i="3"/>
  <c r="R1199" i="3"/>
  <c r="R1200" i="3"/>
  <c r="R1201" i="3"/>
  <c r="R1202" i="3"/>
  <c r="R1203" i="3"/>
  <c r="R1204" i="3"/>
  <c r="R1205" i="3"/>
  <c r="R1206" i="3"/>
  <c r="R1207" i="3"/>
  <c r="R1208" i="3"/>
  <c r="R1209" i="3"/>
  <c r="R1210" i="3"/>
  <c r="R1211" i="3"/>
  <c r="R1212" i="3"/>
  <c r="R1213" i="3"/>
  <c r="R1214" i="3"/>
  <c r="R1215" i="3"/>
  <c r="R1216" i="3"/>
  <c r="R1217" i="3"/>
  <c r="R1218" i="3"/>
  <c r="R1219" i="3"/>
  <c r="R1220" i="3"/>
  <c r="R1221" i="3"/>
  <c r="R1222" i="3"/>
  <c r="R1223" i="3"/>
  <c r="R1224" i="3"/>
  <c r="R1225" i="3"/>
  <c r="R1226" i="3"/>
  <c r="R1227" i="3"/>
  <c r="R1228" i="3"/>
  <c r="R1229" i="3"/>
  <c r="R1230" i="3"/>
  <c r="R1231" i="3"/>
  <c r="R1232" i="3"/>
  <c r="R1233" i="3"/>
  <c r="R1234" i="3"/>
  <c r="R1235" i="3"/>
  <c r="R1236" i="3"/>
  <c r="R1237" i="3"/>
  <c r="R1238" i="3"/>
  <c r="R1239" i="3"/>
  <c r="R1240" i="3"/>
  <c r="R1241" i="3"/>
  <c r="R1242" i="3"/>
  <c r="R1243" i="3"/>
  <c r="R1244" i="3"/>
  <c r="R1245" i="3"/>
  <c r="R1246" i="3"/>
  <c r="R1247" i="3"/>
  <c r="R1248" i="3"/>
  <c r="R1249" i="3"/>
  <c r="R1250" i="3"/>
  <c r="R1251" i="3"/>
  <c r="R1252" i="3"/>
  <c r="R1253" i="3"/>
  <c r="R1254" i="3"/>
  <c r="R1255" i="3"/>
  <c r="R1256" i="3"/>
  <c r="R1257" i="3"/>
  <c r="R1258" i="3"/>
  <c r="R1259" i="3"/>
  <c r="R1260" i="3"/>
  <c r="R1261" i="3"/>
  <c r="R1262" i="3"/>
  <c r="R1263" i="3"/>
  <c r="R1264" i="3"/>
  <c r="R1265" i="3"/>
  <c r="R1266" i="3"/>
  <c r="R1267" i="3"/>
  <c r="R1268" i="3"/>
  <c r="R1269" i="3"/>
  <c r="R1270" i="3"/>
  <c r="R1271" i="3"/>
  <c r="R1272" i="3"/>
  <c r="R1273" i="3"/>
  <c r="R1274" i="3"/>
  <c r="R1275" i="3"/>
  <c r="R1276" i="3"/>
  <c r="R1277" i="3"/>
  <c r="R1278" i="3"/>
  <c r="R1279" i="3"/>
  <c r="R1280" i="3"/>
  <c r="R1281" i="3"/>
  <c r="R1282" i="3"/>
  <c r="R1283" i="3"/>
  <c r="R1284" i="3"/>
  <c r="R1285" i="3"/>
  <c r="R1286" i="3"/>
  <c r="R1287" i="3"/>
  <c r="R1288" i="3"/>
  <c r="R1289" i="3"/>
  <c r="R1290" i="3"/>
  <c r="R1291" i="3"/>
  <c r="R1292" i="3"/>
  <c r="R1293" i="3"/>
  <c r="R1294" i="3"/>
  <c r="R1295" i="3"/>
  <c r="R1296" i="3"/>
  <c r="R1297" i="3"/>
  <c r="R1298" i="3"/>
  <c r="R1299" i="3"/>
  <c r="R1300" i="3"/>
  <c r="R1301" i="3"/>
  <c r="R1302" i="3"/>
  <c r="R1303" i="3"/>
  <c r="R1304" i="3"/>
  <c r="R1305" i="3"/>
  <c r="R1306" i="3"/>
  <c r="R1307" i="3"/>
  <c r="R1308" i="3"/>
  <c r="R1309" i="3"/>
  <c r="R1310" i="3"/>
  <c r="R1311" i="3"/>
  <c r="R1312" i="3"/>
  <c r="R1313" i="3"/>
  <c r="R1314" i="3"/>
  <c r="R1315" i="3"/>
  <c r="R1316" i="3"/>
  <c r="R1317" i="3"/>
  <c r="R1318" i="3"/>
  <c r="R1319" i="3"/>
  <c r="R1320" i="3"/>
  <c r="R1321" i="3"/>
  <c r="R1322" i="3"/>
  <c r="R1323" i="3"/>
  <c r="R1324" i="3"/>
  <c r="R1325" i="3"/>
  <c r="R1326" i="3"/>
  <c r="R1327" i="3"/>
  <c r="R1328" i="3"/>
  <c r="R1329" i="3"/>
  <c r="R1330" i="3"/>
  <c r="R1331" i="3"/>
  <c r="R1332" i="3"/>
  <c r="R1333" i="3"/>
  <c r="R1334" i="3"/>
  <c r="R1335" i="3"/>
  <c r="R1336" i="3"/>
  <c r="R1337" i="3"/>
  <c r="R1338" i="3"/>
  <c r="R1339" i="3"/>
  <c r="R1340" i="3"/>
  <c r="R1341" i="3"/>
  <c r="R1342" i="3"/>
  <c r="R1343" i="3"/>
  <c r="R1344" i="3"/>
  <c r="R1345" i="3"/>
  <c r="R1346" i="3"/>
  <c r="R1347" i="3"/>
  <c r="R1348" i="3"/>
  <c r="R1349" i="3"/>
  <c r="R1350" i="3"/>
  <c r="R1351" i="3"/>
  <c r="R1352" i="3"/>
  <c r="R1353" i="3"/>
  <c r="R1354" i="3"/>
  <c r="R1355" i="3"/>
  <c r="R1356" i="3"/>
  <c r="R1357" i="3"/>
  <c r="R1358" i="3"/>
  <c r="R1359" i="3"/>
  <c r="R1360" i="3"/>
  <c r="R1361" i="3"/>
  <c r="R1362" i="3"/>
  <c r="R1363" i="3"/>
  <c r="R1364" i="3"/>
  <c r="R1365" i="3"/>
  <c r="R1366" i="3"/>
  <c r="R1367" i="3"/>
  <c r="R1368" i="3"/>
  <c r="R1369" i="3"/>
  <c r="R1370" i="3"/>
  <c r="R1371" i="3"/>
  <c r="R1372" i="3"/>
  <c r="R1373" i="3"/>
  <c r="R1374" i="3"/>
  <c r="R1375" i="3"/>
  <c r="R1376" i="3"/>
  <c r="R1377" i="3"/>
  <c r="R1378" i="3"/>
  <c r="R1379" i="3"/>
  <c r="R1380" i="3"/>
  <c r="R1381" i="3"/>
  <c r="R1382" i="3"/>
  <c r="R1383" i="3"/>
  <c r="R1384" i="3"/>
  <c r="R1385" i="3"/>
  <c r="R1386" i="3"/>
  <c r="R1387" i="3"/>
  <c r="R1388" i="3"/>
  <c r="R1389" i="3"/>
  <c r="R1390" i="3"/>
  <c r="R1391" i="3"/>
  <c r="R1392" i="3"/>
  <c r="R1393" i="3"/>
  <c r="R1394" i="3"/>
  <c r="R1395" i="3"/>
  <c r="R1396" i="3"/>
  <c r="R1397" i="3"/>
  <c r="R1398" i="3"/>
  <c r="R1399" i="3"/>
  <c r="R1400" i="3"/>
  <c r="R1401" i="3"/>
  <c r="R1402" i="3"/>
  <c r="R1403" i="3"/>
  <c r="R1404" i="3"/>
  <c r="R1405" i="3"/>
  <c r="R1406" i="3"/>
  <c r="R1407" i="3"/>
  <c r="R1408" i="3"/>
  <c r="R1409" i="3"/>
  <c r="R1410" i="3"/>
  <c r="R1411" i="3"/>
  <c r="R1412" i="3"/>
  <c r="R1413" i="3"/>
  <c r="R1414" i="3"/>
  <c r="R1415" i="3"/>
  <c r="R1416" i="3"/>
  <c r="R1417" i="3"/>
  <c r="R1418" i="3"/>
  <c r="R1419" i="3"/>
  <c r="R1420" i="3"/>
  <c r="R1421" i="3"/>
  <c r="R1422" i="3"/>
  <c r="R1423" i="3"/>
  <c r="R1424" i="3"/>
  <c r="R1425" i="3"/>
  <c r="R1426" i="3"/>
  <c r="R1427" i="3"/>
  <c r="R1428" i="3"/>
  <c r="R1429" i="3"/>
  <c r="R1430" i="3"/>
  <c r="R1431" i="3"/>
  <c r="R1432" i="3"/>
  <c r="R1433" i="3"/>
  <c r="R1434" i="3"/>
  <c r="R1435" i="3"/>
  <c r="R1436" i="3"/>
  <c r="R1437" i="3"/>
  <c r="R1438" i="3"/>
  <c r="R1439" i="3"/>
  <c r="R1440" i="3"/>
  <c r="R1441" i="3"/>
  <c r="R1442" i="3"/>
  <c r="R1443" i="3"/>
  <c r="R1444" i="3"/>
  <c r="R1445" i="3"/>
  <c r="R1446" i="3"/>
  <c r="R1447" i="3"/>
  <c r="R1448" i="3"/>
  <c r="R1449" i="3"/>
  <c r="R1450" i="3"/>
  <c r="R1451" i="3"/>
  <c r="R1452" i="3"/>
  <c r="R1453" i="3"/>
  <c r="R1454" i="3"/>
  <c r="R1455" i="3"/>
  <c r="R1456" i="3"/>
  <c r="R1457" i="3"/>
  <c r="R1458" i="3"/>
  <c r="R1459" i="3"/>
  <c r="R1460" i="3"/>
  <c r="R1461" i="3"/>
  <c r="R1462" i="3"/>
  <c r="R1463" i="3"/>
  <c r="R1464" i="3"/>
  <c r="R1465" i="3"/>
  <c r="R1466" i="3"/>
  <c r="R1467" i="3"/>
  <c r="R1468" i="3"/>
  <c r="R1469" i="3"/>
  <c r="R1470" i="3"/>
  <c r="R1471" i="3"/>
  <c r="R1472" i="3"/>
  <c r="R1473" i="3"/>
  <c r="R1474" i="3"/>
  <c r="R1475" i="3"/>
  <c r="R1476" i="3"/>
  <c r="R1477" i="3"/>
  <c r="R1478" i="3"/>
  <c r="R1479" i="3"/>
  <c r="R1480" i="3"/>
  <c r="R1481" i="3"/>
  <c r="R1482" i="3"/>
  <c r="R1483" i="3"/>
  <c r="R1484" i="3"/>
  <c r="R1485" i="3"/>
  <c r="R1486" i="3"/>
  <c r="R1487" i="3"/>
  <c r="R1488" i="3"/>
  <c r="R1489" i="3"/>
  <c r="R1490" i="3"/>
  <c r="R1491" i="3"/>
  <c r="R1492" i="3"/>
  <c r="R1493" i="3"/>
  <c r="R1494" i="3"/>
  <c r="R1495" i="3"/>
  <c r="R1496" i="3"/>
  <c r="R1497" i="3"/>
  <c r="R1498" i="3"/>
  <c r="R1499" i="3"/>
  <c r="R1500" i="3"/>
  <c r="R1501" i="3"/>
  <c r="R1502" i="3"/>
  <c r="R1503" i="3"/>
  <c r="R1504" i="3"/>
  <c r="R1505" i="3"/>
  <c r="R1506" i="3"/>
  <c r="R1507" i="3"/>
  <c r="R1508" i="3"/>
  <c r="R1509" i="3"/>
  <c r="R1510" i="3"/>
  <c r="R1511" i="3"/>
  <c r="R1512" i="3"/>
  <c r="R1513" i="3"/>
  <c r="R1514" i="3"/>
  <c r="R1515" i="3"/>
  <c r="R1516" i="3"/>
  <c r="R1517" i="3"/>
  <c r="R1518" i="3"/>
  <c r="R1519" i="3"/>
  <c r="R1520" i="3"/>
  <c r="R1521" i="3"/>
  <c r="R1522" i="3"/>
  <c r="R1523" i="3"/>
  <c r="R1524" i="3"/>
  <c r="R1525" i="3"/>
  <c r="R1526" i="3"/>
  <c r="R1527" i="3"/>
  <c r="R1528" i="3"/>
  <c r="R1529" i="3"/>
  <c r="R1530" i="3"/>
  <c r="R1531" i="3"/>
  <c r="R1532" i="3"/>
  <c r="R1533" i="3"/>
  <c r="R1534" i="3"/>
  <c r="R1535" i="3"/>
  <c r="R1536" i="3"/>
  <c r="R1537" i="3"/>
  <c r="R1538" i="3"/>
  <c r="R1539" i="3"/>
  <c r="R1540" i="3"/>
  <c r="R1541" i="3"/>
  <c r="R1542" i="3"/>
  <c r="R1543" i="3"/>
  <c r="R1544" i="3"/>
  <c r="R1545" i="3"/>
  <c r="R1546" i="3"/>
  <c r="R1547" i="3"/>
  <c r="R1548" i="3"/>
  <c r="R1549" i="3"/>
  <c r="R1550" i="3"/>
  <c r="R1551" i="3"/>
  <c r="R1552" i="3"/>
  <c r="R1553" i="3"/>
  <c r="R1554" i="3"/>
  <c r="R1555" i="3"/>
  <c r="R1556" i="3"/>
  <c r="R1557" i="3"/>
  <c r="R1558" i="3"/>
  <c r="R1559" i="3"/>
  <c r="R1560" i="3"/>
  <c r="R1561" i="3"/>
  <c r="R1562" i="3"/>
  <c r="R1563" i="3"/>
  <c r="R1564" i="3"/>
  <c r="R1565" i="3"/>
  <c r="R1566" i="3"/>
  <c r="R1567" i="3"/>
  <c r="R1568" i="3"/>
  <c r="R1569" i="3"/>
  <c r="R1570" i="3"/>
  <c r="R1571" i="3"/>
  <c r="R1572" i="3"/>
  <c r="R1573" i="3"/>
  <c r="R1574" i="3"/>
  <c r="R1575" i="3"/>
  <c r="R1576" i="3"/>
  <c r="R1577" i="3"/>
  <c r="R1578" i="3"/>
  <c r="R1579" i="3"/>
  <c r="R1580" i="3"/>
  <c r="R1581" i="3"/>
  <c r="R1582" i="3"/>
  <c r="R1583" i="3"/>
  <c r="R1584" i="3"/>
  <c r="R1585" i="3"/>
  <c r="R1586" i="3"/>
  <c r="R1587" i="3"/>
  <c r="R1588" i="3"/>
  <c r="R1589" i="3"/>
  <c r="R1590" i="3"/>
  <c r="R1591" i="3"/>
  <c r="R1592" i="3"/>
  <c r="R1593" i="3"/>
  <c r="R1594" i="3"/>
  <c r="R1595" i="3"/>
  <c r="R1596" i="3"/>
  <c r="R1597" i="3"/>
  <c r="R1598" i="3"/>
  <c r="R1599" i="3"/>
  <c r="R1600" i="3"/>
  <c r="R1601" i="3"/>
  <c r="R1602" i="3"/>
  <c r="R1603" i="3"/>
  <c r="R1604" i="3"/>
  <c r="R1605" i="3"/>
  <c r="R1606" i="3"/>
  <c r="R1607" i="3"/>
  <c r="R1608" i="3"/>
  <c r="R1609" i="3"/>
  <c r="R1610" i="3"/>
  <c r="R1611" i="3"/>
  <c r="R1612" i="3"/>
  <c r="R1613" i="3"/>
  <c r="R1614" i="3"/>
  <c r="R1615" i="3"/>
  <c r="R1616" i="3"/>
  <c r="R1617" i="3"/>
  <c r="R1618" i="3"/>
  <c r="R1619" i="3"/>
  <c r="R1620" i="3"/>
  <c r="R1621" i="3"/>
  <c r="R1622" i="3"/>
  <c r="R1623" i="3"/>
  <c r="R1624" i="3"/>
  <c r="R1625" i="3"/>
  <c r="R1626" i="3"/>
  <c r="R1627" i="3"/>
  <c r="R1628" i="3"/>
  <c r="R1629" i="3"/>
  <c r="R1630" i="3"/>
  <c r="R1631" i="3"/>
  <c r="R1632" i="3"/>
  <c r="R1633" i="3"/>
  <c r="R1634" i="3"/>
  <c r="R1635" i="3"/>
  <c r="R1636" i="3"/>
  <c r="R1637" i="3"/>
  <c r="R1638" i="3"/>
  <c r="R1639" i="3"/>
  <c r="R1640" i="3"/>
  <c r="R1641" i="3"/>
  <c r="R1642" i="3"/>
  <c r="R1643" i="3"/>
  <c r="R1644" i="3"/>
  <c r="R1645" i="3"/>
  <c r="R1646" i="3"/>
  <c r="R1647" i="3"/>
  <c r="R1648" i="3"/>
  <c r="R1649" i="3"/>
  <c r="R1650" i="3"/>
  <c r="R1651" i="3"/>
  <c r="R1652" i="3"/>
  <c r="R1653" i="3"/>
  <c r="R1654" i="3"/>
  <c r="R1655" i="3"/>
  <c r="R1656" i="3"/>
  <c r="R1657" i="3"/>
  <c r="R1658" i="3"/>
  <c r="R1659" i="3"/>
  <c r="R1660" i="3"/>
  <c r="R1661" i="3"/>
  <c r="R1662" i="3"/>
  <c r="R1663" i="3"/>
  <c r="R1664" i="3"/>
  <c r="R1665" i="3"/>
  <c r="R1666" i="3"/>
  <c r="R1667" i="3"/>
  <c r="R1668" i="3"/>
  <c r="R1669" i="3"/>
  <c r="R1670" i="3"/>
  <c r="R1671" i="3"/>
  <c r="R1672" i="3"/>
  <c r="R1673" i="3"/>
  <c r="R1674" i="3"/>
  <c r="R1675" i="3"/>
  <c r="R1676" i="3"/>
  <c r="R1677" i="3"/>
  <c r="R1678" i="3"/>
  <c r="R1679" i="3"/>
  <c r="R1680" i="3"/>
  <c r="R1681" i="3"/>
  <c r="R1682" i="3"/>
  <c r="R1683" i="3"/>
  <c r="R1684" i="3"/>
  <c r="R1685" i="3"/>
  <c r="R1686" i="3"/>
  <c r="R1687" i="3"/>
  <c r="R1688" i="3"/>
  <c r="R1689" i="3"/>
  <c r="R1690" i="3"/>
  <c r="R1691" i="3"/>
  <c r="R1692" i="3"/>
  <c r="R1693" i="3"/>
  <c r="R1694" i="3"/>
  <c r="R1695" i="3"/>
  <c r="R1696" i="3"/>
  <c r="R1697" i="3"/>
  <c r="R1698" i="3"/>
  <c r="R1699" i="3"/>
  <c r="R1700" i="3"/>
  <c r="R1701" i="3"/>
  <c r="R1702" i="3"/>
  <c r="R1703" i="3"/>
  <c r="R1704" i="3"/>
  <c r="R1705" i="3"/>
  <c r="R1706" i="3"/>
  <c r="R1707" i="3"/>
  <c r="R1708" i="3"/>
  <c r="R1709" i="3"/>
  <c r="R1710" i="3"/>
  <c r="R1711" i="3"/>
  <c r="R1712" i="3"/>
  <c r="R1713" i="3"/>
  <c r="R1714" i="3"/>
  <c r="R1715" i="3"/>
  <c r="R1716" i="3"/>
  <c r="R1717" i="3"/>
  <c r="R1718" i="3"/>
  <c r="R1719" i="3"/>
  <c r="R1720" i="3"/>
  <c r="R1721" i="3"/>
  <c r="R1722" i="3"/>
  <c r="R1723" i="3"/>
  <c r="R1724" i="3"/>
  <c r="R1725" i="3"/>
  <c r="R1726" i="3"/>
  <c r="R1727" i="3"/>
  <c r="R1728" i="3"/>
  <c r="R1729" i="3"/>
  <c r="R1730" i="3"/>
  <c r="R1731" i="3"/>
  <c r="R1732" i="3"/>
  <c r="R1733" i="3"/>
  <c r="R1734" i="3"/>
  <c r="R1735" i="3"/>
  <c r="R1736" i="3"/>
  <c r="R1737" i="3"/>
  <c r="R1738" i="3"/>
  <c r="R1739" i="3"/>
  <c r="R1740" i="3"/>
  <c r="R1741" i="3"/>
  <c r="R1742" i="3"/>
  <c r="R1743" i="3"/>
  <c r="R1744" i="3"/>
  <c r="R1745" i="3"/>
  <c r="R1746" i="3"/>
  <c r="R1747" i="3"/>
  <c r="R1748" i="3"/>
  <c r="R1749" i="3"/>
  <c r="R1750" i="3"/>
  <c r="R1751" i="3"/>
  <c r="R1752" i="3"/>
  <c r="R1753" i="3"/>
  <c r="R1754" i="3"/>
  <c r="R1755" i="3"/>
  <c r="R1756" i="3"/>
  <c r="R1757" i="3"/>
  <c r="R1758" i="3"/>
  <c r="R1759" i="3"/>
  <c r="R1760" i="3"/>
  <c r="R1761" i="3"/>
  <c r="R1762" i="3"/>
  <c r="R1763" i="3"/>
  <c r="R1764" i="3"/>
  <c r="R1765" i="3"/>
  <c r="R1766" i="3"/>
  <c r="R1767" i="3"/>
  <c r="R1768" i="3"/>
  <c r="R1769" i="3"/>
  <c r="R1770" i="3"/>
  <c r="R1771" i="3"/>
  <c r="R1772" i="3"/>
  <c r="R1773" i="3"/>
  <c r="R1774" i="3"/>
  <c r="R1775" i="3"/>
  <c r="R1776" i="3"/>
  <c r="R1777" i="3"/>
  <c r="R1778" i="3"/>
  <c r="R1779" i="3"/>
  <c r="R1780" i="3"/>
  <c r="R1781" i="3"/>
  <c r="R1782" i="3"/>
  <c r="R1783" i="3"/>
  <c r="R1784" i="3"/>
  <c r="R1785" i="3"/>
  <c r="R1786" i="3"/>
  <c r="R1787" i="3"/>
  <c r="R1788" i="3"/>
  <c r="R1789" i="3"/>
  <c r="R1790" i="3"/>
  <c r="R1791" i="3"/>
  <c r="R1792" i="3"/>
  <c r="R1793" i="3"/>
  <c r="R1794" i="3"/>
  <c r="R1795" i="3"/>
  <c r="R1796" i="3"/>
  <c r="R1797" i="3"/>
  <c r="R1798" i="3"/>
  <c r="R1799" i="3"/>
  <c r="R1800" i="3"/>
  <c r="R1801" i="3"/>
  <c r="R1802" i="3"/>
  <c r="R1803" i="3"/>
  <c r="R1804" i="3"/>
  <c r="R1805" i="3"/>
  <c r="R1806" i="3"/>
  <c r="R1807" i="3"/>
  <c r="R1808" i="3"/>
  <c r="R1809" i="3"/>
  <c r="R1810" i="3"/>
  <c r="R1811" i="3"/>
  <c r="R1812" i="3"/>
  <c r="R1813" i="3"/>
  <c r="R1814" i="3"/>
  <c r="R1815" i="3"/>
  <c r="R1816" i="3"/>
  <c r="R1817" i="3"/>
  <c r="R1818" i="3"/>
  <c r="R1819" i="3"/>
  <c r="R1820" i="3"/>
  <c r="R1821" i="3"/>
  <c r="R1822" i="3"/>
  <c r="R1823" i="3"/>
  <c r="R1824" i="3"/>
  <c r="R1825" i="3"/>
  <c r="R1826" i="3"/>
  <c r="R1827" i="3"/>
  <c r="R1828" i="3"/>
  <c r="R1829" i="3"/>
  <c r="R1830" i="3"/>
  <c r="R1831" i="3"/>
  <c r="R1832" i="3"/>
  <c r="R1833" i="3"/>
  <c r="R1834" i="3"/>
  <c r="R1835" i="3"/>
  <c r="R1836" i="3"/>
  <c r="R1837" i="3"/>
  <c r="R1838" i="3"/>
  <c r="R1839" i="3"/>
  <c r="R1840" i="3"/>
  <c r="R1841" i="3"/>
  <c r="R1842" i="3"/>
  <c r="R1843" i="3"/>
  <c r="R1844" i="3"/>
  <c r="R1845" i="3"/>
  <c r="R1846" i="3"/>
  <c r="R1847" i="3"/>
  <c r="R1848" i="3"/>
  <c r="R1849" i="3"/>
  <c r="R1850" i="3"/>
  <c r="R1851" i="3"/>
  <c r="R1852" i="3"/>
  <c r="R1853" i="3"/>
  <c r="R1854" i="3"/>
  <c r="R1855" i="3"/>
  <c r="R1856" i="3"/>
  <c r="R1857" i="3"/>
  <c r="R1858" i="3"/>
  <c r="R1859" i="3"/>
  <c r="R1860" i="3"/>
  <c r="R1861" i="3"/>
  <c r="R1862" i="3"/>
  <c r="R1863" i="3"/>
  <c r="R1864" i="3"/>
  <c r="R1865" i="3"/>
  <c r="R1866" i="3"/>
  <c r="R1867" i="3"/>
  <c r="R1868" i="3"/>
  <c r="R1869" i="3"/>
  <c r="R1870" i="3"/>
  <c r="R1871" i="3"/>
  <c r="R1872" i="3"/>
  <c r="R1873" i="3"/>
  <c r="R1874" i="3"/>
  <c r="R1875" i="3"/>
  <c r="R1876" i="3"/>
  <c r="R1877" i="3"/>
  <c r="R1878" i="3"/>
  <c r="R1879" i="3"/>
  <c r="R1880" i="3"/>
  <c r="R1881" i="3"/>
  <c r="R1882" i="3"/>
  <c r="R1883" i="3"/>
  <c r="R1884" i="3"/>
  <c r="R1885" i="3"/>
  <c r="R1886" i="3"/>
  <c r="R1887" i="3"/>
  <c r="R1888" i="3"/>
  <c r="R1889" i="3"/>
  <c r="R1890" i="3"/>
  <c r="R1891" i="3"/>
  <c r="R1892" i="3"/>
  <c r="R1893" i="3"/>
  <c r="R1894" i="3"/>
  <c r="R1895" i="3"/>
  <c r="R1896" i="3"/>
  <c r="R1897" i="3"/>
  <c r="R1898" i="3"/>
  <c r="R1899" i="3"/>
  <c r="R1900" i="3"/>
  <c r="R1901" i="3"/>
  <c r="R1902" i="3"/>
  <c r="R1903" i="3"/>
  <c r="R1904" i="3"/>
  <c r="R1905" i="3"/>
  <c r="R1906" i="3"/>
  <c r="R1907" i="3"/>
  <c r="R1908" i="3"/>
  <c r="R1909" i="3"/>
  <c r="R1910" i="3"/>
  <c r="R1911" i="3"/>
  <c r="R1912" i="3"/>
  <c r="R1913" i="3"/>
  <c r="R1914" i="3"/>
  <c r="R1915" i="3"/>
  <c r="R1916" i="3"/>
  <c r="R1917" i="3"/>
  <c r="R1918" i="3"/>
  <c r="R1919" i="3"/>
  <c r="R1920" i="3"/>
  <c r="R1921" i="3"/>
  <c r="R1922" i="3"/>
  <c r="R1923" i="3"/>
  <c r="R1924" i="3"/>
  <c r="R1925" i="3"/>
  <c r="R1926" i="3"/>
  <c r="R1927" i="3"/>
  <c r="R1928" i="3"/>
  <c r="R1929" i="3"/>
  <c r="R1930" i="3"/>
  <c r="R1931" i="3"/>
  <c r="R1932" i="3"/>
  <c r="R1933" i="3"/>
  <c r="R1934" i="3"/>
  <c r="R1935" i="3"/>
  <c r="R1936" i="3"/>
  <c r="R1937" i="3"/>
  <c r="R1938" i="3"/>
  <c r="R1939" i="3"/>
  <c r="R1940" i="3"/>
  <c r="R1941" i="3"/>
  <c r="R1942" i="3"/>
  <c r="R1943" i="3"/>
  <c r="R1944" i="3"/>
  <c r="R1945" i="3"/>
  <c r="R1946" i="3"/>
  <c r="R1947" i="3"/>
  <c r="R1948" i="3"/>
  <c r="R1949" i="3"/>
  <c r="R1950" i="3"/>
  <c r="R1951" i="3"/>
  <c r="R1952" i="3"/>
  <c r="R1953" i="3"/>
  <c r="R1954" i="3"/>
  <c r="R1955" i="3"/>
  <c r="R1956" i="3"/>
  <c r="R1957" i="3"/>
  <c r="R1958" i="3"/>
  <c r="R1959" i="3"/>
  <c r="R1960" i="3"/>
  <c r="R1961" i="3"/>
  <c r="R1962" i="3"/>
  <c r="R1963" i="3"/>
  <c r="R1964" i="3"/>
  <c r="R1965" i="3"/>
  <c r="R1966" i="3"/>
  <c r="R1967" i="3"/>
  <c r="R1968" i="3"/>
  <c r="R1969" i="3"/>
  <c r="R1970" i="3"/>
  <c r="R1971" i="3"/>
  <c r="R1972" i="3"/>
  <c r="R1973" i="3"/>
  <c r="R1974" i="3"/>
  <c r="R1975" i="3"/>
  <c r="R1976" i="3"/>
  <c r="R1977" i="3"/>
  <c r="R1978" i="3"/>
  <c r="R1979" i="3"/>
  <c r="R1980" i="3"/>
  <c r="R1981" i="3"/>
  <c r="R1982" i="3"/>
  <c r="R1983" i="3"/>
  <c r="R1984" i="3"/>
  <c r="R1985" i="3"/>
  <c r="R1986" i="3"/>
  <c r="R1987" i="3"/>
  <c r="R1988" i="3"/>
  <c r="R1989" i="3"/>
  <c r="R1990" i="3"/>
  <c r="R1991" i="3"/>
  <c r="R1992" i="3"/>
  <c r="R1993" i="3"/>
  <c r="R1994" i="3"/>
  <c r="R1995" i="3"/>
  <c r="R1996" i="3"/>
  <c r="R1997" i="3"/>
  <c r="R1998" i="3"/>
  <c r="R1999" i="3"/>
  <c r="R2000" i="3"/>
  <c r="R2001" i="3"/>
  <c r="R2002" i="3"/>
  <c r="R2003" i="3"/>
  <c r="R2004" i="3"/>
  <c r="R2005" i="3"/>
  <c r="R2006" i="3"/>
  <c r="R2007" i="3"/>
  <c r="R2008" i="3"/>
  <c r="R2009" i="3"/>
  <c r="R2010" i="3"/>
  <c r="R2011" i="3"/>
  <c r="R2012" i="3"/>
  <c r="R2013" i="3"/>
  <c r="R2014" i="3"/>
  <c r="R2015" i="3"/>
  <c r="R2016" i="3"/>
  <c r="R2017" i="3"/>
  <c r="R2018" i="3"/>
  <c r="R2019" i="3"/>
  <c r="R2020" i="3"/>
  <c r="R2021" i="3"/>
  <c r="R2022" i="3"/>
  <c r="R2023" i="3"/>
  <c r="R2024" i="3"/>
  <c r="R2025" i="3"/>
  <c r="R2026" i="3"/>
  <c r="R2027" i="3"/>
  <c r="R2028" i="3"/>
  <c r="R2029" i="3"/>
  <c r="R2030" i="3"/>
  <c r="R2031" i="3"/>
  <c r="R2032" i="3"/>
  <c r="R2033" i="3"/>
  <c r="R2034" i="3"/>
  <c r="R2035" i="3"/>
  <c r="R2036" i="3"/>
  <c r="R2037" i="3"/>
  <c r="R2038" i="3"/>
  <c r="R2039" i="3"/>
  <c r="R2040" i="3"/>
  <c r="R2041" i="3"/>
  <c r="R2042" i="3"/>
  <c r="R2043" i="3"/>
  <c r="R2044" i="3"/>
  <c r="R2045" i="3"/>
  <c r="R2046" i="3"/>
  <c r="R2047" i="3"/>
  <c r="R2048" i="3"/>
  <c r="R2049" i="3"/>
  <c r="R2050" i="3"/>
  <c r="R2051" i="3"/>
  <c r="R2052" i="3"/>
  <c r="R2053" i="3"/>
  <c r="R2054" i="3"/>
  <c r="R2055" i="3"/>
  <c r="R2056" i="3"/>
  <c r="R2057" i="3"/>
  <c r="R2058" i="3"/>
  <c r="R2059" i="3"/>
  <c r="R2060" i="3"/>
  <c r="R2061" i="3"/>
  <c r="R2062" i="3"/>
  <c r="R2063" i="3"/>
  <c r="R2064" i="3"/>
  <c r="R2065" i="3"/>
  <c r="R2066" i="3"/>
  <c r="R2067" i="3"/>
  <c r="R2068" i="3"/>
  <c r="R2069" i="3"/>
  <c r="R2070" i="3"/>
  <c r="R2071" i="3"/>
  <c r="R2072" i="3"/>
  <c r="R2073" i="3"/>
  <c r="R2074" i="3"/>
  <c r="R2075" i="3"/>
  <c r="R2076" i="3"/>
  <c r="R2077" i="3"/>
  <c r="R2078" i="3"/>
  <c r="R2079" i="3"/>
  <c r="R2080" i="3"/>
  <c r="R2081" i="3"/>
  <c r="R2082" i="3"/>
  <c r="R2083" i="3"/>
  <c r="R2084" i="3"/>
  <c r="R2085" i="3"/>
  <c r="R2086" i="3"/>
  <c r="R2087" i="3"/>
  <c r="R2088" i="3"/>
  <c r="R2089" i="3"/>
  <c r="R2090" i="3"/>
  <c r="R2091" i="3"/>
  <c r="R2092" i="3"/>
  <c r="R2093" i="3"/>
  <c r="R2094" i="3"/>
  <c r="R2095" i="3"/>
  <c r="R2096" i="3"/>
  <c r="R2097" i="3"/>
  <c r="R2098" i="3"/>
  <c r="R2099" i="3"/>
  <c r="R2100" i="3"/>
  <c r="R2101" i="3"/>
  <c r="R2102" i="3"/>
  <c r="R2103" i="3"/>
  <c r="R2104" i="3"/>
  <c r="R2105" i="3"/>
  <c r="R2106" i="3"/>
  <c r="R2107" i="3"/>
  <c r="R2108" i="3"/>
  <c r="R2109" i="3"/>
  <c r="R2110" i="3"/>
  <c r="R2111" i="3"/>
  <c r="R2112" i="3"/>
  <c r="R2113" i="3"/>
  <c r="R2114" i="3"/>
  <c r="R2115" i="3"/>
  <c r="R2116" i="3"/>
  <c r="R2117" i="3"/>
  <c r="R2118" i="3"/>
  <c r="R2119" i="3"/>
  <c r="R2120" i="3"/>
  <c r="R2121" i="3"/>
  <c r="R2122" i="3"/>
  <c r="R2123" i="3"/>
  <c r="R2124" i="3"/>
  <c r="R2125" i="3"/>
  <c r="R2126" i="3"/>
  <c r="R2127" i="3"/>
  <c r="R2128" i="3"/>
  <c r="R2129" i="3"/>
  <c r="R2130" i="3"/>
  <c r="R2131" i="3"/>
  <c r="R2132" i="3"/>
  <c r="R2133" i="3"/>
  <c r="R2134" i="3"/>
  <c r="R2135" i="3"/>
  <c r="R2136" i="3"/>
  <c r="R2137" i="3"/>
  <c r="R2138" i="3"/>
  <c r="R2139" i="3"/>
  <c r="R2140" i="3"/>
  <c r="R2141" i="3"/>
  <c r="R2142" i="3"/>
  <c r="R2143" i="3"/>
  <c r="R2144" i="3"/>
  <c r="R2145" i="3"/>
  <c r="R2146" i="3"/>
  <c r="R2147" i="3"/>
  <c r="R2148" i="3"/>
  <c r="R2149" i="3"/>
  <c r="R2150" i="3"/>
  <c r="R2151" i="3"/>
  <c r="R2152" i="3"/>
  <c r="R2153" i="3"/>
  <c r="R2154" i="3"/>
  <c r="R2155" i="3"/>
  <c r="R2156" i="3"/>
  <c r="R2157" i="3"/>
  <c r="R2158" i="3"/>
  <c r="R2159" i="3"/>
  <c r="R2160" i="3"/>
  <c r="R2161" i="3"/>
  <c r="R2162" i="3"/>
  <c r="R2163" i="3"/>
  <c r="R2164" i="3"/>
  <c r="R2165" i="3"/>
  <c r="R2166" i="3"/>
  <c r="R2167" i="3"/>
  <c r="R2168" i="3"/>
  <c r="R2169" i="3"/>
  <c r="R2170" i="3"/>
  <c r="R2171" i="3"/>
  <c r="R2172" i="3"/>
  <c r="R2173" i="3"/>
  <c r="R2174" i="3"/>
  <c r="R2175" i="3"/>
  <c r="R2176" i="3"/>
  <c r="R2177" i="3"/>
  <c r="R2178" i="3"/>
  <c r="R2179" i="3"/>
  <c r="R2180" i="3"/>
  <c r="R2181" i="3"/>
  <c r="R2182" i="3"/>
  <c r="R2183" i="3"/>
  <c r="R2184" i="3"/>
  <c r="R2185" i="3"/>
  <c r="R2186" i="3"/>
  <c r="R2187" i="3"/>
  <c r="R2188" i="3"/>
  <c r="R2189" i="3"/>
  <c r="R2190" i="3"/>
  <c r="R2191" i="3"/>
  <c r="R2192" i="3"/>
  <c r="R2193" i="3"/>
  <c r="R2194" i="3"/>
  <c r="R2195" i="3"/>
  <c r="R2196" i="3"/>
  <c r="R2197" i="3"/>
  <c r="R2198" i="3"/>
  <c r="R2199" i="3"/>
  <c r="R2200" i="3"/>
  <c r="R2201" i="3"/>
  <c r="R2202" i="3"/>
  <c r="R2203" i="3"/>
  <c r="R2204" i="3"/>
  <c r="R2205" i="3"/>
  <c r="R2206" i="3"/>
  <c r="R2207" i="3"/>
  <c r="R2208" i="3"/>
  <c r="R2209" i="3"/>
  <c r="R2210" i="3"/>
  <c r="R2211" i="3"/>
  <c r="R2212" i="3"/>
  <c r="R2213" i="3"/>
  <c r="R2214" i="3"/>
  <c r="R2215" i="3"/>
  <c r="R2216" i="3"/>
  <c r="R2217" i="3"/>
  <c r="R2218" i="3"/>
  <c r="R2219" i="3"/>
  <c r="R2220" i="3"/>
  <c r="R2221" i="3"/>
  <c r="R2222" i="3"/>
  <c r="R2223" i="3"/>
  <c r="R2224" i="3"/>
  <c r="R2225" i="3"/>
  <c r="R2226" i="3"/>
  <c r="R2227" i="3"/>
  <c r="R2228" i="3"/>
  <c r="R2229" i="3"/>
  <c r="R2230" i="3"/>
  <c r="R2231" i="3"/>
  <c r="R2232" i="3"/>
  <c r="R2233" i="3"/>
  <c r="R2234" i="3"/>
  <c r="R2235" i="3"/>
  <c r="R2236" i="3"/>
  <c r="R2237" i="3"/>
  <c r="R2238" i="3"/>
  <c r="R2239" i="3"/>
  <c r="R2240" i="3"/>
  <c r="R2241" i="3"/>
  <c r="R2242" i="3"/>
  <c r="R2243" i="3"/>
  <c r="R2244" i="3"/>
  <c r="R2245" i="3"/>
  <c r="R2246" i="3"/>
  <c r="R2247" i="3"/>
  <c r="R2248" i="3"/>
  <c r="R2249" i="3"/>
  <c r="R2250" i="3"/>
  <c r="R2251" i="3"/>
  <c r="R2252" i="3"/>
  <c r="R2253" i="3"/>
  <c r="R2254" i="3"/>
  <c r="R2255" i="3"/>
  <c r="R2256" i="3"/>
  <c r="R2257" i="3"/>
  <c r="R2258" i="3"/>
  <c r="R2259" i="3"/>
  <c r="R2260" i="3"/>
  <c r="R2261" i="3"/>
  <c r="R2262" i="3"/>
  <c r="R2263" i="3"/>
  <c r="R2264" i="3"/>
  <c r="R2265" i="3"/>
  <c r="R2266" i="3"/>
  <c r="R2267" i="3"/>
  <c r="R2268" i="3"/>
  <c r="R2269" i="3"/>
  <c r="R2270" i="3"/>
  <c r="R2271" i="3"/>
  <c r="R2272" i="3"/>
  <c r="R2273" i="3"/>
  <c r="R2274" i="3"/>
  <c r="R2275" i="3"/>
  <c r="R2276" i="3"/>
  <c r="R2277" i="3"/>
  <c r="R2278" i="3"/>
  <c r="R2279" i="3"/>
  <c r="R2280" i="3"/>
  <c r="R2281" i="3"/>
  <c r="R2282" i="3"/>
  <c r="R2283" i="3"/>
  <c r="R2284" i="3"/>
  <c r="R2285" i="3"/>
  <c r="R2286" i="3"/>
  <c r="R2287" i="3"/>
  <c r="R2288" i="3"/>
  <c r="R2289" i="3"/>
  <c r="R2290" i="3"/>
  <c r="R2291" i="3"/>
  <c r="R2292" i="3"/>
  <c r="R2293" i="3"/>
  <c r="R2294" i="3"/>
  <c r="R2295" i="3"/>
  <c r="R2296" i="3"/>
  <c r="R2297" i="3"/>
  <c r="R2298" i="3"/>
  <c r="R2299" i="3"/>
  <c r="R2300" i="3"/>
  <c r="R2301" i="3"/>
  <c r="R2302" i="3"/>
  <c r="R2303" i="3"/>
  <c r="R2304" i="3"/>
  <c r="R2305" i="3"/>
  <c r="R2306" i="3"/>
  <c r="R2307" i="3"/>
  <c r="R2308" i="3"/>
  <c r="R2309" i="3"/>
  <c r="R2310" i="3"/>
  <c r="R2311" i="3"/>
  <c r="R2312" i="3"/>
  <c r="R2313" i="3"/>
  <c r="R2314" i="3"/>
  <c r="R2315" i="3"/>
  <c r="R2316" i="3"/>
  <c r="R2317" i="3"/>
  <c r="R2318" i="3"/>
  <c r="R2319" i="3"/>
  <c r="R2320" i="3"/>
  <c r="R2321" i="3"/>
  <c r="R2322" i="3"/>
  <c r="R2323" i="3"/>
  <c r="R2324" i="3"/>
  <c r="R2325" i="3"/>
  <c r="R2326" i="3"/>
  <c r="R2327" i="3"/>
  <c r="R2328" i="3"/>
  <c r="R2329" i="3"/>
  <c r="R2330" i="3"/>
  <c r="R2331" i="3"/>
  <c r="R2332" i="3"/>
  <c r="R2333" i="3"/>
  <c r="R2334" i="3"/>
  <c r="R2335" i="3"/>
  <c r="R2336" i="3"/>
  <c r="R2337" i="3"/>
  <c r="R2338" i="3"/>
  <c r="R2339" i="3"/>
  <c r="R2340" i="3"/>
  <c r="R2341" i="3"/>
  <c r="R2342" i="3"/>
  <c r="R2343" i="3"/>
  <c r="R2344" i="3"/>
  <c r="R2345" i="3"/>
  <c r="R2346" i="3"/>
  <c r="R2347" i="3"/>
  <c r="R2348" i="3"/>
  <c r="R2349" i="3"/>
  <c r="R2350" i="3"/>
  <c r="R2351" i="3"/>
  <c r="R2352" i="3"/>
  <c r="R2353" i="3"/>
  <c r="R2354" i="3"/>
  <c r="R2355" i="3"/>
  <c r="R2356" i="3"/>
  <c r="R2357" i="3"/>
  <c r="R2358" i="3"/>
  <c r="R2359" i="3"/>
  <c r="R2360" i="3"/>
  <c r="R2361" i="3"/>
  <c r="R2362" i="3"/>
  <c r="R2363" i="3"/>
  <c r="R2364" i="3"/>
  <c r="R2365" i="3"/>
  <c r="R2366" i="3"/>
  <c r="R2367" i="3"/>
  <c r="R2368" i="3"/>
  <c r="R2369" i="3"/>
  <c r="R2370" i="3"/>
  <c r="R2371" i="3"/>
  <c r="R2372" i="3"/>
  <c r="R2373" i="3"/>
  <c r="R2374" i="3"/>
  <c r="R2375" i="3"/>
  <c r="R2376" i="3"/>
  <c r="R2377" i="3"/>
  <c r="R2378" i="3"/>
  <c r="R2379" i="3"/>
  <c r="R2380" i="3"/>
  <c r="R2381" i="3"/>
  <c r="R2382" i="3"/>
  <c r="R2383" i="3"/>
  <c r="R2384" i="3"/>
  <c r="R2385" i="3"/>
  <c r="R2386" i="3"/>
  <c r="R2387" i="3"/>
  <c r="R2388" i="3"/>
  <c r="R2389" i="3"/>
  <c r="R2390" i="3"/>
  <c r="R2391" i="3"/>
  <c r="R2392" i="3"/>
  <c r="R2393" i="3"/>
  <c r="R2394" i="3"/>
  <c r="R2395" i="3"/>
  <c r="R2396" i="3"/>
  <c r="R2397" i="3"/>
  <c r="R2398" i="3"/>
  <c r="R2399" i="3"/>
  <c r="R2400" i="3"/>
  <c r="R2401" i="3"/>
  <c r="R2402" i="3"/>
  <c r="R2403" i="3"/>
  <c r="R2404" i="3"/>
  <c r="R2405" i="3"/>
  <c r="R2406" i="3"/>
  <c r="R2407" i="3"/>
  <c r="R2408" i="3"/>
  <c r="R2409" i="3"/>
  <c r="R2410" i="3"/>
  <c r="R2411" i="3"/>
  <c r="R2412" i="3"/>
  <c r="R2413" i="3"/>
  <c r="R2414" i="3"/>
  <c r="R2415" i="3"/>
  <c r="R2416" i="3"/>
  <c r="R2417" i="3"/>
  <c r="R2418" i="3"/>
  <c r="R2419" i="3"/>
  <c r="R2420" i="3"/>
  <c r="R2421" i="3"/>
  <c r="R2422" i="3"/>
  <c r="R2423" i="3"/>
  <c r="R2424" i="3"/>
  <c r="R2425" i="3"/>
  <c r="R2426" i="3"/>
  <c r="R2427" i="3"/>
  <c r="R2428" i="3"/>
  <c r="R2429" i="3"/>
  <c r="R2430" i="3"/>
  <c r="R2431" i="3"/>
  <c r="R2432" i="3"/>
  <c r="R2433" i="3"/>
  <c r="R2434" i="3"/>
  <c r="R2435" i="3"/>
  <c r="R2436" i="3"/>
  <c r="R2437" i="3"/>
  <c r="R2438" i="3"/>
  <c r="R2439" i="3"/>
  <c r="R2440" i="3"/>
  <c r="R2441" i="3"/>
  <c r="R2442" i="3"/>
  <c r="R2443" i="3"/>
  <c r="R2444" i="3"/>
  <c r="R2445" i="3"/>
  <c r="R2446" i="3"/>
  <c r="R2447" i="3"/>
  <c r="R2448" i="3"/>
  <c r="R2449" i="3"/>
  <c r="R2450" i="3"/>
  <c r="R2451" i="3"/>
  <c r="R2452" i="3"/>
  <c r="R2453" i="3"/>
  <c r="R2454" i="3"/>
  <c r="R2455" i="3"/>
  <c r="R2456" i="3"/>
  <c r="R2457" i="3"/>
  <c r="R2458" i="3"/>
  <c r="R2459" i="3"/>
  <c r="R2460" i="3"/>
  <c r="R2461" i="3"/>
  <c r="R2462" i="3"/>
  <c r="R2463" i="3"/>
  <c r="R2464" i="3"/>
  <c r="R2465" i="3"/>
  <c r="R2466" i="3"/>
  <c r="R2467" i="3"/>
  <c r="R2468" i="3"/>
  <c r="R2469" i="3"/>
  <c r="R2470" i="3"/>
  <c r="R2471" i="3"/>
  <c r="R2472" i="3"/>
  <c r="R2473" i="3"/>
  <c r="R2474" i="3"/>
  <c r="R2475" i="3"/>
  <c r="R2476" i="3"/>
  <c r="R2477" i="3"/>
  <c r="R2478" i="3"/>
  <c r="R2479" i="3"/>
  <c r="R2480" i="3"/>
  <c r="R2481" i="3"/>
  <c r="R2482" i="3"/>
  <c r="R2483" i="3"/>
  <c r="R2484" i="3"/>
  <c r="R2485" i="3"/>
  <c r="R2486" i="3"/>
  <c r="R2487" i="3"/>
  <c r="R2488" i="3"/>
  <c r="R2489" i="3"/>
  <c r="R2490" i="3"/>
  <c r="R2491" i="3"/>
  <c r="R2492" i="3"/>
  <c r="R2493" i="3"/>
  <c r="R2494" i="3"/>
  <c r="R2495" i="3"/>
  <c r="R2496" i="3"/>
  <c r="R2497" i="3"/>
  <c r="R2498" i="3"/>
  <c r="R2499" i="3"/>
  <c r="R2500" i="3"/>
  <c r="R2501" i="3"/>
  <c r="R2502" i="3"/>
  <c r="R2503" i="3"/>
  <c r="R2504" i="3"/>
  <c r="R2505" i="3"/>
  <c r="R2506" i="3"/>
  <c r="R2507" i="3"/>
  <c r="R2508" i="3"/>
  <c r="R2509" i="3"/>
  <c r="R2510" i="3"/>
  <c r="R2511" i="3"/>
  <c r="R2512" i="3"/>
  <c r="R2513" i="3"/>
  <c r="R2514" i="3"/>
  <c r="R2515" i="3"/>
  <c r="R2516" i="3"/>
  <c r="R2517" i="3"/>
  <c r="R2518" i="3"/>
  <c r="R2519" i="3"/>
  <c r="R2520" i="3"/>
  <c r="R2521" i="3"/>
  <c r="R2522" i="3"/>
  <c r="R2523" i="3"/>
  <c r="R2524" i="3"/>
  <c r="R2525" i="3"/>
  <c r="R2526" i="3"/>
  <c r="R2527" i="3"/>
  <c r="R2528" i="3"/>
  <c r="R2529" i="3"/>
  <c r="R2530" i="3"/>
  <c r="R2531" i="3"/>
  <c r="R2532" i="3"/>
  <c r="R2533" i="3"/>
  <c r="R2534" i="3"/>
  <c r="R2535" i="3"/>
  <c r="R2536" i="3"/>
  <c r="R2537" i="3"/>
  <c r="R2538" i="3"/>
  <c r="R2539" i="3"/>
  <c r="R2540" i="3"/>
  <c r="R2541" i="3"/>
  <c r="R2542" i="3"/>
  <c r="R2543" i="3"/>
  <c r="R2544" i="3"/>
  <c r="R2545" i="3"/>
  <c r="R2546" i="3"/>
  <c r="R2547" i="3"/>
  <c r="R2548" i="3"/>
  <c r="R2549" i="3"/>
  <c r="R2550" i="3"/>
  <c r="R2551" i="3"/>
  <c r="R2552" i="3"/>
  <c r="R2553" i="3"/>
  <c r="R2554" i="3"/>
  <c r="R2555" i="3"/>
  <c r="R2556" i="3"/>
  <c r="R2557" i="3"/>
  <c r="R2558" i="3"/>
  <c r="R2559" i="3"/>
  <c r="R2560" i="3"/>
  <c r="R2561" i="3"/>
  <c r="R2562" i="3"/>
  <c r="R2563" i="3"/>
  <c r="R2564" i="3"/>
  <c r="R2565" i="3"/>
  <c r="R2566" i="3"/>
  <c r="R2567" i="3"/>
  <c r="R2568" i="3"/>
  <c r="R2569" i="3"/>
  <c r="R2570" i="3"/>
  <c r="R2571" i="3"/>
  <c r="R2572" i="3"/>
  <c r="R2573" i="3"/>
  <c r="R2574" i="3"/>
  <c r="R2575" i="3"/>
  <c r="R2576" i="3"/>
  <c r="R2577" i="3"/>
  <c r="R2578" i="3"/>
  <c r="R2579" i="3"/>
  <c r="R2580" i="3"/>
  <c r="R2581" i="3"/>
  <c r="R2582" i="3"/>
  <c r="R2583" i="3"/>
  <c r="R2584" i="3"/>
  <c r="R2585" i="3"/>
  <c r="R2586" i="3"/>
  <c r="R2587" i="3"/>
  <c r="R2588" i="3"/>
  <c r="R2589" i="3"/>
  <c r="R2590" i="3"/>
  <c r="R2591" i="3"/>
  <c r="R2592" i="3"/>
  <c r="R2593" i="3"/>
  <c r="R2594" i="3"/>
  <c r="R2595" i="3"/>
  <c r="R2596" i="3"/>
  <c r="R2597" i="3"/>
  <c r="R2598" i="3"/>
  <c r="R2599" i="3"/>
  <c r="R2600" i="3"/>
  <c r="R2601" i="3"/>
  <c r="R2602" i="3"/>
  <c r="R2603" i="3"/>
  <c r="R2604" i="3"/>
  <c r="R2605" i="3"/>
  <c r="R2606" i="3"/>
  <c r="R2607" i="3"/>
  <c r="R2608" i="3"/>
  <c r="R2609" i="3"/>
  <c r="R2610" i="3"/>
  <c r="R2611" i="3"/>
  <c r="R2612" i="3"/>
  <c r="R2613" i="3"/>
  <c r="R2614" i="3"/>
  <c r="R2615" i="3"/>
  <c r="R2616" i="3"/>
  <c r="R2617" i="3"/>
  <c r="R2618" i="3"/>
  <c r="R2619" i="3"/>
  <c r="R2620" i="3"/>
  <c r="R2621" i="3"/>
  <c r="R2622" i="3"/>
  <c r="R2623" i="3"/>
  <c r="R2624" i="3"/>
  <c r="R2625" i="3"/>
  <c r="R2626" i="3"/>
  <c r="R2627" i="3"/>
  <c r="R2628" i="3"/>
  <c r="R2629" i="3"/>
  <c r="R2630" i="3"/>
  <c r="R2631" i="3"/>
  <c r="R2632" i="3"/>
  <c r="R2633" i="3"/>
  <c r="R2634" i="3"/>
  <c r="R2635" i="3"/>
  <c r="R2636" i="3"/>
  <c r="R2637" i="3"/>
  <c r="R2638" i="3"/>
  <c r="R2639" i="3"/>
  <c r="R2640" i="3"/>
  <c r="R2641" i="3"/>
  <c r="R2642" i="3"/>
  <c r="R2643" i="3"/>
  <c r="R2644" i="3"/>
  <c r="R2645" i="3"/>
  <c r="R2646" i="3"/>
  <c r="R2647" i="3"/>
  <c r="R2648" i="3"/>
  <c r="R2649" i="3"/>
  <c r="R2650" i="3"/>
  <c r="R2651" i="3"/>
  <c r="R2652" i="3"/>
  <c r="R2653" i="3"/>
  <c r="R2654" i="3"/>
  <c r="R2655" i="3"/>
  <c r="R2656" i="3"/>
  <c r="R2657" i="3"/>
  <c r="R2658" i="3"/>
  <c r="R2659" i="3"/>
  <c r="R2660" i="3"/>
  <c r="R2661" i="3"/>
  <c r="R2662" i="3"/>
  <c r="R2663" i="3"/>
  <c r="R2664" i="3"/>
  <c r="R2665" i="3"/>
  <c r="R2666" i="3"/>
  <c r="R2667" i="3"/>
  <c r="R2668" i="3"/>
  <c r="R2669" i="3"/>
  <c r="R2670" i="3"/>
  <c r="R2671" i="3"/>
  <c r="R2672" i="3"/>
  <c r="R2673" i="3"/>
  <c r="R2674" i="3"/>
  <c r="R2675" i="3"/>
  <c r="R2676" i="3"/>
  <c r="R2677" i="3"/>
  <c r="R2678" i="3"/>
  <c r="R2679" i="3"/>
  <c r="R2680" i="3"/>
  <c r="R2681" i="3"/>
  <c r="R2682" i="3"/>
  <c r="R2683" i="3"/>
  <c r="R2684" i="3"/>
  <c r="R2685" i="3"/>
  <c r="R2686" i="3"/>
  <c r="R2687" i="3"/>
  <c r="R2688" i="3"/>
  <c r="R2689" i="3"/>
  <c r="R2690" i="3"/>
  <c r="R2691" i="3"/>
  <c r="R2692" i="3"/>
  <c r="R2693" i="3"/>
  <c r="R2694" i="3"/>
  <c r="R2695" i="3"/>
  <c r="R2696" i="3"/>
  <c r="R2697" i="3"/>
  <c r="R2698" i="3"/>
  <c r="R2699" i="3"/>
  <c r="R2700" i="3"/>
  <c r="R2701" i="3"/>
  <c r="R2702" i="3"/>
  <c r="R2703" i="3"/>
  <c r="R2704" i="3"/>
  <c r="R2705" i="3"/>
  <c r="R2706" i="3"/>
  <c r="R2707" i="3"/>
  <c r="R2708" i="3"/>
  <c r="R2709" i="3"/>
  <c r="R2710" i="3"/>
  <c r="R2711" i="3"/>
  <c r="R2712" i="3"/>
  <c r="R2713" i="3"/>
  <c r="R2714" i="3"/>
  <c r="R2715" i="3"/>
  <c r="R2716" i="3"/>
  <c r="R2717" i="3"/>
  <c r="R2718" i="3"/>
  <c r="R2719" i="3"/>
  <c r="R2720" i="3"/>
  <c r="R2721" i="3"/>
  <c r="R2722" i="3"/>
  <c r="R2723" i="3"/>
  <c r="R2724" i="3"/>
  <c r="R2725" i="3"/>
  <c r="R2726" i="3"/>
  <c r="R2727" i="3"/>
  <c r="R2728" i="3"/>
  <c r="R2729" i="3"/>
  <c r="R2730" i="3"/>
  <c r="R2731" i="3"/>
  <c r="R2732" i="3"/>
  <c r="R2733" i="3"/>
  <c r="R2734" i="3"/>
  <c r="R2735" i="3"/>
  <c r="R2736" i="3"/>
  <c r="R2737" i="3"/>
  <c r="R2738" i="3"/>
  <c r="R2739" i="3"/>
  <c r="R2740" i="3"/>
  <c r="R2741" i="3"/>
  <c r="R2742" i="3"/>
  <c r="R2743" i="3"/>
  <c r="R2744" i="3"/>
  <c r="R2745" i="3"/>
  <c r="R2746" i="3"/>
  <c r="R2747" i="3"/>
  <c r="R2748" i="3"/>
  <c r="R2749" i="3"/>
  <c r="R2750" i="3"/>
  <c r="R2751" i="3"/>
  <c r="R2752" i="3"/>
  <c r="R2753" i="3"/>
  <c r="R2754" i="3"/>
  <c r="R2755" i="3"/>
  <c r="R2756" i="3"/>
  <c r="R2757" i="3"/>
  <c r="R2758" i="3"/>
  <c r="R2759" i="3"/>
  <c r="R2760" i="3"/>
  <c r="R2761" i="3"/>
  <c r="R2762" i="3"/>
  <c r="R2763" i="3"/>
  <c r="R2764" i="3"/>
  <c r="R2765" i="3"/>
  <c r="R2766" i="3"/>
  <c r="R2767" i="3"/>
  <c r="R2768" i="3"/>
  <c r="R2769" i="3"/>
  <c r="R2770" i="3"/>
  <c r="R2771" i="3"/>
  <c r="R2772" i="3"/>
  <c r="R2773" i="3"/>
  <c r="R2774" i="3"/>
  <c r="R2775" i="3"/>
  <c r="R2776" i="3"/>
  <c r="R2777" i="3"/>
  <c r="R2778" i="3"/>
  <c r="R2779" i="3"/>
  <c r="R2780" i="3"/>
  <c r="R2781" i="3"/>
  <c r="R2782" i="3"/>
  <c r="R2783" i="3"/>
  <c r="R2784" i="3"/>
  <c r="R2785" i="3"/>
  <c r="R2786" i="3"/>
  <c r="R2787" i="3"/>
  <c r="R2788" i="3"/>
  <c r="R2789" i="3"/>
  <c r="R2790" i="3"/>
  <c r="R2791" i="3"/>
  <c r="R2792" i="3"/>
  <c r="R2793" i="3"/>
  <c r="R2794" i="3"/>
  <c r="R2795" i="3"/>
  <c r="R2796" i="3"/>
  <c r="R2797" i="3"/>
  <c r="R2798" i="3"/>
  <c r="R2799" i="3"/>
  <c r="R2800" i="3"/>
  <c r="R2801" i="3"/>
  <c r="R2802" i="3"/>
  <c r="R2803" i="3"/>
  <c r="R2804" i="3"/>
  <c r="R2805" i="3"/>
  <c r="R2806" i="3"/>
  <c r="R2807" i="3"/>
  <c r="R2808" i="3"/>
  <c r="R2809" i="3"/>
  <c r="R2810" i="3"/>
  <c r="R2811" i="3"/>
  <c r="R2812" i="3"/>
  <c r="R2813" i="3"/>
  <c r="R2814" i="3"/>
  <c r="R2815" i="3"/>
  <c r="R2816" i="3"/>
  <c r="R2817" i="3"/>
  <c r="R2818" i="3"/>
  <c r="R2819" i="3"/>
  <c r="R2820" i="3"/>
  <c r="R2821" i="3"/>
  <c r="R2822" i="3"/>
  <c r="R2823" i="3"/>
  <c r="R2824" i="3"/>
  <c r="R2825" i="3"/>
  <c r="R2826" i="3"/>
  <c r="R2827" i="3"/>
  <c r="R2828" i="3"/>
  <c r="R2829" i="3"/>
  <c r="R2830" i="3"/>
  <c r="R2831" i="3"/>
  <c r="R2832" i="3"/>
  <c r="R2833" i="3"/>
  <c r="R2834" i="3"/>
  <c r="R2835" i="3"/>
  <c r="R2836" i="3"/>
  <c r="R2837" i="3"/>
  <c r="R2838" i="3"/>
  <c r="R2839" i="3"/>
  <c r="R2840" i="3"/>
  <c r="R2841" i="3"/>
  <c r="R2842" i="3"/>
  <c r="R2843" i="3"/>
  <c r="R2844" i="3"/>
  <c r="R2845" i="3"/>
  <c r="R2846" i="3"/>
  <c r="R2847" i="3"/>
  <c r="R2848" i="3"/>
  <c r="R2849" i="3"/>
  <c r="R2850" i="3"/>
  <c r="R2851" i="3"/>
  <c r="R2852" i="3"/>
  <c r="R2853" i="3"/>
  <c r="R2854" i="3"/>
  <c r="R2855" i="3"/>
  <c r="R2856" i="3"/>
  <c r="R2857" i="3"/>
  <c r="R2858" i="3"/>
  <c r="R2859" i="3"/>
  <c r="R2860" i="3"/>
  <c r="R2861" i="3"/>
  <c r="R2862" i="3"/>
  <c r="R2863" i="3"/>
  <c r="R2864" i="3"/>
  <c r="R2865" i="3"/>
  <c r="R2866" i="3"/>
  <c r="R2867" i="3"/>
  <c r="R2868" i="3"/>
  <c r="R2869" i="3"/>
  <c r="R2870" i="3"/>
  <c r="R2871" i="3"/>
  <c r="R2872" i="3"/>
  <c r="R2873" i="3"/>
  <c r="R2874" i="3"/>
  <c r="R2875" i="3"/>
  <c r="R2876" i="3"/>
  <c r="R2877" i="3"/>
  <c r="R2878" i="3"/>
  <c r="R2879" i="3"/>
  <c r="R2880" i="3"/>
  <c r="R2881" i="3"/>
  <c r="R2882" i="3"/>
  <c r="R2883" i="3"/>
  <c r="R2884" i="3"/>
  <c r="R2885" i="3"/>
  <c r="R2886" i="3"/>
  <c r="R2887" i="3"/>
  <c r="R2888" i="3"/>
  <c r="R2889" i="3"/>
  <c r="R2890" i="3"/>
  <c r="R2891" i="3"/>
  <c r="R2892" i="3"/>
  <c r="R2893" i="3"/>
  <c r="R2894" i="3"/>
  <c r="R2895" i="3"/>
  <c r="R2896" i="3"/>
  <c r="R2897" i="3"/>
  <c r="R2898" i="3"/>
  <c r="R2899" i="3"/>
  <c r="R2900" i="3"/>
  <c r="R2901" i="3"/>
  <c r="R2902" i="3"/>
  <c r="R2903" i="3"/>
  <c r="R2904" i="3"/>
  <c r="R2905" i="3"/>
  <c r="R2906" i="3"/>
  <c r="R2907" i="3"/>
  <c r="R2908" i="3"/>
  <c r="R2909" i="3"/>
  <c r="R2910" i="3"/>
  <c r="R2911" i="3"/>
  <c r="R2912" i="3"/>
  <c r="R2913" i="3"/>
  <c r="R2914" i="3"/>
  <c r="R2915" i="3"/>
  <c r="R2916" i="3"/>
  <c r="R2917" i="3"/>
  <c r="R2918" i="3"/>
  <c r="R2919" i="3"/>
  <c r="R2920" i="3"/>
  <c r="R2921" i="3"/>
  <c r="R2922" i="3"/>
  <c r="R2923" i="3"/>
  <c r="R2924" i="3"/>
  <c r="R2925" i="3"/>
  <c r="R2926" i="3"/>
  <c r="R2927" i="3"/>
  <c r="R2928" i="3"/>
  <c r="R2929" i="3"/>
  <c r="R2930" i="3"/>
  <c r="R2931" i="3"/>
  <c r="R2932" i="3"/>
  <c r="R2933" i="3"/>
  <c r="R2934" i="3"/>
  <c r="R2935" i="3"/>
  <c r="R2936" i="3"/>
  <c r="R2937" i="3"/>
  <c r="R2938" i="3"/>
  <c r="R2939" i="3"/>
  <c r="R2940" i="3"/>
  <c r="R2941" i="3"/>
  <c r="R2942" i="3"/>
  <c r="R2943" i="3"/>
  <c r="R2944" i="3"/>
  <c r="R2945" i="3"/>
  <c r="R2946" i="3"/>
  <c r="R2947" i="3"/>
  <c r="R2948" i="3"/>
  <c r="R2949" i="3"/>
  <c r="R2950" i="3"/>
  <c r="R2951" i="3"/>
  <c r="R2952" i="3"/>
  <c r="R2953" i="3"/>
  <c r="R2954" i="3"/>
  <c r="R2955" i="3"/>
  <c r="R2956" i="3"/>
  <c r="R2957" i="3"/>
  <c r="R2958" i="3"/>
  <c r="R2959" i="3"/>
  <c r="R2960" i="3"/>
  <c r="R2961" i="3"/>
  <c r="R2962" i="3"/>
  <c r="R2963" i="3"/>
  <c r="R2964" i="3"/>
  <c r="R2965" i="3"/>
  <c r="R2966" i="3"/>
  <c r="R2967" i="3"/>
  <c r="R2968" i="3"/>
  <c r="R2969" i="3"/>
  <c r="R2970" i="3"/>
  <c r="R2971" i="3"/>
  <c r="R2972" i="3"/>
  <c r="R2973" i="3"/>
  <c r="R2974" i="3"/>
  <c r="R2975" i="3"/>
  <c r="R2976" i="3"/>
  <c r="R2977" i="3"/>
  <c r="R2978" i="3"/>
  <c r="R2979" i="3"/>
  <c r="R2980" i="3"/>
  <c r="R2981" i="3"/>
  <c r="R2982" i="3"/>
  <c r="R2983" i="3"/>
  <c r="R2984" i="3"/>
  <c r="R2985" i="3"/>
  <c r="R2986" i="3"/>
  <c r="R2987" i="3"/>
  <c r="R2988" i="3"/>
  <c r="R2989" i="3"/>
  <c r="R2990" i="3"/>
  <c r="R2991" i="3"/>
  <c r="R2992" i="3"/>
  <c r="R2993" i="3"/>
  <c r="R2994" i="3"/>
  <c r="R2995" i="3"/>
  <c r="R2996" i="3"/>
  <c r="R2997" i="3"/>
  <c r="R2998" i="3"/>
  <c r="R2999" i="3"/>
  <c r="R3000" i="3"/>
  <c r="R3001" i="3"/>
  <c r="R3002" i="3"/>
  <c r="R3003" i="3"/>
  <c r="R3004" i="3"/>
  <c r="R3005" i="3"/>
  <c r="R3006" i="3"/>
  <c r="R3007" i="3"/>
  <c r="R3008" i="3"/>
  <c r="R3009" i="3"/>
  <c r="R3010" i="3"/>
  <c r="R3011" i="3"/>
  <c r="R3012" i="3"/>
  <c r="R3013" i="3"/>
  <c r="R3014" i="3"/>
  <c r="R3015" i="3"/>
  <c r="R3016" i="3"/>
  <c r="R3017" i="3"/>
  <c r="R3018" i="3"/>
  <c r="R3019" i="3"/>
  <c r="R3020" i="3"/>
  <c r="R3021" i="3"/>
  <c r="R3022" i="3"/>
  <c r="R3023" i="3"/>
  <c r="R3024" i="3"/>
  <c r="R3025" i="3"/>
  <c r="R3026" i="3"/>
  <c r="R3027" i="3"/>
  <c r="R3028" i="3"/>
  <c r="R3029" i="3"/>
  <c r="R3030" i="3"/>
  <c r="R3031" i="3"/>
  <c r="R3032" i="3"/>
  <c r="R3033" i="3"/>
  <c r="R3034" i="3"/>
  <c r="R3035" i="3"/>
  <c r="R3036" i="3"/>
  <c r="R3037" i="3"/>
  <c r="R3038" i="3"/>
  <c r="R3039" i="3"/>
  <c r="R3040" i="3"/>
  <c r="R3041" i="3"/>
  <c r="R3042" i="3"/>
  <c r="R3043" i="3"/>
  <c r="R3044" i="3"/>
  <c r="R3045" i="3"/>
  <c r="R3046" i="3"/>
  <c r="R3047" i="3"/>
  <c r="R3048" i="3"/>
  <c r="R3049" i="3"/>
  <c r="R3050" i="3"/>
  <c r="R3051" i="3"/>
  <c r="R3052" i="3"/>
  <c r="R3053" i="3"/>
  <c r="R3054" i="3"/>
  <c r="R3055" i="3"/>
  <c r="R3056" i="3"/>
  <c r="R3057" i="3"/>
  <c r="R3058" i="3"/>
  <c r="R3059" i="3"/>
  <c r="R3060" i="3"/>
  <c r="R3061" i="3"/>
  <c r="R3062" i="3"/>
  <c r="R3063" i="3"/>
  <c r="R3064" i="3"/>
  <c r="R3065" i="3"/>
  <c r="R3066" i="3"/>
  <c r="R3067" i="3"/>
  <c r="R3068" i="3"/>
  <c r="R3069" i="3"/>
  <c r="R3070" i="3"/>
  <c r="R3071" i="3"/>
  <c r="R3072" i="3"/>
  <c r="R3073" i="3"/>
  <c r="R3074" i="3"/>
  <c r="R3075" i="3"/>
  <c r="R3076" i="3"/>
  <c r="R3077" i="3"/>
  <c r="R3078" i="3"/>
  <c r="R3079" i="3"/>
  <c r="R3080" i="3"/>
  <c r="R3081" i="3"/>
  <c r="R3082" i="3"/>
  <c r="R3083" i="3"/>
  <c r="R3084" i="3"/>
  <c r="R3085" i="3"/>
  <c r="R3086" i="3"/>
  <c r="R3087" i="3"/>
  <c r="R3088" i="3"/>
  <c r="R3089" i="3"/>
  <c r="R3090" i="3"/>
  <c r="R3091" i="3"/>
  <c r="R3092" i="3"/>
  <c r="R3093" i="3"/>
  <c r="R3094" i="3"/>
  <c r="R3095" i="3"/>
  <c r="R3096" i="3"/>
  <c r="R3097" i="3"/>
  <c r="R3098" i="3"/>
  <c r="R3099" i="3"/>
  <c r="R3100" i="3"/>
  <c r="R3101" i="3"/>
  <c r="R3102" i="3"/>
  <c r="R3103" i="3"/>
  <c r="R3104" i="3"/>
  <c r="R3105" i="3"/>
  <c r="R3106" i="3"/>
  <c r="R3107" i="3"/>
  <c r="R3108" i="3"/>
  <c r="R3109" i="3"/>
  <c r="R3110" i="3"/>
  <c r="R3111" i="3"/>
  <c r="R3112" i="3"/>
  <c r="R3113" i="3"/>
  <c r="R3114" i="3"/>
  <c r="R3115" i="3"/>
  <c r="R3116" i="3"/>
  <c r="R3117" i="3"/>
  <c r="R3118" i="3"/>
  <c r="R3119" i="3"/>
  <c r="R3120" i="3"/>
  <c r="R3121" i="3"/>
  <c r="R3122" i="3"/>
  <c r="R3123" i="3"/>
  <c r="R3124" i="3"/>
  <c r="R3125" i="3"/>
  <c r="R3126" i="3"/>
  <c r="R3127" i="3"/>
  <c r="R3128" i="3"/>
  <c r="R3129" i="3"/>
  <c r="R3130" i="3"/>
  <c r="R3131" i="3"/>
  <c r="R3132" i="3"/>
  <c r="R3133" i="3"/>
  <c r="R3134" i="3"/>
  <c r="R3135" i="3"/>
  <c r="R3136" i="3"/>
  <c r="R3137" i="3"/>
  <c r="R3138" i="3"/>
  <c r="R3139" i="3"/>
  <c r="R3140" i="3"/>
  <c r="R3141" i="3"/>
  <c r="R3142" i="3"/>
  <c r="R3143" i="3"/>
  <c r="R3144" i="3"/>
  <c r="R3145" i="3"/>
  <c r="R3146" i="3"/>
  <c r="R3147" i="3"/>
  <c r="R3148" i="3"/>
  <c r="R3149" i="3"/>
  <c r="R3150" i="3"/>
  <c r="R3151" i="3"/>
  <c r="R3152" i="3"/>
  <c r="R3153" i="3"/>
  <c r="R3154" i="3"/>
  <c r="R3155" i="3"/>
  <c r="R3156" i="3"/>
  <c r="R3157" i="3"/>
  <c r="R3158" i="3"/>
  <c r="R3159" i="3"/>
  <c r="R3160" i="3"/>
  <c r="R3161" i="3"/>
  <c r="R3162" i="3"/>
  <c r="R3163" i="3"/>
  <c r="R3164" i="3"/>
  <c r="R3165" i="3"/>
  <c r="R3166" i="3"/>
  <c r="R3167" i="3"/>
  <c r="R3168" i="3"/>
  <c r="R3169" i="3"/>
  <c r="R3170" i="3"/>
  <c r="R3171" i="3"/>
  <c r="R3172" i="3"/>
  <c r="R3173" i="3"/>
  <c r="R3174" i="3"/>
  <c r="R3175" i="3"/>
  <c r="R3176" i="3"/>
  <c r="R3177" i="3"/>
  <c r="R3178" i="3"/>
  <c r="R3179" i="3"/>
  <c r="R3180" i="3"/>
  <c r="R3181" i="3"/>
  <c r="R3182" i="3"/>
  <c r="R3183" i="3"/>
  <c r="R3184" i="3"/>
  <c r="R3185" i="3"/>
  <c r="R3186" i="3"/>
  <c r="R3187" i="3"/>
  <c r="R3188" i="3"/>
  <c r="R3189" i="3"/>
  <c r="R3190" i="3"/>
  <c r="R3191" i="3"/>
  <c r="R3192" i="3"/>
  <c r="R3193" i="3"/>
  <c r="R3194" i="3"/>
  <c r="R3195" i="3"/>
  <c r="R3196" i="3"/>
  <c r="R3197" i="3"/>
  <c r="R3198" i="3"/>
  <c r="R3199" i="3"/>
  <c r="R3200" i="3"/>
  <c r="R3201" i="3"/>
  <c r="R3202" i="3"/>
  <c r="R3203" i="3"/>
  <c r="R3204" i="3"/>
  <c r="R3205" i="3"/>
  <c r="R3206" i="3"/>
  <c r="R3207" i="3"/>
  <c r="R3208" i="3"/>
  <c r="R3209" i="3"/>
  <c r="R3210" i="3"/>
  <c r="R3211" i="3"/>
  <c r="R3212" i="3"/>
  <c r="R3213" i="3"/>
  <c r="R3214" i="3"/>
  <c r="R3215" i="3"/>
  <c r="R3216" i="3"/>
  <c r="R3217" i="3"/>
  <c r="R3218" i="3"/>
  <c r="R3219" i="3"/>
  <c r="R3220" i="3"/>
  <c r="R3221" i="3"/>
  <c r="R3222" i="3"/>
  <c r="R3223" i="3"/>
  <c r="R3224" i="3"/>
  <c r="R3225" i="3"/>
  <c r="R3226" i="3"/>
  <c r="R3227" i="3"/>
  <c r="R3228" i="3"/>
  <c r="R3229" i="3"/>
  <c r="R3230" i="3"/>
  <c r="R3231" i="3"/>
  <c r="R3232" i="3"/>
  <c r="R3233" i="3"/>
  <c r="R3234" i="3"/>
  <c r="R3235" i="3"/>
  <c r="R3236" i="3"/>
  <c r="R3237" i="3"/>
  <c r="R3238" i="3"/>
  <c r="R3239" i="3"/>
  <c r="R3240" i="3"/>
  <c r="R3241" i="3"/>
  <c r="R3242" i="3"/>
  <c r="R3243" i="3"/>
  <c r="R3244" i="3"/>
  <c r="R3245" i="3"/>
  <c r="R3246" i="3"/>
  <c r="R3247" i="3"/>
  <c r="R3248" i="3"/>
  <c r="R3249" i="3"/>
  <c r="R3250" i="3"/>
  <c r="R3251" i="3"/>
  <c r="R3252" i="3"/>
  <c r="R3253" i="3"/>
  <c r="R3254" i="3"/>
  <c r="R3255" i="3"/>
  <c r="R3256" i="3"/>
  <c r="R3257" i="3"/>
  <c r="R3258" i="3"/>
  <c r="R3259" i="3"/>
  <c r="R3260" i="3"/>
  <c r="R3261" i="3"/>
  <c r="R3262" i="3"/>
  <c r="R3263" i="3"/>
  <c r="R3264" i="3"/>
  <c r="R3265" i="3"/>
  <c r="R3266" i="3"/>
  <c r="R3267" i="3"/>
  <c r="R3268" i="3"/>
  <c r="R3269" i="3"/>
  <c r="R3270" i="3"/>
  <c r="R3271" i="3"/>
  <c r="R3272" i="3"/>
  <c r="R3273" i="3"/>
  <c r="R3274" i="3"/>
  <c r="R3275" i="3"/>
  <c r="R3276" i="3"/>
  <c r="R3277" i="3"/>
  <c r="R3278" i="3"/>
  <c r="R3279" i="3"/>
  <c r="R3280" i="3"/>
  <c r="R3281" i="3"/>
  <c r="R3282" i="3"/>
  <c r="R3283" i="3"/>
  <c r="R3284" i="3"/>
  <c r="R3285" i="3"/>
  <c r="R3286" i="3"/>
  <c r="R3287" i="3"/>
  <c r="R3288" i="3"/>
  <c r="R3289" i="3"/>
  <c r="R3290" i="3"/>
  <c r="R3291" i="3"/>
  <c r="R3292" i="3"/>
  <c r="R3293" i="3"/>
  <c r="R3294" i="3"/>
  <c r="R3295" i="3"/>
  <c r="R3296" i="3"/>
  <c r="R3297" i="3"/>
  <c r="R3298" i="3"/>
  <c r="R3299" i="3"/>
  <c r="R3300" i="3"/>
  <c r="R3301" i="3"/>
  <c r="R3302" i="3"/>
  <c r="R3303" i="3"/>
  <c r="R3304" i="3"/>
  <c r="R3305" i="3"/>
  <c r="R3306" i="3"/>
  <c r="R3307" i="3"/>
  <c r="R3308" i="3"/>
  <c r="R3309" i="3"/>
  <c r="R3310" i="3"/>
  <c r="R3311" i="3"/>
  <c r="R3312" i="3"/>
  <c r="R3313" i="3"/>
  <c r="R3314" i="3"/>
  <c r="R3315" i="3"/>
  <c r="R3316" i="3"/>
  <c r="R3317" i="3"/>
  <c r="R3318" i="3"/>
  <c r="R3319" i="3"/>
  <c r="R3320" i="3"/>
  <c r="R3321" i="3"/>
  <c r="R3322" i="3"/>
  <c r="R3323" i="3"/>
  <c r="R3324" i="3"/>
  <c r="R3325" i="3"/>
  <c r="R3326" i="3"/>
  <c r="R3327" i="3"/>
  <c r="R3328" i="3"/>
  <c r="R3329" i="3"/>
  <c r="R3330" i="3"/>
  <c r="R3331" i="3"/>
  <c r="R3332" i="3"/>
  <c r="R3333" i="3"/>
  <c r="R3334" i="3"/>
  <c r="R3335" i="3"/>
  <c r="R3336" i="3"/>
  <c r="R3337" i="3"/>
  <c r="R3338" i="3"/>
  <c r="R3339" i="3"/>
  <c r="R3340" i="3"/>
  <c r="R3341" i="3"/>
  <c r="R3342" i="3"/>
  <c r="R3343" i="3"/>
  <c r="R3344" i="3"/>
  <c r="R3345" i="3"/>
  <c r="R3346" i="3"/>
  <c r="R3347" i="3"/>
  <c r="R3348" i="3"/>
  <c r="R3349" i="3"/>
  <c r="R3350" i="3"/>
  <c r="R3351" i="3"/>
  <c r="R3352" i="3"/>
  <c r="R3353" i="3"/>
  <c r="R3354" i="3"/>
  <c r="R3355" i="3"/>
  <c r="R3356" i="3"/>
  <c r="R3357" i="3"/>
  <c r="R3358" i="3"/>
  <c r="R3359" i="3"/>
  <c r="R3360" i="3"/>
  <c r="R3361" i="3"/>
  <c r="R3362" i="3"/>
  <c r="R3363" i="3"/>
  <c r="R3364" i="3"/>
  <c r="R3365" i="3"/>
  <c r="R3366" i="3"/>
  <c r="R3367" i="3"/>
  <c r="R3368" i="3"/>
  <c r="R3369" i="3"/>
  <c r="R3370" i="3"/>
  <c r="R3371" i="3"/>
  <c r="R3372" i="3"/>
  <c r="R3373" i="3"/>
  <c r="R3374" i="3"/>
  <c r="R3375" i="3"/>
  <c r="R3376" i="3"/>
  <c r="R3377" i="3"/>
  <c r="R3378" i="3"/>
  <c r="R3379" i="3"/>
  <c r="R3380" i="3"/>
  <c r="R3381" i="3"/>
  <c r="R3382" i="3"/>
  <c r="R3383" i="3"/>
  <c r="R3384" i="3"/>
  <c r="R3385" i="3"/>
  <c r="R3386" i="3"/>
  <c r="R3387" i="3"/>
  <c r="R3388" i="3"/>
  <c r="R3389" i="3"/>
  <c r="R3390" i="3"/>
  <c r="R3391" i="3"/>
  <c r="R3392" i="3"/>
  <c r="R3393" i="3"/>
  <c r="R3394" i="3"/>
  <c r="R3395" i="3"/>
  <c r="R3396" i="3"/>
  <c r="R3397" i="3"/>
  <c r="R3398" i="3"/>
  <c r="R3399" i="3"/>
  <c r="R3400" i="3"/>
  <c r="R3401" i="3"/>
  <c r="R3402" i="3"/>
  <c r="R3403" i="3"/>
  <c r="R3404" i="3"/>
  <c r="R3405" i="3"/>
  <c r="R3406" i="3"/>
  <c r="R3407" i="3"/>
  <c r="R3408" i="3"/>
  <c r="R3409" i="3"/>
  <c r="R3410" i="3"/>
  <c r="R3411" i="3"/>
  <c r="R3412" i="3"/>
  <c r="R3413" i="3"/>
  <c r="R3414" i="3"/>
  <c r="R3415" i="3"/>
  <c r="R3416" i="3"/>
  <c r="R3417" i="3"/>
  <c r="R3418" i="3"/>
  <c r="R3419" i="3"/>
  <c r="R3420" i="3"/>
  <c r="R3421" i="3"/>
  <c r="R3422" i="3"/>
  <c r="R3423" i="3"/>
  <c r="R3424" i="3"/>
  <c r="R3425" i="3"/>
  <c r="R3426" i="3"/>
  <c r="R3427" i="3"/>
  <c r="R3428" i="3"/>
  <c r="R3429" i="3"/>
  <c r="R3430" i="3"/>
  <c r="R3431" i="3"/>
  <c r="R3432" i="3"/>
  <c r="R3433" i="3"/>
  <c r="R3434" i="3"/>
  <c r="R3435" i="3"/>
  <c r="R3436" i="3"/>
  <c r="R3437" i="3"/>
  <c r="R3438" i="3"/>
  <c r="R3439" i="3"/>
  <c r="R3440" i="3"/>
  <c r="R3441" i="3"/>
  <c r="R3442" i="3"/>
  <c r="R3443" i="3"/>
  <c r="R3444" i="3"/>
  <c r="R3445" i="3"/>
  <c r="R3446" i="3"/>
  <c r="R3447" i="3"/>
  <c r="R3448" i="3"/>
  <c r="R3449" i="3"/>
  <c r="R3450" i="3"/>
  <c r="R3451" i="3"/>
  <c r="R3452" i="3"/>
  <c r="R3453" i="3"/>
  <c r="R3454" i="3"/>
  <c r="R3455" i="3"/>
  <c r="R3456" i="3"/>
  <c r="R3457" i="3"/>
  <c r="R3458" i="3"/>
  <c r="R3459" i="3"/>
  <c r="R3460" i="3"/>
  <c r="R3461" i="3"/>
  <c r="R3462" i="3"/>
  <c r="R3463" i="3"/>
  <c r="R3464" i="3"/>
  <c r="R3465" i="3"/>
  <c r="R3466" i="3"/>
  <c r="R3467" i="3"/>
  <c r="R3468" i="3"/>
  <c r="R3469" i="3"/>
  <c r="R3470" i="3"/>
  <c r="R3471" i="3"/>
  <c r="R3472" i="3"/>
  <c r="R3473" i="3"/>
  <c r="R3474" i="3"/>
  <c r="R3475" i="3"/>
  <c r="R3476" i="3"/>
  <c r="R3477" i="3"/>
  <c r="R3478" i="3"/>
  <c r="R3479" i="3"/>
  <c r="R3480" i="3"/>
  <c r="R3481" i="3"/>
  <c r="R3482" i="3"/>
  <c r="R3483" i="3"/>
  <c r="R3484" i="3"/>
  <c r="R3485" i="3"/>
  <c r="R3486" i="3"/>
  <c r="R3487" i="3"/>
  <c r="R3488" i="3"/>
  <c r="R3489" i="3"/>
  <c r="R3490" i="3"/>
  <c r="R3491" i="3"/>
  <c r="R3492" i="3"/>
  <c r="R3493" i="3"/>
  <c r="R3494" i="3"/>
  <c r="R3495" i="3"/>
  <c r="R3496" i="3"/>
  <c r="R3497" i="3"/>
  <c r="R3498" i="3"/>
  <c r="R3499" i="3"/>
  <c r="R3500" i="3"/>
  <c r="R3501" i="3"/>
  <c r="R3502" i="3"/>
  <c r="R3503" i="3"/>
  <c r="R3504" i="3"/>
  <c r="R3505" i="3"/>
  <c r="R3506" i="3"/>
  <c r="R3507" i="3"/>
  <c r="R3508" i="3"/>
  <c r="R3509" i="3"/>
  <c r="R3510" i="3"/>
  <c r="R3511" i="3"/>
  <c r="R3512" i="3"/>
  <c r="R3513" i="3"/>
  <c r="R3514" i="3"/>
  <c r="R3515" i="3"/>
  <c r="R3516" i="3"/>
  <c r="R3517" i="3"/>
  <c r="R3518" i="3"/>
  <c r="R3519" i="3"/>
  <c r="R3520" i="3"/>
  <c r="R3521" i="3"/>
  <c r="R3522" i="3"/>
  <c r="R3523" i="3"/>
  <c r="R3524" i="3"/>
  <c r="R3525" i="3"/>
  <c r="R3526" i="3"/>
  <c r="R3527" i="3"/>
  <c r="R3528" i="3"/>
  <c r="R3529" i="3"/>
  <c r="R3530" i="3"/>
  <c r="R3531" i="3"/>
  <c r="R3532" i="3"/>
  <c r="R3533" i="3"/>
  <c r="R3534" i="3"/>
  <c r="R3535" i="3"/>
  <c r="R3536" i="3"/>
  <c r="R3537" i="3"/>
  <c r="R3538" i="3"/>
  <c r="R3539" i="3"/>
  <c r="R3540" i="3"/>
  <c r="R3541" i="3"/>
  <c r="R3542" i="3"/>
  <c r="R3543" i="3"/>
  <c r="R3544" i="3"/>
  <c r="R3545" i="3"/>
  <c r="R3546" i="3"/>
  <c r="R3547" i="3"/>
  <c r="R3548" i="3"/>
  <c r="R3549" i="3"/>
  <c r="R3550" i="3"/>
  <c r="R3551" i="3"/>
  <c r="R3552" i="3"/>
  <c r="R3553" i="3"/>
  <c r="R3554" i="3"/>
  <c r="R3555" i="3"/>
  <c r="R3556" i="3"/>
  <c r="R3557" i="3"/>
  <c r="R3558" i="3"/>
  <c r="R3559" i="3"/>
  <c r="R3560" i="3"/>
  <c r="R3561" i="3"/>
  <c r="R3562" i="3"/>
  <c r="R3563" i="3"/>
  <c r="R3564" i="3"/>
  <c r="R3565" i="3"/>
  <c r="R3566" i="3"/>
  <c r="R3567" i="3"/>
  <c r="R3568" i="3"/>
  <c r="R3569" i="3"/>
  <c r="R3570" i="3"/>
  <c r="R3571" i="3"/>
  <c r="R3572" i="3"/>
  <c r="R3573" i="3"/>
  <c r="R3574" i="3"/>
  <c r="R3575" i="3"/>
  <c r="R3576" i="3"/>
  <c r="R3577" i="3"/>
  <c r="R3578" i="3"/>
  <c r="R3579" i="3"/>
  <c r="R3580" i="3"/>
  <c r="R3581" i="3"/>
  <c r="R3582" i="3"/>
  <c r="R3583" i="3"/>
  <c r="R3584" i="3"/>
  <c r="R3585" i="3"/>
  <c r="R3586" i="3"/>
  <c r="R3587" i="3"/>
  <c r="R3588" i="3"/>
  <c r="R3589" i="3"/>
  <c r="R3590" i="3"/>
  <c r="R3591" i="3"/>
  <c r="R3592" i="3"/>
  <c r="R3593" i="3"/>
  <c r="R3594" i="3"/>
  <c r="R3595" i="3"/>
  <c r="R3596" i="3"/>
  <c r="R3597" i="3"/>
  <c r="R3598" i="3"/>
  <c r="R3599" i="3"/>
  <c r="R3600" i="3"/>
  <c r="R3601" i="3"/>
  <c r="R3602" i="3"/>
  <c r="R3603" i="3"/>
  <c r="R3604" i="3"/>
  <c r="R3605" i="3"/>
  <c r="R3606" i="3"/>
  <c r="R3607" i="3"/>
  <c r="R3608" i="3"/>
  <c r="R3609" i="3"/>
  <c r="R3610" i="3"/>
  <c r="R3611" i="3"/>
  <c r="R3612" i="3"/>
  <c r="R3613" i="3"/>
  <c r="R3614" i="3"/>
  <c r="R3615" i="3"/>
  <c r="R3616" i="3"/>
  <c r="R3617" i="3"/>
  <c r="R3618" i="3"/>
  <c r="R3619" i="3"/>
  <c r="R3620" i="3"/>
  <c r="R3621" i="3"/>
  <c r="R3622" i="3"/>
  <c r="R3623" i="3"/>
  <c r="R3624" i="3"/>
  <c r="R3625" i="3"/>
  <c r="R3626" i="3"/>
  <c r="R3627" i="3"/>
  <c r="R3628" i="3"/>
  <c r="R3629" i="3"/>
  <c r="R3630" i="3"/>
  <c r="R3631" i="3"/>
  <c r="R3632" i="3"/>
  <c r="R3633" i="3"/>
  <c r="R3634" i="3"/>
  <c r="R3635" i="3"/>
  <c r="R3636" i="3"/>
  <c r="R3637" i="3"/>
  <c r="R3638" i="3"/>
  <c r="R3639" i="3"/>
  <c r="R3640" i="3"/>
  <c r="R3641" i="3"/>
  <c r="R3642" i="3"/>
  <c r="R3643" i="3"/>
  <c r="R3644" i="3"/>
  <c r="R3645" i="3"/>
  <c r="R3646" i="3"/>
  <c r="R3647" i="3"/>
  <c r="R3648" i="3"/>
  <c r="R3649" i="3"/>
  <c r="R3650" i="3"/>
  <c r="R3651" i="3"/>
  <c r="R3652" i="3"/>
  <c r="R3653" i="3"/>
  <c r="R3654" i="3"/>
  <c r="R3655" i="3"/>
  <c r="R3656" i="3"/>
  <c r="R3657" i="3"/>
  <c r="R3658" i="3"/>
  <c r="R3659" i="3"/>
  <c r="R3660" i="3"/>
  <c r="R3661" i="3"/>
  <c r="R3662" i="3"/>
  <c r="R3663" i="3"/>
  <c r="R3664" i="3"/>
  <c r="R3665" i="3"/>
  <c r="R3666" i="3"/>
  <c r="R3667" i="3"/>
  <c r="R3668" i="3"/>
  <c r="R3669" i="3"/>
  <c r="R3670" i="3"/>
  <c r="R3671" i="3"/>
  <c r="R3672" i="3"/>
  <c r="R3673" i="3"/>
  <c r="R3674" i="3"/>
  <c r="R3675" i="3"/>
  <c r="R3676" i="3"/>
  <c r="R3677" i="3"/>
  <c r="R3678" i="3"/>
  <c r="R3679" i="3"/>
  <c r="R3680" i="3"/>
  <c r="R3681" i="3"/>
  <c r="R3682" i="3"/>
  <c r="R3683" i="3"/>
  <c r="R3684" i="3"/>
  <c r="R3685" i="3"/>
  <c r="R3686" i="3"/>
  <c r="R3687" i="3"/>
  <c r="R3688" i="3"/>
  <c r="R3689" i="3"/>
  <c r="R3690" i="3"/>
  <c r="R3691" i="3"/>
  <c r="R3692" i="3"/>
  <c r="R3693" i="3"/>
  <c r="R3694" i="3"/>
  <c r="R3695" i="3"/>
  <c r="R3696" i="3"/>
  <c r="R3697" i="3"/>
  <c r="R3698" i="3"/>
  <c r="R3699" i="3"/>
  <c r="R3700" i="3"/>
  <c r="R3701" i="3"/>
  <c r="R3702" i="3"/>
  <c r="R3703" i="3"/>
  <c r="R3704" i="3"/>
  <c r="R3705" i="3"/>
  <c r="R3706" i="3"/>
  <c r="R3707" i="3"/>
  <c r="R3708" i="3"/>
  <c r="R3709" i="3"/>
  <c r="R3710" i="3"/>
  <c r="R3711" i="3"/>
  <c r="R3712" i="3"/>
  <c r="R3713" i="3"/>
  <c r="R3714" i="3"/>
  <c r="R3715" i="3"/>
  <c r="R3716" i="3"/>
  <c r="R3717" i="3"/>
  <c r="R3718" i="3"/>
  <c r="R3719" i="3"/>
  <c r="R3720" i="3"/>
  <c r="R3721" i="3"/>
  <c r="R3722" i="3"/>
  <c r="R3723" i="3"/>
  <c r="R3724" i="3"/>
  <c r="R3725" i="3"/>
  <c r="R3726" i="3"/>
  <c r="R3727" i="3"/>
  <c r="R3728" i="3"/>
  <c r="R3729" i="3"/>
  <c r="R3730" i="3"/>
  <c r="R3731" i="3"/>
  <c r="R3732" i="3"/>
  <c r="R3733" i="3"/>
  <c r="R3734" i="3"/>
  <c r="R3735" i="3"/>
  <c r="R3736" i="3"/>
  <c r="R3737" i="3"/>
  <c r="R3738" i="3"/>
  <c r="R3739" i="3"/>
  <c r="R3740" i="3"/>
  <c r="R3741" i="3"/>
  <c r="R3742" i="3"/>
  <c r="R3743" i="3"/>
  <c r="R3744" i="3"/>
  <c r="R3745" i="3"/>
  <c r="R3746" i="3"/>
  <c r="R3747" i="3"/>
  <c r="R3748" i="3"/>
  <c r="R3749" i="3"/>
  <c r="R3750" i="3"/>
  <c r="R3751" i="3"/>
  <c r="R3752" i="3"/>
  <c r="R3753" i="3"/>
  <c r="R3754" i="3"/>
  <c r="R3755" i="3"/>
  <c r="R3756" i="3"/>
  <c r="R3757" i="3"/>
  <c r="R3758" i="3"/>
  <c r="R3759" i="3"/>
  <c r="R3760" i="3"/>
  <c r="R3761" i="3"/>
  <c r="R3762" i="3"/>
  <c r="R3763" i="3"/>
  <c r="R3764" i="3"/>
  <c r="R3765" i="3"/>
  <c r="R3766" i="3"/>
  <c r="R3767" i="3"/>
  <c r="R3768" i="3"/>
  <c r="R3769" i="3"/>
  <c r="R3770" i="3"/>
  <c r="R3771" i="3"/>
  <c r="R3772" i="3"/>
  <c r="R3773" i="3"/>
  <c r="R3774" i="3"/>
  <c r="R3775" i="3"/>
  <c r="R3776" i="3"/>
  <c r="R3777" i="3"/>
  <c r="R3778" i="3"/>
  <c r="R3779" i="3"/>
  <c r="R3780" i="3"/>
  <c r="R3781" i="3"/>
  <c r="R3782" i="3"/>
  <c r="R3783" i="3"/>
  <c r="R3784" i="3"/>
  <c r="R3785" i="3"/>
  <c r="R3786" i="3"/>
  <c r="R3787" i="3"/>
  <c r="R3788" i="3"/>
  <c r="R3789" i="3"/>
  <c r="R3790" i="3"/>
  <c r="R3791" i="3"/>
  <c r="R3792" i="3"/>
  <c r="R3793" i="3"/>
  <c r="R3794" i="3"/>
  <c r="R3795" i="3"/>
  <c r="R3796" i="3"/>
  <c r="R3797" i="3"/>
  <c r="R3798" i="3"/>
  <c r="R3799" i="3"/>
  <c r="R3800" i="3"/>
  <c r="R3801" i="3"/>
  <c r="R3802" i="3"/>
  <c r="R3803" i="3"/>
  <c r="R3804" i="3"/>
  <c r="R3805" i="3"/>
  <c r="R3806" i="3"/>
  <c r="R3807" i="3"/>
  <c r="R3808" i="3"/>
  <c r="R3809" i="3"/>
  <c r="R3810" i="3"/>
  <c r="R3811" i="3"/>
  <c r="R3812" i="3"/>
  <c r="R3813" i="3"/>
  <c r="R3814" i="3"/>
  <c r="R3815" i="3"/>
  <c r="R3816" i="3"/>
  <c r="R3817" i="3"/>
  <c r="R3818" i="3"/>
  <c r="R3819" i="3"/>
  <c r="R3820" i="3"/>
  <c r="R3821" i="3"/>
  <c r="R3822" i="3"/>
  <c r="R3823" i="3"/>
  <c r="R3824" i="3"/>
  <c r="R3825" i="3"/>
  <c r="R3826" i="3"/>
  <c r="R3827" i="3"/>
  <c r="R3828" i="3"/>
  <c r="R3829" i="3"/>
  <c r="R3830" i="3"/>
  <c r="R3831" i="3"/>
  <c r="R3832" i="3"/>
  <c r="R3833" i="3"/>
  <c r="R3834" i="3"/>
  <c r="R3835" i="3"/>
  <c r="R3836" i="3"/>
  <c r="R3837" i="3"/>
  <c r="R3838" i="3"/>
  <c r="R3839" i="3"/>
  <c r="R3840" i="3"/>
  <c r="R3841" i="3"/>
  <c r="R3842" i="3"/>
  <c r="R3843" i="3"/>
  <c r="R3844" i="3"/>
  <c r="R3845" i="3"/>
  <c r="R3846" i="3"/>
  <c r="R3847" i="3"/>
  <c r="R3848" i="3"/>
  <c r="R3849" i="3"/>
  <c r="R3850" i="3"/>
  <c r="R3851" i="3"/>
  <c r="R3852" i="3"/>
  <c r="R3853" i="3"/>
  <c r="R3854" i="3"/>
  <c r="R3855" i="3"/>
  <c r="R3856" i="3"/>
  <c r="R3857" i="3"/>
  <c r="R3858" i="3"/>
  <c r="R3859" i="3"/>
  <c r="R3860" i="3"/>
  <c r="R3861" i="3"/>
  <c r="R3862" i="3"/>
  <c r="R3863" i="3"/>
  <c r="R3864" i="3"/>
  <c r="R3865" i="3"/>
  <c r="R3866" i="3"/>
  <c r="R3867" i="3"/>
  <c r="R3868" i="3"/>
  <c r="R3869" i="3"/>
  <c r="R3870" i="3"/>
  <c r="R3871" i="3"/>
  <c r="R3872" i="3"/>
  <c r="R3873" i="3"/>
  <c r="R3874" i="3"/>
  <c r="R3875" i="3"/>
  <c r="R3876" i="3"/>
  <c r="R3877" i="3"/>
  <c r="R3878" i="3"/>
  <c r="R3879" i="3"/>
  <c r="R3880" i="3"/>
  <c r="R3881" i="3"/>
  <c r="R3882" i="3"/>
  <c r="R3883" i="3"/>
  <c r="R3884" i="3"/>
  <c r="R3885" i="3"/>
  <c r="R3886" i="3"/>
  <c r="R3887" i="3"/>
  <c r="R3888" i="3"/>
  <c r="R3889" i="3"/>
  <c r="R3890" i="3"/>
  <c r="R3891" i="3"/>
  <c r="R3892" i="3"/>
  <c r="R3893" i="3"/>
  <c r="R3894" i="3"/>
  <c r="R3895" i="3"/>
  <c r="R3896" i="3"/>
  <c r="R3897" i="3"/>
  <c r="R3898" i="3"/>
  <c r="R3899" i="3"/>
  <c r="R3900" i="3"/>
  <c r="R3901" i="3"/>
  <c r="R3902" i="3"/>
  <c r="R3903" i="3"/>
  <c r="R3904" i="3"/>
  <c r="R3905" i="3"/>
  <c r="R3906" i="3"/>
  <c r="R3907" i="3"/>
  <c r="R3908" i="3"/>
  <c r="R3909" i="3"/>
  <c r="R3910" i="3"/>
  <c r="R3911" i="3"/>
  <c r="R3912" i="3"/>
  <c r="R3913" i="3"/>
  <c r="R3914" i="3"/>
  <c r="R3915" i="3"/>
  <c r="R3916" i="3"/>
  <c r="R3917" i="3"/>
  <c r="R3918" i="3"/>
  <c r="R3919" i="3"/>
  <c r="R3920" i="3"/>
  <c r="R3921" i="3"/>
  <c r="R3922" i="3"/>
  <c r="R3923" i="3"/>
  <c r="R3924" i="3"/>
  <c r="R3925" i="3"/>
  <c r="R3926" i="3"/>
  <c r="R3927" i="3"/>
  <c r="R3928" i="3"/>
  <c r="R3929" i="3"/>
  <c r="R3930" i="3"/>
  <c r="R3931" i="3"/>
  <c r="R3932" i="3"/>
  <c r="R3933" i="3"/>
  <c r="R3934" i="3"/>
  <c r="R3935" i="3"/>
  <c r="R3936" i="3"/>
  <c r="R3937" i="3"/>
  <c r="R3938" i="3"/>
  <c r="R3939" i="3"/>
  <c r="R3940" i="3"/>
  <c r="R3941" i="3"/>
  <c r="R3942" i="3"/>
  <c r="R3943" i="3"/>
  <c r="R3944" i="3"/>
  <c r="R3945" i="3"/>
  <c r="R3946" i="3"/>
  <c r="R3947" i="3"/>
  <c r="R3948" i="3"/>
  <c r="R3949" i="3"/>
  <c r="R3950" i="3"/>
  <c r="R3951" i="3"/>
  <c r="R3952" i="3"/>
  <c r="R3953" i="3"/>
  <c r="R3954" i="3"/>
  <c r="R3955" i="3"/>
  <c r="R3956" i="3"/>
  <c r="R3957" i="3"/>
  <c r="R3958" i="3"/>
  <c r="R3959" i="3"/>
  <c r="R3960" i="3"/>
  <c r="R3961" i="3"/>
  <c r="R3962" i="3"/>
  <c r="R3963" i="3"/>
  <c r="R3964" i="3"/>
  <c r="R3965" i="3"/>
  <c r="R3966" i="3"/>
  <c r="R3967" i="3"/>
  <c r="R3968" i="3"/>
  <c r="R3969" i="3"/>
  <c r="R3970" i="3"/>
  <c r="R3971" i="3"/>
  <c r="R3972" i="3"/>
  <c r="R3973" i="3"/>
  <c r="R3974" i="3"/>
  <c r="R3975" i="3"/>
  <c r="R3976" i="3"/>
  <c r="R3977" i="3"/>
  <c r="R3978" i="3"/>
  <c r="R3979" i="3"/>
  <c r="R3980" i="3"/>
  <c r="R3981" i="3"/>
  <c r="R3982" i="3"/>
  <c r="R3983" i="3"/>
  <c r="R3984" i="3"/>
  <c r="R3985" i="3"/>
  <c r="R3986" i="3"/>
  <c r="R3987" i="3"/>
  <c r="R3988" i="3"/>
  <c r="R3989" i="3"/>
  <c r="R3990" i="3"/>
  <c r="R3991" i="3"/>
  <c r="R3992" i="3"/>
  <c r="R3993" i="3"/>
  <c r="R3994" i="3"/>
  <c r="R3995" i="3"/>
  <c r="R3996" i="3"/>
  <c r="R3997" i="3"/>
  <c r="R3998" i="3"/>
  <c r="R3999" i="3"/>
  <c r="R4000" i="3"/>
  <c r="R4001" i="3"/>
  <c r="R4002" i="3"/>
  <c r="R4003" i="3"/>
  <c r="R4004" i="3"/>
  <c r="R4005" i="3"/>
  <c r="R4006" i="3"/>
  <c r="R4007" i="3"/>
  <c r="R4008" i="3"/>
  <c r="R4009" i="3"/>
  <c r="R4010" i="3"/>
  <c r="R4011" i="3"/>
  <c r="R4012" i="3"/>
  <c r="R4013" i="3"/>
  <c r="R4014" i="3"/>
  <c r="R4015" i="3"/>
  <c r="R4016" i="3"/>
  <c r="R4017" i="3"/>
  <c r="R4018" i="3"/>
  <c r="R4019" i="3"/>
  <c r="R4020" i="3"/>
  <c r="R4021" i="3"/>
  <c r="R4022" i="3"/>
  <c r="R4023" i="3"/>
  <c r="R4024" i="3"/>
  <c r="R4025" i="3"/>
  <c r="R4026" i="3"/>
  <c r="R4027" i="3"/>
  <c r="R4028" i="3"/>
  <c r="R4029" i="3"/>
  <c r="R4030" i="3"/>
  <c r="R4031" i="3"/>
  <c r="R4032" i="3"/>
  <c r="R4033" i="3"/>
  <c r="R4034" i="3"/>
  <c r="R4035" i="3"/>
  <c r="R4036" i="3"/>
  <c r="R4037" i="3"/>
  <c r="R4038" i="3"/>
  <c r="R4039" i="3"/>
  <c r="R4040" i="3"/>
  <c r="R4041" i="3"/>
  <c r="R4042" i="3"/>
  <c r="R4043" i="3"/>
  <c r="R4044" i="3"/>
  <c r="R4045" i="3"/>
  <c r="R4046" i="3"/>
  <c r="R4047" i="3"/>
  <c r="R4048" i="3"/>
  <c r="R4049" i="3"/>
  <c r="R4050" i="3"/>
  <c r="R4051" i="3"/>
  <c r="R4052" i="3"/>
  <c r="R4053" i="3"/>
  <c r="R4054" i="3"/>
  <c r="R4055" i="3"/>
  <c r="R4056" i="3"/>
  <c r="R4057" i="3"/>
  <c r="R4058" i="3"/>
  <c r="R4059" i="3"/>
  <c r="R4060" i="3"/>
  <c r="R4061" i="3"/>
  <c r="R4062" i="3"/>
  <c r="R4063" i="3"/>
  <c r="R4064" i="3"/>
  <c r="R4065" i="3"/>
  <c r="R4066" i="3"/>
  <c r="R4067" i="3"/>
  <c r="R4068" i="3"/>
  <c r="R4069" i="3"/>
  <c r="R4070" i="3"/>
  <c r="R4071" i="3"/>
  <c r="R4072" i="3"/>
  <c r="R4073" i="3"/>
  <c r="R4074" i="3"/>
  <c r="R4075" i="3"/>
  <c r="R4076" i="3"/>
  <c r="R4077" i="3"/>
  <c r="R4078" i="3"/>
  <c r="R4079" i="3"/>
  <c r="R4080" i="3"/>
  <c r="R4081" i="3"/>
  <c r="R4082" i="3"/>
  <c r="R4083" i="3"/>
  <c r="R4084" i="3"/>
  <c r="R4085" i="3"/>
  <c r="R4086" i="3"/>
  <c r="R4087" i="3"/>
  <c r="R4088" i="3"/>
  <c r="R4089" i="3"/>
  <c r="R4090" i="3"/>
  <c r="R4091" i="3"/>
  <c r="R4092" i="3"/>
  <c r="R4093" i="3"/>
  <c r="R4094" i="3"/>
  <c r="R4095" i="3"/>
  <c r="R4096" i="3"/>
  <c r="R4097" i="3"/>
  <c r="R4098" i="3"/>
  <c r="R4099" i="3"/>
  <c r="R4100" i="3"/>
  <c r="R4101" i="3"/>
  <c r="R4102" i="3"/>
  <c r="R4103" i="3"/>
  <c r="R4104" i="3"/>
  <c r="R4105" i="3"/>
  <c r="R4106" i="3"/>
  <c r="R4107" i="3"/>
  <c r="R4108" i="3"/>
  <c r="R4109" i="3"/>
  <c r="R4110" i="3"/>
  <c r="R4111" i="3"/>
  <c r="R4112" i="3"/>
  <c r="R4113" i="3"/>
  <c r="R4114" i="3"/>
  <c r="R4115" i="3"/>
  <c r="R4116" i="3"/>
  <c r="R4117" i="3"/>
  <c r="R4118" i="3"/>
  <c r="R4119" i="3"/>
  <c r="R4120" i="3"/>
  <c r="R4121" i="3"/>
  <c r="R4122" i="3"/>
  <c r="R4123" i="3"/>
  <c r="R4124" i="3"/>
  <c r="R4125" i="3"/>
  <c r="R4126" i="3"/>
  <c r="R4127" i="3"/>
  <c r="R4128" i="3"/>
  <c r="R4129" i="3"/>
  <c r="R4130" i="3"/>
  <c r="R4131" i="3"/>
  <c r="R4132" i="3"/>
  <c r="R4133" i="3"/>
  <c r="R4134" i="3"/>
  <c r="R4135" i="3"/>
  <c r="R4136" i="3"/>
  <c r="R4137" i="3"/>
  <c r="R4138" i="3"/>
  <c r="R4139" i="3"/>
  <c r="R4140" i="3"/>
  <c r="R4141" i="3"/>
  <c r="R4142" i="3"/>
  <c r="R4143" i="3"/>
  <c r="R4144" i="3"/>
  <c r="R4145" i="3"/>
  <c r="R4146" i="3"/>
  <c r="R4147" i="3"/>
  <c r="R4148" i="3"/>
  <c r="R4149" i="3"/>
  <c r="R4150" i="3"/>
  <c r="R4151" i="3"/>
  <c r="R4152" i="3"/>
  <c r="R4153" i="3"/>
  <c r="R4154" i="3"/>
  <c r="R4155" i="3"/>
  <c r="R4156" i="3"/>
  <c r="R4157" i="3"/>
  <c r="R4158" i="3"/>
  <c r="R4159" i="3"/>
  <c r="R4160" i="3"/>
  <c r="R4161" i="3"/>
  <c r="R4162" i="3"/>
  <c r="R4163" i="3"/>
  <c r="R4164" i="3"/>
  <c r="R4165" i="3"/>
  <c r="R4166" i="3"/>
  <c r="R4167" i="3"/>
  <c r="R4168" i="3"/>
  <c r="R4169" i="3"/>
  <c r="R4170" i="3"/>
  <c r="R4171" i="3"/>
  <c r="R4172" i="3"/>
  <c r="R4173" i="3"/>
  <c r="R4174" i="3"/>
  <c r="R4175" i="3"/>
  <c r="R4176" i="3"/>
  <c r="R4177" i="3"/>
  <c r="R4178" i="3"/>
  <c r="R4179" i="3"/>
  <c r="R4180" i="3"/>
  <c r="R4181" i="3"/>
  <c r="R4182" i="3"/>
  <c r="R4183" i="3"/>
  <c r="R4184" i="3"/>
  <c r="R4185" i="3"/>
  <c r="R4186" i="3"/>
  <c r="R4187" i="3"/>
  <c r="R4188" i="3"/>
  <c r="R4189" i="3"/>
  <c r="R4190" i="3"/>
  <c r="R4191" i="3"/>
  <c r="R4192" i="3"/>
  <c r="R4193" i="3"/>
  <c r="R4194" i="3"/>
  <c r="R4195" i="3"/>
  <c r="R4196" i="3"/>
  <c r="R4197" i="3"/>
  <c r="R4198" i="3"/>
  <c r="R4199" i="3"/>
  <c r="R4200" i="3"/>
  <c r="R4201" i="3"/>
  <c r="R4202" i="3"/>
  <c r="R4203" i="3"/>
  <c r="R4204" i="3"/>
  <c r="R4205" i="3"/>
  <c r="R4206" i="3"/>
  <c r="R4207" i="3"/>
  <c r="R4208" i="3"/>
  <c r="R4209" i="3"/>
  <c r="R4210" i="3"/>
  <c r="R4211" i="3"/>
  <c r="R4212" i="3"/>
  <c r="R4213" i="3"/>
  <c r="R4214" i="3"/>
  <c r="R4215" i="3"/>
  <c r="R4216" i="3"/>
  <c r="R4217" i="3"/>
  <c r="R4218" i="3"/>
  <c r="R4219" i="3"/>
  <c r="R4220" i="3"/>
  <c r="R4221" i="3"/>
  <c r="R4222" i="3"/>
  <c r="R4223" i="3"/>
  <c r="R4224" i="3"/>
  <c r="R4225" i="3"/>
  <c r="R4226" i="3"/>
  <c r="R4227" i="3"/>
  <c r="R4228" i="3"/>
  <c r="R4229" i="3"/>
  <c r="R4230" i="3"/>
  <c r="R4231" i="3"/>
  <c r="R4232" i="3"/>
  <c r="R4233" i="3"/>
  <c r="R4234" i="3"/>
  <c r="R4235" i="3"/>
  <c r="R4236" i="3"/>
  <c r="R4237" i="3"/>
  <c r="R4238" i="3"/>
  <c r="R4239" i="3"/>
  <c r="R4240" i="3"/>
  <c r="R4241" i="3"/>
  <c r="R4242" i="3"/>
  <c r="R4243" i="3"/>
  <c r="R4244" i="3"/>
  <c r="R4245" i="3"/>
  <c r="R4246" i="3"/>
  <c r="R4247" i="3"/>
  <c r="R4248" i="3"/>
  <c r="R4249" i="3"/>
  <c r="R4250" i="3"/>
  <c r="R4251" i="3"/>
  <c r="R4252" i="3"/>
  <c r="R4253" i="3"/>
  <c r="R4254" i="3"/>
  <c r="R4255" i="3"/>
  <c r="R4256" i="3"/>
  <c r="R4257" i="3"/>
  <c r="R4258" i="3"/>
  <c r="R4259" i="3"/>
  <c r="R4260" i="3"/>
  <c r="R4261" i="3"/>
  <c r="R4262" i="3"/>
  <c r="R4263" i="3"/>
  <c r="R4264" i="3"/>
  <c r="R4265" i="3"/>
  <c r="R4266" i="3"/>
  <c r="R4267" i="3"/>
  <c r="R4268" i="3"/>
  <c r="R4269" i="3"/>
  <c r="R4270" i="3"/>
  <c r="R4271" i="3"/>
  <c r="R4272" i="3"/>
  <c r="R4273" i="3"/>
  <c r="R4274" i="3"/>
  <c r="R4275" i="3"/>
  <c r="R4276" i="3"/>
  <c r="R4277" i="3"/>
  <c r="R4278" i="3"/>
  <c r="R4279" i="3"/>
  <c r="R4280" i="3"/>
  <c r="R4281" i="3"/>
  <c r="R4282" i="3"/>
  <c r="R4283" i="3"/>
  <c r="R4284" i="3"/>
  <c r="R4285" i="3"/>
  <c r="R4286" i="3"/>
  <c r="R4287" i="3"/>
  <c r="R4288" i="3"/>
  <c r="R4289" i="3"/>
  <c r="R4290" i="3"/>
  <c r="R4291" i="3"/>
  <c r="R4292" i="3"/>
  <c r="R4293" i="3"/>
  <c r="R4294" i="3"/>
  <c r="R4295" i="3"/>
  <c r="R4296" i="3"/>
  <c r="R4297" i="3"/>
  <c r="R4298" i="3"/>
  <c r="R4299" i="3"/>
  <c r="R4300" i="3"/>
  <c r="R4301" i="3"/>
  <c r="R4302" i="3"/>
  <c r="R4303" i="3"/>
  <c r="R4304" i="3"/>
  <c r="R4305" i="3"/>
  <c r="R4306" i="3"/>
  <c r="R4307" i="3"/>
  <c r="R4308" i="3"/>
  <c r="R4309" i="3"/>
  <c r="R4310" i="3"/>
  <c r="R4311" i="3"/>
  <c r="R4312" i="3"/>
  <c r="R4313" i="3"/>
  <c r="R4314" i="3"/>
  <c r="R4315" i="3"/>
  <c r="R4316" i="3"/>
  <c r="R4317" i="3"/>
  <c r="R4318" i="3"/>
  <c r="R4319" i="3"/>
  <c r="R4320" i="3"/>
  <c r="R4321" i="3"/>
  <c r="R4322" i="3"/>
  <c r="R4323" i="3"/>
  <c r="R4324" i="3"/>
  <c r="R4325" i="3"/>
  <c r="R4326" i="3"/>
  <c r="R4327" i="3"/>
  <c r="R4328" i="3"/>
  <c r="R4329" i="3"/>
  <c r="R4330" i="3"/>
  <c r="R4331" i="3"/>
  <c r="R4332" i="3"/>
  <c r="R4333" i="3"/>
  <c r="R4334" i="3"/>
  <c r="R4335" i="3"/>
  <c r="R4336" i="3"/>
  <c r="R4337" i="3"/>
  <c r="R4338" i="3"/>
  <c r="R4339" i="3"/>
  <c r="R4340" i="3"/>
  <c r="R4341" i="3"/>
  <c r="R4342" i="3"/>
  <c r="R4343" i="3"/>
  <c r="R4344" i="3"/>
  <c r="R4345" i="3"/>
  <c r="R4346" i="3"/>
  <c r="R4347" i="3"/>
  <c r="R4348" i="3"/>
  <c r="R4349" i="3"/>
  <c r="R4350" i="3"/>
  <c r="R4351" i="3"/>
  <c r="R4352" i="3"/>
  <c r="R4353" i="3"/>
  <c r="R4354" i="3"/>
  <c r="R4355" i="3"/>
  <c r="R4356" i="3"/>
  <c r="R4357" i="3"/>
  <c r="R4358" i="3"/>
  <c r="R4359" i="3"/>
  <c r="R4360" i="3"/>
  <c r="R4361" i="3"/>
  <c r="R4362" i="3"/>
  <c r="R4363" i="3"/>
  <c r="R4364" i="3"/>
  <c r="R4365" i="3"/>
  <c r="R4366" i="3"/>
  <c r="R4367" i="3"/>
  <c r="R4368" i="3"/>
  <c r="R4369" i="3"/>
  <c r="R4370" i="3"/>
  <c r="R4371" i="3"/>
  <c r="R4372" i="3"/>
  <c r="R4373" i="3"/>
  <c r="R4374" i="3"/>
  <c r="R4375" i="3"/>
  <c r="R4376" i="3"/>
  <c r="R4377" i="3"/>
  <c r="R4378" i="3"/>
  <c r="R4379" i="3"/>
  <c r="R4380" i="3"/>
  <c r="R4381" i="3"/>
  <c r="R4382" i="3"/>
  <c r="R4383" i="3"/>
  <c r="R4384" i="3"/>
  <c r="R4385" i="3"/>
  <c r="R4386" i="3"/>
  <c r="R4387" i="3"/>
  <c r="R4388" i="3"/>
  <c r="R4389" i="3"/>
  <c r="R4390" i="3"/>
  <c r="R4391" i="3"/>
  <c r="R4392" i="3"/>
  <c r="R4393" i="3"/>
  <c r="R4394" i="3"/>
  <c r="R4395" i="3"/>
  <c r="R4396" i="3"/>
  <c r="R4397" i="3"/>
  <c r="R4398" i="3"/>
  <c r="R4399" i="3"/>
  <c r="R4400" i="3"/>
  <c r="R4401" i="3"/>
  <c r="R4402" i="3"/>
  <c r="R4403" i="3"/>
  <c r="R4404" i="3"/>
  <c r="R4405" i="3"/>
  <c r="R4406" i="3"/>
  <c r="R4407" i="3"/>
  <c r="R4408" i="3"/>
  <c r="R4409" i="3"/>
  <c r="R4410" i="3"/>
  <c r="R4411" i="3"/>
  <c r="R4412" i="3"/>
  <c r="R4413" i="3"/>
  <c r="R4414" i="3"/>
  <c r="R4415" i="3"/>
  <c r="R4416" i="3"/>
  <c r="R4417" i="3"/>
  <c r="R4418" i="3"/>
  <c r="R4419" i="3"/>
  <c r="R4420" i="3"/>
  <c r="R4421" i="3"/>
  <c r="R4422" i="3"/>
  <c r="R4423" i="3"/>
  <c r="R4424" i="3"/>
  <c r="R4425" i="3"/>
  <c r="R4426" i="3"/>
  <c r="R4427" i="3"/>
  <c r="R4428" i="3"/>
  <c r="R4429" i="3"/>
  <c r="R4430" i="3"/>
  <c r="R4431" i="3"/>
  <c r="R4432" i="3"/>
  <c r="R4433" i="3"/>
  <c r="R4434" i="3"/>
  <c r="R4435" i="3"/>
  <c r="R4436" i="3"/>
  <c r="R4437" i="3"/>
  <c r="R4438" i="3"/>
  <c r="R4439" i="3"/>
  <c r="R4440" i="3"/>
  <c r="R4441" i="3"/>
  <c r="R4442" i="3"/>
  <c r="R4443" i="3"/>
  <c r="R4444" i="3"/>
  <c r="R4445" i="3"/>
  <c r="R4446" i="3"/>
  <c r="R4447" i="3"/>
  <c r="R4448" i="3"/>
  <c r="R4449" i="3"/>
  <c r="R4450" i="3"/>
  <c r="R4451" i="3"/>
  <c r="R4452" i="3"/>
  <c r="R4453" i="3"/>
  <c r="R4454" i="3"/>
  <c r="R4455" i="3"/>
  <c r="R4456" i="3"/>
  <c r="R4457" i="3"/>
  <c r="R4458" i="3"/>
  <c r="R4459" i="3"/>
  <c r="R4460" i="3"/>
  <c r="R4461" i="3"/>
  <c r="R4462" i="3"/>
  <c r="R4463" i="3"/>
  <c r="R4464" i="3"/>
  <c r="R4465" i="3"/>
  <c r="R4466" i="3"/>
  <c r="R4467" i="3"/>
  <c r="R4468" i="3"/>
  <c r="R4469" i="3"/>
  <c r="R4470" i="3"/>
  <c r="R4471" i="3"/>
  <c r="R4472" i="3"/>
  <c r="R4473" i="3"/>
  <c r="R4474" i="3"/>
  <c r="R4475" i="3"/>
  <c r="R4476" i="3"/>
  <c r="R4477" i="3"/>
  <c r="R4478" i="3"/>
  <c r="R4479" i="3"/>
  <c r="R4480" i="3"/>
  <c r="R4481" i="3"/>
  <c r="R4482" i="3"/>
  <c r="R4483" i="3"/>
  <c r="R4484" i="3"/>
  <c r="R4485" i="3"/>
  <c r="R4486" i="3"/>
  <c r="R4487" i="3"/>
  <c r="R4488" i="3"/>
  <c r="R4489" i="3"/>
  <c r="R4490" i="3"/>
  <c r="R4491" i="3"/>
  <c r="R4492" i="3"/>
  <c r="R4493" i="3"/>
  <c r="R4494" i="3"/>
  <c r="R4495" i="3"/>
  <c r="R4496" i="3"/>
  <c r="R4497" i="3"/>
  <c r="R4498" i="3"/>
  <c r="R4499" i="3"/>
  <c r="R4500" i="3"/>
  <c r="R4501" i="3"/>
  <c r="R4502" i="3"/>
  <c r="R4503" i="3"/>
  <c r="R4504" i="3"/>
  <c r="R4505" i="3"/>
  <c r="R4506" i="3"/>
  <c r="R4507" i="3"/>
  <c r="R4508" i="3"/>
  <c r="R4509" i="3"/>
  <c r="R4510" i="3"/>
  <c r="R4511" i="3"/>
  <c r="R4512" i="3"/>
  <c r="R4513" i="3"/>
  <c r="R4514" i="3"/>
  <c r="R4515" i="3"/>
  <c r="R4516" i="3"/>
  <c r="R4517" i="3"/>
  <c r="R4518" i="3"/>
  <c r="R4519" i="3"/>
  <c r="R4520" i="3"/>
  <c r="R4521" i="3"/>
  <c r="R4522" i="3"/>
  <c r="R4523" i="3"/>
  <c r="R4524" i="3"/>
  <c r="R4525" i="3"/>
  <c r="R4526" i="3"/>
  <c r="R4527" i="3"/>
  <c r="R4528" i="3"/>
  <c r="R4529" i="3"/>
  <c r="R4530" i="3"/>
  <c r="R4531" i="3"/>
  <c r="R4532" i="3"/>
  <c r="R4533" i="3"/>
  <c r="R4534" i="3"/>
  <c r="R4535" i="3"/>
  <c r="R4536" i="3"/>
  <c r="R4537" i="3"/>
  <c r="R4538" i="3"/>
  <c r="R4539" i="3"/>
  <c r="R4540" i="3"/>
  <c r="R4541" i="3"/>
  <c r="R4542" i="3"/>
  <c r="R4543" i="3"/>
  <c r="R4544" i="3"/>
  <c r="R4545" i="3"/>
  <c r="R4546" i="3"/>
  <c r="R4547" i="3"/>
  <c r="R4548" i="3"/>
  <c r="R4549" i="3"/>
  <c r="R4550" i="3"/>
  <c r="R4551" i="3"/>
  <c r="R4552" i="3"/>
  <c r="R4553" i="3"/>
  <c r="R4554" i="3"/>
  <c r="R4555" i="3"/>
  <c r="R4556" i="3"/>
  <c r="R4557" i="3"/>
  <c r="R4558" i="3"/>
  <c r="R4559" i="3"/>
  <c r="R4560" i="3"/>
  <c r="R4561" i="3"/>
  <c r="R4562" i="3"/>
  <c r="R4563" i="3"/>
  <c r="R4564" i="3"/>
  <c r="R4565" i="3"/>
  <c r="R4566" i="3"/>
  <c r="R4567" i="3"/>
  <c r="R4568" i="3"/>
  <c r="R4569" i="3"/>
  <c r="R4570" i="3"/>
  <c r="R4571" i="3"/>
  <c r="R4572" i="3"/>
  <c r="R4573" i="3"/>
  <c r="R4574" i="3"/>
  <c r="R4575" i="3"/>
  <c r="R4576" i="3"/>
  <c r="R4577" i="3"/>
  <c r="R4578" i="3"/>
  <c r="R4579" i="3"/>
  <c r="R4580" i="3"/>
  <c r="R4581" i="3"/>
  <c r="R4582" i="3"/>
  <c r="R4583" i="3"/>
  <c r="R4584" i="3"/>
  <c r="R4585" i="3"/>
  <c r="R4586" i="3"/>
  <c r="R4587" i="3"/>
  <c r="R4588" i="3"/>
  <c r="R4589" i="3"/>
  <c r="R4590" i="3"/>
  <c r="R4591" i="3"/>
  <c r="R4592" i="3"/>
  <c r="R4593" i="3"/>
  <c r="R4594" i="3"/>
  <c r="R4595" i="3"/>
  <c r="R4596" i="3"/>
  <c r="R4597" i="3"/>
  <c r="R4598" i="3"/>
  <c r="R4599" i="3"/>
  <c r="R4600" i="3"/>
  <c r="R4601" i="3"/>
  <c r="R4602" i="3"/>
  <c r="R4603" i="3"/>
  <c r="R4604" i="3"/>
  <c r="R4605" i="3"/>
  <c r="R4606" i="3"/>
  <c r="R4607" i="3"/>
  <c r="R4608" i="3"/>
  <c r="R4609" i="3"/>
  <c r="R4610" i="3"/>
  <c r="R4611" i="3"/>
  <c r="R4612" i="3"/>
  <c r="R4613" i="3"/>
  <c r="R4614" i="3"/>
  <c r="R4615" i="3"/>
  <c r="R4616" i="3"/>
  <c r="R4617" i="3"/>
  <c r="R4618" i="3"/>
  <c r="R4619" i="3"/>
  <c r="R4620" i="3"/>
  <c r="R4621" i="3"/>
  <c r="R4622" i="3"/>
  <c r="R4623" i="3"/>
  <c r="R4624" i="3"/>
  <c r="R4625" i="3"/>
  <c r="R4626" i="3"/>
  <c r="R4627" i="3"/>
  <c r="R4628" i="3"/>
  <c r="R4629" i="3"/>
  <c r="R4630" i="3"/>
  <c r="R4631" i="3"/>
  <c r="R4632" i="3"/>
  <c r="R4633" i="3"/>
  <c r="R4634" i="3"/>
  <c r="R4635" i="3"/>
  <c r="R4636" i="3"/>
  <c r="R4637" i="3"/>
  <c r="R4638" i="3"/>
  <c r="R4639" i="3"/>
  <c r="R4640" i="3"/>
  <c r="R4641" i="3"/>
  <c r="R4642" i="3"/>
  <c r="R4643" i="3"/>
  <c r="R4644" i="3"/>
  <c r="R4645" i="3"/>
  <c r="R4646" i="3"/>
  <c r="R4647" i="3"/>
  <c r="R4648" i="3"/>
  <c r="R4649" i="3"/>
  <c r="R4650" i="3"/>
  <c r="R4651" i="3"/>
  <c r="R4652" i="3"/>
  <c r="R4653" i="3"/>
  <c r="R4654" i="3"/>
  <c r="R4655" i="3"/>
  <c r="R4656" i="3"/>
  <c r="R4657" i="3"/>
  <c r="R4658" i="3"/>
  <c r="R4659" i="3"/>
  <c r="R4660" i="3"/>
  <c r="R4661" i="3"/>
  <c r="R4662" i="3"/>
  <c r="R4663" i="3"/>
  <c r="R4664" i="3"/>
  <c r="R4665" i="3"/>
  <c r="R4666" i="3"/>
  <c r="R4667" i="3"/>
  <c r="R4668" i="3"/>
  <c r="R4669" i="3"/>
  <c r="R4670" i="3"/>
  <c r="R4671" i="3"/>
  <c r="R4672" i="3"/>
  <c r="R4673" i="3"/>
  <c r="R4674" i="3"/>
  <c r="R4675" i="3"/>
  <c r="R4676" i="3"/>
  <c r="R4677" i="3"/>
  <c r="R4678" i="3"/>
  <c r="R4679" i="3"/>
  <c r="R4680" i="3"/>
  <c r="R4681" i="3"/>
  <c r="R4682" i="3"/>
  <c r="R4683" i="3"/>
  <c r="R4684" i="3"/>
  <c r="R4685" i="3"/>
  <c r="R4686" i="3"/>
  <c r="R4687" i="3"/>
  <c r="R4688" i="3"/>
  <c r="R4689" i="3"/>
  <c r="R4690" i="3"/>
  <c r="R4691" i="3"/>
  <c r="R4692" i="3"/>
  <c r="R4693" i="3"/>
  <c r="R4694" i="3"/>
  <c r="R4695" i="3"/>
  <c r="R4696" i="3"/>
  <c r="R4697" i="3"/>
  <c r="R4698" i="3"/>
  <c r="R4699" i="3"/>
  <c r="R4700" i="3"/>
  <c r="R4701" i="3"/>
  <c r="R4702" i="3"/>
  <c r="R4703" i="3"/>
  <c r="R4704" i="3"/>
  <c r="R4705" i="3"/>
  <c r="R4706" i="3"/>
  <c r="R4707" i="3"/>
  <c r="R4708" i="3"/>
  <c r="R4709" i="3"/>
  <c r="R4710" i="3"/>
  <c r="R4711" i="3"/>
  <c r="R4712" i="3"/>
  <c r="R4713" i="3"/>
  <c r="R4714" i="3"/>
  <c r="R4715" i="3"/>
  <c r="R4716" i="3"/>
  <c r="R4717" i="3"/>
  <c r="R4718" i="3"/>
  <c r="R4719" i="3"/>
  <c r="R4720" i="3"/>
  <c r="R4721" i="3"/>
  <c r="R4722" i="3"/>
  <c r="R4723" i="3"/>
  <c r="R4724" i="3"/>
  <c r="R4725" i="3"/>
  <c r="R4726" i="3"/>
  <c r="R4727" i="3"/>
  <c r="R4728" i="3"/>
  <c r="R4729" i="3"/>
  <c r="R4730" i="3"/>
  <c r="R4731" i="3"/>
  <c r="R4732" i="3"/>
  <c r="R4733" i="3"/>
  <c r="R4734" i="3"/>
  <c r="R4735" i="3"/>
  <c r="R4736" i="3"/>
  <c r="R4737" i="3"/>
  <c r="R4738" i="3"/>
  <c r="R4739" i="3"/>
  <c r="R4740" i="3"/>
  <c r="R4741" i="3"/>
  <c r="R4742" i="3"/>
  <c r="R4743" i="3"/>
  <c r="R4744" i="3"/>
  <c r="R4745" i="3"/>
  <c r="R4746" i="3"/>
  <c r="R4747" i="3"/>
  <c r="R4748" i="3"/>
  <c r="R4749" i="3"/>
  <c r="R4750" i="3"/>
  <c r="R4751" i="3"/>
  <c r="R4752" i="3"/>
  <c r="R4753" i="3"/>
  <c r="R4754" i="3"/>
  <c r="R4755" i="3"/>
  <c r="R4756" i="3"/>
  <c r="R4757" i="3"/>
  <c r="R4758" i="3"/>
  <c r="R4759" i="3"/>
  <c r="R4760" i="3"/>
  <c r="R4761" i="3"/>
  <c r="R4762" i="3"/>
  <c r="R4763" i="3"/>
  <c r="R4764" i="3"/>
  <c r="R4765" i="3"/>
  <c r="R4766" i="3"/>
  <c r="R4767" i="3"/>
  <c r="R4768" i="3"/>
  <c r="R4769" i="3"/>
  <c r="R4770" i="3"/>
  <c r="R4771" i="3"/>
  <c r="R4772" i="3"/>
  <c r="R4773" i="3"/>
  <c r="R4774" i="3"/>
  <c r="R4775" i="3"/>
  <c r="R4776" i="3"/>
  <c r="R4777" i="3"/>
  <c r="R4778" i="3"/>
  <c r="R4779" i="3"/>
  <c r="R4780" i="3"/>
  <c r="R4781" i="3"/>
  <c r="R4782" i="3"/>
  <c r="R4783" i="3"/>
  <c r="R4784" i="3"/>
  <c r="R4785" i="3"/>
  <c r="R4786" i="3"/>
  <c r="R4787" i="3"/>
  <c r="R4788" i="3"/>
  <c r="R4789" i="3"/>
  <c r="R4790" i="3"/>
  <c r="R4791" i="3"/>
  <c r="R4792" i="3"/>
  <c r="R4793" i="3"/>
  <c r="R4794" i="3"/>
  <c r="R4795" i="3"/>
  <c r="R4796" i="3"/>
  <c r="R4797" i="3"/>
  <c r="R4798" i="3"/>
  <c r="R4799" i="3"/>
  <c r="R4800" i="3"/>
  <c r="R4801" i="3"/>
  <c r="R4802" i="3"/>
  <c r="R4803" i="3"/>
  <c r="R4804" i="3"/>
  <c r="R4805" i="3"/>
  <c r="R4806" i="3"/>
  <c r="R4807" i="3"/>
  <c r="R4808" i="3"/>
  <c r="R4809" i="3"/>
  <c r="R4810" i="3"/>
  <c r="R4811" i="3"/>
  <c r="R4812" i="3"/>
  <c r="R4813" i="3"/>
  <c r="R4814" i="3"/>
  <c r="R4815" i="3"/>
  <c r="R4816" i="3"/>
  <c r="R4817" i="3"/>
  <c r="R4818" i="3"/>
  <c r="R4819" i="3"/>
  <c r="R4820" i="3"/>
  <c r="R4821" i="3"/>
  <c r="R4822" i="3"/>
  <c r="R4823" i="3"/>
  <c r="R4824" i="3"/>
  <c r="R4825" i="3"/>
  <c r="R4826" i="3"/>
  <c r="R4827" i="3"/>
  <c r="R4828" i="3"/>
  <c r="R4829" i="3"/>
  <c r="R4830" i="3"/>
  <c r="R4831" i="3"/>
  <c r="R4832" i="3"/>
  <c r="R4833" i="3"/>
  <c r="R4834" i="3"/>
  <c r="R4835" i="3"/>
  <c r="R4836" i="3"/>
  <c r="R4837" i="3"/>
  <c r="R4838" i="3"/>
  <c r="R4839" i="3"/>
  <c r="R4840" i="3"/>
  <c r="R4841" i="3"/>
  <c r="R4842" i="3"/>
  <c r="R4843" i="3"/>
  <c r="R4844" i="3"/>
  <c r="R4845" i="3"/>
  <c r="R4846" i="3"/>
  <c r="R4847" i="3"/>
  <c r="R4848" i="3"/>
  <c r="R4849" i="3"/>
  <c r="R4850" i="3"/>
  <c r="R4851" i="3"/>
  <c r="R4852" i="3"/>
  <c r="R4853" i="3"/>
  <c r="R4854" i="3"/>
  <c r="R4855" i="3"/>
  <c r="R4856" i="3"/>
  <c r="R4857" i="3"/>
  <c r="R4858" i="3"/>
  <c r="R4859" i="3"/>
  <c r="R4860" i="3"/>
  <c r="R4861" i="3"/>
  <c r="R4862" i="3"/>
  <c r="R4863" i="3"/>
  <c r="R4864" i="3"/>
  <c r="R4865" i="3"/>
  <c r="R4866" i="3"/>
  <c r="R4867" i="3"/>
  <c r="R4868" i="3"/>
  <c r="R4869" i="3"/>
  <c r="R4870" i="3"/>
  <c r="R4871" i="3"/>
  <c r="R4872" i="3"/>
  <c r="R4873" i="3"/>
  <c r="R4874" i="3"/>
  <c r="R4875" i="3"/>
  <c r="R4876" i="3"/>
  <c r="R4877" i="3"/>
  <c r="R4878" i="3"/>
  <c r="R4879" i="3"/>
  <c r="R4880" i="3"/>
  <c r="R4881" i="3"/>
  <c r="R4882" i="3"/>
  <c r="R4883" i="3"/>
  <c r="R4884" i="3"/>
  <c r="R4885" i="3"/>
  <c r="R4886" i="3"/>
  <c r="R4887" i="3"/>
  <c r="R4888" i="3"/>
  <c r="R4889" i="3"/>
  <c r="R4890" i="3"/>
  <c r="R4891" i="3"/>
  <c r="R4892" i="3"/>
  <c r="R4893" i="3"/>
  <c r="R4894" i="3"/>
  <c r="R4895" i="3"/>
  <c r="R4896" i="3"/>
  <c r="R4897" i="3"/>
  <c r="R4898" i="3"/>
  <c r="R4899" i="3"/>
  <c r="R4900" i="3"/>
  <c r="R4901" i="3"/>
  <c r="R4902" i="3"/>
  <c r="R4903" i="3"/>
  <c r="R4904" i="3"/>
  <c r="R4905" i="3"/>
  <c r="R4906" i="3"/>
  <c r="R4907" i="3"/>
  <c r="R4908" i="3"/>
  <c r="R4909" i="3"/>
  <c r="R4910" i="3"/>
  <c r="R4911" i="3"/>
  <c r="R4912" i="3"/>
  <c r="R4913" i="3"/>
  <c r="R4914" i="3"/>
  <c r="R4915" i="3"/>
  <c r="R4916" i="3"/>
  <c r="R4917" i="3"/>
  <c r="R4918" i="3"/>
  <c r="R4919" i="3"/>
  <c r="R4920" i="3"/>
  <c r="R4921" i="3"/>
  <c r="R4922" i="3"/>
  <c r="R4923" i="3"/>
  <c r="R4924" i="3"/>
  <c r="R4925" i="3"/>
  <c r="R4926" i="3"/>
  <c r="R4927" i="3"/>
  <c r="R4928" i="3"/>
  <c r="R4929" i="3"/>
  <c r="R4930" i="3"/>
  <c r="R4931" i="3"/>
  <c r="R4932" i="3"/>
  <c r="R4933" i="3"/>
  <c r="R4934" i="3"/>
  <c r="R4935" i="3"/>
  <c r="R4936" i="3"/>
  <c r="R4937" i="3"/>
  <c r="R4938" i="3"/>
  <c r="R4939" i="3"/>
  <c r="R4940" i="3"/>
  <c r="R4941" i="3"/>
  <c r="R4942" i="3"/>
  <c r="R4943" i="3"/>
  <c r="R4944" i="3"/>
  <c r="R4945" i="3"/>
  <c r="R4946" i="3"/>
  <c r="R4947" i="3"/>
  <c r="R4948" i="3"/>
  <c r="R4949" i="3"/>
  <c r="R4950" i="3"/>
  <c r="R4951" i="3"/>
  <c r="R4952" i="3"/>
  <c r="R4953" i="3"/>
  <c r="R4954" i="3"/>
  <c r="R4955" i="3"/>
  <c r="R4956" i="3"/>
  <c r="R4957" i="3"/>
  <c r="R4958" i="3"/>
  <c r="R4959" i="3"/>
  <c r="R4960" i="3"/>
  <c r="R4961" i="3"/>
  <c r="R4962" i="3"/>
  <c r="R4963" i="3"/>
  <c r="R4964" i="3"/>
  <c r="R4965" i="3"/>
  <c r="R4966" i="3"/>
  <c r="R4967" i="3"/>
  <c r="R4968" i="3"/>
  <c r="R4969" i="3"/>
  <c r="R4970" i="3"/>
  <c r="R4971" i="3"/>
  <c r="R4972" i="3"/>
  <c r="R4973" i="3"/>
  <c r="R4974" i="3"/>
  <c r="R4975" i="3"/>
  <c r="R4976" i="3"/>
  <c r="R4977" i="3"/>
  <c r="R4978" i="3"/>
  <c r="R4979" i="3"/>
  <c r="R4980" i="3"/>
  <c r="R4981" i="3"/>
  <c r="R4982" i="3"/>
  <c r="R4983" i="3"/>
  <c r="R4984" i="3"/>
  <c r="R4985" i="3"/>
  <c r="R4986" i="3"/>
  <c r="R4987" i="3"/>
  <c r="R4988" i="3"/>
  <c r="R4989" i="3"/>
  <c r="R4990" i="3"/>
  <c r="R4991" i="3"/>
  <c r="R4992" i="3"/>
  <c r="R4993" i="3"/>
  <c r="R4994" i="3"/>
  <c r="R4995" i="3"/>
  <c r="R4996" i="3"/>
  <c r="R4997" i="3"/>
  <c r="R4998" i="3"/>
  <c r="R4999" i="3"/>
  <c r="R5000" i="3"/>
  <c r="R5001" i="3"/>
  <c r="R5002" i="3"/>
  <c r="R5003" i="3"/>
  <c r="R5004" i="3"/>
  <c r="R5005" i="3"/>
  <c r="R5006" i="3"/>
  <c r="R5007" i="3"/>
  <c r="R5008" i="3"/>
  <c r="R5009" i="3"/>
  <c r="R5010" i="3"/>
  <c r="R5011" i="3"/>
  <c r="R5012" i="3"/>
  <c r="R5013" i="3"/>
  <c r="R5014" i="3"/>
  <c r="R5015" i="3"/>
  <c r="R5016" i="3"/>
  <c r="R5017" i="3"/>
  <c r="R5018" i="3"/>
  <c r="R5019" i="3"/>
  <c r="R5020" i="3"/>
  <c r="R5021" i="3"/>
  <c r="R5022" i="3"/>
  <c r="R5023" i="3"/>
  <c r="R5024" i="3"/>
  <c r="R5025" i="3"/>
  <c r="R5026" i="3"/>
  <c r="R5027" i="3"/>
  <c r="R5028" i="3"/>
  <c r="R5029" i="3"/>
  <c r="R5030" i="3"/>
  <c r="R5031" i="3"/>
  <c r="R5032" i="3"/>
  <c r="R5033" i="3"/>
  <c r="R5034" i="3"/>
  <c r="R5035" i="3"/>
  <c r="R5036" i="3"/>
  <c r="R5037" i="3"/>
  <c r="R5038" i="3"/>
  <c r="R5039" i="3"/>
  <c r="R5040" i="3"/>
  <c r="R5041" i="3"/>
  <c r="R5042" i="3"/>
  <c r="R5043" i="3"/>
  <c r="R5044" i="3"/>
  <c r="R5045" i="3"/>
  <c r="R5046" i="3"/>
  <c r="R5047" i="3"/>
  <c r="R5048" i="3"/>
  <c r="R5049" i="3"/>
  <c r="R5050" i="3"/>
  <c r="R5051" i="3"/>
  <c r="R5052" i="3"/>
  <c r="R5053" i="3"/>
  <c r="R5054" i="3"/>
  <c r="R5055" i="3"/>
  <c r="R5056" i="3"/>
  <c r="R5057" i="3"/>
  <c r="R5058" i="3"/>
  <c r="R5059" i="3"/>
  <c r="R5060" i="3"/>
  <c r="R5061" i="3"/>
  <c r="R5062" i="3"/>
  <c r="R5063" i="3"/>
  <c r="R5064" i="3"/>
  <c r="R5065" i="3"/>
  <c r="R5066" i="3"/>
  <c r="R5067" i="3"/>
  <c r="R5068" i="3"/>
  <c r="R5069" i="3"/>
  <c r="R5070" i="3"/>
  <c r="R5071" i="3"/>
  <c r="R5072" i="3"/>
  <c r="R5073" i="3"/>
  <c r="R5074" i="3"/>
  <c r="R5075" i="3"/>
  <c r="R5076" i="3"/>
  <c r="R5077" i="3"/>
  <c r="R5078" i="3"/>
  <c r="R5079" i="3"/>
  <c r="R5080" i="3"/>
  <c r="R5081" i="3"/>
  <c r="R5082" i="3"/>
  <c r="R5083" i="3"/>
  <c r="R5084" i="3"/>
  <c r="R5085" i="3"/>
  <c r="R5086" i="3"/>
  <c r="R5087" i="3"/>
  <c r="R5088" i="3"/>
  <c r="R5089" i="3"/>
  <c r="R5090" i="3"/>
  <c r="R5091" i="3"/>
  <c r="R5092" i="3"/>
  <c r="R5093" i="3"/>
  <c r="R5094" i="3"/>
  <c r="R5095" i="3"/>
  <c r="R5096" i="3"/>
  <c r="R5097" i="3"/>
  <c r="R5098" i="3"/>
  <c r="R5099" i="3"/>
  <c r="R5100" i="3"/>
  <c r="R5101" i="3"/>
  <c r="R5102" i="3"/>
  <c r="R5103" i="3"/>
  <c r="R5104" i="3"/>
  <c r="R5105" i="3"/>
  <c r="R5106" i="3"/>
  <c r="R5107" i="3"/>
  <c r="R5108" i="3"/>
  <c r="R5109" i="3"/>
  <c r="R5110" i="3"/>
  <c r="R5111" i="3"/>
  <c r="R5112" i="3"/>
  <c r="R5113" i="3"/>
  <c r="R5114" i="3"/>
  <c r="R5115" i="3"/>
  <c r="R5116" i="3"/>
  <c r="R5117" i="3"/>
  <c r="R5118" i="3"/>
  <c r="R5119" i="3"/>
  <c r="R5120" i="3"/>
  <c r="R5121" i="3"/>
  <c r="R5122" i="3"/>
  <c r="R5123" i="3"/>
  <c r="R5124" i="3"/>
  <c r="R5125" i="3"/>
  <c r="R5126" i="3"/>
  <c r="R5127" i="3"/>
  <c r="R5128" i="3"/>
  <c r="R5129" i="3"/>
  <c r="R5130" i="3"/>
  <c r="R5131" i="3"/>
  <c r="R5132" i="3"/>
  <c r="R5133" i="3"/>
  <c r="R5134" i="3"/>
  <c r="R5135" i="3"/>
  <c r="R5136" i="3"/>
  <c r="R5137" i="3"/>
  <c r="R5138" i="3"/>
  <c r="R5139" i="3"/>
  <c r="R5140" i="3"/>
  <c r="R5141" i="3"/>
  <c r="R5142" i="3"/>
  <c r="R5143" i="3"/>
  <c r="R5144" i="3"/>
  <c r="R5145" i="3"/>
  <c r="R5146" i="3"/>
  <c r="R5147" i="3"/>
  <c r="R5148" i="3"/>
  <c r="R5149" i="3"/>
  <c r="R5150" i="3"/>
  <c r="R5151" i="3"/>
  <c r="R5152" i="3"/>
  <c r="R5153" i="3"/>
  <c r="R5154" i="3"/>
  <c r="R5155" i="3"/>
  <c r="R5156" i="3"/>
  <c r="R5157" i="3"/>
  <c r="R5158" i="3"/>
  <c r="R5159" i="3"/>
  <c r="R5160" i="3"/>
  <c r="R5161" i="3"/>
  <c r="R5162" i="3"/>
  <c r="R5163" i="3"/>
  <c r="R5164" i="3"/>
  <c r="R5165" i="3"/>
  <c r="R5166" i="3"/>
  <c r="R5167" i="3"/>
  <c r="R5168" i="3"/>
  <c r="R5169" i="3"/>
  <c r="R5170" i="3"/>
  <c r="R5171" i="3"/>
  <c r="R5172" i="3"/>
  <c r="R5173" i="3"/>
  <c r="R5174" i="3"/>
  <c r="R5175" i="3"/>
  <c r="R5176" i="3"/>
  <c r="R5177" i="3"/>
  <c r="R5178" i="3"/>
  <c r="R5179" i="3"/>
  <c r="R5180" i="3"/>
  <c r="R5181" i="3"/>
  <c r="R5182" i="3"/>
  <c r="R5183" i="3"/>
  <c r="R5184" i="3"/>
  <c r="R5185" i="3"/>
  <c r="R5186" i="3"/>
  <c r="R5187" i="3"/>
  <c r="R5188" i="3"/>
  <c r="R5189" i="3"/>
  <c r="R5190" i="3"/>
  <c r="R5191" i="3"/>
  <c r="R5192" i="3"/>
  <c r="R5193" i="3"/>
  <c r="R5194" i="3"/>
  <c r="R5195" i="3"/>
  <c r="R5196" i="3"/>
  <c r="R5197" i="3"/>
  <c r="R5198" i="3"/>
  <c r="R5199" i="3"/>
  <c r="R5200" i="3"/>
  <c r="R5201" i="3"/>
  <c r="R5202" i="3"/>
  <c r="R5203" i="3"/>
  <c r="R5204" i="3"/>
  <c r="R5205" i="3"/>
  <c r="R5206" i="3"/>
  <c r="R5207" i="3"/>
  <c r="R5208" i="3"/>
  <c r="R5209" i="3"/>
  <c r="R5210" i="3"/>
  <c r="R5211" i="3"/>
  <c r="R5212" i="3"/>
  <c r="R5213" i="3"/>
  <c r="R5214" i="3"/>
  <c r="R5215" i="3"/>
  <c r="R5216" i="3"/>
  <c r="R5217" i="3"/>
  <c r="R5218" i="3"/>
  <c r="R5219" i="3"/>
  <c r="R5220" i="3"/>
  <c r="R5221" i="3"/>
  <c r="R5222" i="3"/>
  <c r="R5223" i="3"/>
  <c r="R5224" i="3"/>
  <c r="R5225" i="3"/>
  <c r="R5226" i="3"/>
  <c r="R5227" i="3"/>
  <c r="R5228" i="3"/>
  <c r="R5229" i="3"/>
  <c r="R5230" i="3"/>
  <c r="R5231" i="3"/>
  <c r="R5232" i="3"/>
  <c r="R5233" i="3"/>
  <c r="R5234" i="3"/>
  <c r="R5235" i="3"/>
  <c r="R5236" i="3"/>
  <c r="R5237" i="3"/>
  <c r="R5238" i="3"/>
  <c r="R5239" i="3"/>
  <c r="R5240" i="3"/>
  <c r="R5241" i="3"/>
  <c r="R5242" i="3"/>
  <c r="R5243" i="3"/>
  <c r="R5244" i="3"/>
  <c r="R5245" i="3"/>
  <c r="R5246" i="3"/>
  <c r="R5247" i="3"/>
  <c r="R5248" i="3"/>
  <c r="R5249" i="3"/>
  <c r="R5250" i="3"/>
  <c r="R5251" i="3"/>
  <c r="R5252" i="3"/>
  <c r="R5253" i="3"/>
  <c r="R5254" i="3"/>
  <c r="R5255" i="3"/>
  <c r="R5256" i="3"/>
  <c r="R5257" i="3"/>
  <c r="R5258" i="3"/>
  <c r="R5259" i="3"/>
  <c r="R5260" i="3"/>
  <c r="R5261" i="3"/>
  <c r="R5262" i="3"/>
  <c r="R5263" i="3"/>
  <c r="R5264" i="3"/>
  <c r="R5265" i="3"/>
  <c r="R5266" i="3"/>
  <c r="R5267" i="3"/>
  <c r="R5268" i="3"/>
  <c r="R5269" i="3"/>
  <c r="R5270" i="3"/>
  <c r="R5271" i="3"/>
  <c r="R5272" i="3"/>
  <c r="R5273" i="3"/>
  <c r="R5274" i="3"/>
  <c r="R5275" i="3"/>
  <c r="R5276" i="3"/>
  <c r="R5277" i="3"/>
  <c r="R5278" i="3"/>
  <c r="R5279" i="3"/>
  <c r="R5280" i="3"/>
  <c r="R5281" i="3"/>
  <c r="R5282" i="3"/>
  <c r="R5283" i="3"/>
  <c r="R5284" i="3"/>
  <c r="R5285" i="3"/>
  <c r="R5286" i="3"/>
  <c r="R5287" i="3"/>
  <c r="R5288" i="3"/>
  <c r="R5289" i="3"/>
  <c r="R5290" i="3"/>
  <c r="R5291" i="3"/>
  <c r="R5292" i="3"/>
  <c r="R5293" i="3"/>
  <c r="R5294" i="3"/>
  <c r="R5295" i="3"/>
  <c r="R5296" i="3"/>
  <c r="R5297" i="3"/>
  <c r="R5298" i="3"/>
  <c r="R5299" i="3"/>
  <c r="R5300" i="3"/>
  <c r="R5301" i="3"/>
  <c r="R5302" i="3"/>
  <c r="R5303" i="3"/>
  <c r="R5304" i="3"/>
  <c r="R5305" i="3"/>
  <c r="R5306" i="3"/>
  <c r="R5307" i="3"/>
  <c r="R5308" i="3"/>
  <c r="R5309" i="3"/>
  <c r="R5310" i="3"/>
  <c r="R5311" i="3"/>
  <c r="R5312" i="3"/>
  <c r="R5313" i="3"/>
  <c r="R5314" i="3"/>
  <c r="R5315" i="3"/>
  <c r="R5316" i="3"/>
  <c r="R5317" i="3"/>
  <c r="R5318" i="3"/>
  <c r="R5319" i="3"/>
  <c r="R5320" i="3"/>
  <c r="R5321" i="3"/>
  <c r="R5322" i="3"/>
  <c r="R5323" i="3"/>
  <c r="R5324" i="3"/>
  <c r="R5325" i="3"/>
  <c r="R5326" i="3"/>
  <c r="R5327" i="3"/>
  <c r="R5328" i="3"/>
  <c r="R5329" i="3"/>
  <c r="R5330" i="3"/>
  <c r="R5331" i="3"/>
  <c r="R5332" i="3"/>
  <c r="R5333" i="3"/>
  <c r="R5334" i="3"/>
  <c r="R5335" i="3"/>
  <c r="R5336" i="3"/>
  <c r="R5337" i="3"/>
  <c r="R5338" i="3"/>
  <c r="R5339" i="3"/>
  <c r="R5340" i="3"/>
  <c r="R5341" i="3"/>
  <c r="R5342" i="3"/>
  <c r="R5343" i="3"/>
  <c r="R5344" i="3"/>
  <c r="R5345" i="3"/>
  <c r="R5346" i="3"/>
  <c r="R5347" i="3"/>
  <c r="R5348" i="3"/>
  <c r="R5349" i="3"/>
  <c r="R5350" i="3"/>
  <c r="R5351" i="3"/>
  <c r="R5352" i="3"/>
  <c r="R5353" i="3"/>
  <c r="R5354" i="3"/>
  <c r="R5355" i="3"/>
  <c r="R5356" i="3"/>
  <c r="R5357" i="3"/>
  <c r="R5358" i="3"/>
  <c r="R5359" i="3"/>
  <c r="R5360" i="3"/>
  <c r="R5361" i="3"/>
  <c r="R5362" i="3"/>
  <c r="R5363" i="3"/>
  <c r="R5364" i="3"/>
  <c r="R5365" i="3"/>
  <c r="R5366" i="3"/>
  <c r="R5367" i="3"/>
  <c r="R5368" i="3"/>
  <c r="R5369" i="3"/>
  <c r="R5370" i="3"/>
  <c r="R5371" i="3"/>
  <c r="R5372" i="3"/>
  <c r="R5373" i="3"/>
  <c r="R5374" i="3"/>
  <c r="R5375" i="3"/>
  <c r="R5376" i="3"/>
  <c r="R5377" i="3"/>
  <c r="R5378" i="3"/>
  <c r="R5379" i="3"/>
  <c r="R5380" i="3"/>
  <c r="R5381" i="3"/>
  <c r="R5382" i="3"/>
  <c r="R5383" i="3"/>
  <c r="R5384" i="3"/>
  <c r="R5385" i="3"/>
  <c r="R5386" i="3"/>
  <c r="R5387" i="3"/>
  <c r="R5388" i="3"/>
  <c r="R5389" i="3"/>
  <c r="R5390" i="3"/>
  <c r="R5391" i="3"/>
  <c r="R5392" i="3"/>
  <c r="R5393" i="3"/>
  <c r="R5394" i="3"/>
  <c r="R5395" i="3"/>
  <c r="R5396" i="3"/>
  <c r="R5397" i="3"/>
  <c r="R5398" i="3"/>
  <c r="R5399" i="3"/>
  <c r="R5400" i="3"/>
  <c r="R5401" i="3"/>
  <c r="R5402" i="3"/>
  <c r="R5403" i="3"/>
  <c r="R5404" i="3"/>
  <c r="R5405" i="3"/>
  <c r="R5406" i="3"/>
  <c r="R5407" i="3"/>
  <c r="R5408" i="3"/>
  <c r="R5409" i="3"/>
  <c r="R5410" i="3"/>
  <c r="R5411" i="3"/>
  <c r="R5412" i="3"/>
  <c r="R5413" i="3"/>
  <c r="R5414" i="3"/>
  <c r="R5415" i="3"/>
  <c r="R5416" i="3"/>
  <c r="R5417" i="3"/>
  <c r="R5418" i="3"/>
  <c r="R5419" i="3"/>
  <c r="R5420" i="3"/>
  <c r="R5421" i="3"/>
  <c r="R5422" i="3"/>
  <c r="R5423" i="3"/>
  <c r="R5424" i="3"/>
  <c r="R5425" i="3"/>
  <c r="R5426" i="3"/>
  <c r="R5427" i="3"/>
  <c r="R5428" i="3"/>
  <c r="R5429" i="3"/>
  <c r="R5430" i="3"/>
  <c r="R5431" i="3"/>
  <c r="R5432" i="3"/>
  <c r="R5433" i="3"/>
  <c r="R5434" i="3"/>
  <c r="R5435" i="3"/>
  <c r="R5436" i="3"/>
  <c r="R5437" i="3"/>
  <c r="R5438" i="3"/>
  <c r="R5439" i="3"/>
  <c r="R5440" i="3"/>
  <c r="R5441" i="3"/>
  <c r="R5442" i="3"/>
  <c r="R5443" i="3"/>
  <c r="R5444" i="3"/>
  <c r="R5445" i="3"/>
  <c r="R5446" i="3"/>
  <c r="R5447" i="3"/>
  <c r="R5448" i="3"/>
  <c r="R5449" i="3"/>
  <c r="R5450" i="3"/>
  <c r="R5451" i="3"/>
  <c r="R5452" i="3"/>
  <c r="R5453" i="3"/>
  <c r="R5454" i="3"/>
  <c r="R5455" i="3"/>
  <c r="R5456" i="3"/>
  <c r="R5457" i="3"/>
  <c r="R5458" i="3"/>
  <c r="R5459" i="3"/>
  <c r="R5460" i="3"/>
  <c r="R5461" i="3"/>
  <c r="R5462" i="3"/>
  <c r="R5463" i="3"/>
  <c r="R5464" i="3"/>
  <c r="R5465" i="3"/>
  <c r="R5466" i="3"/>
  <c r="R5467" i="3"/>
  <c r="R5468" i="3"/>
  <c r="R5469" i="3"/>
  <c r="R5470" i="3"/>
  <c r="R5471" i="3"/>
  <c r="R5472" i="3"/>
  <c r="R5473" i="3"/>
  <c r="R5474" i="3"/>
  <c r="R5475" i="3"/>
  <c r="R5476" i="3"/>
  <c r="R5477" i="3"/>
  <c r="R5478" i="3"/>
  <c r="R5479" i="3"/>
  <c r="R5480" i="3"/>
  <c r="R5481" i="3"/>
  <c r="R5482" i="3"/>
  <c r="R5483" i="3"/>
  <c r="R5484" i="3"/>
  <c r="R5485" i="3"/>
  <c r="R5486" i="3"/>
  <c r="R5487" i="3"/>
  <c r="R5488" i="3"/>
  <c r="R5489" i="3"/>
  <c r="R5490" i="3"/>
  <c r="R5491" i="3"/>
  <c r="R5492" i="3"/>
  <c r="R5493" i="3"/>
  <c r="R5494" i="3"/>
  <c r="R5495" i="3"/>
  <c r="R5496" i="3"/>
  <c r="R5497" i="3"/>
  <c r="R5498" i="3"/>
  <c r="R5499" i="3"/>
  <c r="R5500" i="3"/>
  <c r="R5501" i="3"/>
  <c r="R5502" i="3"/>
  <c r="R5503" i="3"/>
  <c r="R5504" i="3"/>
  <c r="R5505" i="3"/>
  <c r="R5506" i="3"/>
  <c r="R5507" i="3"/>
  <c r="R5508" i="3"/>
  <c r="R5509" i="3"/>
  <c r="R5510" i="3"/>
  <c r="R5511" i="3"/>
  <c r="R5512" i="3"/>
  <c r="R5513" i="3"/>
  <c r="R5514" i="3"/>
  <c r="R5515" i="3"/>
  <c r="R5516" i="3"/>
  <c r="R5517" i="3"/>
  <c r="R5518" i="3"/>
  <c r="R5519" i="3"/>
  <c r="R5520" i="3"/>
  <c r="R5521" i="3"/>
  <c r="R5522" i="3"/>
  <c r="R5523" i="3"/>
  <c r="R5524" i="3"/>
  <c r="R5525" i="3"/>
  <c r="R5526" i="3"/>
  <c r="R5527" i="3"/>
  <c r="R5528" i="3"/>
  <c r="R5529" i="3"/>
  <c r="R5530" i="3"/>
  <c r="R5531" i="3"/>
  <c r="R5532" i="3"/>
  <c r="R5533" i="3"/>
  <c r="R5534" i="3"/>
  <c r="R5535" i="3"/>
  <c r="R5536" i="3"/>
  <c r="R5537" i="3"/>
  <c r="R5538" i="3"/>
  <c r="R5539" i="3"/>
  <c r="R5540" i="3"/>
  <c r="R5541" i="3"/>
  <c r="R5542" i="3"/>
  <c r="R5543" i="3"/>
  <c r="R5544" i="3"/>
  <c r="R5545" i="3"/>
  <c r="R5546" i="3"/>
  <c r="R5547" i="3"/>
  <c r="R5548" i="3"/>
  <c r="R5549" i="3"/>
  <c r="R5550" i="3"/>
  <c r="R5551" i="3"/>
  <c r="R5552" i="3"/>
  <c r="R5553" i="3"/>
  <c r="R5554" i="3"/>
  <c r="R5555" i="3"/>
  <c r="R5556" i="3"/>
  <c r="R5557" i="3"/>
  <c r="R5558" i="3"/>
  <c r="R5559" i="3"/>
  <c r="R5560" i="3"/>
  <c r="R5561" i="3"/>
  <c r="R5562" i="3"/>
  <c r="R5563" i="3"/>
  <c r="R5564" i="3"/>
  <c r="R5565" i="3"/>
  <c r="R5566" i="3"/>
  <c r="R5567" i="3"/>
  <c r="R5568" i="3"/>
  <c r="R5569" i="3"/>
  <c r="R5570" i="3"/>
  <c r="R5571" i="3"/>
  <c r="R5572" i="3"/>
  <c r="R5573" i="3"/>
  <c r="R5574" i="3"/>
  <c r="R5575" i="3"/>
  <c r="R5576" i="3"/>
  <c r="R5577" i="3"/>
  <c r="R5578" i="3"/>
  <c r="R5579" i="3"/>
  <c r="R5580" i="3"/>
  <c r="R5581" i="3"/>
  <c r="R5582" i="3"/>
  <c r="R5583" i="3"/>
  <c r="R5584" i="3"/>
  <c r="R5585" i="3"/>
  <c r="R5586" i="3"/>
  <c r="R5587" i="3"/>
  <c r="R5588" i="3"/>
  <c r="R5589" i="3"/>
  <c r="R5590" i="3"/>
  <c r="R5591" i="3"/>
  <c r="R5592" i="3"/>
  <c r="R5593" i="3"/>
  <c r="R5594" i="3"/>
  <c r="R5595" i="3"/>
  <c r="R5596" i="3"/>
  <c r="R5597" i="3"/>
  <c r="R5598" i="3"/>
  <c r="R5599" i="3"/>
  <c r="R5600" i="3"/>
  <c r="R5601" i="3"/>
  <c r="R5602" i="3"/>
  <c r="R5603" i="3"/>
  <c r="R5604" i="3"/>
  <c r="R5605" i="3"/>
  <c r="R5606" i="3"/>
  <c r="R5607" i="3"/>
  <c r="R5608" i="3"/>
  <c r="R5609" i="3"/>
  <c r="R5610" i="3"/>
  <c r="R5611" i="3"/>
  <c r="R5612" i="3"/>
  <c r="R5613" i="3"/>
  <c r="R5614" i="3"/>
  <c r="R5615" i="3"/>
  <c r="R5616" i="3"/>
  <c r="R5617" i="3"/>
  <c r="R5618" i="3"/>
  <c r="R5619" i="3"/>
  <c r="R5620" i="3"/>
  <c r="R5621" i="3"/>
  <c r="R5622" i="3"/>
  <c r="R5623" i="3"/>
  <c r="R5624" i="3"/>
  <c r="R5625" i="3"/>
  <c r="R5626" i="3"/>
  <c r="R5627" i="3"/>
  <c r="R5628" i="3"/>
  <c r="R5629" i="3"/>
  <c r="R5630" i="3"/>
  <c r="R5631" i="3"/>
  <c r="R5632" i="3"/>
  <c r="R5633" i="3"/>
  <c r="R5634" i="3"/>
  <c r="R5635" i="3"/>
  <c r="R5636" i="3"/>
  <c r="R5637" i="3"/>
  <c r="R5638" i="3"/>
  <c r="R5639" i="3"/>
  <c r="R5640" i="3"/>
  <c r="R5641" i="3"/>
  <c r="R5642" i="3"/>
  <c r="R5643" i="3"/>
  <c r="R5644" i="3"/>
  <c r="R5645" i="3"/>
  <c r="R5646" i="3"/>
  <c r="R5647" i="3"/>
  <c r="R5648" i="3"/>
  <c r="R5649" i="3"/>
  <c r="R5650" i="3"/>
  <c r="R5651" i="3"/>
  <c r="R5652" i="3"/>
  <c r="R5653" i="3"/>
  <c r="R5654" i="3"/>
  <c r="R5655" i="3"/>
  <c r="R5656" i="3"/>
  <c r="R5657" i="3"/>
  <c r="R5658" i="3"/>
  <c r="R5659" i="3"/>
  <c r="R5660" i="3"/>
  <c r="R5661" i="3"/>
  <c r="R5662" i="3"/>
  <c r="R5663" i="3"/>
  <c r="R5664" i="3"/>
  <c r="R5665" i="3"/>
  <c r="R5666" i="3"/>
  <c r="R5667" i="3"/>
  <c r="R5668" i="3"/>
  <c r="R5669" i="3"/>
  <c r="R5670" i="3"/>
  <c r="R5671" i="3"/>
  <c r="R5672" i="3"/>
  <c r="R5673" i="3"/>
  <c r="R5674" i="3"/>
  <c r="R5675" i="3"/>
  <c r="R5676" i="3"/>
  <c r="R5677" i="3"/>
  <c r="R5678" i="3"/>
  <c r="R5679" i="3"/>
  <c r="R5680" i="3"/>
  <c r="R5681" i="3"/>
  <c r="R5682" i="3"/>
  <c r="R5683" i="3"/>
  <c r="R5684" i="3"/>
  <c r="R5685" i="3"/>
  <c r="R5686" i="3"/>
  <c r="R5687" i="3"/>
  <c r="R5688" i="3"/>
  <c r="R5689" i="3"/>
  <c r="R5690" i="3"/>
  <c r="R5691" i="3"/>
  <c r="R5692" i="3"/>
  <c r="R5693" i="3"/>
  <c r="R5694" i="3"/>
  <c r="R5695" i="3"/>
  <c r="R5696" i="3"/>
  <c r="R5697" i="3"/>
  <c r="R5698" i="3"/>
  <c r="R5699" i="3"/>
  <c r="R5700" i="3"/>
  <c r="R5701" i="3"/>
  <c r="R5702" i="3"/>
  <c r="R5703" i="3"/>
  <c r="R5704" i="3"/>
  <c r="R5705" i="3"/>
  <c r="R5706" i="3"/>
  <c r="R5707" i="3"/>
  <c r="R5708" i="3"/>
  <c r="R5709" i="3"/>
  <c r="R5710" i="3"/>
  <c r="R5711" i="3"/>
  <c r="R5712" i="3"/>
  <c r="R5713" i="3"/>
  <c r="R5714" i="3"/>
  <c r="R5715" i="3"/>
  <c r="R5716" i="3"/>
  <c r="R5717" i="3"/>
  <c r="R5718" i="3"/>
  <c r="R5719" i="3"/>
  <c r="R5720" i="3"/>
  <c r="R5721" i="3"/>
  <c r="R5722" i="3"/>
  <c r="R5723" i="3"/>
  <c r="R5724" i="3"/>
  <c r="R5725" i="3"/>
  <c r="R5726" i="3"/>
  <c r="R5727" i="3"/>
  <c r="R5728" i="3"/>
  <c r="R5729" i="3"/>
  <c r="R5730" i="3"/>
  <c r="R5731" i="3"/>
  <c r="R5732" i="3"/>
  <c r="R5733" i="3"/>
  <c r="R5734" i="3"/>
  <c r="R5735" i="3"/>
  <c r="R5736" i="3"/>
  <c r="R5737" i="3"/>
  <c r="R5738" i="3"/>
  <c r="R5739" i="3"/>
  <c r="R5740" i="3"/>
  <c r="R5741" i="3"/>
  <c r="R5742" i="3"/>
  <c r="R5743" i="3"/>
  <c r="R5744" i="3"/>
  <c r="R5745" i="3"/>
  <c r="R5746" i="3"/>
  <c r="R5747" i="3"/>
  <c r="R5748" i="3"/>
  <c r="R5749" i="3"/>
  <c r="R5750" i="3"/>
  <c r="R5751" i="3"/>
  <c r="R5752" i="3"/>
  <c r="R5753" i="3"/>
  <c r="R5754" i="3"/>
  <c r="R5755" i="3"/>
  <c r="R5756" i="3"/>
  <c r="R5757" i="3"/>
  <c r="R5758" i="3"/>
  <c r="R5759" i="3"/>
  <c r="R5760" i="3"/>
  <c r="R5761" i="3"/>
  <c r="R5762" i="3"/>
  <c r="R5763" i="3"/>
  <c r="R5764" i="3"/>
  <c r="R5765" i="3"/>
  <c r="R5766" i="3"/>
  <c r="R5767" i="3"/>
  <c r="R5768" i="3"/>
  <c r="R5769" i="3"/>
  <c r="R5770" i="3"/>
  <c r="R5771" i="3"/>
  <c r="R5772" i="3"/>
  <c r="R5773" i="3"/>
  <c r="R5774" i="3"/>
  <c r="R5775" i="3"/>
  <c r="R5776" i="3"/>
  <c r="R5777" i="3"/>
  <c r="R5778" i="3"/>
  <c r="R5779" i="3"/>
  <c r="R5780" i="3"/>
  <c r="R5781" i="3"/>
  <c r="R5782" i="3"/>
  <c r="R5783" i="3"/>
  <c r="R5784" i="3"/>
  <c r="R5785" i="3"/>
  <c r="R5786" i="3"/>
  <c r="R5787" i="3"/>
  <c r="R5788" i="3"/>
  <c r="R5789" i="3"/>
  <c r="R5790" i="3"/>
  <c r="R5791" i="3"/>
  <c r="R5792" i="3"/>
  <c r="R5793" i="3"/>
  <c r="R5794" i="3"/>
  <c r="R5795" i="3"/>
  <c r="R5796" i="3"/>
  <c r="R5797" i="3"/>
  <c r="R5798" i="3"/>
  <c r="R5799" i="3"/>
  <c r="R5800" i="3"/>
  <c r="R5801" i="3"/>
  <c r="R5802" i="3"/>
  <c r="R5803" i="3"/>
  <c r="R5804" i="3"/>
  <c r="R5805" i="3"/>
  <c r="R5806" i="3"/>
  <c r="R5807" i="3"/>
  <c r="R5808" i="3"/>
  <c r="R5809" i="3"/>
  <c r="R5810" i="3"/>
  <c r="R5811" i="3"/>
  <c r="R5812" i="3"/>
  <c r="R5813" i="3"/>
  <c r="R5814" i="3"/>
  <c r="R5815" i="3"/>
  <c r="R5816" i="3"/>
  <c r="R5817" i="3"/>
  <c r="R5818" i="3"/>
  <c r="R5819" i="3"/>
  <c r="R5820" i="3"/>
  <c r="R5821" i="3"/>
  <c r="R5822" i="3"/>
  <c r="R5823" i="3"/>
  <c r="R5824" i="3"/>
  <c r="R5825" i="3"/>
  <c r="R5826" i="3"/>
  <c r="R5827" i="3"/>
  <c r="R5828" i="3"/>
  <c r="R5829" i="3"/>
  <c r="R5830" i="3"/>
  <c r="R5831" i="3"/>
  <c r="R5832" i="3"/>
  <c r="R5833" i="3"/>
  <c r="R5834" i="3"/>
  <c r="R5835" i="3"/>
  <c r="R5836" i="3"/>
  <c r="R5837" i="3"/>
  <c r="R5838" i="3"/>
  <c r="R5839" i="3"/>
  <c r="R5840" i="3"/>
  <c r="R5841" i="3"/>
  <c r="R5842" i="3"/>
  <c r="R5843" i="3"/>
  <c r="R5844" i="3"/>
  <c r="R5845" i="3"/>
  <c r="R5846" i="3"/>
  <c r="R5847" i="3"/>
  <c r="R5848" i="3"/>
  <c r="R5849" i="3"/>
  <c r="R5850" i="3"/>
  <c r="R5851" i="3"/>
  <c r="R5852" i="3"/>
  <c r="R5853" i="3"/>
  <c r="R5854" i="3"/>
  <c r="R5855" i="3"/>
  <c r="R5856" i="3"/>
  <c r="R5857" i="3"/>
  <c r="R5858" i="3"/>
  <c r="R5859" i="3"/>
  <c r="R5860" i="3"/>
  <c r="R5861" i="3"/>
  <c r="R5862" i="3"/>
  <c r="R5863" i="3"/>
  <c r="R5864" i="3"/>
  <c r="R5865" i="3"/>
  <c r="R5866" i="3"/>
  <c r="R5867" i="3"/>
  <c r="R5868" i="3"/>
  <c r="R5869" i="3"/>
  <c r="R5870" i="3"/>
  <c r="R5871" i="3"/>
  <c r="R5872" i="3"/>
  <c r="R5873" i="3"/>
  <c r="R5874" i="3"/>
  <c r="R5875" i="3"/>
  <c r="R5876" i="3"/>
  <c r="R5877" i="3"/>
  <c r="R5878" i="3"/>
  <c r="R5879" i="3"/>
  <c r="R5880" i="3"/>
  <c r="R5881" i="3"/>
  <c r="R5882" i="3"/>
  <c r="R5883" i="3"/>
  <c r="R5884" i="3"/>
  <c r="R5885" i="3"/>
  <c r="R5886" i="3"/>
  <c r="R5887" i="3"/>
  <c r="R5888" i="3"/>
  <c r="R5889" i="3"/>
  <c r="R5890" i="3"/>
  <c r="R5891" i="3"/>
  <c r="R5892" i="3"/>
  <c r="R5893" i="3"/>
  <c r="R5894" i="3"/>
  <c r="R5895" i="3"/>
  <c r="R5896" i="3"/>
  <c r="R5897" i="3"/>
  <c r="R5898" i="3"/>
  <c r="R5899" i="3"/>
  <c r="R5900" i="3"/>
  <c r="R5901" i="3"/>
  <c r="R5902" i="3"/>
  <c r="R5903" i="3"/>
  <c r="R5904" i="3"/>
  <c r="R5905" i="3"/>
  <c r="R5906" i="3"/>
  <c r="R5907" i="3"/>
  <c r="R5908" i="3"/>
  <c r="R5909" i="3"/>
  <c r="R5910" i="3"/>
  <c r="R5911" i="3"/>
  <c r="R5912" i="3"/>
  <c r="R5913" i="3"/>
  <c r="R5914" i="3"/>
  <c r="R5915" i="3"/>
  <c r="R5916" i="3"/>
  <c r="R5917" i="3"/>
  <c r="R5918" i="3"/>
  <c r="R5919" i="3"/>
  <c r="R5920" i="3"/>
  <c r="R5921" i="3"/>
  <c r="R5922" i="3"/>
  <c r="R5923" i="3"/>
  <c r="R5924" i="3"/>
  <c r="R5925" i="3"/>
  <c r="R5926" i="3"/>
  <c r="R5927" i="3"/>
  <c r="R5928" i="3"/>
  <c r="R5929" i="3"/>
  <c r="R5930" i="3"/>
  <c r="R5931" i="3"/>
  <c r="R5932" i="3"/>
  <c r="R5933" i="3"/>
  <c r="R5934" i="3"/>
  <c r="R5935" i="3"/>
  <c r="R5936" i="3"/>
  <c r="R5937" i="3"/>
  <c r="R5938" i="3"/>
  <c r="R5939" i="3"/>
  <c r="R5940" i="3"/>
  <c r="R5941" i="3"/>
  <c r="R5942" i="3"/>
  <c r="R5943" i="3"/>
  <c r="R5944" i="3"/>
  <c r="R5945" i="3"/>
  <c r="R5946" i="3"/>
  <c r="R5947" i="3"/>
  <c r="R5948" i="3"/>
  <c r="R5949" i="3"/>
  <c r="R5950" i="3"/>
  <c r="R5951" i="3"/>
  <c r="R5952" i="3"/>
  <c r="R5953" i="3"/>
  <c r="R5954" i="3"/>
  <c r="R5955" i="3"/>
  <c r="R5956" i="3"/>
  <c r="R5957" i="3"/>
  <c r="R5958" i="3"/>
  <c r="R5959" i="3"/>
  <c r="R5960" i="3"/>
  <c r="R5961" i="3"/>
  <c r="R5962" i="3"/>
  <c r="R5963" i="3"/>
  <c r="R5964" i="3"/>
  <c r="R5965" i="3"/>
  <c r="R5966" i="3"/>
  <c r="R5967" i="3"/>
  <c r="R5968" i="3"/>
  <c r="R5969" i="3"/>
  <c r="R5970" i="3"/>
  <c r="R5971" i="3"/>
  <c r="R5972" i="3"/>
  <c r="R5973" i="3"/>
  <c r="R5974" i="3"/>
  <c r="R5975" i="3"/>
  <c r="R5976" i="3"/>
  <c r="R5977" i="3"/>
  <c r="R5978" i="3"/>
  <c r="R5979" i="3"/>
  <c r="R5980" i="3"/>
  <c r="R5981" i="3"/>
  <c r="R5982" i="3"/>
  <c r="R5983" i="3"/>
  <c r="R5984" i="3"/>
  <c r="R5985" i="3"/>
  <c r="R5986" i="3"/>
  <c r="R5987" i="3"/>
  <c r="R5988" i="3"/>
  <c r="R5989" i="3"/>
  <c r="R5990" i="3"/>
  <c r="R5991" i="3"/>
  <c r="R5992" i="3"/>
  <c r="R5993" i="3"/>
  <c r="R5994" i="3"/>
  <c r="R5995" i="3"/>
  <c r="R5996" i="3"/>
  <c r="R5997" i="3"/>
  <c r="R5998" i="3"/>
  <c r="R5999" i="3"/>
  <c r="R6000" i="3"/>
  <c r="R6001" i="3"/>
  <c r="R6002" i="3"/>
  <c r="R6003" i="3"/>
  <c r="R6004" i="3"/>
  <c r="R6005" i="3"/>
  <c r="R6006" i="3"/>
  <c r="R6007" i="3"/>
  <c r="R6008" i="3"/>
  <c r="R6009" i="3"/>
  <c r="R6010" i="3"/>
  <c r="R6011" i="3"/>
  <c r="R6012" i="3"/>
  <c r="R6013" i="3"/>
  <c r="R6014" i="3"/>
  <c r="R6015" i="3"/>
  <c r="R6016" i="3"/>
  <c r="R6017" i="3"/>
  <c r="R6018" i="3"/>
  <c r="R6019" i="3"/>
  <c r="R6020" i="3"/>
  <c r="R6021" i="3"/>
  <c r="R6022" i="3"/>
  <c r="R6023" i="3"/>
  <c r="R6024" i="3"/>
  <c r="R6025" i="3"/>
  <c r="R6026" i="3"/>
  <c r="R6027" i="3"/>
  <c r="R6028" i="3"/>
  <c r="R6029" i="3"/>
  <c r="R6030" i="3"/>
  <c r="R6031" i="3"/>
  <c r="R6032" i="3"/>
  <c r="R6033" i="3"/>
  <c r="R6034" i="3"/>
  <c r="R6035" i="3"/>
  <c r="R6036" i="3"/>
  <c r="R6037" i="3"/>
  <c r="R6038" i="3"/>
  <c r="R6039" i="3"/>
  <c r="R6040" i="3"/>
  <c r="R6041" i="3"/>
  <c r="R6042" i="3"/>
  <c r="R6043" i="3"/>
  <c r="R6044" i="3"/>
  <c r="R6045" i="3"/>
  <c r="R6046" i="3"/>
  <c r="R6047" i="3"/>
  <c r="R6048" i="3"/>
  <c r="R6049" i="3"/>
  <c r="R6050" i="3"/>
  <c r="R6051" i="3"/>
  <c r="R6052" i="3"/>
  <c r="R6053" i="3"/>
  <c r="R6054" i="3"/>
  <c r="R6055" i="3"/>
  <c r="R6056" i="3"/>
  <c r="R6057" i="3"/>
  <c r="R6058" i="3"/>
  <c r="R6059" i="3"/>
  <c r="R6060" i="3"/>
  <c r="R6061" i="3"/>
  <c r="R6062" i="3"/>
  <c r="R6063" i="3"/>
  <c r="R6064" i="3"/>
  <c r="R6065" i="3"/>
  <c r="R6066" i="3"/>
  <c r="R6067" i="3"/>
  <c r="R6068" i="3"/>
  <c r="R6069" i="3"/>
  <c r="R6070" i="3"/>
  <c r="R6071" i="3"/>
  <c r="R6072" i="3"/>
  <c r="R6073" i="3"/>
  <c r="R6074" i="3"/>
  <c r="R6075" i="3"/>
  <c r="R6076" i="3"/>
  <c r="R6077" i="3"/>
  <c r="R6078" i="3"/>
  <c r="R6079" i="3"/>
  <c r="R6080" i="3"/>
  <c r="R6081" i="3"/>
  <c r="R6082" i="3"/>
  <c r="R6083" i="3"/>
  <c r="R6084" i="3"/>
  <c r="R6085" i="3"/>
  <c r="R6086" i="3"/>
  <c r="R6087" i="3"/>
  <c r="R6088" i="3"/>
  <c r="R6089" i="3"/>
  <c r="R6090" i="3"/>
  <c r="R6091" i="3"/>
  <c r="R6092" i="3"/>
  <c r="R6093" i="3"/>
  <c r="R6094" i="3"/>
  <c r="R6095" i="3"/>
  <c r="R6096" i="3"/>
  <c r="R6097" i="3"/>
  <c r="R6098" i="3"/>
  <c r="R6099" i="3"/>
  <c r="R6100" i="3"/>
  <c r="R6101" i="3"/>
  <c r="R6102" i="3"/>
  <c r="R6103" i="3"/>
  <c r="R6104" i="3"/>
  <c r="R6105" i="3"/>
  <c r="R6106" i="3"/>
  <c r="R6107" i="3"/>
  <c r="R6108" i="3"/>
  <c r="R6109" i="3"/>
  <c r="R6110" i="3"/>
  <c r="R6111" i="3"/>
  <c r="R6112" i="3"/>
  <c r="R6113" i="3"/>
  <c r="R6114" i="3"/>
  <c r="R6115" i="3"/>
  <c r="R6116" i="3"/>
  <c r="R6117" i="3"/>
  <c r="R6118" i="3"/>
  <c r="R6119" i="3"/>
  <c r="R6120" i="3"/>
  <c r="R6121" i="3"/>
  <c r="R6122" i="3"/>
  <c r="R6123" i="3"/>
  <c r="R6124" i="3"/>
  <c r="R6125" i="3"/>
  <c r="R6126" i="3"/>
  <c r="R6127" i="3"/>
  <c r="R6128" i="3"/>
  <c r="R6129" i="3"/>
  <c r="R6130" i="3"/>
  <c r="R6131" i="3"/>
  <c r="R6132" i="3"/>
  <c r="R6133" i="3"/>
  <c r="R6134" i="3"/>
  <c r="R6135" i="3"/>
  <c r="R6136" i="3"/>
  <c r="R6137" i="3"/>
  <c r="R6138" i="3"/>
  <c r="R6139" i="3"/>
  <c r="R6140" i="3"/>
  <c r="R6141" i="3"/>
  <c r="R6142" i="3"/>
  <c r="R6143" i="3"/>
  <c r="R6144" i="3"/>
  <c r="R6145" i="3"/>
  <c r="R6146" i="3"/>
  <c r="R6147" i="3"/>
  <c r="R6148" i="3"/>
  <c r="R6149" i="3"/>
  <c r="R6150" i="3"/>
  <c r="R6151" i="3"/>
  <c r="R6152" i="3"/>
  <c r="R6153" i="3"/>
  <c r="R6154" i="3"/>
  <c r="R6155" i="3"/>
  <c r="R6156" i="3"/>
  <c r="R6157" i="3"/>
  <c r="R6158" i="3"/>
  <c r="R6159" i="3"/>
  <c r="R6160" i="3"/>
  <c r="R6161" i="3"/>
  <c r="R6162" i="3"/>
  <c r="R6163" i="3"/>
  <c r="R6164" i="3"/>
  <c r="R6165" i="3"/>
  <c r="R6166" i="3"/>
  <c r="R6167" i="3"/>
  <c r="R6168" i="3"/>
  <c r="R6169" i="3"/>
  <c r="R6170" i="3"/>
  <c r="R6171" i="3"/>
  <c r="R6172" i="3"/>
  <c r="R6173" i="3"/>
  <c r="R6174" i="3"/>
  <c r="R6175" i="3"/>
  <c r="R6176" i="3"/>
  <c r="R6177" i="3"/>
  <c r="R6178" i="3"/>
  <c r="R6179" i="3"/>
  <c r="R6180" i="3"/>
  <c r="R6181" i="3"/>
  <c r="R6182" i="3"/>
  <c r="R6183" i="3"/>
  <c r="R6184" i="3"/>
  <c r="R6185" i="3"/>
  <c r="R6186" i="3"/>
  <c r="R6187" i="3"/>
  <c r="R6188" i="3"/>
  <c r="R6189" i="3"/>
  <c r="R6190" i="3"/>
  <c r="R6191" i="3"/>
  <c r="R6192" i="3"/>
  <c r="R6193" i="3"/>
  <c r="R6194" i="3"/>
  <c r="R6195" i="3"/>
  <c r="R6196" i="3"/>
  <c r="R6197" i="3"/>
  <c r="R6198" i="3"/>
  <c r="R6199" i="3"/>
  <c r="R6200" i="3"/>
  <c r="R6201" i="3"/>
  <c r="R6202" i="3"/>
  <c r="R6203" i="3"/>
  <c r="R6204" i="3"/>
  <c r="R6205" i="3"/>
  <c r="R6206" i="3"/>
  <c r="R6207" i="3"/>
  <c r="R6208" i="3"/>
  <c r="R6209" i="3"/>
  <c r="R6210" i="3"/>
  <c r="R6211" i="3"/>
  <c r="R6212" i="3"/>
  <c r="R6213" i="3"/>
  <c r="R6214" i="3"/>
  <c r="R6215" i="3"/>
  <c r="R6216" i="3"/>
  <c r="R6217" i="3"/>
  <c r="R6218" i="3"/>
  <c r="R6219" i="3"/>
  <c r="R6220" i="3"/>
  <c r="R6221" i="3"/>
  <c r="R6222" i="3"/>
  <c r="R6223" i="3"/>
  <c r="R6224" i="3"/>
  <c r="R6225" i="3"/>
  <c r="R6226" i="3"/>
  <c r="R6227" i="3"/>
  <c r="R6228" i="3"/>
  <c r="R6229" i="3"/>
  <c r="R6230" i="3"/>
  <c r="R6231" i="3"/>
  <c r="R6232" i="3"/>
  <c r="R6233" i="3"/>
  <c r="R6234" i="3"/>
  <c r="R6235" i="3"/>
  <c r="R6236" i="3"/>
  <c r="R6237" i="3"/>
  <c r="R6238" i="3"/>
  <c r="R6239" i="3"/>
  <c r="R6240" i="3"/>
  <c r="R6241" i="3"/>
  <c r="R6242" i="3"/>
  <c r="R6243" i="3"/>
  <c r="R6244" i="3"/>
  <c r="R6245" i="3"/>
  <c r="R6246" i="3"/>
  <c r="R6247" i="3"/>
  <c r="R6248" i="3"/>
  <c r="R6249" i="3"/>
  <c r="R6250" i="3"/>
  <c r="R6251" i="3"/>
  <c r="R6252" i="3"/>
  <c r="R6253" i="3"/>
  <c r="R6254" i="3"/>
  <c r="R6255" i="3"/>
  <c r="R6256" i="3"/>
  <c r="R6257" i="3"/>
  <c r="R6258" i="3"/>
  <c r="R6259" i="3"/>
  <c r="R6260" i="3"/>
  <c r="R6261" i="3"/>
  <c r="R6262" i="3"/>
  <c r="R6263" i="3"/>
  <c r="R6264" i="3"/>
  <c r="R6265" i="3"/>
  <c r="R6266" i="3"/>
  <c r="R6267" i="3"/>
  <c r="R6268" i="3"/>
  <c r="R6269" i="3"/>
  <c r="R6270" i="3"/>
  <c r="R6271" i="3"/>
  <c r="R6272" i="3"/>
  <c r="R6273" i="3"/>
  <c r="R6274" i="3"/>
  <c r="R6275" i="3"/>
  <c r="R6276" i="3"/>
  <c r="R6277" i="3"/>
  <c r="R6278" i="3"/>
  <c r="R6279" i="3"/>
  <c r="R6280" i="3"/>
  <c r="R6281" i="3"/>
  <c r="R6282" i="3"/>
  <c r="R6283" i="3"/>
  <c r="R6284" i="3"/>
  <c r="R6285" i="3"/>
  <c r="R6286" i="3"/>
  <c r="R6287" i="3"/>
  <c r="R6288" i="3"/>
  <c r="R6289" i="3"/>
  <c r="R6290" i="3"/>
  <c r="R6291" i="3"/>
  <c r="R6292" i="3"/>
  <c r="R6293" i="3"/>
  <c r="R6294" i="3"/>
  <c r="R6295" i="3"/>
  <c r="R6296" i="3"/>
  <c r="R6297" i="3"/>
  <c r="R6298" i="3"/>
  <c r="R6299" i="3"/>
  <c r="R6300" i="3"/>
  <c r="R6301" i="3"/>
  <c r="R6302" i="3"/>
  <c r="R6303" i="3"/>
  <c r="R6304" i="3"/>
  <c r="R6305" i="3"/>
  <c r="R6306" i="3"/>
  <c r="R6307" i="3"/>
  <c r="R6308" i="3"/>
  <c r="R6309" i="3"/>
  <c r="R6310" i="3"/>
  <c r="R6311" i="3"/>
  <c r="R6312" i="3"/>
  <c r="R6313" i="3"/>
  <c r="R6314" i="3"/>
  <c r="R6315" i="3"/>
  <c r="R6316" i="3"/>
  <c r="R6317" i="3"/>
  <c r="R6318" i="3"/>
  <c r="R6319" i="3"/>
  <c r="R6320" i="3"/>
  <c r="R6321" i="3"/>
  <c r="R6322" i="3"/>
  <c r="R6323" i="3"/>
  <c r="R6324" i="3"/>
  <c r="R6325" i="3"/>
  <c r="R6326" i="3"/>
  <c r="R6327" i="3"/>
  <c r="R6328" i="3"/>
  <c r="R6329" i="3"/>
  <c r="R6330" i="3"/>
  <c r="R6331" i="3"/>
  <c r="R6332" i="3"/>
  <c r="R6333" i="3"/>
  <c r="R6334" i="3"/>
  <c r="R6335" i="3"/>
  <c r="R6336" i="3"/>
  <c r="R6337" i="3"/>
  <c r="R6338" i="3"/>
  <c r="R6339" i="3"/>
  <c r="R6340" i="3"/>
  <c r="R6341" i="3"/>
  <c r="R6342" i="3"/>
  <c r="R6343" i="3"/>
  <c r="R6344" i="3"/>
  <c r="R6345" i="3"/>
  <c r="R6346" i="3"/>
  <c r="R6347" i="3"/>
  <c r="R6348" i="3"/>
  <c r="R6349" i="3"/>
  <c r="R6350" i="3"/>
  <c r="R6351" i="3"/>
  <c r="R6352" i="3"/>
  <c r="R6353" i="3"/>
  <c r="R6354" i="3"/>
  <c r="R6355" i="3"/>
  <c r="R6356" i="3"/>
  <c r="R6357" i="3"/>
  <c r="R6358" i="3"/>
  <c r="R6359" i="3"/>
  <c r="R6360" i="3"/>
  <c r="R6361" i="3"/>
  <c r="R6362" i="3"/>
  <c r="R6363" i="3"/>
  <c r="R6364" i="3"/>
  <c r="R6365" i="3"/>
  <c r="R6366" i="3"/>
  <c r="R6367" i="3"/>
  <c r="R6368" i="3"/>
  <c r="R6369" i="3"/>
  <c r="R6370" i="3"/>
  <c r="R6371" i="3"/>
  <c r="R6372" i="3"/>
  <c r="R6373" i="3"/>
  <c r="R6374" i="3"/>
  <c r="R6375" i="3"/>
  <c r="R6376" i="3"/>
  <c r="R6377" i="3"/>
  <c r="R6378" i="3"/>
  <c r="R6379" i="3"/>
  <c r="R6380" i="3"/>
  <c r="R6381" i="3"/>
  <c r="R6382" i="3"/>
  <c r="R6383" i="3"/>
  <c r="R6384" i="3"/>
  <c r="R6385" i="3"/>
  <c r="R6386" i="3"/>
  <c r="R6387" i="3"/>
  <c r="R6388" i="3"/>
  <c r="R6389" i="3"/>
  <c r="R6390" i="3"/>
  <c r="R6391" i="3"/>
  <c r="R6392" i="3"/>
  <c r="R6393" i="3"/>
  <c r="R6394" i="3"/>
  <c r="R6395" i="3"/>
  <c r="R6396" i="3"/>
  <c r="R6397" i="3"/>
  <c r="R6398" i="3"/>
  <c r="R6399" i="3"/>
  <c r="R6400" i="3"/>
  <c r="R6401" i="3"/>
  <c r="R6402" i="3"/>
  <c r="R6403" i="3"/>
  <c r="R6404" i="3"/>
  <c r="R6405" i="3"/>
  <c r="R6406" i="3"/>
  <c r="R6407" i="3"/>
  <c r="R6408" i="3"/>
  <c r="R6409" i="3"/>
  <c r="R6410" i="3"/>
  <c r="R6411" i="3"/>
  <c r="R6412" i="3"/>
  <c r="R6413" i="3"/>
  <c r="R6414" i="3"/>
  <c r="R6415" i="3"/>
  <c r="R6416" i="3"/>
  <c r="R6417" i="3"/>
  <c r="R6418" i="3"/>
  <c r="R6419" i="3"/>
  <c r="R6420" i="3"/>
  <c r="R6421" i="3"/>
  <c r="R6422" i="3"/>
  <c r="R6423" i="3"/>
  <c r="R6424" i="3"/>
  <c r="R6425" i="3"/>
  <c r="R6426" i="3"/>
  <c r="R6427" i="3"/>
  <c r="R6428" i="3"/>
  <c r="R6429" i="3"/>
  <c r="R6430" i="3"/>
  <c r="R6431" i="3"/>
  <c r="R6432" i="3"/>
  <c r="R6433" i="3"/>
  <c r="R6434" i="3"/>
  <c r="R6435" i="3"/>
  <c r="R6436" i="3"/>
  <c r="R6437" i="3"/>
  <c r="R6438" i="3"/>
  <c r="R6439" i="3"/>
  <c r="R6440" i="3"/>
  <c r="R6441" i="3"/>
  <c r="R6442" i="3"/>
  <c r="R6443" i="3"/>
  <c r="R6444" i="3"/>
  <c r="R6445" i="3"/>
  <c r="R6446" i="3"/>
  <c r="R6447" i="3"/>
  <c r="R6448" i="3"/>
  <c r="R6449" i="3"/>
  <c r="R6450" i="3"/>
  <c r="R6451" i="3"/>
  <c r="R6452" i="3"/>
  <c r="R6453" i="3"/>
  <c r="R6454" i="3"/>
  <c r="R6455" i="3"/>
  <c r="R6456" i="3"/>
  <c r="R6457" i="3"/>
  <c r="R6458" i="3"/>
  <c r="R6459" i="3"/>
  <c r="R6460" i="3"/>
  <c r="R6461" i="3"/>
  <c r="R6462" i="3"/>
  <c r="R6463" i="3"/>
  <c r="R6464" i="3"/>
  <c r="R6465" i="3"/>
  <c r="R6466" i="3"/>
  <c r="R6467" i="3"/>
  <c r="R6468" i="3"/>
  <c r="R6469" i="3"/>
  <c r="R6470" i="3"/>
  <c r="R6471" i="3"/>
  <c r="R6472" i="3"/>
  <c r="R6473" i="3"/>
  <c r="R6474" i="3"/>
  <c r="R6475" i="3"/>
  <c r="R6476" i="3"/>
  <c r="R6477" i="3"/>
  <c r="R6478" i="3"/>
  <c r="R6479" i="3"/>
  <c r="R6480" i="3"/>
  <c r="R6481" i="3"/>
  <c r="R6482" i="3"/>
  <c r="R6483" i="3"/>
  <c r="R6484" i="3"/>
  <c r="R6485" i="3"/>
  <c r="R6486" i="3"/>
  <c r="R6487" i="3"/>
  <c r="R6488" i="3"/>
  <c r="R6489" i="3"/>
  <c r="R6490" i="3"/>
  <c r="R6491" i="3"/>
  <c r="R6492" i="3"/>
  <c r="R6493" i="3"/>
  <c r="R6494" i="3"/>
  <c r="R6495" i="3"/>
  <c r="R6496" i="3"/>
  <c r="R6497" i="3"/>
  <c r="R6498" i="3"/>
  <c r="R6499" i="3"/>
  <c r="R6500" i="3"/>
  <c r="R6501" i="3"/>
  <c r="R6502" i="3"/>
  <c r="R6503" i="3"/>
  <c r="R6504" i="3"/>
  <c r="R6505" i="3"/>
  <c r="R6506" i="3"/>
  <c r="R6507" i="3"/>
  <c r="R6508" i="3"/>
  <c r="R6509" i="3"/>
  <c r="R6510" i="3"/>
  <c r="R6511" i="3"/>
  <c r="R6512" i="3"/>
  <c r="R6513" i="3"/>
  <c r="R6514" i="3"/>
  <c r="R6515" i="3"/>
  <c r="R6516" i="3"/>
  <c r="R6517" i="3"/>
  <c r="R6518" i="3"/>
  <c r="R6519" i="3"/>
  <c r="R6520" i="3"/>
  <c r="R6521" i="3"/>
  <c r="R6522" i="3"/>
  <c r="R6523" i="3"/>
  <c r="R6524" i="3"/>
  <c r="R6525" i="3"/>
  <c r="R6526" i="3"/>
  <c r="R6527" i="3"/>
  <c r="R6528" i="3"/>
  <c r="R6529" i="3"/>
  <c r="R6530" i="3"/>
  <c r="R6531" i="3"/>
  <c r="R6532" i="3"/>
  <c r="R6533" i="3"/>
  <c r="R6534" i="3"/>
  <c r="R6535" i="3"/>
  <c r="R6536" i="3"/>
  <c r="R6537" i="3"/>
  <c r="R6538" i="3"/>
  <c r="R6539" i="3"/>
  <c r="R6540" i="3"/>
  <c r="R6541" i="3"/>
  <c r="R6542" i="3"/>
  <c r="R6543" i="3"/>
  <c r="R6544" i="3"/>
  <c r="R6545" i="3"/>
  <c r="R6546" i="3"/>
  <c r="R6547" i="3"/>
  <c r="R6548" i="3"/>
  <c r="R6549" i="3"/>
  <c r="R6550" i="3"/>
  <c r="R6551" i="3"/>
  <c r="R6552" i="3"/>
  <c r="R6553" i="3"/>
  <c r="R6554" i="3"/>
  <c r="R6555" i="3"/>
  <c r="R6556" i="3"/>
  <c r="R6557" i="3"/>
  <c r="R6558" i="3"/>
  <c r="R6559" i="3"/>
  <c r="R6560" i="3"/>
  <c r="R6561" i="3"/>
  <c r="R6562" i="3"/>
  <c r="R6563" i="3"/>
  <c r="R6564" i="3"/>
  <c r="R6565" i="3"/>
  <c r="R6566" i="3"/>
  <c r="R6567" i="3"/>
  <c r="R6568" i="3"/>
  <c r="R6569" i="3"/>
  <c r="R6570" i="3"/>
  <c r="R6571" i="3"/>
  <c r="R6572" i="3"/>
  <c r="R6573" i="3"/>
  <c r="R6574" i="3"/>
  <c r="R6575" i="3"/>
  <c r="R6576" i="3"/>
  <c r="R6577" i="3"/>
  <c r="R6578" i="3"/>
  <c r="R6579" i="3"/>
  <c r="R6580" i="3"/>
  <c r="R6581" i="3"/>
  <c r="R6582" i="3"/>
  <c r="R6583" i="3"/>
  <c r="R6584" i="3"/>
  <c r="R6585" i="3"/>
  <c r="R6586" i="3"/>
  <c r="R6587" i="3"/>
  <c r="R6588" i="3"/>
  <c r="R6589" i="3"/>
  <c r="R6590" i="3"/>
  <c r="R6591" i="3"/>
  <c r="R6592" i="3"/>
  <c r="R6593" i="3"/>
  <c r="R6594" i="3"/>
  <c r="R6595" i="3"/>
  <c r="R6596" i="3"/>
  <c r="R6597" i="3"/>
  <c r="R6598" i="3"/>
  <c r="R6599" i="3"/>
  <c r="R6600" i="3"/>
  <c r="R6601" i="3"/>
  <c r="R6602" i="3"/>
  <c r="R6603" i="3"/>
  <c r="R6604" i="3"/>
  <c r="R6605" i="3"/>
  <c r="R6606" i="3"/>
  <c r="R6607" i="3"/>
  <c r="R6608" i="3"/>
  <c r="R6609" i="3"/>
  <c r="R6610" i="3"/>
  <c r="R6611" i="3"/>
  <c r="R6612" i="3"/>
  <c r="R6613" i="3"/>
  <c r="R6614" i="3"/>
  <c r="R6615" i="3"/>
  <c r="R6616" i="3"/>
  <c r="R6617" i="3"/>
  <c r="R6618" i="3"/>
  <c r="R6619" i="3"/>
  <c r="R6620" i="3"/>
  <c r="R6621" i="3"/>
  <c r="R6622" i="3"/>
  <c r="R6623" i="3"/>
  <c r="R6624" i="3"/>
  <c r="R6625" i="3"/>
  <c r="R6626" i="3"/>
  <c r="R6627" i="3"/>
  <c r="R6628" i="3"/>
  <c r="R6629" i="3"/>
  <c r="R6630" i="3"/>
  <c r="R6631" i="3"/>
  <c r="R6632" i="3"/>
  <c r="R6633" i="3"/>
  <c r="R6634" i="3"/>
  <c r="R6635" i="3"/>
  <c r="R6636" i="3"/>
  <c r="R6637" i="3"/>
  <c r="R6638" i="3"/>
  <c r="R6639" i="3"/>
  <c r="R6640" i="3"/>
  <c r="R6641" i="3"/>
  <c r="R6642" i="3"/>
  <c r="R6643" i="3"/>
  <c r="R6644" i="3"/>
  <c r="R6645" i="3"/>
  <c r="R6646" i="3"/>
  <c r="R6647" i="3"/>
  <c r="R6648" i="3"/>
  <c r="R6649" i="3"/>
  <c r="R6650" i="3"/>
  <c r="R6651" i="3"/>
  <c r="R6652" i="3"/>
  <c r="R6653" i="3"/>
  <c r="R6654" i="3"/>
  <c r="R6655" i="3"/>
  <c r="R6656" i="3"/>
  <c r="R6657" i="3"/>
  <c r="R6658" i="3"/>
  <c r="R6659" i="3"/>
  <c r="R6660" i="3"/>
  <c r="R6661" i="3"/>
  <c r="R6662" i="3"/>
  <c r="R6663" i="3"/>
  <c r="R6664" i="3"/>
  <c r="R6665" i="3"/>
  <c r="R6666" i="3"/>
  <c r="R6667" i="3"/>
  <c r="R6668" i="3"/>
  <c r="R6669" i="3"/>
  <c r="R6670" i="3"/>
  <c r="R6671" i="3"/>
  <c r="R6672" i="3"/>
  <c r="R6673" i="3"/>
  <c r="R6674" i="3"/>
  <c r="R6675" i="3"/>
  <c r="R6676" i="3"/>
  <c r="R6677" i="3"/>
  <c r="R6678" i="3"/>
  <c r="R6679" i="3"/>
  <c r="R6680" i="3"/>
  <c r="R6681" i="3"/>
  <c r="R6682" i="3"/>
  <c r="R6683" i="3"/>
  <c r="R6684" i="3"/>
  <c r="R6685" i="3"/>
  <c r="R6686" i="3"/>
  <c r="R6687" i="3"/>
  <c r="R6688" i="3"/>
  <c r="R6689" i="3"/>
  <c r="R6690" i="3"/>
  <c r="R6691" i="3"/>
  <c r="R6692" i="3"/>
  <c r="R6693" i="3"/>
  <c r="R6694" i="3"/>
  <c r="R6695" i="3"/>
  <c r="R6696" i="3"/>
  <c r="R6697" i="3"/>
  <c r="R6698" i="3"/>
  <c r="R6699" i="3"/>
  <c r="R6700" i="3"/>
  <c r="R6701" i="3"/>
  <c r="R6702" i="3"/>
  <c r="R6703" i="3"/>
  <c r="R6704" i="3"/>
  <c r="R6705" i="3"/>
  <c r="R6706" i="3"/>
  <c r="R6707" i="3"/>
  <c r="R6708" i="3"/>
  <c r="R6709" i="3"/>
  <c r="R6710" i="3"/>
  <c r="R6711" i="3"/>
  <c r="R6712" i="3"/>
  <c r="R6713" i="3"/>
  <c r="R6714" i="3"/>
  <c r="R6715" i="3"/>
  <c r="R6716" i="3"/>
  <c r="R6717" i="3"/>
  <c r="R6718" i="3"/>
  <c r="R6719" i="3"/>
  <c r="R6720" i="3"/>
  <c r="R6721" i="3"/>
  <c r="R6722" i="3"/>
  <c r="R6723" i="3"/>
  <c r="R6724" i="3"/>
  <c r="R6725" i="3"/>
  <c r="R6726" i="3"/>
  <c r="R6727" i="3"/>
  <c r="R6728" i="3"/>
  <c r="R6729" i="3"/>
  <c r="R6730" i="3"/>
  <c r="R6731" i="3"/>
  <c r="R6732" i="3"/>
  <c r="R6733" i="3"/>
  <c r="R6734" i="3"/>
  <c r="R6735" i="3"/>
  <c r="R6736" i="3"/>
  <c r="R6737" i="3"/>
  <c r="R6738" i="3"/>
  <c r="R6739" i="3"/>
  <c r="R6740" i="3"/>
  <c r="R6741" i="3"/>
  <c r="R6742" i="3"/>
  <c r="R6743" i="3"/>
  <c r="R6744" i="3"/>
  <c r="R6745" i="3"/>
  <c r="R6746" i="3"/>
  <c r="R6747" i="3"/>
  <c r="R6748" i="3"/>
  <c r="R6749" i="3"/>
  <c r="R6750" i="3"/>
  <c r="R6751" i="3"/>
  <c r="R6752" i="3"/>
  <c r="R6753" i="3"/>
  <c r="R6754" i="3"/>
  <c r="R6755" i="3"/>
  <c r="R6756" i="3"/>
  <c r="R6757" i="3"/>
  <c r="R6758" i="3"/>
  <c r="R6759" i="3"/>
  <c r="R6760" i="3"/>
  <c r="R6761" i="3"/>
  <c r="R6762" i="3"/>
  <c r="R6763" i="3"/>
  <c r="R6764" i="3"/>
  <c r="R6765" i="3"/>
  <c r="R6766" i="3"/>
  <c r="R6767" i="3"/>
  <c r="R6768" i="3"/>
  <c r="R6769" i="3"/>
  <c r="R6770" i="3"/>
  <c r="R6771" i="3"/>
  <c r="R6772" i="3"/>
  <c r="R6773" i="3"/>
  <c r="R6774" i="3"/>
  <c r="R6775" i="3"/>
  <c r="R6776" i="3"/>
  <c r="R6777" i="3"/>
  <c r="R6778" i="3"/>
  <c r="R6779" i="3"/>
  <c r="R6780" i="3"/>
  <c r="R6781" i="3"/>
  <c r="R6782" i="3"/>
  <c r="R6783" i="3"/>
  <c r="R6784" i="3"/>
  <c r="R6785" i="3"/>
  <c r="R6786" i="3"/>
  <c r="R6787" i="3"/>
  <c r="R6788" i="3"/>
  <c r="R6789" i="3"/>
  <c r="R6790" i="3"/>
  <c r="R6791" i="3"/>
  <c r="R6792" i="3"/>
  <c r="R6793" i="3"/>
  <c r="R6794" i="3"/>
  <c r="R6795" i="3"/>
  <c r="R6796" i="3"/>
  <c r="R6797" i="3"/>
  <c r="R6798" i="3"/>
  <c r="R6799" i="3"/>
  <c r="R6800" i="3"/>
  <c r="R6801" i="3"/>
  <c r="R6802" i="3"/>
  <c r="R6803" i="3"/>
  <c r="R6804" i="3"/>
  <c r="R6805" i="3"/>
  <c r="R6806" i="3"/>
  <c r="R6807" i="3"/>
  <c r="R6808" i="3"/>
  <c r="R6809" i="3"/>
  <c r="R6810" i="3"/>
  <c r="R6811" i="3"/>
  <c r="R6812" i="3"/>
  <c r="R6813" i="3"/>
  <c r="R6814" i="3"/>
  <c r="R6815" i="3"/>
  <c r="R6816" i="3"/>
  <c r="R6817" i="3"/>
  <c r="R6818" i="3"/>
  <c r="R6819" i="3"/>
  <c r="R6820" i="3"/>
  <c r="R6821" i="3"/>
  <c r="R6822" i="3"/>
  <c r="R6823" i="3"/>
  <c r="R6824" i="3"/>
  <c r="R6825" i="3"/>
  <c r="R6826" i="3"/>
  <c r="R6827" i="3"/>
  <c r="R6828" i="3"/>
  <c r="R6829" i="3"/>
  <c r="R6830" i="3"/>
  <c r="R6831" i="3"/>
  <c r="R6832" i="3"/>
  <c r="R6833" i="3"/>
  <c r="R6834" i="3"/>
  <c r="R6835" i="3"/>
  <c r="R6836" i="3"/>
  <c r="R6837" i="3"/>
  <c r="R6838" i="3"/>
  <c r="R6839" i="3"/>
  <c r="R6840" i="3"/>
  <c r="R6841" i="3"/>
  <c r="R6842" i="3"/>
  <c r="R6843" i="3"/>
  <c r="R6844" i="3"/>
  <c r="R6845" i="3"/>
  <c r="R6846" i="3"/>
  <c r="R6847" i="3"/>
  <c r="R6848" i="3"/>
  <c r="R6849" i="3"/>
  <c r="R6850" i="3"/>
  <c r="R6851" i="3"/>
  <c r="R6852" i="3"/>
  <c r="R6853" i="3"/>
  <c r="R6854" i="3"/>
  <c r="R6855" i="3"/>
  <c r="R6856" i="3"/>
  <c r="R6857" i="3"/>
  <c r="R6858" i="3"/>
  <c r="R6859" i="3"/>
  <c r="R6860" i="3"/>
  <c r="R6861" i="3"/>
  <c r="R6862" i="3"/>
  <c r="R6863" i="3"/>
  <c r="R6864" i="3"/>
  <c r="R6865" i="3"/>
  <c r="R6866" i="3"/>
  <c r="R6867" i="3"/>
  <c r="R6868" i="3"/>
  <c r="R6869" i="3"/>
  <c r="R6870" i="3"/>
  <c r="R6871" i="3"/>
  <c r="R6872" i="3"/>
  <c r="R6873" i="3"/>
  <c r="R6874" i="3"/>
  <c r="R6875" i="3"/>
  <c r="R6876" i="3"/>
  <c r="R6877" i="3"/>
  <c r="R6878" i="3"/>
  <c r="R6879" i="3"/>
  <c r="R6880" i="3"/>
  <c r="R6881" i="3"/>
  <c r="R6882" i="3"/>
  <c r="R6883" i="3"/>
  <c r="R6884" i="3"/>
  <c r="R6885" i="3"/>
  <c r="R6886" i="3"/>
  <c r="R6887" i="3"/>
  <c r="R6888" i="3"/>
  <c r="R6889" i="3"/>
  <c r="R6890" i="3"/>
  <c r="R6891" i="3"/>
  <c r="R6892" i="3"/>
  <c r="R6893" i="3"/>
  <c r="R6894" i="3"/>
  <c r="R6895" i="3"/>
  <c r="R6896" i="3"/>
  <c r="R6897" i="3"/>
  <c r="R6898" i="3"/>
  <c r="R6899" i="3"/>
  <c r="R6900" i="3"/>
  <c r="R6901" i="3"/>
  <c r="R6902" i="3"/>
  <c r="R6903" i="3"/>
  <c r="R6904" i="3"/>
  <c r="R6905" i="3"/>
  <c r="R6906" i="3"/>
  <c r="R6907" i="3"/>
  <c r="R6908" i="3"/>
  <c r="R6909" i="3"/>
  <c r="R6910" i="3"/>
  <c r="R6911" i="3"/>
  <c r="R6912" i="3"/>
  <c r="R6913" i="3"/>
  <c r="R6914" i="3"/>
  <c r="R6915" i="3"/>
  <c r="R6916" i="3"/>
  <c r="R6917" i="3"/>
  <c r="R6918" i="3"/>
  <c r="R6919" i="3"/>
  <c r="R6920" i="3"/>
  <c r="R6921" i="3"/>
  <c r="R6922" i="3"/>
  <c r="R6923" i="3"/>
  <c r="R6924" i="3"/>
  <c r="R6925" i="3"/>
  <c r="R6926" i="3"/>
  <c r="R6927" i="3"/>
  <c r="R6928" i="3"/>
  <c r="R6929" i="3"/>
  <c r="R6930" i="3"/>
  <c r="R6931" i="3"/>
  <c r="R6932" i="3"/>
  <c r="R6933" i="3"/>
  <c r="R6934" i="3"/>
  <c r="R6935" i="3"/>
  <c r="R6936" i="3"/>
  <c r="R6937" i="3"/>
  <c r="R6938" i="3"/>
  <c r="R6939" i="3"/>
  <c r="R6940" i="3"/>
  <c r="R6941" i="3"/>
  <c r="R6942" i="3"/>
  <c r="R6943" i="3"/>
  <c r="R6944" i="3"/>
  <c r="R6945" i="3"/>
  <c r="R6946" i="3"/>
  <c r="R6947" i="3"/>
  <c r="R6948" i="3"/>
  <c r="R6949" i="3"/>
  <c r="R6950" i="3"/>
  <c r="R6951" i="3"/>
  <c r="R6952" i="3"/>
  <c r="R6953" i="3"/>
  <c r="R6954" i="3"/>
  <c r="R6955" i="3"/>
  <c r="R6956" i="3"/>
  <c r="R6957" i="3"/>
  <c r="R6958" i="3"/>
  <c r="R6959" i="3"/>
  <c r="R6960" i="3"/>
  <c r="R6961" i="3"/>
  <c r="R6962" i="3"/>
  <c r="R6963" i="3"/>
  <c r="R6964" i="3"/>
  <c r="R6965" i="3"/>
  <c r="R6966" i="3"/>
  <c r="R6967" i="3"/>
  <c r="R6968" i="3"/>
  <c r="R6969" i="3"/>
  <c r="R6970" i="3"/>
  <c r="R6971" i="3"/>
  <c r="R6972" i="3"/>
  <c r="R6973" i="3"/>
  <c r="R6974" i="3"/>
  <c r="R6975" i="3"/>
  <c r="R6976" i="3"/>
  <c r="R6977" i="3"/>
  <c r="R6978" i="3"/>
  <c r="R6979" i="3"/>
  <c r="R6980" i="3"/>
  <c r="R6981" i="3"/>
  <c r="R6982" i="3"/>
  <c r="R6983" i="3"/>
  <c r="R6984" i="3"/>
  <c r="R6985" i="3"/>
  <c r="R6986" i="3"/>
  <c r="R6987" i="3"/>
  <c r="R6988" i="3"/>
  <c r="R6989" i="3"/>
  <c r="R6990" i="3"/>
  <c r="R6991" i="3"/>
  <c r="R6992" i="3"/>
  <c r="R6993" i="3"/>
  <c r="R6994" i="3"/>
  <c r="R6995" i="3"/>
  <c r="R6996" i="3"/>
  <c r="R6997" i="3"/>
  <c r="R6998" i="3"/>
  <c r="R6999" i="3"/>
  <c r="R7000" i="3"/>
  <c r="R7001" i="3"/>
  <c r="R7002" i="3"/>
  <c r="R7003" i="3"/>
  <c r="R7004" i="3"/>
  <c r="R7005" i="3"/>
  <c r="R7006" i="3"/>
  <c r="R7007" i="3"/>
  <c r="R7008" i="3"/>
  <c r="R7009" i="3"/>
  <c r="R7010" i="3"/>
  <c r="R7011" i="3"/>
  <c r="R7012" i="3"/>
  <c r="R7013" i="3"/>
  <c r="R7014" i="3"/>
  <c r="R7015" i="3"/>
  <c r="R7016" i="3"/>
  <c r="R7017" i="3"/>
  <c r="R7018" i="3"/>
  <c r="R7019" i="3"/>
  <c r="R7020" i="3"/>
  <c r="R7021" i="3"/>
  <c r="R7022" i="3"/>
  <c r="R7023" i="3"/>
  <c r="R7024" i="3"/>
  <c r="R7025" i="3"/>
  <c r="R7026" i="3"/>
  <c r="R7027" i="3"/>
  <c r="R7028" i="3"/>
  <c r="R7029" i="3"/>
  <c r="R7030" i="3"/>
  <c r="R7031" i="3"/>
  <c r="R7032" i="3"/>
  <c r="R7033" i="3"/>
  <c r="R7034" i="3"/>
  <c r="R7035" i="3"/>
  <c r="R7036" i="3"/>
  <c r="R7037" i="3"/>
  <c r="R7038" i="3"/>
  <c r="R7039" i="3"/>
  <c r="R7040" i="3"/>
  <c r="R7041" i="3"/>
  <c r="R7042" i="3"/>
  <c r="R7043" i="3"/>
  <c r="R7044" i="3"/>
  <c r="R7045" i="3"/>
  <c r="R7046" i="3"/>
  <c r="R7047" i="3"/>
  <c r="R7048" i="3"/>
  <c r="R7049" i="3"/>
  <c r="R7050" i="3"/>
  <c r="R7051" i="3"/>
  <c r="R7052" i="3"/>
  <c r="R7053" i="3"/>
  <c r="R7054" i="3"/>
  <c r="R7055" i="3"/>
  <c r="R7056" i="3"/>
  <c r="R7057" i="3"/>
  <c r="R7058" i="3"/>
  <c r="R7059" i="3"/>
  <c r="R7060" i="3"/>
  <c r="R7061" i="3"/>
  <c r="R7062" i="3"/>
  <c r="R7063" i="3"/>
  <c r="R7064" i="3"/>
  <c r="R7065" i="3"/>
  <c r="R7066" i="3"/>
  <c r="R7067" i="3"/>
  <c r="R7068" i="3"/>
  <c r="R7069" i="3"/>
  <c r="R7070" i="3"/>
  <c r="R7071" i="3"/>
  <c r="R7072" i="3"/>
  <c r="R7073" i="3"/>
  <c r="R7074" i="3"/>
  <c r="R7075" i="3"/>
  <c r="R7076" i="3"/>
  <c r="R7077" i="3"/>
  <c r="R7078" i="3"/>
  <c r="R7079" i="3"/>
  <c r="R7080" i="3"/>
  <c r="R7081" i="3"/>
  <c r="R7082" i="3"/>
  <c r="R7083" i="3"/>
  <c r="R7084" i="3"/>
  <c r="R7085" i="3"/>
  <c r="R7086" i="3"/>
  <c r="R7087" i="3"/>
  <c r="R7088" i="3"/>
  <c r="R7089" i="3"/>
  <c r="R7090" i="3"/>
  <c r="R7091" i="3"/>
  <c r="R7092" i="3"/>
  <c r="R7093" i="3"/>
  <c r="R7094" i="3"/>
  <c r="R7095" i="3"/>
  <c r="R7096" i="3"/>
  <c r="R7097" i="3"/>
  <c r="R7098" i="3"/>
  <c r="R7099" i="3"/>
  <c r="R7100" i="3"/>
  <c r="R7101" i="3"/>
  <c r="R7102" i="3"/>
  <c r="R7103" i="3"/>
  <c r="R7104" i="3"/>
  <c r="R7105" i="3"/>
  <c r="R7106" i="3"/>
  <c r="R7107" i="3"/>
  <c r="R7108" i="3"/>
  <c r="R7109" i="3"/>
  <c r="R7110" i="3"/>
  <c r="R7111" i="3"/>
  <c r="R7112" i="3"/>
  <c r="R7113" i="3"/>
  <c r="R7114" i="3"/>
  <c r="R7115" i="3"/>
  <c r="R7116" i="3"/>
  <c r="R7117" i="3"/>
  <c r="R7118" i="3"/>
  <c r="R7119" i="3"/>
  <c r="R7120" i="3"/>
  <c r="R7121" i="3"/>
  <c r="R7122" i="3"/>
  <c r="R7123" i="3"/>
  <c r="R7124" i="3"/>
  <c r="R7125" i="3"/>
  <c r="R7126" i="3"/>
  <c r="R7127" i="3"/>
  <c r="R7128" i="3"/>
  <c r="R7129" i="3"/>
  <c r="R7130" i="3"/>
  <c r="R7131" i="3"/>
  <c r="R7132" i="3"/>
  <c r="R7133" i="3"/>
  <c r="R7134" i="3"/>
  <c r="R7135" i="3"/>
  <c r="R7136" i="3"/>
  <c r="R7137" i="3"/>
  <c r="R7138" i="3"/>
  <c r="R7139" i="3"/>
  <c r="R7140" i="3"/>
  <c r="R7141" i="3"/>
  <c r="R7142" i="3"/>
  <c r="R7143" i="3"/>
  <c r="R7144" i="3"/>
  <c r="R7145" i="3"/>
  <c r="R7146" i="3"/>
  <c r="R7147" i="3"/>
  <c r="R7148" i="3"/>
  <c r="R7149" i="3"/>
  <c r="R7150" i="3"/>
  <c r="R7151" i="3"/>
  <c r="R7152" i="3"/>
  <c r="R7153" i="3"/>
  <c r="R7154" i="3"/>
  <c r="R7155" i="3"/>
  <c r="R7156" i="3"/>
  <c r="R7157" i="3"/>
  <c r="R7158" i="3"/>
  <c r="R7159" i="3"/>
  <c r="R7160" i="3"/>
  <c r="R7161" i="3"/>
  <c r="R7162" i="3"/>
  <c r="R7163" i="3"/>
  <c r="R7164" i="3"/>
  <c r="R7165" i="3"/>
  <c r="R7166" i="3"/>
  <c r="R7167" i="3"/>
  <c r="R7168" i="3"/>
  <c r="R7169" i="3"/>
  <c r="R7170" i="3"/>
  <c r="R7171" i="3"/>
  <c r="R7172" i="3"/>
  <c r="R7173" i="3"/>
  <c r="R7174" i="3"/>
  <c r="R7175" i="3"/>
  <c r="R7176" i="3"/>
  <c r="R7177" i="3"/>
  <c r="R7178" i="3"/>
  <c r="R7179" i="3"/>
  <c r="R7180" i="3"/>
  <c r="R7181" i="3"/>
  <c r="R7182" i="3"/>
  <c r="R7183" i="3"/>
  <c r="R7184" i="3"/>
  <c r="R7185" i="3"/>
  <c r="R7186" i="3"/>
  <c r="R7187" i="3"/>
  <c r="R7188" i="3"/>
  <c r="R7189" i="3"/>
  <c r="R7190" i="3"/>
  <c r="R7191" i="3"/>
  <c r="R7192" i="3"/>
  <c r="R7193" i="3"/>
  <c r="R7194" i="3"/>
  <c r="R7195" i="3"/>
  <c r="R7196" i="3"/>
  <c r="R7197" i="3"/>
  <c r="R7198" i="3"/>
  <c r="R7199" i="3"/>
  <c r="R7200" i="3"/>
  <c r="R7201" i="3"/>
  <c r="R7202" i="3"/>
  <c r="R7203" i="3"/>
  <c r="R7204" i="3"/>
  <c r="R7205" i="3"/>
  <c r="R7206" i="3"/>
  <c r="R7207" i="3"/>
  <c r="R7208" i="3"/>
  <c r="R7209" i="3"/>
  <c r="R7210" i="3"/>
  <c r="R7211" i="3"/>
  <c r="R7212" i="3"/>
  <c r="R7213" i="3"/>
  <c r="R7214" i="3"/>
  <c r="R7215" i="3"/>
  <c r="R7216" i="3"/>
  <c r="R7217" i="3"/>
  <c r="R7218" i="3"/>
  <c r="R7219" i="3"/>
  <c r="R7220" i="3"/>
  <c r="R7221" i="3"/>
  <c r="R7222" i="3"/>
  <c r="R7223" i="3"/>
  <c r="R7224" i="3"/>
  <c r="R7225" i="3"/>
  <c r="R7226" i="3"/>
  <c r="R7227" i="3"/>
  <c r="R7228" i="3"/>
  <c r="R7229" i="3"/>
  <c r="R7230" i="3"/>
  <c r="R7231" i="3"/>
  <c r="R7232" i="3"/>
  <c r="R7233" i="3"/>
  <c r="R7234" i="3"/>
  <c r="R7235" i="3"/>
  <c r="R7236" i="3"/>
  <c r="R7237" i="3"/>
  <c r="R7238" i="3"/>
  <c r="R7239" i="3"/>
  <c r="R7240" i="3"/>
  <c r="R7241" i="3"/>
  <c r="R7242" i="3"/>
  <c r="R7243" i="3"/>
  <c r="R7244" i="3"/>
  <c r="R7245" i="3"/>
  <c r="R7246" i="3"/>
  <c r="R7247" i="3"/>
  <c r="R7248" i="3"/>
  <c r="R7249" i="3"/>
  <c r="R7250" i="3"/>
  <c r="R7251" i="3"/>
  <c r="R7252" i="3"/>
  <c r="R7253" i="3"/>
  <c r="R7254" i="3"/>
  <c r="R7255" i="3"/>
  <c r="R7256" i="3"/>
  <c r="R7257" i="3"/>
  <c r="R7258" i="3"/>
  <c r="R7259" i="3"/>
  <c r="R7260" i="3"/>
  <c r="R7261" i="3"/>
  <c r="R7262" i="3"/>
  <c r="R7263" i="3"/>
  <c r="R7264" i="3"/>
  <c r="R7265" i="3"/>
  <c r="R7266" i="3"/>
  <c r="R7267" i="3"/>
  <c r="R7268" i="3"/>
  <c r="R7269" i="3"/>
  <c r="R7270" i="3"/>
  <c r="R7271" i="3"/>
  <c r="R7272" i="3"/>
  <c r="R7273" i="3"/>
  <c r="R7274" i="3"/>
  <c r="R7275" i="3"/>
  <c r="R7276" i="3"/>
  <c r="R7277" i="3"/>
  <c r="R7278" i="3"/>
  <c r="R7279" i="3"/>
  <c r="R7280" i="3"/>
  <c r="R7281" i="3"/>
  <c r="R7282" i="3"/>
  <c r="R7283" i="3"/>
  <c r="R7284" i="3"/>
  <c r="R7285" i="3"/>
  <c r="R7286" i="3"/>
  <c r="R7287" i="3"/>
  <c r="R7288" i="3"/>
  <c r="R7289" i="3"/>
  <c r="R7290" i="3"/>
  <c r="R7291" i="3"/>
  <c r="R7292" i="3"/>
  <c r="R7293" i="3"/>
  <c r="R7294" i="3"/>
  <c r="R7295" i="3"/>
  <c r="R7296" i="3"/>
  <c r="R7297" i="3"/>
  <c r="R7298" i="3"/>
  <c r="R7299" i="3"/>
  <c r="R7300" i="3"/>
  <c r="R7301" i="3"/>
  <c r="R7302" i="3"/>
  <c r="R7303" i="3"/>
  <c r="R7304" i="3"/>
  <c r="R7305" i="3"/>
  <c r="R7306" i="3"/>
  <c r="R7307" i="3"/>
  <c r="R7308" i="3"/>
  <c r="R7309" i="3"/>
  <c r="R7310" i="3"/>
  <c r="R7311" i="3"/>
  <c r="R7312" i="3"/>
  <c r="R7313" i="3"/>
  <c r="R7314" i="3"/>
  <c r="R7315" i="3"/>
  <c r="R7316" i="3"/>
  <c r="R7317" i="3"/>
  <c r="R7318" i="3"/>
  <c r="R7319" i="3"/>
  <c r="R7320" i="3"/>
  <c r="R7321" i="3"/>
  <c r="R7322" i="3"/>
  <c r="R7323" i="3"/>
  <c r="R7324" i="3"/>
  <c r="R7325" i="3"/>
  <c r="R7326" i="3"/>
  <c r="R7327" i="3"/>
  <c r="R7328" i="3"/>
  <c r="R7329" i="3"/>
  <c r="R7330" i="3"/>
  <c r="R7331" i="3"/>
  <c r="R7332" i="3"/>
  <c r="R7333" i="3"/>
  <c r="R7334" i="3"/>
  <c r="R7335" i="3"/>
  <c r="R7336" i="3"/>
  <c r="R7337" i="3"/>
  <c r="R7338" i="3"/>
  <c r="R7339" i="3"/>
  <c r="R7340" i="3"/>
  <c r="R7341" i="3"/>
  <c r="R7342" i="3"/>
  <c r="R7343" i="3"/>
  <c r="R7344" i="3"/>
  <c r="R7345" i="3"/>
  <c r="R7346" i="3"/>
  <c r="R7347" i="3"/>
  <c r="R7348" i="3"/>
  <c r="R7349" i="3"/>
  <c r="R7350" i="3"/>
  <c r="R7351" i="3"/>
  <c r="R7352" i="3"/>
  <c r="R7353" i="3"/>
  <c r="R7354" i="3"/>
  <c r="R7355" i="3"/>
  <c r="R7356" i="3"/>
  <c r="R7357" i="3"/>
  <c r="R7358" i="3"/>
  <c r="R7359" i="3"/>
  <c r="R7360" i="3"/>
  <c r="R7361" i="3"/>
  <c r="R7362" i="3"/>
  <c r="R7363" i="3"/>
  <c r="R7364" i="3"/>
  <c r="R7365" i="3"/>
  <c r="R7366" i="3"/>
  <c r="R7367" i="3"/>
  <c r="R7368" i="3"/>
  <c r="R7369" i="3"/>
  <c r="R7370" i="3"/>
  <c r="R7371" i="3"/>
  <c r="R7372" i="3"/>
  <c r="R7373" i="3"/>
  <c r="R7374" i="3"/>
  <c r="R7375" i="3"/>
  <c r="R7376" i="3"/>
  <c r="R7377" i="3"/>
  <c r="R7378" i="3"/>
  <c r="R7379" i="3"/>
  <c r="R7380" i="3"/>
  <c r="R7381" i="3"/>
  <c r="R7382" i="3"/>
  <c r="R7383" i="3"/>
  <c r="R7384" i="3"/>
  <c r="R7385" i="3"/>
  <c r="R7386" i="3"/>
  <c r="R7387" i="3"/>
  <c r="R7388" i="3"/>
  <c r="R7389" i="3"/>
  <c r="R7390" i="3"/>
  <c r="R7391" i="3"/>
  <c r="R7392" i="3"/>
  <c r="R7393" i="3"/>
  <c r="R7394" i="3"/>
  <c r="R7395" i="3"/>
  <c r="R7396" i="3"/>
  <c r="R7397" i="3"/>
  <c r="R7398" i="3"/>
  <c r="R7399" i="3"/>
  <c r="R7400" i="3"/>
  <c r="R7401" i="3"/>
  <c r="R7402" i="3"/>
  <c r="R7403" i="3"/>
  <c r="R7404" i="3"/>
  <c r="R7405" i="3"/>
  <c r="R7406" i="3"/>
  <c r="R7407" i="3"/>
  <c r="R7408" i="3"/>
  <c r="R7409" i="3"/>
  <c r="R7410" i="3"/>
  <c r="R7411" i="3"/>
  <c r="R7412" i="3"/>
  <c r="R7413" i="3"/>
  <c r="R7414" i="3"/>
  <c r="R7415" i="3"/>
  <c r="R7416" i="3"/>
  <c r="R7417" i="3"/>
  <c r="R7418" i="3"/>
  <c r="R7419" i="3"/>
  <c r="R7420" i="3"/>
  <c r="R7421" i="3"/>
  <c r="R7422" i="3"/>
  <c r="R7423" i="3"/>
  <c r="R7424" i="3"/>
  <c r="R7425" i="3"/>
  <c r="R7426" i="3"/>
  <c r="R7427" i="3"/>
  <c r="R7428" i="3"/>
  <c r="R7429" i="3"/>
  <c r="R7430" i="3"/>
  <c r="R7431" i="3"/>
  <c r="R7432" i="3"/>
  <c r="R7433" i="3"/>
  <c r="R7434" i="3"/>
  <c r="R7435" i="3"/>
  <c r="R7436" i="3"/>
  <c r="R7437" i="3"/>
  <c r="R7438" i="3"/>
  <c r="R7439" i="3"/>
  <c r="R7440" i="3"/>
  <c r="R7441" i="3"/>
  <c r="R7442" i="3"/>
  <c r="R7443" i="3"/>
  <c r="R7444" i="3"/>
  <c r="R7445" i="3"/>
  <c r="R7446" i="3"/>
  <c r="R7447" i="3"/>
  <c r="R7448" i="3"/>
  <c r="R7449" i="3"/>
  <c r="R7450" i="3"/>
  <c r="R7451" i="3"/>
  <c r="R7452" i="3"/>
  <c r="R7453" i="3"/>
  <c r="R7454" i="3"/>
  <c r="R7455" i="3"/>
  <c r="R7456" i="3"/>
  <c r="R7457" i="3"/>
  <c r="R7458" i="3"/>
  <c r="R7459" i="3"/>
  <c r="R7460" i="3"/>
  <c r="R7461" i="3"/>
  <c r="R7462" i="3"/>
  <c r="R7463" i="3"/>
  <c r="R7464" i="3"/>
  <c r="R7465" i="3"/>
  <c r="R7466" i="3"/>
  <c r="R7467" i="3"/>
  <c r="R7468" i="3"/>
  <c r="R7469" i="3"/>
  <c r="R7470" i="3"/>
  <c r="R7471" i="3"/>
  <c r="R7472" i="3"/>
  <c r="R7473" i="3"/>
  <c r="R7474" i="3"/>
  <c r="R7475" i="3"/>
  <c r="R7476" i="3"/>
  <c r="R7477" i="3"/>
  <c r="R7478" i="3"/>
  <c r="R7479" i="3"/>
  <c r="R7480" i="3"/>
  <c r="R7481" i="3"/>
  <c r="R7482" i="3"/>
  <c r="R7483" i="3"/>
  <c r="R7484" i="3"/>
  <c r="R7485" i="3"/>
  <c r="R7486" i="3"/>
  <c r="R7487" i="3"/>
  <c r="R7488" i="3"/>
  <c r="R7489" i="3"/>
  <c r="R7490" i="3"/>
  <c r="R7491" i="3"/>
  <c r="R7492" i="3"/>
  <c r="R7493" i="3"/>
  <c r="R7494" i="3"/>
  <c r="R7495" i="3"/>
  <c r="R7496" i="3"/>
  <c r="R7497" i="3"/>
  <c r="R7498" i="3"/>
  <c r="R7499" i="3"/>
  <c r="R7500" i="3"/>
  <c r="R7501" i="3"/>
  <c r="R7502" i="3"/>
  <c r="R7503" i="3"/>
  <c r="R7504" i="3"/>
  <c r="R7505" i="3"/>
  <c r="R7506" i="3"/>
  <c r="R7507" i="3"/>
  <c r="R7508" i="3"/>
  <c r="R7509" i="3"/>
  <c r="R7510" i="3"/>
  <c r="R7511" i="3"/>
  <c r="R7512" i="3"/>
  <c r="R7513" i="3"/>
  <c r="R7514" i="3"/>
  <c r="R7515" i="3"/>
  <c r="R7516" i="3"/>
  <c r="R7517" i="3"/>
  <c r="R7518" i="3"/>
  <c r="R7519" i="3"/>
  <c r="R7520" i="3"/>
  <c r="R7521" i="3"/>
  <c r="R7522" i="3"/>
  <c r="R7523" i="3"/>
  <c r="R7524" i="3"/>
  <c r="R7525" i="3"/>
  <c r="R7526" i="3"/>
  <c r="R7527" i="3"/>
  <c r="R7528" i="3"/>
  <c r="R7529" i="3"/>
  <c r="R7530" i="3"/>
  <c r="R7531" i="3"/>
  <c r="R7532" i="3"/>
  <c r="R7533" i="3"/>
  <c r="R7534" i="3"/>
  <c r="R7535" i="3"/>
  <c r="R7536" i="3"/>
  <c r="R7537" i="3"/>
  <c r="R7538" i="3"/>
  <c r="R7539" i="3"/>
  <c r="R7540" i="3"/>
  <c r="R7541" i="3"/>
  <c r="R7542" i="3"/>
  <c r="R7543" i="3"/>
  <c r="R7544" i="3"/>
  <c r="R7545" i="3"/>
  <c r="R7546" i="3"/>
  <c r="R7547" i="3"/>
  <c r="R7548" i="3"/>
  <c r="R7549" i="3"/>
  <c r="R7550" i="3"/>
  <c r="R7551" i="3"/>
  <c r="R7552" i="3"/>
  <c r="R7553" i="3"/>
  <c r="R7554" i="3"/>
  <c r="R7555" i="3"/>
  <c r="R7556" i="3"/>
  <c r="R7557" i="3"/>
  <c r="R7558" i="3"/>
  <c r="R7559" i="3"/>
  <c r="R7560" i="3"/>
  <c r="R7561" i="3"/>
  <c r="R7562" i="3"/>
  <c r="R7563" i="3"/>
  <c r="R7564" i="3"/>
  <c r="R7565" i="3"/>
  <c r="R7566" i="3"/>
  <c r="R7567" i="3"/>
  <c r="R7568" i="3"/>
  <c r="R7569" i="3"/>
  <c r="R7570" i="3"/>
  <c r="R7571" i="3"/>
  <c r="R7572" i="3"/>
  <c r="R7573" i="3"/>
  <c r="R7574" i="3"/>
  <c r="R7575" i="3"/>
  <c r="R7576" i="3"/>
  <c r="R7577" i="3"/>
  <c r="R7578" i="3"/>
  <c r="R7579" i="3"/>
  <c r="R7580" i="3"/>
  <c r="R7581" i="3"/>
  <c r="R7582" i="3"/>
  <c r="R7583" i="3"/>
  <c r="R7584" i="3"/>
  <c r="R7585" i="3"/>
  <c r="R7586" i="3"/>
  <c r="R7587" i="3"/>
  <c r="R7588" i="3"/>
  <c r="R7589" i="3"/>
  <c r="R7590" i="3"/>
  <c r="R7591" i="3"/>
  <c r="R7592" i="3"/>
  <c r="R7593" i="3"/>
  <c r="R7594" i="3"/>
  <c r="R7595" i="3"/>
  <c r="R7596" i="3"/>
  <c r="R7597" i="3"/>
  <c r="R7598" i="3"/>
  <c r="R7599" i="3"/>
  <c r="R7600" i="3"/>
  <c r="R7601" i="3"/>
  <c r="R7602" i="3"/>
  <c r="R7603" i="3"/>
  <c r="R7604" i="3"/>
  <c r="R7605" i="3"/>
  <c r="R7606" i="3"/>
  <c r="R7607" i="3"/>
  <c r="R7608" i="3"/>
  <c r="R7609" i="3"/>
  <c r="R7610" i="3"/>
  <c r="R7611" i="3"/>
  <c r="R7612" i="3"/>
  <c r="R7613" i="3"/>
  <c r="R7614" i="3"/>
  <c r="R7615" i="3"/>
  <c r="R7616" i="3"/>
  <c r="R7617" i="3"/>
  <c r="R7618" i="3"/>
  <c r="R7619" i="3"/>
  <c r="R7620" i="3"/>
  <c r="R7621" i="3"/>
  <c r="R7622" i="3"/>
  <c r="R7623" i="3"/>
  <c r="R7624" i="3"/>
  <c r="R7625" i="3"/>
  <c r="R7626" i="3"/>
  <c r="R7627" i="3"/>
  <c r="R7628" i="3"/>
  <c r="R7629" i="3"/>
  <c r="R7630" i="3"/>
  <c r="R7631" i="3"/>
  <c r="R7632" i="3"/>
  <c r="R7633" i="3"/>
  <c r="R7634" i="3"/>
  <c r="R7635" i="3"/>
  <c r="R7636" i="3"/>
  <c r="R7637" i="3"/>
  <c r="R7638" i="3"/>
  <c r="R7639" i="3"/>
  <c r="R7640" i="3"/>
  <c r="R7641" i="3"/>
  <c r="R7642" i="3"/>
  <c r="R7643" i="3"/>
  <c r="R7644" i="3"/>
  <c r="R7645" i="3"/>
  <c r="R7646" i="3"/>
  <c r="R7647" i="3"/>
  <c r="R7648" i="3"/>
  <c r="R7649" i="3"/>
  <c r="R7650" i="3"/>
  <c r="R7651" i="3"/>
  <c r="R7652" i="3"/>
  <c r="R7653" i="3"/>
  <c r="R7654" i="3"/>
  <c r="R7655" i="3"/>
  <c r="R7656" i="3"/>
  <c r="R7657" i="3"/>
  <c r="R7658" i="3"/>
  <c r="R7659" i="3"/>
  <c r="R7660" i="3"/>
  <c r="R7661" i="3"/>
  <c r="R7662" i="3"/>
  <c r="R7663" i="3"/>
  <c r="R7664" i="3"/>
  <c r="R7665" i="3"/>
  <c r="R7666" i="3"/>
  <c r="R7667" i="3"/>
  <c r="R7668" i="3"/>
  <c r="R7669" i="3"/>
  <c r="R7670" i="3"/>
  <c r="R7671" i="3"/>
  <c r="R7672" i="3"/>
  <c r="R7673" i="3"/>
  <c r="R7674" i="3"/>
  <c r="R7675" i="3"/>
  <c r="R7676" i="3"/>
  <c r="R7677" i="3"/>
  <c r="R7678" i="3"/>
  <c r="R7679" i="3"/>
  <c r="R7680" i="3"/>
  <c r="R7681" i="3"/>
  <c r="R7682" i="3"/>
  <c r="R7683" i="3"/>
  <c r="R7684" i="3"/>
  <c r="R7685" i="3"/>
  <c r="R7686" i="3"/>
  <c r="R7687" i="3"/>
  <c r="R7688" i="3"/>
  <c r="R7689" i="3"/>
  <c r="R7690" i="3"/>
  <c r="R7691" i="3"/>
  <c r="R7692" i="3"/>
  <c r="R7693" i="3"/>
  <c r="R7694" i="3"/>
  <c r="R7695" i="3"/>
  <c r="R7696" i="3"/>
  <c r="R7697" i="3"/>
  <c r="R7698" i="3"/>
  <c r="R7699" i="3"/>
  <c r="R7700" i="3"/>
  <c r="R7701" i="3"/>
  <c r="R7702" i="3"/>
  <c r="R7703" i="3"/>
  <c r="R7704" i="3"/>
  <c r="R7705" i="3"/>
  <c r="R7706" i="3"/>
  <c r="R7707" i="3"/>
  <c r="R7708" i="3"/>
  <c r="R7709" i="3"/>
  <c r="R7710" i="3"/>
  <c r="R7711" i="3"/>
  <c r="R7712" i="3"/>
  <c r="R7713" i="3"/>
  <c r="R7714" i="3"/>
  <c r="R7715" i="3"/>
  <c r="R7716" i="3"/>
  <c r="R7717" i="3"/>
  <c r="R7718" i="3"/>
  <c r="R7719" i="3"/>
  <c r="R7720" i="3"/>
  <c r="R7721" i="3"/>
  <c r="R7722" i="3"/>
  <c r="R7723" i="3"/>
  <c r="R7724" i="3"/>
  <c r="R7725" i="3"/>
  <c r="R7726" i="3"/>
  <c r="R7727" i="3"/>
  <c r="R7728" i="3"/>
  <c r="R7729" i="3"/>
  <c r="R7730" i="3"/>
  <c r="R7731" i="3"/>
  <c r="R7732" i="3"/>
  <c r="R7733" i="3"/>
  <c r="R7734" i="3"/>
  <c r="R7735" i="3"/>
  <c r="R7736" i="3"/>
  <c r="R7737" i="3"/>
  <c r="R7738" i="3"/>
  <c r="R7739" i="3"/>
  <c r="R7740" i="3"/>
  <c r="R7741" i="3"/>
  <c r="R7742" i="3"/>
  <c r="R7743" i="3"/>
  <c r="R7744" i="3"/>
  <c r="R7745" i="3"/>
  <c r="R7746" i="3"/>
  <c r="R7747" i="3"/>
  <c r="R7748" i="3"/>
  <c r="R7749" i="3"/>
  <c r="R7750" i="3"/>
  <c r="R7751" i="3"/>
  <c r="R7752" i="3"/>
  <c r="R7753" i="3"/>
  <c r="R7754" i="3"/>
  <c r="R7755" i="3"/>
  <c r="R7756" i="3"/>
  <c r="R7757" i="3"/>
  <c r="R7758" i="3"/>
  <c r="R7759" i="3"/>
  <c r="R7760" i="3"/>
  <c r="R7761" i="3"/>
  <c r="R7762" i="3"/>
  <c r="R7763" i="3"/>
  <c r="R7764" i="3"/>
  <c r="R7765" i="3"/>
  <c r="R7766" i="3"/>
  <c r="R7767" i="3"/>
  <c r="R7768" i="3"/>
  <c r="R7769" i="3"/>
  <c r="R7770" i="3"/>
  <c r="R7771" i="3"/>
  <c r="R7772" i="3"/>
  <c r="R7773" i="3"/>
  <c r="R7774" i="3"/>
  <c r="R7775" i="3"/>
  <c r="R7776" i="3"/>
  <c r="R7777" i="3"/>
  <c r="R7778" i="3"/>
  <c r="R7779" i="3"/>
  <c r="R7780" i="3"/>
  <c r="R7781" i="3"/>
  <c r="R7782" i="3"/>
  <c r="R7783" i="3"/>
  <c r="R7784" i="3"/>
  <c r="R7785" i="3"/>
  <c r="R7786" i="3"/>
  <c r="R7787" i="3"/>
  <c r="R7788" i="3"/>
  <c r="R7789" i="3"/>
  <c r="R7790" i="3"/>
  <c r="R7791" i="3"/>
  <c r="R7792" i="3"/>
  <c r="R7793" i="3"/>
  <c r="R7794" i="3"/>
  <c r="R7795" i="3"/>
  <c r="R7796" i="3"/>
  <c r="R7797" i="3"/>
  <c r="R7798" i="3"/>
  <c r="R7799" i="3"/>
  <c r="R7800" i="3"/>
  <c r="R7801" i="3"/>
  <c r="R7802" i="3"/>
  <c r="R7803" i="3"/>
  <c r="R7804" i="3"/>
  <c r="R7805" i="3"/>
  <c r="R7806" i="3"/>
  <c r="R7807" i="3"/>
  <c r="R7808" i="3"/>
  <c r="R7809" i="3"/>
  <c r="R7810" i="3"/>
  <c r="R7811" i="3"/>
  <c r="R7812" i="3"/>
  <c r="R7813" i="3"/>
  <c r="R7814" i="3"/>
  <c r="R7815" i="3"/>
  <c r="R7816" i="3"/>
  <c r="R7817" i="3"/>
  <c r="R7818" i="3"/>
  <c r="R7819" i="3"/>
  <c r="R7820" i="3"/>
  <c r="R7821" i="3"/>
  <c r="R7822" i="3"/>
  <c r="R7823" i="3"/>
  <c r="R7824" i="3"/>
  <c r="R7825" i="3"/>
  <c r="R7826" i="3"/>
  <c r="R7827" i="3"/>
  <c r="R7828" i="3"/>
  <c r="R7829" i="3"/>
  <c r="R7830" i="3"/>
  <c r="R7831" i="3"/>
  <c r="R7832" i="3"/>
  <c r="R7833" i="3"/>
  <c r="R7834" i="3"/>
  <c r="R7835" i="3"/>
  <c r="R7836" i="3"/>
  <c r="R7837" i="3"/>
  <c r="R7838" i="3"/>
  <c r="R7839" i="3"/>
  <c r="R7840" i="3"/>
  <c r="R7841" i="3"/>
  <c r="R7842" i="3"/>
  <c r="R7843" i="3"/>
  <c r="R7844" i="3"/>
  <c r="R7845" i="3"/>
  <c r="R7846" i="3"/>
  <c r="R7847" i="3"/>
  <c r="R7848" i="3"/>
  <c r="R7849" i="3"/>
  <c r="R7850" i="3"/>
  <c r="R7851" i="3"/>
  <c r="R7852" i="3"/>
  <c r="R7853" i="3"/>
  <c r="R7854" i="3"/>
  <c r="R7855" i="3"/>
  <c r="R7856" i="3"/>
  <c r="R7857" i="3"/>
  <c r="R7858" i="3"/>
  <c r="R7859" i="3"/>
  <c r="R7860" i="3"/>
  <c r="R7861" i="3"/>
  <c r="R7862" i="3"/>
  <c r="R7863" i="3"/>
  <c r="R7864" i="3"/>
  <c r="R7865" i="3"/>
  <c r="R7866" i="3"/>
  <c r="R7867" i="3"/>
  <c r="R7868" i="3"/>
  <c r="R7869" i="3"/>
  <c r="R7870" i="3"/>
  <c r="R7871" i="3"/>
  <c r="R7872" i="3"/>
  <c r="R7873" i="3"/>
  <c r="R7874" i="3"/>
  <c r="R7875" i="3"/>
  <c r="R7876" i="3"/>
  <c r="R7877" i="3"/>
  <c r="R7878" i="3"/>
  <c r="R7879" i="3"/>
  <c r="R7880" i="3"/>
  <c r="R7881" i="3"/>
  <c r="R7882" i="3"/>
  <c r="R7883" i="3"/>
  <c r="R7884" i="3"/>
  <c r="R7885" i="3"/>
  <c r="R7886" i="3"/>
  <c r="R7887" i="3"/>
  <c r="R7888" i="3"/>
  <c r="R7889" i="3"/>
  <c r="R7890" i="3"/>
  <c r="R7891" i="3"/>
  <c r="R7892" i="3"/>
  <c r="R7893" i="3"/>
  <c r="R7894" i="3"/>
  <c r="R7895" i="3"/>
  <c r="R7896" i="3"/>
  <c r="R7897" i="3"/>
  <c r="R7898" i="3"/>
  <c r="R7899" i="3"/>
  <c r="R7900" i="3"/>
  <c r="R7901" i="3"/>
  <c r="R7902" i="3"/>
  <c r="R7903" i="3"/>
  <c r="R7904" i="3"/>
  <c r="R7905" i="3"/>
  <c r="R7906" i="3"/>
  <c r="R7907" i="3"/>
  <c r="R7908" i="3"/>
  <c r="R7909" i="3"/>
  <c r="R7910" i="3"/>
  <c r="R7911" i="3"/>
  <c r="R7912" i="3"/>
  <c r="R7913" i="3"/>
  <c r="R7914" i="3"/>
  <c r="R7915" i="3"/>
  <c r="R7916" i="3"/>
  <c r="R7917" i="3"/>
  <c r="R7918" i="3"/>
  <c r="R7919" i="3"/>
  <c r="R7920" i="3"/>
  <c r="R7921" i="3"/>
  <c r="R7922" i="3"/>
  <c r="R7923" i="3"/>
  <c r="R7924" i="3"/>
  <c r="R7925" i="3"/>
  <c r="R7926" i="3"/>
  <c r="R7927" i="3"/>
  <c r="R7928" i="3"/>
  <c r="R7929" i="3"/>
  <c r="R7930" i="3"/>
  <c r="R7931" i="3"/>
  <c r="R7932" i="3"/>
  <c r="R7933" i="3"/>
  <c r="R7934" i="3"/>
  <c r="R7935" i="3"/>
  <c r="R7936" i="3"/>
  <c r="R7937" i="3"/>
  <c r="R7938" i="3"/>
  <c r="R7939" i="3"/>
  <c r="R7940" i="3"/>
  <c r="R7941" i="3"/>
  <c r="R7942" i="3"/>
  <c r="R7943" i="3"/>
  <c r="R7944" i="3"/>
  <c r="R7945" i="3"/>
  <c r="R7946" i="3"/>
  <c r="R7947" i="3"/>
  <c r="R7948" i="3"/>
  <c r="R7949" i="3"/>
  <c r="R7950" i="3"/>
  <c r="R7951" i="3"/>
  <c r="R7952" i="3"/>
  <c r="R7953" i="3"/>
  <c r="R7954" i="3"/>
  <c r="R7955" i="3"/>
  <c r="R7956" i="3"/>
  <c r="R7957" i="3"/>
  <c r="R7958" i="3"/>
  <c r="R7959" i="3"/>
  <c r="R7960" i="3"/>
  <c r="R7961" i="3"/>
  <c r="R7962" i="3"/>
  <c r="R7963" i="3"/>
  <c r="R7964" i="3"/>
  <c r="R7965" i="3"/>
  <c r="R7966" i="3"/>
  <c r="R7967" i="3"/>
  <c r="R7968" i="3"/>
  <c r="R7969" i="3"/>
  <c r="R7970" i="3"/>
  <c r="R7971" i="3"/>
  <c r="R7972" i="3"/>
  <c r="R7973" i="3"/>
  <c r="R7974" i="3"/>
  <c r="R7975" i="3"/>
  <c r="R7976" i="3"/>
  <c r="R7977" i="3"/>
  <c r="R7978" i="3"/>
  <c r="R7979" i="3"/>
  <c r="R7980" i="3"/>
  <c r="R7981" i="3"/>
  <c r="R7982" i="3"/>
  <c r="R7983" i="3"/>
  <c r="R7984" i="3"/>
  <c r="R7985" i="3"/>
  <c r="R7986" i="3"/>
  <c r="R7987" i="3"/>
  <c r="R7988" i="3"/>
  <c r="R7989" i="3"/>
  <c r="R7990" i="3"/>
  <c r="R7991" i="3"/>
  <c r="R7992" i="3"/>
  <c r="R7993" i="3"/>
  <c r="R7994" i="3"/>
  <c r="R7995" i="3"/>
  <c r="R7996" i="3"/>
  <c r="R7997" i="3"/>
  <c r="R7998" i="3"/>
  <c r="R7999" i="3"/>
  <c r="R8000" i="3"/>
  <c r="R8001" i="3"/>
  <c r="R8002" i="3"/>
  <c r="R8003" i="3"/>
  <c r="R8004" i="3"/>
  <c r="R8005" i="3"/>
  <c r="R8006" i="3"/>
  <c r="R8007" i="3"/>
  <c r="R8008" i="3"/>
  <c r="R8009" i="3"/>
  <c r="R8010" i="3"/>
  <c r="R8011" i="3"/>
  <c r="R8012" i="3"/>
  <c r="R8013" i="3"/>
  <c r="R8014" i="3"/>
  <c r="R8015" i="3"/>
  <c r="R8016" i="3"/>
  <c r="R8017" i="3"/>
  <c r="R8018" i="3"/>
  <c r="R8019" i="3"/>
  <c r="R8020" i="3"/>
  <c r="R8021" i="3"/>
  <c r="R8022" i="3"/>
  <c r="R8023" i="3"/>
  <c r="R8024" i="3"/>
  <c r="R8025" i="3"/>
  <c r="R8026" i="3"/>
  <c r="R8027" i="3"/>
  <c r="R8028" i="3"/>
  <c r="R8029" i="3"/>
  <c r="R8030" i="3"/>
  <c r="R8031" i="3"/>
  <c r="R8032" i="3"/>
  <c r="R8033" i="3"/>
  <c r="R8034" i="3"/>
  <c r="R8035" i="3"/>
  <c r="R8036" i="3"/>
  <c r="R8037" i="3"/>
  <c r="R8038" i="3"/>
  <c r="R8039" i="3"/>
  <c r="R8040" i="3"/>
  <c r="R8041" i="3"/>
  <c r="R8042" i="3"/>
  <c r="R8043" i="3"/>
  <c r="R8044" i="3"/>
  <c r="R8045" i="3"/>
  <c r="R8046" i="3"/>
  <c r="R8047" i="3"/>
  <c r="R8048" i="3"/>
  <c r="R8049" i="3"/>
  <c r="R8050" i="3"/>
  <c r="R8051" i="3"/>
  <c r="R8052" i="3"/>
  <c r="R8053" i="3"/>
  <c r="R8054" i="3"/>
  <c r="R8055" i="3"/>
  <c r="R8056" i="3"/>
  <c r="R8057" i="3"/>
  <c r="R8058" i="3"/>
  <c r="R8059" i="3"/>
  <c r="R8060" i="3"/>
  <c r="R8061" i="3"/>
  <c r="R8062" i="3"/>
  <c r="R8063" i="3"/>
  <c r="R8064" i="3"/>
  <c r="R8065" i="3"/>
  <c r="R8066" i="3"/>
  <c r="R8067" i="3"/>
  <c r="R8068" i="3"/>
  <c r="R8069" i="3"/>
  <c r="R8070" i="3"/>
  <c r="R8071" i="3"/>
  <c r="R8072" i="3"/>
  <c r="R8073" i="3"/>
  <c r="R8074" i="3"/>
  <c r="R8075" i="3"/>
  <c r="R8076" i="3"/>
  <c r="R8077" i="3"/>
  <c r="R8078" i="3"/>
  <c r="R8079" i="3"/>
  <c r="R8080" i="3"/>
  <c r="R8081" i="3"/>
  <c r="R8082" i="3"/>
  <c r="R8083" i="3"/>
  <c r="R8084" i="3"/>
  <c r="R8085" i="3"/>
  <c r="R8086" i="3"/>
  <c r="R8087" i="3"/>
  <c r="R8088" i="3"/>
  <c r="R8089" i="3"/>
  <c r="R8090" i="3"/>
  <c r="R8091" i="3"/>
  <c r="R8092" i="3"/>
  <c r="R8093" i="3"/>
  <c r="R8094" i="3"/>
  <c r="R8095" i="3"/>
  <c r="R8096" i="3"/>
  <c r="R8097" i="3"/>
  <c r="R8098" i="3"/>
  <c r="R8099" i="3"/>
  <c r="R8100" i="3"/>
  <c r="R8101" i="3"/>
  <c r="R8102" i="3"/>
  <c r="R8103" i="3"/>
  <c r="R8104" i="3"/>
  <c r="R8105" i="3"/>
  <c r="R8106" i="3"/>
  <c r="R8107" i="3"/>
  <c r="R8108" i="3"/>
  <c r="R8109" i="3"/>
  <c r="R8110" i="3"/>
  <c r="R8111" i="3"/>
  <c r="R8112" i="3"/>
  <c r="R8113" i="3"/>
  <c r="R8114" i="3"/>
  <c r="R8115" i="3"/>
  <c r="R8116" i="3"/>
  <c r="R8117" i="3"/>
  <c r="R8118" i="3"/>
  <c r="R8119" i="3"/>
  <c r="R8120" i="3"/>
  <c r="R8121" i="3"/>
  <c r="R8122" i="3"/>
  <c r="R8123" i="3"/>
  <c r="R8124" i="3"/>
  <c r="R8125" i="3"/>
  <c r="R8126" i="3"/>
  <c r="R8127" i="3"/>
  <c r="R8128" i="3"/>
  <c r="R8129" i="3"/>
  <c r="R8130" i="3"/>
  <c r="R8131" i="3"/>
  <c r="R8132" i="3"/>
  <c r="R8133" i="3"/>
  <c r="R8134" i="3"/>
  <c r="R8135" i="3"/>
  <c r="R8136" i="3"/>
  <c r="R8137" i="3"/>
  <c r="R8138" i="3"/>
  <c r="R8139" i="3"/>
  <c r="R8140" i="3"/>
  <c r="R8141" i="3"/>
  <c r="R8142" i="3"/>
  <c r="R8143" i="3"/>
  <c r="R8144" i="3"/>
  <c r="R8145" i="3"/>
  <c r="R8146" i="3"/>
  <c r="R8147" i="3"/>
  <c r="R8148" i="3"/>
  <c r="R8149" i="3"/>
  <c r="R8150" i="3"/>
  <c r="R8151" i="3"/>
  <c r="R8152" i="3"/>
  <c r="R8153" i="3"/>
  <c r="R8154" i="3"/>
  <c r="R8155" i="3"/>
  <c r="R8156" i="3"/>
  <c r="R8157" i="3"/>
  <c r="R8158" i="3"/>
  <c r="R8159" i="3"/>
  <c r="R8160" i="3"/>
  <c r="R8161" i="3"/>
  <c r="R8162" i="3"/>
  <c r="R8163" i="3"/>
  <c r="R8164" i="3"/>
  <c r="R8165" i="3"/>
  <c r="R8166" i="3"/>
  <c r="R8167" i="3"/>
  <c r="R8168" i="3"/>
  <c r="R8169" i="3"/>
  <c r="R8170" i="3"/>
  <c r="R8171" i="3"/>
  <c r="R8172" i="3"/>
  <c r="R8173" i="3"/>
  <c r="R8174" i="3"/>
  <c r="R8175" i="3"/>
  <c r="R8176" i="3"/>
  <c r="R8177" i="3"/>
  <c r="R8178" i="3"/>
  <c r="R8179" i="3"/>
  <c r="R8180" i="3"/>
  <c r="R8181" i="3"/>
  <c r="R8182" i="3"/>
  <c r="R8183" i="3"/>
  <c r="R8184" i="3"/>
  <c r="R8185" i="3"/>
  <c r="R8186" i="3"/>
  <c r="R8187" i="3"/>
  <c r="R8188" i="3"/>
  <c r="R8189" i="3"/>
  <c r="R8190" i="3"/>
  <c r="R8191" i="3"/>
  <c r="R8192" i="3"/>
  <c r="R8193" i="3"/>
  <c r="R8194" i="3"/>
  <c r="R8195" i="3"/>
  <c r="R8196" i="3"/>
  <c r="R8197" i="3"/>
  <c r="R8198" i="3"/>
  <c r="R8199" i="3"/>
  <c r="R8200" i="3"/>
  <c r="R8201" i="3"/>
  <c r="R8202" i="3"/>
  <c r="R8203" i="3"/>
  <c r="R8204" i="3"/>
  <c r="R8205" i="3"/>
  <c r="R8206" i="3"/>
  <c r="R8207" i="3"/>
  <c r="R8208" i="3"/>
  <c r="R8209" i="3"/>
  <c r="R8210" i="3"/>
  <c r="R8211" i="3"/>
  <c r="R8212" i="3"/>
  <c r="R8213" i="3"/>
  <c r="R8214" i="3"/>
  <c r="R8215" i="3"/>
  <c r="R8216" i="3"/>
  <c r="R8217" i="3"/>
  <c r="R8218" i="3"/>
  <c r="R8219" i="3"/>
  <c r="R8220" i="3"/>
  <c r="R8221" i="3"/>
  <c r="R8222" i="3"/>
  <c r="R8223" i="3"/>
  <c r="R8224" i="3"/>
  <c r="R8225" i="3"/>
  <c r="R8226" i="3"/>
  <c r="R8227" i="3"/>
  <c r="R8228" i="3"/>
  <c r="R8229" i="3"/>
  <c r="R8230" i="3"/>
  <c r="R8231" i="3"/>
  <c r="R8232" i="3"/>
  <c r="R8233" i="3"/>
  <c r="R8234" i="3"/>
  <c r="R8235" i="3"/>
  <c r="R8236" i="3"/>
  <c r="R8237" i="3"/>
  <c r="R8238" i="3"/>
  <c r="R8239" i="3"/>
  <c r="R8240" i="3"/>
  <c r="R8241" i="3"/>
  <c r="R8242" i="3"/>
  <c r="R8243" i="3"/>
  <c r="R8244" i="3"/>
  <c r="R8245" i="3"/>
  <c r="R8246" i="3"/>
  <c r="R8247" i="3"/>
  <c r="R8248" i="3"/>
  <c r="R8249" i="3"/>
  <c r="R8250" i="3"/>
  <c r="R8251" i="3"/>
  <c r="R8252" i="3"/>
  <c r="R8253" i="3"/>
  <c r="R8254" i="3"/>
  <c r="R8255" i="3"/>
  <c r="R8256" i="3"/>
  <c r="R8257" i="3"/>
  <c r="R8258" i="3"/>
  <c r="R8259" i="3"/>
  <c r="R8260" i="3"/>
  <c r="R8261" i="3"/>
  <c r="R8262" i="3"/>
  <c r="R8263" i="3"/>
  <c r="R8264" i="3"/>
  <c r="R8265" i="3"/>
  <c r="R8266" i="3"/>
  <c r="R8267" i="3"/>
  <c r="R8268" i="3"/>
  <c r="R8269" i="3"/>
  <c r="R8270" i="3"/>
  <c r="R8271" i="3"/>
  <c r="R8272" i="3"/>
  <c r="R8273" i="3"/>
  <c r="R8274" i="3"/>
  <c r="R8275" i="3"/>
  <c r="R8276" i="3"/>
  <c r="R8277" i="3"/>
  <c r="R8278" i="3"/>
  <c r="R8279" i="3"/>
  <c r="R8280" i="3"/>
  <c r="R8281" i="3"/>
  <c r="R8282" i="3"/>
  <c r="R8283" i="3"/>
  <c r="R8284" i="3"/>
  <c r="R8285" i="3"/>
  <c r="R8286" i="3"/>
  <c r="R8287" i="3"/>
  <c r="R8288" i="3"/>
  <c r="R8289" i="3"/>
  <c r="R8290" i="3"/>
  <c r="R8291" i="3"/>
  <c r="R8292" i="3"/>
  <c r="R8293" i="3"/>
  <c r="R8294" i="3"/>
  <c r="R8295" i="3"/>
  <c r="R8296" i="3"/>
  <c r="R8297" i="3"/>
  <c r="R8298" i="3"/>
  <c r="R8299" i="3"/>
  <c r="R8300" i="3"/>
  <c r="R8301" i="3"/>
  <c r="R8302" i="3"/>
  <c r="R8303" i="3"/>
  <c r="R8304" i="3"/>
  <c r="R8305" i="3"/>
  <c r="R8306" i="3"/>
  <c r="R8307" i="3"/>
  <c r="R8308" i="3"/>
  <c r="R8309" i="3"/>
  <c r="R8310" i="3"/>
  <c r="R8311" i="3"/>
  <c r="R8312" i="3"/>
  <c r="R8313" i="3"/>
  <c r="R8314" i="3"/>
  <c r="R8315" i="3"/>
  <c r="R8316" i="3"/>
  <c r="R8317" i="3"/>
  <c r="R8318" i="3"/>
  <c r="R8319" i="3"/>
  <c r="R8320" i="3"/>
  <c r="R8321" i="3"/>
  <c r="R8322" i="3"/>
  <c r="R8323" i="3"/>
  <c r="R8324" i="3"/>
  <c r="R8325" i="3"/>
  <c r="R8326" i="3"/>
  <c r="R8327" i="3"/>
  <c r="R8328" i="3"/>
  <c r="R8329" i="3"/>
  <c r="R8330" i="3"/>
  <c r="R8331" i="3"/>
  <c r="R8332" i="3"/>
  <c r="R8333" i="3"/>
  <c r="R8334" i="3"/>
  <c r="R8335" i="3"/>
  <c r="R8336" i="3"/>
  <c r="R8337" i="3"/>
  <c r="R8338" i="3"/>
  <c r="R8339" i="3"/>
  <c r="R8340" i="3"/>
  <c r="R8341" i="3"/>
  <c r="R8342" i="3"/>
  <c r="R8343" i="3"/>
  <c r="R8344" i="3"/>
  <c r="R8345" i="3"/>
  <c r="R8346" i="3"/>
  <c r="R8347" i="3"/>
  <c r="R8348" i="3"/>
  <c r="R8349" i="3"/>
  <c r="R8350" i="3"/>
  <c r="R8351" i="3"/>
  <c r="R8352" i="3"/>
  <c r="R8353" i="3"/>
  <c r="R8354" i="3"/>
  <c r="R8355" i="3"/>
  <c r="R8356" i="3"/>
  <c r="R8357" i="3"/>
  <c r="R8358" i="3"/>
  <c r="R8359" i="3"/>
  <c r="R8360" i="3"/>
  <c r="R8361" i="3"/>
  <c r="R8362" i="3"/>
  <c r="R8363" i="3"/>
  <c r="R8364" i="3"/>
  <c r="R8365" i="3"/>
  <c r="R8366" i="3"/>
  <c r="R8367" i="3"/>
  <c r="R8368" i="3"/>
  <c r="R8369" i="3"/>
  <c r="R8370" i="3"/>
  <c r="R8371" i="3"/>
  <c r="R8372" i="3"/>
  <c r="R8373" i="3"/>
  <c r="R8374" i="3"/>
  <c r="R8375" i="3"/>
  <c r="R8376" i="3"/>
  <c r="R8377" i="3"/>
  <c r="R8378" i="3"/>
  <c r="R8379" i="3"/>
  <c r="R8380" i="3"/>
  <c r="R8381" i="3"/>
  <c r="R8382" i="3"/>
  <c r="R8383" i="3"/>
  <c r="R8384" i="3"/>
  <c r="R8385" i="3"/>
  <c r="R8386" i="3"/>
  <c r="R8387" i="3"/>
  <c r="R8388" i="3"/>
  <c r="R8389" i="3"/>
  <c r="R8390" i="3"/>
  <c r="R8391" i="3"/>
  <c r="R8392" i="3"/>
  <c r="R8393" i="3"/>
  <c r="R8394" i="3"/>
  <c r="R8395" i="3"/>
  <c r="R8396" i="3"/>
  <c r="R8397" i="3"/>
  <c r="R8398" i="3"/>
  <c r="R8399" i="3"/>
  <c r="R8400" i="3"/>
  <c r="R8401" i="3"/>
  <c r="R8402" i="3"/>
  <c r="R8403" i="3"/>
  <c r="R8404" i="3"/>
  <c r="R8405" i="3"/>
  <c r="R8406" i="3"/>
  <c r="R8407" i="3"/>
  <c r="R8408" i="3"/>
  <c r="R8409" i="3"/>
  <c r="R8410" i="3"/>
  <c r="R8411" i="3"/>
  <c r="R8412" i="3"/>
  <c r="R8413" i="3"/>
  <c r="R8414" i="3"/>
  <c r="R8415" i="3"/>
  <c r="R8416" i="3"/>
  <c r="R8417" i="3"/>
  <c r="R8418" i="3"/>
  <c r="R8419" i="3"/>
  <c r="R8420" i="3"/>
  <c r="R8421" i="3"/>
  <c r="R8422" i="3"/>
  <c r="R8423" i="3"/>
  <c r="R8424" i="3"/>
  <c r="R8425" i="3"/>
  <c r="R8426" i="3"/>
  <c r="R8427" i="3"/>
  <c r="R8428" i="3"/>
  <c r="R8429" i="3"/>
  <c r="R8430" i="3"/>
  <c r="R8431" i="3"/>
  <c r="R8432" i="3"/>
  <c r="R8433" i="3"/>
  <c r="R8434" i="3"/>
  <c r="R8435" i="3"/>
  <c r="R8436" i="3"/>
  <c r="R8437" i="3"/>
  <c r="R8438" i="3"/>
  <c r="R8439" i="3"/>
  <c r="R8440" i="3"/>
  <c r="R8441" i="3"/>
  <c r="R8442" i="3"/>
  <c r="R8443" i="3"/>
  <c r="R8444" i="3"/>
  <c r="R8445" i="3"/>
  <c r="R8446" i="3"/>
  <c r="R8447" i="3"/>
  <c r="R8448" i="3"/>
  <c r="R8449" i="3"/>
  <c r="R8450" i="3"/>
  <c r="R8451" i="3"/>
  <c r="R8452" i="3"/>
  <c r="R8453" i="3"/>
  <c r="R8454" i="3"/>
  <c r="R8455" i="3"/>
  <c r="R8456" i="3"/>
  <c r="R8457" i="3"/>
  <c r="R8458" i="3"/>
  <c r="R8459" i="3"/>
  <c r="R8460" i="3"/>
  <c r="R8461" i="3"/>
  <c r="R8462" i="3"/>
  <c r="R8463" i="3"/>
  <c r="R8464" i="3"/>
  <c r="R8465" i="3"/>
  <c r="R8466" i="3"/>
  <c r="R8467" i="3"/>
  <c r="R8468" i="3"/>
  <c r="R8469" i="3"/>
  <c r="R8470" i="3"/>
  <c r="R8471" i="3"/>
  <c r="R8472" i="3"/>
  <c r="R8473" i="3"/>
  <c r="R8474" i="3"/>
  <c r="R8475" i="3"/>
  <c r="R8476" i="3"/>
  <c r="R8477" i="3"/>
  <c r="R8478" i="3"/>
  <c r="R8479" i="3"/>
  <c r="R8480" i="3"/>
  <c r="R8481" i="3"/>
  <c r="R8482" i="3"/>
  <c r="R8483" i="3"/>
  <c r="R8484" i="3"/>
  <c r="R8485" i="3"/>
  <c r="R8486" i="3"/>
  <c r="R8487" i="3"/>
  <c r="R8488" i="3"/>
  <c r="R8489" i="3"/>
  <c r="R8490" i="3"/>
  <c r="R8491" i="3"/>
  <c r="R8492" i="3"/>
  <c r="R8493" i="3"/>
  <c r="R8494" i="3"/>
  <c r="R8495" i="3"/>
  <c r="R8496" i="3"/>
  <c r="R8497" i="3"/>
  <c r="R8498" i="3"/>
  <c r="R8499" i="3"/>
  <c r="R8500" i="3"/>
  <c r="R8501" i="3"/>
  <c r="R8502" i="3"/>
  <c r="R8503" i="3"/>
  <c r="R8504" i="3"/>
  <c r="R8505" i="3"/>
  <c r="R8506" i="3"/>
  <c r="R8507" i="3"/>
  <c r="R8508" i="3"/>
  <c r="R8509" i="3"/>
  <c r="R8510" i="3"/>
  <c r="R8511" i="3"/>
  <c r="R8512" i="3"/>
  <c r="R8513" i="3"/>
  <c r="R8514" i="3"/>
  <c r="R8515" i="3"/>
  <c r="R8516" i="3"/>
  <c r="R8517" i="3"/>
  <c r="R8518" i="3"/>
  <c r="R8519" i="3"/>
  <c r="R8520" i="3"/>
  <c r="R8521" i="3"/>
  <c r="R8522" i="3"/>
  <c r="R8523" i="3"/>
  <c r="R8524" i="3"/>
  <c r="R8525" i="3"/>
  <c r="R8526" i="3"/>
  <c r="R8527" i="3"/>
  <c r="R8528" i="3"/>
  <c r="R8529" i="3"/>
  <c r="R8530" i="3"/>
  <c r="R8531" i="3"/>
  <c r="R8532" i="3"/>
  <c r="R8533" i="3"/>
  <c r="R8534" i="3"/>
  <c r="R8535" i="3"/>
  <c r="R8536" i="3"/>
  <c r="R8537" i="3"/>
  <c r="R8538" i="3"/>
  <c r="R8539" i="3"/>
  <c r="R8540" i="3"/>
  <c r="R8541" i="3"/>
  <c r="R8542" i="3"/>
  <c r="R8543" i="3"/>
  <c r="R8544" i="3"/>
  <c r="R8545" i="3"/>
  <c r="R8546" i="3"/>
  <c r="R8547" i="3"/>
  <c r="R8548" i="3"/>
  <c r="R8549" i="3"/>
  <c r="R8550" i="3"/>
  <c r="R8551" i="3"/>
  <c r="R8552" i="3"/>
  <c r="R8553" i="3"/>
  <c r="R8554" i="3"/>
  <c r="R8555" i="3"/>
  <c r="R8556" i="3"/>
  <c r="R8557" i="3"/>
  <c r="R8558" i="3"/>
  <c r="R8559" i="3"/>
  <c r="R8560" i="3"/>
  <c r="R8561" i="3"/>
  <c r="R8562" i="3"/>
  <c r="R8563" i="3"/>
  <c r="R8564" i="3"/>
  <c r="R8565" i="3"/>
  <c r="R8566" i="3"/>
  <c r="R8567" i="3"/>
  <c r="R8568" i="3"/>
  <c r="R8569" i="3"/>
  <c r="R8570" i="3"/>
  <c r="R8571" i="3"/>
  <c r="R8572" i="3"/>
  <c r="R8573" i="3"/>
  <c r="R8574" i="3"/>
  <c r="R8575" i="3"/>
  <c r="R8576" i="3"/>
  <c r="R8577" i="3"/>
  <c r="R8578" i="3"/>
  <c r="R8579" i="3"/>
  <c r="R8580" i="3"/>
  <c r="R8581" i="3"/>
  <c r="R8582" i="3"/>
  <c r="R8583" i="3"/>
  <c r="R8584" i="3"/>
  <c r="R8585" i="3"/>
  <c r="R8586" i="3"/>
  <c r="R8587" i="3"/>
  <c r="R8588" i="3"/>
  <c r="R8589" i="3"/>
  <c r="R8590" i="3"/>
  <c r="R8591" i="3"/>
  <c r="R8592" i="3"/>
  <c r="R8593" i="3"/>
  <c r="R8594" i="3"/>
  <c r="R8595" i="3"/>
  <c r="R8596" i="3"/>
  <c r="R8597" i="3"/>
  <c r="R8598" i="3"/>
  <c r="R8599" i="3"/>
  <c r="R8600" i="3"/>
  <c r="R8601" i="3"/>
  <c r="R8602" i="3"/>
  <c r="R8603" i="3"/>
  <c r="R8604" i="3"/>
  <c r="R8605" i="3"/>
  <c r="R8606" i="3"/>
  <c r="R8607" i="3"/>
  <c r="R8608" i="3"/>
  <c r="R8609" i="3"/>
  <c r="R8610" i="3"/>
  <c r="R8611" i="3"/>
  <c r="R8612" i="3"/>
  <c r="R8613" i="3"/>
  <c r="R8614" i="3"/>
  <c r="R8615" i="3"/>
  <c r="R8616" i="3"/>
  <c r="R8617" i="3"/>
  <c r="R8618" i="3"/>
  <c r="R8619" i="3"/>
  <c r="R8620" i="3"/>
  <c r="R8621" i="3"/>
  <c r="R8622" i="3"/>
  <c r="R8623" i="3"/>
  <c r="R8624" i="3"/>
  <c r="R8625" i="3"/>
  <c r="R8626" i="3"/>
  <c r="R8627" i="3"/>
  <c r="R8628" i="3"/>
  <c r="R8629" i="3"/>
  <c r="R8630" i="3"/>
  <c r="R8631" i="3"/>
  <c r="R8632" i="3"/>
  <c r="R8633" i="3"/>
  <c r="R8634" i="3"/>
  <c r="R8635" i="3"/>
  <c r="R8636" i="3"/>
  <c r="R8637" i="3"/>
  <c r="R8638" i="3"/>
  <c r="R8639" i="3"/>
  <c r="R8640" i="3"/>
  <c r="R8641" i="3"/>
  <c r="R8642" i="3"/>
  <c r="R8643" i="3"/>
  <c r="R8644" i="3"/>
  <c r="R8645" i="3"/>
  <c r="R8646" i="3"/>
  <c r="R8647" i="3"/>
  <c r="R8648" i="3"/>
  <c r="R8649" i="3"/>
  <c r="R8650" i="3"/>
  <c r="R8651" i="3"/>
  <c r="R8652" i="3"/>
  <c r="R8653" i="3"/>
  <c r="R8654" i="3"/>
  <c r="R8655" i="3"/>
  <c r="R8656" i="3"/>
  <c r="R8657" i="3"/>
  <c r="R8658" i="3"/>
  <c r="R8659" i="3"/>
  <c r="R8660" i="3"/>
  <c r="R8661" i="3"/>
  <c r="R8662" i="3"/>
  <c r="R8663" i="3"/>
  <c r="R8664" i="3"/>
  <c r="R8665" i="3"/>
  <c r="R8666" i="3"/>
  <c r="R8667" i="3"/>
  <c r="R8668" i="3"/>
  <c r="R8669" i="3"/>
  <c r="R8670" i="3"/>
  <c r="R8671" i="3"/>
  <c r="R8672" i="3"/>
  <c r="R8673" i="3"/>
  <c r="R8674" i="3"/>
  <c r="R8675" i="3"/>
  <c r="R8676" i="3"/>
  <c r="R8677" i="3"/>
  <c r="R8678" i="3"/>
  <c r="R8679" i="3"/>
  <c r="R8680" i="3"/>
  <c r="R8681" i="3"/>
  <c r="R8682" i="3"/>
  <c r="R8683" i="3"/>
  <c r="R8684" i="3"/>
  <c r="R8685" i="3"/>
  <c r="R8686" i="3"/>
  <c r="R8687" i="3"/>
  <c r="R8688" i="3"/>
  <c r="R8689" i="3"/>
  <c r="R8690" i="3"/>
  <c r="R8691" i="3"/>
  <c r="R8692" i="3"/>
  <c r="R8693" i="3"/>
  <c r="R8694" i="3"/>
  <c r="R8695" i="3"/>
  <c r="R8696" i="3"/>
  <c r="R8697" i="3"/>
  <c r="R8698" i="3"/>
  <c r="R8699" i="3"/>
  <c r="R8700" i="3"/>
  <c r="R8701" i="3"/>
  <c r="R8702" i="3"/>
  <c r="R8703" i="3"/>
  <c r="R8704" i="3"/>
  <c r="R8705" i="3"/>
  <c r="R8706" i="3"/>
  <c r="R8707" i="3"/>
  <c r="R8708" i="3"/>
  <c r="R8709" i="3"/>
  <c r="R8710" i="3"/>
  <c r="R8711" i="3"/>
  <c r="R8712" i="3"/>
  <c r="R8713" i="3"/>
  <c r="R8714" i="3"/>
  <c r="R8715" i="3"/>
  <c r="R8716" i="3"/>
  <c r="R8717" i="3"/>
  <c r="R8718" i="3"/>
  <c r="R8719" i="3"/>
  <c r="R8720" i="3"/>
  <c r="R8721" i="3"/>
  <c r="R8722" i="3"/>
  <c r="R8723" i="3"/>
  <c r="R8724" i="3"/>
  <c r="R8725" i="3"/>
  <c r="R8726" i="3"/>
  <c r="R8727" i="3"/>
  <c r="R8728" i="3"/>
  <c r="R8729" i="3"/>
  <c r="R8730" i="3"/>
  <c r="R8731" i="3"/>
  <c r="R8732" i="3"/>
  <c r="R8733" i="3"/>
  <c r="R8734" i="3"/>
  <c r="R8735" i="3"/>
  <c r="R8736" i="3"/>
  <c r="R8737" i="3"/>
  <c r="R8738" i="3"/>
  <c r="R8739" i="3"/>
  <c r="R8740" i="3"/>
  <c r="R8741" i="3"/>
  <c r="R8742" i="3"/>
  <c r="R8743" i="3"/>
  <c r="R8744" i="3"/>
  <c r="R8745" i="3"/>
  <c r="R8746" i="3"/>
  <c r="R8747" i="3"/>
  <c r="R8748" i="3"/>
  <c r="R8749" i="3"/>
  <c r="R8750" i="3"/>
  <c r="R8751" i="3"/>
  <c r="R8752" i="3"/>
  <c r="R8753" i="3"/>
  <c r="R8754" i="3"/>
  <c r="R8755" i="3"/>
  <c r="R8756" i="3"/>
  <c r="R8757" i="3"/>
  <c r="R8758" i="3"/>
  <c r="R8759" i="3"/>
  <c r="R8760" i="3"/>
  <c r="R8761" i="3"/>
  <c r="R8762" i="3"/>
  <c r="R8763" i="3"/>
  <c r="R8764" i="3"/>
  <c r="R8765" i="3"/>
  <c r="R8766" i="3"/>
  <c r="R8767" i="3"/>
  <c r="R8768" i="3"/>
  <c r="R8769" i="3"/>
  <c r="R8770" i="3"/>
  <c r="R8771" i="3"/>
  <c r="R8772" i="3"/>
  <c r="R8773" i="3"/>
  <c r="R8774" i="3"/>
  <c r="R8775" i="3"/>
  <c r="R8776" i="3"/>
  <c r="R8777" i="3"/>
  <c r="R8778" i="3"/>
  <c r="R8779" i="3"/>
  <c r="R8780" i="3"/>
  <c r="R8781" i="3"/>
  <c r="R8782" i="3"/>
  <c r="R8783" i="3"/>
  <c r="R8784" i="3"/>
  <c r="R8785" i="3"/>
  <c r="R8786" i="3"/>
  <c r="R8787" i="3"/>
  <c r="R8788" i="3"/>
  <c r="R8789" i="3"/>
  <c r="R8790" i="3"/>
  <c r="R8791" i="3"/>
  <c r="R8792" i="3"/>
  <c r="R8793" i="3"/>
  <c r="R8794" i="3"/>
  <c r="R8795" i="3"/>
  <c r="R8796" i="3"/>
  <c r="R8797" i="3"/>
  <c r="R8798" i="3"/>
  <c r="R8799" i="3"/>
  <c r="R8800" i="3"/>
  <c r="R8801" i="3"/>
  <c r="R8802" i="3"/>
  <c r="R8803" i="3"/>
  <c r="R8804" i="3"/>
  <c r="R8805" i="3"/>
  <c r="R8806" i="3"/>
  <c r="R8807" i="3"/>
  <c r="R8808" i="3"/>
  <c r="R8809" i="3"/>
  <c r="R8810" i="3"/>
  <c r="R8811" i="3"/>
  <c r="R8812" i="3"/>
  <c r="R8813" i="3"/>
  <c r="R8814" i="3"/>
  <c r="R8815" i="3"/>
  <c r="R8816" i="3"/>
  <c r="R8817" i="3"/>
  <c r="R8818" i="3"/>
  <c r="R8819" i="3"/>
  <c r="R8820" i="3"/>
  <c r="R8821" i="3"/>
  <c r="R8822" i="3"/>
  <c r="R8823" i="3"/>
  <c r="R8824" i="3"/>
  <c r="R8825" i="3"/>
  <c r="R8826" i="3"/>
  <c r="R8827" i="3"/>
  <c r="R8828" i="3"/>
  <c r="R8829" i="3"/>
  <c r="R8830" i="3"/>
  <c r="R8831" i="3"/>
  <c r="R8832" i="3"/>
  <c r="R8833" i="3"/>
  <c r="R8834" i="3"/>
  <c r="R8835" i="3"/>
  <c r="R8836" i="3"/>
  <c r="R8837" i="3"/>
  <c r="R8838" i="3"/>
  <c r="R8839" i="3"/>
  <c r="R8840" i="3"/>
  <c r="R8841" i="3"/>
  <c r="R8842" i="3"/>
  <c r="R8843" i="3"/>
  <c r="R8844" i="3"/>
  <c r="R8845" i="3"/>
  <c r="R8846" i="3"/>
  <c r="R8847" i="3"/>
  <c r="R8848" i="3"/>
  <c r="R8849" i="3"/>
  <c r="R8850" i="3"/>
  <c r="R8851" i="3"/>
  <c r="R8852" i="3"/>
  <c r="R8853" i="3"/>
  <c r="R8854" i="3"/>
  <c r="R8855" i="3"/>
  <c r="R8856" i="3"/>
  <c r="R8857" i="3"/>
  <c r="R8858" i="3"/>
  <c r="R8859" i="3"/>
  <c r="R8860" i="3"/>
  <c r="R8861" i="3"/>
  <c r="R8862" i="3"/>
  <c r="R8863" i="3"/>
  <c r="R8864" i="3"/>
  <c r="R8865" i="3"/>
  <c r="R8866" i="3"/>
  <c r="R8867" i="3"/>
  <c r="R8868" i="3"/>
  <c r="R8869" i="3"/>
  <c r="R8870" i="3"/>
  <c r="R8871" i="3"/>
  <c r="R8872" i="3"/>
  <c r="R8873" i="3"/>
  <c r="R8874" i="3"/>
  <c r="R8875" i="3"/>
  <c r="R8876" i="3"/>
  <c r="R8877" i="3"/>
  <c r="R8878" i="3"/>
  <c r="R8879" i="3"/>
  <c r="R8880" i="3"/>
  <c r="R8881" i="3"/>
  <c r="R8882" i="3"/>
  <c r="R8883" i="3"/>
  <c r="R8884" i="3"/>
  <c r="R8885" i="3"/>
  <c r="R8886" i="3"/>
  <c r="R8887" i="3"/>
  <c r="R8888" i="3"/>
  <c r="R8889" i="3"/>
  <c r="R8890" i="3"/>
  <c r="R8891" i="3"/>
  <c r="R8892" i="3"/>
  <c r="R8893" i="3"/>
  <c r="R8894" i="3"/>
  <c r="R8895" i="3"/>
  <c r="R8896" i="3"/>
  <c r="R8897" i="3"/>
  <c r="R8898" i="3"/>
  <c r="R8899" i="3"/>
  <c r="R8900" i="3"/>
  <c r="R8901" i="3"/>
  <c r="R8902" i="3"/>
  <c r="R8903" i="3"/>
  <c r="R8904" i="3"/>
  <c r="R8905" i="3"/>
  <c r="R8906" i="3"/>
  <c r="R8907" i="3"/>
  <c r="R8908" i="3"/>
  <c r="R8909" i="3"/>
  <c r="R8910" i="3"/>
  <c r="R8911" i="3"/>
  <c r="R8912" i="3"/>
  <c r="R8913" i="3"/>
  <c r="R8914" i="3"/>
  <c r="R8915" i="3"/>
  <c r="R8916" i="3"/>
  <c r="R8917" i="3"/>
  <c r="R8918" i="3"/>
  <c r="R8919" i="3"/>
  <c r="R8920" i="3"/>
  <c r="R8921" i="3"/>
  <c r="R8922" i="3"/>
  <c r="R8923" i="3"/>
  <c r="R8924" i="3"/>
  <c r="R8925" i="3"/>
  <c r="R8926" i="3"/>
  <c r="R8927" i="3"/>
  <c r="R8928" i="3"/>
  <c r="R8929" i="3"/>
  <c r="R8930" i="3"/>
  <c r="R8931" i="3"/>
  <c r="R8932" i="3"/>
  <c r="R8933" i="3"/>
  <c r="R8934" i="3"/>
  <c r="R8935" i="3"/>
  <c r="R8936" i="3"/>
  <c r="R8937" i="3"/>
  <c r="R8938" i="3"/>
  <c r="R8939" i="3"/>
  <c r="R8940" i="3"/>
  <c r="R8941" i="3"/>
  <c r="R8942" i="3"/>
  <c r="R8943" i="3"/>
  <c r="R8944" i="3"/>
  <c r="R8945" i="3"/>
  <c r="R8946" i="3"/>
  <c r="R8947" i="3"/>
  <c r="R8948" i="3"/>
  <c r="R8949" i="3"/>
  <c r="R8950" i="3"/>
  <c r="R8951" i="3"/>
  <c r="R8952" i="3"/>
  <c r="R8953" i="3"/>
  <c r="R8954" i="3"/>
  <c r="R8955" i="3"/>
  <c r="R8956" i="3"/>
  <c r="R8957" i="3"/>
  <c r="R8958" i="3"/>
  <c r="R8959" i="3"/>
  <c r="R8960" i="3"/>
  <c r="R8961" i="3"/>
  <c r="R8962" i="3"/>
  <c r="R8963" i="3"/>
  <c r="R8964" i="3"/>
  <c r="R8965" i="3"/>
  <c r="R8966" i="3"/>
  <c r="R8967" i="3"/>
  <c r="R8968" i="3"/>
  <c r="R8969" i="3"/>
  <c r="R8970" i="3"/>
  <c r="R8971" i="3"/>
  <c r="R8972" i="3"/>
  <c r="R8973" i="3"/>
  <c r="R8974" i="3"/>
  <c r="R8975" i="3"/>
  <c r="R8976" i="3"/>
  <c r="R8977" i="3"/>
  <c r="R8978" i="3"/>
  <c r="R8979" i="3"/>
  <c r="R8980" i="3"/>
  <c r="R8981" i="3"/>
  <c r="R8982" i="3"/>
  <c r="R8983" i="3"/>
  <c r="R8984" i="3"/>
  <c r="R8985" i="3"/>
  <c r="R8986" i="3"/>
  <c r="R8987" i="3"/>
  <c r="R8988" i="3"/>
  <c r="R8989" i="3"/>
  <c r="R8990" i="3"/>
  <c r="R8991" i="3"/>
  <c r="R8992" i="3"/>
  <c r="R8993" i="3"/>
  <c r="R8994" i="3"/>
  <c r="R8995" i="3"/>
  <c r="R8996" i="3"/>
  <c r="R8997" i="3"/>
  <c r="R8998" i="3"/>
  <c r="R8999" i="3"/>
  <c r="R9000" i="3"/>
  <c r="R9001" i="3"/>
  <c r="R9002" i="3"/>
  <c r="R9003" i="3"/>
  <c r="R9004" i="3"/>
  <c r="R9005" i="3"/>
  <c r="R9006" i="3"/>
  <c r="R9007" i="3"/>
  <c r="R9008" i="3"/>
  <c r="R9009" i="3"/>
  <c r="R9010" i="3"/>
  <c r="R9011" i="3"/>
  <c r="R9012" i="3"/>
  <c r="R9013" i="3"/>
  <c r="R9014" i="3"/>
  <c r="R9015" i="3"/>
  <c r="R9016" i="3"/>
  <c r="R9017" i="3"/>
  <c r="R9018" i="3"/>
  <c r="R9019" i="3"/>
  <c r="R9020" i="3"/>
  <c r="R9021" i="3"/>
  <c r="R9022" i="3"/>
  <c r="R9023" i="3"/>
  <c r="R9024" i="3"/>
  <c r="R9025" i="3"/>
  <c r="R9026" i="3"/>
  <c r="R9027" i="3"/>
  <c r="R9028" i="3"/>
  <c r="R9029" i="3"/>
  <c r="R9030" i="3"/>
  <c r="R9031" i="3"/>
  <c r="R9032" i="3"/>
  <c r="R9033" i="3"/>
  <c r="R9034" i="3"/>
  <c r="R9035" i="3"/>
  <c r="R9036" i="3"/>
  <c r="R9037" i="3"/>
  <c r="R9038" i="3"/>
  <c r="R9039" i="3"/>
  <c r="R9040" i="3"/>
  <c r="R9041" i="3"/>
  <c r="R9042" i="3"/>
  <c r="R9043" i="3"/>
  <c r="R9044" i="3"/>
  <c r="R9045" i="3"/>
  <c r="R9046" i="3"/>
  <c r="R9047" i="3"/>
  <c r="R9048" i="3"/>
  <c r="R9049" i="3"/>
  <c r="R9050" i="3"/>
  <c r="R9051" i="3"/>
  <c r="R9052" i="3"/>
  <c r="R9053" i="3"/>
  <c r="R9054" i="3"/>
  <c r="R9055" i="3"/>
  <c r="R9056" i="3"/>
  <c r="R9057" i="3"/>
  <c r="R9058" i="3"/>
  <c r="R9059" i="3"/>
  <c r="R9060" i="3"/>
  <c r="R9061" i="3"/>
  <c r="R9062" i="3"/>
  <c r="R9063" i="3"/>
  <c r="R9064" i="3"/>
  <c r="R9065" i="3"/>
  <c r="R9066" i="3"/>
  <c r="R9067" i="3"/>
  <c r="R9068" i="3"/>
  <c r="R9069" i="3"/>
  <c r="R9070" i="3"/>
  <c r="R9071" i="3"/>
  <c r="R9072" i="3"/>
  <c r="R9073" i="3"/>
  <c r="R9074" i="3"/>
  <c r="R9075" i="3"/>
  <c r="R9076" i="3"/>
  <c r="R9077" i="3"/>
  <c r="R9078" i="3"/>
  <c r="R9079" i="3"/>
  <c r="R9080" i="3"/>
  <c r="R9081" i="3"/>
  <c r="R9082" i="3"/>
  <c r="R9083" i="3"/>
  <c r="R9084" i="3"/>
  <c r="R9085" i="3"/>
  <c r="R9086" i="3"/>
  <c r="R9087" i="3"/>
  <c r="R9088" i="3"/>
  <c r="R9089" i="3"/>
  <c r="R9090" i="3"/>
  <c r="R9091" i="3"/>
  <c r="R9092" i="3"/>
  <c r="R9093" i="3"/>
  <c r="R9094" i="3"/>
  <c r="R9095" i="3"/>
  <c r="R9096" i="3"/>
  <c r="R9097" i="3"/>
  <c r="R9098" i="3"/>
  <c r="R9099" i="3"/>
  <c r="R9100" i="3"/>
  <c r="R9101" i="3"/>
  <c r="R9102" i="3"/>
  <c r="R9103" i="3"/>
  <c r="R9104" i="3"/>
  <c r="R9105" i="3"/>
  <c r="R9106" i="3"/>
  <c r="R9107" i="3"/>
  <c r="R9108" i="3"/>
  <c r="R9109" i="3"/>
  <c r="R9110" i="3"/>
  <c r="R9111" i="3"/>
  <c r="R9112" i="3"/>
  <c r="R9113" i="3"/>
  <c r="R9114" i="3"/>
  <c r="R9115" i="3"/>
  <c r="R9116" i="3"/>
  <c r="R9117" i="3"/>
  <c r="R9118" i="3"/>
  <c r="R9119" i="3"/>
  <c r="R9120" i="3"/>
  <c r="R9121" i="3"/>
  <c r="R9122" i="3"/>
  <c r="R9123" i="3"/>
  <c r="R9124" i="3"/>
  <c r="R9125" i="3"/>
  <c r="R9126" i="3"/>
  <c r="R9127" i="3"/>
  <c r="R9128" i="3"/>
  <c r="R9129" i="3"/>
  <c r="R9130" i="3"/>
  <c r="R9131" i="3"/>
  <c r="R9132" i="3"/>
  <c r="R9133" i="3"/>
  <c r="R9134" i="3"/>
  <c r="R9135" i="3"/>
  <c r="R9136" i="3"/>
  <c r="R9137" i="3"/>
  <c r="R9138" i="3"/>
  <c r="R9139" i="3"/>
  <c r="R9140" i="3"/>
  <c r="R9141" i="3"/>
  <c r="R9142" i="3"/>
  <c r="R9143" i="3"/>
  <c r="R9144" i="3"/>
  <c r="R9145" i="3"/>
  <c r="R9146" i="3"/>
  <c r="R9147" i="3"/>
  <c r="R9148" i="3"/>
  <c r="R9149" i="3"/>
  <c r="R9150" i="3"/>
  <c r="R9151" i="3"/>
  <c r="R9152" i="3"/>
  <c r="R9153" i="3"/>
  <c r="R9154" i="3"/>
  <c r="R9155" i="3"/>
  <c r="R9156" i="3"/>
  <c r="R9157" i="3"/>
  <c r="R9158" i="3"/>
  <c r="R9159" i="3"/>
  <c r="R9160" i="3"/>
  <c r="R9161" i="3"/>
  <c r="R9162" i="3"/>
  <c r="R9163" i="3"/>
  <c r="R9164" i="3"/>
  <c r="R9165" i="3"/>
  <c r="R9166" i="3"/>
  <c r="R9167" i="3"/>
  <c r="R9168" i="3"/>
  <c r="R9169" i="3"/>
  <c r="R9170" i="3"/>
  <c r="R9171" i="3"/>
  <c r="R9172" i="3"/>
  <c r="R9173" i="3"/>
  <c r="R9174" i="3"/>
  <c r="R9175" i="3"/>
  <c r="R9176" i="3"/>
  <c r="R9177" i="3"/>
  <c r="R9178" i="3"/>
  <c r="R9179" i="3"/>
  <c r="R9180" i="3"/>
  <c r="R9181" i="3"/>
  <c r="R9182" i="3"/>
  <c r="R9183" i="3"/>
  <c r="R9184" i="3"/>
  <c r="R9185" i="3"/>
  <c r="R9186" i="3"/>
  <c r="R9187" i="3"/>
  <c r="R9188" i="3"/>
  <c r="R9189" i="3"/>
  <c r="R9190" i="3"/>
  <c r="R9191" i="3"/>
  <c r="R9192" i="3"/>
  <c r="R9193" i="3"/>
  <c r="R9194" i="3"/>
  <c r="R9195" i="3"/>
  <c r="R9196" i="3"/>
  <c r="R9197" i="3"/>
  <c r="R9198" i="3"/>
  <c r="R9199" i="3"/>
  <c r="R9200" i="3"/>
  <c r="R9201" i="3"/>
  <c r="R9202" i="3"/>
  <c r="R9203" i="3"/>
  <c r="R9204" i="3"/>
  <c r="R9205" i="3"/>
  <c r="R9206" i="3"/>
  <c r="R9207" i="3"/>
  <c r="R9208" i="3"/>
  <c r="R9209" i="3"/>
  <c r="R9210" i="3"/>
  <c r="R9211" i="3"/>
  <c r="R9212" i="3"/>
  <c r="R9213" i="3"/>
  <c r="R9214" i="3"/>
  <c r="R9215" i="3"/>
  <c r="R9216" i="3"/>
  <c r="R9217" i="3"/>
  <c r="R9218" i="3"/>
  <c r="R9219" i="3"/>
  <c r="R9220" i="3"/>
  <c r="R9221" i="3"/>
  <c r="R9222" i="3"/>
  <c r="R9223" i="3"/>
  <c r="R9224" i="3"/>
  <c r="R9225" i="3"/>
  <c r="R9226" i="3"/>
  <c r="R9227" i="3"/>
  <c r="R9228" i="3"/>
  <c r="R9229" i="3"/>
  <c r="R9230" i="3"/>
  <c r="R9231" i="3"/>
  <c r="R9232" i="3"/>
  <c r="R9233" i="3"/>
  <c r="R9234" i="3"/>
  <c r="R9235" i="3"/>
  <c r="R9236" i="3"/>
  <c r="R9237" i="3"/>
  <c r="R9238" i="3"/>
  <c r="R9239" i="3"/>
  <c r="R9240" i="3"/>
  <c r="R9241" i="3"/>
  <c r="R9242" i="3"/>
  <c r="R9243" i="3"/>
  <c r="R9244" i="3"/>
  <c r="R9245" i="3"/>
  <c r="R9246" i="3"/>
  <c r="R9247" i="3"/>
  <c r="R9248" i="3"/>
  <c r="R9249" i="3"/>
  <c r="R9250" i="3"/>
  <c r="R9251" i="3"/>
  <c r="R9252" i="3"/>
  <c r="R9253" i="3"/>
  <c r="R9254" i="3"/>
  <c r="R9255" i="3"/>
  <c r="R9256" i="3"/>
  <c r="R9257" i="3"/>
  <c r="R9258" i="3"/>
  <c r="R9259" i="3"/>
  <c r="R9260" i="3"/>
  <c r="R9261" i="3"/>
  <c r="R9262" i="3"/>
  <c r="R9263" i="3"/>
  <c r="R9264" i="3"/>
  <c r="R9265" i="3"/>
  <c r="R9266" i="3"/>
  <c r="R9267" i="3"/>
  <c r="R9268" i="3"/>
  <c r="R9269" i="3"/>
  <c r="R9270" i="3"/>
  <c r="R9271" i="3"/>
  <c r="R9272" i="3"/>
  <c r="R9273" i="3"/>
  <c r="R9274" i="3"/>
  <c r="R9275" i="3"/>
  <c r="R9276" i="3"/>
  <c r="R9277" i="3"/>
  <c r="R9278" i="3"/>
  <c r="R9279" i="3"/>
  <c r="R9280" i="3"/>
  <c r="R9281" i="3"/>
  <c r="R9282" i="3"/>
  <c r="R9283" i="3"/>
  <c r="R9284" i="3"/>
  <c r="R9285" i="3"/>
  <c r="R9286" i="3"/>
  <c r="R9287" i="3"/>
  <c r="R9288" i="3"/>
  <c r="R9289" i="3"/>
  <c r="R9290" i="3"/>
  <c r="R9291" i="3"/>
  <c r="R9292" i="3"/>
  <c r="R9293" i="3"/>
  <c r="R9294" i="3"/>
  <c r="R9295" i="3"/>
  <c r="R9296" i="3"/>
  <c r="R9297" i="3"/>
  <c r="R9298" i="3"/>
  <c r="R9299" i="3"/>
  <c r="R9300" i="3"/>
  <c r="R9301" i="3"/>
  <c r="R9302" i="3"/>
  <c r="R9303" i="3"/>
  <c r="R9304" i="3"/>
  <c r="R9305" i="3"/>
  <c r="R9306" i="3"/>
  <c r="R9307" i="3"/>
  <c r="R9308" i="3"/>
  <c r="R9309" i="3"/>
  <c r="R9310" i="3"/>
  <c r="R9311" i="3"/>
  <c r="R9312" i="3"/>
  <c r="R9313" i="3"/>
  <c r="R9314" i="3"/>
  <c r="R9315" i="3"/>
  <c r="R9316" i="3"/>
  <c r="R9317" i="3"/>
  <c r="R9318" i="3"/>
  <c r="R9319" i="3"/>
  <c r="R9320" i="3"/>
  <c r="R9321" i="3"/>
  <c r="R9322" i="3"/>
  <c r="R9323" i="3"/>
  <c r="R9324" i="3"/>
  <c r="R9325" i="3"/>
  <c r="R9326" i="3"/>
  <c r="R9327" i="3"/>
  <c r="R9328" i="3"/>
  <c r="R9329" i="3"/>
  <c r="R9330" i="3"/>
  <c r="R9331" i="3"/>
  <c r="R9332" i="3"/>
  <c r="R9333" i="3"/>
  <c r="R9334" i="3"/>
  <c r="R9335" i="3"/>
  <c r="R9336" i="3"/>
  <c r="R9337" i="3"/>
  <c r="R9338" i="3"/>
  <c r="R9339" i="3"/>
  <c r="R9340" i="3"/>
  <c r="R9341" i="3"/>
  <c r="R9342" i="3"/>
  <c r="R9343" i="3"/>
  <c r="R9344" i="3"/>
  <c r="R9345" i="3"/>
  <c r="R9346" i="3"/>
  <c r="R9347" i="3"/>
  <c r="R9348" i="3"/>
  <c r="R9349" i="3"/>
  <c r="R9350" i="3"/>
  <c r="R9351" i="3"/>
  <c r="R9352" i="3"/>
  <c r="R9353" i="3"/>
  <c r="R9354" i="3"/>
  <c r="R9355" i="3"/>
  <c r="R9356" i="3"/>
  <c r="R9357" i="3"/>
  <c r="R9358" i="3"/>
  <c r="R9359" i="3"/>
  <c r="R9360" i="3"/>
  <c r="R9361" i="3"/>
  <c r="R9362" i="3"/>
  <c r="R9363" i="3"/>
  <c r="R9364" i="3"/>
  <c r="R9365" i="3"/>
  <c r="R9366" i="3"/>
  <c r="R9367" i="3"/>
  <c r="R9368" i="3"/>
  <c r="R9369" i="3"/>
  <c r="R9370" i="3"/>
  <c r="R9371" i="3"/>
  <c r="R9372" i="3"/>
  <c r="R9373" i="3"/>
  <c r="R9374" i="3"/>
  <c r="R9375" i="3"/>
  <c r="R9376" i="3"/>
  <c r="R9377" i="3"/>
  <c r="R9378" i="3"/>
  <c r="R9379" i="3"/>
  <c r="R9380" i="3"/>
  <c r="R9381" i="3"/>
  <c r="R9382" i="3"/>
  <c r="R9383" i="3"/>
  <c r="R9384" i="3"/>
  <c r="R9385" i="3"/>
  <c r="R9386" i="3"/>
  <c r="R9387" i="3"/>
  <c r="R9388" i="3"/>
  <c r="R9389" i="3"/>
  <c r="R9390" i="3"/>
  <c r="R9391" i="3"/>
  <c r="R9392" i="3"/>
  <c r="R9393" i="3"/>
  <c r="R9394" i="3"/>
  <c r="R9395" i="3"/>
  <c r="R9396" i="3"/>
  <c r="R9397" i="3"/>
  <c r="R9398" i="3"/>
  <c r="R9399" i="3"/>
  <c r="R9400" i="3"/>
  <c r="R9401" i="3"/>
  <c r="R9402" i="3"/>
  <c r="R9403" i="3"/>
  <c r="R9404" i="3"/>
  <c r="R9405" i="3"/>
  <c r="R9406" i="3"/>
  <c r="R9407" i="3"/>
  <c r="R9408" i="3"/>
  <c r="R9409" i="3"/>
  <c r="R9410" i="3"/>
  <c r="R9411" i="3"/>
  <c r="R9412" i="3"/>
  <c r="R9413" i="3"/>
  <c r="R9414" i="3"/>
  <c r="R9415" i="3"/>
  <c r="R9416" i="3"/>
  <c r="R9417" i="3"/>
  <c r="R9418" i="3"/>
  <c r="R9419" i="3"/>
  <c r="R9420" i="3"/>
  <c r="R9421" i="3"/>
  <c r="R9422" i="3"/>
  <c r="R9423" i="3"/>
  <c r="R9424" i="3"/>
  <c r="R9425" i="3"/>
  <c r="R9426" i="3"/>
  <c r="R9427" i="3"/>
  <c r="R9428" i="3"/>
  <c r="R9429" i="3"/>
  <c r="R9430" i="3"/>
  <c r="R9431" i="3"/>
  <c r="R9432" i="3"/>
  <c r="R9433" i="3"/>
  <c r="R9434" i="3"/>
  <c r="R9435" i="3"/>
  <c r="R9436" i="3"/>
  <c r="R9437" i="3"/>
  <c r="R9438" i="3"/>
  <c r="R9439" i="3"/>
  <c r="R9440" i="3"/>
  <c r="R9441" i="3"/>
  <c r="R9442" i="3"/>
  <c r="R9443" i="3"/>
  <c r="R9444" i="3"/>
  <c r="R9445" i="3"/>
  <c r="R9446" i="3"/>
  <c r="R9447" i="3"/>
  <c r="R9448" i="3"/>
  <c r="R9449" i="3"/>
  <c r="R9450" i="3"/>
  <c r="R9451" i="3"/>
  <c r="R9452" i="3"/>
  <c r="R9453" i="3"/>
  <c r="R9454" i="3"/>
  <c r="R9455" i="3"/>
  <c r="R9456" i="3"/>
  <c r="R9457" i="3"/>
  <c r="R9458" i="3"/>
  <c r="R9459" i="3"/>
  <c r="R9460" i="3"/>
  <c r="R9461" i="3"/>
  <c r="R9462" i="3"/>
  <c r="R9463" i="3"/>
  <c r="R9464" i="3"/>
  <c r="R9465" i="3"/>
  <c r="R9466" i="3"/>
  <c r="R9467" i="3"/>
  <c r="R9468" i="3"/>
  <c r="R9469" i="3"/>
  <c r="R9470" i="3"/>
  <c r="R9471" i="3"/>
  <c r="R9472" i="3"/>
  <c r="R9473" i="3"/>
  <c r="R9474" i="3"/>
  <c r="R9475" i="3"/>
  <c r="R9476" i="3"/>
  <c r="R9477" i="3"/>
  <c r="R9478" i="3"/>
  <c r="R9479" i="3"/>
  <c r="R9480" i="3"/>
  <c r="R9481" i="3"/>
  <c r="R9482" i="3"/>
  <c r="R9483" i="3"/>
  <c r="R9484" i="3"/>
  <c r="R9485" i="3"/>
  <c r="R9486" i="3"/>
  <c r="R9487" i="3"/>
  <c r="R9488" i="3"/>
  <c r="R9489" i="3"/>
  <c r="R9490" i="3"/>
  <c r="R9491" i="3"/>
  <c r="R9492" i="3"/>
  <c r="R9493" i="3"/>
  <c r="R9494" i="3"/>
  <c r="R9495" i="3"/>
  <c r="R9496" i="3"/>
  <c r="R9497" i="3"/>
  <c r="R9498" i="3"/>
  <c r="R9499" i="3"/>
  <c r="R9500" i="3"/>
  <c r="R9501" i="3"/>
  <c r="R9502" i="3"/>
  <c r="R9503" i="3"/>
  <c r="R9504" i="3"/>
  <c r="R9505" i="3"/>
  <c r="R9506" i="3"/>
  <c r="R9507" i="3"/>
  <c r="R9508" i="3"/>
  <c r="R9509" i="3"/>
  <c r="R9510" i="3"/>
  <c r="R9511" i="3"/>
  <c r="R9512" i="3"/>
  <c r="R9513" i="3"/>
  <c r="R9514" i="3"/>
  <c r="R9515" i="3"/>
  <c r="R9516" i="3"/>
  <c r="R9517" i="3"/>
  <c r="R9518" i="3"/>
  <c r="R9519" i="3"/>
  <c r="R9520" i="3"/>
  <c r="R9521" i="3"/>
  <c r="R9522" i="3"/>
  <c r="R9523" i="3"/>
  <c r="R9524" i="3"/>
  <c r="R9525" i="3"/>
  <c r="R9526" i="3"/>
  <c r="R9527" i="3"/>
  <c r="R9528" i="3"/>
  <c r="R9529" i="3"/>
  <c r="R9530" i="3"/>
  <c r="R9531" i="3"/>
  <c r="R9532" i="3"/>
  <c r="R9533" i="3"/>
  <c r="R9534" i="3"/>
  <c r="R9535" i="3"/>
  <c r="R9536" i="3"/>
  <c r="R9537" i="3"/>
  <c r="R9538" i="3"/>
  <c r="R9539" i="3"/>
  <c r="R9540" i="3"/>
  <c r="R9541" i="3"/>
  <c r="R9542" i="3"/>
  <c r="R9543" i="3"/>
  <c r="R9544" i="3"/>
  <c r="R9545" i="3"/>
  <c r="R9546" i="3"/>
  <c r="R9547" i="3"/>
  <c r="R9548" i="3"/>
  <c r="R9549" i="3"/>
  <c r="R9550" i="3"/>
  <c r="R9551" i="3"/>
  <c r="R9552" i="3"/>
  <c r="R9553" i="3"/>
  <c r="R9554" i="3"/>
  <c r="R9555" i="3"/>
  <c r="R9556" i="3"/>
  <c r="R9557" i="3"/>
  <c r="R9558" i="3"/>
  <c r="R9559" i="3"/>
  <c r="R9560" i="3"/>
  <c r="R9561" i="3"/>
  <c r="R9562" i="3"/>
  <c r="R9563" i="3"/>
  <c r="R9564" i="3"/>
  <c r="R9565" i="3"/>
  <c r="R9566" i="3"/>
  <c r="R9567" i="3"/>
  <c r="R9568" i="3"/>
  <c r="R9569" i="3"/>
  <c r="R9570" i="3"/>
  <c r="R9571" i="3"/>
  <c r="R9572" i="3"/>
  <c r="R9573" i="3"/>
  <c r="R9574" i="3"/>
  <c r="R9575" i="3"/>
  <c r="R9576" i="3"/>
  <c r="R9577" i="3"/>
  <c r="R9578" i="3"/>
  <c r="R9579" i="3"/>
  <c r="R9580" i="3"/>
  <c r="R9581" i="3"/>
  <c r="R9582" i="3"/>
  <c r="R9583" i="3"/>
  <c r="R9584" i="3"/>
  <c r="R9585" i="3"/>
  <c r="R9586" i="3"/>
  <c r="R9587" i="3"/>
  <c r="R9588" i="3"/>
  <c r="R9589" i="3"/>
  <c r="R9590" i="3"/>
  <c r="R9591" i="3"/>
  <c r="R9592" i="3"/>
  <c r="R9593" i="3"/>
  <c r="R9594" i="3"/>
  <c r="R9595" i="3"/>
  <c r="R9596" i="3"/>
  <c r="R9597" i="3"/>
  <c r="R9598" i="3"/>
  <c r="R9599" i="3"/>
  <c r="R9600" i="3"/>
  <c r="R9601" i="3"/>
  <c r="R9602" i="3"/>
  <c r="R9603" i="3"/>
  <c r="R9604" i="3"/>
  <c r="R9605" i="3"/>
  <c r="R9606" i="3"/>
  <c r="R9607" i="3"/>
  <c r="R9608" i="3"/>
  <c r="R9609" i="3"/>
  <c r="R9610" i="3"/>
  <c r="R9611" i="3"/>
  <c r="R9612" i="3"/>
  <c r="R9613" i="3"/>
  <c r="R9614" i="3"/>
  <c r="R9615" i="3"/>
  <c r="R9616" i="3"/>
  <c r="R9617" i="3"/>
  <c r="R9618" i="3"/>
  <c r="R9619" i="3"/>
  <c r="R9620" i="3"/>
  <c r="R9621" i="3"/>
  <c r="R9622" i="3"/>
  <c r="R9623" i="3"/>
  <c r="R9624" i="3"/>
  <c r="R9625" i="3"/>
  <c r="R9626" i="3"/>
  <c r="R9627" i="3"/>
  <c r="R9628" i="3"/>
  <c r="R9629" i="3"/>
  <c r="R9630" i="3"/>
  <c r="R9631" i="3"/>
  <c r="R9632" i="3"/>
  <c r="R9633" i="3"/>
  <c r="R9634" i="3"/>
  <c r="R9635" i="3"/>
  <c r="R9636" i="3"/>
  <c r="R9637" i="3"/>
  <c r="R9638" i="3"/>
  <c r="R9639" i="3"/>
  <c r="R9640" i="3"/>
  <c r="R9641" i="3"/>
  <c r="R9642" i="3"/>
  <c r="R9643" i="3"/>
  <c r="R9644" i="3"/>
  <c r="R9645" i="3"/>
  <c r="R9646" i="3"/>
  <c r="R9647" i="3"/>
  <c r="R9648" i="3"/>
  <c r="R9649" i="3"/>
  <c r="R9650" i="3"/>
  <c r="R9651" i="3"/>
  <c r="R9652" i="3"/>
  <c r="R9653" i="3"/>
  <c r="R9654" i="3"/>
  <c r="R9655" i="3"/>
  <c r="R9656" i="3"/>
  <c r="R9657" i="3"/>
  <c r="R9658" i="3"/>
  <c r="R9659" i="3"/>
  <c r="R9660" i="3"/>
  <c r="R9661" i="3"/>
  <c r="R9662" i="3"/>
  <c r="R9663" i="3"/>
  <c r="R9664" i="3"/>
  <c r="R9665" i="3"/>
  <c r="R9666" i="3"/>
  <c r="R9667" i="3"/>
  <c r="R9668" i="3"/>
  <c r="R9669" i="3"/>
  <c r="R9670" i="3"/>
  <c r="R9671" i="3"/>
  <c r="R9672" i="3"/>
  <c r="R9673" i="3"/>
  <c r="R9674" i="3"/>
  <c r="R9675" i="3"/>
  <c r="R9676" i="3"/>
  <c r="R9677" i="3"/>
  <c r="R9678" i="3"/>
  <c r="R9679" i="3"/>
  <c r="R9680" i="3"/>
  <c r="R9681" i="3"/>
  <c r="R9682" i="3"/>
  <c r="R9683" i="3"/>
  <c r="R9684" i="3"/>
  <c r="R9685" i="3"/>
  <c r="R9686" i="3"/>
  <c r="R9687" i="3"/>
  <c r="R9688" i="3"/>
  <c r="R9689" i="3"/>
  <c r="R9690" i="3"/>
  <c r="R9691" i="3"/>
  <c r="R9692" i="3"/>
  <c r="R9693" i="3"/>
  <c r="R9694" i="3"/>
  <c r="R9695" i="3"/>
  <c r="R9696" i="3"/>
  <c r="R9697" i="3"/>
  <c r="R9698" i="3"/>
  <c r="R9699" i="3"/>
  <c r="R9700" i="3"/>
  <c r="R9701" i="3"/>
  <c r="R9702" i="3"/>
  <c r="R9703" i="3"/>
  <c r="R9704" i="3"/>
  <c r="R9705" i="3"/>
  <c r="R9706" i="3"/>
  <c r="R9707" i="3"/>
  <c r="R9708" i="3"/>
  <c r="R9709" i="3"/>
  <c r="R9710" i="3"/>
  <c r="R9711" i="3"/>
  <c r="R9712" i="3"/>
  <c r="R9713" i="3"/>
  <c r="R9714" i="3"/>
  <c r="R9715" i="3"/>
  <c r="R9716" i="3"/>
  <c r="R9717" i="3"/>
  <c r="R9718" i="3"/>
  <c r="R9719" i="3"/>
  <c r="R9720" i="3"/>
  <c r="R9721" i="3"/>
  <c r="R9722" i="3"/>
  <c r="R9723" i="3"/>
  <c r="R9724" i="3"/>
  <c r="R9725" i="3"/>
  <c r="R9726" i="3"/>
  <c r="R9727" i="3"/>
  <c r="R9728" i="3"/>
  <c r="R9729" i="3"/>
  <c r="R9730" i="3"/>
  <c r="R9731" i="3"/>
  <c r="R9732" i="3"/>
  <c r="R9733" i="3"/>
  <c r="R9734" i="3"/>
  <c r="R9735" i="3"/>
  <c r="R9736" i="3"/>
  <c r="R9737" i="3"/>
  <c r="R9738" i="3"/>
  <c r="R9739" i="3"/>
  <c r="R9740" i="3"/>
  <c r="R9741" i="3"/>
  <c r="R9742" i="3"/>
  <c r="R9743" i="3"/>
  <c r="R9744" i="3"/>
  <c r="R9745" i="3"/>
  <c r="R9746" i="3"/>
  <c r="R9747" i="3"/>
  <c r="R9748" i="3"/>
  <c r="R9749" i="3"/>
  <c r="R9750" i="3"/>
  <c r="R9751" i="3"/>
  <c r="R9752" i="3"/>
  <c r="R9753" i="3"/>
  <c r="R9754" i="3"/>
  <c r="R9755" i="3"/>
  <c r="R9756" i="3"/>
  <c r="R9757" i="3"/>
  <c r="R9758" i="3"/>
  <c r="R9759" i="3"/>
  <c r="R9760" i="3"/>
  <c r="R9761" i="3"/>
  <c r="R9762" i="3"/>
  <c r="R9763" i="3"/>
  <c r="R9764" i="3"/>
  <c r="R9765" i="3"/>
  <c r="R9766" i="3"/>
  <c r="R9767" i="3"/>
  <c r="R9768" i="3"/>
  <c r="R9769" i="3"/>
  <c r="R9770" i="3"/>
  <c r="R9771" i="3"/>
  <c r="R9772" i="3"/>
  <c r="R9773" i="3"/>
  <c r="R9774" i="3"/>
  <c r="R9775" i="3"/>
  <c r="R9776" i="3"/>
  <c r="R9777" i="3"/>
  <c r="R9778" i="3"/>
  <c r="R9779" i="3"/>
  <c r="R9780" i="3"/>
  <c r="R9781" i="3"/>
  <c r="R9782" i="3"/>
  <c r="R9783" i="3"/>
  <c r="R9784" i="3"/>
  <c r="R9785" i="3"/>
  <c r="R9786" i="3"/>
  <c r="R9787" i="3"/>
  <c r="R9788" i="3"/>
  <c r="R9789" i="3"/>
  <c r="R9790" i="3"/>
  <c r="R9791" i="3"/>
  <c r="R9792" i="3"/>
  <c r="R9793" i="3"/>
  <c r="R9794" i="3"/>
  <c r="R9795" i="3"/>
  <c r="R9796" i="3"/>
  <c r="R9797" i="3"/>
  <c r="R9798" i="3"/>
  <c r="R9799" i="3"/>
  <c r="R9800" i="3"/>
  <c r="R9801" i="3"/>
  <c r="R9802" i="3"/>
  <c r="R9803" i="3"/>
  <c r="R9804" i="3"/>
  <c r="R9805" i="3"/>
  <c r="R9806" i="3"/>
  <c r="R9807" i="3"/>
  <c r="R9808" i="3"/>
  <c r="R9809" i="3"/>
  <c r="R9810" i="3"/>
  <c r="R9811" i="3"/>
  <c r="R9812" i="3"/>
  <c r="R9813" i="3"/>
  <c r="R9814" i="3"/>
  <c r="R9815" i="3"/>
  <c r="R9816" i="3"/>
  <c r="R9817" i="3"/>
  <c r="R9818" i="3"/>
  <c r="R9819" i="3"/>
  <c r="R9820" i="3"/>
  <c r="R9821" i="3"/>
  <c r="R9822" i="3"/>
  <c r="R9823" i="3"/>
  <c r="R9824" i="3"/>
  <c r="R9825" i="3"/>
  <c r="R9826" i="3"/>
  <c r="R9827" i="3"/>
  <c r="R9828" i="3"/>
  <c r="R9829" i="3"/>
  <c r="R9830" i="3"/>
  <c r="R9831" i="3"/>
  <c r="R9832" i="3"/>
  <c r="R9833" i="3"/>
  <c r="R9834" i="3"/>
  <c r="R9835" i="3"/>
  <c r="R9836" i="3"/>
  <c r="R9837" i="3"/>
  <c r="R9838" i="3"/>
  <c r="R9839" i="3"/>
  <c r="R9840" i="3"/>
  <c r="R9841" i="3"/>
  <c r="R9842" i="3"/>
  <c r="R9843" i="3"/>
  <c r="R9844" i="3"/>
  <c r="R9845" i="3"/>
  <c r="R9846" i="3"/>
  <c r="R9847" i="3"/>
  <c r="R9848" i="3"/>
  <c r="R9849" i="3"/>
  <c r="R9850" i="3"/>
  <c r="R9851" i="3"/>
  <c r="R9852" i="3"/>
  <c r="R9853" i="3"/>
  <c r="R9854" i="3"/>
  <c r="R9855" i="3"/>
  <c r="R9856" i="3"/>
  <c r="R9857" i="3"/>
  <c r="R9858" i="3"/>
  <c r="R9859" i="3"/>
  <c r="R9860" i="3"/>
  <c r="R9861" i="3"/>
  <c r="R9862" i="3"/>
  <c r="R9863" i="3"/>
  <c r="R9864" i="3"/>
  <c r="R9865" i="3"/>
  <c r="R9866" i="3"/>
  <c r="R9867" i="3"/>
  <c r="R9868" i="3"/>
  <c r="R9869" i="3"/>
  <c r="R9870" i="3"/>
  <c r="R9871" i="3"/>
  <c r="R9872" i="3"/>
  <c r="R9873" i="3"/>
  <c r="R9874" i="3"/>
  <c r="R9875" i="3"/>
  <c r="R9876" i="3"/>
  <c r="R9877" i="3"/>
  <c r="R9878" i="3"/>
  <c r="R9879" i="3"/>
  <c r="R9880" i="3"/>
  <c r="R9881" i="3"/>
  <c r="R9882" i="3"/>
  <c r="R9883" i="3"/>
  <c r="R9884" i="3"/>
  <c r="R9885" i="3"/>
  <c r="R9886" i="3"/>
  <c r="R9887" i="3"/>
  <c r="R9888" i="3"/>
  <c r="R9889" i="3"/>
  <c r="R9890" i="3"/>
  <c r="R9891" i="3"/>
  <c r="R9892" i="3"/>
  <c r="R9893" i="3"/>
  <c r="R9894" i="3"/>
  <c r="R9895" i="3"/>
  <c r="R9896" i="3"/>
  <c r="R9897" i="3"/>
  <c r="R9898" i="3"/>
  <c r="R9899" i="3"/>
  <c r="R9900" i="3"/>
  <c r="R9901" i="3"/>
  <c r="R9902" i="3"/>
  <c r="R9903" i="3"/>
  <c r="R9904" i="3"/>
  <c r="R9905" i="3"/>
  <c r="R9906" i="3"/>
  <c r="R9907" i="3"/>
  <c r="R9908" i="3"/>
  <c r="R9909" i="3"/>
  <c r="R9910" i="3"/>
  <c r="R9911" i="3"/>
  <c r="R9912" i="3"/>
  <c r="R9913" i="3"/>
  <c r="R9914" i="3"/>
  <c r="R9915" i="3"/>
  <c r="R9916" i="3"/>
  <c r="R9917" i="3"/>
  <c r="R9918" i="3"/>
  <c r="R9919" i="3"/>
  <c r="R9920" i="3"/>
  <c r="R9921" i="3"/>
  <c r="R9922" i="3"/>
  <c r="R9923" i="3"/>
  <c r="R9924" i="3"/>
  <c r="R9925" i="3"/>
  <c r="R9926" i="3"/>
  <c r="R9927" i="3"/>
  <c r="R9928" i="3"/>
  <c r="R9929" i="3"/>
  <c r="R9930" i="3"/>
  <c r="R9931" i="3"/>
  <c r="R9932" i="3"/>
  <c r="R9933" i="3"/>
  <c r="R9934" i="3"/>
  <c r="R9935" i="3"/>
  <c r="R9936" i="3"/>
  <c r="R9937" i="3"/>
  <c r="R9938" i="3"/>
  <c r="R9939" i="3"/>
  <c r="R9940" i="3"/>
  <c r="R9941" i="3"/>
  <c r="R9942" i="3"/>
  <c r="R9943" i="3"/>
  <c r="R9944" i="3"/>
  <c r="R9945" i="3"/>
  <c r="R9946" i="3"/>
  <c r="R9947" i="3"/>
  <c r="R9948" i="3"/>
  <c r="R9949" i="3"/>
  <c r="R9950" i="3"/>
  <c r="R9951" i="3"/>
  <c r="R9952" i="3"/>
  <c r="R9953" i="3"/>
  <c r="R9954" i="3"/>
  <c r="R9955" i="3"/>
  <c r="R9956" i="3"/>
  <c r="R9957" i="3"/>
  <c r="R9958" i="3"/>
  <c r="R9959" i="3"/>
  <c r="R9960" i="3"/>
  <c r="R9961" i="3"/>
  <c r="R9962" i="3"/>
  <c r="R9963" i="3"/>
  <c r="R9964" i="3"/>
  <c r="R9965" i="3"/>
  <c r="R9966" i="3"/>
  <c r="R9967" i="3"/>
  <c r="R9968" i="3"/>
  <c r="R9969" i="3"/>
  <c r="R9970" i="3"/>
  <c r="R9971" i="3"/>
  <c r="R9972" i="3"/>
  <c r="R9973" i="3"/>
  <c r="R9974" i="3"/>
  <c r="R9975" i="3"/>
  <c r="R9976" i="3"/>
  <c r="R9977" i="3"/>
  <c r="R9978" i="3"/>
  <c r="R9979" i="3"/>
  <c r="R9980" i="3"/>
  <c r="R9981" i="3"/>
  <c r="R9982" i="3"/>
  <c r="R9983" i="3"/>
  <c r="R9984" i="3"/>
  <c r="R9985" i="3"/>
  <c r="R9986" i="3"/>
  <c r="R9987" i="3"/>
  <c r="R9988" i="3"/>
  <c r="R9989" i="3"/>
  <c r="R9990" i="3"/>
  <c r="R9991" i="3"/>
  <c r="R9992" i="3"/>
  <c r="R9993" i="3"/>
  <c r="R9994" i="3"/>
  <c r="R9995" i="3"/>
  <c r="R9996" i="3"/>
  <c r="R9997" i="3"/>
  <c r="R9998" i="3"/>
  <c r="R9999" i="3"/>
  <c r="R10000" i="3"/>
  <c r="R10001" i="3"/>
  <c r="R10002" i="3"/>
  <c r="R10003" i="3"/>
  <c r="R10004" i="3"/>
  <c r="R10005" i="3"/>
  <c r="R10006" i="3"/>
  <c r="R10007" i="3"/>
  <c r="R10008" i="3"/>
  <c r="R10009" i="3"/>
  <c r="R10010" i="3"/>
  <c r="R10011" i="3"/>
  <c r="R10012" i="3"/>
  <c r="R10013" i="3"/>
  <c r="R10014" i="3"/>
  <c r="R10015" i="3"/>
  <c r="R10016" i="3"/>
  <c r="R10017" i="3"/>
  <c r="R10018" i="3"/>
  <c r="R10019" i="3"/>
  <c r="R10020" i="3"/>
  <c r="R10021" i="3"/>
  <c r="R10022" i="3"/>
  <c r="R10023" i="3"/>
  <c r="R10024" i="3"/>
  <c r="R10025" i="3"/>
  <c r="R10026" i="3"/>
  <c r="R10027" i="3"/>
  <c r="R10028" i="3"/>
  <c r="R10029" i="3"/>
  <c r="R10030" i="3"/>
  <c r="R10031" i="3"/>
  <c r="R10032" i="3"/>
  <c r="R10033" i="3"/>
  <c r="R10034" i="3"/>
  <c r="R10035" i="3"/>
  <c r="R10036" i="3"/>
  <c r="R10037" i="3"/>
  <c r="R10038" i="3"/>
  <c r="R10039" i="3"/>
  <c r="R10040" i="3"/>
  <c r="R10041" i="3"/>
  <c r="R10042" i="3"/>
  <c r="R10043" i="3"/>
  <c r="R10044" i="3"/>
  <c r="R10045" i="3"/>
  <c r="R10046" i="3"/>
  <c r="R10047" i="3"/>
  <c r="R10048" i="3"/>
  <c r="R10049" i="3"/>
  <c r="R10050" i="3"/>
  <c r="R10051" i="3"/>
  <c r="R10052" i="3"/>
  <c r="R10053" i="3"/>
  <c r="R10054" i="3"/>
  <c r="R10055" i="3"/>
  <c r="R10056" i="3"/>
  <c r="R10057" i="3"/>
  <c r="R10058" i="3"/>
  <c r="R10059" i="3"/>
  <c r="R10060" i="3"/>
  <c r="R10061" i="3"/>
  <c r="R10062" i="3"/>
  <c r="R10063" i="3"/>
  <c r="R10064" i="3"/>
  <c r="R10065" i="3"/>
  <c r="R10066" i="3"/>
  <c r="R10067" i="3"/>
  <c r="R10068" i="3"/>
  <c r="R10069" i="3"/>
  <c r="R10070" i="3"/>
  <c r="R10071" i="3"/>
  <c r="R10072" i="3"/>
  <c r="R10073" i="3"/>
  <c r="R10074" i="3"/>
  <c r="R10075" i="3"/>
  <c r="R10076" i="3"/>
  <c r="R10077" i="3"/>
  <c r="R10078" i="3"/>
  <c r="R10079" i="3"/>
  <c r="R10080" i="3"/>
  <c r="R10081" i="3"/>
  <c r="R10082" i="3"/>
  <c r="R10083" i="3"/>
  <c r="R10084" i="3"/>
  <c r="R10085" i="3"/>
  <c r="R10086" i="3"/>
  <c r="R10087" i="3"/>
  <c r="R10088" i="3"/>
  <c r="R10089" i="3"/>
  <c r="R10090" i="3"/>
  <c r="R10091" i="3"/>
  <c r="R10092" i="3"/>
  <c r="R10093" i="3"/>
  <c r="R10094" i="3"/>
  <c r="R10095" i="3"/>
  <c r="R10096" i="3"/>
  <c r="R10097" i="3"/>
  <c r="R10098" i="3"/>
  <c r="R10099" i="3"/>
  <c r="R10100" i="3"/>
  <c r="R10101" i="3"/>
  <c r="R10102" i="3"/>
  <c r="R10103" i="3"/>
  <c r="R10104" i="3"/>
  <c r="R10105" i="3"/>
  <c r="R10106" i="3"/>
  <c r="R10107" i="3"/>
  <c r="R10108" i="3"/>
  <c r="R10109" i="3"/>
  <c r="R10110" i="3"/>
  <c r="R10111" i="3"/>
  <c r="R10112" i="3"/>
  <c r="R10113" i="3"/>
  <c r="R10114" i="3"/>
  <c r="R10115" i="3"/>
  <c r="R10116" i="3"/>
  <c r="R10117" i="3"/>
  <c r="R10118" i="3"/>
  <c r="R10119" i="3"/>
  <c r="R10120" i="3"/>
  <c r="R10121" i="3"/>
  <c r="R10122" i="3"/>
  <c r="R10123" i="3"/>
  <c r="R10124" i="3"/>
  <c r="R10125" i="3"/>
  <c r="R10126" i="3"/>
  <c r="R10127" i="3"/>
  <c r="R10128" i="3"/>
  <c r="R10129" i="3"/>
  <c r="R10130" i="3"/>
  <c r="R10131" i="3"/>
  <c r="R10132" i="3"/>
  <c r="R10133" i="3"/>
  <c r="R10134" i="3"/>
  <c r="R10135" i="3"/>
  <c r="R10136" i="3"/>
  <c r="R10137" i="3"/>
  <c r="R10138" i="3"/>
  <c r="R10139" i="3"/>
  <c r="R10140" i="3"/>
  <c r="R10141" i="3"/>
  <c r="R10142" i="3"/>
  <c r="R10143" i="3"/>
  <c r="R10144" i="3"/>
  <c r="R10145" i="3"/>
  <c r="R10146" i="3"/>
  <c r="R10147" i="3"/>
  <c r="R10148" i="3"/>
  <c r="R10149" i="3"/>
  <c r="R10150" i="3"/>
  <c r="R10151" i="3"/>
  <c r="R10152" i="3"/>
  <c r="R10153" i="3"/>
  <c r="R10154" i="3"/>
  <c r="R10155" i="3"/>
  <c r="R10156" i="3"/>
  <c r="R10157" i="3"/>
  <c r="R10158" i="3"/>
  <c r="R10159" i="3"/>
  <c r="R10160" i="3"/>
  <c r="R10161" i="3"/>
  <c r="R10162" i="3"/>
  <c r="R10163" i="3"/>
  <c r="R10164" i="3"/>
  <c r="R10165" i="3"/>
  <c r="R10166" i="3"/>
  <c r="R10167" i="3"/>
  <c r="R10168" i="3"/>
  <c r="R10169" i="3"/>
  <c r="R10170" i="3"/>
  <c r="R10171" i="3"/>
  <c r="R10172" i="3"/>
  <c r="R10173" i="3"/>
  <c r="R10174" i="3"/>
  <c r="R10175" i="3"/>
  <c r="R10176" i="3"/>
  <c r="R10177" i="3"/>
  <c r="R10178" i="3"/>
  <c r="R10179" i="3"/>
  <c r="R10180" i="3"/>
  <c r="R10181" i="3"/>
  <c r="R10182" i="3"/>
  <c r="R10183" i="3"/>
  <c r="R10184" i="3"/>
  <c r="R10185" i="3"/>
  <c r="R10186" i="3"/>
  <c r="R10187" i="3"/>
  <c r="R10188" i="3"/>
  <c r="R10189" i="3"/>
  <c r="R10190" i="3"/>
  <c r="R10191" i="3"/>
  <c r="R10192" i="3"/>
  <c r="R10193" i="3"/>
  <c r="R10194" i="3"/>
  <c r="R10195" i="3"/>
  <c r="R10196" i="3"/>
  <c r="R10197" i="3"/>
  <c r="R10198" i="3"/>
  <c r="R10199" i="3"/>
  <c r="R10200" i="3"/>
  <c r="R10201" i="3"/>
  <c r="R10202" i="3"/>
  <c r="R10203" i="3"/>
  <c r="R10204" i="3"/>
  <c r="R10205" i="3"/>
  <c r="R10206" i="3"/>
  <c r="R10207" i="3"/>
  <c r="R10208" i="3"/>
  <c r="R10209" i="3"/>
  <c r="R10210" i="3"/>
  <c r="R10211" i="3"/>
  <c r="R10212" i="3"/>
  <c r="R10213" i="3"/>
  <c r="R10214" i="3"/>
  <c r="R10215" i="3"/>
  <c r="R10216" i="3"/>
  <c r="R10217" i="3"/>
  <c r="R10218" i="3"/>
  <c r="R10219" i="3"/>
  <c r="R10220" i="3"/>
  <c r="R10221" i="3"/>
  <c r="R10222" i="3"/>
  <c r="R10223" i="3"/>
  <c r="R10224" i="3"/>
  <c r="R10225" i="3"/>
  <c r="R10226" i="3"/>
  <c r="R10227" i="3"/>
  <c r="R10228" i="3"/>
  <c r="R10229" i="3"/>
  <c r="R10230" i="3"/>
  <c r="R10231" i="3"/>
  <c r="R10232" i="3"/>
  <c r="R10233" i="3"/>
  <c r="R10234" i="3"/>
  <c r="R10235" i="3"/>
  <c r="R10236" i="3"/>
  <c r="R10237" i="3"/>
  <c r="R10238" i="3"/>
  <c r="R10239" i="3"/>
  <c r="R10240" i="3"/>
  <c r="R10241" i="3"/>
  <c r="R10242" i="3"/>
  <c r="R10243" i="3"/>
  <c r="R10244" i="3"/>
  <c r="R10245" i="3"/>
  <c r="R10246" i="3"/>
  <c r="R10247" i="3"/>
  <c r="R10248" i="3"/>
  <c r="R10249" i="3"/>
  <c r="R10250" i="3"/>
  <c r="R10251" i="3"/>
  <c r="R10252" i="3"/>
  <c r="R10253" i="3"/>
  <c r="R10254" i="3"/>
  <c r="R10255" i="3"/>
  <c r="R10256" i="3"/>
  <c r="R10257" i="3"/>
  <c r="R10258" i="3"/>
  <c r="R10259" i="3"/>
  <c r="R10260" i="3"/>
  <c r="R10261" i="3"/>
  <c r="R10262" i="3"/>
  <c r="R10263" i="3"/>
  <c r="R10264" i="3"/>
  <c r="R10265" i="3"/>
  <c r="R10266" i="3"/>
  <c r="R10267" i="3"/>
  <c r="R10268" i="3"/>
  <c r="R10269" i="3"/>
  <c r="R10270" i="3"/>
  <c r="R10271" i="3"/>
  <c r="R10272" i="3"/>
  <c r="R10273" i="3"/>
  <c r="R10274" i="3"/>
  <c r="R10275" i="3"/>
  <c r="R10276" i="3"/>
  <c r="R10277" i="3"/>
  <c r="R10278" i="3"/>
  <c r="R10279" i="3"/>
  <c r="R10280" i="3"/>
  <c r="R10281" i="3"/>
  <c r="R10282" i="3"/>
  <c r="R10283" i="3"/>
  <c r="R10284" i="3"/>
  <c r="R10285" i="3"/>
  <c r="R10286" i="3"/>
  <c r="R10287" i="3"/>
  <c r="R10288" i="3"/>
  <c r="R10289" i="3"/>
  <c r="R10290" i="3"/>
  <c r="R10291" i="3"/>
  <c r="R10292" i="3"/>
  <c r="R10293" i="3"/>
  <c r="R10294" i="3"/>
  <c r="R10295" i="3"/>
  <c r="R10296" i="3"/>
  <c r="R10297" i="3"/>
  <c r="R10298" i="3"/>
  <c r="R10299" i="3"/>
  <c r="R10300" i="3"/>
  <c r="R10301" i="3"/>
  <c r="R10302" i="3"/>
  <c r="R10303" i="3"/>
  <c r="R10304" i="3"/>
  <c r="R10305" i="3"/>
  <c r="R10306" i="3"/>
  <c r="R10307" i="3"/>
  <c r="R10308" i="3"/>
  <c r="R10309" i="3"/>
  <c r="R10310" i="3"/>
  <c r="R10311" i="3"/>
  <c r="R10312" i="3"/>
  <c r="R10313" i="3"/>
  <c r="R10314" i="3"/>
  <c r="R10315" i="3"/>
  <c r="R10316" i="3"/>
  <c r="R10317" i="3"/>
  <c r="R10318" i="3"/>
  <c r="R10319" i="3"/>
  <c r="R10320" i="3"/>
  <c r="R10321" i="3"/>
  <c r="R10322" i="3"/>
  <c r="R10323" i="3"/>
  <c r="R10324" i="3"/>
  <c r="R10325" i="3"/>
  <c r="R10326" i="3"/>
  <c r="R10327" i="3"/>
  <c r="R10328" i="3"/>
  <c r="R10329" i="3"/>
  <c r="R10330" i="3"/>
  <c r="R10331" i="3"/>
  <c r="R10332" i="3"/>
  <c r="R10333" i="3"/>
  <c r="R10334" i="3"/>
  <c r="R10335" i="3"/>
  <c r="R10336" i="3"/>
  <c r="R10337" i="3"/>
  <c r="R10338" i="3"/>
  <c r="R10339" i="3"/>
  <c r="R10340" i="3"/>
  <c r="R10341" i="3"/>
  <c r="R10342" i="3"/>
  <c r="R10343" i="3"/>
  <c r="R10344" i="3"/>
  <c r="R10345" i="3"/>
  <c r="R10346" i="3"/>
  <c r="R10347" i="3"/>
  <c r="R10348" i="3"/>
  <c r="R10349" i="3"/>
  <c r="R10350" i="3"/>
  <c r="R10351" i="3"/>
  <c r="R10352" i="3"/>
  <c r="R10353" i="3"/>
  <c r="R10354" i="3"/>
  <c r="R10355" i="3"/>
  <c r="R10356" i="3"/>
  <c r="R10357" i="3"/>
  <c r="R10358" i="3"/>
  <c r="R10359" i="3"/>
  <c r="R10360" i="3"/>
  <c r="R10361" i="3"/>
  <c r="R10362" i="3"/>
  <c r="R10363" i="3"/>
  <c r="R10364" i="3"/>
  <c r="R10365" i="3"/>
  <c r="R10366" i="3"/>
  <c r="R10367" i="3"/>
  <c r="R10368" i="3"/>
  <c r="R10369" i="3"/>
  <c r="R10370" i="3"/>
  <c r="R10371" i="3"/>
  <c r="R10372" i="3"/>
  <c r="R10373" i="3"/>
  <c r="R10374" i="3"/>
  <c r="R10375" i="3"/>
  <c r="R10376" i="3"/>
  <c r="R10377" i="3"/>
  <c r="R10378" i="3"/>
  <c r="R10379" i="3"/>
  <c r="R10380" i="3"/>
  <c r="R10381" i="3"/>
  <c r="R10382" i="3"/>
  <c r="R10383" i="3"/>
  <c r="R10384" i="3"/>
  <c r="R10385" i="3"/>
  <c r="R10386" i="3"/>
  <c r="R10387" i="3"/>
  <c r="R10388" i="3"/>
  <c r="R10389" i="3"/>
  <c r="R10390" i="3"/>
  <c r="R10391" i="3"/>
  <c r="R10392" i="3"/>
  <c r="R10393" i="3"/>
  <c r="R10394" i="3"/>
  <c r="R10395" i="3"/>
  <c r="R10396" i="3"/>
  <c r="R10397" i="3"/>
  <c r="R10398" i="3"/>
  <c r="R10399" i="3"/>
  <c r="R10400" i="3"/>
  <c r="R10401" i="3"/>
  <c r="R10402" i="3"/>
  <c r="R10403" i="3"/>
  <c r="R10404" i="3"/>
  <c r="R10405" i="3"/>
  <c r="R10406" i="3"/>
  <c r="R10407" i="3"/>
  <c r="R10408" i="3"/>
  <c r="R10409" i="3"/>
  <c r="R10410" i="3"/>
  <c r="R10411" i="3"/>
  <c r="R10412" i="3"/>
  <c r="R10413" i="3"/>
  <c r="R10414" i="3"/>
  <c r="R10415" i="3"/>
  <c r="R10416" i="3"/>
  <c r="R10417" i="3"/>
  <c r="R10418" i="3"/>
  <c r="R10419" i="3"/>
  <c r="R10420" i="3"/>
  <c r="R10421" i="3"/>
  <c r="R10422" i="3"/>
  <c r="R10423" i="3"/>
  <c r="R10424" i="3"/>
  <c r="R10425" i="3"/>
  <c r="R10426" i="3"/>
  <c r="R10427" i="3"/>
  <c r="R10428" i="3"/>
  <c r="R10429" i="3"/>
  <c r="R10430" i="3"/>
  <c r="R10431" i="3"/>
  <c r="R10432" i="3"/>
  <c r="R10433" i="3"/>
  <c r="R10434" i="3"/>
  <c r="R10435" i="3"/>
  <c r="R10436" i="3"/>
  <c r="R10437" i="3"/>
  <c r="R10438" i="3"/>
  <c r="R10439" i="3"/>
  <c r="R10440" i="3"/>
  <c r="R10441" i="3"/>
  <c r="R10442" i="3"/>
  <c r="R10443" i="3"/>
  <c r="R10444" i="3"/>
  <c r="R10445" i="3"/>
  <c r="R10446" i="3"/>
  <c r="R10447" i="3"/>
  <c r="R10448" i="3"/>
  <c r="R10449" i="3"/>
  <c r="R10450" i="3"/>
  <c r="R10451" i="3"/>
  <c r="R10452" i="3"/>
  <c r="R10453" i="3"/>
  <c r="R10454" i="3"/>
  <c r="R10455" i="3"/>
  <c r="R10456" i="3"/>
  <c r="R10457" i="3"/>
  <c r="R10458" i="3"/>
  <c r="R10459" i="3"/>
  <c r="R10460" i="3"/>
  <c r="R10461" i="3"/>
  <c r="R10462" i="3"/>
  <c r="R10463" i="3"/>
  <c r="R10464" i="3"/>
  <c r="R10465" i="3"/>
  <c r="R10466" i="3"/>
  <c r="R10467" i="3"/>
  <c r="R10468" i="3"/>
  <c r="R10469" i="3"/>
  <c r="R10470" i="3"/>
  <c r="R10471" i="3"/>
  <c r="R10472" i="3"/>
  <c r="R10473" i="3"/>
  <c r="R10474" i="3"/>
  <c r="R10475" i="3"/>
  <c r="R10476" i="3"/>
  <c r="R10477" i="3"/>
  <c r="R10478" i="3"/>
  <c r="R10479" i="3"/>
  <c r="R10480" i="3"/>
  <c r="R10481" i="3"/>
  <c r="R10482" i="3"/>
  <c r="R10483" i="3"/>
  <c r="R10484" i="3"/>
  <c r="R10485" i="3"/>
  <c r="R10486" i="3"/>
  <c r="R10487" i="3"/>
  <c r="R10488" i="3"/>
  <c r="R10489" i="3"/>
  <c r="R10490" i="3"/>
  <c r="R10491" i="3"/>
  <c r="R10492" i="3"/>
  <c r="R10493" i="3"/>
  <c r="R10494" i="3"/>
  <c r="R10495" i="3"/>
  <c r="R10496" i="3"/>
  <c r="R10497" i="3"/>
  <c r="R10498" i="3"/>
  <c r="R10499" i="3"/>
  <c r="R10500" i="3"/>
  <c r="R10501" i="3"/>
  <c r="R10502" i="3"/>
  <c r="R10503" i="3"/>
  <c r="R10504" i="3"/>
  <c r="R10505" i="3"/>
  <c r="R10506" i="3"/>
  <c r="R10507" i="3"/>
  <c r="R10508" i="3"/>
  <c r="R10509" i="3"/>
  <c r="R10510" i="3"/>
  <c r="R10511" i="3"/>
  <c r="R10512" i="3"/>
  <c r="R10513" i="3"/>
  <c r="R10514" i="3"/>
  <c r="R10515" i="3"/>
  <c r="R10516" i="3"/>
  <c r="R10517" i="3"/>
  <c r="R10518" i="3"/>
  <c r="R10519" i="3"/>
  <c r="R10520" i="3"/>
  <c r="R10521" i="3"/>
  <c r="R10522" i="3"/>
  <c r="R10523" i="3"/>
  <c r="R10524" i="3"/>
  <c r="R10525" i="3"/>
  <c r="R10526" i="3"/>
  <c r="R10527" i="3"/>
  <c r="R10528" i="3"/>
  <c r="R10529" i="3"/>
  <c r="R10530" i="3"/>
  <c r="R10531" i="3"/>
  <c r="R10532" i="3"/>
  <c r="R10533" i="3"/>
  <c r="R10534" i="3"/>
  <c r="R10535" i="3"/>
  <c r="R10536" i="3"/>
  <c r="R10537" i="3"/>
  <c r="R10538" i="3"/>
  <c r="R10539" i="3"/>
  <c r="R10540" i="3"/>
  <c r="R10541" i="3"/>
  <c r="R10542" i="3"/>
  <c r="R10543" i="3"/>
  <c r="R10544" i="3"/>
  <c r="R10545" i="3"/>
  <c r="R10546" i="3"/>
  <c r="R10547" i="3"/>
  <c r="R10548" i="3"/>
  <c r="R10549" i="3"/>
  <c r="R10550" i="3"/>
  <c r="R10551" i="3"/>
  <c r="R10552" i="3"/>
  <c r="R10553" i="3"/>
  <c r="R10554" i="3"/>
  <c r="R10555" i="3"/>
  <c r="R10556" i="3"/>
  <c r="R10557" i="3"/>
  <c r="R10558" i="3"/>
  <c r="R10559" i="3"/>
  <c r="R10560" i="3"/>
  <c r="R10561" i="3"/>
  <c r="R10562" i="3"/>
  <c r="R10563" i="3"/>
  <c r="R10564" i="3"/>
  <c r="R10565" i="3"/>
  <c r="R10566" i="3"/>
  <c r="R10567" i="3"/>
  <c r="R10568" i="3"/>
  <c r="R10569" i="3"/>
  <c r="R10570" i="3"/>
  <c r="R10571" i="3"/>
  <c r="R10572" i="3"/>
  <c r="R10573" i="3"/>
  <c r="R10574" i="3"/>
  <c r="R10575" i="3"/>
  <c r="R10576" i="3"/>
  <c r="R10577" i="3"/>
  <c r="R10578" i="3"/>
  <c r="R10579" i="3"/>
  <c r="R10580" i="3"/>
  <c r="R10581" i="3"/>
  <c r="R10582" i="3"/>
  <c r="R10583" i="3"/>
  <c r="R10584" i="3"/>
  <c r="R10585" i="3"/>
  <c r="R10586" i="3"/>
  <c r="R10587" i="3"/>
  <c r="R10588" i="3"/>
  <c r="R10589" i="3"/>
  <c r="R10590" i="3"/>
  <c r="R10591" i="3"/>
  <c r="R10592" i="3"/>
  <c r="R10593" i="3"/>
  <c r="R10594" i="3"/>
  <c r="R10595" i="3"/>
  <c r="R10596" i="3"/>
  <c r="R10597" i="3"/>
  <c r="R10598" i="3"/>
  <c r="R10599" i="3"/>
  <c r="R10600" i="3"/>
  <c r="R10601" i="3"/>
  <c r="R10602" i="3"/>
  <c r="R10603" i="3"/>
  <c r="R10604" i="3"/>
  <c r="R10605" i="3"/>
  <c r="R10606" i="3"/>
  <c r="R10607" i="3"/>
  <c r="R10608" i="3"/>
  <c r="R10609" i="3"/>
  <c r="R10610" i="3"/>
  <c r="R10611" i="3"/>
  <c r="R10612" i="3"/>
  <c r="R10613" i="3"/>
  <c r="R10614" i="3"/>
  <c r="R10615" i="3"/>
  <c r="R10616" i="3"/>
  <c r="R10617" i="3"/>
  <c r="R10618" i="3"/>
  <c r="R10619" i="3"/>
  <c r="R10620" i="3"/>
  <c r="R10621" i="3"/>
  <c r="R10622" i="3"/>
  <c r="R10623" i="3"/>
  <c r="R10624" i="3"/>
  <c r="R10625" i="3"/>
  <c r="R10626" i="3"/>
  <c r="R10627" i="3"/>
  <c r="R10628" i="3"/>
  <c r="R10629" i="3"/>
  <c r="R10630" i="3"/>
  <c r="R10631" i="3"/>
  <c r="R10632" i="3"/>
  <c r="R10633" i="3"/>
  <c r="R10634" i="3"/>
  <c r="R10635" i="3"/>
  <c r="R10636" i="3"/>
  <c r="R10637" i="3"/>
  <c r="R10638" i="3"/>
  <c r="R10639" i="3"/>
  <c r="R10640" i="3"/>
  <c r="R10641" i="3"/>
  <c r="R10642" i="3"/>
  <c r="R10643" i="3"/>
  <c r="R10644" i="3"/>
  <c r="R10645" i="3"/>
  <c r="R10646" i="3"/>
  <c r="R10647" i="3"/>
  <c r="R10648" i="3"/>
  <c r="R10649" i="3"/>
  <c r="R10650" i="3"/>
  <c r="R10651" i="3"/>
  <c r="R10652" i="3"/>
  <c r="R10653" i="3"/>
  <c r="R10654" i="3"/>
  <c r="R10655" i="3"/>
  <c r="R10656" i="3"/>
  <c r="R10657" i="3"/>
  <c r="R10658" i="3"/>
  <c r="R10659" i="3"/>
  <c r="R10660" i="3"/>
  <c r="R10661" i="3"/>
  <c r="R10662" i="3"/>
  <c r="R10663" i="3"/>
  <c r="R10664" i="3"/>
  <c r="R10665" i="3"/>
  <c r="R10666" i="3"/>
  <c r="R10667" i="3"/>
  <c r="R10668" i="3"/>
  <c r="R10669" i="3"/>
  <c r="R10670" i="3"/>
  <c r="R10671" i="3"/>
  <c r="R10672" i="3"/>
  <c r="R10673" i="3"/>
  <c r="R10674" i="3"/>
  <c r="R10675" i="3"/>
  <c r="R10676" i="3"/>
  <c r="R10677" i="3"/>
  <c r="R10678" i="3"/>
  <c r="R10679" i="3"/>
  <c r="R10680" i="3"/>
  <c r="R10681" i="3"/>
  <c r="R10682" i="3"/>
  <c r="R10683" i="3"/>
  <c r="R10684" i="3"/>
  <c r="R10685" i="3"/>
  <c r="R10686" i="3"/>
  <c r="R10687" i="3"/>
  <c r="R10688" i="3"/>
  <c r="R10689" i="3"/>
  <c r="R10690" i="3"/>
  <c r="R10691" i="3"/>
  <c r="R10692" i="3"/>
  <c r="R10693" i="3"/>
  <c r="R10694" i="3"/>
  <c r="R10695" i="3"/>
  <c r="R10696" i="3"/>
  <c r="R10697" i="3"/>
  <c r="R10698" i="3"/>
  <c r="R10699" i="3"/>
  <c r="R10700" i="3"/>
  <c r="R10701" i="3"/>
  <c r="R10702" i="3"/>
  <c r="R10703" i="3"/>
  <c r="R10704" i="3"/>
  <c r="R10705" i="3"/>
  <c r="R10706" i="3"/>
  <c r="R10707" i="3"/>
  <c r="R10708" i="3"/>
  <c r="R10709" i="3"/>
  <c r="R10710" i="3"/>
  <c r="R10711" i="3"/>
  <c r="R10712" i="3"/>
  <c r="R10713" i="3"/>
  <c r="R10714" i="3"/>
  <c r="R10715" i="3"/>
  <c r="R10716" i="3"/>
  <c r="R10717" i="3"/>
  <c r="R10718" i="3"/>
  <c r="R10719" i="3"/>
  <c r="R10720" i="3"/>
  <c r="R10721" i="3"/>
  <c r="R10722" i="3"/>
  <c r="R10723" i="3"/>
  <c r="R10724" i="3"/>
  <c r="R10725" i="3"/>
  <c r="R10726" i="3"/>
  <c r="R10727" i="3"/>
  <c r="R10728" i="3"/>
  <c r="R10729" i="3"/>
  <c r="R10730" i="3"/>
  <c r="R10731" i="3"/>
  <c r="R10732" i="3"/>
  <c r="R10733" i="3"/>
  <c r="R10734" i="3"/>
  <c r="R10735" i="3"/>
  <c r="R10736" i="3"/>
  <c r="R10737" i="3"/>
  <c r="R10738" i="3"/>
  <c r="R10739" i="3"/>
  <c r="R10740" i="3"/>
  <c r="R10741" i="3"/>
  <c r="R10742" i="3"/>
  <c r="R10743" i="3"/>
  <c r="R10744" i="3"/>
  <c r="R10745" i="3"/>
  <c r="R10746" i="3"/>
  <c r="R10747" i="3"/>
  <c r="R10748" i="3"/>
  <c r="R10749" i="3"/>
  <c r="R10750" i="3"/>
  <c r="R10751" i="3"/>
  <c r="R10752" i="3"/>
  <c r="R10753" i="3"/>
  <c r="R10754" i="3"/>
  <c r="R10755" i="3"/>
  <c r="R10756" i="3"/>
  <c r="R10757" i="3"/>
  <c r="R10758" i="3"/>
  <c r="R10759" i="3"/>
  <c r="R10760" i="3"/>
  <c r="R10761" i="3"/>
  <c r="R10762" i="3"/>
  <c r="R10763" i="3"/>
  <c r="R10764" i="3"/>
  <c r="R10765" i="3"/>
  <c r="R10766" i="3"/>
  <c r="R10767" i="3"/>
  <c r="R10768" i="3"/>
  <c r="R10769" i="3"/>
  <c r="R10770" i="3"/>
  <c r="R10771" i="3"/>
  <c r="R10772" i="3"/>
  <c r="R10773" i="3"/>
  <c r="R10774" i="3"/>
  <c r="R10775" i="3"/>
  <c r="R10776" i="3"/>
  <c r="R10777" i="3"/>
  <c r="R10778" i="3"/>
  <c r="R10779" i="3"/>
  <c r="R10780" i="3"/>
  <c r="R10781" i="3"/>
  <c r="R10782" i="3"/>
  <c r="R10783" i="3"/>
  <c r="R10784" i="3"/>
  <c r="R10785" i="3"/>
  <c r="R10786" i="3"/>
  <c r="R10787" i="3"/>
  <c r="R10788" i="3"/>
  <c r="R10789" i="3"/>
  <c r="R10790" i="3"/>
  <c r="R10791" i="3"/>
  <c r="R10792" i="3"/>
  <c r="R10793" i="3"/>
  <c r="R10794" i="3"/>
  <c r="R10795" i="3"/>
  <c r="R10796" i="3"/>
  <c r="R10797" i="3"/>
  <c r="R10798" i="3"/>
  <c r="R10799" i="3"/>
  <c r="R10800" i="3"/>
  <c r="R10801" i="3"/>
  <c r="R10802" i="3"/>
  <c r="R10803" i="3"/>
  <c r="R10804" i="3"/>
  <c r="R10805" i="3"/>
  <c r="R10806" i="3"/>
  <c r="R10807" i="3"/>
  <c r="R10808" i="3"/>
  <c r="R10809" i="3"/>
  <c r="R10810" i="3"/>
  <c r="R10811" i="3"/>
  <c r="R10812" i="3"/>
  <c r="R10813" i="3"/>
  <c r="R10814" i="3"/>
  <c r="R10815" i="3"/>
  <c r="R10816" i="3"/>
  <c r="R10817" i="3"/>
  <c r="R10818" i="3"/>
  <c r="R10819" i="3"/>
  <c r="R10820" i="3"/>
  <c r="R10821" i="3"/>
  <c r="R10822" i="3"/>
  <c r="R10823" i="3"/>
  <c r="R10824" i="3"/>
  <c r="R10825" i="3"/>
  <c r="R10826" i="3"/>
  <c r="R10827" i="3"/>
  <c r="R10828" i="3"/>
  <c r="R10829" i="3"/>
  <c r="R10830" i="3"/>
  <c r="R10831" i="3"/>
  <c r="R10832" i="3"/>
  <c r="R10833" i="3"/>
  <c r="R10834" i="3"/>
  <c r="R10835" i="3"/>
  <c r="R10836" i="3"/>
  <c r="R10837" i="3"/>
  <c r="R10838" i="3"/>
  <c r="R10839" i="3"/>
  <c r="R10840" i="3"/>
  <c r="R10841" i="3"/>
  <c r="R10842" i="3"/>
  <c r="R10843" i="3"/>
  <c r="R10844" i="3"/>
  <c r="R10845" i="3"/>
  <c r="R10846" i="3"/>
  <c r="R10847" i="3"/>
  <c r="R10848" i="3"/>
  <c r="R10849" i="3"/>
  <c r="R10850" i="3"/>
  <c r="R10851" i="3"/>
  <c r="R10852" i="3"/>
  <c r="R10853" i="3"/>
  <c r="R10854" i="3"/>
  <c r="R10855" i="3"/>
  <c r="R10856" i="3"/>
  <c r="R10857" i="3"/>
  <c r="R10858" i="3"/>
  <c r="R10859" i="3"/>
  <c r="R10860" i="3"/>
  <c r="R10861" i="3"/>
  <c r="R10862" i="3"/>
  <c r="R10863" i="3"/>
  <c r="R10864" i="3"/>
  <c r="R10865" i="3"/>
  <c r="R10866" i="3"/>
  <c r="R10867" i="3"/>
  <c r="R10868" i="3"/>
  <c r="R10869" i="3"/>
  <c r="R10870" i="3"/>
  <c r="R10871" i="3"/>
  <c r="R10872" i="3"/>
  <c r="R10873" i="3"/>
  <c r="R10874" i="3"/>
  <c r="R10875" i="3"/>
  <c r="R10876" i="3"/>
  <c r="R10877" i="3"/>
  <c r="R10878" i="3"/>
  <c r="R10879" i="3"/>
  <c r="R10880" i="3"/>
  <c r="R10881" i="3"/>
  <c r="R10882" i="3"/>
  <c r="R10883" i="3"/>
  <c r="R10884" i="3"/>
  <c r="R10885" i="3"/>
  <c r="R10886" i="3"/>
  <c r="R10887" i="3"/>
  <c r="R10888" i="3"/>
  <c r="R10889" i="3"/>
  <c r="R10890" i="3"/>
  <c r="R10891" i="3"/>
  <c r="R10892" i="3"/>
  <c r="R10893" i="3"/>
  <c r="R10894" i="3"/>
  <c r="R10895" i="3"/>
  <c r="R10896" i="3"/>
  <c r="R10897" i="3"/>
  <c r="R10898" i="3"/>
  <c r="R10899" i="3"/>
  <c r="R10900" i="3"/>
  <c r="R10901" i="3"/>
  <c r="R10902" i="3"/>
  <c r="R10903" i="3"/>
  <c r="R10904" i="3"/>
  <c r="R10905" i="3"/>
  <c r="R10906" i="3"/>
  <c r="R10907" i="3"/>
  <c r="R10908" i="3"/>
  <c r="R10909" i="3"/>
  <c r="R10910" i="3"/>
  <c r="R10911" i="3"/>
  <c r="R10912" i="3"/>
  <c r="R10913" i="3"/>
  <c r="R10914" i="3"/>
  <c r="R10915" i="3"/>
  <c r="R10916" i="3"/>
  <c r="R10917" i="3"/>
  <c r="R10918" i="3"/>
  <c r="R10919" i="3"/>
  <c r="R10920" i="3"/>
  <c r="R10921" i="3"/>
  <c r="R10922" i="3"/>
  <c r="R10923" i="3"/>
  <c r="R10924" i="3"/>
  <c r="R10925" i="3"/>
  <c r="R10926" i="3"/>
  <c r="R10927" i="3"/>
  <c r="R10928" i="3"/>
  <c r="R10929" i="3"/>
  <c r="R10930" i="3"/>
  <c r="R10931" i="3"/>
  <c r="R10932" i="3"/>
  <c r="R10933" i="3"/>
  <c r="R10934" i="3"/>
  <c r="R10935" i="3"/>
  <c r="R10936" i="3"/>
  <c r="R10937" i="3"/>
  <c r="R10938" i="3"/>
  <c r="R10939" i="3"/>
  <c r="R10940" i="3"/>
  <c r="R10941" i="3"/>
  <c r="R10942" i="3"/>
  <c r="R10943" i="3"/>
  <c r="R10944" i="3"/>
  <c r="R10945" i="3"/>
  <c r="R10946" i="3"/>
  <c r="R10947" i="3"/>
  <c r="R10948" i="3"/>
  <c r="R10949" i="3"/>
  <c r="R10950" i="3"/>
  <c r="R10951" i="3"/>
  <c r="R10952" i="3"/>
  <c r="R10953" i="3"/>
  <c r="R10954" i="3"/>
  <c r="R10955" i="3"/>
  <c r="R10956" i="3"/>
  <c r="R10957" i="3"/>
  <c r="R10958" i="3"/>
  <c r="R10959" i="3"/>
  <c r="R10960" i="3"/>
  <c r="R10961" i="3"/>
  <c r="R10962" i="3"/>
  <c r="R10963" i="3"/>
  <c r="R10964" i="3"/>
  <c r="R10965" i="3"/>
  <c r="R10966" i="3"/>
  <c r="R10967" i="3"/>
  <c r="R10968" i="3"/>
  <c r="R10969" i="3"/>
  <c r="R10970" i="3"/>
  <c r="R10971" i="3"/>
  <c r="R10972" i="3"/>
  <c r="R10973" i="3"/>
  <c r="R10974" i="3"/>
  <c r="R10975" i="3"/>
  <c r="R10976" i="3"/>
  <c r="R10977" i="3"/>
  <c r="R10978" i="3"/>
  <c r="R10979" i="3"/>
  <c r="R10980" i="3"/>
  <c r="R10981" i="3"/>
  <c r="R10982" i="3"/>
  <c r="R10983" i="3"/>
  <c r="R10984" i="3"/>
  <c r="R10985" i="3"/>
  <c r="R10986" i="3"/>
  <c r="R10987" i="3"/>
  <c r="R10988" i="3"/>
  <c r="R10989" i="3"/>
  <c r="R10990" i="3"/>
  <c r="R10991" i="3"/>
  <c r="R10992" i="3"/>
  <c r="R10993" i="3"/>
  <c r="R10994" i="3"/>
  <c r="R10995" i="3"/>
  <c r="R10996" i="3"/>
  <c r="R10997" i="3"/>
  <c r="R10998" i="3"/>
  <c r="R10999" i="3"/>
  <c r="R11000" i="3"/>
  <c r="R11001" i="3"/>
  <c r="R11002" i="3"/>
  <c r="R11003" i="3"/>
  <c r="R11004" i="3"/>
  <c r="R11005" i="3"/>
  <c r="R11006" i="3"/>
  <c r="R11007" i="3"/>
  <c r="R11008" i="3"/>
  <c r="R11009" i="3"/>
  <c r="R11010" i="3"/>
  <c r="R11011" i="3"/>
  <c r="R11012" i="3"/>
  <c r="R11013" i="3"/>
  <c r="R11014" i="3"/>
  <c r="R11015" i="3"/>
  <c r="R11016" i="3"/>
  <c r="R11017" i="3"/>
  <c r="R11018" i="3"/>
  <c r="R11019" i="3"/>
  <c r="R11020" i="3"/>
  <c r="R11021" i="3"/>
  <c r="R11022" i="3"/>
  <c r="R11023" i="3"/>
  <c r="R11024" i="3"/>
  <c r="R11025" i="3"/>
  <c r="R11026" i="3"/>
  <c r="R11027" i="3"/>
  <c r="R11028" i="3"/>
  <c r="R11029" i="3"/>
  <c r="R11030" i="3"/>
  <c r="R11031" i="3"/>
  <c r="R11032" i="3"/>
  <c r="R11033" i="3"/>
  <c r="R11034" i="3"/>
  <c r="R11035" i="3"/>
  <c r="R11036" i="3"/>
  <c r="R11037" i="3"/>
  <c r="R11038" i="3"/>
  <c r="R11039" i="3"/>
  <c r="R11040" i="3"/>
  <c r="R11041" i="3"/>
  <c r="R11042" i="3"/>
  <c r="R11043" i="3"/>
  <c r="R11044" i="3"/>
  <c r="R11045" i="3"/>
  <c r="R11046" i="3"/>
  <c r="R11047" i="3"/>
  <c r="R11048" i="3"/>
  <c r="R11049" i="3"/>
  <c r="R11050" i="3"/>
  <c r="R11051" i="3"/>
  <c r="R11052" i="3"/>
  <c r="R11053" i="3"/>
  <c r="R11054" i="3"/>
  <c r="R11055" i="3"/>
  <c r="R11056" i="3"/>
  <c r="R11057" i="3"/>
  <c r="R11058" i="3"/>
  <c r="R11059" i="3"/>
  <c r="R11060" i="3"/>
  <c r="R11061" i="3"/>
  <c r="R11062" i="3"/>
  <c r="R11063" i="3"/>
  <c r="R11064" i="3"/>
  <c r="R11065" i="3"/>
  <c r="R11066" i="3"/>
  <c r="R11067" i="3"/>
  <c r="R11068" i="3"/>
  <c r="R11069" i="3"/>
  <c r="R11070" i="3"/>
  <c r="R11071" i="3"/>
  <c r="R11072" i="3"/>
  <c r="R11073" i="3"/>
  <c r="R11074" i="3"/>
  <c r="R11075" i="3"/>
  <c r="R11076" i="3"/>
  <c r="R11077" i="3"/>
  <c r="R11078" i="3"/>
  <c r="R11079" i="3"/>
  <c r="R11080" i="3"/>
  <c r="R11081" i="3"/>
  <c r="R11082" i="3"/>
  <c r="R11083" i="3"/>
  <c r="R11084" i="3"/>
  <c r="R11085" i="3"/>
  <c r="R11086" i="3"/>
  <c r="R11087" i="3"/>
  <c r="R11088" i="3"/>
  <c r="R11089" i="3"/>
  <c r="R11090" i="3"/>
  <c r="R11091" i="3"/>
  <c r="R11092" i="3"/>
  <c r="R11093" i="3"/>
  <c r="R11094" i="3"/>
  <c r="R11095" i="3"/>
  <c r="R11096" i="3"/>
  <c r="R11097" i="3"/>
  <c r="R11098" i="3"/>
  <c r="R11099" i="3"/>
  <c r="R11100" i="3"/>
  <c r="R11101" i="3"/>
  <c r="R11102" i="3"/>
  <c r="R11103" i="3"/>
  <c r="R11104" i="3"/>
  <c r="R11105" i="3"/>
  <c r="R11106" i="3"/>
  <c r="R11107" i="3"/>
  <c r="R11108" i="3"/>
  <c r="R11109" i="3"/>
  <c r="R11110" i="3"/>
  <c r="R11111" i="3"/>
  <c r="R11112" i="3"/>
  <c r="R11113" i="3"/>
  <c r="R11114" i="3"/>
  <c r="R11115" i="3"/>
  <c r="R11116" i="3"/>
  <c r="R11117" i="3"/>
  <c r="R11118" i="3"/>
  <c r="R11119" i="3"/>
  <c r="R11120" i="3"/>
  <c r="R11121" i="3"/>
  <c r="R11122" i="3"/>
  <c r="R11123" i="3"/>
  <c r="R11124" i="3"/>
  <c r="R11125" i="3"/>
  <c r="R11126" i="3"/>
  <c r="R11127" i="3"/>
  <c r="R11128" i="3"/>
  <c r="R11129" i="3"/>
  <c r="R11130" i="3"/>
  <c r="R11131" i="3"/>
  <c r="R11132" i="3"/>
  <c r="R11133" i="3"/>
  <c r="R11134" i="3"/>
  <c r="R11135" i="3"/>
  <c r="R11136" i="3"/>
  <c r="R11137" i="3"/>
  <c r="R11138" i="3"/>
  <c r="R11139" i="3"/>
  <c r="R11140" i="3"/>
  <c r="R11141" i="3"/>
  <c r="R11142" i="3"/>
  <c r="R11143" i="3"/>
  <c r="R11144" i="3"/>
  <c r="R11145" i="3"/>
  <c r="R11146" i="3"/>
  <c r="R11147" i="3"/>
  <c r="R11148" i="3"/>
  <c r="R11149" i="3"/>
  <c r="R11150" i="3"/>
  <c r="R11151" i="3"/>
  <c r="R11152" i="3"/>
  <c r="R11153" i="3"/>
  <c r="R11154" i="3"/>
  <c r="R11155" i="3"/>
  <c r="R11156" i="3"/>
  <c r="R11157" i="3"/>
  <c r="R11158" i="3"/>
  <c r="R11159" i="3"/>
  <c r="R11160" i="3"/>
  <c r="R11161" i="3"/>
  <c r="R11162" i="3"/>
  <c r="R11163" i="3"/>
  <c r="R11164" i="3"/>
  <c r="R11165" i="3"/>
  <c r="R11166" i="3"/>
  <c r="R11167" i="3"/>
  <c r="R11168" i="3"/>
  <c r="R11169" i="3"/>
  <c r="R11170" i="3"/>
  <c r="R11171" i="3"/>
  <c r="R11172" i="3"/>
  <c r="R11173" i="3"/>
  <c r="R11174" i="3"/>
  <c r="R11175" i="3"/>
  <c r="R11176" i="3"/>
  <c r="B7" i="11" l="1"/>
  <c r="B7" i="13"/>
  <c r="B6" i="11"/>
  <c r="B6" i="13"/>
  <c r="B10" i="11"/>
  <c r="B10" i="13"/>
  <c r="B9" i="11"/>
  <c r="B9" i="13"/>
  <c r="B8" i="11"/>
  <c r="B8" i="13"/>
  <c r="B112" i="8"/>
  <c r="A112" i="8" s="1"/>
  <c r="B111" i="8"/>
  <c r="A111" i="8" s="1"/>
  <c r="B110" i="8"/>
  <c r="A110" i="8" s="1"/>
  <c r="AD111" i="8"/>
  <c r="F111" i="8"/>
  <c r="O111" i="8"/>
  <c r="N110" i="8"/>
  <c r="AD110" i="8"/>
  <c r="H110" i="8"/>
  <c r="K110" i="8"/>
  <c r="N111" i="8"/>
  <c r="I110" i="8"/>
  <c r="P110" i="8"/>
  <c r="G110" i="8"/>
  <c r="F112" i="8"/>
  <c r="Q112" i="8"/>
  <c r="J111" i="8"/>
  <c r="AD112" i="8"/>
  <c r="F110" i="8"/>
  <c r="R111" i="8"/>
  <c r="J112" i="8"/>
  <c r="J110" i="8"/>
  <c r="G111" i="8"/>
  <c r="H111" i="8"/>
  <c r="M110" i="8"/>
  <c r="K111" i="8"/>
  <c r="AC111" i="8"/>
  <c r="P111" i="8"/>
  <c r="R110" i="8"/>
  <c r="AC110" i="8"/>
  <c r="AC112" i="8"/>
  <c r="H112" i="8"/>
  <c r="G112" i="8"/>
  <c r="R112" i="8"/>
  <c r="N112" i="8"/>
  <c r="Q111" i="8"/>
  <c r="O110" i="8"/>
  <c r="O112" i="8"/>
  <c r="I112" i="8"/>
  <c r="K112" i="8"/>
  <c r="Q110" i="8"/>
  <c r="M111" i="8"/>
  <c r="M112" i="8"/>
  <c r="P112" i="8"/>
  <c r="I111" i="8"/>
  <c r="T113" i="8" l="1"/>
  <c r="U113" i="8"/>
  <c r="AF110" i="8"/>
  <c r="AF112" i="8"/>
  <c r="AE111" i="8"/>
  <c r="AE110" i="8"/>
  <c r="AE112" i="8"/>
  <c r="AF111" i="8"/>
  <c r="AG111" i="8" s="1"/>
  <c r="B114" i="11"/>
  <c r="V112" i="8"/>
  <c r="W110" i="8"/>
  <c r="W112" i="8"/>
  <c r="W111" i="8"/>
  <c r="V110" i="8"/>
  <c r="V111" i="8"/>
  <c r="B115" i="11"/>
  <c r="B116" i="11"/>
  <c r="B48" i="13"/>
  <c r="Q116" i="11"/>
  <c r="R116" i="11"/>
  <c r="P115" i="11"/>
  <c r="M116" i="11"/>
  <c r="N114" i="11"/>
  <c r="Q115" i="11"/>
  <c r="N116" i="11"/>
  <c r="Q114" i="11"/>
  <c r="N115" i="11"/>
  <c r="R114" i="11"/>
  <c r="O114" i="11"/>
  <c r="R115" i="11"/>
  <c r="O116" i="11"/>
  <c r="O115" i="11"/>
  <c r="M114" i="11"/>
  <c r="P114" i="11"/>
  <c r="M115" i="11"/>
  <c r="P116" i="11"/>
  <c r="K115" i="11"/>
  <c r="K114" i="11"/>
  <c r="K116" i="11"/>
  <c r="U112" i="8"/>
  <c r="U111" i="8"/>
  <c r="T112" i="8"/>
  <c r="T111" i="8"/>
  <c r="AG112" i="8" l="1"/>
  <c r="AG110" i="8"/>
  <c r="X110" i="8"/>
  <c r="Y110" i="8"/>
  <c r="X111" i="8"/>
  <c r="Y111" i="8"/>
  <c r="X112" i="8"/>
  <c r="Y112" i="8"/>
  <c r="Z111" i="8" l="1"/>
  <c r="AP111" i="8" s="1"/>
  <c r="BA111" i="8" s="1"/>
  <c r="Z112" i="8"/>
  <c r="AP112" i="8" s="1"/>
  <c r="BA112" i="8" s="1"/>
  <c r="AM111" i="8"/>
  <c r="AX111" i="8" s="1"/>
  <c r="AI111" i="8"/>
  <c r="AS111" i="8" s="1"/>
  <c r="AJ111" i="8"/>
  <c r="AT111" i="8" s="1"/>
  <c r="AK111" i="8"/>
  <c r="AV111" i="8" s="1"/>
  <c r="AQ111" i="8"/>
  <c r="BB111" i="8" s="1"/>
  <c r="AI112" i="8"/>
  <c r="AS112" i="8" s="1"/>
  <c r="AQ112" i="8"/>
  <c r="BB112" i="8" s="1"/>
  <c r="BP114" i="8" s="1"/>
  <c r="AJ112" i="8"/>
  <c r="AT112" i="8" s="1"/>
  <c r="AK112" i="8"/>
  <c r="AV112" i="8" s="1"/>
  <c r="AM112" i="8"/>
  <c r="AX112" i="8" s="1"/>
  <c r="AM110" i="8"/>
  <c r="AX110" i="8" s="1"/>
  <c r="AK110" i="8"/>
  <c r="AV110" i="8" s="1"/>
  <c r="AJ110" i="8"/>
  <c r="AT110" i="8" s="1"/>
  <c r="AI110" i="8"/>
  <c r="AQ110" i="8"/>
  <c r="BB110" i="8" s="1"/>
  <c r="Z110" i="8"/>
  <c r="AP110" i="8" s="1"/>
  <c r="BA110" i="8" s="1"/>
  <c r="BP113" i="8" l="1"/>
  <c r="AS110" i="8"/>
  <c r="AU110" i="8" s="1"/>
  <c r="AU111" i="8"/>
  <c r="AU112" i="8"/>
  <c r="BD111" i="8"/>
  <c r="E115" i="11"/>
  <c r="BP112" i="8"/>
  <c r="AL112" i="8"/>
  <c r="AW112" i="8" s="1"/>
  <c r="E116" i="11"/>
  <c r="AL111" i="8"/>
  <c r="AW111" i="8" s="1"/>
  <c r="AL110" i="8"/>
  <c r="AW110" i="8" s="1"/>
  <c r="E114" i="11"/>
  <c r="D116" i="11"/>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50" i="6"/>
  <c r="O451" i="6"/>
  <c r="O452" i="6"/>
  <c r="D114" i="11" l="1"/>
  <c r="I115" i="11"/>
  <c r="F116" i="11"/>
  <c r="F114" i="11"/>
  <c r="BD112" i="8"/>
  <c r="BE114" i="8" s="1"/>
  <c r="I116" i="11"/>
  <c r="AN111" i="8"/>
  <c r="AY111" i="8" s="1"/>
  <c r="D115" i="11"/>
  <c r="F115" i="11"/>
  <c r="AN112" i="8"/>
  <c r="AY112" i="8" s="1"/>
  <c r="AN110" i="8"/>
  <c r="AY110" i="8" s="1"/>
  <c r="BD110" i="8"/>
  <c r="I114" i="11"/>
  <c r="B109" i="8"/>
  <c r="B108" i="8"/>
  <c r="A108" i="8" s="1"/>
  <c r="B107" i="8"/>
  <c r="A107" i="8" s="1"/>
  <c r="B23" i="8"/>
  <c r="A23" i="8" s="1"/>
  <c r="B24" i="8"/>
  <c r="A24" i="8" s="1"/>
  <c r="B25" i="8"/>
  <c r="B26" i="8"/>
  <c r="A26" i="8" s="1"/>
  <c r="B27" i="8"/>
  <c r="A27" i="8" s="1"/>
  <c r="B28" i="8"/>
  <c r="B32" i="11" s="1"/>
  <c r="B29" i="8"/>
  <c r="A29" i="8" s="1"/>
  <c r="B30" i="8"/>
  <c r="A30" i="8" s="1"/>
  <c r="B31" i="8"/>
  <c r="B32" i="8"/>
  <c r="A32" i="8" s="1"/>
  <c r="B33" i="8"/>
  <c r="A33" i="8" s="1"/>
  <c r="B34" i="8"/>
  <c r="B38" i="11" s="1"/>
  <c r="B35" i="8"/>
  <c r="A35" i="8" s="1"/>
  <c r="B36" i="8"/>
  <c r="A36" i="8" s="1"/>
  <c r="B37" i="8"/>
  <c r="B38" i="8"/>
  <c r="A38" i="8" s="1"/>
  <c r="B39" i="8"/>
  <c r="A39" i="8" s="1"/>
  <c r="B40" i="8"/>
  <c r="B44" i="11" s="1"/>
  <c r="B41" i="8"/>
  <c r="A41" i="8" s="1"/>
  <c r="B42" i="8"/>
  <c r="A42" i="8" s="1"/>
  <c r="B43" i="8"/>
  <c r="B44" i="8"/>
  <c r="A44" i="8" s="1"/>
  <c r="B45" i="8"/>
  <c r="A45" i="8" s="1"/>
  <c r="B46" i="8"/>
  <c r="B50" i="11" s="1"/>
  <c r="B47" i="8"/>
  <c r="A47" i="8" s="1"/>
  <c r="B48" i="8"/>
  <c r="A48" i="8" s="1"/>
  <c r="B49" i="8"/>
  <c r="B50" i="8"/>
  <c r="A50" i="8" s="1"/>
  <c r="B51" i="8"/>
  <c r="A51" i="8" s="1"/>
  <c r="B52" i="8"/>
  <c r="B56" i="11" s="1"/>
  <c r="B53" i="8"/>
  <c r="A53" i="8" s="1"/>
  <c r="B54" i="8"/>
  <c r="A54" i="8" s="1"/>
  <c r="B55" i="8"/>
  <c r="B56" i="8"/>
  <c r="A56" i="8" s="1"/>
  <c r="B57" i="8"/>
  <c r="A57" i="8" s="1"/>
  <c r="B58" i="8"/>
  <c r="B62" i="11" s="1"/>
  <c r="B59" i="8"/>
  <c r="A59" i="8" s="1"/>
  <c r="B60" i="8"/>
  <c r="A60" i="8" s="1"/>
  <c r="B61" i="8"/>
  <c r="B62" i="8"/>
  <c r="A62" i="8" s="1"/>
  <c r="B63" i="8"/>
  <c r="A63" i="8" s="1"/>
  <c r="B64" i="8"/>
  <c r="B68" i="11" s="1"/>
  <c r="B65" i="8"/>
  <c r="A65" i="8" s="1"/>
  <c r="B66" i="8"/>
  <c r="A66" i="8" s="1"/>
  <c r="B67" i="8"/>
  <c r="B68" i="8"/>
  <c r="A68" i="8" s="1"/>
  <c r="B69" i="8"/>
  <c r="A69" i="8" s="1"/>
  <c r="B70" i="8"/>
  <c r="B74" i="11" s="1"/>
  <c r="B71" i="8"/>
  <c r="A71" i="8" s="1"/>
  <c r="B72" i="8"/>
  <c r="A72" i="8" s="1"/>
  <c r="B73" i="8"/>
  <c r="B74" i="8"/>
  <c r="A74" i="8" s="1"/>
  <c r="B75" i="8"/>
  <c r="A75" i="8" s="1"/>
  <c r="B76" i="8"/>
  <c r="B80" i="11" s="1"/>
  <c r="B77" i="8"/>
  <c r="A77" i="8" s="1"/>
  <c r="B78" i="8"/>
  <c r="A78" i="8" s="1"/>
  <c r="B79" i="8"/>
  <c r="B80" i="8"/>
  <c r="A80" i="8" s="1"/>
  <c r="B81" i="8"/>
  <c r="A81" i="8" s="1"/>
  <c r="B82" i="8"/>
  <c r="B86" i="11" s="1"/>
  <c r="B83" i="8"/>
  <c r="A83" i="8" s="1"/>
  <c r="B84" i="8"/>
  <c r="A84" i="8" s="1"/>
  <c r="B85" i="8"/>
  <c r="B86" i="8"/>
  <c r="A86" i="8" s="1"/>
  <c r="B87" i="8"/>
  <c r="A87" i="8" s="1"/>
  <c r="B88" i="8"/>
  <c r="B92" i="11" s="1"/>
  <c r="B89" i="8"/>
  <c r="A89" i="8" s="1"/>
  <c r="B90" i="8"/>
  <c r="A90" i="8" s="1"/>
  <c r="B91" i="8"/>
  <c r="B92" i="8"/>
  <c r="A92" i="8" s="1"/>
  <c r="B93" i="8"/>
  <c r="A93" i="8" s="1"/>
  <c r="B94" i="8"/>
  <c r="B98" i="11" s="1"/>
  <c r="B95" i="8"/>
  <c r="A95" i="8" s="1"/>
  <c r="B96" i="8"/>
  <c r="A96" i="8" s="1"/>
  <c r="B97" i="8"/>
  <c r="B98" i="8"/>
  <c r="A98" i="8" s="1"/>
  <c r="B99" i="8"/>
  <c r="A99" i="8" s="1"/>
  <c r="B100" i="8"/>
  <c r="B104" i="11" s="1"/>
  <c r="B101" i="8"/>
  <c r="A101" i="8" s="1"/>
  <c r="B102" i="8"/>
  <c r="A102" i="8" s="1"/>
  <c r="B103" i="8"/>
  <c r="B104" i="8"/>
  <c r="A104" i="8" s="1"/>
  <c r="B105" i="8"/>
  <c r="A105" i="8" s="1"/>
  <c r="B106" i="8"/>
  <c r="B110" i="11" s="1"/>
  <c r="B11" i="8"/>
  <c r="A11" i="8" s="1"/>
  <c r="C12" i="8"/>
  <c r="B12" i="8" s="1"/>
  <c r="A12" i="8" s="1"/>
  <c r="BL114" i="8" l="1" a="1"/>
  <c r="BL114" i="8" s="1"/>
  <c r="BK114" i="8" a="1"/>
  <c r="BK114" i="8" s="1"/>
  <c r="BI114" i="8" a="1"/>
  <c r="BI114" i="8" s="1"/>
  <c r="BH114" i="8" a="1"/>
  <c r="BH114" i="8" s="1"/>
  <c r="BF114" i="8" a="1"/>
  <c r="BF114" i="8" s="1"/>
  <c r="BN114" i="8" a="1"/>
  <c r="BN114" i="8" s="1"/>
  <c r="BG114" i="8" a="1"/>
  <c r="BG114" i="8" s="1"/>
  <c r="BJ114" i="8" a="1"/>
  <c r="BJ114" i="8" s="1"/>
  <c r="BE113" i="8"/>
  <c r="B39" i="11"/>
  <c r="B51" i="11"/>
  <c r="B27" i="11"/>
  <c r="B15" i="11"/>
  <c r="B99" i="11"/>
  <c r="B87" i="11"/>
  <c r="B75" i="11"/>
  <c r="B63" i="11"/>
  <c r="B16" i="11"/>
  <c r="B106" i="11"/>
  <c r="B94" i="11"/>
  <c r="B82" i="11"/>
  <c r="B70" i="11"/>
  <c r="B58" i="11"/>
  <c r="B46" i="11"/>
  <c r="B34" i="11"/>
  <c r="B111" i="11"/>
  <c r="B105" i="11"/>
  <c r="B93" i="11"/>
  <c r="B81" i="11"/>
  <c r="B69" i="11"/>
  <c r="B57" i="11"/>
  <c r="B45" i="11"/>
  <c r="B33" i="11"/>
  <c r="B112" i="11"/>
  <c r="B100" i="11"/>
  <c r="B88" i="11"/>
  <c r="B76" i="11"/>
  <c r="B64" i="11"/>
  <c r="B52" i="11"/>
  <c r="B40" i="11"/>
  <c r="B28" i="11"/>
  <c r="BE112" i="8"/>
  <c r="BF112" i="8" s="1" a="1"/>
  <c r="BF112" i="8" s="1"/>
  <c r="D48" i="13" s="1"/>
  <c r="AO111" i="8"/>
  <c r="AZ111" i="8" s="1"/>
  <c r="G115" i="11"/>
  <c r="AO110" i="8"/>
  <c r="AZ110" i="8" s="1"/>
  <c r="AO112" i="8"/>
  <c r="AZ112" i="8" s="1"/>
  <c r="BM114" i="8" s="1" a="1"/>
  <c r="BM114" i="8" s="1"/>
  <c r="G116" i="11"/>
  <c r="A109" i="8"/>
  <c r="B47" i="13"/>
  <c r="A97" i="8"/>
  <c r="B43" i="13"/>
  <c r="A79" i="8"/>
  <c r="B37" i="13"/>
  <c r="A61" i="8"/>
  <c r="B31" i="13"/>
  <c r="A43" i="8"/>
  <c r="B25" i="13"/>
  <c r="A31" i="8"/>
  <c r="B21" i="13"/>
  <c r="B109" i="11"/>
  <c r="B103" i="11"/>
  <c r="B97" i="11"/>
  <c r="B91" i="11"/>
  <c r="B85" i="11"/>
  <c r="B79" i="11"/>
  <c r="B73" i="11"/>
  <c r="B67" i="11"/>
  <c r="B61" i="11"/>
  <c r="B55" i="11"/>
  <c r="B49" i="11"/>
  <c r="B43" i="11"/>
  <c r="B37" i="11"/>
  <c r="B31" i="11"/>
  <c r="B113" i="11"/>
  <c r="A91" i="8"/>
  <c r="B41" i="13"/>
  <c r="A73" i="8"/>
  <c r="B35" i="13"/>
  <c r="A55" i="8"/>
  <c r="B29" i="13"/>
  <c r="A25" i="8"/>
  <c r="B19" i="13"/>
  <c r="A106" i="8"/>
  <c r="B46" i="13"/>
  <c r="A100" i="8"/>
  <c r="B44" i="13"/>
  <c r="A94" i="8"/>
  <c r="B42" i="13"/>
  <c r="A88" i="8"/>
  <c r="B40" i="13"/>
  <c r="A82" i="8"/>
  <c r="B38" i="13"/>
  <c r="A76" i="8"/>
  <c r="B36" i="13"/>
  <c r="A70" i="8"/>
  <c r="B34" i="13"/>
  <c r="A64" i="8"/>
  <c r="B32" i="13"/>
  <c r="A58" i="8"/>
  <c r="B30" i="13"/>
  <c r="A52" i="8"/>
  <c r="B28" i="13"/>
  <c r="A46" i="8"/>
  <c r="B26" i="13"/>
  <c r="A40" i="8"/>
  <c r="B24" i="13"/>
  <c r="A34" i="8"/>
  <c r="B22" i="13"/>
  <c r="A28" i="8"/>
  <c r="B20" i="13"/>
  <c r="B108" i="11"/>
  <c r="B102" i="11"/>
  <c r="B96" i="11"/>
  <c r="B90" i="11"/>
  <c r="B84" i="11"/>
  <c r="B78" i="11"/>
  <c r="B72" i="11"/>
  <c r="B66" i="11"/>
  <c r="B60" i="11"/>
  <c r="B54" i="11"/>
  <c r="B48" i="11"/>
  <c r="B42" i="11"/>
  <c r="B36" i="11"/>
  <c r="B30" i="11"/>
  <c r="A103" i="8"/>
  <c r="B45" i="13"/>
  <c r="A85" i="8"/>
  <c r="B39" i="13"/>
  <c r="A67" i="8"/>
  <c r="B33" i="13"/>
  <c r="A49" i="8"/>
  <c r="B27" i="13"/>
  <c r="A37" i="8"/>
  <c r="B23" i="13"/>
  <c r="B107" i="11"/>
  <c r="B101" i="11"/>
  <c r="B95" i="11"/>
  <c r="B89" i="11"/>
  <c r="B83" i="11"/>
  <c r="B77" i="11"/>
  <c r="B71" i="11"/>
  <c r="B65" i="11"/>
  <c r="B59" i="11"/>
  <c r="B53" i="11"/>
  <c r="B47" i="11"/>
  <c r="B41" i="11"/>
  <c r="B35" i="11"/>
  <c r="B29" i="11"/>
  <c r="A9" i="13"/>
  <c r="A6" i="13"/>
  <c r="A7" i="13"/>
  <c r="A10" i="13"/>
  <c r="A8" i="13"/>
  <c r="C13" i="8"/>
  <c r="B13" i="8" s="1"/>
  <c r="BJ113" i="8" l="1" a="1"/>
  <c r="BJ113" i="8" s="1"/>
  <c r="BN113" i="8" a="1"/>
  <c r="BN113" i="8" s="1"/>
  <c r="BG113" i="8" a="1"/>
  <c r="BG113" i="8" s="1"/>
  <c r="BL113" i="8" a="1"/>
  <c r="BL113" i="8" s="1"/>
  <c r="BK113" i="8" a="1"/>
  <c r="BK113" i="8" s="1"/>
  <c r="BF113" i="8" a="1"/>
  <c r="BF113" i="8" s="1"/>
  <c r="BH113" i="8" a="1"/>
  <c r="BH113" i="8" s="1"/>
  <c r="BI113" i="8" a="1"/>
  <c r="BI113" i="8" s="1"/>
  <c r="BM113" i="8" a="1"/>
  <c r="BM113" i="8" s="1"/>
  <c r="BO114" i="8"/>
  <c r="K15" i="11"/>
  <c r="H116" i="11"/>
  <c r="H115" i="11"/>
  <c r="BJ112" i="8" a="1"/>
  <c r="BJ112" i="8" s="1"/>
  <c r="G48" i="13" s="1"/>
  <c r="C14" i="8"/>
  <c r="B14" i="8" s="1"/>
  <c r="B18" i="11" s="1"/>
  <c r="O48" i="13"/>
  <c r="BH112" i="8" a="1"/>
  <c r="BH112" i="8" s="1"/>
  <c r="F48" i="13" s="1"/>
  <c r="BK112" i="8" a="1"/>
  <c r="BK112" i="8" s="1"/>
  <c r="BN112" i="8" a="1"/>
  <c r="BN112" i="8" s="1"/>
  <c r="I48" i="13" s="1"/>
  <c r="BI112" i="8" a="1"/>
  <c r="BI112" i="8" s="1"/>
  <c r="BG112" i="8" a="1"/>
  <c r="BG112" i="8" s="1"/>
  <c r="E48" i="13" s="1"/>
  <c r="G114" i="11"/>
  <c r="BL112" i="8" a="1"/>
  <c r="BL112" i="8" s="1"/>
  <c r="H114" i="11"/>
  <c r="P48" i="13"/>
  <c r="N48" i="13"/>
  <c r="M48" i="13"/>
  <c r="K48" i="13"/>
  <c r="R48" i="13"/>
  <c r="A13" i="8"/>
  <c r="B15" i="13"/>
  <c r="B17" i="11"/>
  <c r="Q48" i="13"/>
  <c r="BO113" i="8" l="1"/>
  <c r="BM112" i="8" a="1"/>
  <c r="BM112" i="8" s="1"/>
  <c r="H48" i="13" s="1"/>
  <c r="C15" i="8"/>
  <c r="B15" i="8" s="1"/>
  <c r="A15" i="8" s="1"/>
  <c r="A14" i="8"/>
  <c r="C16" i="8"/>
  <c r="B16" i="8" s="1"/>
  <c r="B19" i="11" l="1"/>
  <c r="BO112" i="8"/>
  <c r="A16" i="8"/>
  <c r="B16" i="13"/>
  <c r="B20" i="11"/>
  <c r="C17" i="8"/>
  <c r="B17" i="8" s="1"/>
  <c r="A17" i="8" l="1"/>
  <c r="B21" i="11"/>
  <c r="C18" i="8"/>
  <c r="B18" i="8" s="1"/>
  <c r="J42" i="8"/>
  <c r="AD47" i="8"/>
  <c r="Q23" i="8"/>
  <c r="AD30" i="8"/>
  <c r="M86" i="8"/>
  <c r="N28" i="8"/>
  <c r="J82" i="8"/>
  <c r="K56" i="8"/>
  <c r="K61" i="8"/>
  <c r="H59" i="8"/>
  <c r="H103" i="8"/>
  <c r="I44" i="8"/>
  <c r="F40" i="8"/>
  <c r="AC46" i="8"/>
  <c r="N26" i="8"/>
  <c r="I38" i="8"/>
  <c r="J100" i="8"/>
  <c r="P54" i="8"/>
  <c r="G95" i="8"/>
  <c r="G89" i="8"/>
  <c r="AC86" i="8"/>
  <c r="O102" i="8"/>
  <c r="R83" i="8"/>
  <c r="F52" i="8"/>
  <c r="P61" i="8"/>
  <c r="F103" i="8"/>
  <c r="AC68" i="8"/>
  <c r="AC70" i="8"/>
  <c r="AC75" i="8"/>
  <c r="AC69" i="8"/>
  <c r="M99" i="8"/>
  <c r="P92" i="8"/>
  <c r="O77" i="8"/>
  <c r="AC50" i="8"/>
  <c r="Q33" i="8"/>
  <c r="AD109" i="8"/>
  <c r="J86" i="8"/>
  <c r="Q64" i="8"/>
  <c r="F51" i="8"/>
  <c r="F104" i="8"/>
  <c r="AD52" i="8"/>
  <c r="M23" i="8"/>
  <c r="G46" i="8"/>
  <c r="M95" i="8"/>
  <c r="H54" i="8"/>
  <c r="P99" i="8"/>
  <c r="N88" i="8"/>
  <c r="N73" i="8"/>
  <c r="H95" i="8"/>
  <c r="N84" i="8"/>
  <c r="G45" i="8"/>
  <c r="N55" i="8"/>
  <c r="AD104" i="8"/>
  <c r="AC98" i="8"/>
  <c r="Q87" i="8"/>
  <c r="R75" i="8"/>
  <c r="P59" i="8"/>
  <c r="R58" i="8"/>
  <c r="J108" i="8"/>
  <c r="J11" i="8"/>
  <c r="G109" i="8"/>
  <c r="G34" i="8"/>
  <c r="H104" i="8"/>
  <c r="J95" i="8"/>
  <c r="F60" i="8"/>
  <c r="I77" i="8"/>
  <c r="F61" i="8"/>
  <c r="R95" i="8"/>
  <c r="P69" i="8"/>
  <c r="G63" i="8"/>
  <c r="M102" i="8"/>
  <c r="G107" i="8"/>
  <c r="R52" i="8"/>
  <c r="J106" i="8"/>
  <c r="M56" i="8"/>
  <c r="R27" i="8"/>
  <c r="F97" i="8"/>
  <c r="J103" i="8"/>
  <c r="M94" i="8"/>
  <c r="O78" i="8"/>
  <c r="R29" i="8"/>
  <c r="O24" i="8"/>
  <c r="J45" i="8"/>
  <c r="Q95" i="8"/>
  <c r="N83" i="8"/>
  <c r="J57" i="8"/>
  <c r="H67" i="8"/>
  <c r="AC57" i="8"/>
  <c r="R104" i="8"/>
  <c r="K73" i="8"/>
  <c r="H72" i="8"/>
  <c r="AD48" i="8"/>
  <c r="K11" i="8"/>
  <c r="K92" i="8"/>
  <c r="R30" i="8"/>
  <c r="AC76" i="8"/>
  <c r="AC43" i="8"/>
  <c r="F101" i="8"/>
  <c r="M89" i="8"/>
  <c r="Q104" i="8"/>
  <c r="N105" i="8"/>
  <c r="H100" i="8"/>
  <c r="H69" i="8"/>
  <c r="Q40" i="8"/>
  <c r="AC31" i="8"/>
  <c r="P101" i="8"/>
  <c r="G102" i="8"/>
  <c r="H64" i="8"/>
  <c r="R96" i="8"/>
  <c r="G55" i="8"/>
  <c r="P64" i="8"/>
  <c r="G90" i="8"/>
  <c r="AD77" i="8"/>
  <c r="AC96" i="8"/>
  <c r="G60" i="8"/>
  <c r="R35" i="8"/>
  <c r="Q58" i="8"/>
  <c r="H55" i="8"/>
  <c r="J105" i="8"/>
  <c r="AD33" i="8"/>
  <c r="AD61" i="8"/>
  <c r="N87" i="8"/>
  <c r="F24" i="8"/>
  <c r="AC36" i="8"/>
  <c r="AD71" i="8"/>
  <c r="N81" i="8"/>
  <c r="P82" i="8"/>
  <c r="P60" i="8"/>
  <c r="J41" i="8"/>
  <c r="N94" i="8"/>
  <c r="N103" i="8"/>
  <c r="P39" i="8"/>
  <c r="P30" i="8"/>
  <c r="AD74" i="8"/>
  <c r="Q85" i="8"/>
  <c r="AD86" i="8"/>
  <c r="J99" i="8"/>
  <c r="AD99" i="8"/>
  <c r="F92" i="8"/>
  <c r="N11" i="8"/>
  <c r="AC92" i="8"/>
  <c r="P100" i="8"/>
  <c r="Q76" i="8"/>
  <c r="R72" i="8"/>
  <c r="N91" i="8"/>
  <c r="J23" i="8"/>
  <c r="M101" i="8"/>
  <c r="M77" i="8"/>
  <c r="Q83" i="8"/>
  <c r="M51" i="8"/>
  <c r="M57" i="8"/>
  <c r="R65" i="8"/>
  <c r="O32" i="8"/>
  <c r="AC108" i="8"/>
  <c r="G62" i="8"/>
  <c r="J102" i="8"/>
  <c r="AC101" i="8"/>
  <c r="AC91" i="8"/>
  <c r="J35" i="8"/>
  <c r="AD93" i="8"/>
  <c r="G65" i="8"/>
  <c r="O30" i="8"/>
  <c r="N30" i="8"/>
  <c r="M108" i="8"/>
  <c r="I71" i="8"/>
  <c r="O68" i="8"/>
  <c r="N106" i="8"/>
  <c r="J76" i="8"/>
  <c r="G78" i="8"/>
  <c r="M96" i="8"/>
  <c r="AC42" i="8"/>
  <c r="I23" i="8"/>
  <c r="AD78" i="8"/>
  <c r="K30" i="8"/>
  <c r="H83" i="8"/>
  <c r="O12" i="8"/>
  <c r="Q88" i="8"/>
  <c r="R60" i="8"/>
  <c r="F29" i="8"/>
  <c r="K81" i="8"/>
  <c r="H27" i="8"/>
  <c r="P33" i="8"/>
  <c r="R92" i="8"/>
  <c r="K62" i="8"/>
  <c r="P94" i="8"/>
  <c r="F58" i="8"/>
  <c r="J65" i="8"/>
  <c r="AD26" i="8"/>
  <c r="R43" i="8"/>
  <c r="Q24" i="8"/>
  <c r="P53" i="8"/>
  <c r="O80" i="8"/>
  <c r="O40" i="8"/>
  <c r="AC28" i="8"/>
  <c r="AC93" i="8"/>
  <c r="O95" i="8"/>
  <c r="O37" i="8"/>
  <c r="AD75" i="8"/>
  <c r="J83" i="8"/>
  <c r="O61" i="8"/>
  <c r="O84" i="8"/>
  <c r="H74" i="8"/>
  <c r="R54" i="8"/>
  <c r="K105" i="8"/>
  <c r="K80" i="8"/>
  <c r="P26" i="8"/>
  <c r="N90" i="8"/>
  <c r="F57" i="8"/>
  <c r="AD35" i="8"/>
  <c r="AC67" i="8"/>
  <c r="AD29" i="8"/>
  <c r="M103" i="8"/>
  <c r="H80" i="8"/>
  <c r="J53" i="8"/>
  <c r="Q105" i="8"/>
  <c r="R49" i="8"/>
  <c r="AD12" i="8"/>
  <c r="I61" i="8"/>
  <c r="R63" i="8"/>
  <c r="J56" i="8"/>
  <c r="J52" i="8"/>
  <c r="Q35" i="8"/>
  <c r="AD107" i="8"/>
  <c r="J74" i="8"/>
  <c r="J70" i="8"/>
  <c r="O89" i="8"/>
  <c r="M66" i="8"/>
  <c r="M92" i="8"/>
  <c r="AD28" i="8"/>
  <c r="F99" i="8"/>
  <c r="M72" i="8"/>
  <c r="M61" i="8"/>
  <c r="I27" i="8"/>
  <c r="P87" i="8"/>
  <c r="I94" i="8"/>
  <c r="K97" i="8"/>
  <c r="O109" i="8"/>
  <c r="G94" i="8"/>
  <c r="AD63" i="8"/>
  <c r="I32" i="8"/>
  <c r="M29" i="8"/>
  <c r="AC60" i="8"/>
  <c r="F31" i="8"/>
  <c r="G27" i="8"/>
  <c r="R106" i="8"/>
  <c r="H98" i="8"/>
  <c r="AC41" i="8"/>
  <c r="O41" i="8"/>
  <c r="G73" i="8"/>
  <c r="AC47" i="8"/>
  <c r="J26" i="8"/>
  <c r="R79" i="8"/>
  <c r="AD100" i="8"/>
  <c r="J28" i="8"/>
  <c r="I69" i="8"/>
  <c r="I62" i="8"/>
  <c r="G48" i="8"/>
  <c r="P57" i="8"/>
  <c r="AC32" i="8"/>
  <c r="R73" i="8"/>
  <c r="P51" i="8"/>
  <c r="N74" i="8"/>
  <c r="H85" i="8"/>
  <c r="N98" i="8"/>
  <c r="H91" i="8"/>
  <c r="P49" i="8"/>
  <c r="P50" i="8"/>
  <c r="G42" i="8"/>
  <c r="J30" i="8"/>
  <c r="O104" i="8"/>
  <c r="AD34" i="8"/>
  <c r="R12" i="8"/>
  <c r="F27" i="8"/>
  <c r="M76" i="8"/>
  <c r="M78" i="8"/>
  <c r="J51" i="8"/>
  <c r="AD46" i="8"/>
  <c r="I105" i="8"/>
  <c r="P45" i="8"/>
  <c r="G44" i="8"/>
  <c r="AD25" i="8"/>
  <c r="N77" i="8"/>
  <c r="K108" i="8"/>
  <c r="O29" i="8"/>
  <c r="K103" i="8"/>
  <c r="AD66" i="8"/>
  <c r="K28" i="8"/>
  <c r="O85" i="8"/>
  <c r="P11" i="8"/>
  <c r="R46" i="8"/>
  <c r="F53" i="8"/>
  <c r="J58" i="8"/>
  <c r="H32" i="8"/>
  <c r="I60" i="8"/>
  <c r="F34" i="8"/>
  <c r="O93" i="8"/>
  <c r="R36" i="8"/>
  <c r="P46" i="8"/>
  <c r="Q75" i="8"/>
  <c r="G93" i="8"/>
  <c r="N39" i="8"/>
  <c r="P86" i="8"/>
  <c r="AC64" i="8"/>
  <c r="P85" i="8"/>
  <c r="N48" i="8"/>
  <c r="Q72" i="8"/>
  <c r="F62" i="8"/>
  <c r="M38" i="8"/>
  <c r="Q86" i="8"/>
  <c r="H84" i="8"/>
  <c r="P70" i="8"/>
  <c r="AC61" i="8"/>
  <c r="Q77" i="8"/>
  <c r="P52" i="8"/>
  <c r="AC59" i="8"/>
  <c r="H82" i="8"/>
  <c r="H99" i="8"/>
  <c r="Q109" i="8"/>
  <c r="AD85" i="8"/>
  <c r="J104" i="8"/>
  <c r="Q63" i="8"/>
  <c r="R105" i="8"/>
  <c r="AC27" i="8"/>
  <c r="AC23" i="8"/>
  <c r="K65" i="8"/>
  <c r="M26" i="8"/>
  <c r="N109" i="8"/>
  <c r="AC105" i="8"/>
  <c r="H70" i="8"/>
  <c r="M70" i="8"/>
  <c r="Q100" i="8"/>
  <c r="AC100" i="8"/>
  <c r="AD81" i="8"/>
  <c r="H75" i="8"/>
  <c r="F91" i="8"/>
  <c r="I83" i="8"/>
  <c r="Q102" i="8"/>
  <c r="H44" i="8"/>
  <c r="Q65" i="8"/>
  <c r="O27" i="8"/>
  <c r="I51" i="8"/>
  <c r="F46" i="8"/>
  <c r="Q92" i="8"/>
  <c r="P89" i="8"/>
  <c r="G92" i="8"/>
  <c r="G49" i="8"/>
  <c r="Q12" i="8"/>
  <c r="N59" i="8"/>
  <c r="I34" i="8"/>
  <c r="F98" i="8"/>
  <c r="K31" i="8"/>
  <c r="M88" i="8"/>
  <c r="N53" i="8"/>
  <c r="N66" i="8"/>
  <c r="AC38" i="8"/>
  <c r="J78" i="8"/>
  <c r="O99" i="8"/>
  <c r="M25" i="8"/>
  <c r="K87" i="8"/>
  <c r="R33" i="8"/>
  <c r="G76" i="8"/>
  <c r="G38" i="8"/>
  <c r="F96" i="8"/>
  <c r="H11" i="8"/>
  <c r="H109" i="8"/>
  <c r="I33" i="8"/>
  <c r="AD84" i="8"/>
  <c r="H37" i="8"/>
  <c r="N41" i="8"/>
  <c r="N58" i="8"/>
  <c r="R70" i="8"/>
  <c r="P13" i="8"/>
  <c r="K77" i="8"/>
  <c r="J32" i="8"/>
  <c r="F54" i="8"/>
  <c r="F23" i="8"/>
  <c r="M98" i="8"/>
  <c r="G26" i="8"/>
  <c r="R68" i="8"/>
  <c r="AD83" i="8"/>
  <c r="AC29" i="8"/>
  <c r="P76" i="8"/>
  <c r="R85" i="8"/>
  <c r="H106" i="8"/>
  <c r="Q42" i="8"/>
  <c r="I37" i="8"/>
  <c r="AD73" i="8"/>
  <c r="I96" i="8"/>
  <c r="I93" i="8"/>
  <c r="J87" i="8"/>
  <c r="R61" i="8"/>
  <c r="AD56" i="8"/>
  <c r="N78" i="8"/>
  <c r="J25" i="8"/>
  <c r="F65" i="8"/>
  <c r="K37" i="8"/>
  <c r="F106" i="8"/>
  <c r="J59" i="8"/>
  <c r="AC65" i="8"/>
  <c r="P78" i="8"/>
  <c r="K24" i="8"/>
  <c r="K39" i="8"/>
  <c r="G35" i="8"/>
  <c r="N101" i="8"/>
  <c r="O105" i="8"/>
  <c r="M59" i="8"/>
  <c r="AD70" i="8"/>
  <c r="M31" i="8"/>
  <c r="N27" i="8"/>
  <c r="P34" i="8"/>
  <c r="P63" i="8"/>
  <c r="M93" i="8"/>
  <c r="F83" i="8"/>
  <c r="O88" i="8"/>
  <c r="I76" i="8"/>
  <c r="O72" i="8"/>
  <c r="H43" i="8"/>
  <c r="P37" i="8"/>
  <c r="F56" i="8"/>
  <c r="AD88" i="8"/>
  <c r="N95" i="8"/>
  <c r="O23" i="8"/>
  <c r="K59" i="8"/>
  <c r="AC24" i="8"/>
  <c r="J38" i="8"/>
  <c r="F68" i="8"/>
  <c r="O49" i="8"/>
  <c r="P106" i="8"/>
  <c r="AC12" i="8"/>
  <c r="H68" i="8"/>
  <c r="O92" i="8"/>
  <c r="P31" i="8"/>
  <c r="O38" i="8"/>
  <c r="K71" i="8"/>
  <c r="R39" i="8"/>
  <c r="O35" i="8"/>
  <c r="Q96" i="8"/>
  <c r="N46" i="8"/>
  <c r="I104" i="8"/>
  <c r="K86" i="8"/>
  <c r="Q56" i="8"/>
  <c r="J48" i="8"/>
  <c r="M41" i="8"/>
  <c r="H25" i="8"/>
  <c r="G99" i="8"/>
  <c r="P72" i="8"/>
  <c r="M49" i="8"/>
  <c r="AC53" i="8"/>
  <c r="AD49" i="8"/>
  <c r="K95" i="8"/>
  <c r="G100" i="8"/>
  <c r="AC97" i="8"/>
  <c r="R101" i="8"/>
  <c r="P90" i="8"/>
  <c r="M53" i="8"/>
  <c r="H40" i="8"/>
  <c r="N43" i="8"/>
  <c r="Q49" i="8"/>
  <c r="O81" i="8"/>
  <c r="AD91" i="8"/>
  <c r="H60" i="8"/>
  <c r="M68" i="8"/>
  <c r="J68" i="8"/>
  <c r="AD27" i="8"/>
  <c r="K79" i="8"/>
  <c r="R28" i="8"/>
  <c r="J97" i="8"/>
  <c r="H30" i="8"/>
  <c r="P109" i="8"/>
  <c r="K72" i="8"/>
  <c r="M80" i="8"/>
  <c r="R91" i="8"/>
  <c r="N104" i="8"/>
  <c r="H93" i="8"/>
  <c r="M42" i="8"/>
  <c r="G103" i="8"/>
  <c r="H31" i="8"/>
  <c r="K109" i="8"/>
  <c r="M91" i="8"/>
  <c r="AD95" i="8"/>
  <c r="M75" i="8"/>
  <c r="H48" i="8"/>
  <c r="H51" i="8"/>
  <c r="J94" i="8"/>
  <c r="R24" i="8"/>
  <c r="P47" i="8"/>
  <c r="J75" i="8"/>
  <c r="I78" i="8"/>
  <c r="N93" i="8"/>
  <c r="G83" i="8"/>
  <c r="M73" i="8"/>
  <c r="G40" i="8"/>
  <c r="G98" i="8"/>
  <c r="R80" i="8"/>
  <c r="AD24" i="8"/>
  <c r="N86" i="8"/>
  <c r="AC94" i="8"/>
  <c r="O55" i="8"/>
  <c r="M13" i="8"/>
  <c r="R26" i="8"/>
  <c r="J36" i="8"/>
  <c r="P96" i="8"/>
  <c r="O58" i="8"/>
  <c r="Q62" i="8"/>
  <c r="H35" i="8"/>
  <c r="J55" i="8"/>
  <c r="M43" i="8"/>
  <c r="M47" i="8"/>
  <c r="J50" i="8"/>
  <c r="O57" i="8"/>
  <c r="I90" i="8"/>
  <c r="Q60" i="8"/>
  <c r="G33" i="8"/>
  <c r="AD65" i="8"/>
  <c r="I52" i="8"/>
  <c r="I98" i="8"/>
  <c r="N35" i="8"/>
  <c r="R89" i="8"/>
  <c r="N64" i="8"/>
  <c r="M97" i="8"/>
  <c r="K83" i="8"/>
  <c r="G68" i="8"/>
  <c r="I29" i="8"/>
  <c r="AD54" i="8"/>
  <c r="G71" i="8"/>
  <c r="I74" i="8"/>
  <c r="I81" i="8"/>
  <c r="P102" i="8"/>
  <c r="AD106" i="8"/>
  <c r="AC106" i="8"/>
  <c r="K64" i="8"/>
  <c r="N36" i="8"/>
  <c r="M79" i="8"/>
  <c r="J72" i="8"/>
  <c r="I91" i="8"/>
  <c r="O60" i="8"/>
  <c r="R93" i="8"/>
  <c r="G28" i="8"/>
  <c r="H86" i="8"/>
  <c r="F71" i="8"/>
  <c r="N29" i="8"/>
  <c r="O42" i="8"/>
  <c r="R90" i="8"/>
  <c r="N38" i="8"/>
  <c r="I48" i="8"/>
  <c r="P97" i="8"/>
  <c r="K49" i="8"/>
  <c r="I95" i="8"/>
  <c r="F70" i="8"/>
  <c r="J27" i="8"/>
  <c r="R82" i="8"/>
  <c r="I70" i="8"/>
  <c r="N72" i="8"/>
  <c r="F84" i="8"/>
  <c r="N13" i="8"/>
  <c r="K51" i="8"/>
  <c r="J67" i="8"/>
  <c r="AD62" i="8"/>
  <c r="M64" i="8"/>
  <c r="AC44" i="8"/>
  <c r="K40" i="8"/>
  <c r="J24" i="8"/>
  <c r="J90" i="8"/>
  <c r="G74" i="8"/>
  <c r="P98" i="8"/>
  <c r="AD89" i="8"/>
  <c r="R57" i="8"/>
  <c r="H107" i="8"/>
  <c r="O26" i="8"/>
  <c r="Q11" i="8"/>
  <c r="Q13" i="8"/>
  <c r="AC62" i="8"/>
  <c r="AC40" i="8"/>
  <c r="Q36" i="8"/>
  <c r="J79" i="8"/>
  <c r="M71" i="8"/>
  <c r="G50" i="8"/>
  <c r="K38" i="8"/>
  <c r="F85" i="8"/>
  <c r="AC80" i="8"/>
  <c r="G84" i="8"/>
  <c r="R84" i="8"/>
  <c r="I13" i="8"/>
  <c r="I84" i="8"/>
  <c r="K26" i="8"/>
  <c r="Q34" i="8"/>
  <c r="AD55" i="8"/>
  <c r="AC14" i="8"/>
  <c r="AD37" i="8"/>
  <c r="R77" i="8"/>
  <c r="AD57" i="8"/>
  <c r="H24" i="8"/>
  <c r="G91" i="8"/>
  <c r="J92" i="8"/>
  <c r="H50" i="8"/>
  <c r="G39" i="8"/>
  <c r="AD32" i="8"/>
  <c r="R97" i="8"/>
  <c r="P42" i="8"/>
  <c r="J43" i="8"/>
  <c r="H15" i="8"/>
  <c r="R88" i="8"/>
  <c r="O47" i="8"/>
  <c r="Q79" i="8"/>
  <c r="H46" i="8"/>
  <c r="M100" i="8"/>
  <c r="Q82" i="8"/>
  <c r="AD72" i="8"/>
  <c r="Q37" i="8"/>
  <c r="G23" i="8"/>
  <c r="P73" i="8"/>
  <c r="O31" i="8"/>
  <c r="P79" i="8"/>
  <c r="R66" i="8"/>
  <c r="K93" i="8"/>
  <c r="N82" i="8"/>
  <c r="K41" i="8"/>
  <c r="G25" i="8"/>
  <c r="Q43" i="8"/>
  <c r="Q99" i="8"/>
  <c r="M85" i="8"/>
  <c r="J39" i="8"/>
  <c r="G24" i="8"/>
  <c r="AD60" i="8"/>
  <c r="M30" i="8"/>
  <c r="K48" i="8"/>
  <c r="F109" i="8"/>
  <c r="I50" i="8"/>
  <c r="Q66" i="8"/>
  <c r="J77" i="8"/>
  <c r="R25" i="8"/>
  <c r="N42" i="8"/>
  <c r="F82" i="8"/>
  <c r="I54" i="8"/>
  <c r="J85" i="8"/>
  <c r="AD96" i="8"/>
  <c r="I75" i="8"/>
  <c r="P74" i="8"/>
  <c r="I42" i="8"/>
  <c r="Q54" i="8"/>
  <c r="R45" i="8"/>
  <c r="M33" i="8"/>
  <c r="J46" i="8"/>
  <c r="J62" i="8"/>
  <c r="K57" i="8"/>
  <c r="O56" i="8"/>
  <c r="F43" i="8"/>
  <c r="M84" i="8"/>
  <c r="R109" i="8"/>
  <c r="K101" i="8"/>
  <c r="F77" i="8"/>
  <c r="H63" i="8"/>
  <c r="G79" i="8"/>
  <c r="R98" i="8"/>
  <c r="K104" i="8"/>
  <c r="O90" i="8"/>
  <c r="K58" i="8"/>
  <c r="H34" i="8"/>
  <c r="AD92" i="8"/>
  <c r="H42" i="8"/>
  <c r="H76" i="8"/>
  <c r="F13" i="8"/>
  <c r="I59" i="8"/>
  <c r="N56" i="8"/>
  <c r="H97" i="8"/>
  <c r="M69" i="8"/>
  <c r="N49" i="8"/>
  <c r="I25" i="8"/>
  <c r="M40" i="8"/>
  <c r="N31" i="8"/>
  <c r="R81" i="8"/>
  <c r="Q74" i="8"/>
  <c r="I30" i="8"/>
  <c r="Q103" i="8"/>
  <c r="H12" i="8"/>
  <c r="P105" i="8"/>
  <c r="AC35" i="8"/>
  <c r="AC81" i="8"/>
  <c r="O48" i="8"/>
  <c r="P23" i="8"/>
  <c r="K54" i="8"/>
  <c r="AC45" i="8"/>
  <c r="K55" i="8"/>
  <c r="N99" i="8"/>
  <c r="H88" i="8"/>
  <c r="G36" i="8"/>
  <c r="Q38" i="8"/>
  <c r="R87" i="8"/>
  <c r="AC103" i="8"/>
  <c r="F59" i="8"/>
  <c r="J54" i="8"/>
  <c r="M58" i="8"/>
  <c r="O25" i="8"/>
  <c r="J64" i="8"/>
  <c r="N45" i="8"/>
  <c r="P95" i="8"/>
  <c r="G52" i="8"/>
  <c r="I56" i="8"/>
  <c r="H92" i="8"/>
  <c r="AD42" i="8"/>
  <c r="I15" i="8"/>
  <c r="N85" i="8"/>
  <c r="K96" i="8"/>
  <c r="J47" i="8"/>
  <c r="J33" i="8"/>
  <c r="P77" i="8"/>
  <c r="J89" i="8"/>
  <c r="I58" i="8"/>
  <c r="O64" i="8"/>
  <c r="AD51" i="8"/>
  <c r="O45" i="8"/>
  <c r="P68" i="8"/>
  <c r="P44" i="8"/>
  <c r="AC15" i="8"/>
  <c r="I80" i="8"/>
  <c r="F45" i="8"/>
  <c r="O52" i="8"/>
  <c r="K46" i="8"/>
  <c r="O106" i="8"/>
  <c r="M45" i="8"/>
  <c r="Q28" i="8"/>
  <c r="H23" i="8"/>
  <c r="M27" i="8"/>
  <c r="J34" i="8"/>
  <c r="G97" i="8"/>
  <c r="O54" i="8"/>
  <c r="H36" i="8"/>
  <c r="O94" i="8"/>
  <c r="P65" i="8"/>
  <c r="N79" i="8"/>
  <c r="F12" i="8"/>
  <c r="R71" i="8"/>
  <c r="G101" i="8"/>
  <c r="I66" i="8"/>
  <c r="M74" i="8"/>
  <c r="H81" i="8"/>
  <c r="AC85" i="8"/>
  <c r="AD76" i="8"/>
  <c r="K15" i="8"/>
  <c r="G66" i="8"/>
  <c r="P40" i="8"/>
  <c r="K85" i="8"/>
  <c r="R78" i="8"/>
  <c r="G41" i="8"/>
  <c r="AC104" i="8"/>
  <c r="F66" i="8"/>
  <c r="I57" i="8"/>
  <c r="N34" i="8"/>
  <c r="K78" i="8"/>
  <c r="H39" i="8"/>
  <c r="F86" i="8"/>
  <c r="K52" i="8"/>
  <c r="AC55" i="8"/>
  <c r="F41" i="8"/>
  <c r="AD87" i="8"/>
  <c r="O59" i="8"/>
  <c r="O75" i="8"/>
  <c r="I72" i="8"/>
  <c r="AD108" i="8"/>
  <c r="I65" i="8"/>
  <c r="G61" i="8"/>
  <c r="F33" i="8"/>
  <c r="H26" i="8"/>
  <c r="AD50" i="8"/>
  <c r="K63" i="8"/>
  <c r="AC107" i="8"/>
  <c r="Q45" i="8"/>
  <c r="AC77" i="8"/>
  <c r="O97" i="8"/>
  <c r="P29" i="8"/>
  <c r="M83" i="8"/>
  <c r="O76" i="8"/>
  <c r="O101" i="8"/>
  <c r="P24" i="8"/>
  <c r="I64" i="8"/>
  <c r="N97" i="8"/>
  <c r="AC49" i="8"/>
  <c r="M35" i="8"/>
  <c r="P55" i="8"/>
  <c r="N100" i="8"/>
  <c r="AD44" i="8"/>
  <c r="H89" i="8"/>
  <c r="R55" i="8"/>
  <c r="I45" i="8"/>
  <c r="K91" i="8"/>
  <c r="P62" i="8"/>
  <c r="P48" i="8"/>
  <c r="Q97" i="8"/>
  <c r="H65" i="8"/>
  <c r="G108" i="8"/>
  <c r="N70" i="8"/>
  <c r="R31" i="8"/>
  <c r="Q55" i="8"/>
  <c r="R37" i="8"/>
  <c r="AD38" i="8"/>
  <c r="H79" i="8"/>
  <c r="M39" i="8"/>
  <c r="I67" i="8"/>
  <c r="AD102" i="8"/>
  <c r="Q84" i="8"/>
  <c r="F28" i="8"/>
  <c r="Q32" i="8"/>
  <c r="M44" i="8"/>
  <c r="G29" i="8"/>
  <c r="K74" i="8"/>
  <c r="K12" i="8"/>
  <c r="F81" i="8"/>
  <c r="G77" i="8"/>
  <c r="M12" i="8"/>
  <c r="F42" i="8"/>
  <c r="R107" i="8"/>
  <c r="AD98" i="8"/>
  <c r="P43" i="8"/>
  <c r="AC99" i="8"/>
  <c r="H45" i="8"/>
  <c r="F90" i="8"/>
  <c r="O79" i="8"/>
  <c r="P91" i="8"/>
  <c r="R50" i="8"/>
  <c r="Q48" i="8"/>
  <c r="J60" i="8"/>
  <c r="P103" i="8"/>
  <c r="AC39" i="8"/>
  <c r="Q94" i="8"/>
  <c r="G51" i="8"/>
  <c r="G43" i="8"/>
  <c r="G80" i="8"/>
  <c r="J15" i="8"/>
  <c r="AC87" i="8"/>
  <c r="H33" i="8"/>
  <c r="N14" i="8"/>
  <c r="G15" i="8"/>
  <c r="AD69" i="8"/>
  <c r="K90" i="8"/>
  <c r="AC82" i="8"/>
  <c r="K35" i="8"/>
  <c r="I102" i="8"/>
  <c r="R103" i="8"/>
  <c r="R47" i="8"/>
  <c r="O44" i="8"/>
  <c r="J84" i="8"/>
  <c r="O74" i="8"/>
  <c r="Q44" i="8"/>
  <c r="AC72" i="8"/>
  <c r="Q69" i="8"/>
  <c r="AD36" i="8"/>
  <c r="AD68" i="8"/>
  <c r="F87" i="8"/>
  <c r="F74" i="8"/>
  <c r="AD58" i="8"/>
  <c r="H53" i="8"/>
  <c r="G75" i="8"/>
  <c r="R76" i="8"/>
  <c r="O96" i="8"/>
  <c r="N12" i="8"/>
  <c r="O86" i="8"/>
  <c r="F11" i="8"/>
  <c r="F79" i="8"/>
  <c r="N23" i="8"/>
  <c r="F49" i="8"/>
  <c r="H62" i="8"/>
  <c r="N68" i="8"/>
  <c r="Q93" i="8"/>
  <c r="G106" i="8"/>
  <c r="G96" i="8"/>
  <c r="H102" i="8"/>
  <c r="AC56" i="8"/>
  <c r="AC90" i="8"/>
  <c r="J80" i="8"/>
  <c r="AD39" i="8"/>
  <c r="P93" i="8"/>
  <c r="N32" i="8"/>
  <c r="K82" i="8"/>
  <c r="P80" i="8"/>
  <c r="I26" i="8"/>
  <c r="P35" i="8"/>
  <c r="O71" i="8"/>
  <c r="G87" i="8"/>
  <c r="N63" i="8"/>
  <c r="O34" i="8"/>
  <c r="AC30" i="8"/>
  <c r="H61" i="8"/>
  <c r="H108" i="8"/>
  <c r="N80" i="8"/>
  <c r="AD64" i="8"/>
  <c r="M82" i="8"/>
  <c r="J73" i="8"/>
  <c r="O39" i="8"/>
  <c r="AC58" i="8"/>
  <c r="H77" i="8"/>
  <c r="R94" i="8"/>
  <c r="R41" i="8"/>
  <c r="O28" i="8"/>
  <c r="H13" i="8"/>
  <c r="P27" i="8"/>
  <c r="G57" i="8"/>
  <c r="H78" i="8"/>
  <c r="AC51" i="8"/>
  <c r="M67" i="8"/>
  <c r="N102" i="8"/>
  <c r="AD80" i="8"/>
  <c r="J96" i="8"/>
  <c r="N60" i="8"/>
  <c r="J109" i="8"/>
  <c r="AD79" i="8"/>
  <c r="I87" i="8"/>
  <c r="O65" i="8"/>
  <c r="G86" i="8"/>
  <c r="O13" i="8"/>
  <c r="M28" i="8"/>
  <c r="K69" i="8"/>
  <c r="P38" i="8"/>
  <c r="O46" i="8"/>
  <c r="F107" i="8"/>
  <c r="K23" i="8"/>
  <c r="H73" i="8"/>
  <c r="O98" i="8"/>
  <c r="AD45" i="8"/>
  <c r="N40" i="8"/>
  <c r="R56" i="8"/>
  <c r="J31" i="8"/>
  <c r="G58" i="8"/>
  <c r="G88" i="8"/>
  <c r="K89" i="8"/>
  <c r="M81" i="8"/>
  <c r="H28" i="8"/>
  <c r="N51" i="8"/>
  <c r="P36" i="8"/>
  <c r="G32" i="8"/>
  <c r="J66" i="8"/>
  <c r="J107" i="8"/>
  <c r="J98" i="8"/>
  <c r="Q106" i="8"/>
  <c r="Q27" i="8"/>
  <c r="N44" i="8"/>
  <c r="AD90" i="8"/>
  <c r="J61" i="8"/>
  <c r="O62" i="8"/>
  <c r="N57" i="8"/>
  <c r="I100" i="8"/>
  <c r="Q107" i="8"/>
  <c r="H14" i="8"/>
  <c r="I101" i="8"/>
  <c r="O67" i="8"/>
  <c r="M60" i="8"/>
  <c r="R51" i="8"/>
  <c r="M65" i="8"/>
  <c r="K32" i="8"/>
  <c r="I92" i="8"/>
  <c r="I109" i="8"/>
  <c r="I43" i="8"/>
  <c r="N52" i="8"/>
  <c r="H58" i="8"/>
  <c r="O14" i="8"/>
  <c r="N15" i="8"/>
  <c r="K27" i="8"/>
  <c r="AD31" i="8"/>
  <c r="O15" i="8"/>
  <c r="F67" i="8"/>
  <c r="O50" i="8"/>
  <c r="O73" i="8"/>
  <c r="AC88" i="8"/>
  <c r="I106" i="8"/>
  <c r="R62" i="8"/>
  <c r="AC48" i="8"/>
  <c r="P41" i="8"/>
  <c r="Q14" i="8"/>
  <c r="Q91" i="8"/>
  <c r="M48" i="8"/>
  <c r="I14" i="8"/>
  <c r="M14" i="8"/>
  <c r="F89" i="8"/>
  <c r="M106" i="8"/>
  <c r="F94" i="8"/>
  <c r="AD67" i="8"/>
  <c r="Q68" i="8"/>
  <c r="O82" i="8"/>
  <c r="G30" i="8"/>
  <c r="M15" i="8"/>
  <c r="N69" i="8"/>
  <c r="O43" i="8"/>
  <c r="Q39" i="8"/>
  <c r="F26" i="8"/>
  <c r="F72" i="8"/>
  <c r="N54" i="8"/>
  <c r="AD59" i="8"/>
  <c r="M24" i="8"/>
  <c r="Q31" i="8"/>
  <c r="G72" i="8"/>
  <c r="Q71" i="8"/>
  <c r="P67" i="8"/>
  <c r="M104" i="8"/>
  <c r="P83" i="8"/>
  <c r="F39" i="8"/>
  <c r="AC63" i="8"/>
  <c r="F36" i="8"/>
  <c r="I85" i="8"/>
  <c r="H49" i="8"/>
  <c r="K68" i="8"/>
  <c r="Q78" i="8"/>
  <c r="F32" i="8"/>
  <c r="G64" i="8"/>
  <c r="F88" i="8"/>
  <c r="I86" i="8"/>
  <c r="M55" i="8"/>
  <c r="AD13" i="8"/>
  <c r="K67" i="8"/>
  <c r="O53" i="8"/>
  <c r="P104" i="8"/>
  <c r="F80" i="8"/>
  <c r="F48" i="8"/>
  <c r="Q26" i="8"/>
  <c r="K94" i="8"/>
  <c r="R11" i="8"/>
  <c r="H94" i="8"/>
  <c r="N47" i="8"/>
  <c r="K102" i="8"/>
  <c r="AC26" i="8"/>
  <c r="I40" i="8"/>
  <c r="G37" i="8"/>
  <c r="G12" i="8"/>
  <c r="I49" i="8"/>
  <c r="K34" i="8"/>
  <c r="I35" i="8"/>
  <c r="I97" i="8"/>
  <c r="P15" i="8"/>
  <c r="O91" i="8"/>
  <c r="I88" i="8"/>
  <c r="F63" i="8"/>
  <c r="H87" i="8"/>
  <c r="AD14" i="8"/>
  <c r="P16" i="8"/>
  <c r="AD16" i="8"/>
  <c r="O66" i="8"/>
  <c r="F108" i="8"/>
  <c r="P66" i="8"/>
  <c r="Q50" i="8"/>
  <c r="AC71" i="8"/>
  <c r="P84" i="8"/>
  <c r="K43" i="8"/>
  <c r="F35" i="8"/>
  <c r="P28" i="8"/>
  <c r="P32" i="8"/>
  <c r="P71" i="8"/>
  <c r="AD105" i="8"/>
  <c r="G104" i="8"/>
  <c r="I53" i="8"/>
  <c r="H71" i="8"/>
  <c r="O87" i="8"/>
  <c r="K98" i="8"/>
  <c r="J93" i="8"/>
  <c r="P107" i="8"/>
  <c r="K45" i="8"/>
  <c r="J44" i="8"/>
  <c r="M50" i="8"/>
  <c r="N92" i="8"/>
  <c r="N96" i="8"/>
  <c r="Q16" i="8"/>
  <c r="H101" i="8"/>
  <c r="P25" i="8"/>
  <c r="N67" i="8"/>
  <c r="I89" i="8"/>
  <c r="F100" i="8"/>
  <c r="AC33" i="8"/>
  <c r="I47" i="8"/>
  <c r="R48" i="8"/>
  <c r="K42" i="8"/>
  <c r="I55" i="8"/>
  <c r="AC25" i="8"/>
  <c r="H52" i="8"/>
  <c r="F38" i="8"/>
  <c r="O70" i="8"/>
  <c r="H56" i="8"/>
  <c r="AD41" i="8"/>
  <c r="G67" i="8"/>
  <c r="J63" i="8"/>
  <c r="AD43" i="8"/>
  <c r="AD40" i="8"/>
  <c r="F44" i="8"/>
  <c r="R100" i="8"/>
  <c r="R99" i="8"/>
  <c r="R53" i="8"/>
  <c r="Q29" i="8"/>
  <c r="H105" i="8"/>
  <c r="F64" i="8"/>
  <c r="R74" i="8"/>
  <c r="O103" i="8"/>
  <c r="I73" i="8"/>
  <c r="F37" i="8"/>
  <c r="G70" i="8"/>
  <c r="K50" i="8"/>
  <c r="H41" i="8"/>
  <c r="O108" i="8"/>
  <c r="R15" i="8"/>
  <c r="R13" i="8"/>
  <c r="P58" i="8"/>
  <c r="H90" i="8"/>
  <c r="AC74" i="8"/>
  <c r="Q52" i="8"/>
  <c r="N65" i="8"/>
  <c r="O107" i="8"/>
  <c r="M109" i="8"/>
  <c r="R108" i="8"/>
  <c r="I28" i="8"/>
  <c r="Q59" i="8"/>
  <c r="J88" i="8"/>
  <c r="G56" i="8"/>
  <c r="F30" i="8"/>
  <c r="K33" i="8"/>
  <c r="O16" i="8"/>
  <c r="R16" i="8"/>
  <c r="K16" i="8"/>
  <c r="I103" i="8"/>
  <c r="F102" i="8"/>
  <c r="H16" i="8"/>
  <c r="F16" i="8"/>
  <c r="F47" i="8"/>
  <c r="F50" i="8"/>
  <c r="J40" i="8"/>
  <c r="R102" i="8"/>
  <c r="N76" i="8"/>
  <c r="F78" i="8"/>
  <c r="N33" i="8"/>
  <c r="K99" i="8"/>
  <c r="O33" i="8"/>
  <c r="J49" i="8"/>
  <c r="M36" i="8"/>
  <c r="Q67" i="8"/>
  <c r="H57" i="8"/>
  <c r="AD97" i="8"/>
  <c r="P108" i="8"/>
  <c r="K106" i="8"/>
  <c r="P56" i="8"/>
  <c r="G16" i="8"/>
  <c r="R34" i="8"/>
  <c r="H96" i="8"/>
  <c r="R38" i="8"/>
  <c r="K25" i="8"/>
  <c r="AD103" i="8"/>
  <c r="J71" i="8"/>
  <c r="G85" i="8"/>
  <c r="AC16" i="8"/>
  <c r="G11" i="8"/>
  <c r="Q25" i="8"/>
  <c r="I41" i="8"/>
  <c r="K36" i="8"/>
  <c r="Q51" i="8"/>
  <c r="G105" i="8"/>
  <c r="O100" i="8"/>
  <c r="N89" i="8"/>
  <c r="J81" i="8"/>
  <c r="M87" i="8"/>
  <c r="AC52" i="8"/>
  <c r="H29" i="8"/>
  <c r="M62" i="8"/>
  <c r="I36" i="8"/>
  <c r="F25" i="8"/>
  <c r="N37" i="8"/>
  <c r="R32" i="8"/>
  <c r="H66" i="8"/>
  <c r="M34" i="8"/>
  <c r="I63" i="8"/>
  <c r="J12" i="8"/>
  <c r="R64" i="8"/>
  <c r="F73" i="8"/>
  <c r="Q47" i="8"/>
  <c r="G13" i="8"/>
  <c r="F55" i="8"/>
  <c r="R40" i="8"/>
  <c r="F75" i="8"/>
  <c r="J29" i="8"/>
  <c r="P14" i="8"/>
  <c r="K100" i="8"/>
  <c r="AC37" i="8"/>
  <c r="AC102" i="8"/>
  <c r="Q15" i="8"/>
  <c r="O36" i="8"/>
  <c r="Q89" i="8"/>
  <c r="AC73" i="8"/>
  <c r="F69" i="8"/>
  <c r="O83" i="8"/>
  <c r="Q61" i="8"/>
  <c r="AD82" i="8"/>
  <c r="AC89" i="8"/>
  <c r="H38" i="8"/>
  <c r="Q90" i="8"/>
  <c r="F93" i="8"/>
  <c r="H47" i="8"/>
  <c r="G47" i="8"/>
  <c r="M46" i="8"/>
  <c r="K60" i="8"/>
  <c r="J16" i="8"/>
  <c r="J37" i="8"/>
  <c r="R86" i="8"/>
  <c r="AD23" i="8"/>
  <c r="F95" i="8"/>
  <c r="Q108" i="8"/>
  <c r="N25" i="8"/>
  <c r="AC54" i="8"/>
  <c r="K75" i="8"/>
  <c r="M32" i="8"/>
  <c r="K88" i="8"/>
  <c r="AD15" i="8"/>
  <c r="AD101" i="8"/>
  <c r="P88" i="8"/>
  <c r="AC79" i="8"/>
  <c r="G81" i="8"/>
  <c r="K107" i="8"/>
  <c r="Q53" i="8"/>
  <c r="N16" i="8"/>
  <c r="R42" i="8"/>
  <c r="N50" i="8"/>
  <c r="I68" i="8"/>
  <c r="AC95" i="8"/>
  <c r="G53" i="8"/>
  <c r="I12" i="8"/>
  <c r="O69" i="8"/>
  <c r="K70" i="8"/>
  <c r="R69" i="8"/>
  <c r="N61" i="8"/>
  <c r="R67" i="8"/>
  <c r="AD53" i="8"/>
  <c r="N71" i="8"/>
  <c r="P12" i="8"/>
  <c r="M90" i="8"/>
  <c r="Q101" i="8"/>
  <c r="K53" i="8"/>
  <c r="Q98" i="8"/>
  <c r="I31" i="8"/>
  <c r="I107" i="8"/>
  <c r="I11" i="8"/>
  <c r="N24" i="8"/>
  <c r="I46" i="8"/>
  <c r="R59" i="8"/>
  <c r="M54" i="8"/>
  <c r="I24" i="8"/>
  <c r="N107" i="8"/>
  <c r="P81" i="8"/>
  <c r="AC83" i="8"/>
  <c r="I108" i="8"/>
  <c r="Q57" i="8"/>
  <c r="K66" i="8"/>
  <c r="G31" i="8"/>
  <c r="M11" i="8"/>
  <c r="N62" i="8"/>
  <c r="M52" i="8"/>
  <c r="Q73" i="8"/>
  <c r="O63" i="8"/>
  <c r="G14" i="8"/>
  <c r="G82" i="8"/>
  <c r="F105" i="8"/>
  <c r="K14" i="8"/>
  <c r="F76" i="8"/>
  <c r="G69" i="8"/>
  <c r="G59" i="8"/>
  <c r="P75" i="8"/>
  <c r="O51" i="8"/>
  <c r="F14" i="8"/>
  <c r="R23" i="8"/>
  <c r="AD94" i="8"/>
  <c r="J69" i="8"/>
  <c r="J13" i="8"/>
  <c r="Q46" i="8"/>
  <c r="F15" i="8"/>
  <c r="I82" i="8"/>
  <c r="AC78" i="8"/>
  <c r="I99" i="8"/>
  <c r="K13" i="8"/>
  <c r="K47" i="8"/>
  <c r="I16" i="8"/>
  <c r="M16" i="8"/>
  <c r="AC66" i="8"/>
  <c r="M37" i="8"/>
  <c r="AC34" i="8"/>
  <c r="M105" i="8"/>
  <c r="J101" i="8"/>
  <c r="N75" i="8"/>
  <c r="I39" i="8"/>
  <c r="Q70" i="8"/>
  <c r="AC84" i="8"/>
  <c r="J91" i="8"/>
  <c r="R44" i="8"/>
  <c r="Q81" i="8"/>
  <c r="Q80" i="8"/>
  <c r="G54" i="8"/>
  <c r="M63" i="8"/>
  <c r="K29" i="8"/>
  <c r="K44" i="8"/>
  <c r="N108" i="8"/>
  <c r="O11" i="8"/>
  <c r="K84" i="8"/>
  <c r="M107" i="8"/>
  <c r="Q41" i="8"/>
  <c r="Q30" i="8"/>
  <c r="I79" i="8"/>
  <c r="AC13" i="8"/>
  <c r="R14" i="8"/>
  <c r="K76" i="8"/>
  <c r="J14" i="8"/>
  <c r="AC109" i="8"/>
  <c r="M17" i="8"/>
  <c r="J17" i="8"/>
  <c r="P17" i="8"/>
  <c r="O17" i="8"/>
  <c r="H17" i="8"/>
  <c r="AD17" i="8"/>
  <c r="I17" i="8"/>
  <c r="G17" i="8"/>
  <c r="AC17" i="8"/>
  <c r="K17" i="8"/>
  <c r="N17" i="8"/>
  <c r="R17" i="8"/>
  <c r="Q17" i="8"/>
  <c r="F17" i="8"/>
  <c r="AE109" i="8" l="1"/>
  <c r="K113" i="11"/>
  <c r="K47" i="13" s="1"/>
  <c r="N18" i="11"/>
  <c r="AE13" i="8"/>
  <c r="K17" i="11"/>
  <c r="M34" i="11"/>
  <c r="V30" i="8"/>
  <c r="M45" i="11"/>
  <c r="M25" i="13" s="1"/>
  <c r="V41" i="8"/>
  <c r="O111" i="11"/>
  <c r="O47" i="13" s="1"/>
  <c r="T107" i="8"/>
  <c r="Q15" i="11"/>
  <c r="P112" i="11"/>
  <c r="T63" i="8"/>
  <c r="O67" i="11"/>
  <c r="V80" i="8"/>
  <c r="M84" i="11"/>
  <c r="M38" i="13" s="1"/>
  <c r="M85" i="11"/>
  <c r="V81" i="8"/>
  <c r="N48" i="11"/>
  <c r="K88" i="11"/>
  <c r="AE84" i="8"/>
  <c r="M74" i="11"/>
  <c r="V70" i="8"/>
  <c r="P79" i="11"/>
  <c r="T105" i="8"/>
  <c r="O109" i="11"/>
  <c r="AE34" i="8"/>
  <c r="K38" i="11"/>
  <c r="T37" i="8"/>
  <c r="O41" i="11"/>
  <c r="K70" i="11"/>
  <c r="AE66" i="8"/>
  <c r="O20" i="11"/>
  <c r="T16" i="8"/>
  <c r="AE78" i="8"/>
  <c r="K82" i="11"/>
  <c r="W15" i="8"/>
  <c r="V46" i="8"/>
  <c r="M50" i="11"/>
  <c r="AF94" i="8"/>
  <c r="AG94" i="8" s="1"/>
  <c r="N27" i="11"/>
  <c r="W14" i="8"/>
  <c r="U51" i="8"/>
  <c r="Q55" i="11"/>
  <c r="R79" i="11"/>
  <c r="W76" i="8"/>
  <c r="W105" i="8"/>
  <c r="U63" i="8"/>
  <c r="Q67" i="11"/>
  <c r="V73" i="8"/>
  <c r="M77" i="11"/>
  <c r="T52" i="8"/>
  <c r="O56" i="11"/>
  <c r="P66" i="11"/>
  <c r="O15" i="11"/>
  <c r="V57" i="8"/>
  <c r="M61" i="11"/>
  <c r="K87" i="11"/>
  <c r="AE83" i="8"/>
  <c r="R85" i="11"/>
  <c r="P111" i="11"/>
  <c r="T54" i="8"/>
  <c r="O58" i="11"/>
  <c r="N63" i="11"/>
  <c r="P28" i="11"/>
  <c r="V98" i="8"/>
  <c r="M102" i="11"/>
  <c r="M44" i="13" s="1"/>
  <c r="M105" i="11"/>
  <c r="M45" i="13" s="1"/>
  <c r="V101" i="8"/>
  <c r="T90" i="8"/>
  <c r="O94" i="11"/>
  <c r="R16" i="11"/>
  <c r="P75" i="11"/>
  <c r="AF53" i="8"/>
  <c r="AG53" i="8" s="1"/>
  <c r="N71" i="11"/>
  <c r="N33" i="13" s="1"/>
  <c r="P65" i="11"/>
  <c r="P31" i="13" s="1"/>
  <c r="N73" i="11"/>
  <c r="Q73" i="11"/>
  <c r="U69" i="8"/>
  <c r="K99" i="11"/>
  <c r="AE95" i="8"/>
  <c r="P54" i="11"/>
  <c r="N46" i="11"/>
  <c r="P20" i="11"/>
  <c r="V53" i="8"/>
  <c r="M57" i="11"/>
  <c r="M29" i="13" s="1"/>
  <c r="AE79" i="8"/>
  <c r="K83" i="11"/>
  <c r="K37" i="13" s="1"/>
  <c r="R92" i="11"/>
  <c r="R40" i="13" s="1"/>
  <c r="AF101" i="8"/>
  <c r="AG101" i="8" s="1"/>
  <c r="AF15" i="8"/>
  <c r="T32" i="8"/>
  <c r="O36" i="11"/>
  <c r="AE54" i="8"/>
  <c r="K58" i="11"/>
  <c r="P29" i="11"/>
  <c r="M112" i="11"/>
  <c r="V108" i="8"/>
  <c r="W95" i="8"/>
  <c r="AF23" i="8"/>
  <c r="AG23" i="8" s="1"/>
  <c r="N90" i="11"/>
  <c r="O50" i="11"/>
  <c r="T46" i="8"/>
  <c r="W93" i="8"/>
  <c r="M94" i="11"/>
  <c r="V90" i="8"/>
  <c r="K93" i="11"/>
  <c r="AE89" i="8"/>
  <c r="AF82" i="8"/>
  <c r="AG82" i="8" s="1"/>
  <c r="V61" i="8"/>
  <c r="M65" i="11"/>
  <c r="Q87" i="11"/>
  <c r="Q39" i="13" s="1"/>
  <c r="U83" i="8"/>
  <c r="W69" i="8"/>
  <c r="K77" i="11"/>
  <c r="K35" i="13" s="1"/>
  <c r="AE73" i="8"/>
  <c r="M93" i="11"/>
  <c r="M41" i="13" s="1"/>
  <c r="V89" i="8"/>
  <c r="Q40" i="11"/>
  <c r="U36" i="8"/>
  <c r="M19" i="11"/>
  <c r="V15" i="8"/>
  <c r="K106" i="11"/>
  <c r="AE102" i="8"/>
  <c r="AE37" i="8"/>
  <c r="K41" i="11"/>
  <c r="K23" i="13" s="1"/>
  <c r="R18" i="11"/>
  <c r="W75" i="8"/>
  <c r="N44" i="11"/>
  <c r="N24" i="13" s="1"/>
  <c r="W55" i="8"/>
  <c r="M51" i="11"/>
  <c r="M27" i="13" s="1"/>
  <c r="V47" i="8"/>
  <c r="W73" i="8"/>
  <c r="N68" i="11"/>
  <c r="N32" i="13" s="1"/>
  <c r="O38" i="11"/>
  <c r="T34" i="8"/>
  <c r="N36" i="11"/>
  <c r="P41" i="11"/>
  <c r="P23" i="13" s="1"/>
  <c r="W25" i="8"/>
  <c r="O66" i="11"/>
  <c r="O32" i="13" s="1"/>
  <c r="T62" i="8"/>
  <c r="AE52" i="8"/>
  <c r="K56" i="11"/>
  <c r="K28" i="13" s="1"/>
  <c r="O91" i="11"/>
  <c r="T87" i="8"/>
  <c r="P93" i="11"/>
  <c r="U100" i="8"/>
  <c r="Q104" i="11"/>
  <c r="M55" i="11"/>
  <c r="V51" i="8"/>
  <c r="V25" i="8"/>
  <c r="M29" i="11"/>
  <c r="K20" i="11"/>
  <c r="AE16" i="8"/>
  <c r="AF103" i="8"/>
  <c r="AG103" i="8" s="1"/>
  <c r="N42" i="11"/>
  <c r="N38" i="11"/>
  <c r="R60" i="11"/>
  <c r="R112" i="11"/>
  <c r="AF97" i="8"/>
  <c r="AG97" i="8" s="1"/>
  <c r="M71" i="11"/>
  <c r="V67" i="8"/>
  <c r="T36" i="8"/>
  <c r="O40" i="11"/>
  <c r="Q37" i="11"/>
  <c r="U33" i="8"/>
  <c r="P37" i="11"/>
  <c r="W78" i="8"/>
  <c r="P80" i="11"/>
  <c r="P36" i="13" s="1"/>
  <c r="N106" i="11"/>
  <c r="W50" i="8"/>
  <c r="W47" i="8"/>
  <c r="W16" i="8"/>
  <c r="W102" i="8"/>
  <c r="N20" i="11"/>
  <c r="U16" i="8"/>
  <c r="Q20" i="11"/>
  <c r="W30" i="8"/>
  <c r="X30" i="8" s="1"/>
  <c r="V59" i="8"/>
  <c r="M63" i="11"/>
  <c r="M31" i="13" s="1"/>
  <c r="N112" i="11"/>
  <c r="O113" i="11"/>
  <c r="T109" i="8"/>
  <c r="Q111" i="11"/>
  <c r="Q47" i="13" s="1"/>
  <c r="U107" i="8"/>
  <c r="P69" i="11"/>
  <c r="M56" i="11"/>
  <c r="V52" i="8"/>
  <c r="AE74" i="8"/>
  <c r="K78" i="11"/>
  <c r="R62" i="11"/>
  <c r="R30" i="13" s="1"/>
  <c r="N17" i="11"/>
  <c r="N19" i="11"/>
  <c r="Q112" i="11"/>
  <c r="U108" i="8"/>
  <c r="W37" i="8"/>
  <c r="U103" i="8"/>
  <c r="Q107" i="11"/>
  <c r="N78" i="11"/>
  <c r="W64" i="8"/>
  <c r="V29" i="8"/>
  <c r="M33" i="11"/>
  <c r="N57" i="11"/>
  <c r="N103" i="11"/>
  <c r="N104" i="11"/>
  <c r="N44" i="13" s="1"/>
  <c r="W44" i="8"/>
  <c r="AF40" i="8"/>
  <c r="AG40" i="8" s="1"/>
  <c r="AF43" i="8"/>
  <c r="AG43" i="8" s="1"/>
  <c r="AF41" i="8"/>
  <c r="AG41" i="8" s="1"/>
  <c r="U70" i="8"/>
  <c r="Q74" i="11"/>
  <c r="W38" i="8"/>
  <c r="AE25" i="8"/>
  <c r="K29" i="11"/>
  <c r="N52" i="11"/>
  <c r="K37" i="11"/>
  <c r="AE33" i="8"/>
  <c r="W100" i="8"/>
  <c r="P71" i="11"/>
  <c r="P33" i="13" s="1"/>
  <c r="R29" i="11"/>
  <c r="M20" i="11"/>
  <c r="V16" i="8"/>
  <c r="P100" i="11"/>
  <c r="P96" i="11"/>
  <c r="T50" i="8"/>
  <c r="O54" i="11"/>
  <c r="O28" i="13" s="1"/>
  <c r="R111" i="11"/>
  <c r="U87" i="8"/>
  <c r="Q91" i="11"/>
  <c r="AF105" i="8"/>
  <c r="AG105" i="8" s="1"/>
  <c r="R75" i="11"/>
  <c r="R36" i="11"/>
  <c r="R32" i="11"/>
  <c r="W35" i="8"/>
  <c r="R88" i="11"/>
  <c r="AE71" i="8"/>
  <c r="K75" i="11"/>
  <c r="M54" i="11"/>
  <c r="M28" i="13" s="1"/>
  <c r="V50" i="8"/>
  <c r="R70" i="11"/>
  <c r="W108" i="8"/>
  <c r="U66" i="8"/>
  <c r="Q70" i="11"/>
  <c r="AF16" i="8"/>
  <c r="AG16" i="8" s="1"/>
  <c r="R20" i="11"/>
  <c r="AF14" i="8"/>
  <c r="W63" i="8"/>
  <c r="Q95" i="11"/>
  <c r="U91" i="8"/>
  <c r="R19" i="11"/>
  <c r="AE26" i="8"/>
  <c r="K30" i="11"/>
  <c r="P51" i="11"/>
  <c r="N15" i="11"/>
  <c r="V26" i="8"/>
  <c r="M30" i="11"/>
  <c r="W48" i="8"/>
  <c r="W80" i="8"/>
  <c r="R108" i="11"/>
  <c r="U53" i="8"/>
  <c r="Q57" i="11"/>
  <c r="Q29" i="13" s="1"/>
  <c r="AF13" i="8"/>
  <c r="O59" i="11"/>
  <c r="T55" i="8"/>
  <c r="W88" i="8"/>
  <c r="W32" i="8"/>
  <c r="V78" i="8"/>
  <c r="Y78" i="8" s="1"/>
  <c r="AJ78" i="8" s="1"/>
  <c r="M82" i="11"/>
  <c r="W36" i="8"/>
  <c r="K67" i="11"/>
  <c r="AE63" i="8"/>
  <c r="W39" i="8"/>
  <c r="R87" i="11"/>
  <c r="O108" i="11"/>
  <c r="O46" i="13" s="1"/>
  <c r="T104" i="8"/>
  <c r="R71" i="11"/>
  <c r="R33" i="13" s="1"/>
  <c r="M75" i="11"/>
  <c r="M35" i="13" s="1"/>
  <c r="V71" i="8"/>
  <c r="V31" i="8"/>
  <c r="M35" i="11"/>
  <c r="T24" i="8"/>
  <c r="O28" i="11"/>
  <c r="AF59" i="8"/>
  <c r="AG59" i="8" s="1"/>
  <c r="P58" i="11"/>
  <c r="W72" i="8"/>
  <c r="W26" i="8"/>
  <c r="V39" i="8"/>
  <c r="M43" i="11"/>
  <c r="Q47" i="11"/>
  <c r="U43" i="8"/>
  <c r="P73" i="11"/>
  <c r="T15" i="8"/>
  <c r="O19" i="11"/>
  <c r="U82" i="8"/>
  <c r="Q86" i="11"/>
  <c r="V68" i="8"/>
  <c r="M72" i="11"/>
  <c r="M34" i="13" s="1"/>
  <c r="AF67" i="8"/>
  <c r="AG67" i="8" s="1"/>
  <c r="W94" i="8"/>
  <c r="O110" i="11"/>
  <c r="T106" i="8"/>
  <c r="W89" i="8"/>
  <c r="T14" i="8"/>
  <c r="O18" i="11"/>
  <c r="T48" i="8"/>
  <c r="O52" i="11"/>
  <c r="V91" i="8"/>
  <c r="M95" i="11"/>
  <c r="M18" i="11"/>
  <c r="V14" i="8"/>
  <c r="Y14" i="8" s="1"/>
  <c r="AK14" i="8" s="1"/>
  <c r="R45" i="11"/>
  <c r="AE48" i="8"/>
  <c r="K52" i="11"/>
  <c r="N66" i="11"/>
  <c r="AE88" i="8"/>
  <c r="K92" i="11"/>
  <c r="K40" i="13" s="1"/>
  <c r="U73" i="8"/>
  <c r="Q77" i="11"/>
  <c r="U50" i="8"/>
  <c r="Q54" i="11"/>
  <c r="Q28" i="13" s="1"/>
  <c r="W67" i="8"/>
  <c r="X67" i="8" s="1"/>
  <c r="U15" i="8"/>
  <c r="Q19" i="11"/>
  <c r="AF31" i="8"/>
  <c r="AG31" i="8" s="1"/>
  <c r="P19" i="11"/>
  <c r="U14" i="8"/>
  <c r="Q18" i="11"/>
  <c r="P56" i="11"/>
  <c r="P28" i="13" s="1"/>
  <c r="T65" i="8"/>
  <c r="O69" i="11"/>
  <c r="O33" i="13" s="1"/>
  <c r="N55" i="11"/>
  <c r="O64" i="11"/>
  <c r="T60" i="8"/>
  <c r="U67" i="8"/>
  <c r="Q71" i="11"/>
  <c r="V107" i="8"/>
  <c r="M111" i="11"/>
  <c r="M47" i="13" s="1"/>
  <c r="P61" i="11"/>
  <c r="Q66" i="11"/>
  <c r="Q32" i="13" s="1"/>
  <c r="U62" i="8"/>
  <c r="AF90" i="8"/>
  <c r="AG90" i="8" s="1"/>
  <c r="P48" i="11"/>
  <c r="V27" i="8"/>
  <c r="M31" i="11"/>
  <c r="M110" i="11"/>
  <c r="V106" i="8"/>
  <c r="R40" i="11"/>
  <c r="P55" i="11"/>
  <c r="T81" i="8"/>
  <c r="O85" i="11"/>
  <c r="N60" i="11"/>
  <c r="P44" i="11"/>
  <c r="P24" i="13" s="1"/>
  <c r="AF45" i="8"/>
  <c r="AG45" i="8" s="1"/>
  <c r="Q102" i="11"/>
  <c r="Q44" i="13" s="1"/>
  <c r="U98" i="8"/>
  <c r="W107" i="8"/>
  <c r="Q50" i="11"/>
  <c r="U46" i="8"/>
  <c r="R42" i="11"/>
  <c r="T28" i="8"/>
  <c r="O32" i="11"/>
  <c r="U13" i="8"/>
  <c r="Q17" i="11"/>
  <c r="U65" i="8"/>
  <c r="Q69" i="11"/>
  <c r="Q33" i="13" s="1"/>
  <c r="AF79" i="8"/>
  <c r="AG79" i="8" s="1"/>
  <c r="P64" i="11"/>
  <c r="AF80" i="8"/>
  <c r="AG80" i="8" s="1"/>
  <c r="P106" i="11"/>
  <c r="O71" i="11"/>
  <c r="T67" i="8"/>
  <c r="AE51" i="8"/>
  <c r="K55" i="11"/>
  <c r="R31" i="11"/>
  <c r="Q32" i="11"/>
  <c r="U28" i="8"/>
  <c r="N45" i="11"/>
  <c r="N98" i="11"/>
  <c r="N42" i="13" s="1"/>
  <c r="AE58" i="8"/>
  <c r="K62" i="11"/>
  <c r="K30" i="13" s="1"/>
  <c r="Q43" i="11"/>
  <c r="U39" i="8"/>
  <c r="T82" i="8"/>
  <c r="O86" i="11"/>
  <c r="AF64" i="8"/>
  <c r="AG64" i="8" s="1"/>
  <c r="P84" i="11"/>
  <c r="AE30" i="8"/>
  <c r="K34" i="11"/>
  <c r="U34" i="8"/>
  <c r="Q38" i="11"/>
  <c r="P67" i="11"/>
  <c r="Q75" i="11"/>
  <c r="Q35" i="13" s="1"/>
  <c r="U71" i="8"/>
  <c r="R39" i="11"/>
  <c r="R84" i="11"/>
  <c r="P36" i="11"/>
  <c r="R97" i="11"/>
  <c r="AF39" i="8"/>
  <c r="AG39" i="8" s="1"/>
  <c r="K94" i="11"/>
  <c r="AE90" i="8"/>
  <c r="AE56" i="8"/>
  <c r="K60" i="11"/>
  <c r="V93" i="8"/>
  <c r="M97" i="11"/>
  <c r="P72" i="11"/>
  <c r="W49" i="8"/>
  <c r="P27" i="11"/>
  <c r="W79" i="8"/>
  <c r="W11" i="8"/>
  <c r="U86" i="8"/>
  <c r="Q90" i="11"/>
  <c r="Q40" i="13" s="1"/>
  <c r="P16" i="11"/>
  <c r="U96" i="8"/>
  <c r="Q100" i="11"/>
  <c r="N80" i="11"/>
  <c r="N36" i="13" s="1"/>
  <c r="AF58" i="8"/>
  <c r="AG58" i="8" s="1"/>
  <c r="W74" i="8"/>
  <c r="W87" i="8"/>
  <c r="AF68" i="8"/>
  <c r="AG68" i="8" s="1"/>
  <c r="AF36" i="8"/>
  <c r="AG36" i="8" s="1"/>
  <c r="V69" i="8"/>
  <c r="Y69" i="8" s="1"/>
  <c r="M73" i="11"/>
  <c r="AE72" i="8"/>
  <c r="K76" i="11"/>
  <c r="M48" i="11"/>
  <c r="M26" i="13" s="1"/>
  <c r="V44" i="8"/>
  <c r="U74" i="8"/>
  <c r="Q78" i="11"/>
  <c r="Q36" i="13" s="1"/>
  <c r="Q48" i="11"/>
  <c r="Q26" i="13" s="1"/>
  <c r="U44" i="8"/>
  <c r="N51" i="11"/>
  <c r="N107" i="11"/>
  <c r="N45" i="13" s="1"/>
  <c r="AE82" i="8"/>
  <c r="K86" i="11"/>
  <c r="K38" i="13" s="1"/>
  <c r="AF69" i="8"/>
  <c r="AG69" i="8" s="1"/>
  <c r="P18" i="11"/>
  <c r="K91" i="11"/>
  <c r="AE87" i="8"/>
  <c r="M98" i="11"/>
  <c r="V94" i="8"/>
  <c r="AE39" i="8"/>
  <c r="K43" i="11"/>
  <c r="R107" i="11"/>
  <c r="R45" i="13" s="1"/>
  <c r="V48" i="8"/>
  <c r="M52" i="11"/>
  <c r="N54" i="11"/>
  <c r="R95" i="11"/>
  <c r="R41" i="13" s="1"/>
  <c r="Q83" i="11"/>
  <c r="U79" i="8"/>
  <c r="W90" i="8"/>
  <c r="K103" i="11"/>
  <c r="AE99" i="8"/>
  <c r="R47" i="11"/>
  <c r="R25" i="13" s="1"/>
  <c r="AF98" i="8"/>
  <c r="AG98" i="8" s="1"/>
  <c r="N111" i="11"/>
  <c r="W42" i="8"/>
  <c r="T12" i="8"/>
  <c r="O16" i="11"/>
  <c r="W81" i="8"/>
  <c r="O48" i="11"/>
  <c r="O26" i="13" s="1"/>
  <c r="T44" i="8"/>
  <c r="M36" i="11"/>
  <c r="V32" i="8"/>
  <c r="W28" i="8"/>
  <c r="V84" i="8"/>
  <c r="M88" i="11"/>
  <c r="AF102" i="8"/>
  <c r="AG102" i="8" s="1"/>
  <c r="O43" i="11"/>
  <c r="T39" i="8"/>
  <c r="AF38" i="8"/>
  <c r="AG38" i="8" s="1"/>
  <c r="N41" i="11"/>
  <c r="N23" i="13" s="1"/>
  <c r="V55" i="8"/>
  <c r="M59" i="11"/>
  <c r="N35" i="11"/>
  <c r="P74" i="11"/>
  <c r="P34" i="13" s="1"/>
  <c r="V97" i="8"/>
  <c r="M101" i="11"/>
  <c r="R52" i="11"/>
  <c r="R66" i="11"/>
  <c r="N59" i="11"/>
  <c r="N29" i="13" s="1"/>
  <c r="AF44" i="8"/>
  <c r="AG44" i="8" s="1"/>
  <c r="P104" i="11"/>
  <c r="P44" i="13" s="1"/>
  <c r="R59" i="11"/>
  <c r="R29" i="13" s="1"/>
  <c r="T35" i="8"/>
  <c r="O39" i="11"/>
  <c r="O23" i="13" s="1"/>
  <c r="AE49" i="8"/>
  <c r="K53" i="11"/>
  <c r="K27" i="13" s="1"/>
  <c r="P101" i="11"/>
  <c r="P43" i="13" s="1"/>
  <c r="R28" i="11"/>
  <c r="Q105" i="11"/>
  <c r="Q45" i="13" s="1"/>
  <c r="U101" i="8"/>
  <c r="Q80" i="11"/>
  <c r="U76" i="8"/>
  <c r="O87" i="11"/>
  <c r="O39" i="13" s="1"/>
  <c r="T83" i="8"/>
  <c r="R33" i="11"/>
  <c r="Q101" i="11"/>
  <c r="U97" i="8"/>
  <c r="K81" i="11"/>
  <c r="AE77" i="8"/>
  <c r="V45" i="8"/>
  <c r="M49" i="11"/>
  <c r="AE107" i="8"/>
  <c r="K111" i="11"/>
  <c r="AF50" i="8"/>
  <c r="AG50" i="8" s="1"/>
  <c r="W33" i="8"/>
  <c r="AF108" i="8"/>
  <c r="AG108" i="8" s="1"/>
  <c r="Q79" i="11"/>
  <c r="U75" i="8"/>
  <c r="U59" i="8"/>
  <c r="Q63" i="11"/>
  <c r="Q31" i="13" s="1"/>
  <c r="AF87" i="8"/>
  <c r="AG87" i="8" s="1"/>
  <c r="W41" i="8"/>
  <c r="Y41" i="8" s="1"/>
  <c r="AQ41" i="8" s="1"/>
  <c r="K59" i="11"/>
  <c r="K29" i="13" s="1"/>
  <c r="AE55" i="8"/>
  <c r="W86" i="8"/>
  <c r="P38" i="11"/>
  <c r="W66" i="8"/>
  <c r="AE104" i="8"/>
  <c r="K108" i="11"/>
  <c r="N82" i="11"/>
  <c r="R44" i="11"/>
  <c r="R24" i="13" s="1"/>
  <c r="AF76" i="8"/>
  <c r="AG76" i="8" s="1"/>
  <c r="AE85" i="8"/>
  <c r="K89" i="11"/>
  <c r="K39" i="13" s="1"/>
  <c r="O78" i="11"/>
  <c r="O36" i="13" s="1"/>
  <c r="T74" i="8"/>
  <c r="N75" i="11"/>
  <c r="W12" i="8"/>
  <c r="P83" i="11"/>
  <c r="P37" i="13" s="1"/>
  <c r="R69" i="11"/>
  <c r="U94" i="8"/>
  <c r="Q98" i="11"/>
  <c r="Q58" i="11"/>
  <c r="U54" i="8"/>
  <c r="T27" i="8"/>
  <c r="O31" i="11"/>
  <c r="V28" i="8"/>
  <c r="M32" i="11"/>
  <c r="T45" i="8"/>
  <c r="O49" i="11"/>
  <c r="U106" i="8"/>
  <c r="Q110" i="11"/>
  <c r="Q56" i="11"/>
  <c r="U52" i="8"/>
  <c r="W45" i="8"/>
  <c r="AE15" i="8"/>
  <c r="K19" i="11"/>
  <c r="R48" i="11"/>
  <c r="R72" i="11"/>
  <c r="Q49" i="11"/>
  <c r="U45" i="8"/>
  <c r="AF51" i="8"/>
  <c r="AG51" i="8" s="1"/>
  <c r="Q68" i="11"/>
  <c r="U64" i="8"/>
  <c r="R81" i="11"/>
  <c r="P89" i="11"/>
  <c r="P39" i="13" s="1"/>
  <c r="AF42" i="8"/>
  <c r="AG42" i="8" s="1"/>
  <c r="R99" i="11"/>
  <c r="P49" i="11"/>
  <c r="Q29" i="11"/>
  <c r="U25" i="8"/>
  <c r="T58" i="8"/>
  <c r="O62" i="11"/>
  <c r="W59" i="8"/>
  <c r="AE103" i="8"/>
  <c r="K107" i="11"/>
  <c r="K45" i="13" s="1"/>
  <c r="N91" i="11"/>
  <c r="M42" i="11"/>
  <c r="M24" i="13" s="1"/>
  <c r="V38" i="8"/>
  <c r="P103" i="11"/>
  <c r="AE45" i="8"/>
  <c r="K49" i="11"/>
  <c r="R27" i="11"/>
  <c r="U48" i="8"/>
  <c r="Q52" i="11"/>
  <c r="AE81" i="8"/>
  <c r="K85" i="11"/>
  <c r="K39" i="11"/>
  <c r="AE35" i="8"/>
  <c r="R109" i="11"/>
  <c r="M107" i="11"/>
  <c r="V103" i="8"/>
  <c r="V74" i="8"/>
  <c r="M78" i="11"/>
  <c r="M36" i="13" s="1"/>
  <c r="N85" i="11"/>
  <c r="P35" i="11"/>
  <c r="T40" i="8"/>
  <c r="O44" i="11"/>
  <c r="P53" i="11"/>
  <c r="P27" i="13" s="1"/>
  <c r="O73" i="11"/>
  <c r="T69" i="8"/>
  <c r="P60" i="11"/>
  <c r="W13" i="8"/>
  <c r="AF92" i="8"/>
  <c r="AG92" i="8" s="1"/>
  <c r="Q94" i="11"/>
  <c r="U90" i="8"/>
  <c r="N102" i="11"/>
  <c r="W77" i="8"/>
  <c r="N113" i="11"/>
  <c r="N47" i="13" s="1"/>
  <c r="T84" i="8"/>
  <c r="O88" i="11"/>
  <c r="W43" i="8"/>
  <c r="U56" i="8"/>
  <c r="Q60" i="11"/>
  <c r="Q30" i="13" s="1"/>
  <c r="O37" i="11"/>
  <c r="T33" i="8"/>
  <c r="N49" i="11"/>
  <c r="M58" i="11"/>
  <c r="V54" i="8"/>
  <c r="R78" i="11"/>
  <c r="AF96" i="8"/>
  <c r="AG96" i="8" s="1"/>
  <c r="W82" i="8"/>
  <c r="P46" i="11"/>
  <c r="N29" i="11"/>
  <c r="M70" i="11"/>
  <c r="V66" i="8"/>
  <c r="W109" i="8"/>
  <c r="O34" i="11"/>
  <c r="T30" i="8"/>
  <c r="AF60" i="8"/>
  <c r="AG60" i="8" s="1"/>
  <c r="T85" i="8"/>
  <c r="O89" i="11"/>
  <c r="M103" i="11"/>
  <c r="V99" i="8"/>
  <c r="V43" i="8"/>
  <c r="M47" i="11"/>
  <c r="P86" i="11"/>
  <c r="P38" i="13" s="1"/>
  <c r="N70" i="11"/>
  <c r="R83" i="11"/>
  <c r="R37" i="13" s="1"/>
  <c r="U31" i="8"/>
  <c r="Q35" i="11"/>
  <c r="R77" i="11"/>
  <c r="R35" i="13" s="1"/>
  <c r="M41" i="11"/>
  <c r="V37" i="8"/>
  <c r="AF72" i="8"/>
  <c r="AG72" i="8" s="1"/>
  <c r="V82" i="8"/>
  <c r="Y82" i="8" s="1"/>
  <c r="M86" i="11"/>
  <c r="O104" i="11"/>
  <c r="T100" i="8"/>
  <c r="M83" i="11"/>
  <c r="V79" i="8"/>
  <c r="Y79" i="8" s="1"/>
  <c r="Q51" i="11"/>
  <c r="Q27" i="13" s="1"/>
  <c r="U47" i="8"/>
  <c r="N92" i="11"/>
  <c r="N40" i="13" s="1"/>
  <c r="R46" i="11"/>
  <c r="N101" i="11"/>
  <c r="N43" i="13" s="1"/>
  <c r="AF32" i="8"/>
  <c r="AG32" i="8" s="1"/>
  <c r="AF57" i="8"/>
  <c r="AG57" i="8" s="1"/>
  <c r="N81" i="11"/>
  <c r="AF37" i="8"/>
  <c r="AG37" i="8" s="1"/>
  <c r="K18" i="11"/>
  <c r="AE14" i="8"/>
  <c r="AF55" i="8"/>
  <c r="AG55" i="8" s="1"/>
  <c r="M38" i="11"/>
  <c r="V34" i="8"/>
  <c r="N88" i="11"/>
  <c r="AE80" i="8"/>
  <c r="K84" i="11"/>
  <c r="W85" i="8"/>
  <c r="T71" i="8"/>
  <c r="O75" i="11"/>
  <c r="O35" i="13" s="1"/>
  <c r="V36" i="8"/>
  <c r="M40" i="11"/>
  <c r="K44" i="11"/>
  <c r="K24" i="13" s="1"/>
  <c r="AE40" i="8"/>
  <c r="AE62" i="8"/>
  <c r="K66" i="11"/>
  <c r="V13" i="8"/>
  <c r="X13" i="8" s="1"/>
  <c r="M17" i="11"/>
  <c r="V11" i="8"/>
  <c r="Y11" i="8" s="1"/>
  <c r="M15" i="11"/>
  <c r="Q30" i="11"/>
  <c r="U26" i="8"/>
  <c r="N61" i="11"/>
  <c r="AF89" i="8"/>
  <c r="AG89" i="8" s="1"/>
  <c r="R102" i="11"/>
  <c r="K48" i="11"/>
  <c r="AE44" i="8"/>
  <c r="O68" i="11"/>
  <c r="T64" i="8"/>
  <c r="AF62" i="8"/>
  <c r="AG62" i="8" s="1"/>
  <c r="P17" i="11"/>
  <c r="W84" i="8"/>
  <c r="P76" i="11"/>
  <c r="N86" i="11"/>
  <c r="N38" i="13" s="1"/>
  <c r="W70" i="8"/>
  <c r="R101" i="11"/>
  <c r="R43" i="13" s="1"/>
  <c r="P42" i="11"/>
  <c r="N94" i="11"/>
  <c r="Q46" i="11"/>
  <c r="U42" i="8"/>
  <c r="P33" i="11"/>
  <c r="W71" i="8"/>
  <c r="N97" i="11"/>
  <c r="U60" i="8"/>
  <c r="Q64" i="11"/>
  <c r="T79" i="8"/>
  <c r="O83" i="11"/>
  <c r="P40" i="11"/>
  <c r="AE106" i="8"/>
  <c r="K110" i="11"/>
  <c r="K46" i="13" s="1"/>
  <c r="AF106" i="8"/>
  <c r="AG106" i="8" s="1"/>
  <c r="R106" i="11"/>
  <c r="AF54" i="8"/>
  <c r="AG54" i="8" s="1"/>
  <c r="O101" i="11"/>
  <c r="T97" i="8"/>
  <c r="P68" i="11"/>
  <c r="P32" i="13" s="1"/>
  <c r="N93" i="11"/>
  <c r="P39" i="11"/>
  <c r="AF65" i="8"/>
  <c r="AG65" i="8" s="1"/>
  <c r="M64" i="11"/>
  <c r="V60" i="8"/>
  <c r="Q61" i="11"/>
  <c r="U57" i="8"/>
  <c r="O51" i="11"/>
  <c r="O27" i="13" s="1"/>
  <c r="T47" i="8"/>
  <c r="O47" i="11"/>
  <c r="T43" i="8"/>
  <c r="V62" i="8"/>
  <c r="M66" i="11"/>
  <c r="M32" i="13" s="1"/>
  <c r="Q62" i="11"/>
  <c r="U58" i="8"/>
  <c r="R100" i="11"/>
  <c r="N30" i="11"/>
  <c r="O17" i="11"/>
  <c r="T13" i="8"/>
  <c r="U55" i="8"/>
  <c r="Q59" i="11"/>
  <c r="K98" i="11"/>
  <c r="K42" i="13" s="1"/>
  <c r="AE94" i="8"/>
  <c r="P90" i="11"/>
  <c r="AF24" i="8"/>
  <c r="AG24" i="8" s="1"/>
  <c r="N84" i="11"/>
  <c r="T73" i="8"/>
  <c r="O77" i="11"/>
  <c r="P97" i="11"/>
  <c r="R51" i="11"/>
  <c r="N28" i="11"/>
  <c r="O79" i="11"/>
  <c r="T75" i="8"/>
  <c r="AF95" i="8"/>
  <c r="AG95" i="8" s="1"/>
  <c r="T91" i="8"/>
  <c r="O95" i="11"/>
  <c r="O46" i="11"/>
  <c r="T42" i="8"/>
  <c r="P108" i="11"/>
  <c r="N95" i="11"/>
  <c r="N41" i="13" s="1"/>
  <c r="O84" i="11"/>
  <c r="O38" i="13" s="1"/>
  <c r="T80" i="8"/>
  <c r="R113" i="11"/>
  <c r="R47" i="13" s="1"/>
  <c r="U110" i="8"/>
  <c r="N32" i="11"/>
  <c r="AF27" i="8"/>
  <c r="AG27" i="8" s="1"/>
  <c r="O72" i="11"/>
  <c r="O34" i="13" s="1"/>
  <c r="T68" i="8"/>
  <c r="AF91" i="8"/>
  <c r="AG91" i="8" s="1"/>
  <c r="Q85" i="11"/>
  <c r="U81" i="8"/>
  <c r="V49" i="8"/>
  <c r="X49" i="8" s="1"/>
  <c r="M53" i="11"/>
  <c r="P47" i="11"/>
  <c r="P25" i="13" s="1"/>
  <c r="O57" i="11"/>
  <c r="O29" i="13" s="1"/>
  <c r="T53" i="8"/>
  <c r="R94" i="11"/>
  <c r="N105" i="11"/>
  <c r="K101" i="11"/>
  <c r="K43" i="13" s="1"/>
  <c r="AE97" i="8"/>
  <c r="AF49" i="8"/>
  <c r="AG49" i="8" s="1"/>
  <c r="AE53" i="8"/>
  <c r="K57" i="11"/>
  <c r="O53" i="11"/>
  <c r="T49" i="8"/>
  <c r="R76" i="11"/>
  <c r="T41" i="8"/>
  <c r="O45" i="11"/>
  <c r="O25" i="13" s="1"/>
  <c r="M60" i="11"/>
  <c r="M30" i="13" s="1"/>
  <c r="V56" i="8"/>
  <c r="P50" i="11"/>
  <c r="P26" i="13" s="1"/>
  <c r="V96" i="8"/>
  <c r="M100" i="11"/>
  <c r="Q39" i="11"/>
  <c r="Q23" i="13" s="1"/>
  <c r="U35" i="8"/>
  <c r="N43" i="11"/>
  <c r="Q42" i="11"/>
  <c r="Q24" i="13" s="1"/>
  <c r="U38" i="8"/>
  <c r="R35" i="11"/>
  <c r="U92" i="8"/>
  <c r="Q96" i="11"/>
  <c r="Q42" i="13" s="1"/>
  <c r="AE12" i="8"/>
  <c r="K16" i="11"/>
  <c r="R110" i="11"/>
  <c r="R46" i="13" s="1"/>
  <c r="U49" i="8"/>
  <c r="Q53" i="11"/>
  <c r="W68" i="8"/>
  <c r="K28" i="11"/>
  <c r="AE24" i="8"/>
  <c r="Q27" i="11"/>
  <c r="P99" i="11"/>
  <c r="AF88" i="8"/>
  <c r="AG88" i="8" s="1"/>
  <c r="W56" i="8"/>
  <c r="R41" i="11"/>
  <c r="R23" i="13" s="1"/>
  <c r="Q76" i="11"/>
  <c r="U72" i="8"/>
  <c r="Q92" i="11"/>
  <c r="U88" i="8"/>
  <c r="W83" i="8"/>
  <c r="O97" i="11"/>
  <c r="T93" i="8"/>
  <c r="R67" i="11"/>
  <c r="R38" i="11"/>
  <c r="P31" i="11"/>
  <c r="T31" i="8"/>
  <c r="O35" i="11"/>
  <c r="AF70" i="8"/>
  <c r="AG70" i="8" s="1"/>
  <c r="T59" i="8"/>
  <c r="O63" i="11"/>
  <c r="O31" i="13" s="1"/>
  <c r="Q109" i="11"/>
  <c r="U105" i="8"/>
  <c r="P105" i="11"/>
  <c r="R82" i="11"/>
  <c r="K69" i="11"/>
  <c r="AE65" i="8"/>
  <c r="W106" i="8"/>
  <c r="W65" i="8"/>
  <c r="P82" i="11"/>
  <c r="AF56" i="8"/>
  <c r="AG56" i="8" s="1"/>
  <c r="N65" i="11"/>
  <c r="N31" i="13" s="1"/>
  <c r="AF73" i="8"/>
  <c r="AG73" i="8" s="1"/>
  <c r="V42" i="8"/>
  <c r="M46" i="11"/>
  <c r="N89" i="11"/>
  <c r="N39" i="13" s="1"/>
  <c r="R80" i="11"/>
  <c r="R36" i="13" s="1"/>
  <c r="K33" i="11"/>
  <c r="AE29" i="8"/>
  <c r="AF83" i="8"/>
  <c r="AG83" i="8" s="1"/>
  <c r="N72" i="11"/>
  <c r="T98" i="8"/>
  <c r="O102" i="11"/>
  <c r="O44" i="13" s="1"/>
  <c r="W23" i="8"/>
  <c r="W54" i="8"/>
  <c r="R17" i="11"/>
  <c r="N74" i="11"/>
  <c r="N34" i="13" s="1"/>
  <c r="P62" i="11"/>
  <c r="P30" i="13" s="1"/>
  <c r="P45" i="11"/>
  <c r="AF84" i="8"/>
  <c r="AG84" i="8" s="1"/>
  <c r="W96" i="8"/>
  <c r="N37" i="11"/>
  <c r="T25" i="8"/>
  <c r="O29" i="11"/>
  <c r="U99" i="8"/>
  <c r="Q103" i="11"/>
  <c r="AE38" i="8"/>
  <c r="K42" i="11"/>
  <c r="P70" i="11"/>
  <c r="P57" i="11"/>
  <c r="T88" i="8"/>
  <c r="O92" i="11"/>
  <c r="W98" i="8"/>
  <c r="X98" i="8" s="1"/>
  <c r="P63" i="11"/>
  <c r="V12" i="8"/>
  <c r="M16" i="11"/>
  <c r="R93" i="11"/>
  <c r="M96" i="11"/>
  <c r="M42" i="13" s="1"/>
  <c r="V92" i="8"/>
  <c r="W46" i="8"/>
  <c r="X46" i="8" s="1"/>
  <c r="Q31" i="11"/>
  <c r="U27" i="8"/>
  <c r="M69" i="11"/>
  <c r="M33" i="13" s="1"/>
  <c r="V65" i="8"/>
  <c r="M106" i="11"/>
  <c r="V102" i="8"/>
  <c r="Y102" i="8" s="1"/>
  <c r="AM102" i="8" s="1"/>
  <c r="W91" i="8"/>
  <c r="X91" i="8" s="1"/>
  <c r="AF81" i="8"/>
  <c r="AG81" i="8" s="1"/>
  <c r="K104" i="11"/>
  <c r="K44" i="13" s="1"/>
  <c r="AE100" i="8"/>
  <c r="V100" i="8"/>
  <c r="X100" i="8" s="1"/>
  <c r="M104" i="11"/>
  <c r="T70" i="8"/>
  <c r="O74" i="11"/>
  <c r="AE105" i="8"/>
  <c r="K109" i="11"/>
  <c r="T110" i="8"/>
  <c r="P113" i="11"/>
  <c r="P47" i="13" s="1"/>
  <c r="O30" i="11"/>
  <c r="T26" i="8"/>
  <c r="K27" i="11"/>
  <c r="AE23" i="8"/>
  <c r="AE27" i="8"/>
  <c r="K31" i="11"/>
  <c r="N109" i="11"/>
  <c r="M67" i="11"/>
  <c r="V63" i="8"/>
  <c r="X63" i="8" s="1"/>
  <c r="AF85" i="8"/>
  <c r="AG85" i="8" s="1"/>
  <c r="V109" i="8"/>
  <c r="M113" i="11"/>
  <c r="AE59" i="8"/>
  <c r="K63" i="11"/>
  <c r="R56" i="11"/>
  <c r="R28" i="13" s="1"/>
  <c r="V77" i="8"/>
  <c r="M81" i="11"/>
  <c r="M37" i="13" s="1"/>
  <c r="AE61" i="8"/>
  <c r="K65" i="11"/>
  <c r="K31" i="13" s="1"/>
  <c r="R74" i="11"/>
  <c r="R34" i="13" s="1"/>
  <c r="V86" i="8"/>
  <c r="X86" i="8" s="1"/>
  <c r="M90" i="11"/>
  <c r="M40" i="13" s="1"/>
  <c r="T38" i="8"/>
  <c r="O42" i="11"/>
  <c r="O24" i="13" s="1"/>
  <c r="W62" i="8"/>
  <c r="X62" i="8" s="1"/>
  <c r="M76" i="11"/>
  <c r="V72" i="8"/>
  <c r="P52" i="11"/>
  <c r="R89" i="11"/>
  <c r="R39" i="13" s="1"/>
  <c r="AE64" i="8"/>
  <c r="K68" i="11"/>
  <c r="K32" i="13" s="1"/>
  <c r="R90" i="11"/>
  <c r="P43" i="11"/>
  <c r="M79" i="11"/>
  <c r="V75" i="8"/>
  <c r="Y75" i="8" s="1"/>
  <c r="R50" i="11"/>
  <c r="R26" i="13" s="1"/>
  <c r="N40" i="11"/>
  <c r="U93" i="8"/>
  <c r="Q97" i="11"/>
  <c r="W34" i="8"/>
  <c r="W53" i="8"/>
  <c r="Y53" i="8" s="1"/>
  <c r="N50" i="11"/>
  <c r="N26" i="13" s="1"/>
  <c r="R15" i="11"/>
  <c r="Q89" i="11"/>
  <c r="U85" i="8"/>
  <c r="AF66" i="8"/>
  <c r="AG66" i="8" s="1"/>
  <c r="Q33" i="11"/>
  <c r="U29" i="8"/>
  <c r="P81" i="11"/>
  <c r="AF25" i="8"/>
  <c r="AG25" i="8" s="1"/>
  <c r="R49" i="11"/>
  <c r="AF46" i="8"/>
  <c r="AG46" i="8" s="1"/>
  <c r="O82" i="11"/>
  <c r="T78" i="8"/>
  <c r="O80" i="11"/>
  <c r="T76" i="8"/>
  <c r="W27" i="8"/>
  <c r="X27" i="8" s="1"/>
  <c r="N16" i="11"/>
  <c r="AF34" i="8"/>
  <c r="AG34" i="8" s="1"/>
  <c r="Q108" i="11"/>
  <c r="Q46" i="13" s="1"/>
  <c r="U104" i="8"/>
  <c r="R54" i="11"/>
  <c r="R53" i="11"/>
  <c r="R27" i="13" s="1"/>
  <c r="P102" i="11"/>
  <c r="P78" i="11"/>
  <c r="R55" i="11"/>
  <c r="N77" i="11"/>
  <c r="N35" i="13" s="1"/>
  <c r="K36" i="11"/>
  <c r="AE32" i="8"/>
  <c r="R61" i="11"/>
  <c r="AF100" i="8"/>
  <c r="AG100" i="8" s="1"/>
  <c r="N83" i="11"/>
  <c r="N37" i="13" s="1"/>
  <c r="AE47" i="8"/>
  <c r="K51" i="11"/>
  <c r="U41" i="8"/>
  <c r="Q45" i="11"/>
  <c r="Q25" i="13" s="1"/>
  <c r="AE41" i="8"/>
  <c r="K45" i="11"/>
  <c r="N110" i="11"/>
  <c r="N46" i="13" s="1"/>
  <c r="W31" i="8"/>
  <c r="AE60" i="8"/>
  <c r="K64" i="11"/>
  <c r="O33" i="11"/>
  <c r="T29" i="8"/>
  <c r="AF63" i="8"/>
  <c r="AG63" i="8" s="1"/>
  <c r="U109" i="8"/>
  <c r="Q113" i="11"/>
  <c r="R91" i="11"/>
  <c r="T61" i="8"/>
  <c r="O65" i="11"/>
  <c r="O76" i="11"/>
  <c r="T72" i="8"/>
  <c r="W99" i="8"/>
  <c r="AF28" i="8"/>
  <c r="AG28" i="8" s="1"/>
  <c r="T92" i="8"/>
  <c r="O96" i="11"/>
  <c r="O42" i="13" s="1"/>
  <c r="O70" i="11"/>
  <c r="T66" i="8"/>
  <c r="U89" i="8"/>
  <c r="Q93" i="11"/>
  <c r="Q41" i="13" s="1"/>
  <c r="AF107" i="8"/>
  <c r="AG107" i="8" s="1"/>
  <c r="V35" i="8"/>
  <c r="Y35" i="8" s="1"/>
  <c r="M39" i="11"/>
  <c r="M23" i="13" s="1"/>
  <c r="N67" i="11"/>
  <c r="AF12" i="8"/>
  <c r="N53" i="11"/>
  <c r="N27" i="13" s="1"/>
  <c r="V105" i="8"/>
  <c r="M109" i="11"/>
  <c r="T103" i="8"/>
  <c r="O107" i="11"/>
  <c r="AF29" i="8"/>
  <c r="AG29" i="8" s="1"/>
  <c r="AE67" i="8"/>
  <c r="K71" i="11"/>
  <c r="K33" i="13" s="1"/>
  <c r="AF35" i="8"/>
  <c r="AG35" i="8" s="1"/>
  <c r="W57" i="8"/>
  <c r="Y57" i="8" s="1"/>
  <c r="P94" i="11"/>
  <c r="R30" i="11"/>
  <c r="N58" i="11"/>
  <c r="Q88" i="11"/>
  <c r="U84" i="8"/>
  <c r="U61" i="8"/>
  <c r="Q65" i="11"/>
  <c r="AF75" i="8"/>
  <c r="AG75" i="8" s="1"/>
  <c r="U37" i="8"/>
  <c r="Q41" i="11"/>
  <c r="U95" i="8"/>
  <c r="Q99" i="11"/>
  <c r="Q43" i="13" s="1"/>
  <c r="K97" i="11"/>
  <c r="AE93" i="8"/>
  <c r="K32" i="11"/>
  <c r="AE28" i="8"/>
  <c r="U40" i="8"/>
  <c r="Q44" i="11"/>
  <c r="U80" i="8"/>
  <c r="Q84" i="11"/>
  <c r="Q38" i="13" s="1"/>
  <c r="R57" i="11"/>
  <c r="V24" i="8"/>
  <c r="M28" i="11"/>
  <c r="N47" i="11"/>
  <c r="N25" i="13" s="1"/>
  <c r="AF26" i="8"/>
  <c r="AG26" i="8" s="1"/>
  <c r="W58" i="8"/>
  <c r="R98" i="11"/>
  <c r="R42" i="13" s="1"/>
  <c r="N96" i="11"/>
  <c r="R37" i="11"/>
  <c r="W29" i="8"/>
  <c r="N64" i="11"/>
  <c r="V88" i="8"/>
  <c r="M92" i="11"/>
  <c r="U12" i="8"/>
  <c r="Q16" i="11"/>
  <c r="AF78" i="8"/>
  <c r="AG78" i="8" s="1"/>
  <c r="K46" i="11"/>
  <c r="AE42" i="8"/>
  <c r="O100" i="11"/>
  <c r="T96" i="8"/>
  <c r="P110" i="11"/>
  <c r="P46" i="13" s="1"/>
  <c r="Q72" i="11"/>
  <c r="Q34" i="13" s="1"/>
  <c r="U68" i="8"/>
  <c r="T108" i="8"/>
  <c r="O112" i="11"/>
  <c r="P34" i="11"/>
  <c r="U30" i="8"/>
  <c r="Q34" i="11"/>
  <c r="AF93" i="8"/>
  <c r="AG93" i="8" s="1"/>
  <c r="AE91" i="8"/>
  <c r="K95" i="11"/>
  <c r="K41" i="13" s="1"/>
  <c r="AE101" i="8"/>
  <c r="K105" i="11"/>
  <c r="AE108" i="8"/>
  <c r="K112" i="11"/>
  <c r="U32" i="8"/>
  <c r="Q36" i="11"/>
  <c r="N69" i="11"/>
  <c r="O61" i="11"/>
  <c r="T57" i="8"/>
  <c r="T51" i="8"/>
  <c r="O55" i="11"/>
  <c r="M87" i="11"/>
  <c r="M39" i="13" s="1"/>
  <c r="V83" i="8"/>
  <c r="O81" i="11"/>
  <c r="O37" i="13" s="1"/>
  <c r="T77" i="8"/>
  <c r="T101" i="8"/>
  <c r="O105" i="11"/>
  <c r="O45" i="13" s="1"/>
  <c r="P95" i="11"/>
  <c r="P41" i="13" s="1"/>
  <c r="N76" i="11"/>
  <c r="V76" i="8"/>
  <c r="M80" i="11"/>
  <c r="R104" i="11"/>
  <c r="R44" i="13" s="1"/>
  <c r="K96" i="11"/>
  <c r="AE92" i="8"/>
  <c r="P15" i="11"/>
  <c r="W92" i="8"/>
  <c r="AF99" i="8"/>
  <c r="AG99" i="8" s="1"/>
  <c r="AF86" i="8"/>
  <c r="AG86" i="8" s="1"/>
  <c r="M89" i="11"/>
  <c r="V85" i="8"/>
  <c r="X85" i="8" s="1"/>
  <c r="AF74" i="8"/>
  <c r="AG74" i="8" s="1"/>
  <c r="R34" i="11"/>
  <c r="R43" i="11"/>
  <c r="P107" i="11"/>
  <c r="P45" i="13" s="1"/>
  <c r="P98" i="11"/>
  <c r="P42" i="13" s="1"/>
  <c r="R64" i="11"/>
  <c r="R86" i="11"/>
  <c r="R38" i="13" s="1"/>
  <c r="P85" i="11"/>
  <c r="AF71" i="8"/>
  <c r="AG71" i="8" s="1"/>
  <c r="AE36" i="8"/>
  <c r="K40" i="11"/>
  <c r="W24" i="8"/>
  <c r="P91" i="11"/>
  <c r="AF61" i="8"/>
  <c r="AG61" i="8" s="1"/>
  <c r="AF33" i="8"/>
  <c r="AG33" i="8" s="1"/>
  <c r="V58" i="8"/>
  <c r="M62" i="11"/>
  <c r="N39" i="11"/>
  <c r="AE96" i="8"/>
  <c r="K100" i="11"/>
  <c r="AF77" i="8"/>
  <c r="AG77" i="8" s="1"/>
  <c r="R68" i="11"/>
  <c r="R32" i="13" s="1"/>
  <c r="N100" i="11"/>
  <c r="R105" i="11"/>
  <c r="AE31" i="8"/>
  <c r="K35" i="11"/>
  <c r="M44" i="11"/>
  <c r="V40" i="8"/>
  <c r="P109" i="11"/>
  <c r="M108" i="11"/>
  <c r="M46" i="13" s="1"/>
  <c r="V104" i="8"/>
  <c r="T89" i="8"/>
  <c r="O93" i="11"/>
  <c r="O41" i="13" s="1"/>
  <c r="W101" i="8"/>
  <c r="K47" i="11"/>
  <c r="K25" i="13" s="1"/>
  <c r="AE43" i="8"/>
  <c r="K80" i="11"/>
  <c r="K36" i="13" s="1"/>
  <c r="AE76" i="8"/>
  <c r="N34" i="11"/>
  <c r="AF48" i="8"/>
  <c r="AG48" i="8" s="1"/>
  <c r="N108" i="11"/>
  <c r="AE57" i="8"/>
  <c r="K61" i="11"/>
  <c r="P87" i="11"/>
  <c r="V95" i="8"/>
  <c r="X95" i="8" s="1"/>
  <c r="M99" i="11"/>
  <c r="M43" i="13" s="1"/>
  <c r="Q28" i="11"/>
  <c r="U24" i="8"/>
  <c r="N33" i="11"/>
  <c r="Q82" i="11"/>
  <c r="U78" i="8"/>
  <c r="O98" i="11"/>
  <c r="T94" i="8"/>
  <c r="W97" i="8"/>
  <c r="N31" i="11"/>
  <c r="T56" i="8"/>
  <c r="O60" i="11"/>
  <c r="O30" i="13" s="1"/>
  <c r="N56" i="11"/>
  <c r="N28" i="13" s="1"/>
  <c r="T102" i="8"/>
  <c r="O106" i="11"/>
  <c r="R73" i="11"/>
  <c r="N99" i="11"/>
  <c r="W61" i="8"/>
  <c r="X61" i="8" s="1"/>
  <c r="W60" i="8"/>
  <c r="N62" i="11"/>
  <c r="N30" i="13" s="1"/>
  <c r="R63" i="11"/>
  <c r="N79" i="11"/>
  <c r="M91" i="11"/>
  <c r="V87" i="8"/>
  <c r="AE98" i="8"/>
  <c r="K102" i="11"/>
  <c r="AF104" i="8"/>
  <c r="AG104" i="8" s="1"/>
  <c r="P59" i="11"/>
  <c r="P29" i="13" s="1"/>
  <c r="P88" i="11"/>
  <c r="P77" i="11"/>
  <c r="P35" i="13" s="1"/>
  <c r="P92" i="11"/>
  <c r="P40" i="13" s="1"/>
  <c r="R103" i="11"/>
  <c r="T95" i="8"/>
  <c r="O99" i="11"/>
  <c r="O43" i="13" s="1"/>
  <c r="O27" i="11"/>
  <c r="AF52" i="8"/>
  <c r="AG52" i="8" s="1"/>
  <c r="W104" i="8"/>
  <c r="W51" i="8"/>
  <c r="Y51" i="8" s="1"/>
  <c r="V64" i="8"/>
  <c r="X64" i="8" s="1"/>
  <c r="M68" i="11"/>
  <c r="AF109" i="8"/>
  <c r="AG109" i="8" s="1"/>
  <c r="V33" i="8"/>
  <c r="M37" i="11"/>
  <c r="AE50" i="8"/>
  <c r="K54" i="11"/>
  <c r="Q81" i="11"/>
  <c r="Q37" i="13" s="1"/>
  <c r="U77" i="8"/>
  <c r="R96" i="11"/>
  <c r="O103" i="11"/>
  <c r="T99" i="8"/>
  <c r="K73" i="11"/>
  <c r="AE69" i="8"/>
  <c r="AE75" i="8"/>
  <c r="K79" i="11"/>
  <c r="K74" i="11"/>
  <c r="K34" i="13" s="1"/>
  <c r="AE70" i="8"/>
  <c r="K72" i="11"/>
  <c r="AE68" i="8"/>
  <c r="W103" i="8"/>
  <c r="R65" i="11"/>
  <c r="R31" i="13" s="1"/>
  <c r="W52" i="8"/>
  <c r="X52" i="8" s="1"/>
  <c r="N87" i="11"/>
  <c r="Q106" i="11"/>
  <c r="U102" i="8"/>
  <c r="AE86" i="8"/>
  <c r="K90" i="11"/>
  <c r="R58" i="11"/>
  <c r="P30" i="11"/>
  <c r="AE46" i="8"/>
  <c r="K50" i="11"/>
  <c r="K26" i="13" s="1"/>
  <c r="W40" i="8"/>
  <c r="P32" i="11"/>
  <c r="T86" i="8"/>
  <c r="O90" i="11"/>
  <c r="O40" i="13" s="1"/>
  <c r="AF30" i="8"/>
  <c r="AG30" i="8" s="1"/>
  <c r="M27" i="11"/>
  <c r="V23" i="8"/>
  <c r="AF47" i="8"/>
  <c r="AG47" i="8" s="1"/>
  <c r="X38" i="8"/>
  <c r="Y25" i="8"/>
  <c r="AI25" i="8" s="1"/>
  <c r="Y38" i="8"/>
  <c r="AM38" i="8" s="1"/>
  <c r="X15" i="8"/>
  <c r="Y44" i="8"/>
  <c r="X79" i="8"/>
  <c r="X25" i="8"/>
  <c r="Y48" i="8"/>
  <c r="X82" i="8"/>
  <c r="Y73" i="8"/>
  <c r="X73" i="8"/>
  <c r="X44" i="8"/>
  <c r="AF17" i="8"/>
  <c r="AE17" i="8"/>
  <c r="V17" i="8"/>
  <c r="W17" i="8"/>
  <c r="N21" i="11"/>
  <c r="K21" i="11"/>
  <c r="Q21" i="11"/>
  <c r="M21" i="11"/>
  <c r="P21" i="11"/>
  <c r="R21" i="11"/>
  <c r="O21" i="11"/>
  <c r="A18" i="8"/>
  <c r="B22" i="11"/>
  <c r="T17" i="8"/>
  <c r="U17" i="8"/>
  <c r="C19" i="8"/>
  <c r="B19" i="8" s="1"/>
  <c r="K18" i="8"/>
  <c r="I18" i="8"/>
  <c r="M18" i="8"/>
  <c r="R18" i="8"/>
  <c r="AC18" i="8"/>
  <c r="G18" i="8"/>
  <c r="P18" i="8"/>
  <c r="AD18" i="8"/>
  <c r="O18" i="8"/>
  <c r="Q18" i="8"/>
  <c r="H18" i="8"/>
  <c r="J18" i="8"/>
  <c r="N18" i="8"/>
  <c r="F18" i="8"/>
  <c r="X16" i="8" l="1"/>
  <c r="X70" i="8"/>
  <c r="BB41" i="8"/>
  <c r="Y50" i="8"/>
  <c r="AJ50" i="8" s="1"/>
  <c r="AT50" i="8" s="1"/>
  <c r="E54" i="11" s="1"/>
  <c r="X48" i="8"/>
  <c r="Z48" i="8" s="1"/>
  <c r="AP48" i="8" s="1"/>
  <c r="BA48" i="8" s="1"/>
  <c r="Y16" i="8"/>
  <c r="Z16" i="8" s="1"/>
  <c r="AP16" i="8" s="1"/>
  <c r="BA16" i="8" s="1"/>
  <c r="Y63" i="8"/>
  <c r="AK63" i="8" s="1"/>
  <c r="Y60" i="8"/>
  <c r="AQ60" i="8" s="1"/>
  <c r="Y28" i="8"/>
  <c r="Y37" i="8"/>
  <c r="AQ37" i="8" s="1"/>
  <c r="BB37" i="8" s="1"/>
  <c r="X47" i="8"/>
  <c r="Y89" i="8"/>
  <c r="AK89" i="8" s="1"/>
  <c r="AV89" i="8" s="1"/>
  <c r="Y86" i="8"/>
  <c r="AM86" i="8" s="1"/>
  <c r="AX86" i="8" s="1"/>
  <c r="X59" i="8"/>
  <c r="Y77" i="8"/>
  <c r="AJ77" i="8" s="1"/>
  <c r="AM25" i="8"/>
  <c r="AX25" i="8" s="1"/>
  <c r="AI63" i="8"/>
  <c r="AS63" i="8" s="1"/>
  <c r="D67" i="11" s="1"/>
  <c r="AG14" i="8"/>
  <c r="AV14" i="8" s="1"/>
  <c r="Y61" i="8"/>
  <c r="AQ61" i="8" s="1"/>
  <c r="BB61" i="8" s="1"/>
  <c r="Y49" i="8"/>
  <c r="AI49" i="8" s="1"/>
  <c r="AG12" i="8"/>
  <c r="X54" i="8"/>
  <c r="X90" i="8"/>
  <c r="X45" i="8"/>
  <c r="X72" i="8"/>
  <c r="Y23" i="8"/>
  <c r="AI23" i="8" s="1"/>
  <c r="AS23" i="8" s="1"/>
  <c r="Y42" i="8"/>
  <c r="AJ42" i="8" s="1"/>
  <c r="AT42" i="8" s="1"/>
  <c r="E46" i="11" s="1"/>
  <c r="Y66" i="8"/>
  <c r="AQ66" i="8" s="1"/>
  <c r="BB66" i="8" s="1"/>
  <c r="Y107" i="8"/>
  <c r="AK107" i="8" s="1"/>
  <c r="AV107" i="8" s="1"/>
  <c r="X39" i="8"/>
  <c r="X32" i="8"/>
  <c r="Y56" i="8"/>
  <c r="AM56" i="8" s="1"/>
  <c r="AX56" i="8" s="1"/>
  <c r="X60" i="8"/>
  <c r="AJ86" i="8"/>
  <c r="AT86" i="8" s="1"/>
  <c r="E90" i="11" s="1"/>
  <c r="Y58" i="8"/>
  <c r="AI58" i="8" s="1"/>
  <c r="Y62" i="8"/>
  <c r="AK62" i="8" s="1"/>
  <c r="AV62" i="8" s="1"/>
  <c r="X106" i="8"/>
  <c r="X34" i="8"/>
  <c r="X97" i="8"/>
  <c r="X28" i="8"/>
  <c r="Z28" i="8" s="1"/>
  <c r="AP28" i="8" s="1"/>
  <c r="BA28" i="8" s="1"/>
  <c r="X71" i="8"/>
  <c r="AQ63" i="8"/>
  <c r="BB63" i="8" s="1"/>
  <c r="AM63" i="8"/>
  <c r="AX63" i="8" s="1"/>
  <c r="X40" i="8"/>
  <c r="AJ63" i="8"/>
  <c r="AT63" i="8" s="1"/>
  <c r="E67" i="11" s="1"/>
  <c r="Y104" i="8"/>
  <c r="AK104" i="8" s="1"/>
  <c r="AV104" i="8" s="1"/>
  <c r="Y24" i="8"/>
  <c r="AI24" i="8" s="1"/>
  <c r="AS24" i="8" s="1"/>
  <c r="X109" i="8"/>
  <c r="Y93" i="8"/>
  <c r="AQ93" i="8" s="1"/>
  <c r="BB93" i="8" s="1"/>
  <c r="Y26" i="8"/>
  <c r="AQ26" i="8" s="1"/>
  <c r="BB26" i="8" s="1"/>
  <c r="Y101" i="8"/>
  <c r="AJ101" i="8" s="1"/>
  <c r="AT101" i="8" s="1"/>
  <c r="E105" i="11" s="1"/>
  <c r="X57" i="8"/>
  <c r="Z57" i="8" s="1"/>
  <c r="AP57" i="8" s="1"/>
  <c r="BA57" i="8" s="1"/>
  <c r="AS25" i="8"/>
  <c r="D29" i="11" s="1"/>
  <c r="AM57" i="8"/>
  <c r="AX57" i="8" s="1"/>
  <c r="AQ57" i="8"/>
  <c r="AJ57" i="8"/>
  <c r="AT57" i="8" s="1"/>
  <c r="E61" i="11" s="1"/>
  <c r="AK57" i="8"/>
  <c r="AV57" i="8" s="1"/>
  <c r="Y13" i="8"/>
  <c r="AJ13" i="8" s="1"/>
  <c r="X43" i="8"/>
  <c r="X33" i="8"/>
  <c r="AV63" i="8"/>
  <c r="Y32" i="8"/>
  <c r="AQ32" i="8" s="1"/>
  <c r="BB32" i="8" s="1"/>
  <c r="AQ25" i="8"/>
  <c r="BB25" i="8" s="1"/>
  <c r="AG13" i="8"/>
  <c r="Y68" i="8"/>
  <c r="AQ68" i="8" s="1"/>
  <c r="BB68" i="8" s="1"/>
  <c r="Y67" i="8"/>
  <c r="AJ67" i="8" s="1"/>
  <c r="AT67" i="8" s="1"/>
  <c r="X56" i="8"/>
  <c r="Y92" i="8"/>
  <c r="AJ92" i="8" s="1"/>
  <c r="AT92" i="8" s="1"/>
  <c r="E96" i="11" s="1"/>
  <c r="X99" i="8"/>
  <c r="Y12" i="8"/>
  <c r="AK12" i="8" s="1"/>
  <c r="AT78" i="8"/>
  <c r="E82" i="11" s="1"/>
  <c r="X76" i="8"/>
  <c r="X74" i="8"/>
  <c r="BB60" i="8"/>
  <c r="X83" i="8"/>
  <c r="X50" i="8"/>
  <c r="Y76" i="8"/>
  <c r="AQ76" i="8" s="1"/>
  <c r="BB76" i="8" s="1"/>
  <c r="X37" i="8"/>
  <c r="X78" i="8"/>
  <c r="Z78" i="8" s="1"/>
  <c r="AP78" i="8" s="1"/>
  <c r="BA78" i="8" s="1"/>
  <c r="I82" i="11" s="1"/>
  <c r="AK41" i="8"/>
  <c r="AV41" i="8" s="1"/>
  <c r="Y108" i="8"/>
  <c r="AQ108" i="8" s="1"/>
  <c r="BB108" i="8" s="1"/>
  <c r="AG15" i="8"/>
  <c r="X29" i="8"/>
  <c r="Y95" i="8"/>
  <c r="AQ95" i="8" s="1"/>
  <c r="BB95" i="8" s="1"/>
  <c r="AK26" i="8"/>
  <c r="AV26" i="8" s="1"/>
  <c r="AK75" i="8"/>
  <c r="AV75" i="8" s="1"/>
  <c r="AI75" i="8"/>
  <c r="AS75" i="8" s="1"/>
  <c r="D79" i="11" s="1"/>
  <c r="AQ75" i="8"/>
  <c r="BB75" i="8" s="1"/>
  <c r="AQ23" i="8"/>
  <c r="BB23" i="8" s="1"/>
  <c r="AM41" i="8"/>
  <c r="AX41" i="8" s="1"/>
  <c r="Y43" i="8"/>
  <c r="AK43" i="8" s="1"/>
  <c r="AV43" i="8" s="1"/>
  <c r="X53" i="8"/>
  <c r="Z53" i="8" s="1"/>
  <c r="AP53" i="8" s="1"/>
  <c r="BA53" i="8" s="1"/>
  <c r="Y98" i="8"/>
  <c r="Z98" i="8" s="1"/>
  <c r="AP98" i="8" s="1"/>
  <c r="BA98" i="8" s="1"/>
  <c r="I102" i="11" s="1"/>
  <c r="Y33" i="8"/>
  <c r="X12" i="8"/>
  <c r="X68" i="8"/>
  <c r="AI41" i="8"/>
  <c r="X26" i="8"/>
  <c r="Y105" i="8"/>
  <c r="AK105" i="8" s="1"/>
  <c r="AV105" i="8" s="1"/>
  <c r="Y70" i="8"/>
  <c r="Z70" i="8" s="1"/>
  <c r="AP70" i="8" s="1"/>
  <c r="BA70" i="8" s="1"/>
  <c r="Y103" i="8"/>
  <c r="AK103" i="8" s="1"/>
  <c r="AV103" i="8" s="1"/>
  <c r="AJ14" i="8"/>
  <c r="Y97" i="8"/>
  <c r="AJ97" i="8" s="1"/>
  <c r="AT97" i="8" s="1"/>
  <c r="E101" i="11" s="1"/>
  <c r="X24" i="8"/>
  <c r="X35" i="8"/>
  <c r="Z35" i="8" s="1"/>
  <c r="AP35" i="8" s="1"/>
  <c r="BA35" i="8" s="1"/>
  <c r="Y72" i="8"/>
  <c r="AJ72" i="8" s="1"/>
  <c r="AT72" i="8" s="1"/>
  <c r="E76" i="11" s="1"/>
  <c r="X104" i="8"/>
  <c r="Y100" i="8"/>
  <c r="AK100" i="8" s="1"/>
  <c r="AV100" i="8" s="1"/>
  <c r="Y34" i="8"/>
  <c r="AQ34" i="8" s="1"/>
  <c r="BB34" i="8" s="1"/>
  <c r="AT77" i="8"/>
  <c r="E81" i="11" s="1"/>
  <c r="X65" i="8"/>
  <c r="X84" i="8"/>
  <c r="Y85" i="8"/>
  <c r="AK85" i="8" s="1"/>
  <c r="AV85" i="8" s="1"/>
  <c r="X11" i="8"/>
  <c r="Z11" i="8" s="1"/>
  <c r="AP11" i="8" s="1"/>
  <c r="BA11" i="8" s="1"/>
  <c r="I15" i="11" s="1"/>
  <c r="Y27" i="8"/>
  <c r="AJ27" i="8" s="1"/>
  <c r="AT27" i="8" s="1"/>
  <c r="E31" i="11" s="1"/>
  <c r="Y15" i="8"/>
  <c r="X41" i="8"/>
  <c r="Z41" i="8" s="1"/>
  <c r="AP41" i="8" s="1"/>
  <c r="BA41" i="8" s="1"/>
  <c r="BD41" i="8" s="1"/>
  <c r="Y90" i="8"/>
  <c r="AJ90" i="8" s="1"/>
  <c r="AT90" i="8" s="1"/>
  <c r="AI14" i="8"/>
  <c r="BB57" i="8"/>
  <c r="Y45" i="8"/>
  <c r="AM45" i="8" s="1"/>
  <c r="AX45" i="8" s="1"/>
  <c r="X92" i="8"/>
  <c r="Y30" i="8"/>
  <c r="AQ30" i="8" s="1"/>
  <c r="BB30" i="8" s="1"/>
  <c r="Y29" i="8"/>
  <c r="AQ29" i="8" s="1"/>
  <c r="BB29" i="8" s="1"/>
  <c r="AJ41" i="8"/>
  <c r="AT41" i="8" s="1"/>
  <c r="E45" i="11" s="1"/>
  <c r="AX38" i="8"/>
  <c r="Y40" i="8"/>
  <c r="AI40" i="8" s="1"/>
  <c r="AS40" i="8" s="1"/>
  <c r="AQ102" i="8"/>
  <c r="BB102" i="8" s="1"/>
  <c r="X42" i="8"/>
  <c r="X58" i="8"/>
  <c r="X94" i="8"/>
  <c r="Y39" i="8"/>
  <c r="Y36" i="8"/>
  <c r="AM36" i="8" s="1"/>
  <c r="AX36" i="8" s="1"/>
  <c r="AQ79" i="8"/>
  <c r="BB79" i="8" s="1"/>
  <c r="AI79" i="8"/>
  <c r="AS79" i="8" s="1"/>
  <c r="D83" i="11" s="1"/>
  <c r="AI57" i="8"/>
  <c r="AS57" i="8" s="1"/>
  <c r="AJ26" i="8"/>
  <c r="AT26" i="8" s="1"/>
  <c r="E30" i="11" s="1"/>
  <c r="AK77" i="8"/>
  <c r="AV77" i="8" s="1"/>
  <c r="X108" i="8"/>
  <c r="X69" i="8"/>
  <c r="Z69" i="8" s="1"/>
  <c r="AP69" i="8" s="1"/>
  <c r="BA69" i="8" s="1"/>
  <c r="Z86" i="8"/>
  <c r="AP86" i="8" s="1"/>
  <c r="BA86" i="8" s="1"/>
  <c r="BD86" i="8" s="1"/>
  <c r="Z25" i="8"/>
  <c r="AP25" i="8" s="1"/>
  <c r="BA25" i="8" s="1"/>
  <c r="Y109" i="8"/>
  <c r="Y99" i="8"/>
  <c r="AX102" i="8"/>
  <c r="X107" i="8"/>
  <c r="Y64" i="8"/>
  <c r="Z64" i="8" s="1"/>
  <c r="AP64" i="8" s="1"/>
  <c r="BA64" i="8" s="1"/>
  <c r="Y47" i="8"/>
  <c r="X89" i="8"/>
  <c r="Z79" i="8"/>
  <c r="AP79" i="8" s="1"/>
  <c r="BA79" i="8" s="1"/>
  <c r="I83" i="11" s="1"/>
  <c r="Y96" i="8"/>
  <c r="X96" i="8"/>
  <c r="X66" i="8"/>
  <c r="Y84" i="8"/>
  <c r="Y106" i="8"/>
  <c r="Z106" i="8" s="1"/>
  <c r="AP106" i="8" s="1"/>
  <c r="BA106" i="8" s="1"/>
  <c r="I110" i="11" s="1"/>
  <c r="AI102" i="8"/>
  <c r="AS102" i="8" s="1"/>
  <c r="D106" i="11" s="1"/>
  <c r="X75" i="8"/>
  <c r="Z75" i="8" s="1"/>
  <c r="AP75" i="8" s="1"/>
  <c r="BA75" i="8" s="1"/>
  <c r="I79" i="11" s="1"/>
  <c r="AQ38" i="8"/>
  <c r="BB38" i="8" s="1"/>
  <c r="X88" i="8"/>
  <c r="Y88" i="8"/>
  <c r="AM23" i="8"/>
  <c r="AX23" i="8" s="1"/>
  <c r="AI103" i="8"/>
  <c r="AS103" i="8" s="1"/>
  <c r="X93" i="8"/>
  <c r="Y94" i="8"/>
  <c r="AQ94" i="8" s="1"/>
  <c r="BB94" i="8" s="1"/>
  <c r="Y65" i="8"/>
  <c r="X102" i="8"/>
  <c r="Z102" i="8" s="1"/>
  <c r="AP102" i="8" s="1"/>
  <c r="BA102" i="8" s="1"/>
  <c r="AK23" i="8"/>
  <c r="AV23" i="8" s="1"/>
  <c r="AJ75" i="8"/>
  <c r="AT75" i="8" s="1"/>
  <c r="E79" i="11" s="1"/>
  <c r="AI26" i="8"/>
  <c r="AS26" i="8" s="1"/>
  <c r="D30" i="11" s="1"/>
  <c r="AM75" i="8"/>
  <c r="AX75" i="8" s="1"/>
  <c r="Y46" i="8"/>
  <c r="AJ46" i="8" s="1"/>
  <c r="AT46" i="8" s="1"/>
  <c r="E50" i="11" s="1"/>
  <c r="AQ77" i="8"/>
  <c r="BB77" i="8" s="1"/>
  <c r="X105" i="8"/>
  <c r="Y83" i="8"/>
  <c r="AJ83" i="8" s="1"/>
  <c r="AT83" i="8" s="1"/>
  <c r="E87" i="11" s="1"/>
  <c r="X103" i="8"/>
  <c r="Y52" i="8"/>
  <c r="AK52" i="8" s="1"/>
  <c r="AV52" i="8" s="1"/>
  <c r="Y87" i="8"/>
  <c r="X87" i="8"/>
  <c r="Y54" i="8"/>
  <c r="AI77" i="8"/>
  <c r="AS77" i="8" s="1"/>
  <c r="Y74" i="8"/>
  <c r="X31" i="8"/>
  <c r="Y31" i="8"/>
  <c r="Y59" i="8"/>
  <c r="X55" i="8"/>
  <c r="Y55" i="8"/>
  <c r="Y80" i="8"/>
  <c r="X80" i="8"/>
  <c r="Z44" i="8"/>
  <c r="AP44" i="8" s="1"/>
  <c r="BA44" i="8" s="1"/>
  <c r="I48" i="11" s="1"/>
  <c r="X101" i="8"/>
  <c r="AM77" i="8"/>
  <c r="AX77" i="8" s="1"/>
  <c r="X77" i="8"/>
  <c r="Z77" i="8" s="1"/>
  <c r="AP77" i="8" s="1"/>
  <c r="BA77" i="8" s="1"/>
  <c r="BD77" i="8" s="1"/>
  <c r="AJ102" i="8"/>
  <c r="AT102" i="8" s="1"/>
  <c r="AK102" i="8"/>
  <c r="AV102" i="8" s="1"/>
  <c r="X23" i="8"/>
  <c r="Z23" i="8" s="1"/>
  <c r="AP23" i="8" s="1"/>
  <c r="BA23" i="8" s="1"/>
  <c r="BD23" i="8" s="1"/>
  <c r="Y91" i="8"/>
  <c r="Z91" i="8" s="1"/>
  <c r="AP91" i="8" s="1"/>
  <c r="BA91" i="8" s="1"/>
  <c r="X36" i="8"/>
  <c r="Y71" i="8"/>
  <c r="X51" i="8"/>
  <c r="Z51" i="8" s="1"/>
  <c r="AP51" i="8" s="1"/>
  <c r="BA51" i="8" s="1"/>
  <c r="X14" i="8"/>
  <c r="Z14" i="8" s="1"/>
  <c r="AP14" i="8" s="1"/>
  <c r="Y81" i="8"/>
  <c r="X81" i="8"/>
  <c r="AK25" i="8"/>
  <c r="AV25" i="8" s="1"/>
  <c r="AJ25" i="8"/>
  <c r="AT25" i="8" s="1"/>
  <c r="Z38" i="8"/>
  <c r="AP38" i="8" s="1"/>
  <c r="BA38" i="8" s="1"/>
  <c r="AI38" i="8"/>
  <c r="AS38" i="8" s="1"/>
  <c r="D42" i="11" s="1"/>
  <c r="AK38" i="8"/>
  <c r="AV38" i="8" s="1"/>
  <c r="AI78" i="8"/>
  <c r="AS78" i="8" s="1"/>
  <c r="AJ38" i="8"/>
  <c r="AT38" i="8" s="1"/>
  <c r="E42" i="11" s="1"/>
  <c r="AJ79" i="8"/>
  <c r="AT79" i="8" s="1"/>
  <c r="AM79" i="8"/>
  <c r="AX79" i="8" s="1"/>
  <c r="AK79" i="8"/>
  <c r="AV79" i="8" s="1"/>
  <c r="AQ14" i="8"/>
  <c r="AM60" i="8"/>
  <c r="AX60" i="8" s="1"/>
  <c r="AI44" i="8"/>
  <c r="AJ44" i="8"/>
  <c r="AT44" i="8" s="1"/>
  <c r="E48" i="11" s="1"/>
  <c r="AM44" i="8"/>
  <c r="AX44" i="8" s="1"/>
  <c r="AQ44" i="8"/>
  <c r="BB44" i="8" s="1"/>
  <c r="AK44" i="8"/>
  <c r="AV44" i="8" s="1"/>
  <c r="AM14" i="8"/>
  <c r="AS49" i="8"/>
  <c r="AQ73" i="8"/>
  <c r="BB73" i="8" s="1"/>
  <c r="AJ73" i="8"/>
  <c r="AT73" i="8" s="1"/>
  <c r="E77" i="11" s="1"/>
  <c r="AM73" i="8"/>
  <c r="AX73" i="8" s="1"/>
  <c r="AK73" i="8"/>
  <c r="AV73" i="8" s="1"/>
  <c r="AI73" i="8"/>
  <c r="AI35" i="8"/>
  <c r="AJ35" i="8"/>
  <c r="AT35" i="8" s="1"/>
  <c r="AM35" i="8"/>
  <c r="AX35" i="8" s="1"/>
  <c r="AQ35" i="8"/>
  <c r="BB35" i="8" s="1"/>
  <c r="AK35" i="8"/>
  <c r="AV35" i="8" s="1"/>
  <c r="AM53" i="8"/>
  <c r="AX53" i="8" s="1"/>
  <c r="AJ53" i="8"/>
  <c r="AT53" i="8" s="1"/>
  <c r="E57" i="11" s="1"/>
  <c r="AK53" i="8"/>
  <c r="AV53" i="8" s="1"/>
  <c r="AQ53" i="8"/>
  <c r="BB53" i="8" s="1"/>
  <c r="AI53" i="8"/>
  <c r="AQ78" i="8"/>
  <c r="BB78" i="8" s="1"/>
  <c r="AK61" i="8"/>
  <c r="AV61" i="8" s="1"/>
  <c r="AM78" i="8"/>
  <c r="AX78" i="8" s="1"/>
  <c r="Z82" i="8"/>
  <c r="AP82" i="8" s="1"/>
  <c r="BA82" i="8" s="1"/>
  <c r="AM51" i="8"/>
  <c r="AX51" i="8" s="1"/>
  <c r="AJ51" i="8"/>
  <c r="AT51" i="8" s="1"/>
  <c r="E55" i="11" s="1"/>
  <c r="AI51" i="8"/>
  <c r="AQ51" i="8"/>
  <c r="BB51" i="8" s="1"/>
  <c r="AK51" i="8"/>
  <c r="AV51" i="8" s="1"/>
  <c r="AJ11" i="8"/>
  <c r="AT11" i="8" s="1"/>
  <c r="E15" i="11" s="1"/>
  <c r="AK11" i="8"/>
  <c r="AV11" i="8" s="1"/>
  <c r="AM11" i="8"/>
  <c r="AX11" i="8" s="1"/>
  <c r="AQ11" i="8"/>
  <c r="BB11" i="8" s="1"/>
  <c r="AI11" i="8"/>
  <c r="AK78" i="8"/>
  <c r="AV78" i="8" s="1"/>
  <c r="AI69" i="8"/>
  <c r="AQ69" i="8"/>
  <c r="BB69" i="8" s="1"/>
  <c r="AM69" i="8"/>
  <c r="AX69" i="8" s="1"/>
  <c r="AK69" i="8"/>
  <c r="AV69" i="8" s="1"/>
  <c r="AJ69" i="8"/>
  <c r="AT69" i="8" s="1"/>
  <c r="E73" i="11" s="1"/>
  <c r="AQ82" i="8"/>
  <c r="BB82" i="8" s="1"/>
  <c r="AK82" i="8"/>
  <c r="AV82" i="8" s="1"/>
  <c r="AM82" i="8"/>
  <c r="AX82" i="8" s="1"/>
  <c r="AI82" i="8"/>
  <c r="AJ82" i="8"/>
  <c r="AT82" i="8" s="1"/>
  <c r="E86" i="11" s="1"/>
  <c r="Z73" i="8"/>
  <c r="AP73" i="8" s="1"/>
  <c r="BA73" i="8" s="1"/>
  <c r="AK48" i="8"/>
  <c r="AV48" i="8" s="1"/>
  <c r="AQ48" i="8"/>
  <c r="BB48" i="8" s="1"/>
  <c r="AJ48" i="8"/>
  <c r="AT48" i="8" s="1"/>
  <c r="E52" i="11" s="1"/>
  <c r="AI48" i="8"/>
  <c r="AM48" i="8"/>
  <c r="AX48" i="8" s="1"/>
  <c r="AK28" i="8"/>
  <c r="AV28" i="8" s="1"/>
  <c r="AI28" i="8"/>
  <c r="AJ28" i="8"/>
  <c r="AT28" i="8" s="1"/>
  <c r="E32" i="11" s="1"/>
  <c r="AQ28" i="8"/>
  <c r="BB28" i="8" s="1"/>
  <c r="AM28" i="8"/>
  <c r="AX28" i="8" s="1"/>
  <c r="AG17" i="8"/>
  <c r="AF18" i="8"/>
  <c r="AE18" i="8"/>
  <c r="V18" i="8"/>
  <c r="W18" i="8"/>
  <c r="X17" i="8"/>
  <c r="Y17" i="8"/>
  <c r="M22" i="11"/>
  <c r="Q22" i="11"/>
  <c r="O22" i="11"/>
  <c r="N22" i="11"/>
  <c r="R22" i="11"/>
  <c r="P22" i="11"/>
  <c r="K22" i="11"/>
  <c r="A19" i="8"/>
  <c r="B17" i="13"/>
  <c r="B23" i="11"/>
  <c r="T18" i="8"/>
  <c r="U18" i="8"/>
  <c r="C20" i="8"/>
  <c r="B20" i="8" s="1"/>
  <c r="Q19" i="8"/>
  <c r="I19" i="8"/>
  <c r="AC19" i="8"/>
  <c r="H19" i="8"/>
  <c r="M19" i="8"/>
  <c r="N19" i="8"/>
  <c r="G19" i="8"/>
  <c r="AD19" i="8"/>
  <c r="K19" i="8"/>
  <c r="J19" i="8"/>
  <c r="O19" i="8"/>
  <c r="R19" i="8"/>
  <c r="P19" i="8"/>
  <c r="F19" i="8"/>
  <c r="AI67" i="8" l="1"/>
  <c r="AM50" i="8"/>
  <c r="AX50" i="8" s="1"/>
  <c r="AI16" i="8"/>
  <c r="AS16" i="8" s="1"/>
  <c r="Z50" i="8"/>
  <c r="AP50" i="8" s="1"/>
  <c r="BA50" i="8" s="1"/>
  <c r="BD50" i="8" s="1"/>
  <c r="AI50" i="8"/>
  <c r="AS50" i="8" s="1"/>
  <c r="AU50" i="8" s="1"/>
  <c r="F54" i="11" s="1"/>
  <c r="BA14" i="8"/>
  <c r="I18" i="11" s="1"/>
  <c r="AK50" i="8"/>
  <c r="AV50" i="8" s="1"/>
  <c r="AQ50" i="8"/>
  <c r="BB50" i="8" s="1"/>
  <c r="Z24" i="8"/>
  <c r="AP24" i="8" s="1"/>
  <c r="BA24" i="8" s="1"/>
  <c r="I28" i="11" s="1"/>
  <c r="AM37" i="8"/>
  <c r="AX37" i="8" s="1"/>
  <c r="AI101" i="8"/>
  <c r="AS101" i="8" s="1"/>
  <c r="AJ105" i="8"/>
  <c r="AT105" i="8" s="1"/>
  <c r="E109" i="11" s="1"/>
  <c r="AM16" i="8"/>
  <c r="AX16" i="8" s="1"/>
  <c r="Z47" i="8"/>
  <c r="AP47" i="8" s="1"/>
  <c r="BA47" i="8" s="1"/>
  <c r="BD47" i="8" s="1"/>
  <c r="AI86" i="8"/>
  <c r="AS86" i="8" s="1"/>
  <c r="D90" i="11" s="1"/>
  <c r="AQ16" i="8"/>
  <c r="BB16" i="8" s="1"/>
  <c r="AI66" i="8"/>
  <c r="AS66" i="8" s="1"/>
  <c r="Z66" i="8"/>
  <c r="AP66" i="8" s="1"/>
  <c r="BA66" i="8" s="1"/>
  <c r="BD66" i="8" s="1"/>
  <c r="AK16" i="8"/>
  <c r="AV16" i="8" s="1"/>
  <c r="AJ16" i="8"/>
  <c r="AT16" i="8" s="1"/>
  <c r="E20" i="11" s="1"/>
  <c r="AJ89" i="8"/>
  <c r="AT89" i="8" s="1"/>
  <c r="Z63" i="8"/>
  <c r="AP63" i="8" s="1"/>
  <c r="BA63" i="8" s="1"/>
  <c r="BD63" i="8" s="1"/>
  <c r="AQ12" i="8"/>
  <c r="BB12" i="8" s="1"/>
  <c r="AK60" i="8"/>
  <c r="AV60" i="8" s="1"/>
  <c r="AJ60" i="8"/>
  <c r="AT60" i="8" s="1"/>
  <c r="E64" i="11" s="1"/>
  <c r="AI60" i="8"/>
  <c r="AS60" i="8" s="1"/>
  <c r="D64" i="11" s="1"/>
  <c r="AM26" i="8"/>
  <c r="AX26" i="8" s="1"/>
  <c r="AK92" i="8"/>
  <c r="AV92" i="8" s="1"/>
  <c r="Z60" i="8"/>
  <c r="AP60" i="8" s="1"/>
  <c r="BA60" i="8" s="1"/>
  <c r="I64" i="11" s="1"/>
  <c r="Z59" i="8"/>
  <c r="AP59" i="8" s="1"/>
  <c r="BA59" i="8" s="1"/>
  <c r="BD59" i="8" s="1"/>
  <c r="Z37" i="8"/>
  <c r="AP37" i="8" s="1"/>
  <c r="BA37" i="8" s="1"/>
  <c r="I41" i="11" s="1"/>
  <c r="AI45" i="8"/>
  <c r="AK58" i="8"/>
  <c r="AV58" i="8" s="1"/>
  <c r="Z49" i="8"/>
  <c r="AP49" i="8" s="1"/>
  <c r="BA49" i="8" s="1"/>
  <c r="I53" i="11" s="1"/>
  <c r="Z26" i="8"/>
  <c r="AP26" i="8" s="1"/>
  <c r="BA26" i="8" s="1"/>
  <c r="BD26" i="8" s="1"/>
  <c r="AJ45" i="8"/>
  <c r="AT45" i="8" s="1"/>
  <c r="E49" i="11" s="1"/>
  <c r="AI37" i="8"/>
  <c r="AQ67" i="8"/>
  <c r="BB67" i="8" s="1"/>
  <c r="BP68" i="8" s="1"/>
  <c r="AQ58" i="8"/>
  <c r="BB58" i="8" s="1"/>
  <c r="Z61" i="8"/>
  <c r="AP61" i="8" s="1"/>
  <c r="BA61" i="8" s="1"/>
  <c r="BD61" i="8" s="1"/>
  <c r="Z101" i="8"/>
  <c r="AP101" i="8" s="1"/>
  <c r="BA101" i="8" s="1"/>
  <c r="BD101" i="8" s="1"/>
  <c r="AQ101" i="8"/>
  <c r="BB101" i="8" s="1"/>
  <c r="Z89" i="8"/>
  <c r="AP89" i="8" s="1"/>
  <c r="BA89" i="8" s="1"/>
  <c r="BD89" i="8" s="1"/>
  <c r="AK93" i="8"/>
  <c r="AV93" i="8" s="1"/>
  <c r="AJ23" i="8"/>
  <c r="AT23" i="8" s="1"/>
  <c r="E27" i="11" s="1"/>
  <c r="AK37" i="8"/>
  <c r="AV37" i="8" s="1"/>
  <c r="AM58" i="8"/>
  <c r="AX58" i="8" s="1"/>
  <c r="AI34" i="8"/>
  <c r="AS34" i="8" s="1"/>
  <c r="D38" i="11" s="1"/>
  <c r="I45" i="11"/>
  <c r="AI61" i="8"/>
  <c r="AS61" i="8" s="1"/>
  <c r="AJ37" i="8"/>
  <c r="AT37" i="8" s="1"/>
  <c r="E41" i="11" s="1"/>
  <c r="AI89" i="8"/>
  <c r="AS89" i="8" s="1"/>
  <c r="D93" i="11" s="1"/>
  <c r="AJ58" i="8"/>
  <c r="AT58" i="8" s="1"/>
  <c r="E62" i="11" s="1"/>
  <c r="AK32" i="8"/>
  <c r="AV32" i="8" s="1"/>
  <c r="AV12" i="8"/>
  <c r="AM89" i="8"/>
  <c r="AX89" i="8" s="1"/>
  <c r="AM70" i="8"/>
  <c r="AX70" i="8" s="1"/>
  <c r="AQ89" i="8"/>
  <c r="BB89" i="8" s="1"/>
  <c r="Z58" i="8"/>
  <c r="AP58" i="8" s="1"/>
  <c r="BA58" i="8" s="1"/>
  <c r="BD58" i="8" s="1"/>
  <c r="AL63" i="8"/>
  <c r="AW63" i="8" s="1"/>
  <c r="AK86" i="8"/>
  <c r="AQ86" i="8"/>
  <c r="BB86" i="8" s="1"/>
  <c r="Z104" i="8"/>
  <c r="AP104" i="8" s="1"/>
  <c r="BA104" i="8" s="1"/>
  <c r="I108" i="11" s="1"/>
  <c r="AK72" i="8"/>
  <c r="AV72" i="8" s="1"/>
  <c r="AK76" i="8"/>
  <c r="AV76" i="8" s="1"/>
  <c r="AU26" i="8"/>
  <c r="F30" i="11" s="1"/>
  <c r="AM76" i="8"/>
  <c r="AX76" i="8" s="1"/>
  <c r="AI76" i="8"/>
  <c r="AS76" i="8" s="1"/>
  <c r="AI70" i="8"/>
  <c r="AS70" i="8" s="1"/>
  <c r="AQ62" i="8"/>
  <c r="BB62" i="8" s="1"/>
  <c r="BP63" i="8" s="1"/>
  <c r="AJ104" i="8"/>
  <c r="AT104" i="8" s="1"/>
  <c r="E108" i="11" s="1"/>
  <c r="Z62" i="8"/>
  <c r="AP62" i="8" s="1"/>
  <c r="BA62" i="8" s="1"/>
  <c r="AJ76" i="8"/>
  <c r="AT76" i="8" s="1"/>
  <c r="E80" i="11" s="1"/>
  <c r="Z46" i="8"/>
  <c r="AP46" i="8" s="1"/>
  <c r="BA46" i="8" s="1"/>
  <c r="I50" i="11" s="1"/>
  <c r="AM94" i="8"/>
  <c r="AX94" i="8" s="1"/>
  <c r="AM42" i="8"/>
  <c r="AX42" i="8" s="1"/>
  <c r="AJ30" i="8"/>
  <c r="AT30" i="8" s="1"/>
  <c r="E34" i="11" s="1"/>
  <c r="I90" i="11"/>
  <c r="AQ42" i="8"/>
  <c r="BB42" i="8" s="1"/>
  <c r="BD75" i="8"/>
  <c r="AQ45" i="8"/>
  <c r="BB45" i="8" s="1"/>
  <c r="AQ92" i="8"/>
  <c r="BB92" i="8" s="1"/>
  <c r="BP94" i="8" s="1"/>
  <c r="AI107" i="8"/>
  <c r="AS107" i="8" s="1"/>
  <c r="D111" i="11" s="1"/>
  <c r="AI27" i="8"/>
  <c r="AS27" i="8" s="1"/>
  <c r="AU27" i="8" s="1"/>
  <c r="F31" i="11" s="1"/>
  <c r="AI42" i="8"/>
  <c r="AS42" i="8" s="1"/>
  <c r="D46" i="11" s="1"/>
  <c r="AJ34" i="8"/>
  <c r="AT34" i="8" s="1"/>
  <c r="E38" i="11" s="1"/>
  <c r="AM34" i="8"/>
  <c r="AX34" i="8" s="1"/>
  <c r="AM62" i="8"/>
  <c r="AX62" i="8" s="1"/>
  <c r="Z68" i="8"/>
  <c r="AP68" i="8" s="1"/>
  <c r="BA68" i="8" s="1"/>
  <c r="BD68" i="8" s="1"/>
  <c r="AK45" i="8"/>
  <c r="AV45" i="8" s="1"/>
  <c r="AI92" i="8"/>
  <c r="AK40" i="8"/>
  <c r="AV40" i="8" s="1"/>
  <c r="AJ95" i="8"/>
  <c r="AT95" i="8" s="1"/>
  <c r="E99" i="11" s="1"/>
  <c r="Z107" i="8"/>
  <c r="AP107" i="8" s="1"/>
  <c r="BA107" i="8" s="1"/>
  <c r="I111" i="11" s="1"/>
  <c r="Z42" i="8"/>
  <c r="AP42" i="8" s="1"/>
  <c r="BA42" i="8" s="1"/>
  <c r="BD42" i="8" s="1"/>
  <c r="Z56" i="8"/>
  <c r="AP56" i="8" s="1"/>
  <c r="BA56" i="8" s="1"/>
  <c r="AM92" i="8"/>
  <c r="AX92" i="8" s="1"/>
  <c r="Z92" i="8"/>
  <c r="AP92" i="8" s="1"/>
  <c r="BA92" i="8" s="1"/>
  <c r="BD92" i="8" s="1"/>
  <c r="AK27" i="8"/>
  <c r="AV27" i="8" s="1"/>
  <c r="AJ62" i="8"/>
  <c r="AT62" i="8" s="1"/>
  <c r="E66" i="11" s="1"/>
  <c r="AJ40" i="8"/>
  <c r="AT40" i="8" s="1"/>
  <c r="E44" i="11" s="1"/>
  <c r="AK34" i="8"/>
  <c r="AV34" i="8" s="1"/>
  <c r="AK42" i="8"/>
  <c r="AV42" i="8" s="1"/>
  <c r="AI56" i="8"/>
  <c r="AS56" i="8" s="1"/>
  <c r="AQ27" i="8"/>
  <c r="BB27" i="8" s="1"/>
  <c r="BP27" i="8" s="1"/>
  <c r="Z43" i="8"/>
  <c r="AP43" i="8" s="1"/>
  <c r="BA43" i="8" s="1"/>
  <c r="BD43" i="8" s="1"/>
  <c r="AQ85" i="8"/>
  <c r="BB85" i="8" s="1"/>
  <c r="AM27" i="8"/>
  <c r="AX27" i="8" s="1"/>
  <c r="Z27" i="8"/>
  <c r="AP27" i="8" s="1"/>
  <c r="BA27" i="8" s="1"/>
  <c r="BD27" i="8" s="1"/>
  <c r="AM107" i="8"/>
  <c r="AX107" i="8" s="1"/>
  <c r="AQ40" i="8"/>
  <c r="BB40" i="8" s="1"/>
  <c r="Z40" i="8"/>
  <c r="AP40" i="8" s="1"/>
  <c r="BA40" i="8" s="1"/>
  <c r="I44" i="11" s="1"/>
  <c r="AI62" i="8"/>
  <c r="AS62" i="8" s="1"/>
  <c r="D66" i="11" s="1"/>
  <c r="AJ56" i="8"/>
  <c r="AT56" i="8" s="1"/>
  <c r="E60" i="11" s="1"/>
  <c r="AQ56" i="8"/>
  <c r="BB56" i="8" s="1"/>
  <c r="AM66" i="8"/>
  <c r="AX66" i="8" s="1"/>
  <c r="AM61" i="8"/>
  <c r="AX61" i="8" s="1"/>
  <c r="AQ105" i="8"/>
  <c r="BB105" i="8" s="1"/>
  <c r="AI105" i="8"/>
  <c r="AS105" i="8" s="1"/>
  <c r="AM24" i="8"/>
  <c r="AX24" i="8" s="1"/>
  <c r="Z45" i="8"/>
  <c r="AP45" i="8" s="1"/>
  <c r="BA45" i="8" s="1"/>
  <c r="BD45" i="8" s="1"/>
  <c r="AM98" i="8"/>
  <c r="AX98" i="8" s="1"/>
  <c r="AJ61" i="8"/>
  <c r="AT61" i="8" s="1"/>
  <c r="E65" i="11" s="1"/>
  <c r="AM105" i="8"/>
  <c r="AX105" i="8" s="1"/>
  <c r="AX14" i="8"/>
  <c r="BB14" i="8"/>
  <c r="AS14" i="8"/>
  <c r="D18" i="11" s="1"/>
  <c r="AT14" i="8"/>
  <c r="AM46" i="8"/>
  <c r="AX46" i="8" s="1"/>
  <c r="AJ66" i="8"/>
  <c r="AT66" i="8" s="1"/>
  <c r="E70" i="11" s="1"/>
  <c r="AK66" i="8"/>
  <c r="AV66" i="8" s="1"/>
  <c r="Z105" i="8"/>
  <c r="AP105" i="8" s="1"/>
  <c r="BA105" i="8" s="1"/>
  <c r="I109" i="11" s="1"/>
  <c r="Z90" i="8"/>
  <c r="AP90" i="8" s="1"/>
  <c r="BA90" i="8" s="1"/>
  <c r="I94" i="11" s="1"/>
  <c r="AK46" i="8"/>
  <c r="AV46" i="8" s="1"/>
  <c r="AM40" i="8"/>
  <c r="AX40" i="8" s="1"/>
  <c r="Z39" i="8"/>
  <c r="AP39" i="8" s="1"/>
  <c r="BA39" i="8" s="1"/>
  <c r="BD39" i="8" s="1"/>
  <c r="I32" i="11"/>
  <c r="BD28" i="8"/>
  <c r="AL14" i="8"/>
  <c r="AW14" i="8" s="1"/>
  <c r="Z72" i="8"/>
  <c r="AP72" i="8" s="1"/>
  <c r="BA72" i="8" s="1"/>
  <c r="I76" i="11" s="1"/>
  <c r="AM13" i="8"/>
  <c r="AX13" i="8" s="1"/>
  <c r="AM49" i="8"/>
  <c r="AX49" i="8" s="1"/>
  <c r="Z93" i="8"/>
  <c r="AP93" i="8" s="1"/>
  <c r="BA93" i="8" s="1"/>
  <c r="I97" i="11" s="1"/>
  <c r="Z84" i="8"/>
  <c r="AP84" i="8" s="1"/>
  <c r="BA84" i="8" s="1"/>
  <c r="BD84" i="8" s="1"/>
  <c r="AK24" i="8"/>
  <c r="AV24" i="8" s="1"/>
  <c r="AQ49" i="8"/>
  <c r="BB49" i="8" s="1"/>
  <c r="AJ49" i="8"/>
  <c r="AT49" i="8" s="1"/>
  <c r="E53" i="11" s="1"/>
  <c r="AJ29" i="8"/>
  <c r="AT29" i="8" s="1"/>
  <c r="E33" i="11" s="1"/>
  <c r="AJ107" i="8"/>
  <c r="AT107" i="8" s="1"/>
  <c r="E111" i="11" s="1"/>
  <c r="AQ24" i="8"/>
  <c r="BB24" i="8" s="1"/>
  <c r="BP25" i="8" s="1"/>
  <c r="AQ107" i="8"/>
  <c r="BB107" i="8" s="1"/>
  <c r="AK95" i="8"/>
  <c r="AV95" i="8" s="1"/>
  <c r="AM29" i="8"/>
  <c r="AX29" i="8" s="1"/>
  <c r="AJ24" i="8"/>
  <c r="AT24" i="8" s="1"/>
  <c r="E28" i="11" s="1"/>
  <c r="AM90" i="8"/>
  <c r="AX90" i="8" s="1"/>
  <c r="AI72" i="8"/>
  <c r="AK49" i="8"/>
  <c r="AV49" i="8" s="1"/>
  <c r="Z100" i="8"/>
  <c r="AP100" i="8" s="1"/>
  <c r="BA100" i="8" s="1"/>
  <c r="BD100" i="8" s="1"/>
  <c r="AK56" i="8"/>
  <c r="AG18" i="8"/>
  <c r="Z109" i="8"/>
  <c r="AP109" i="8" s="1"/>
  <c r="BA109" i="8" s="1"/>
  <c r="I113" i="11" s="1"/>
  <c r="Z76" i="8"/>
  <c r="AP76" i="8" s="1"/>
  <c r="BA76" i="8" s="1"/>
  <c r="BD76" i="8" s="1"/>
  <c r="AT13" i="8"/>
  <c r="E17" i="11" s="1"/>
  <c r="AL23" i="8"/>
  <c r="AW23" i="8" s="1"/>
  <c r="AU63" i="8"/>
  <c r="F67" i="11" s="1"/>
  <c r="BD79" i="8"/>
  <c r="AI13" i="8"/>
  <c r="AS13" i="8" s="1"/>
  <c r="Z85" i="8"/>
  <c r="AP85" i="8" s="1"/>
  <c r="BA85" i="8" s="1"/>
  <c r="BD85" i="8" s="1"/>
  <c r="AI30" i="8"/>
  <c r="Z13" i="8"/>
  <c r="AP13" i="8" s="1"/>
  <c r="BA13" i="8" s="1"/>
  <c r="BD13" i="8" s="1"/>
  <c r="AJ36" i="8"/>
  <c r="AT36" i="8" s="1"/>
  <c r="E40" i="11" s="1"/>
  <c r="AI104" i="8"/>
  <c r="AS104" i="8" s="1"/>
  <c r="D108" i="11" s="1"/>
  <c r="AJ85" i="8"/>
  <c r="AT85" i="8" s="1"/>
  <c r="E89" i="11" s="1"/>
  <c r="AQ13" i="8"/>
  <c r="BB13" i="8" s="1"/>
  <c r="Z65" i="8"/>
  <c r="AP65" i="8" s="1"/>
  <c r="BA65" i="8" s="1"/>
  <c r="I69" i="11" s="1"/>
  <c r="AM104" i="8"/>
  <c r="AX104" i="8" s="1"/>
  <c r="AQ104" i="8"/>
  <c r="BB104" i="8" s="1"/>
  <c r="AK101" i="8"/>
  <c r="AV101" i="8" s="1"/>
  <c r="AM101" i="8"/>
  <c r="AX101" i="8" s="1"/>
  <c r="AM85" i="8"/>
  <c r="AX85" i="8" s="1"/>
  <c r="AM43" i="8"/>
  <c r="AX43" i="8" s="1"/>
  <c r="AK13" i="8"/>
  <c r="AV13" i="8" s="1"/>
  <c r="AI108" i="8"/>
  <c r="AS108" i="8" s="1"/>
  <c r="D112" i="11" s="1"/>
  <c r="AI36" i="8"/>
  <c r="AS36" i="8" s="1"/>
  <c r="AL26" i="8"/>
  <c r="AW26" i="8" s="1"/>
  <c r="AU86" i="8"/>
  <c r="F90" i="11" s="1"/>
  <c r="AJ43" i="8"/>
  <c r="AT43" i="8" s="1"/>
  <c r="E47" i="11" s="1"/>
  <c r="AK36" i="8"/>
  <c r="AV36" i="8" s="1"/>
  <c r="Z103" i="8"/>
  <c r="AP103" i="8" s="1"/>
  <c r="BA103" i="8" s="1"/>
  <c r="AK39" i="8"/>
  <c r="AV39" i="8" s="1"/>
  <c r="AQ39" i="8"/>
  <c r="BB39" i="8" s="1"/>
  <c r="Z108" i="8"/>
  <c r="AP108" i="8" s="1"/>
  <c r="BA108" i="8" s="1"/>
  <c r="AI85" i="8"/>
  <c r="AS85" i="8" s="1"/>
  <c r="D89" i="11" s="1"/>
  <c r="Z97" i="8"/>
  <c r="AP97" i="8" s="1"/>
  <c r="BA97" i="8" s="1"/>
  <c r="I101" i="11" s="1"/>
  <c r="AJ68" i="8"/>
  <c r="AT68" i="8" s="1"/>
  <c r="E72" i="11" s="1"/>
  <c r="AI93" i="8"/>
  <c r="AS93" i="8" s="1"/>
  <c r="AM93" i="8"/>
  <c r="AX93" i="8" s="1"/>
  <c r="AJ93" i="8"/>
  <c r="AT93" i="8" s="1"/>
  <c r="E97" i="11" s="1"/>
  <c r="Z32" i="8"/>
  <c r="AP32" i="8" s="1"/>
  <c r="BA32" i="8" s="1"/>
  <c r="BD32" i="8" s="1"/>
  <c r="AQ90" i="8"/>
  <c r="BB90" i="8" s="1"/>
  <c r="AM67" i="8"/>
  <c r="AX67" i="8" s="1"/>
  <c r="AM32" i="8"/>
  <c r="AX32" i="8" s="1"/>
  <c r="Z30" i="8"/>
  <c r="AP30" i="8" s="1"/>
  <c r="BA30" i="8" s="1"/>
  <c r="I34" i="11" s="1"/>
  <c r="AM12" i="8"/>
  <c r="AX12" i="8" s="1"/>
  <c r="AM72" i="8"/>
  <c r="AX72" i="8" s="1"/>
  <c r="AM30" i="8"/>
  <c r="AX30" i="8" s="1"/>
  <c r="AL77" i="8"/>
  <c r="AW77" i="8" s="1"/>
  <c r="AI95" i="8"/>
  <c r="AS95" i="8" s="1"/>
  <c r="Z96" i="8"/>
  <c r="AP96" i="8" s="1"/>
  <c r="BA96" i="8" s="1"/>
  <c r="I100" i="11" s="1"/>
  <c r="AK68" i="8"/>
  <c r="AV68" i="8" s="1"/>
  <c r="Z95" i="8"/>
  <c r="AP95" i="8" s="1"/>
  <c r="BA95" i="8" s="1"/>
  <c r="AL75" i="8"/>
  <c r="AW75" i="8" s="1"/>
  <c r="AK97" i="8"/>
  <c r="AV97" i="8" s="1"/>
  <c r="AK90" i="8"/>
  <c r="AV90" i="8" s="1"/>
  <c r="AJ32" i="8"/>
  <c r="AT32" i="8" s="1"/>
  <c r="E36" i="11" s="1"/>
  <c r="AJ12" i="8"/>
  <c r="AT12" i="8" s="1"/>
  <c r="E16" i="11" s="1"/>
  <c r="AQ72" i="8"/>
  <c r="BB72" i="8" s="1"/>
  <c r="AI83" i="8"/>
  <c r="AS83" i="8" s="1"/>
  <c r="D87" i="11" s="1"/>
  <c r="AI68" i="8"/>
  <c r="AM95" i="8"/>
  <c r="AX95" i="8" s="1"/>
  <c r="Z55" i="8"/>
  <c r="AP55" i="8" s="1"/>
  <c r="BA55" i="8" s="1"/>
  <c r="I59" i="11" s="1"/>
  <c r="AM68" i="8"/>
  <c r="AX68" i="8" s="1"/>
  <c r="AL57" i="8"/>
  <c r="AW57" i="8" s="1"/>
  <c r="AI97" i="8"/>
  <c r="BP78" i="8"/>
  <c r="AI90" i="8"/>
  <c r="AS90" i="8" s="1"/>
  <c r="D94" i="11" s="1"/>
  <c r="AK67" i="8"/>
  <c r="AV67" i="8" s="1"/>
  <c r="AI32" i="8"/>
  <c r="AS32" i="8" s="1"/>
  <c r="Z67" i="8"/>
  <c r="AP67" i="8" s="1"/>
  <c r="BA67" i="8" s="1"/>
  <c r="I71" i="11" s="1"/>
  <c r="AI12" i="8"/>
  <c r="AS12" i="8" s="1"/>
  <c r="AK30" i="8"/>
  <c r="AV30" i="8" s="1"/>
  <c r="I30" i="11"/>
  <c r="AQ97" i="8"/>
  <c r="BB97" i="8" s="1"/>
  <c r="I27" i="11"/>
  <c r="Z12" i="8"/>
  <c r="AP12" i="8" s="1"/>
  <c r="BA12" i="8" s="1"/>
  <c r="BD12" i="8" s="1"/>
  <c r="D54" i="11"/>
  <c r="AJ108" i="8"/>
  <c r="AM108" i="8"/>
  <c r="AX108" i="8" s="1"/>
  <c r="AK108" i="8"/>
  <c r="AV108" i="8" s="1"/>
  <c r="I68" i="11"/>
  <c r="BD64" i="8"/>
  <c r="BD70" i="8"/>
  <c r="I74" i="11"/>
  <c r="Z83" i="8"/>
  <c r="AP83" i="8" s="1"/>
  <c r="BA83" i="8" s="1"/>
  <c r="BD83" i="8" s="1"/>
  <c r="AM15" i="8"/>
  <c r="AX15" i="8" s="1"/>
  <c r="AK15" i="8"/>
  <c r="AV15" i="8" s="1"/>
  <c r="AQ15" i="8"/>
  <c r="BB15" i="8" s="1"/>
  <c r="AJ15" i="8"/>
  <c r="AT15" i="8" s="1"/>
  <c r="E19" i="11" s="1"/>
  <c r="AI15" i="8"/>
  <c r="AK33" i="8"/>
  <c r="AV33" i="8" s="1"/>
  <c r="AM33" i="8"/>
  <c r="AX33" i="8" s="1"/>
  <c r="AQ33" i="8"/>
  <c r="BB33" i="8" s="1"/>
  <c r="BP34" i="8" s="1"/>
  <c r="AJ33" i="8"/>
  <c r="AT33" i="8" s="1"/>
  <c r="E37" i="11" s="1"/>
  <c r="AI33" i="8"/>
  <c r="AL78" i="8"/>
  <c r="AN78" i="8" s="1"/>
  <c r="AU38" i="8"/>
  <c r="F42" i="11" s="1"/>
  <c r="AQ70" i="8"/>
  <c r="BB70" i="8" s="1"/>
  <c r="I81" i="11"/>
  <c r="AI100" i="8"/>
  <c r="AS100" i="8" s="1"/>
  <c r="Z36" i="8"/>
  <c r="AP36" i="8" s="1"/>
  <c r="BA36" i="8" s="1"/>
  <c r="BD36" i="8" s="1"/>
  <c r="Z80" i="8"/>
  <c r="AP80" i="8" s="1"/>
  <c r="BA80" i="8" s="1"/>
  <c r="I84" i="11" s="1"/>
  <c r="AK29" i="8"/>
  <c r="AV29" i="8" s="1"/>
  <c r="AJ39" i="8"/>
  <c r="AT39" i="8" s="1"/>
  <c r="E43" i="11" s="1"/>
  <c r="AI39" i="8"/>
  <c r="AM39" i="8"/>
  <c r="AX39" i="8" s="1"/>
  <c r="Z15" i="8"/>
  <c r="AP15" i="8" s="1"/>
  <c r="BA15" i="8" s="1"/>
  <c r="I19" i="11" s="1"/>
  <c r="AK98" i="8"/>
  <c r="AV98" i="8" s="1"/>
  <c r="AJ98" i="8"/>
  <c r="AT98" i="8" s="1"/>
  <c r="E102" i="11" s="1"/>
  <c r="AQ98" i="8"/>
  <c r="BB98" i="8" s="1"/>
  <c r="BP77" i="8"/>
  <c r="AM97" i="8"/>
  <c r="AX97" i="8" s="1"/>
  <c r="AK70" i="8"/>
  <c r="AV70" i="8" s="1"/>
  <c r="AI43" i="8"/>
  <c r="AS43" i="8" s="1"/>
  <c r="AQ100" i="8"/>
  <c r="BB100" i="8" s="1"/>
  <c r="Z29" i="8"/>
  <c r="AP29" i="8" s="1"/>
  <c r="BA29" i="8" s="1"/>
  <c r="BD29" i="8" s="1"/>
  <c r="AJ100" i="8"/>
  <c r="AT100" i="8" s="1"/>
  <c r="E104" i="11" s="1"/>
  <c r="AQ36" i="8"/>
  <c r="BB36" i="8" s="1"/>
  <c r="BP36" i="8" s="1"/>
  <c r="AS41" i="8"/>
  <c r="AL41" i="8"/>
  <c r="AJ70" i="8"/>
  <c r="AT70" i="8" s="1"/>
  <c r="E74" i="11" s="1"/>
  <c r="AQ43" i="8"/>
  <c r="BB43" i="8" s="1"/>
  <c r="AM100" i="8"/>
  <c r="AX100" i="8" s="1"/>
  <c r="AI29" i="8"/>
  <c r="AS29" i="8" s="1"/>
  <c r="D33" i="11" s="1"/>
  <c r="AI98" i="8"/>
  <c r="Z33" i="8"/>
  <c r="AP33" i="8" s="1"/>
  <c r="BA33" i="8" s="1"/>
  <c r="Z34" i="8"/>
  <c r="AP34" i="8" s="1"/>
  <c r="BA34" i="8" s="1"/>
  <c r="AJ103" i="8"/>
  <c r="AQ103" i="8"/>
  <c r="BB103" i="8" s="1"/>
  <c r="AM103" i="8"/>
  <c r="AX103" i="8" s="1"/>
  <c r="I73" i="11"/>
  <c r="BD69" i="8"/>
  <c r="AK31" i="8"/>
  <c r="AV31" i="8" s="1"/>
  <c r="AJ31" i="8"/>
  <c r="AT31" i="8" s="1"/>
  <c r="E35" i="11" s="1"/>
  <c r="AI31" i="8"/>
  <c r="AQ31" i="8"/>
  <c r="BB31" i="8" s="1"/>
  <c r="AM31" i="8"/>
  <c r="AX31" i="8" s="1"/>
  <c r="AQ87" i="8"/>
  <c r="BB87" i="8" s="1"/>
  <c r="AI87" i="8"/>
  <c r="AM87" i="8"/>
  <c r="AX87" i="8" s="1"/>
  <c r="AJ87" i="8"/>
  <c r="AT87" i="8" s="1"/>
  <c r="E91" i="11" s="1"/>
  <c r="AK87" i="8"/>
  <c r="AV87" i="8" s="1"/>
  <c r="AJ99" i="8"/>
  <c r="AT99" i="8" s="1"/>
  <c r="E103" i="11" s="1"/>
  <c r="AK99" i="8"/>
  <c r="AV99" i="8" s="1"/>
  <c r="AI99" i="8"/>
  <c r="AM99" i="8"/>
  <c r="AX99" i="8" s="1"/>
  <c r="AQ99" i="8"/>
  <c r="BB99" i="8" s="1"/>
  <c r="I29" i="11"/>
  <c r="BD25" i="8"/>
  <c r="BD106" i="8"/>
  <c r="Z81" i="8"/>
  <c r="AP81" i="8" s="1"/>
  <c r="BA81" i="8" s="1"/>
  <c r="Z31" i="8"/>
  <c r="AP31" i="8" s="1"/>
  <c r="BA31" i="8" s="1"/>
  <c r="AI46" i="8"/>
  <c r="AS46" i="8" s="1"/>
  <c r="D50" i="11" s="1"/>
  <c r="AQ46" i="8"/>
  <c r="BB46" i="8" s="1"/>
  <c r="AQ109" i="8"/>
  <c r="BB109" i="8" s="1"/>
  <c r="AI109" i="8"/>
  <c r="AK109" i="8"/>
  <c r="AV109" i="8" s="1"/>
  <c r="AM109" i="8"/>
  <c r="AX109" i="8" s="1"/>
  <c r="AJ109" i="8"/>
  <c r="AT109" i="8" s="1"/>
  <c r="E113" i="11" s="1"/>
  <c r="I95" i="11"/>
  <c r="BD91" i="8"/>
  <c r="AU75" i="8"/>
  <c r="F79" i="11" s="1"/>
  <c r="BD98" i="8"/>
  <c r="BD11" i="8"/>
  <c r="AK94" i="8"/>
  <c r="AV94" i="8" s="1"/>
  <c r="AQ52" i="8"/>
  <c r="BB52" i="8" s="1"/>
  <c r="BP53" i="8" s="1"/>
  <c r="I93" i="11"/>
  <c r="AK91" i="8"/>
  <c r="AV91" i="8" s="1"/>
  <c r="AI91" i="8"/>
  <c r="AQ91" i="8"/>
  <c r="BB91" i="8" s="1"/>
  <c r="AJ91" i="8"/>
  <c r="AT91" i="8" s="1"/>
  <c r="E95" i="11" s="1"/>
  <c r="AM91" i="8"/>
  <c r="AX91" i="8" s="1"/>
  <c r="AU77" i="8"/>
  <c r="F81" i="11" s="1"/>
  <c r="D81" i="11"/>
  <c r="Z88" i="8"/>
  <c r="AP88" i="8" s="1"/>
  <c r="BA88" i="8" s="1"/>
  <c r="AI106" i="8"/>
  <c r="AJ106" i="8"/>
  <c r="AT106" i="8" s="1"/>
  <c r="E110" i="11" s="1"/>
  <c r="AQ106" i="8"/>
  <c r="BB106" i="8" s="1"/>
  <c r="AM106" i="8"/>
  <c r="AX106" i="8" s="1"/>
  <c r="AK106" i="8"/>
  <c r="AV106" i="8" s="1"/>
  <c r="AI64" i="8"/>
  <c r="AJ64" i="8"/>
  <c r="AT64" i="8" s="1"/>
  <c r="E68" i="11" s="1"/>
  <c r="AQ64" i="8"/>
  <c r="BB64" i="8" s="1"/>
  <c r="AK64" i="8"/>
  <c r="AV64" i="8" s="1"/>
  <c r="AM64" i="8"/>
  <c r="AX64" i="8" s="1"/>
  <c r="AM81" i="8"/>
  <c r="AX81" i="8" s="1"/>
  <c r="AK81" i="8"/>
  <c r="AV81" i="8" s="1"/>
  <c r="AQ81" i="8"/>
  <c r="BB81" i="8" s="1"/>
  <c r="AJ81" i="8"/>
  <c r="AT81" i="8" s="1"/>
  <c r="E85" i="11" s="1"/>
  <c r="AI81" i="8"/>
  <c r="AQ74" i="8"/>
  <c r="BB74" i="8" s="1"/>
  <c r="BP75" i="8" s="1"/>
  <c r="AK74" i="8"/>
  <c r="AV74" i="8" s="1"/>
  <c r="AJ74" i="8"/>
  <c r="AT74" i="8" s="1"/>
  <c r="E78" i="11" s="1"/>
  <c r="AI74" i="8"/>
  <c r="AM74" i="8"/>
  <c r="AX74" i="8" s="1"/>
  <c r="AQ83" i="8"/>
  <c r="BB83" i="8" s="1"/>
  <c r="AK83" i="8"/>
  <c r="AV83" i="8" s="1"/>
  <c r="AM83" i="8"/>
  <c r="AX83" i="8" s="1"/>
  <c r="BD44" i="8"/>
  <c r="AL102" i="8"/>
  <c r="AW102" i="8" s="1"/>
  <c r="AI94" i="8"/>
  <c r="AS94" i="8" s="1"/>
  <c r="AI52" i="8"/>
  <c r="AS52" i="8" s="1"/>
  <c r="D56" i="11" s="1"/>
  <c r="AI80" i="8"/>
  <c r="AK80" i="8"/>
  <c r="AV80" i="8" s="1"/>
  <c r="AM80" i="8"/>
  <c r="AX80" i="8" s="1"/>
  <c r="AQ80" i="8"/>
  <c r="BB80" i="8" s="1"/>
  <c r="AJ80" i="8"/>
  <c r="AT80" i="8" s="1"/>
  <c r="E84" i="11" s="1"/>
  <c r="AK54" i="8"/>
  <c r="AV54" i="8" s="1"/>
  <c r="AJ54" i="8"/>
  <c r="AT54" i="8" s="1"/>
  <c r="E58" i="11" s="1"/>
  <c r="AM54" i="8"/>
  <c r="AX54" i="8" s="1"/>
  <c r="AQ54" i="8"/>
  <c r="BB54" i="8" s="1"/>
  <c r="Z54" i="8"/>
  <c r="AP54" i="8" s="1"/>
  <c r="BA54" i="8" s="1"/>
  <c r="AI54" i="8"/>
  <c r="AK84" i="8"/>
  <c r="AV84" i="8" s="1"/>
  <c r="AJ84" i="8"/>
  <c r="AT84" i="8" s="1"/>
  <c r="AQ84" i="8"/>
  <c r="BB84" i="8" s="1"/>
  <c r="AI84" i="8"/>
  <c r="AM84" i="8"/>
  <c r="AX84" i="8" s="1"/>
  <c r="AM96" i="8"/>
  <c r="AX96" i="8" s="1"/>
  <c r="AJ96" i="8"/>
  <c r="AT96" i="8" s="1"/>
  <c r="E100" i="11" s="1"/>
  <c r="AI96" i="8"/>
  <c r="AQ96" i="8"/>
  <c r="BB96" i="8" s="1"/>
  <c r="BP96" i="8" s="1"/>
  <c r="AK96" i="8"/>
  <c r="AV96" i="8" s="1"/>
  <c r="Z99" i="8"/>
  <c r="AP99" i="8" s="1"/>
  <c r="BA99" i="8" s="1"/>
  <c r="AL38" i="8"/>
  <c r="AW38" i="8" s="1"/>
  <c r="AJ94" i="8"/>
  <c r="AT94" i="8" s="1"/>
  <c r="E98" i="11" s="1"/>
  <c r="Z52" i="8"/>
  <c r="AP52" i="8" s="1"/>
  <c r="BA52" i="8" s="1"/>
  <c r="AJ52" i="8"/>
  <c r="AT52" i="8" s="1"/>
  <c r="E56" i="11" s="1"/>
  <c r="AM52" i="8"/>
  <c r="AX52" i="8" s="1"/>
  <c r="BD102" i="8"/>
  <c r="I106" i="11"/>
  <c r="AK88" i="8"/>
  <c r="AV88" i="8" s="1"/>
  <c r="AI88" i="8"/>
  <c r="AM88" i="8"/>
  <c r="AX88" i="8" s="1"/>
  <c r="AQ88" i="8"/>
  <c r="BB88" i="8" s="1"/>
  <c r="AJ88" i="8"/>
  <c r="AT88" i="8" s="1"/>
  <c r="E92" i="11" s="1"/>
  <c r="AM47" i="8"/>
  <c r="AX47" i="8" s="1"/>
  <c r="AQ47" i="8"/>
  <c r="BB47" i="8" s="1"/>
  <c r="AJ47" i="8"/>
  <c r="AT47" i="8" s="1"/>
  <c r="E51" i="11" s="1"/>
  <c r="AI47" i="8"/>
  <c r="AK47" i="8"/>
  <c r="AV47" i="8" s="1"/>
  <c r="BD24" i="8"/>
  <c r="Z94" i="8"/>
  <c r="AP94" i="8" s="1"/>
  <c r="BA94" i="8" s="1"/>
  <c r="I98" i="11" s="1"/>
  <c r="BP79" i="8"/>
  <c r="AL25" i="8"/>
  <c r="AI71" i="8"/>
  <c r="AS71" i="8" s="1"/>
  <c r="D75" i="11" s="1"/>
  <c r="AK71" i="8"/>
  <c r="AV71" i="8" s="1"/>
  <c r="AJ71" i="8"/>
  <c r="AQ71" i="8"/>
  <c r="BB71" i="8" s="1"/>
  <c r="AM71" i="8"/>
  <c r="AX71" i="8" s="1"/>
  <c r="Z71" i="8"/>
  <c r="AP71" i="8" s="1"/>
  <c r="AQ55" i="8"/>
  <c r="BB55" i="8" s="1"/>
  <c r="AM55" i="8"/>
  <c r="AX55" i="8" s="1"/>
  <c r="AJ55" i="8"/>
  <c r="AT55" i="8" s="1"/>
  <c r="E59" i="11" s="1"/>
  <c r="AI55" i="8"/>
  <c r="AK55" i="8"/>
  <c r="AV55" i="8" s="1"/>
  <c r="AM59" i="8"/>
  <c r="AX59" i="8" s="1"/>
  <c r="AQ59" i="8"/>
  <c r="BB59" i="8" s="1"/>
  <c r="AJ59" i="8"/>
  <c r="AT59" i="8" s="1"/>
  <c r="E63" i="11" s="1"/>
  <c r="AK59" i="8"/>
  <c r="AV59" i="8" s="1"/>
  <c r="AI59" i="8"/>
  <c r="Z87" i="8"/>
  <c r="AP87" i="8" s="1"/>
  <c r="BA87" i="8" s="1"/>
  <c r="AQ65" i="8"/>
  <c r="BB65" i="8" s="1"/>
  <c r="AJ65" i="8"/>
  <c r="AT65" i="8" s="1"/>
  <c r="E69" i="11" s="1"/>
  <c r="AM65" i="8"/>
  <c r="AX65" i="8" s="1"/>
  <c r="AK65" i="8"/>
  <c r="AV65" i="8" s="1"/>
  <c r="AI65" i="8"/>
  <c r="Z74" i="8"/>
  <c r="AP74" i="8" s="1"/>
  <c r="BA74" i="8" s="1"/>
  <c r="I42" i="11"/>
  <c r="BD38" i="8"/>
  <c r="I52" i="11"/>
  <c r="BD48" i="8"/>
  <c r="E29" i="11"/>
  <c r="AU25" i="8"/>
  <c r="F29" i="11" s="1"/>
  <c r="E83" i="11"/>
  <c r="AU79" i="8"/>
  <c r="F83" i="11" s="1"/>
  <c r="AL79" i="8"/>
  <c r="BD78" i="8"/>
  <c r="BP30" i="8"/>
  <c r="AS44" i="8"/>
  <c r="AL44" i="8"/>
  <c r="BP69" i="8"/>
  <c r="D53" i="11"/>
  <c r="I61" i="11"/>
  <c r="BD57" i="8"/>
  <c r="BD73" i="8"/>
  <c r="I77" i="11"/>
  <c r="AS82" i="8"/>
  <c r="AL82" i="8"/>
  <c r="BD82" i="8"/>
  <c r="I86" i="11"/>
  <c r="AS30" i="8"/>
  <c r="AS48" i="8"/>
  <c r="AL48" i="8"/>
  <c r="BD51" i="8"/>
  <c r="I55" i="11"/>
  <c r="E94" i="11"/>
  <c r="AS67" i="8"/>
  <c r="D71" i="11" s="1"/>
  <c r="I57" i="11"/>
  <c r="BD53" i="8"/>
  <c r="AS53" i="8"/>
  <c r="AL53" i="8"/>
  <c r="AL89" i="8"/>
  <c r="AS51" i="8"/>
  <c r="AL51" i="8"/>
  <c r="BP95" i="8"/>
  <c r="AS45" i="8"/>
  <c r="AS37" i="8"/>
  <c r="E39" i="11"/>
  <c r="AS28" i="8"/>
  <c r="AL28" i="8"/>
  <c r="E93" i="11"/>
  <c r="AS11" i="8"/>
  <c r="AL11" i="8"/>
  <c r="E71" i="11"/>
  <c r="AS58" i="8"/>
  <c r="AS35" i="8"/>
  <c r="D39" i="11" s="1"/>
  <c r="AL35" i="8"/>
  <c r="AS73" i="8"/>
  <c r="AL73" i="8"/>
  <c r="I39" i="11"/>
  <c r="BD35" i="8"/>
  <c r="E106" i="11"/>
  <c r="AU102" i="8"/>
  <c r="F106" i="11" s="1"/>
  <c r="AS69" i="8"/>
  <c r="AL69" i="8"/>
  <c r="D27" i="11"/>
  <c r="D28" i="11"/>
  <c r="D107" i="11"/>
  <c r="D61" i="11"/>
  <c r="AU57" i="8"/>
  <c r="F61" i="11" s="1"/>
  <c r="D44" i="11"/>
  <c r="D82" i="11"/>
  <c r="AU78" i="8"/>
  <c r="F82" i="11" s="1"/>
  <c r="AE19" i="8"/>
  <c r="AF19" i="8"/>
  <c r="V19" i="8"/>
  <c r="W19" i="8"/>
  <c r="BD16" i="8"/>
  <c r="I20" i="11"/>
  <c r="AK17" i="8"/>
  <c r="AV17" i="8" s="1"/>
  <c r="AJ17" i="8"/>
  <c r="AT17" i="8" s="1"/>
  <c r="AM17" i="8"/>
  <c r="AX17" i="8" s="1"/>
  <c r="AQ17" i="8"/>
  <c r="BB17" i="8" s="1"/>
  <c r="AI17" i="8"/>
  <c r="AS17" i="8" s="1"/>
  <c r="Z17" i="8"/>
  <c r="AP17" i="8" s="1"/>
  <c r="BA17" i="8" s="1"/>
  <c r="X18" i="8"/>
  <c r="Y18" i="8"/>
  <c r="M23" i="11"/>
  <c r="R23" i="11"/>
  <c r="N23" i="11"/>
  <c r="P23" i="11"/>
  <c r="O23" i="11"/>
  <c r="K23" i="11"/>
  <c r="Q23" i="11"/>
  <c r="A20" i="8"/>
  <c r="B24" i="11"/>
  <c r="U19" i="8"/>
  <c r="T19" i="8"/>
  <c r="C21" i="8"/>
  <c r="B21" i="8" s="1"/>
  <c r="M20" i="8"/>
  <c r="R20" i="8"/>
  <c r="I20" i="8"/>
  <c r="N20" i="8"/>
  <c r="J20" i="8"/>
  <c r="AC20" i="8"/>
  <c r="F20" i="8"/>
  <c r="K20" i="8"/>
  <c r="P20" i="8"/>
  <c r="Q20" i="8"/>
  <c r="H20" i="8"/>
  <c r="AD20" i="8"/>
  <c r="O20" i="8"/>
  <c r="G20" i="8"/>
  <c r="BP62" i="8" l="1"/>
  <c r="BD49" i="8"/>
  <c r="I63" i="11"/>
  <c r="I70" i="11"/>
  <c r="BP87" i="8"/>
  <c r="I54" i="11"/>
  <c r="AU49" i="8"/>
  <c r="F53" i="11" s="1"/>
  <c r="AL107" i="8"/>
  <c r="AW107" i="8" s="1"/>
  <c r="AU107" i="8"/>
  <c r="F111" i="11" s="1"/>
  <c r="AU60" i="8"/>
  <c r="F64" i="11" s="1"/>
  <c r="AL50" i="8"/>
  <c r="AU23" i="8"/>
  <c r="F27" i="11" s="1"/>
  <c r="BP13" i="8"/>
  <c r="I62" i="11"/>
  <c r="BD14" i="8"/>
  <c r="I88" i="11"/>
  <c r="I51" i="11"/>
  <c r="BP93" i="8"/>
  <c r="I47" i="11"/>
  <c r="AU16" i="8"/>
  <c r="I65" i="11"/>
  <c r="BP51" i="8"/>
  <c r="AU56" i="8"/>
  <c r="AL16" i="8"/>
  <c r="AW16" i="8" s="1"/>
  <c r="BD37" i="8"/>
  <c r="AU14" i="8"/>
  <c r="F18" i="11" s="1"/>
  <c r="AU89" i="8"/>
  <c r="F93" i="11" s="1"/>
  <c r="BD107" i="8"/>
  <c r="BD40" i="8"/>
  <c r="BE41" i="8" s="1"/>
  <c r="BP106" i="8"/>
  <c r="BD80" i="8"/>
  <c r="BE80" i="8" s="1"/>
  <c r="BI80" i="8" s="1" a="1"/>
  <c r="BI80" i="8" s="1"/>
  <c r="I43" i="11"/>
  <c r="I67" i="11"/>
  <c r="AU24" i="8"/>
  <c r="F28" i="11" s="1"/>
  <c r="BD60" i="8"/>
  <c r="BE61" i="8" s="1"/>
  <c r="BI61" i="8" s="1" a="1"/>
  <c r="BI61" i="8" s="1"/>
  <c r="AL72" i="8"/>
  <c r="AW72" i="8" s="1"/>
  <c r="AW78" i="8"/>
  <c r="I96" i="11"/>
  <c r="BP86" i="8"/>
  <c r="BP102" i="8"/>
  <c r="AL92" i="8"/>
  <c r="AN92" i="8" s="1"/>
  <c r="AL45" i="8"/>
  <c r="AW45" i="8" s="1"/>
  <c r="AL60" i="8"/>
  <c r="AW60" i="8" s="1"/>
  <c r="AN63" i="8"/>
  <c r="AY63" i="8" s="1"/>
  <c r="G67" i="11" s="1"/>
  <c r="D60" i="11"/>
  <c r="BD46" i="8"/>
  <c r="BE46" i="8" s="1"/>
  <c r="BG46" i="8" s="1" a="1"/>
  <c r="BG46" i="8" s="1"/>
  <c r="E26" i="13" s="1"/>
  <c r="AL101" i="8"/>
  <c r="AW101" i="8" s="1"/>
  <c r="AS72" i="8"/>
  <c r="D76" i="11" s="1"/>
  <c r="BP67" i="8"/>
  <c r="BP41" i="8"/>
  <c r="BP54" i="8"/>
  <c r="BP28" i="8"/>
  <c r="BP40" i="8"/>
  <c r="BD104" i="8"/>
  <c r="I105" i="11"/>
  <c r="AL61" i="8"/>
  <c r="AN61" i="8" s="1"/>
  <c r="BD67" i="8"/>
  <c r="BP59" i="8"/>
  <c r="AL58" i="8"/>
  <c r="AL37" i="8"/>
  <c r="AN37" i="8" s="1"/>
  <c r="BP58" i="8"/>
  <c r="AV86" i="8"/>
  <c r="AL86" i="8"/>
  <c r="BD94" i="8"/>
  <c r="BP29" i="8"/>
  <c r="BP45" i="8"/>
  <c r="BE86" i="8"/>
  <c r="BN86" i="8" s="1" a="1"/>
  <c r="BN86" i="8" s="1"/>
  <c r="AL36" i="8"/>
  <c r="AW36" i="8" s="1"/>
  <c r="E18" i="11"/>
  <c r="BE79" i="8"/>
  <c r="BN79" i="8" s="1" a="1"/>
  <c r="BN79" i="8" s="1"/>
  <c r="I37" i="13" s="1"/>
  <c r="BE28" i="8"/>
  <c r="BG28" i="8" s="1" a="1"/>
  <c r="BG28" i="8" s="1"/>
  <c r="E20" i="13" s="1"/>
  <c r="BD15" i="8"/>
  <c r="BE16" i="8" s="1"/>
  <c r="BN16" i="8" s="1" a="1"/>
  <c r="BN16" i="8" s="1"/>
  <c r="I16" i="13" s="1"/>
  <c r="BD105" i="8"/>
  <c r="AL34" i="8"/>
  <c r="AL104" i="8"/>
  <c r="AW104" i="8" s="1"/>
  <c r="BP90" i="8"/>
  <c r="AL27" i="8"/>
  <c r="AW27" i="8" s="1"/>
  <c r="AU34" i="8"/>
  <c r="F38" i="11" s="1"/>
  <c r="BP14" i="8"/>
  <c r="I104" i="11"/>
  <c r="D31" i="11"/>
  <c r="BP107" i="8"/>
  <c r="BP39" i="8"/>
  <c r="BD96" i="8"/>
  <c r="BD62" i="8"/>
  <c r="BE63" i="8" s="1"/>
  <c r="BG63" i="8" s="1" a="1"/>
  <c r="BG63" i="8" s="1"/>
  <c r="I66" i="11"/>
  <c r="AU85" i="8"/>
  <c r="F89" i="11" s="1"/>
  <c r="AL90" i="8"/>
  <c r="AW90" i="8" s="1"/>
  <c r="AL76" i="8"/>
  <c r="AN76" i="8" s="1"/>
  <c r="BD30" i="8"/>
  <c r="BE30" i="8" s="1"/>
  <c r="BP44" i="8"/>
  <c r="AU36" i="8"/>
  <c r="F40" i="11" s="1"/>
  <c r="BP42" i="8"/>
  <c r="AU40" i="8"/>
  <c r="F44" i="11" s="1"/>
  <c r="AL66" i="8"/>
  <c r="AW66" i="8" s="1"/>
  <c r="BP57" i="8"/>
  <c r="AL62" i="8"/>
  <c r="AW62" i="8" s="1"/>
  <c r="BP92" i="8"/>
  <c r="BP91" i="8"/>
  <c r="AL100" i="8"/>
  <c r="AW100" i="8" s="1"/>
  <c r="BE44" i="8"/>
  <c r="BI44" i="8" s="1" a="1"/>
  <c r="BI44" i="8" s="1"/>
  <c r="BE27" i="8"/>
  <c r="BF27" i="8" s="1" a="1"/>
  <c r="BF27" i="8" s="1"/>
  <c r="AL40" i="8"/>
  <c r="AW40" i="8" s="1"/>
  <c r="BD93" i="8"/>
  <c r="BD56" i="8"/>
  <c r="I60" i="11"/>
  <c r="D40" i="11"/>
  <c r="BP43" i="8"/>
  <c r="BD90" i="8"/>
  <c r="BE91" i="8" s="1"/>
  <c r="AN107" i="8"/>
  <c r="AY107" i="8" s="1"/>
  <c r="G111" i="11" s="1"/>
  <c r="I31" i="11"/>
  <c r="AU42" i="8"/>
  <c r="F46" i="11" s="1"/>
  <c r="BE29" i="8"/>
  <c r="BI29" i="8" s="1" a="1"/>
  <c r="BI29" i="8" s="1"/>
  <c r="BE43" i="8"/>
  <c r="BI43" i="8" s="1" a="1"/>
  <c r="BI43" i="8" s="1"/>
  <c r="BD97" i="8"/>
  <c r="AL42" i="8"/>
  <c r="AW42" i="8" s="1"/>
  <c r="I46" i="11"/>
  <c r="AS92" i="8"/>
  <c r="AU92" i="8" s="1"/>
  <c r="F96" i="11" s="1"/>
  <c r="AL70" i="8"/>
  <c r="AN70" i="8" s="1"/>
  <c r="AU62" i="8"/>
  <c r="F66" i="11" s="1"/>
  <c r="BP35" i="8"/>
  <c r="I72" i="11"/>
  <c r="AL49" i="8"/>
  <c r="BP101" i="8"/>
  <c r="AL95" i="8"/>
  <c r="BE49" i="8"/>
  <c r="BK49" i="8" s="1" a="1"/>
  <c r="BK49" i="8" s="1"/>
  <c r="AL97" i="8"/>
  <c r="AW97" i="8" s="1"/>
  <c r="BD109" i="8"/>
  <c r="BE111" i="8" s="1"/>
  <c r="AL30" i="8"/>
  <c r="AU46" i="8"/>
  <c r="F50" i="11" s="1"/>
  <c r="I36" i="11"/>
  <c r="AL105" i="8"/>
  <c r="AW105" i="8" s="1"/>
  <c r="I49" i="11"/>
  <c r="BP15" i="8"/>
  <c r="BP26" i="8"/>
  <c r="AN14" i="8"/>
  <c r="AY14" i="8" s="1"/>
  <c r="AN23" i="8"/>
  <c r="AO23" i="8" s="1"/>
  <c r="AZ23" i="8" s="1"/>
  <c r="H27" i="11" s="1"/>
  <c r="BP38" i="8"/>
  <c r="BP108" i="8"/>
  <c r="I17" i="11"/>
  <c r="AN26" i="8"/>
  <c r="AY26" i="8" s="1"/>
  <c r="G30" i="11" s="1"/>
  <c r="AL85" i="8"/>
  <c r="AW85" i="8" s="1"/>
  <c r="I33" i="11"/>
  <c r="AL46" i="8"/>
  <c r="AW46" i="8" s="1"/>
  <c r="I80" i="11"/>
  <c r="BP49" i="8"/>
  <c r="BP33" i="8"/>
  <c r="BD65" i="8"/>
  <c r="BE65" i="8" s="1"/>
  <c r="BN65" i="8" s="1" a="1"/>
  <c r="BN65" i="8" s="1"/>
  <c r="AU104" i="8"/>
  <c r="F108" i="11" s="1"/>
  <c r="BD72" i="8"/>
  <c r="AS97" i="8"/>
  <c r="D101" i="11" s="1"/>
  <c r="AL12" i="8"/>
  <c r="AW12" i="8" s="1"/>
  <c r="BP50" i="8"/>
  <c r="AL93" i="8"/>
  <c r="AN93" i="8" s="1"/>
  <c r="AL24" i="8"/>
  <c r="BP98" i="8"/>
  <c r="BP48" i="8"/>
  <c r="AV56" i="8"/>
  <c r="AL56" i="8"/>
  <c r="BE13" i="8"/>
  <c r="BN13" i="8" s="1" a="1"/>
  <c r="BN13" i="8" s="1"/>
  <c r="I15" i="13" s="1"/>
  <c r="BP73" i="8"/>
  <c r="AN75" i="8"/>
  <c r="AY75" i="8" s="1"/>
  <c r="G79" i="11" s="1"/>
  <c r="I89" i="11"/>
  <c r="BP61" i="8"/>
  <c r="BE78" i="8"/>
  <c r="BN78" i="8" s="1" a="1"/>
  <c r="BN78" i="8" s="1"/>
  <c r="BP82" i="8"/>
  <c r="BD55" i="8"/>
  <c r="BE57" i="8" s="1"/>
  <c r="BP100" i="8"/>
  <c r="BP72" i="8"/>
  <c r="D97" i="11"/>
  <c r="AU93" i="8"/>
  <c r="F97" i="11" s="1"/>
  <c r="BD103" i="8"/>
  <c r="I107" i="11"/>
  <c r="I16" i="11"/>
  <c r="AL67" i="8"/>
  <c r="AW67" i="8" s="1"/>
  <c r="AN104" i="8"/>
  <c r="AY104" i="8" s="1"/>
  <c r="G108" i="11" s="1"/>
  <c r="BP55" i="8"/>
  <c r="BP60" i="8"/>
  <c r="AN57" i="8"/>
  <c r="AO57" i="8" s="1"/>
  <c r="AZ57" i="8" s="1"/>
  <c r="H61" i="11" s="1"/>
  <c r="AL13" i="8"/>
  <c r="AW13" i="8" s="1"/>
  <c r="AL32" i="8"/>
  <c r="AW32" i="8" s="1"/>
  <c r="AN77" i="8"/>
  <c r="AY77" i="8" s="1"/>
  <c r="G81" i="11" s="1"/>
  <c r="BE70" i="8"/>
  <c r="BG70" i="8" s="1" a="1"/>
  <c r="BG70" i="8" s="1"/>
  <c r="E34" i="13" s="1"/>
  <c r="AL43" i="8"/>
  <c r="AW43" i="8" s="1"/>
  <c r="BP97" i="8"/>
  <c r="I112" i="11"/>
  <c r="BD108" i="8"/>
  <c r="BP37" i="8"/>
  <c r="AU83" i="8"/>
  <c r="F87" i="11" s="1"/>
  <c r="BP71" i="8"/>
  <c r="BD95" i="8"/>
  <c r="I99" i="11"/>
  <c r="AU29" i="8"/>
  <c r="F33" i="11" s="1"/>
  <c r="BP70" i="8"/>
  <c r="BP99" i="8"/>
  <c r="BE85" i="8"/>
  <c r="BN85" i="8" s="1" a="1"/>
  <c r="BN85" i="8" s="1"/>
  <c r="I39" i="13" s="1"/>
  <c r="AT108" i="8"/>
  <c r="AL108" i="8"/>
  <c r="BP16" i="8"/>
  <c r="BP85" i="8"/>
  <c r="BE45" i="8"/>
  <c r="BN45" i="8" s="1" a="1"/>
  <c r="BN45" i="8" s="1"/>
  <c r="BE48" i="8"/>
  <c r="BI48" i="8" s="1" a="1"/>
  <c r="BI48" i="8" s="1"/>
  <c r="AL29" i="8"/>
  <c r="AW29" i="8" s="1"/>
  <c r="AL68" i="8"/>
  <c r="AS68" i="8"/>
  <c r="D99" i="11"/>
  <c r="AU95" i="8"/>
  <c r="F99" i="11" s="1"/>
  <c r="AW50" i="8"/>
  <c r="AN50" i="8"/>
  <c r="BP66" i="8"/>
  <c r="AS15" i="8"/>
  <c r="AL15" i="8"/>
  <c r="I37" i="11"/>
  <c r="BD33" i="8"/>
  <c r="AS33" i="8"/>
  <c r="AL33" i="8"/>
  <c r="I40" i="11"/>
  <c r="BP103" i="8"/>
  <c r="BP105" i="8"/>
  <c r="AS98" i="8"/>
  <c r="AL98" i="8"/>
  <c r="AW41" i="8"/>
  <c r="AN41" i="8"/>
  <c r="AS39" i="8"/>
  <c r="AL39" i="8"/>
  <c r="BP104" i="8"/>
  <c r="AU52" i="8"/>
  <c r="F56" i="11" s="1"/>
  <c r="I87" i="11"/>
  <c r="BP47" i="8"/>
  <c r="AT103" i="8"/>
  <c r="AL103" i="8"/>
  <c r="AU41" i="8"/>
  <c r="F45" i="11" s="1"/>
  <c r="D45" i="11"/>
  <c r="BE69" i="8"/>
  <c r="BG69" i="8" s="1" a="1"/>
  <c r="BG69" i="8" s="1"/>
  <c r="I38" i="11"/>
  <c r="BD34" i="8"/>
  <c r="BE36" i="8" s="1"/>
  <c r="BF36" i="8" s="1" a="1"/>
  <c r="BF36" i="8" s="1"/>
  <c r="AL71" i="8"/>
  <c r="AT71" i="8"/>
  <c r="E75" i="11" s="1"/>
  <c r="AL106" i="8"/>
  <c r="AS106" i="8"/>
  <c r="AL80" i="8"/>
  <c r="AS80" i="8"/>
  <c r="BP46" i="8"/>
  <c r="BP52" i="8"/>
  <c r="BP76" i="8"/>
  <c r="AS47" i="8"/>
  <c r="AL47" i="8"/>
  <c r="I103" i="11"/>
  <c r="BD99" i="8"/>
  <c r="BE99" i="8" s="1"/>
  <c r="BG99" i="8" s="1" a="1"/>
  <c r="BG99" i="8" s="1"/>
  <c r="D105" i="11"/>
  <c r="AU101" i="8"/>
  <c r="F105" i="11" s="1"/>
  <c r="BP31" i="8"/>
  <c r="AS31" i="8"/>
  <c r="AL31" i="8"/>
  <c r="AL81" i="8"/>
  <c r="AS81" i="8"/>
  <c r="AS64" i="8"/>
  <c r="AL64" i="8"/>
  <c r="BP84" i="8"/>
  <c r="AN102" i="8"/>
  <c r="AY102" i="8" s="1"/>
  <c r="BA71" i="8"/>
  <c r="AW25" i="8"/>
  <c r="AN25" i="8"/>
  <c r="AS88" i="8"/>
  <c r="AL88" i="8"/>
  <c r="BD52" i="8"/>
  <c r="BE53" i="8" s="1"/>
  <c r="I56" i="11"/>
  <c r="AS84" i="8"/>
  <c r="AU84" i="8" s="1"/>
  <c r="F88" i="11" s="1"/>
  <c r="AL84" i="8"/>
  <c r="AS54" i="8"/>
  <c r="AL54" i="8"/>
  <c r="AS74" i="8"/>
  <c r="AL74" i="8"/>
  <c r="AS91" i="8"/>
  <c r="AL91" i="8"/>
  <c r="AS109" i="8"/>
  <c r="AL109" i="8"/>
  <c r="I35" i="11"/>
  <c r="BD31" i="8"/>
  <c r="AL94" i="8"/>
  <c r="AW94" i="8" s="1"/>
  <c r="BE26" i="8"/>
  <c r="BP32" i="8"/>
  <c r="BP83" i="8"/>
  <c r="AL83" i="8"/>
  <c r="AL52" i="8"/>
  <c r="I78" i="11"/>
  <c r="BD74" i="8"/>
  <c r="BE75" i="8" s="1"/>
  <c r="BD87" i="8"/>
  <c r="I91" i="11"/>
  <c r="BE25" i="8"/>
  <c r="BD54" i="8"/>
  <c r="I58" i="11"/>
  <c r="BP81" i="8"/>
  <c r="BP80" i="8"/>
  <c r="BP111" i="8"/>
  <c r="BP110" i="8"/>
  <c r="BP109" i="8"/>
  <c r="BD81" i="8"/>
  <c r="I85" i="11"/>
  <c r="AS99" i="8"/>
  <c r="AL99" i="8"/>
  <c r="AL87" i="8"/>
  <c r="AS87" i="8"/>
  <c r="BD88" i="8"/>
  <c r="BE90" i="8" s="1"/>
  <c r="BK90" i="8" s="1" a="1"/>
  <c r="BK90" i="8" s="1"/>
  <c r="I92" i="11"/>
  <c r="BP74" i="8"/>
  <c r="AN38" i="8"/>
  <c r="AL65" i="8"/>
  <c r="AS65" i="8"/>
  <c r="AS59" i="8"/>
  <c r="BF61" i="8" s="1" a="1"/>
  <c r="BF61" i="8" s="1"/>
  <c r="D31" i="13" s="1"/>
  <c r="AL59" i="8"/>
  <c r="AS55" i="8"/>
  <c r="AL55" i="8"/>
  <c r="AS96" i="8"/>
  <c r="AL96" i="8"/>
  <c r="E88" i="11"/>
  <c r="BP56" i="8"/>
  <c r="BP65" i="8"/>
  <c r="BP64" i="8"/>
  <c r="BP89" i="8"/>
  <c r="BP88" i="8"/>
  <c r="BI28" i="8" a="1"/>
  <c r="BI28" i="8" s="1"/>
  <c r="BE50" i="8"/>
  <c r="BE39" i="8"/>
  <c r="BF63" i="8" a="1"/>
  <c r="BF63" i="8" s="1"/>
  <c r="AW44" i="8"/>
  <c r="AN44" i="8"/>
  <c r="D48" i="11"/>
  <c r="AU44" i="8"/>
  <c r="F48" i="11" s="1"/>
  <c r="BE47" i="8"/>
  <c r="BI47" i="8" s="1" a="1"/>
  <c r="BI47" i="8" s="1"/>
  <c r="D104" i="11"/>
  <c r="AU100" i="8"/>
  <c r="F104" i="11" s="1"/>
  <c r="BE102" i="8"/>
  <c r="BE38" i="8"/>
  <c r="BF38" i="8" s="1" a="1"/>
  <c r="BF38" i="8" s="1"/>
  <c r="AW79" i="8"/>
  <c r="AN79" i="8"/>
  <c r="AW49" i="8"/>
  <c r="AN49" i="8"/>
  <c r="BE37" i="8"/>
  <c r="BI37" i="8" s="1" a="1"/>
  <c r="BI37" i="8" s="1"/>
  <c r="AU67" i="8"/>
  <c r="F71" i="11" s="1"/>
  <c r="D109" i="11"/>
  <c r="AU105" i="8"/>
  <c r="F109" i="11" s="1"/>
  <c r="BK70" i="8" a="1"/>
  <c r="BK70" i="8" s="1"/>
  <c r="AU35" i="8"/>
  <c r="F39" i="11" s="1"/>
  <c r="BE59" i="8"/>
  <c r="D16" i="11"/>
  <c r="AU12" i="8"/>
  <c r="F16" i="11" s="1"/>
  <c r="D49" i="11"/>
  <c r="AU45" i="8"/>
  <c r="F49" i="11" s="1"/>
  <c r="D80" i="11"/>
  <c r="AU76" i="8"/>
  <c r="F80" i="11" s="1"/>
  <c r="BF78" i="8" a="1"/>
  <c r="BF78" i="8" s="1"/>
  <c r="AW11" i="8"/>
  <c r="AN11" i="8"/>
  <c r="AU90" i="8"/>
  <c r="F94" i="11" s="1"/>
  <c r="BE58" i="8"/>
  <c r="BE68" i="8"/>
  <c r="D65" i="11"/>
  <c r="AU61" i="8"/>
  <c r="AW82" i="8"/>
  <c r="AN82" i="8"/>
  <c r="AU43" i="8"/>
  <c r="D47" i="11"/>
  <c r="AU73" i="8"/>
  <c r="D77" i="11"/>
  <c r="D70" i="11"/>
  <c r="AU66" i="8"/>
  <c r="F70" i="11" s="1"/>
  <c r="BE14" i="8"/>
  <c r="AW51" i="8"/>
  <c r="AN51" i="8"/>
  <c r="AU94" i="8"/>
  <c r="F98" i="11" s="1"/>
  <c r="D98" i="11"/>
  <c r="BE77" i="8"/>
  <c r="D52" i="11"/>
  <c r="AU48" i="8"/>
  <c r="D34" i="11"/>
  <c r="AU30" i="8"/>
  <c r="F34" i="11" s="1"/>
  <c r="AW92" i="8"/>
  <c r="AU82" i="8"/>
  <c r="F86" i="11" s="1"/>
  <c r="D86" i="11"/>
  <c r="AO26" i="8"/>
  <c r="AZ26" i="8" s="1"/>
  <c r="H30" i="11" s="1"/>
  <c r="AW73" i="8"/>
  <c r="AN73" i="8"/>
  <c r="D15" i="11"/>
  <c r="AU11" i="8"/>
  <c r="F15" i="11" s="1"/>
  <c r="AU13" i="8"/>
  <c r="F17" i="11" s="1"/>
  <c r="D17" i="11"/>
  <c r="AW48" i="8"/>
  <c r="AN48" i="8"/>
  <c r="AW69" i="8"/>
  <c r="AN69" i="8"/>
  <c r="AW35" i="8"/>
  <c r="AN35" i="8"/>
  <c r="AW58" i="8"/>
  <c r="AN58" i="8"/>
  <c r="AW28" i="8"/>
  <c r="AN28" i="8"/>
  <c r="AU37" i="8"/>
  <c r="D41" i="11"/>
  <c r="D55" i="11"/>
  <c r="AU51" i="8"/>
  <c r="F55" i="11" s="1"/>
  <c r="AW53" i="8"/>
  <c r="AN53" i="8"/>
  <c r="AW70" i="8"/>
  <c r="AW30" i="8"/>
  <c r="AN30" i="8"/>
  <c r="D36" i="11"/>
  <c r="AU32" i="8"/>
  <c r="F36" i="11" s="1"/>
  <c r="D73" i="11"/>
  <c r="AU69" i="8"/>
  <c r="D62" i="11"/>
  <c r="AU58" i="8"/>
  <c r="F62" i="11" s="1"/>
  <c r="D32" i="11"/>
  <c r="AU28" i="8"/>
  <c r="BG61" i="8" a="1"/>
  <c r="BG61" i="8" s="1"/>
  <c r="E31" i="13" s="1"/>
  <c r="BN61" i="8" a="1"/>
  <c r="BN61" i="8" s="1"/>
  <c r="I31" i="13" s="1"/>
  <c r="AW89" i="8"/>
  <c r="AN89" i="8"/>
  <c r="D57" i="11"/>
  <c r="AU53" i="8"/>
  <c r="F57" i="11" s="1"/>
  <c r="D74" i="11"/>
  <c r="AU70" i="8"/>
  <c r="F74" i="11" s="1"/>
  <c r="BE51" i="8"/>
  <c r="BE84" i="8"/>
  <c r="BG79" i="8" a="1"/>
  <c r="BG79" i="8" s="1"/>
  <c r="E37" i="13" s="1"/>
  <c r="F60" i="11"/>
  <c r="AY78" i="8"/>
  <c r="AO78" i="8"/>
  <c r="AZ78" i="8" s="1"/>
  <c r="H82" i="11" s="1"/>
  <c r="AG19" i="8"/>
  <c r="AF20" i="8"/>
  <c r="AE20" i="8"/>
  <c r="AU17" i="8"/>
  <c r="BP17" i="8"/>
  <c r="BD17" i="8"/>
  <c r="AO14" i="8"/>
  <c r="AZ14" i="8" s="1"/>
  <c r="E21" i="11"/>
  <c r="V20" i="8"/>
  <c r="W20" i="8"/>
  <c r="D20" i="11"/>
  <c r="AK18" i="8"/>
  <c r="AV18" i="8" s="1"/>
  <c r="AQ18" i="8"/>
  <c r="BB18" i="8" s="1"/>
  <c r="AI18" i="8"/>
  <c r="AS18" i="8" s="1"/>
  <c r="AM18" i="8"/>
  <c r="AX18" i="8" s="1"/>
  <c r="AJ18" i="8"/>
  <c r="AT18" i="8" s="1"/>
  <c r="Z18" i="8"/>
  <c r="AP18" i="8" s="1"/>
  <c r="BA18" i="8" s="1"/>
  <c r="AL17" i="8"/>
  <c r="AW17" i="8" s="1"/>
  <c r="X19" i="8"/>
  <c r="Y19" i="8"/>
  <c r="K24" i="11"/>
  <c r="R24" i="11"/>
  <c r="O24" i="11"/>
  <c r="M24" i="11"/>
  <c r="Q24" i="11"/>
  <c r="N24" i="11"/>
  <c r="P24" i="11"/>
  <c r="A21" i="8"/>
  <c r="B25" i="11"/>
  <c r="U20" i="8"/>
  <c r="T20" i="8"/>
  <c r="C22" i="8"/>
  <c r="B22" i="8" s="1"/>
  <c r="AD21" i="8"/>
  <c r="R21" i="8"/>
  <c r="H21" i="8"/>
  <c r="Q21" i="8"/>
  <c r="F21" i="8"/>
  <c r="M21" i="8"/>
  <c r="J21" i="8"/>
  <c r="I21" i="8"/>
  <c r="AC21" i="8"/>
  <c r="O21" i="8"/>
  <c r="G21" i="8"/>
  <c r="P21" i="8"/>
  <c r="N21" i="8"/>
  <c r="K21" i="8"/>
  <c r="BF79" i="8" l="1" a="1"/>
  <c r="BF79" i="8" s="1"/>
  <c r="D37" i="13" s="1"/>
  <c r="BK79" i="8" a="1"/>
  <c r="BK79" i="8" s="1"/>
  <c r="AW93" i="8"/>
  <c r="BI79" i="8" a="1"/>
  <c r="BI79" i="8" s="1"/>
  <c r="BJ79" i="8" a="1"/>
  <c r="BJ79" i="8" s="1"/>
  <c r="G37" i="13" s="1"/>
  <c r="BE107" i="8"/>
  <c r="BF107" i="8" s="1" a="1"/>
  <c r="BF107" i="8" s="1"/>
  <c r="BE94" i="8"/>
  <c r="BG94" i="8" s="1" a="1"/>
  <c r="BG94" i="8" s="1"/>
  <c r="E42" i="13" s="1"/>
  <c r="BH79" i="8" a="1"/>
  <c r="BH79" i="8" s="1"/>
  <c r="F37" i="13" s="1"/>
  <c r="BH26" i="8" a="1"/>
  <c r="BH26" i="8" s="1"/>
  <c r="AN16" i="8"/>
  <c r="AY16" i="8" s="1"/>
  <c r="G20" i="11" s="1"/>
  <c r="AW61" i="8"/>
  <c r="AN13" i="8"/>
  <c r="AO13" i="8" s="1"/>
  <c r="AZ13" i="8" s="1"/>
  <c r="H17" i="11" s="1"/>
  <c r="AU72" i="8"/>
  <c r="F76" i="11" s="1"/>
  <c r="BE15" i="8"/>
  <c r="BK15" i="8" s="1" a="1"/>
  <c r="BK15" i="8" s="1"/>
  <c r="AN42" i="8"/>
  <c r="AY42" i="8" s="1"/>
  <c r="G46" i="11" s="1"/>
  <c r="AO77" i="8"/>
  <c r="AZ77" i="8" s="1"/>
  <c r="H81" i="11" s="1"/>
  <c r="BE93" i="8"/>
  <c r="BF93" i="8" s="1" a="1"/>
  <c r="BF93" i="8" s="1"/>
  <c r="AN72" i="8"/>
  <c r="AY72" i="8" s="1"/>
  <c r="G76" i="11" s="1"/>
  <c r="BI65" i="8" a="1"/>
  <c r="BI65" i="8" s="1"/>
  <c r="BE96" i="8"/>
  <c r="BK96" i="8" s="1" a="1"/>
  <c r="BK96" i="8" s="1"/>
  <c r="BI41" i="8" a="1"/>
  <c r="BI41" i="8" s="1"/>
  <c r="BN41" i="8" a="1"/>
  <c r="BN41" i="8" s="1"/>
  <c r="BK41" i="8" a="1"/>
  <c r="BK41" i="8" s="1"/>
  <c r="BG41" i="8" a="1"/>
  <c r="BG41" i="8" s="1"/>
  <c r="BE67" i="8"/>
  <c r="BG67" i="8" s="1" a="1"/>
  <c r="BG67" i="8" s="1"/>
  <c r="E33" i="13" s="1"/>
  <c r="BE40" i="8"/>
  <c r="BI40" i="8" s="1" a="1"/>
  <c r="BI40" i="8" s="1"/>
  <c r="BE106" i="8"/>
  <c r="BN106" i="8" s="1" a="1"/>
  <c r="BN106" i="8" s="1"/>
  <c r="I46" i="13" s="1"/>
  <c r="BK61" i="8" a="1"/>
  <c r="BK61" i="8" s="1"/>
  <c r="AN101" i="8"/>
  <c r="AY101" i="8" s="1"/>
  <c r="G105" i="11" s="1"/>
  <c r="BG86" i="8" a="1"/>
  <c r="BG86" i="8" s="1"/>
  <c r="BE42" i="8"/>
  <c r="BK86" i="8" a="1"/>
  <c r="BK86" i="8" s="1"/>
  <c r="AY57" i="8"/>
  <c r="G61" i="11" s="1"/>
  <c r="AN90" i="8"/>
  <c r="AY90" i="8" s="1"/>
  <c r="G94" i="11" s="1"/>
  <c r="BE60" i="8"/>
  <c r="BG60" i="8" s="1" a="1"/>
  <c r="BG60" i="8" s="1"/>
  <c r="BK78" i="8" a="1"/>
  <c r="BK78" i="8" s="1"/>
  <c r="BE81" i="8"/>
  <c r="BF81" i="8" s="1" a="1"/>
  <c r="BF81" i="8" s="1"/>
  <c r="AN60" i="8"/>
  <c r="AY60" i="8" s="1"/>
  <c r="BI86" i="8" a="1"/>
  <c r="BI86" i="8" s="1"/>
  <c r="AW76" i="8"/>
  <c r="BJ78" i="8" s="1" a="1"/>
  <c r="BJ78" i="8" s="1"/>
  <c r="BN29" i="8" a="1"/>
  <c r="BN29" i="8" s="1"/>
  <c r="AN40" i="8"/>
  <c r="AY40" i="8" s="1"/>
  <c r="G44" i="11" s="1"/>
  <c r="BF29" i="8" a="1"/>
  <c r="BF29" i="8" s="1"/>
  <c r="AW37" i="8"/>
  <c r="AN45" i="8"/>
  <c r="AY45" i="8" s="1"/>
  <c r="G49" i="11" s="1"/>
  <c r="AU97" i="8"/>
  <c r="F101" i="11" s="1"/>
  <c r="BE92" i="8"/>
  <c r="BI92" i="8" s="1" a="1"/>
  <c r="BI92" i="8" s="1"/>
  <c r="AY23" i="8"/>
  <c r="G27" i="11" s="1"/>
  <c r="AO63" i="8"/>
  <c r="AZ63" i="8" s="1"/>
  <c r="H67" i="11" s="1"/>
  <c r="BE17" i="8"/>
  <c r="BF45" i="8" a="1"/>
  <c r="BF45" i="8" s="1"/>
  <c r="BI70" i="8" a="1"/>
  <c r="BI70" i="8" s="1"/>
  <c r="BG29" i="8" a="1"/>
  <c r="BG29" i="8" s="1"/>
  <c r="BK29" i="8" a="1"/>
  <c r="BK29" i="8" s="1"/>
  <c r="BK44" i="8" a="1"/>
  <c r="BK44" i="8" s="1"/>
  <c r="BE105" i="8"/>
  <c r="BG105" i="8" s="1" a="1"/>
  <c r="BG105" i="8" s="1"/>
  <c r="BE98" i="8"/>
  <c r="BG98" i="8" s="1" a="1"/>
  <c r="BG98" i="8" s="1"/>
  <c r="AN62" i="8"/>
  <c r="AO62" i="8" s="1"/>
  <c r="AZ62" i="8" s="1"/>
  <c r="H66" i="11" s="1"/>
  <c r="AN66" i="8"/>
  <c r="AO66" i="8" s="1"/>
  <c r="AZ66" i="8" s="1"/>
  <c r="AN97" i="8"/>
  <c r="AO97" i="8" s="1"/>
  <c r="AZ97" i="8" s="1"/>
  <c r="BN70" i="8" a="1"/>
  <c r="BN70" i="8" s="1"/>
  <c r="I34" i="13" s="1"/>
  <c r="BN63" i="8" a="1"/>
  <c r="BN63" i="8" s="1"/>
  <c r="AN27" i="8"/>
  <c r="AY27" i="8" s="1"/>
  <c r="G31" i="11" s="1"/>
  <c r="BN44" i="8" a="1"/>
  <c r="BN44" i="8" s="1"/>
  <c r="BF70" i="8" a="1"/>
  <c r="BF70" i="8" s="1"/>
  <c r="D34" i="13" s="1"/>
  <c r="AO40" i="8"/>
  <c r="AZ40" i="8" s="1"/>
  <c r="H44" i="11" s="1"/>
  <c r="BG44" i="8" a="1"/>
  <c r="BG44" i="8" s="1"/>
  <c r="BJ28" i="8" a="1"/>
  <c r="BJ28" i="8" s="1"/>
  <c r="G20" i="13" s="1"/>
  <c r="BK63" i="8" a="1"/>
  <c r="BK63" i="8" s="1"/>
  <c r="AN36" i="8"/>
  <c r="AO36" i="8" s="1"/>
  <c r="AZ36" i="8" s="1"/>
  <c r="H40" i="11" s="1"/>
  <c r="BF44" i="8" a="1"/>
  <c r="BF44" i="8" s="1"/>
  <c r="AW86" i="8"/>
  <c r="AN86" i="8"/>
  <c r="BI78" i="8" a="1"/>
  <c r="BI78" i="8" s="1"/>
  <c r="BG78" i="8" a="1"/>
  <c r="BG78" i="8" s="1"/>
  <c r="BK65" i="8" a="1"/>
  <c r="BK65" i="8" s="1"/>
  <c r="AO104" i="8"/>
  <c r="AZ104" i="8" s="1"/>
  <c r="H108" i="11" s="1"/>
  <c r="BE66" i="8"/>
  <c r="BN66" i="8" s="1" a="1"/>
  <c r="BN66" i="8" s="1"/>
  <c r="AN100" i="8"/>
  <c r="AY100" i="8" s="1"/>
  <c r="BK28" i="8" a="1"/>
  <c r="BK28" i="8" s="1"/>
  <c r="BG65" i="8" a="1"/>
  <c r="BG65" i="8" s="1"/>
  <c r="BE103" i="8"/>
  <c r="BK103" i="8" s="1" a="1"/>
  <c r="BK103" i="8" s="1"/>
  <c r="BE97" i="8"/>
  <c r="BN97" i="8" s="1" a="1"/>
  <c r="BN97" i="8" s="1"/>
  <c r="I43" i="13" s="1"/>
  <c r="BE104" i="8"/>
  <c r="BI104" i="8" s="1" a="1"/>
  <c r="BI104" i="8" s="1"/>
  <c r="D96" i="11"/>
  <c r="BI45" i="8" a="1"/>
  <c r="BI45" i="8" s="1"/>
  <c r="BN28" i="8" a="1"/>
  <c r="BN28" i="8" s="1"/>
  <c r="I20" i="13" s="1"/>
  <c r="BF28" i="8" a="1"/>
  <c r="BF28" i="8" s="1"/>
  <c r="D20" i="13" s="1"/>
  <c r="BE32" i="8"/>
  <c r="BG32" i="8" s="1" a="1"/>
  <c r="BG32" i="8" s="1"/>
  <c r="AN85" i="8"/>
  <c r="AY85" i="8" s="1"/>
  <c r="G89" i="11" s="1"/>
  <c r="BE31" i="8"/>
  <c r="BG31" i="8" s="1" a="1"/>
  <c r="BG31" i="8" s="1"/>
  <c r="E21" i="13" s="1"/>
  <c r="AW34" i="8"/>
  <c r="BJ36" i="8" s="1" a="1"/>
  <c r="BJ36" i="8" s="1"/>
  <c r="AN34" i="8"/>
  <c r="BE64" i="8"/>
  <c r="BF64" i="8" s="1" a="1"/>
  <c r="BF64" i="8" s="1"/>
  <c r="D32" i="13" s="1"/>
  <c r="AO102" i="8"/>
  <c r="AZ102" i="8" s="1"/>
  <c r="H106" i="11" s="1"/>
  <c r="BI63" i="8" a="1"/>
  <c r="BI63" i="8" s="1"/>
  <c r="BN27" i="8" a="1"/>
  <c r="BN27" i="8" s="1"/>
  <c r="BG27" i="8" a="1"/>
  <c r="BG27" i="8" s="1"/>
  <c r="AN29" i="8"/>
  <c r="AO29" i="8" s="1"/>
  <c r="AZ29" i="8" s="1"/>
  <c r="H33" i="11" s="1"/>
  <c r="BE62" i="8"/>
  <c r="BF62" i="8" s="1" a="1"/>
  <c r="BF62" i="8" s="1"/>
  <c r="BJ63" i="8" a="1"/>
  <c r="BJ63" i="8" s="1"/>
  <c r="BN43" i="8" a="1"/>
  <c r="BN43" i="8" s="1"/>
  <c r="I25" i="13" s="1"/>
  <c r="AN12" i="8"/>
  <c r="AO12" i="8" s="1"/>
  <c r="AZ12" i="8" s="1"/>
  <c r="H16" i="11" s="1"/>
  <c r="BJ27" i="8" a="1"/>
  <c r="BJ27" i="8" s="1"/>
  <c r="BK85" i="8" a="1"/>
  <c r="BK85" i="8" s="1"/>
  <c r="BG43" i="8" a="1"/>
  <c r="BG43" i="8" s="1"/>
  <c r="E25" i="13" s="1"/>
  <c r="BF80" i="8" a="1"/>
  <c r="BF80" i="8" s="1"/>
  <c r="BE109" i="8"/>
  <c r="BN109" i="8" s="1" a="1"/>
  <c r="BN109" i="8" s="1"/>
  <c r="I47" i="13" s="1"/>
  <c r="BN36" i="8" a="1"/>
  <c r="BN36" i="8" s="1"/>
  <c r="BF43" i="8" a="1"/>
  <c r="BF43" i="8" s="1"/>
  <c r="D25" i="13" s="1"/>
  <c r="BH38" i="8" a="1"/>
  <c r="BH38" i="8" s="1"/>
  <c r="BN15" i="8" a="1"/>
  <c r="BN15" i="8" s="1"/>
  <c r="BK43" i="8" a="1"/>
  <c r="BK43" i="8" s="1"/>
  <c r="AN105" i="8"/>
  <c r="AY105" i="8" s="1"/>
  <c r="G109" i="11" s="1"/>
  <c r="AO107" i="8"/>
  <c r="AZ107" i="8" s="1"/>
  <c r="H111" i="11" s="1"/>
  <c r="BN49" i="8" a="1"/>
  <c r="BN49" i="8" s="1"/>
  <c r="I27" i="13" s="1"/>
  <c r="BK27" i="8" a="1"/>
  <c r="BK27" i="8" s="1"/>
  <c r="BI49" i="8" a="1"/>
  <c r="BI49" i="8" s="1"/>
  <c r="BI27" i="8" a="1"/>
  <c r="BI27" i="8" s="1"/>
  <c r="BH27" i="8" a="1"/>
  <c r="BH27" i="8" s="1"/>
  <c r="BN111" i="8" a="1"/>
  <c r="BN111" i="8" s="1"/>
  <c r="BI111" i="8" a="1"/>
  <c r="BI111" i="8" s="1"/>
  <c r="BE55" i="8"/>
  <c r="BK55" i="8" s="1" a="1"/>
  <c r="BK55" i="8" s="1"/>
  <c r="BG49" i="8" a="1"/>
  <c r="BG49" i="8" s="1"/>
  <c r="E27" i="13" s="1"/>
  <c r="BK111" i="8" a="1"/>
  <c r="BK111" i="8" s="1"/>
  <c r="BG80" i="8" a="1"/>
  <c r="BG80" i="8" s="1"/>
  <c r="BF13" i="8" a="1"/>
  <c r="BF13" i="8" s="1"/>
  <c r="D15" i="13" s="1"/>
  <c r="BN69" i="8" a="1"/>
  <c r="BN69" i="8" s="1"/>
  <c r="AW95" i="8"/>
  <c r="AN95" i="8"/>
  <c r="BK13" i="8" a="1"/>
  <c r="BK13" i="8" s="1"/>
  <c r="BN48" i="8" a="1"/>
  <c r="BN48" i="8" s="1"/>
  <c r="BG111" i="8" a="1"/>
  <c r="BG111" i="8" s="1"/>
  <c r="BG96" i="8" a="1"/>
  <c r="BG96" i="8" s="1"/>
  <c r="BF48" i="8" a="1"/>
  <c r="BF48" i="8" s="1"/>
  <c r="BH25" i="8" a="1"/>
  <c r="BH25" i="8" s="1"/>
  <c r="F19" i="13" s="1"/>
  <c r="BN80" i="8" a="1"/>
  <c r="BN80" i="8" s="1"/>
  <c r="BN96" i="8" a="1"/>
  <c r="BN96" i="8" s="1"/>
  <c r="BG26" i="8" a="1"/>
  <c r="BG26" i="8" s="1"/>
  <c r="BG13" i="8" a="1"/>
  <c r="BG13" i="8" s="1"/>
  <c r="E15" i="13" s="1"/>
  <c r="BK48" i="8" a="1"/>
  <c r="BK48" i="8" s="1"/>
  <c r="AN46" i="8"/>
  <c r="AY46" i="8" s="1"/>
  <c r="G50" i="11" s="1"/>
  <c r="BK80" i="8" a="1"/>
  <c r="BK80" i="8" s="1"/>
  <c r="BI13" i="8" a="1"/>
  <c r="BI13" i="8" s="1"/>
  <c r="BG48" i="8" a="1"/>
  <c r="BG48" i="8" s="1"/>
  <c r="AO75" i="8"/>
  <c r="AZ75" i="8" s="1"/>
  <c r="H79" i="11" s="1"/>
  <c r="BF39" i="8" a="1"/>
  <c r="BF39" i="8" s="1"/>
  <c r="AW24" i="8"/>
  <c r="BJ25" i="8" s="1" a="1"/>
  <c r="BJ25" i="8" s="1"/>
  <c r="G19" i="13" s="1"/>
  <c r="AN24" i="8"/>
  <c r="BE56" i="8"/>
  <c r="BF56" i="8" s="1" a="1"/>
  <c r="BF56" i="8" s="1"/>
  <c r="AU71" i="8"/>
  <c r="F75" i="11" s="1"/>
  <c r="BE33" i="8"/>
  <c r="BG33" i="8" s="1" a="1"/>
  <c r="BG33" i="8" s="1"/>
  <c r="BE95" i="8"/>
  <c r="BH95" i="8" s="1" a="1"/>
  <c r="BH95" i="8" s="1"/>
  <c r="AW56" i="8"/>
  <c r="BJ58" i="8" s="1" a="1"/>
  <c r="BJ58" i="8" s="1"/>
  <c r="G30" i="13" s="1"/>
  <c r="AN56" i="8"/>
  <c r="BN57" i="8" a="1"/>
  <c r="BN57" i="8" s="1"/>
  <c r="BG57" i="8" a="1"/>
  <c r="BG57" i="8" s="1"/>
  <c r="BK57" i="8" a="1"/>
  <c r="BK57" i="8" s="1"/>
  <c r="BI57" i="8" a="1"/>
  <c r="BI57" i="8" s="1"/>
  <c r="BK69" i="8" a="1"/>
  <c r="BK69" i="8" s="1"/>
  <c r="BH86" i="8" a="1"/>
  <c r="BH86" i="8" s="1"/>
  <c r="BN90" i="8" a="1"/>
  <c r="BN90" i="8" s="1"/>
  <c r="AN67" i="8"/>
  <c r="AY67" i="8" s="1"/>
  <c r="G71" i="11" s="1"/>
  <c r="AN43" i="8"/>
  <c r="AY43" i="8" s="1"/>
  <c r="AN32" i="8"/>
  <c r="AO32" i="8" s="1"/>
  <c r="AZ32" i="8" s="1"/>
  <c r="H36" i="11" s="1"/>
  <c r="BE34" i="8"/>
  <c r="BI34" i="8" s="1" a="1"/>
  <c r="BI34" i="8" s="1"/>
  <c r="BI26" i="8" a="1"/>
  <c r="BI26" i="8" s="1"/>
  <c r="BK26" i="8" a="1"/>
  <c r="BK26" i="8" s="1"/>
  <c r="BE101" i="8"/>
  <c r="BF101" i="8" s="1" a="1"/>
  <c r="BF101" i="8" s="1"/>
  <c r="BF57" i="8" a="1"/>
  <c r="BF57" i="8" s="1"/>
  <c r="BI69" i="8" a="1"/>
  <c r="BI69" i="8" s="1"/>
  <c r="BE110" i="8"/>
  <c r="BE108" i="8"/>
  <c r="BF108" i="8" s="1" a="1"/>
  <c r="BF108" i="8" s="1"/>
  <c r="AU68" i="8"/>
  <c r="F72" i="11" s="1"/>
  <c r="D72" i="11"/>
  <c r="BG36" i="8" a="1"/>
  <c r="BG36" i="8" s="1"/>
  <c r="BI85" i="8" a="1"/>
  <c r="BI85" i="8" s="1"/>
  <c r="BF69" i="8" a="1"/>
  <c r="BF69" i="8" s="1"/>
  <c r="AW68" i="8"/>
  <c r="BJ68" i="8" s="1" a="1"/>
  <c r="BJ68" i="8" s="1"/>
  <c r="AN68" i="8"/>
  <c r="BI36" i="8" a="1"/>
  <c r="BI36" i="8" s="1"/>
  <c r="AO60" i="8"/>
  <c r="AZ60" i="8" s="1"/>
  <c r="H64" i="11" s="1"/>
  <c r="BG85" i="8" a="1"/>
  <c r="BG85" i="8" s="1"/>
  <c r="E39" i="13" s="1"/>
  <c r="BE76" i="8"/>
  <c r="BK76" i="8" s="1" a="1"/>
  <c r="BK76" i="8" s="1"/>
  <c r="BK45" i="8" a="1"/>
  <c r="BK45" i="8" s="1"/>
  <c r="BK36" i="8" a="1"/>
  <c r="BK36" i="8" s="1"/>
  <c r="BF85" i="8" a="1"/>
  <c r="BF85" i="8" s="1"/>
  <c r="D39" i="13" s="1"/>
  <c r="BK46" i="8" a="1"/>
  <c r="BK46" i="8" s="1"/>
  <c r="BG45" i="8" a="1"/>
  <c r="BG45" i="8" s="1"/>
  <c r="BE100" i="8"/>
  <c r="BG100" i="8" s="1" a="1"/>
  <c r="BG100" i="8" s="1"/>
  <c r="E44" i="13" s="1"/>
  <c r="AW108" i="8"/>
  <c r="AN108" i="8"/>
  <c r="BF41" i="8" a="1"/>
  <c r="BF41" i="8" s="1"/>
  <c r="BE74" i="8"/>
  <c r="BG74" i="8" s="1" a="1"/>
  <c r="BG74" i="8" s="1"/>
  <c r="BH85" i="8" a="1"/>
  <c r="BH85" i="8" s="1"/>
  <c r="F39" i="13" s="1"/>
  <c r="BN99" i="8" a="1"/>
  <c r="BN99" i="8" s="1"/>
  <c r="E112" i="11"/>
  <c r="AU108" i="8"/>
  <c r="F112" i="11" s="1"/>
  <c r="AU15" i="8"/>
  <c r="F19" i="11" s="1"/>
  <c r="D19" i="11"/>
  <c r="AO50" i="8"/>
  <c r="AZ50" i="8" s="1"/>
  <c r="H54" i="11" s="1"/>
  <c r="AY50" i="8"/>
  <c r="G54" i="11" s="1"/>
  <c r="BE35" i="8"/>
  <c r="AW98" i="8"/>
  <c r="AN98" i="8"/>
  <c r="AW33" i="8"/>
  <c r="AN33" i="8"/>
  <c r="AN103" i="8"/>
  <c r="AW103" i="8"/>
  <c r="AU98" i="8"/>
  <c r="F102" i="11" s="1"/>
  <c r="D102" i="11"/>
  <c r="AU33" i="8"/>
  <c r="F37" i="11" s="1"/>
  <c r="D37" i="11"/>
  <c r="BH30" i="8" a="1"/>
  <c r="BH30" i="8" s="1"/>
  <c r="E107" i="11"/>
  <c r="AU103" i="8"/>
  <c r="AW39" i="8"/>
  <c r="BJ39" i="8" s="1" a="1"/>
  <c r="BJ39" i="8" s="1"/>
  <c r="AN39" i="8"/>
  <c r="BN67" i="8" a="1"/>
  <c r="BN67" i="8" s="1"/>
  <c r="I33" i="13" s="1"/>
  <c r="AN94" i="8"/>
  <c r="AY94" i="8" s="1"/>
  <c r="BN46" i="8" a="1"/>
  <c r="BN46" i="8" s="1"/>
  <c r="I26" i="13" s="1"/>
  <c r="BI46" i="8" a="1"/>
  <c r="BI46" i="8" s="1"/>
  <c r="D43" i="11"/>
  <c r="AU39" i="8"/>
  <c r="BH39" i="8" s="1" a="1"/>
  <c r="BH39" i="8" s="1"/>
  <c r="BF46" i="8" a="1"/>
  <c r="BF46" i="8" s="1"/>
  <c r="D26" i="13" s="1"/>
  <c r="BE54" i="8"/>
  <c r="BN54" i="8" s="1" a="1"/>
  <c r="BN54" i="8" s="1"/>
  <c r="AY41" i="8"/>
  <c r="G45" i="11" s="1"/>
  <c r="AO41" i="8"/>
  <c r="AZ41" i="8" s="1"/>
  <c r="H45" i="11" s="1"/>
  <c r="AW15" i="8"/>
  <c r="BJ15" i="8" s="1" a="1"/>
  <c r="BJ15" i="8" s="1"/>
  <c r="AN15" i="8"/>
  <c r="BK75" i="8" a="1"/>
  <c r="BK75" i="8" s="1"/>
  <c r="BF75" i="8" a="1"/>
  <c r="BF75" i="8" s="1"/>
  <c r="BI75" i="8" a="1"/>
  <c r="BI75" i="8" s="1"/>
  <c r="BG75" i="8" a="1"/>
  <c r="BG75" i="8" s="1"/>
  <c r="BN75" i="8" a="1"/>
  <c r="BN75" i="8" s="1"/>
  <c r="AW55" i="8"/>
  <c r="AN55" i="8"/>
  <c r="AY38" i="8"/>
  <c r="G42" i="11" s="1"/>
  <c r="AO38" i="8"/>
  <c r="AZ38" i="8" s="1"/>
  <c r="H42" i="11" s="1"/>
  <c r="D103" i="11"/>
  <c r="AU99" i="8"/>
  <c r="F103" i="11" s="1"/>
  <c r="BE87" i="8"/>
  <c r="BE89" i="8"/>
  <c r="BE88" i="8"/>
  <c r="AW83" i="8"/>
  <c r="AN83" i="8"/>
  <c r="D78" i="11"/>
  <c r="AU74" i="8"/>
  <c r="F78" i="11" s="1"/>
  <c r="I75" i="11"/>
  <c r="BD71" i="8"/>
  <c r="AW64" i="8"/>
  <c r="AN64" i="8"/>
  <c r="AO93" i="8"/>
  <c r="AZ93" i="8" s="1"/>
  <c r="H97" i="11" s="1"/>
  <c r="AY93" i="8"/>
  <c r="G97" i="11" s="1"/>
  <c r="D84" i="11"/>
  <c r="AU80" i="8"/>
  <c r="BI15" i="8" a="1"/>
  <c r="BI15" i="8" s="1"/>
  <c r="BE52" i="8"/>
  <c r="BG52" i="8" s="1" a="1"/>
  <c r="BG52" i="8" s="1"/>
  <c r="E28" i="13" s="1"/>
  <c r="BI96" i="8" a="1"/>
  <c r="BI96" i="8" s="1"/>
  <c r="D59" i="11"/>
  <c r="AU55" i="8"/>
  <c r="BK104" i="8" a="1"/>
  <c r="BK104" i="8" s="1"/>
  <c r="AW109" i="8"/>
  <c r="AN109" i="8"/>
  <c r="AW54" i="8"/>
  <c r="AN54" i="8"/>
  <c r="AW88" i="8"/>
  <c r="BJ90" i="8" s="1" a="1"/>
  <c r="BJ90" i="8" s="1"/>
  <c r="AN88" i="8"/>
  <c r="D68" i="11"/>
  <c r="AU64" i="8"/>
  <c r="BF65" i="8" a="1"/>
  <c r="BF65" i="8" s="1"/>
  <c r="AW80" i="8"/>
  <c r="BJ80" i="8" s="1" a="1"/>
  <c r="BJ80" i="8" s="1"/>
  <c r="AN80" i="8"/>
  <c r="AO101" i="8"/>
  <c r="AZ101" i="8" s="1"/>
  <c r="H105" i="11" s="1"/>
  <c r="D113" i="11"/>
  <c r="AU109" i="8"/>
  <c r="BF111" i="8" a="1"/>
  <c r="BF111" i="8" s="1"/>
  <c r="AU81" i="8"/>
  <c r="F85" i="11" s="1"/>
  <c r="D85" i="11"/>
  <c r="BH36" i="8" a="1"/>
  <c r="BH36" i="8" s="1"/>
  <c r="BE82" i="8"/>
  <c r="BK82" i="8" s="1" a="1"/>
  <c r="BK82" i="8" s="1"/>
  <c r="BF96" i="8" a="1"/>
  <c r="BF96" i="8" s="1"/>
  <c r="BF99" i="8" a="1"/>
  <c r="BF99" i="8" s="1"/>
  <c r="BK99" i="8" a="1"/>
  <c r="BK99" i="8" s="1"/>
  <c r="D63" i="11"/>
  <c r="AU59" i="8"/>
  <c r="F63" i="11" s="1"/>
  <c r="D91" i="11"/>
  <c r="AU87" i="8"/>
  <c r="F91" i="11" s="1"/>
  <c r="AN91" i="8"/>
  <c r="AW91" i="8"/>
  <c r="AW84" i="8"/>
  <c r="AN84" i="8"/>
  <c r="AY25" i="8"/>
  <c r="AO25" i="8"/>
  <c r="AZ25" i="8" s="1"/>
  <c r="AN81" i="8"/>
  <c r="AW81" i="8"/>
  <c r="AW31" i="8"/>
  <c r="AN31" i="8"/>
  <c r="AW106" i="8"/>
  <c r="AN106" i="8"/>
  <c r="D58" i="11"/>
  <c r="AU54" i="8"/>
  <c r="AU106" i="8"/>
  <c r="D110" i="11"/>
  <c r="BF15" i="8" a="1"/>
  <c r="BF15" i="8" s="1"/>
  <c r="BG15" i="8" a="1"/>
  <c r="BG15" i="8" s="1"/>
  <c r="AW96" i="8"/>
  <c r="AN96" i="8"/>
  <c r="D69" i="11"/>
  <c r="AU65" i="8"/>
  <c r="F69" i="11" s="1"/>
  <c r="AN87" i="8"/>
  <c r="AW87" i="8"/>
  <c r="BI25" i="8" a="1"/>
  <c r="BI25" i="8" s="1"/>
  <c r="BN25" i="8" a="1"/>
  <c r="BN25" i="8" s="1"/>
  <c r="I19" i="13" s="1"/>
  <c r="BF25" i="8" a="1"/>
  <c r="BF25" i="8" s="1"/>
  <c r="D19" i="13" s="1"/>
  <c r="BG25" i="8" a="1"/>
  <c r="BG25" i="8" s="1"/>
  <c r="E19" i="13" s="1"/>
  <c r="BK25" i="8" a="1"/>
  <c r="BK25" i="8" s="1"/>
  <c r="AW52" i="8"/>
  <c r="AN52" i="8"/>
  <c r="BF26" i="8" a="1"/>
  <c r="BF26" i="8" s="1"/>
  <c r="BN26" i="8" a="1"/>
  <c r="BN26" i="8" s="1"/>
  <c r="AU91" i="8"/>
  <c r="F95" i="11" s="1"/>
  <c r="D95" i="11"/>
  <c r="D88" i="11"/>
  <c r="BF86" i="8" a="1"/>
  <c r="BF86" i="8" s="1"/>
  <c r="D35" i="11"/>
  <c r="AU31" i="8"/>
  <c r="F35" i="11" s="1"/>
  <c r="AW47" i="8"/>
  <c r="BJ47" i="8" s="1" a="1"/>
  <c r="BJ47" i="8" s="1"/>
  <c r="AN47" i="8"/>
  <c r="AN59" i="8"/>
  <c r="AW59" i="8"/>
  <c r="BJ61" i="8" s="1" a="1"/>
  <c r="BJ61" i="8" s="1"/>
  <c r="G31" i="13" s="1"/>
  <c r="D92" i="11"/>
  <c r="AU88" i="8"/>
  <c r="F92" i="11" s="1"/>
  <c r="BE83" i="8"/>
  <c r="BN83" i="8" s="1" a="1"/>
  <c r="BN83" i="8" s="1"/>
  <c r="BI99" i="8" a="1"/>
  <c r="BI99" i="8" s="1"/>
  <c r="D100" i="11"/>
  <c r="AU96" i="8"/>
  <c r="F100" i="11" s="1"/>
  <c r="AW65" i="8"/>
  <c r="AN65" i="8"/>
  <c r="AW99" i="8"/>
  <c r="AN99" i="8"/>
  <c r="AN74" i="8"/>
  <c r="AW74" i="8"/>
  <c r="BJ75" i="8" s="1" a="1"/>
  <c r="BJ75" i="8" s="1"/>
  <c r="D51" i="11"/>
  <c r="AU47" i="8"/>
  <c r="F51" i="11" s="1"/>
  <c r="BF49" i="8" a="1"/>
  <c r="BF49" i="8" s="1"/>
  <c r="D27" i="13" s="1"/>
  <c r="AW71" i="8"/>
  <c r="AN71" i="8"/>
  <c r="BI50" i="8" a="1"/>
  <c r="BI50" i="8" s="1"/>
  <c r="BK50" i="8" a="1"/>
  <c r="BK50" i="8" s="1"/>
  <c r="BG50" i="8" a="1"/>
  <c r="BG50" i="8" s="1"/>
  <c r="BN50" i="8" a="1"/>
  <c r="BN50" i="8" s="1"/>
  <c r="BH14" i="8" a="1"/>
  <c r="BH14" i="8" s="1"/>
  <c r="BN37" i="8" a="1"/>
  <c r="BN37" i="8" s="1"/>
  <c r="I23" i="13" s="1"/>
  <c r="BK37" i="8" a="1"/>
  <c r="BK37" i="8" s="1"/>
  <c r="BH37" i="8" a="1"/>
  <c r="BH37" i="8" s="1"/>
  <c r="F23" i="13" s="1"/>
  <c r="BF50" i="8" a="1"/>
  <c r="BF50" i="8" s="1"/>
  <c r="BI39" i="8" a="1"/>
  <c r="BI39" i="8" s="1"/>
  <c r="BN39" i="8" a="1"/>
  <c r="BN39" i="8" s="1"/>
  <c r="BK39" i="8" a="1"/>
  <c r="BK39" i="8" s="1"/>
  <c r="BG39" i="8" a="1"/>
  <c r="BG39" i="8" s="1"/>
  <c r="BF37" i="8" a="1"/>
  <c r="BF37" i="8" s="1"/>
  <c r="D23" i="13" s="1"/>
  <c r="BG37" i="8" a="1"/>
  <c r="BG37" i="8" s="1"/>
  <c r="E23" i="13" s="1"/>
  <c r="BF47" i="8" a="1"/>
  <c r="BF47" i="8" s="1"/>
  <c r="AY79" i="8"/>
  <c r="G83" i="11" s="1"/>
  <c r="AO79" i="8"/>
  <c r="AZ79" i="8" s="1"/>
  <c r="H83" i="11" s="1"/>
  <c r="BJ102" i="8" a="1"/>
  <c r="BJ102" i="8" s="1"/>
  <c r="BI102" i="8" a="1"/>
  <c r="BI102" i="8" s="1"/>
  <c r="BG102" i="8" a="1"/>
  <c r="BG102" i="8" s="1"/>
  <c r="BF102" i="8" a="1"/>
  <c r="BF102" i="8" s="1"/>
  <c r="BN102" i="8" a="1"/>
  <c r="BN102" i="8" s="1"/>
  <c r="BK102" i="8" a="1"/>
  <c r="BK102" i="8" s="1"/>
  <c r="BJ29" i="8" a="1"/>
  <c r="BJ29" i="8" s="1"/>
  <c r="BI90" i="8" a="1"/>
  <c r="BI90" i="8" s="1"/>
  <c r="BH78" i="8" a="1"/>
  <c r="BH78" i="8" s="1"/>
  <c r="BJ46" i="8" a="1"/>
  <c r="BJ46" i="8" s="1"/>
  <c r="G26" i="13" s="1"/>
  <c r="BH102" i="8" a="1"/>
  <c r="BH102" i="8" s="1"/>
  <c r="BK47" i="8" a="1"/>
  <c r="BK47" i="8" s="1"/>
  <c r="BN38" i="8" a="1"/>
  <c r="BN38" i="8" s="1"/>
  <c r="BG38" i="8" a="1"/>
  <c r="BG38" i="8" s="1"/>
  <c r="BK38" i="8" a="1"/>
  <c r="BK38" i="8" s="1"/>
  <c r="BI38" i="8" a="1"/>
  <c r="BI38" i="8" s="1"/>
  <c r="BJ38" i="8" a="1"/>
  <c r="BJ38" i="8" s="1"/>
  <c r="BI100" i="8" a="1"/>
  <c r="BI100" i="8" s="1"/>
  <c r="BJ37" i="8" a="1"/>
  <c r="BJ37" i="8" s="1"/>
  <c r="G23" i="13" s="1"/>
  <c r="BN47" i="8" a="1"/>
  <c r="BN47" i="8" s="1"/>
  <c r="BG47" i="8" a="1"/>
  <c r="BG47" i="8" s="1"/>
  <c r="AY44" i="8"/>
  <c r="G48" i="11" s="1"/>
  <c r="AO44" i="8"/>
  <c r="AZ44" i="8" s="1"/>
  <c r="H48" i="11" s="1"/>
  <c r="AY49" i="8"/>
  <c r="G53" i="11" s="1"/>
  <c r="AO49" i="8"/>
  <c r="AZ49" i="8" s="1"/>
  <c r="H53" i="11" s="1"/>
  <c r="BJ13" i="8" a="1"/>
  <c r="BJ13" i="8" s="1"/>
  <c r="G15" i="13" s="1"/>
  <c r="BK105" i="8" a="1"/>
  <c r="BK105" i="8" s="1"/>
  <c r="BN105" i="8" a="1"/>
  <c r="BN105" i="8" s="1"/>
  <c r="BG106" i="8" a="1"/>
  <c r="BG106" i="8" s="1"/>
  <c r="E46" i="13" s="1"/>
  <c r="BI106" i="8" a="1"/>
  <c r="BI106" i="8" s="1"/>
  <c r="BJ30" i="8" a="1"/>
  <c r="BJ30" i="8" s="1"/>
  <c r="BI107" i="8" a="1"/>
  <c r="BI107" i="8" s="1"/>
  <c r="BK107" i="8" a="1"/>
  <c r="BK107" i="8" s="1"/>
  <c r="F32" i="11"/>
  <c r="BH28" i="8" a="1"/>
  <c r="BH28" i="8" s="1"/>
  <c r="F20" i="13" s="1"/>
  <c r="BJ43" i="8" a="1"/>
  <c r="BJ43" i="8" s="1"/>
  <c r="G25" i="13" s="1"/>
  <c r="BJ44" i="8" a="1"/>
  <c r="BJ44" i="8" s="1"/>
  <c r="BJ45" i="8" a="1"/>
  <c r="BJ45" i="8" s="1"/>
  <c r="F52" i="11"/>
  <c r="BH50" i="8" a="1"/>
  <c r="BH50" i="8" s="1"/>
  <c r="AY51" i="8"/>
  <c r="AO51" i="8"/>
  <c r="AZ51" i="8" s="1"/>
  <c r="BG93" i="8" a="1"/>
  <c r="BG93" i="8" s="1"/>
  <c r="BN93" i="8" a="1"/>
  <c r="BN93" i="8" s="1"/>
  <c r="BK33" i="8" a="1"/>
  <c r="BK33" i="8" s="1"/>
  <c r="BH29" i="8" a="1"/>
  <c r="BH29" i="8" s="1"/>
  <c r="BH58" i="8" a="1"/>
  <c r="BH58" i="8" s="1"/>
  <c r="F30" i="13" s="1"/>
  <c r="BF55" i="8" a="1"/>
  <c r="BF55" i="8" s="1"/>
  <c r="D29" i="13" s="1"/>
  <c r="AY58" i="8"/>
  <c r="G62" i="11" s="1"/>
  <c r="AO58" i="8"/>
  <c r="AZ58" i="8" s="1"/>
  <c r="AY73" i="8"/>
  <c r="G77" i="11" s="1"/>
  <c r="AO73" i="8"/>
  <c r="AZ73" i="8" s="1"/>
  <c r="BI14" i="8" a="1"/>
  <c r="BI14" i="8" s="1"/>
  <c r="BN14" i="8" a="1"/>
  <c r="BN14" i="8" s="1"/>
  <c r="BG14" i="8" a="1"/>
  <c r="BG14" i="8" s="1"/>
  <c r="BJ14" i="8" a="1"/>
  <c r="BJ14" i="8" s="1"/>
  <c r="BF14" i="8" a="1"/>
  <c r="BF14" i="8" s="1"/>
  <c r="BK14" i="8" a="1"/>
  <c r="BK14" i="8" s="1"/>
  <c r="F77" i="11"/>
  <c r="F65" i="11"/>
  <c r="BH63" i="8" a="1"/>
  <c r="BH63" i="8" s="1"/>
  <c r="BN32" i="8" a="1"/>
  <c r="BN32" i="8" s="1"/>
  <c r="BF53" i="8" a="1"/>
  <c r="BF53" i="8" s="1"/>
  <c r="BN53" i="8" a="1"/>
  <c r="BN53" i="8" s="1"/>
  <c r="BH53" i="8" a="1"/>
  <c r="BH53" i="8" s="1"/>
  <c r="BG53" i="8" a="1"/>
  <c r="BG53" i="8" s="1"/>
  <c r="BK53" i="8" a="1"/>
  <c r="BK53" i="8" s="1"/>
  <c r="BI53" i="8" a="1"/>
  <c r="BI53" i="8" s="1"/>
  <c r="AY70" i="8"/>
  <c r="G74" i="11" s="1"/>
  <c r="AO70" i="8"/>
  <c r="AZ70" i="8" s="1"/>
  <c r="BG90" i="8" a="1"/>
  <c r="BG90" i="8" s="1"/>
  <c r="BI84" i="8" a="1"/>
  <c r="BI84" i="8" s="1"/>
  <c r="BF84" i="8" a="1"/>
  <c r="BF84" i="8" s="1"/>
  <c r="BN84" i="8" a="1"/>
  <c r="BN84" i="8" s="1"/>
  <c r="BK84" i="8" a="1"/>
  <c r="BK84" i="8" s="1"/>
  <c r="BH84" i="8" a="1"/>
  <c r="BH84" i="8" s="1"/>
  <c r="BG84" i="8" a="1"/>
  <c r="BG84" i="8" s="1"/>
  <c r="AY30" i="8"/>
  <c r="G34" i="11" s="1"/>
  <c r="AO30" i="8"/>
  <c r="AZ30" i="8" s="1"/>
  <c r="F41" i="11"/>
  <c r="AY35" i="8"/>
  <c r="G39" i="11" s="1"/>
  <c r="AO35" i="8"/>
  <c r="AZ35" i="8" s="1"/>
  <c r="H39" i="11" s="1"/>
  <c r="AY48" i="8"/>
  <c r="AO48" i="8"/>
  <c r="AZ48" i="8" s="1"/>
  <c r="AY66" i="8"/>
  <c r="BF77" i="8" a="1"/>
  <c r="BF77" i="8" s="1"/>
  <c r="BG77" i="8" a="1"/>
  <c r="BG77" i="8" s="1"/>
  <c r="BN77" i="8" a="1"/>
  <c r="BN77" i="8" s="1"/>
  <c r="BH77" i="8" a="1"/>
  <c r="BH77" i="8" s="1"/>
  <c r="BK77" i="8" a="1"/>
  <c r="BK77" i="8" s="1"/>
  <c r="BI77" i="8" a="1"/>
  <c r="BI77" i="8" s="1"/>
  <c r="AY37" i="8"/>
  <c r="AO37" i="8"/>
  <c r="AZ37" i="8" s="1"/>
  <c r="AY82" i="8"/>
  <c r="G86" i="11" s="1"/>
  <c r="AO82" i="8"/>
  <c r="AZ82" i="8" s="1"/>
  <c r="H86" i="11" s="1"/>
  <c r="BG58" i="8" a="1"/>
  <c r="BG58" i="8" s="1"/>
  <c r="E30" i="13" s="1"/>
  <c r="BK58" i="8" a="1"/>
  <c r="BK58" i="8" s="1"/>
  <c r="BF58" i="8" a="1"/>
  <c r="BF58" i="8" s="1"/>
  <c r="D30" i="13" s="1"/>
  <c r="BI58" i="8" a="1"/>
  <c r="BI58" i="8" s="1"/>
  <c r="BN58" i="8" a="1"/>
  <c r="BN58" i="8" s="1"/>
  <c r="I30" i="13" s="1"/>
  <c r="AY13" i="8"/>
  <c r="G17" i="11" s="1"/>
  <c r="G106" i="11"/>
  <c r="BF90" i="8" a="1"/>
  <c r="BF90" i="8" s="1"/>
  <c r="BH46" i="8" a="1"/>
  <c r="BH46" i="8" s="1"/>
  <c r="F26" i="13" s="1"/>
  <c r="F73" i="11"/>
  <c r="AY53" i="8"/>
  <c r="G57" i="11" s="1"/>
  <c r="AO53" i="8"/>
  <c r="AZ53" i="8" s="1"/>
  <c r="BJ50" i="8" a="1"/>
  <c r="BJ50" i="8" s="1"/>
  <c r="AY61" i="8"/>
  <c r="AO61" i="8"/>
  <c r="AZ61" i="8" s="1"/>
  <c r="F47" i="11"/>
  <c r="BH43" i="8" a="1"/>
  <c r="BH43" i="8" s="1"/>
  <c r="F25" i="13" s="1"/>
  <c r="BH44" i="8" a="1"/>
  <c r="BH44" i="8" s="1"/>
  <c r="BH45" i="8" a="1"/>
  <c r="BH45" i="8" s="1"/>
  <c r="AY76" i="8"/>
  <c r="G80" i="11" s="1"/>
  <c r="AO76" i="8"/>
  <c r="AZ76" i="8" s="1"/>
  <c r="BF91" i="8" a="1"/>
  <c r="BF91" i="8" s="1"/>
  <c r="D41" i="13" s="1"/>
  <c r="BK91" i="8" a="1"/>
  <c r="BK91" i="8" s="1"/>
  <c r="BG91" i="8" a="1"/>
  <c r="BG91" i="8" s="1"/>
  <c r="E41" i="13" s="1"/>
  <c r="BN91" i="8" a="1"/>
  <c r="BN91" i="8" s="1"/>
  <c r="I41" i="13" s="1"/>
  <c r="BI91" i="8" a="1"/>
  <c r="BI91" i="8" s="1"/>
  <c r="BI59" i="8" a="1"/>
  <c r="BI59" i="8" s="1"/>
  <c r="BF59" i="8" a="1"/>
  <c r="BF59" i="8" s="1"/>
  <c r="BK59" i="8" a="1"/>
  <c r="BK59" i="8" s="1"/>
  <c r="BN59" i="8" a="1"/>
  <c r="BN59" i="8" s="1"/>
  <c r="BG59" i="8" a="1"/>
  <c r="BG59" i="8" s="1"/>
  <c r="BH13" i="8" a="1"/>
  <c r="BH13" i="8" s="1"/>
  <c r="F15" i="13" s="1"/>
  <c r="BK30" i="8" a="1"/>
  <c r="BK30" i="8" s="1"/>
  <c r="BN30" i="8" a="1"/>
  <c r="BN30" i="8" s="1"/>
  <c r="BI30" i="8" a="1"/>
  <c r="BI30" i="8" s="1"/>
  <c r="BG30" i="8" a="1"/>
  <c r="BG30" i="8" s="1"/>
  <c r="BF30" i="8" a="1"/>
  <c r="BF30" i="8" s="1"/>
  <c r="BK51" i="8" a="1"/>
  <c r="BK51" i="8" s="1"/>
  <c r="BG51" i="8" a="1"/>
  <c r="BG51" i="8" s="1"/>
  <c r="BH51" i="8" a="1"/>
  <c r="BH51" i="8" s="1"/>
  <c r="BN51" i="8" a="1"/>
  <c r="BN51" i="8" s="1"/>
  <c r="BJ51" i="8" a="1"/>
  <c r="BJ51" i="8" s="1"/>
  <c r="BI51" i="8" a="1"/>
  <c r="BI51" i="8" s="1"/>
  <c r="BF51" i="8" a="1"/>
  <c r="BF51" i="8" s="1"/>
  <c r="AY89" i="8"/>
  <c r="G93" i="11" s="1"/>
  <c r="AO89" i="8"/>
  <c r="AZ89" i="8" s="1"/>
  <c r="AY28" i="8"/>
  <c r="AO28" i="8"/>
  <c r="AZ28" i="8" s="1"/>
  <c r="AY69" i="8"/>
  <c r="AO69" i="8"/>
  <c r="AZ69" i="8" s="1"/>
  <c r="AY92" i="8"/>
  <c r="AO92" i="8"/>
  <c r="AZ92" i="8" s="1"/>
  <c r="BF68" i="8" a="1"/>
  <c r="BF68" i="8" s="1"/>
  <c r="BN68" i="8" a="1"/>
  <c r="BN68" i="8" s="1"/>
  <c r="BG68" i="8" a="1"/>
  <c r="BG68" i="8" s="1"/>
  <c r="BK68" i="8" a="1"/>
  <c r="BK68" i="8" s="1"/>
  <c r="BI68" i="8" a="1"/>
  <c r="BI68" i="8" s="1"/>
  <c r="BH94" i="8" a="1"/>
  <c r="BH94" i="8" s="1"/>
  <c r="F42" i="13" s="1"/>
  <c r="BI94" i="8" a="1"/>
  <c r="BI94" i="8" s="1"/>
  <c r="AY11" i="8"/>
  <c r="AO11" i="8"/>
  <c r="AZ11" i="8" s="1"/>
  <c r="BF92" i="8" a="1"/>
  <c r="BF92" i="8" s="1"/>
  <c r="G64" i="11"/>
  <c r="G82" i="11"/>
  <c r="AG20" i="8"/>
  <c r="AF21" i="8"/>
  <c r="AE21" i="8"/>
  <c r="AU18" i="8"/>
  <c r="BI16" i="8" a="1"/>
  <c r="BI16" i="8" s="1"/>
  <c r="BF16" i="8" a="1"/>
  <c r="BF16" i="8" s="1"/>
  <c r="D16" i="13" s="1"/>
  <c r="BK16" i="8" a="1"/>
  <c r="BK16" i="8" s="1"/>
  <c r="BG16" i="8" a="1"/>
  <c r="BG16" i="8" s="1"/>
  <c r="E16" i="13" s="1"/>
  <c r="BP18" i="8"/>
  <c r="I21" i="11"/>
  <c r="BF17" i="8" a="1"/>
  <c r="BF17" i="8" s="1"/>
  <c r="BG17" i="8" a="1"/>
  <c r="BG17" i="8" s="1"/>
  <c r="BN17" i="8" a="1"/>
  <c r="BN17" i="8" s="1"/>
  <c r="BK17" i="8" a="1"/>
  <c r="BK17" i="8" s="1"/>
  <c r="BI17" i="8" a="1"/>
  <c r="BI17" i="8" s="1"/>
  <c r="I22" i="11"/>
  <c r="AO16" i="8"/>
  <c r="AZ16" i="8" s="1"/>
  <c r="G18" i="11"/>
  <c r="H18" i="11"/>
  <c r="AN17" i="8"/>
  <c r="AY17" i="8" s="1"/>
  <c r="E22" i="11"/>
  <c r="Z19" i="8"/>
  <c r="AP19" i="8" s="1"/>
  <c r="BA19" i="8" s="1"/>
  <c r="W21" i="8"/>
  <c r="V21" i="8"/>
  <c r="AL18" i="8"/>
  <c r="AW18" i="8" s="1"/>
  <c r="D21" i="11"/>
  <c r="AM19" i="8"/>
  <c r="AX19" i="8" s="1"/>
  <c r="AK19" i="8"/>
  <c r="AV19" i="8" s="1"/>
  <c r="AJ19" i="8"/>
  <c r="AT19" i="8" s="1"/>
  <c r="AQ19" i="8"/>
  <c r="BB19" i="8" s="1"/>
  <c r="AI19" i="8"/>
  <c r="AS19" i="8" s="1"/>
  <c r="F20" i="11"/>
  <c r="X20" i="8"/>
  <c r="Y20" i="8"/>
  <c r="R25" i="11"/>
  <c r="K25" i="11"/>
  <c r="O25" i="11"/>
  <c r="Q25" i="11"/>
  <c r="P25" i="11"/>
  <c r="N25" i="11"/>
  <c r="M25" i="11"/>
  <c r="A22" i="8"/>
  <c r="B18" i="13"/>
  <c r="B26" i="11"/>
  <c r="U21" i="8"/>
  <c r="T21" i="8"/>
  <c r="Q22" i="8"/>
  <c r="P22" i="8"/>
  <c r="AC22" i="8"/>
  <c r="M22" i="8"/>
  <c r="O22" i="8"/>
  <c r="G22" i="8"/>
  <c r="F22" i="8"/>
  <c r="I22" i="8"/>
  <c r="N22" i="8"/>
  <c r="K22" i="8"/>
  <c r="H22" i="8"/>
  <c r="R22" i="8"/>
  <c r="AD22" i="8"/>
  <c r="J22" i="8"/>
  <c r="AO90" i="8" l="1"/>
  <c r="AZ90" i="8" s="1"/>
  <c r="BN107" i="8" a="1"/>
  <c r="BN107" i="8" s="1"/>
  <c r="BM78" i="8" a="1"/>
  <c r="BM78" i="8" s="1"/>
  <c r="BG107" i="8" a="1"/>
  <c r="BG107" i="8" s="1"/>
  <c r="BH107" i="8" a="1"/>
  <c r="BH107" i="8" s="1"/>
  <c r="AO72" i="8"/>
  <c r="AZ72" i="8" s="1"/>
  <c r="BG66" i="8" a="1"/>
  <c r="BG66" i="8" s="1"/>
  <c r="BG54" i="8" a="1"/>
  <c r="BG54" i="8" s="1"/>
  <c r="BN94" i="8" a="1"/>
  <c r="BN94" i="8" s="1"/>
  <c r="I42" i="13" s="1"/>
  <c r="BI93" i="8" a="1"/>
  <c r="BI93" i="8" s="1"/>
  <c r="BK81" i="8" a="1"/>
  <c r="BK81" i="8" s="1"/>
  <c r="BF97" i="8" a="1"/>
  <c r="BF97" i="8" s="1"/>
  <c r="D43" i="13" s="1"/>
  <c r="BG97" i="8" a="1"/>
  <c r="BG97" i="8" s="1"/>
  <c r="E43" i="13" s="1"/>
  <c r="BJ94" i="8" a="1"/>
  <c r="BJ94" i="8" s="1"/>
  <c r="G42" i="13" s="1"/>
  <c r="BK94" i="8" a="1"/>
  <c r="BK94" i="8" s="1"/>
  <c r="BI32" i="8" a="1"/>
  <c r="BI32" i="8" s="1"/>
  <c r="BK93" i="8" a="1"/>
  <c r="BK93" i="8" s="1"/>
  <c r="BF67" i="8" a="1"/>
  <c r="BF67" i="8" s="1"/>
  <c r="D33" i="13" s="1"/>
  <c r="AO100" i="8"/>
  <c r="AZ100" i="8" s="1"/>
  <c r="BI60" i="8" a="1"/>
  <c r="BI60" i="8" s="1"/>
  <c r="BF94" i="8" a="1"/>
  <c r="BF94" i="8" s="1"/>
  <c r="D42" i="13" s="1"/>
  <c r="BK60" i="8" a="1"/>
  <c r="BK60" i="8" s="1"/>
  <c r="BI55" i="8" a="1"/>
  <c r="BI55" i="8" s="1"/>
  <c r="BF31" i="8" a="1"/>
  <c r="BF31" i="8" s="1"/>
  <c r="D21" i="13" s="1"/>
  <c r="BK106" i="8" a="1"/>
  <c r="BK106" i="8" s="1"/>
  <c r="BF98" i="8" a="1"/>
  <c r="BF98" i="8" s="1"/>
  <c r="BI67" i="8" a="1"/>
  <c r="BI67" i="8" s="1"/>
  <c r="BK98" i="8" a="1"/>
  <c r="BK98" i="8" s="1"/>
  <c r="AO27" i="8"/>
  <c r="AZ27" i="8" s="1"/>
  <c r="H31" i="11" s="1"/>
  <c r="AO42" i="8"/>
  <c r="AZ42" i="8" s="1"/>
  <c r="H46" i="11" s="1"/>
  <c r="AO45" i="8"/>
  <c r="AZ45" i="8" s="1"/>
  <c r="H49" i="11" s="1"/>
  <c r="BK31" i="8" a="1"/>
  <c r="BK31" i="8" s="1"/>
  <c r="BF106" i="8" a="1"/>
  <c r="BF106" i="8" s="1"/>
  <c r="D46" i="13" s="1"/>
  <c r="BI98" i="8" a="1"/>
  <c r="BI98" i="8" s="1"/>
  <c r="BN98" i="8" a="1"/>
  <c r="BN98" i="8" s="1"/>
  <c r="BJ95" i="8" a="1"/>
  <c r="BJ95" i="8" s="1"/>
  <c r="BK67" i="8" a="1"/>
  <c r="BK67" i="8" s="1"/>
  <c r="BK66" i="8" a="1"/>
  <c r="BK66" i="8" s="1"/>
  <c r="BJ77" i="8" a="1"/>
  <c r="BJ77" i="8" s="1"/>
  <c r="BG104" i="8" a="1"/>
  <c r="BG104" i="8" s="1"/>
  <c r="BH15" i="8" a="1"/>
  <c r="BH15" i="8" s="1"/>
  <c r="BJ104" i="8" a="1"/>
  <c r="BJ104" i="8" s="1"/>
  <c r="BK42" i="8" a="1"/>
  <c r="BK42" i="8" s="1"/>
  <c r="BF42" i="8" a="1"/>
  <c r="BF42" i="8" s="1"/>
  <c r="BI42" i="8" a="1"/>
  <c r="BI42" i="8" s="1"/>
  <c r="BN42" i="8" a="1"/>
  <c r="BN42" i="8" s="1"/>
  <c r="BG42" i="8" a="1"/>
  <c r="BG42" i="8" s="1"/>
  <c r="BF60" i="8" a="1"/>
  <c r="BF60" i="8" s="1"/>
  <c r="BN92" i="8" a="1"/>
  <c r="BN92" i="8" s="1"/>
  <c r="BF33" i="8" a="1"/>
  <c r="BF33" i="8" s="1"/>
  <c r="BN81" i="8" a="1"/>
  <c r="BN81" i="8" s="1"/>
  <c r="BJ62" i="8" a="1"/>
  <c r="BJ62" i="8" s="1"/>
  <c r="BK92" i="8" a="1"/>
  <c r="BK92" i="8" s="1"/>
  <c r="BI33" i="8" a="1"/>
  <c r="BI33" i="8" s="1"/>
  <c r="BG81" i="8" a="1"/>
  <c r="BG81" i="8" s="1"/>
  <c r="BH42" i="8" a="1"/>
  <c r="BH42" i="8" s="1"/>
  <c r="BG40" i="8" a="1"/>
  <c r="BG40" i="8" s="1"/>
  <c r="E24" i="13" s="1"/>
  <c r="BF40" i="8" a="1"/>
  <c r="BF40" i="8" s="1"/>
  <c r="D24" i="13" s="1"/>
  <c r="BN60" i="8" a="1"/>
  <c r="BN60" i="8" s="1"/>
  <c r="BG92" i="8" a="1"/>
  <c r="BG92" i="8" s="1"/>
  <c r="BN33" i="8" a="1"/>
  <c r="BN33" i="8" s="1"/>
  <c r="BM102" i="8" a="1"/>
  <c r="BM102" i="8" s="1"/>
  <c r="BG101" i="8" a="1"/>
  <c r="BG101" i="8" s="1"/>
  <c r="BI81" i="8" a="1"/>
  <c r="BI81" i="8" s="1"/>
  <c r="BJ92" i="8" a="1"/>
  <c r="BJ92" i="8" s="1"/>
  <c r="BJ42" i="8" a="1"/>
  <c r="BJ42" i="8" s="1"/>
  <c r="BK40" i="8" a="1"/>
  <c r="BK40" i="8" s="1"/>
  <c r="BJ101" i="8" a="1"/>
  <c r="BJ101" i="8" s="1"/>
  <c r="BG103" i="8" a="1"/>
  <c r="BG103" i="8" s="1"/>
  <c r="E45" i="13" s="1"/>
  <c r="BN40" i="8" a="1"/>
  <c r="BN40" i="8" s="1"/>
  <c r="I24" i="13" s="1"/>
  <c r="BI66" i="8" a="1"/>
  <c r="BI66" i="8" s="1"/>
  <c r="AY32" i="8"/>
  <c r="G36" i="11" s="1"/>
  <c r="BI105" i="8" a="1"/>
  <c r="BI105" i="8" s="1"/>
  <c r="BK100" i="8" a="1"/>
  <c r="BK100" i="8" s="1"/>
  <c r="BI103" i="8" a="1"/>
  <c r="BI103" i="8" s="1"/>
  <c r="BF104" i="8" a="1"/>
  <c r="BF104" i="8" s="1"/>
  <c r="BG62" i="8" a="1"/>
  <c r="BG62" i="8" s="1"/>
  <c r="BF66" i="8" a="1"/>
  <c r="BF66" i="8" s="1"/>
  <c r="BF105" i="8" a="1"/>
  <c r="BF105" i="8" s="1"/>
  <c r="BN104" i="8" a="1"/>
  <c r="BN104" i="8" s="1"/>
  <c r="BJ64" i="8" a="1"/>
  <c r="BJ64" i="8" s="1"/>
  <c r="G32" i="13" s="1"/>
  <c r="AY97" i="8"/>
  <c r="G101" i="11" s="1"/>
  <c r="BH62" i="8" a="1"/>
  <c r="BH62" i="8" s="1"/>
  <c r="AO85" i="8"/>
  <c r="AZ85" i="8" s="1"/>
  <c r="H89" i="11" s="1"/>
  <c r="BJ86" i="8" a="1"/>
  <c r="BJ86" i="8" s="1"/>
  <c r="BH105" i="8" a="1"/>
  <c r="BH105" i="8" s="1"/>
  <c r="BJ34" i="8" a="1"/>
  <c r="BJ34" i="8" s="1"/>
  <c r="G22" i="13" s="1"/>
  <c r="AO43" i="8"/>
  <c r="AZ43" i="8" s="1"/>
  <c r="BM45" i="8" s="1" a="1"/>
  <c r="BM45" i="8" s="1"/>
  <c r="BF103" i="8" a="1"/>
  <c r="BF103" i="8" s="1"/>
  <c r="D45" i="13" s="1"/>
  <c r="BK62" i="8" a="1"/>
  <c r="BK62" i="8" s="1"/>
  <c r="AY36" i="8"/>
  <c r="G40" i="11" s="1"/>
  <c r="BN55" i="8" a="1"/>
  <c r="BN55" i="8" s="1"/>
  <c r="I29" i="13" s="1"/>
  <c r="BJ97" i="8" a="1"/>
  <c r="BJ97" i="8" s="1"/>
  <c r="G43" i="13" s="1"/>
  <c r="BN103" i="8" a="1"/>
  <c r="BN103" i="8" s="1"/>
  <c r="I45" i="13" s="1"/>
  <c r="BI95" i="8" a="1"/>
  <c r="BI95" i="8" s="1"/>
  <c r="BG95" i="8" a="1"/>
  <c r="BG95" i="8" s="1"/>
  <c r="AY62" i="8"/>
  <c r="G66" i="11" s="1"/>
  <c r="AY86" i="8"/>
  <c r="G90" i="11" s="1"/>
  <c r="AO86" i="8"/>
  <c r="AZ86" i="8" s="1"/>
  <c r="H90" i="11" s="1"/>
  <c r="BG76" i="8" a="1"/>
  <c r="BG76" i="8" s="1"/>
  <c r="E36" i="13" s="1"/>
  <c r="BG55" i="8" a="1"/>
  <c r="BG55" i="8" s="1"/>
  <c r="E29" i="13" s="1"/>
  <c r="BH55" i="8" a="1"/>
  <c r="BH55" i="8" s="1"/>
  <c r="F29" i="13" s="1"/>
  <c r="BN62" i="8" a="1"/>
  <c r="BN62" i="8" s="1"/>
  <c r="BI76" i="8" a="1"/>
  <c r="BI76" i="8" s="1"/>
  <c r="BI62" i="8" a="1"/>
  <c r="BI62" i="8" s="1"/>
  <c r="BI31" i="8" a="1"/>
  <c r="BI31" i="8" s="1"/>
  <c r="AO105" i="8"/>
  <c r="AZ105" i="8" s="1"/>
  <c r="H109" i="11" s="1"/>
  <c r="BJ31" i="8" a="1"/>
  <c r="BJ31" i="8" s="1"/>
  <c r="G21" i="13" s="1"/>
  <c r="BJ91" i="8" a="1"/>
  <c r="BJ91" i="8" s="1"/>
  <c r="G41" i="13" s="1"/>
  <c r="BK32" i="8" a="1"/>
  <c r="BK32" i="8" s="1"/>
  <c r="BK54" i="8" a="1"/>
  <c r="BK54" i="8" s="1"/>
  <c r="BN31" i="8" a="1"/>
  <c r="BN31" i="8" s="1"/>
  <c r="I21" i="13" s="1"/>
  <c r="BK97" i="8" a="1"/>
  <c r="BK97" i="8" s="1"/>
  <c r="AO94" i="8"/>
  <c r="AZ94" i="8" s="1"/>
  <c r="H98" i="11" s="1"/>
  <c r="BF32" i="8" a="1"/>
  <c r="BF32" i="8" s="1"/>
  <c r="BI54" i="8" a="1"/>
  <c r="BI54" i="8" s="1"/>
  <c r="BI97" i="8" a="1"/>
  <c r="BI97" i="8" s="1"/>
  <c r="AY34" i="8"/>
  <c r="G38" i="11" s="1"/>
  <c r="AO34" i="8"/>
  <c r="AZ34" i="8" s="1"/>
  <c r="BF54" i="8" a="1"/>
  <c r="BF54" i="8" s="1"/>
  <c r="BJ93" i="8" a="1"/>
  <c r="BJ93" i="8" s="1"/>
  <c r="BK109" i="8" a="1"/>
  <c r="BK109" i="8" s="1"/>
  <c r="BH92" i="8" a="1"/>
  <c r="BH92" i="8" s="1"/>
  <c r="BG34" i="8" a="1"/>
  <c r="BG34" i="8" s="1"/>
  <c r="E22" i="13" s="1"/>
  <c r="BF100" i="8" a="1"/>
  <c r="BF100" i="8" s="1"/>
  <c r="D44" i="13" s="1"/>
  <c r="BF34" i="8" a="1"/>
  <c r="BF34" i="8" s="1"/>
  <c r="D22" i="13" s="1"/>
  <c r="AY12" i="8"/>
  <c r="G16" i="11" s="1"/>
  <c r="BH54" i="8" a="1"/>
  <c r="BH54" i="8" s="1"/>
  <c r="BN100" i="8" a="1"/>
  <c r="BN100" i="8" s="1"/>
  <c r="I44" i="13" s="1"/>
  <c r="BF109" i="8" a="1"/>
  <c r="BF109" i="8" s="1"/>
  <c r="D47" i="13" s="1"/>
  <c r="BG109" i="8" a="1"/>
  <c r="BG109" i="8" s="1"/>
  <c r="E47" i="13" s="1"/>
  <c r="AY29" i="8"/>
  <c r="G33" i="11" s="1"/>
  <c r="BN34" i="8" a="1"/>
  <c r="BN34" i="8" s="1"/>
  <c r="I22" i="13" s="1"/>
  <c r="BI82" i="8" a="1"/>
  <c r="BI82" i="8" s="1"/>
  <c r="BI109" i="8" a="1"/>
  <c r="BI109" i="8" s="1"/>
  <c r="BH83" i="8" a="1"/>
  <c r="BH83" i="8" s="1"/>
  <c r="BK34" i="8" a="1"/>
  <c r="BK34" i="8" s="1"/>
  <c r="BF82" i="8" a="1"/>
  <c r="BF82" i="8" s="1"/>
  <c r="D38" i="13" s="1"/>
  <c r="BI64" i="8" a="1"/>
  <c r="BI64" i="8" s="1"/>
  <c r="BG64" i="8" a="1"/>
  <c r="BG64" i="8" s="1"/>
  <c r="E32" i="13" s="1"/>
  <c r="BK64" i="8" a="1"/>
  <c r="BK64" i="8" s="1"/>
  <c r="BN64" i="8" a="1"/>
  <c r="BN64" i="8" s="1"/>
  <c r="I32" i="13" s="1"/>
  <c r="BH60" i="8" a="1"/>
  <c r="BH60" i="8" s="1"/>
  <c r="BI101" i="8" a="1"/>
  <c r="BI101" i="8" s="1"/>
  <c r="BI74" i="8" a="1"/>
  <c r="BI74" i="8" s="1"/>
  <c r="BK101" i="8" a="1"/>
  <c r="BK101" i="8" s="1"/>
  <c r="BF74" i="8" a="1"/>
  <c r="BF74" i="8" s="1"/>
  <c r="BN101" i="8" a="1"/>
  <c r="BN101" i="8" s="1"/>
  <c r="BJ16" i="8" a="1"/>
  <c r="BJ16" i="8" s="1"/>
  <c r="G16" i="13" s="1"/>
  <c r="BJ57" i="8" a="1"/>
  <c r="BJ57" i="8" s="1"/>
  <c r="BJ35" i="8" a="1"/>
  <c r="BJ35" i="8" s="1"/>
  <c r="BJ17" i="8" a="1"/>
  <c r="BJ17" i="8" s="1"/>
  <c r="BJ69" i="8" a="1"/>
  <c r="BJ69" i="8" s="1"/>
  <c r="BG82" i="8" a="1"/>
  <c r="BG82" i="8" s="1"/>
  <c r="E38" i="13" s="1"/>
  <c r="BH91" i="8" a="1"/>
  <c r="BH91" i="8" s="1"/>
  <c r="F41" i="13" s="1"/>
  <c r="BJ49" i="8" a="1"/>
  <c r="BJ49" i="8" s="1"/>
  <c r="G27" i="13" s="1"/>
  <c r="BF83" i="8" a="1"/>
  <c r="BF83" i="8" s="1"/>
  <c r="BN76" i="8" a="1"/>
  <c r="BN76" i="8" s="1"/>
  <c r="I36" i="13" s="1"/>
  <c r="BH61" i="8" a="1"/>
  <c r="BH61" i="8" s="1"/>
  <c r="F31" i="13" s="1"/>
  <c r="BN74" i="8" a="1"/>
  <c r="BN74" i="8" s="1"/>
  <c r="BH93" i="8" a="1"/>
  <c r="BH93" i="8" s="1"/>
  <c r="BF95" i="8" a="1"/>
  <c r="BF95" i="8" s="1"/>
  <c r="AY95" i="8"/>
  <c r="G99" i="11" s="1"/>
  <c r="AO95" i="8"/>
  <c r="AZ95" i="8" s="1"/>
  <c r="H99" i="11" s="1"/>
  <c r="BF76" i="8" a="1"/>
  <c r="BF76" i="8" s="1"/>
  <c r="D36" i="13" s="1"/>
  <c r="BK74" i="8" a="1"/>
  <c r="BK74" i="8" s="1"/>
  <c r="BH69" i="8" a="1"/>
  <c r="BH69" i="8" s="1"/>
  <c r="BJ70" i="8" a="1"/>
  <c r="BJ70" i="8" s="1"/>
  <c r="G34" i="13" s="1"/>
  <c r="BN82" i="8" a="1"/>
  <c r="BN82" i="8" s="1"/>
  <c r="I38" i="13" s="1"/>
  <c r="BH99" i="8" a="1"/>
  <c r="BH99" i="8" s="1"/>
  <c r="BH68" i="8" a="1"/>
  <c r="BH68" i="8" s="1"/>
  <c r="BJ76" i="8" a="1"/>
  <c r="BJ76" i="8" s="1"/>
  <c r="G36" i="13" s="1"/>
  <c r="BJ74" i="8" a="1"/>
  <c r="BJ74" i="8" s="1"/>
  <c r="BI52" i="8" a="1"/>
  <c r="BI52" i="8" s="1"/>
  <c r="BJ105" i="8" a="1"/>
  <c r="BJ105" i="8" s="1"/>
  <c r="BJ48" i="8" a="1"/>
  <c r="BJ48" i="8" s="1"/>
  <c r="BJ103" i="8" a="1"/>
  <c r="BJ103" i="8" s="1"/>
  <c r="G45" i="13" s="1"/>
  <c r="BN52" i="8" a="1"/>
  <c r="BN52" i="8" s="1"/>
  <c r="I28" i="13" s="1"/>
  <c r="BH70" i="8" a="1"/>
  <c r="BH70" i="8" s="1"/>
  <c r="F34" i="13" s="1"/>
  <c r="BG56" i="8" a="1"/>
  <c r="BG56" i="8" s="1"/>
  <c r="BI56" i="8" a="1"/>
  <c r="BI56" i="8" s="1"/>
  <c r="BN56" i="8" a="1"/>
  <c r="BN56" i="8" s="1"/>
  <c r="BK56" i="8" a="1"/>
  <c r="BK56" i="8" s="1"/>
  <c r="AO46" i="8"/>
  <c r="AZ46" i="8" s="1"/>
  <c r="H50" i="11" s="1"/>
  <c r="AY24" i="8"/>
  <c r="G28" i="11" s="1"/>
  <c r="AO24" i="8"/>
  <c r="AZ24" i="8" s="1"/>
  <c r="BM25" i="8" s="1" a="1"/>
  <c r="BM25" i="8" s="1"/>
  <c r="H19" i="13" s="1"/>
  <c r="BJ26" i="8" a="1"/>
  <c r="BJ26" i="8" s="1"/>
  <c r="BH32" i="8" a="1"/>
  <c r="BH32" i="8" s="1"/>
  <c r="AY56" i="8"/>
  <c r="G60" i="11" s="1"/>
  <c r="AO56" i="8"/>
  <c r="AZ56" i="8" s="1"/>
  <c r="H60" i="11" s="1"/>
  <c r="BN95" i="8" a="1"/>
  <c r="BN95" i="8" s="1"/>
  <c r="BK95" i="8" a="1"/>
  <c r="BK95" i="8" s="1"/>
  <c r="BG110" i="8" a="1"/>
  <c r="BG110" i="8" s="1"/>
  <c r="BN110" i="8" a="1"/>
  <c r="BN110" i="8" s="1"/>
  <c r="BK110" i="8" a="1"/>
  <c r="BK110" i="8" s="1"/>
  <c r="BI110" i="8" a="1"/>
  <c r="BI110" i="8" s="1"/>
  <c r="BH106" i="8" a="1"/>
  <c r="BH106" i="8" s="1"/>
  <c r="F46" i="13" s="1"/>
  <c r="BJ60" i="8" a="1"/>
  <c r="BJ60" i="8" s="1"/>
  <c r="BJ96" i="8" a="1"/>
  <c r="BJ96" i="8" s="1"/>
  <c r="BH49" i="8" a="1"/>
  <c r="BH49" i="8" s="1"/>
  <c r="F27" i="13" s="1"/>
  <c r="AO67" i="8"/>
  <c r="AZ67" i="8" s="1"/>
  <c r="H71" i="11" s="1"/>
  <c r="BJ65" i="8" a="1"/>
  <c r="BJ65" i="8" s="1"/>
  <c r="BF110" i="8" a="1"/>
  <c r="BF110" i="8" s="1"/>
  <c r="BL62" i="8" a="1"/>
  <c r="BL62" i="8" s="1"/>
  <c r="BJ108" i="8" a="1"/>
  <c r="BJ108" i="8" s="1"/>
  <c r="BJ100" i="8" a="1"/>
  <c r="BJ100" i="8" s="1"/>
  <c r="G44" i="13" s="1"/>
  <c r="BJ54" i="8" a="1"/>
  <c r="BJ54" i="8" s="1"/>
  <c r="BJ66" i="8" a="1"/>
  <c r="BJ66" i="8" s="1"/>
  <c r="BI108" i="8" a="1"/>
  <c r="BI108" i="8" s="1"/>
  <c r="BK108" i="8" a="1"/>
  <c r="BK108" i="8" s="1"/>
  <c r="BG108" i="8" a="1"/>
  <c r="BG108" i="8" s="1"/>
  <c r="BN108" i="8" a="1"/>
  <c r="BN108" i="8" s="1"/>
  <c r="AO68" i="8"/>
  <c r="AZ68" i="8" s="1"/>
  <c r="H72" i="11" s="1"/>
  <c r="AY68" i="8"/>
  <c r="G72" i="11" s="1"/>
  <c r="BM42" i="8" a="1"/>
  <c r="BM42" i="8" s="1"/>
  <c r="BJ84" i="8" a="1"/>
  <c r="BJ84" i="8" s="1"/>
  <c r="BJ32" i="8" a="1"/>
  <c r="BJ32" i="8" s="1"/>
  <c r="AY108" i="8"/>
  <c r="G112" i="11" s="1"/>
  <c r="AO108" i="8"/>
  <c r="AZ108" i="8" s="1"/>
  <c r="H112" i="11" s="1"/>
  <c r="BJ82" i="8" a="1"/>
  <c r="BJ82" i="8" s="1"/>
  <c r="G38" i="13" s="1"/>
  <c r="BH16" i="8" a="1"/>
  <c r="BH16" i="8" s="1"/>
  <c r="F16" i="13" s="1"/>
  <c r="BJ99" i="8" a="1"/>
  <c r="BJ99" i="8" s="1"/>
  <c r="BJ33" i="8" a="1"/>
  <c r="BJ33" i="8" s="1"/>
  <c r="BJ107" i="8" a="1"/>
  <c r="BJ107" i="8" s="1"/>
  <c r="BH74" i="8" a="1"/>
  <c r="BH74" i="8" s="1"/>
  <c r="AY103" i="8"/>
  <c r="BL105" i="8" s="1" a="1"/>
  <c r="BL105" i="8" s="1"/>
  <c r="AO103" i="8"/>
  <c r="AZ103" i="8" s="1"/>
  <c r="BM103" i="8" s="1" a="1"/>
  <c r="BM103" i="8" s="1"/>
  <c r="H45" i="13" s="1"/>
  <c r="BM79" i="8" a="1"/>
  <c r="BM79" i="8" s="1"/>
  <c r="H37" i="13" s="1"/>
  <c r="BH33" i="8" a="1"/>
  <c r="BH33" i="8" s="1"/>
  <c r="BH75" i="8" a="1"/>
  <c r="BH75" i="8" s="1"/>
  <c r="BJ59" i="8" a="1"/>
  <c r="BJ59" i="8" s="1"/>
  <c r="AY39" i="8"/>
  <c r="BL39" i="8" s="1" a="1"/>
  <c r="BL39" i="8" s="1"/>
  <c r="AO39" i="8"/>
  <c r="AZ39" i="8" s="1"/>
  <c r="BM39" i="8" s="1" a="1"/>
  <c r="BM39" i="8" s="1"/>
  <c r="AO33" i="8"/>
  <c r="AZ33" i="8" s="1"/>
  <c r="H37" i="11" s="1"/>
  <c r="AY33" i="8"/>
  <c r="G37" i="11" s="1"/>
  <c r="BJ40" i="8" a="1"/>
  <c r="BJ40" i="8" s="1"/>
  <c r="G24" i="13" s="1"/>
  <c r="BJ41" i="8" a="1"/>
  <c r="BJ41" i="8" s="1"/>
  <c r="BH48" i="8" a="1"/>
  <c r="BH48" i="8" s="1"/>
  <c r="BH76" i="8" a="1"/>
  <c r="BH76" i="8" s="1"/>
  <c r="F36" i="13" s="1"/>
  <c r="BJ98" i="8" a="1"/>
  <c r="BJ98" i="8" s="1"/>
  <c r="BJ89" i="8" a="1"/>
  <c r="BJ89" i="8" s="1"/>
  <c r="BJ81" i="8" a="1"/>
  <c r="BJ81" i="8" s="1"/>
  <c r="AY15" i="8"/>
  <c r="G19" i="11" s="1"/>
  <c r="AO15" i="8"/>
  <c r="AZ15" i="8" s="1"/>
  <c r="H19" i="11" s="1"/>
  <c r="F43" i="11"/>
  <c r="BH41" i="8" a="1"/>
  <c r="BH41" i="8" s="1"/>
  <c r="BH40" i="8" a="1"/>
  <c r="BH40" i="8" s="1"/>
  <c r="F24" i="13" s="1"/>
  <c r="F107" i="11"/>
  <c r="BH104" i="8" a="1"/>
  <c r="BH104" i="8" s="1"/>
  <c r="AY98" i="8"/>
  <c r="G102" i="11" s="1"/>
  <c r="AO98" i="8"/>
  <c r="AZ98" i="8" s="1"/>
  <c r="H102" i="11" s="1"/>
  <c r="BL42" i="8" a="1"/>
  <c r="BL42" i="8" s="1"/>
  <c r="BH34" i="8" a="1"/>
  <c r="BH34" i="8" s="1"/>
  <c r="F22" i="13" s="1"/>
  <c r="BH47" i="8" a="1"/>
  <c r="BH47" i="8" s="1"/>
  <c r="BJ106" i="8" a="1"/>
  <c r="BJ106" i="8" s="1"/>
  <c r="G46" i="13" s="1"/>
  <c r="BJ56" i="8" a="1"/>
  <c r="BJ56" i="8" s="1"/>
  <c r="BJ55" i="8" a="1"/>
  <c r="BJ55" i="8" s="1"/>
  <c r="G29" i="13" s="1"/>
  <c r="BH35" i="8" a="1"/>
  <c r="BH35" i="8" s="1"/>
  <c r="BJ85" i="8" a="1"/>
  <c r="BJ85" i="8" s="1"/>
  <c r="G39" i="13" s="1"/>
  <c r="BK35" i="8" a="1"/>
  <c r="BK35" i="8" s="1"/>
  <c r="BI35" i="8" a="1"/>
  <c r="BI35" i="8" s="1"/>
  <c r="BN35" i="8" a="1"/>
  <c r="BN35" i="8" s="1"/>
  <c r="BG35" i="8" a="1"/>
  <c r="BG35" i="8" s="1"/>
  <c r="BF35" i="8" a="1"/>
  <c r="BF35" i="8" s="1"/>
  <c r="BH103" i="8" a="1"/>
  <c r="BH103" i="8" s="1"/>
  <c r="F45" i="13" s="1"/>
  <c r="AO65" i="8"/>
  <c r="AZ65" i="8" s="1"/>
  <c r="H69" i="11" s="1"/>
  <c r="AY65" i="8"/>
  <c r="G69" i="11" s="1"/>
  <c r="AO96" i="8"/>
  <c r="AZ96" i="8" s="1"/>
  <c r="H100" i="11" s="1"/>
  <c r="AY96" i="8"/>
  <c r="G100" i="11" s="1"/>
  <c r="AY106" i="8"/>
  <c r="BL107" i="8" s="1" a="1"/>
  <c r="BL107" i="8" s="1"/>
  <c r="AO106" i="8"/>
  <c r="AZ106" i="8" s="1"/>
  <c r="H29" i="11"/>
  <c r="F68" i="11"/>
  <c r="BH64" i="8" a="1"/>
  <c r="BH64" i="8" s="1"/>
  <c r="F32" i="13" s="1"/>
  <c r="BH65" i="8" a="1"/>
  <c r="BH65" i="8" s="1"/>
  <c r="AO109" i="8"/>
  <c r="AZ109" i="8" s="1"/>
  <c r="AY109" i="8"/>
  <c r="BH97" i="8" a="1"/>
  <c r="BH97" i="8" s="1"/>
  <c r="F43" i="13" s="1"/>
  <c r="BI83" i="8" a="1"/>
  <c r="BI83" i="8" s="1"/>
  <c r="BK52" i="8" a="1"/>
  <c r="BK52" i="8" s="1"/>
  <c r="AY52" i="8"/>
  <c r="G56" i="11" s="1"/>
  <c r="AO52" i="8"/>
  <c r="AZ52" i="8" s="1"/>
  <c r="H56" i="11" s="1"/>
  <c r="G29" i="11"/>
  <c r="BL27" i="8" a="1"/>
  <c r="BL27" i="8" s="1"/>
  <c r="BJ111" i="8" a="1"/>
  <c r="BJ111" i="8" s="1"/>
  <c r="BJ109" i="8" a="1"/>
  <c r="BJ109" i="8" s="1"/>
  <c r="G47" i="13" s="1"/>
  <c r="BJ110" i="8" a="1"/>
  <c r="BJ110" i="8" s="1"/>
  <c r="F59" i="11"/>
  <c r="BH57" i="8" a="1"/>
  <c r="BH57" i="8" s="1"/>
  <c r="AY83" i="8"/>
  <c r="AO83" i="8"/>
  <c r="AZ83" i="8" s="1"/>
  <c r="BH90" i="8" a="1"/>
  <c r="BH90" i="8" s="1"/>
  <c r="AO74" i="8"/>
  <c r="AZ74" i="8" s="1"/>
  <c r="H78" i="11" s="1"/>
  <c r="AY74" i="8"/>
  <c r="BL74" i="8" s="1" a="1"/>
  <c r="BL74" i="8" s="1"/>
  <c r="AY31" i="8"/>
  <c r="G35" i="11" s="1"/>
  <c r="AO31" i="8"/>
  <c r="AZ31" i="8" s="1"/>
  <c r="H35" i="11" s="1"/>
  <c r="AY84" i="8"/>
  <c r="AO84" i="8"/>
  <c r="AZ84" i="8" s="1"/>
  <c r="AO80" i="8"/>
  <c r="AZ80" i="8" s="1"/>
  <c r="AY80" i="8"/>
  <c r="BL80" i="8" s="1" a="1"/>
  <c r="BL80" i="8" s="1"/>
  <c r="AY88" i="8"/>
  <c r="G92" i="11" s="1"/>
  <c r="AO88" i="8"/>
  <c r="AZ88" i="8" s="1"/>
  <c r="H92" i="11" s="1"/>
  <c r="BL46" i="8" a="1"/>
  <c r="BL46" i="8" s="1"/>
  <c r="BH59" i="8" a="1"/>
  <c r="BH59" i="8" s="1"/>
  <c r="BH98" i="8" a="1"/>
  <c r="BH98" i="8" s="1"/>
  <c r="BG83" i="8" a="1"/>
  <c r="BG83" i="8" s="1"/>
  <c r="BF52" i="8" a="1"/>
  <c r="BF52" i="8" s="1"/>
  <c r="D28" i="13" s="1"/>
  <c r="BJ83" i="8" a="1"/>
  <c r="BJ83" i="8" s="1"/>
  <c r="AY99" i="8"/>
  <c r="G103" i="11" s="1"/>
  <c r="AO99" i="8"/>
  <c r="AZ99" i="8" s="1"/>
  <c r="BM101" i="8" s="1" a="1"/>
  <c r="BM101" i="8" s="1"/>
  <c r="AY47" i="8"/>
  <c r="G51" i="11" s="1"/>
  <c r="AO47" i="8"/>
  <c r="AZ47" i="8" s="1"/>
  <c r="BM49" i="8" s="1" a="1"/>
  <c r="BM49" i="8" s="1"/>
  <c r="AO87" i="8"/>
  <c r="AZ87" i="8" s="1"/>
  <c r="AY87" i="8"/>
  <c r="BH31" i="8" a="1"/>
  <c r="BH31" i="8" s="1"/>
  <c r="F21" i="13" s="1"/>
  <c r="AY64" i="8"/>
  <c r="AO64" i="8"/>
  <c r="AZ64" i="8" s="1"/>
  <c r="BE71" i="8"/>
  <c r="BE72" i="8"/>
  <c r="BE73" i="8"/>
  <c r="BF88" i="8" a="1"/>
  <c r="BF88" i="8" s="1"/>
  <c r="D40" i="13" s="1"/>
  <c r="BJ88" i="8" a="1"/>
  <c r="BJ88" i="8" s="1"/>
  <c r="G40" i="13" s="1"/>
  <c r="BG88" i="8" a="1"/>
  <c r="BG88" i="8" s="1"/>
  <c r="E40" i="13" s="1"/>
  <c r="BK88" i="8" a="1"/>
  <c r="BK88" i="8" s="1"/>
  <c r="BN88" i="8" a="1"/>
  <c r="BN88" i="8" s="1"/>
  <c r="I40" i="13" s="1"/>
  <c r="BH88" i="8" a="1"/>
  <c r="BH88" i="8" s="1"/>
  <c r="F40" i="13" s="1"/>
  <c r="BI88" i="8" a="1"/>
  <c r="BI88" i="8" s="1"/>
  <c r="BH100" i="8" a="1"/>
  <c r="BH100" i="8" s="1"/>
  <c r="F44" i="13" s="1"/>
  <c r="BH101" i="8" a="1"/>
  <c r="BH101" i="8" s="1"/>
  <c r="BK83" i="8" a="1"/>
  <c r="BK83" i="8" s="1"/>
  <c r="BH52" i="8" a="1"/>
  <c r="BH52" i="8" s="1"/>
  <c r="F28" i="13" s="1"/>
  <c r="BH82" i="8" a="1"/>
  <c r="BH82" i="8" s="1"/>
  <c r="F38" i="13" s="1"/>
  <c r="F110" i="11"/>
  <c r="BH108" i="8" a="1"/>
  <c r="BH108" i="8" s="1"/>
  <c r="BH67" i="8" a="1"/>
  <c r="BH67" i="8" s="1"/>
  <c r="F33" i="13" s="1"/>
  <c r="F113" i="11"/>
  <c r="BH111" i="8" a="1"/>
  <c r="BH111" i="8" s="1"/>
  <c r="BH110" i="8" a="1"/>
  <c r="BH110" i="8" s="1"/>
  <c r="BH109" i="8" a="1"/>
  <c r="BH109" i="8" s="1"/>
  <c r="F47" i="13" s="1"/>
  <c r="AY54" i="8"/>
  <c r="AO54" i="8"/>
  <c r="AZ54" i="8" s="1"/>
  <c r="BH96" i="8" a="1"/>
  <c r="BH96" i="8" s="1"/>
  <c r="BN89" i="8" a="1"/>
  <c r="BN89" i="8" s="1"/>
  <c r="BG89" i="8" a="1"/>
  <c r="BG89" i="8" s="1"/>
  <c r="BH89" i="8" a="1"/>
  <c r="BH89" i="8" s="1"/>
  <c r="BI89" i="8" a="1"/>
  <c r="BI89" i="8" s="1"/>
  <c r="BF89" i="8" a="1"/>
  <c r="BF89" i="8" s="1"/>
  <c r="BK89" i="8" a="1"/>
  <c r="BK89" i="8" s="1"/>
  <c r="AY55" i="8"/>
  <c r="AO55" i="8"/>
  <c r="AZ55" i="8" s="1"/>
  <c r="BH66" i="8" a="1"/>
  <c r="BH66" i="8" s="1"/>
  <c r="AY71" i="8"/>
  <c r="G75" i="11" s="1"/>
  <c r="AO71" i="8"/>
  <c r="AZ71" i="8" s="1"/>
  <c r="H75" i="11" s="1"/>
  <c r="AO59" i="8"/>
  <c r="AZ59" i="8" s="1"/>
  <c r="H63" i="11" s="1"/>
  <c r="AY59" i="8"/>
  <c r="BJ53" i="8" a="1"/>
  <c r="BJ53" i="8" s="1"/>
  <c r="BJ52" i="8" a="1"/>
  <c r="BJ52" i="8" s="1"/>
  <c r="G28" i="13" s="1"/>
  <c r="BJ67" i="8" a="1"/>
  <c r="BJ67" i="8" s="1"/>
  <c r="G33" i="13" s="1"/>
  <c r="BH81" i="8" a="1"/>
  <c r="BH81" i="8" s="1"/>
  <c r="F58" i="11"/>
  <c r="BH56" i="8" a="1"/>
  <c r="BH56" i="8" s="1"/>
  <c r="AY81" i="8"/>
  <c r="AO81" i="8"/>
  <c r="AZ81" i="8" s="1"/>
  <c r="AY91" i="8"/>
  <c r="G95" i="11" s="1"/>
  <c r="AO91" i="8"/>
  <c r="AZ91" i="8" s="1"/>
  <c r="H95" i="11" s="1"/>
  <c r="F84" i="11"/>
  <c r="BH80" i="8" a="1"/>
  <c r="BH80" i="8" s="1"/>
  <c r="BK87" i="8" a="1"/>
  <c r="BK87" i="8" s="1"/>
  <c r="BG87" i="8" a="1"/>
  <c r="BG87" i="8" s="1"/>
  <c r="BJ87" i="8" a="1"/>
  <c r="BJ87" i="8" s="1"/>
  <c r="BH87" i="8" a="1"/>
  <c r="BH87" i="8" s="1"/>
  <c r="BF87" i="8" a="1"/>
  <c r="BF87" i="8" s="1"/>
  <c r="BI87" i="8" a="1"/>
  <c r="BI87" i="8" s="1"/>
  <c r="BN87" i="8" a="1"/>
  <c r="BN87" i="8" s="1"/>
  <c r="BM14" i="8" a="1"/>
  <c r="BM14" i="8" s="1"/>
  <c r="BL79" i="8" a="1"/>
  <c r="BL79" i="8" s="1"/>
  <c r="G104" i="11"/>
  <c r="BL102" i="8" a="1"/>
  <c r="BL102" i="8" s="1"/>
  <c r="BO102" i="8" s="1"/>
  <c r="H104" i="11"/>
  <c r="H34" i="11"/>
  <c r="H77" i="11"/>
  <c r="H96" i="11"/>
  <c r="BM94" i="8" a="1"/>
  <c r="BM94" i="8" s="1"/>
  <c r="H73" i="11"/>
  <c r="H93" i="11"/>
  <c r="H76" i="11"/>
  <c r="G96" i="11"/>
  <c r="BL94" i="8" a="1"/>
  <c r="BL94" i="8" s="1"/>
  <c r="BL77" i="8" a="1"/>
  <c r="BL77" i="8" s="1"/>
  <c r="H15" i="11"/>
  <c r="BM13" i="8" a="1"/>
  <c r="BM13" i="8" s="1"/>
  <c r="H32" i="11"/>
  <c r="H70" i="11"/>
  <c r="H101" i="11"/>
  <c r="H62" i="11"/>
  <c r="BL78" i="8" a="1"/>
  <c r="BL78" i="8" s="1"/>
  <c r="BO78" i="8" s="1"/>
  <c r="G73" i="11"/>
  <c r="G70" i="11"/>
  <c r="BM37" i="8" a="1"/>
  <c r="BM37" i="8" s="1"/>
  <c r="H23" i="13" s="1"/>
  <c r="BM30" i="8" a="1"/>
  <c r="BM30" i="8" s="1"/>
  <c r="G15" i="11"/>
  <c r="BL13" i="8" a="1"/>
  <c r="BL13" i="8" s="1"/>
  <c r="BL45" i="8" a="1"/>
  <c r="BL45" i="8" s="1"/>
  <c r="BL44" i="8" a="1"/>
  <c r="BL44" i="8" s="1"/>
  <c r="G47" i="11"/>
  <c r="BL43" i="8" a="1"/>
  <c r="BL43" i="8" s="1"/>
  <c r="G32" i="11"/>
  <c r="BL28" i="8" a="1"/>
  <c r="BL28" i="8" s="1"/>
  <c r="H65" i="11"/>
  <c r="BM62" i="8" a="1"/>
  <c r="BM62" i="8" s="1"/>
  <c r="BM63" i="8" a="1"/>
  <c r="BM63" i="8" s="1"/>
  <c r="H41" i="11"/>
  <c r="BM38" i="8" a="1"/>
  <c r="BM38" i="8" s="1"/>
  <c r="H52" i="11"/>
  <c r="BM50" i="8" a="1"/>
  <c r="BM50" i="8" s="1"/>
  <c r="H55" i="11"/>
  <c r="BM51" i="8" a="1"/>
  <c r="BM51" i="8" s="1"/>
  <c r="G98" i="11"/>
  <c r="H57" i="11"/>
  <c r="BL14" i="8" a="1"/>
  <c r="BL14" i="8" s="1"/>
  <c r="H94" i="11"/>
  <c r="H80" i="11"/>
  <c r="BM77" i="8" a="1"/>
  <c r="BM77" i="8" s="1"/>
  <c r="G65" i="11"/>
  <c r="G41" i="11"/>
  <c r="G52" i="11"/>
  <c r="BL50" i="8" a="1"/>
  <c r="BL50" i="8" s="1"/>
  <c r="H74" i="11"/>
  <c r="G55" i="11"/>
  <c r="BL51" i="8" a="1"/>
  <c r="BL51" i="8" s="1"/>
  <c r="AG21" i="8"/>
  <c r="AE22" i="8"/>
  <c r="AF22" i="8"/>
  <c r="AG22" i="8" s="1"/>
  <c r="AU19" i="8"/>
  <c r="F23" i="11" s="1"/>
  <c r="BP19" i="8"/>
  <c r="BD18" i="8"/>
  <c r="BE18" i="8" s="1"/>
  <c r="BI18" i="8" s="1" a="1"/>
  <c r="BI18" i="8" s="1"/>
  <c r="BD19" i="8"/>
  <c r="AO17" i="8"/>
  <c r="AZ17" i="8" s="1"/>
  <c r="H20" i="11"/>
  <c r="O18" i="13"/>
  <c r="M18" i="13"/>
  <c r="Q18" i="13"/>
  <c r="V22" i="8"/>
  <c r="W22" i="8"/>
  <c r="AL19" i="8"/>
  <c r="AW19" i="8" s="1"/>
  <c r="X21" i="8"/>
  <c r="Y21" i="8"/>
  <c r="D22" i="11"/>
  <c r="AN18" i="8"/>
  <c r="AY18" i="8" s="1"/>
  <c r="Z20" i="8"/>
  <c r="AP20" i="8" s="1"/>
  <c r="BA20" i="8" s="1"/>
  <c r="AI20" i="8"/>
  <c r="AS20" i="8" s="1"/>
  <c r="AJ20" i="8"/>
  <c r="AT20" i="8" s="1"/>
  <c r="AM20" i="8"/>
  <c r="AX20" i="8" s="1"/>
  <c r="AK20" i="8"/>
  <c r="AV20" i="8" s="1"/>
  <c r="AQ20" i="8"/>
  <c r="BB20" i="8" s="1"/>
  <c r="F21" i="11"/>
  <c r="BH17" i="8" a="1"/>
  <c r="BH17" i="8" s="1"/>
  <c r="R26" i="11"/>
  <c r="R18" i="13" s="1"/>
  <c r="O26" i="11"/>
  <c r="K26" i="11"/>
  <c r="K18" i="13" s="1"/>
  <c r="M26" i="11"/>
  <c r="N26" i="11"/>
  <c r="N18" i="13" s="1"/>
  <c r="P26" i="11"/>
  <c r="P18" i="13" s="1"/>
  <c r="Q26" i="11"/>
  <c r="M19" i="13"/>
  <c r="M22" i="13"/>
  <c r="O22" i="13"/>
  <c r="Q21" i="13"/>
  <c r="M20" i="13"/>
  <c r="Q22" i="13"/>
  <c r="Q19" i="13"/>
  <c r="Q20" i="13"/>
  <c r="O20" i="13"/>
  <c r="O21" i="13"/>
  <c r="O19" i="13"/>
  <c r="M21" i="13"/>
  <c r="R19" i="13"/>
  <c r="N20" i="13"/>
  <c r="P20" i="13"/>
  <c r="N19" i="13"/>
  <c r="P19" i="13"/>
  <c r="N22" i="13"/>
  <c r="R21" i="13"/>
  <c r="N21" i="13"/>
  <c r="Q15" i="13"/>
  <c r="K19" i="13"/>
  <c r="K21" i="13"/>
  <c r="R22" i="13"/>
  <c r="M15" i="13"/>
  <c r="P21" i="13"/>
  <c r="O15" i="13"/>
  <c r="P22" i="13"/>
  <c r="K20" i="13"/>
  <c r="K22" i="13"/>
  <c r="R20" i="13"/>
  <c r="P15" i="13"/>
  <c r="K15" i="13"/>
  <c r="R15" i="13"/>
  <c r="O16" i="13"/>
  <c r="N15" i="13"/>
  <c r="Q16" i="13"/>
  <c r="M16" i="13"/>
  <c r="N16" i="13"/>
  <c r="K16" i="13"/>
  <c r="R16" i="13"/>
  <c r="P16" i="13"/>
  <c r="O17" i="13"/>
  <c r="M17" i="13"/>
  <c r="Q17" i="13"/>
  <c r="R17" i="13"/>
  <c r="N17" i="13"/>
  <c r="P17" i="13"/>
  <c r="K17" i="13"/>
  <c r="D23" i="11"/>
  <c r="T23" i="8"/>
  <c r="T22" i="8"/>
  <c r="U22" i="8"/>
  <c r="U23" i="8"/>
  <c r="BM28" i="8" l="1" a="1"/>
  <c r="BM28" i="8" s="1"/>
  <c r="BM29" i="8" a="1"/>
  <c r="BM29" i="8" s="1"/>
  <c r="BM27" i="8" a="1"/>
  <c r="BM27" i="8" s="1"/>
  <c r="BL63" i="8" a="1"/>
  <c r="BL63" i="8" s="1"/>
  <c r="BO63" i="8" s="1"/>
  <c r="BL38" i="8" a="1"/>
  <c r="BL38" i="8" s="1"/>
  <c r="BO38" i="8" s="1"/>
  <c r="BM107" i="8" a="1"/>
  <c r="BM107" i="8" s="1"/>
  <c r="BO107" i="8" s="1"/>
  <c r="BL68" i="8" a="1"/>
  <c r="BL68" i="8" s="1"/>
  <c r="BL37" i="8" a="1"/>
  <c r="BL37" i="8" s="1"/>
  <c r="H47" i="11"/>
  <c r="BL36" i="8" a="1"/>
  <c r="BL36" i="8" s="1"/>
  <c r="BM44" i="8" a="1"/>
  <c r="BM44" i="8" s="1"/>
  <c r="BO44" i="8" s="1"/>
  <c r="BL58" i="8" a="1"/>
  <c r="BL58" i="8" s="1"/>
  <c r="BM43" i="8" a="1"/>
  <c r="BM43" i="8" s="1"/>
  <c r="BO43" i="8" s="1"/>
  <c r="BL30" i="8" a="1"/>
  <c r="BL30" i="8" s="1"/>
  <c r="BO30" i="8" s="1"/>
  <c r="BL49" i="8" a="1"/>
  <c r="BL49" i="8" s="1"/>
  <c r="BO49" i="8" s="1"/>
  <c r="BM95" i="8" a="1"/>
  <c r="BM95" i="8" s="1"/>
  <c r="H38" i="11"/>
  <c r="BM36" i="8" a="1"/>
  <c r="BM36" i="8" s="1"/>
  <c r="BO36" i="8" s="1"/>
  <c r="BL69" i="8" a="1"/>
  <c r="BL69" i="8" s="1"/>
  <c r="BL70" i="8" a="1"/>
  <c r="BL70" i="8" s="1"/>
  <c r="BM92" i="8" a="1"/>
  <c r="BM92" i="8" s="1"/>
  <c r="BL29" i="8" a="1"/>
  <c r="BL29" i="8" s="1"/>
  <c r="BO29" i="8" s="1"/>
  <c r="BL47" i="8" a="1"/>
  <c r="BL47" i="8" s="1"/>
  <c r="BM16" i="8" a="1"/>
  <c r="BM16" i="8" s="1"/>
  <c r="H16" i="13" s="1"/>
  <c r="BM90" i="8" a="1"/>
  <c r="BM90" i="8" s="1"/>
  <c r="BL106" i="8" a="1"/>
  <c r="BL106" i="8" s="1"/>
  <c r="BM40" i="8" a="1"/>
  <c r="BM40" i="8" s="1"/>
  <c r="H24" i="13" s="1"/>
  <c r="BM32" i="8" a="1"/>
  <c r="BM32" i="8" s="1"/>
  <c r="BL101" i="8" a="1"/>
  <c r="BL101" i="8" s="1"/>
  <c r="BO101" i="8" s="1"/>
  <c r="BO42" i="8"/>
  <c r="BL95" i="8" a="1"/>
  <c r="BL95" i="8" s="1"/>
  <c r="BM105" i="8" a="1"/>
  <c r="BM105" i="8" s="1"/>
  <c r="BO105" i="8" s="1"/>
  <c r="BL67" i="8" a="1"/>
  <c r="BL67" i="8" s="1"/>
  <c r="BL66" i="8" a="1"/>
  <c r="BL66" i="8" s="1"/>
  <c r="BL25" i="8" a="1"/>
  <c r="BL25" i="8" s="1"/>
  <c r="BO25" i="8" s="1"/>
  <c r="BL17" i="8" a="1"/>
  <c r="BL17" i="8" s="1"/>
  <c r="BM68" i="8" a="1"/>
  <c r="BM68" i="8" s="1"/>
  <c r="BO68" i="8" s="1"/>
  <c r="BM33" i="8" a="1"/>
  <c r="BM33" i="8" s="1"/>
  <c r="BM59" i="8" a="1"/>
  <c r="BM59" i="8" s="1"/>
  <c r="BM60" i="8" a="1"/>
  <c r="BM60" i="8" s="1"/>
  <c r="BM35" i="8" a="1"/>
  <c r="BM35" i="8" s="1"/>
  <c r="BM69" i="8" a="1"/>
  <c r="BM69" i="8" s="1"/>
  <c r="BM46" i="8" a="1"/>
  <c r="BM46" i="8" s="1"/>
  <c r="H26" i="13" s="1"/>
  <c r="BL31" i="8" a="1"/>
  <c r="BL31" i="8" s="1"/>
  <c r="BM58" i="8" a="1"/>
  <c r="BM58" i="8" s="1"/>
  <c r="H30" i="13" s="1"/>
  <c r="BL90" i="8" a="1"/>
  <c r="BL90" i="8" s="1"/>
  <c r="H28" i="11"/>
  <c r="BM26" i="8" a="1"/>
  <c r="BM26" i="8" s="1"/>
  <c r="BL32" i="8" a="1"/>
  <c r="BL32" i="8" s="1"/>
  <c r="BL16" i="8" a="1"/>
  <c r="BL16" i="8" s="1"/>
  <c r="BO79" i="8"/>
  <c r="BM99" i="8" a="1"/>
  <c r="BM99" i="8" s="1"/>
  <c r="BM70" i="8" a="1"/>
  <c r="BM70" i="8" s="1"/>
  <c r="BM34" i="8" a="1"/>
  <c r="BM34" i="8" s="1"/>
  <c r="H22" i="13" s="1"/>
  <c r="BL26" i="8" a="1"/>
  <c r="BL26" i="8" s="1"/>
  <c r="BL73" i="8" a="1"/>
  <c r="BL73" i="8" s="1"/>
  <c r="BM93" i="8" a="1"/>
  <c r="BM93" i="8" s="1"/>
  <c r="BO62" i="8"/>
  <c r="BM91" i="8" a="1"/>
  <c r="BM91" i="8" s="1"/>
  <c r="H41" i="13" s="1"/>
  <c r="BL55" i="8" a="1"/>
  <c r="BL55" i="8" s="1"/>
  <c r="BL53" i="8" a="1"/>
  <c r="BL53" i="8" s="1"/>
  <c r="BM67" i="8" a="1"/>
  <c r="BM67" i="8" s="1"/>
  <c r="BM76" i="8" a="1"/>
  <c r="BM76" i="8" s="1"/>
  <c r="H36" i="13" s="1"/>
  <c r="BL54" i="8" a="1"/>
  <c r="BL54" i="8" s="1"/>
  <c r="BM75" i="8" a="1"/>
  <c r="BM75" i="8" s="1"/>
  <c r="BL98" i="8" a="1"/>
  <c r="BL98" i="8" s="1"/>
  <c r="BL71" i="8" a="1"/>
  <c r="BL71" i="8" s="1"/>
  <c r="BM97" i="8" a="1"/>
  <c r="BM97" i="8" s="1"/>
  <c r="H43" i="13" s="1"/>
  <c r="BM74" i="8" a="1"/>
  <c r="BM74" i="8" s="1"/>
  <c r="BO74" i="8" s="1"/>
  <c r="BM98" i="8" a="1"/>
  <c r="BM98" i="8" s="1"/>
  <c r="BL81" i="8" a="1"/>
  <c r="BL81" i="8" s="1"/>
  <c r="BM52" i="8" a="1"/>
  <c r="BM52" i="8" s="1"/>
  <c r="H28" i="13" s="1"/>
  <c r="BM71" i="8" a="1"/>
  <c r="BM71" i="8" s="1"/>
  <c r="BM53" i="8" a="1"/>
  <c r="BM53" i="8" s="1"/>
  <c r="G43" i="11"/>
  <c r="BL41" i="8" a="1"/>
  <c r="BL41" i="8" s="1"/>
  <c r="BL40" i="8" a="1"/>
  <c r="BL40" i="8" s="1"/>
  <c r="BL15" i="8" a="1"/>
  <c r="BL15" i="8" s="1"/>
  <c r="H43" i="11"/>
  <c r="BM41" i="8" a="1"/>
  <c r="BM41" i="8" s="1"/>
  <c r="BM96" i="8" a="1"/>
  <c r="BM96" i="8" s="1"/>
  <c r="BL33" i="8" a="1"/>
  <c r="BL33" i="8" s="1"/>
  <c r="BL35" i="8" a="1"/>
  <c r="BL35" i="8" s="1"/>
  <c r="BL72" i="8" a="1"/>
  <c r="BL72" i="8" s="1"/>
  <c r="BL84" i="8" a="1"/>
  <c r="BL84" i="8" s="1"/>
  <c r="H107" i="11"/>
  <c r="BM104" i="8" a="1"/>
  <c r="BM104" i="8" s="1"/>
  <c r="BM15" i="8" a="1"/>
  <c r="BM15" i="8" s="1"/>
  <c r="BM73" i="8" a="1"/>
  <c r="BM73" i="8" s="1"/>
  <c r="H35" i="13" s="1"/>
  <c r="BL34" i="8" a="1"/>
  <c r="BL34" i="8" s="1"/>
  <c r="BL52" i="8" a="1"/>
  <c r="BL52" i="8" s="1"/>
  <c r="BL103" i="8" a="1"/>
  <c r="BL103" i="8" s="1"/>
  <c r="BO103" i="8" s="1"/>
  <c r="G107" i="11"/>
  <c r="BL104" i="8" a="1"/>
  <c r="BL104" i="8" s="1"/>
  <c r="H59" i="11"/>
  <c r="BM57" i="8" a="1"/>
  <c r="BM57" i="8" s="1"/>
  <c r="H88" i="11"/>
  <c r="BM86" i="8" a="1"/>
  <c r="BM86" i="8" s="1"/>
  <c r="BM111" i="8" a="1"/>
  <c r="BM111" i="8" s="1"/>
  <c r="BM110" i="8" a="1"/>
  <c r="BM110" i="8" s="1"/>
  <c r="H113" i="11"/>
  <c r="BM109" i="8" a="1"/>
  <c r="BM109" i="8" s="1"/>
  <c r="H110" i="11"/>
  <c r="BM106" i="8" a="1"/>
  <c r="BM106" i="8" s="1"/>
  <c r="BM108" i="8" a="1"/>
  <c r="BM108" i="8" s="1"/>
  <c r="BM72" i="8" a="1"/>
  <c r="BM72" i="8" s="1"/>
  <c r="BL91" i="8" a="1"/>
  <c r="BL91" i="8" s="1"/>
  <c r="BM55" i="8" a="1"/>
  <c r="BM55" i="8" s="1"/>
  <c r="BL92" i="8" a="1"/>
  <c r="BL92" i="8" s="1"/>
  <c r="BL100" i="8" a="1"/>
  <c r="BL100" i="8" s="1"/>
  <c r="H85" i="11"/>
  <c r="BM83" i="8" a="1"/>
  <c r="BM83" i="8" s="1"/>
  <c r="G59" i="11"/>
  <c r="BL57" i="8" a="1"/>
  <c r="BL57" i="8" s="1"/>
  <c r="BI73" i="8" a="1"/>
  <c r="BI73" i="8" s="1"/>
  <c r="BH73" i="8" a="1"/>
  <c r="BH73" i="8" s="1"/>
  <c r="F35" i="13" s="1"/>
  <c r="BJ73" i="8" a="1"/>
  <c r="BJ73" i="8" s="1"/>
  <c r="G35" i="13" s="1"/>
  <c r="BN73" i="8" a="1"/>
  <c r="BN73" i="8" s="1"/>
  <c r="I35" i="13" s="1"/>
  <c r="BG73" i="8" a="1"/>
  <c r="BG73" i="8" s="1"/>
  <c r="E35" i="13" s="1"/>
  <c r="BF73" i="8" a="1"/>
  <c r="BF73" i="8" s="1"/>
  <c r="D35" i="13" s="1"/>
  <c r="BK73" i="8" a="1"/>
  <c r="BK73" i="8" s="1"/>
  <c r="BL88" i="8" a="1"/>
  <c r="BL88" i="8" s="1"/>
  <c r="G91" i="11"/>
  <c r="BL89" i="8" a="1"/>
  <c r="BL89" i="8" s="1"/>
  <c r="BL87" i="8" a="1"/>
  <c r="BL87" i="8" s="1"/>
  <c r="G88" i="11"/>
  <c r="BL86" i="8" a="1"/>
  <c r="BL86" i="8" s="1"/>
  <c r="H87" i="11"/>
  <c r="BM85" i="8" a="1"/>
  <c r="BM85" i="8" s="1"/>
  <c r="BM84" i="8" a="1"/>
  <c r="BM84" i="8" s="1"/>
  <c r="G110" i="11"/>
  <c r="BL108" i="8" a="1"/>
  <c r="BL108" i="8" s="1"/>
  <c r="G63" i="11"/>
  <c r="BL59" i="8" a="1"/>
  <c r="BL59" i="8" s="1"/>
  <c r="BL61" i="8" a="1"/>
  <c r="BL61" i="8" s="1"/>
  <c r="BL60" i="8" a="1"/>
  <c r="BL60" i="8" s="1"/>
  <c r="BL96" i="8" a="1"/>
  <c r="BL96" i="8" s="1"/>
  <c r="BL93" i="8" a="1"/>
  <c r="BL93" i="8" s="1"/>
  <c r="H58" i="11"/>
  <c r="BM56" i="8" a="1"/>
  <c r="BM56" i="8" s="1"/>
  <c r="BM61" i="8" a="1"/>
  <c r="BM61" i="8" s="1"/>
  <c r="BI71" i="8" a="1"/>
  <c r="BI71" i="8" s="1"/>
  <c r="BJ71" i="8" a="1"/>
  <c r="BJ71" i="8" s="1"/>
  <c r="BH71" i="8" a="1"/>
  <c r="BH71" i="8" s="1"/>
  <c r="BK71" i="8" a="1"/>
  <c r="BK71" i="8" s="1"/>
  <c r="BN71" i="8" a="1"/>
  <c r="BN71" i="8" s="1"/>
  <c r="BG71" i="8" a="1"/>
  <c r="BG71" i="8" s="1"/>
  <c r="BF71" i="8" a="1"/>
  <c r="BF71" i="8" s="1"/>
  <c r="H51" i="11"/>
  <c r="BM48" i="8" a="1"/>
  <c r="BM48" i="8" s="1"/>
  <c r="BM47" i="8" a="1"/>
  <c r="BM47" i="8" s="1"/>
  <c r="BL83" i="8" a="1"/>
  <c r="BL83" i="8" s="1"/>
  <c r="G85" i="11"/>
  <c r="H91" i="11"/>
  <c r="BM87" i="8" a="1"/>
  <c r="BM87" i="8" s="1"/>
  <c r="BM88" i="8" a="1"/>
  <c r="BM88" i="8" s="1"/>
  <c r="H40" i="13" s="1"/>
  <c r="BL85" i="8" a="1"/>
  <c r="BL85" i="8" s="1"/>
  <c r="G87" i="11"/>
  <c r="BL99" i="8" a="1"/>
  <c r="BL99" i="8" s="1"/>
  <c r="G58" i="11"/>
  <c r="BL56" i="8" a="1"/>
  <c r="BL56" i="8" s="1"/>
  <c r="H68" i="11"/>
  <c r="BM64" i="8" a="1"/>
  <c r="BM64" i="8" s="1"/>
  <c r="BM65" i="8" a="1"/>
  <c r="BM65" i="8" s="1"/>
  <c r="BM66" i="8" a="1"/>
  <c r="BM66" i="8" s="1"/>
  <c r="G84" i="11"/>
  <c r="BL82" i="8" a="1"/>
  <c r="BL82" i="8" s="1"/>
  <c r="BL75" i="8" a="1"/>
  <c r="BL75" i="8" s="1"/>
  <c r="G78" i="11"/>
  <c r="BL76" i="8" a="1"/>
  <c r="BL76" i="8" s="1"/>
  <c r="BM31" i="8" a="1"/>
  <c r="BM31" i="8" s="1"/>
  <c r="BO27" i="8"/>
  <c r="BH72" i="8" a="1"/>
  <c r="BH72" i="8" s="1"/>
  <c r="BI72" i="8" a="1"/>
  <c r="BI72" i="8" s="1"/>
  <c r="BN72" i="8" a="1"/>
  <c r="BN72" i="8" s="1"/>
  <c r="BF72" i="8" a="1"/>
  <c r="BF72" i="8" s="1"/>
  <c r="BJ72" i="8" a="1"/>
  <c r="BJ72" i="8" s="1"/>
  <c r="BK72" i="8" a="1"/>
  <c r="BK72" i="8" s="1"/>
  <c r="BG72" i="8" a="1"/>
  <c r="BG72" i="8" s="1"/>
  <c r="BO77" i="8"/>
  <c r="BL97" i="8" a="1"/>
  <c r="BL97" i="8" s="1"/>
  <c r="BM89" i="8" a="1"/>
  <c r="BM89" i="8" s="1"/>
  <c r="BM54" i="8" a="1"/>
  <c r="BM54" i="8" s="1"/>
  <c r="G68" i="11"/>
  <c r="BL65" i="8" a="1"/>
  <c r="BL65" i="8" s="1"/>
  <c r="BL64" i="8" a="1"/>
  <c r="BL64" i="8" s="1"/>
  <c r="H103" i="11"/>
  <c r="BM100" i="8" a="1"/>
  <c r="BM100" i="8" s="1"/>
  <c r="H44" i="13" s="1"/>
  <c r="H84" i="11"/>
  <c r="BM82" i="8" a="1"/>
  <c r="BM82" i="8" s="1"/>
  <c r="BM80" i="8" a="1"/>
  <c r="BM80" i="8" s="1"/>
  <c r="BO80" i="8" s="1"/>
  <c r="BM81" i="8" a="1"/>
  <c r="BM81" i="8" s="1"/>
  <c r="BL48" i="8" a="1"/>
  <c r="BL48" i="8" s="1"/>
  <c r="G113" i="11"/>
  <c r="BL110" i="8" a="1"/>
  <c r="BL110" i="8" s="1"/>
  <c r="BL111" i="8" a="1"/>
  <c r="BL111" i="8" s="1"/>
  <c r="BL109" i="8" a="1"/>
  <c r="BL109" i="8" s="1"/>
  <c r="BO14" i="8"/>
  <c r="BO37" i="8"/>
  <c r="BO51" i="8"/>
  <c r="BO39" i="8"/>
  <c r="BO45" i="8"/>
  <c r="BO50" i="8"/>
  <c r="BO28" i="8"/>
  <c r="H20" i="13"/>
  <c r="H15" i="13"/>
  <c r="BO13" i="8"/>
  <c r="H42" i="13"/>
  <c r="BO94" i="8"/>
  <c r="H27" i="13"/>
  <c r="AU20" i="8"/>
  <c r="BE19" i="8"/>
  <c r="BN19" i="8" s="1" a="1"/>
  <c r="BN19" i="8" s="1"/>
  <c r="I17" i="13" s="1"/>
  <c r="G21" i="11"/>
  <c r="I23" i="11"/>
  <c r="BK18" i="8" a="1"/>
  <c r="BK18" i="8" s="1"/>
  <c r="BP20" i="8"/>
  <c r="BJ18" i="8" a="1"/>
  <c r="BJ18" i="8" s="1"/>
  <c r="BN18" i="8" a="1"/>
  <c r="BN18" i="8" s="1"/>
  <c r="BG18" i="8" a="1"/>
  <c r="BG18" i="8" s="1"/>
  <c r="BF18" i="8" a="1"/>
  <c r="BF18" i="8" s="1"/>
  <c r="I24" i="11"/>
  <c r="H21" i="11"/>
  <c r="AN19" i="8"/>
  <c r="AY19" i="8" s="1"/>
  <c r="E23" i="11"/>
  <c r="E24" i="11"/>
  <c r="F22" i="11"/>
  <c r="BH18" i="8" a="1"/>
  <c r="BH18" i="8" s="1"/>
  <c r="AL20" i="8"/>
  <c r="AW20" i="8" s="1"/>
  <c r="AM21" i="8"/>
  <c r="AX21" i="8" s="1"/>
  <c r="AQ21" i="8"/>
  <c r="BB21" i="8" s="1"/>
  <c r="AI21" i="8"/>
  <c r="AS21" i="8" s="1"/>
  <c r="AJ21" i="8"/>
  <c r="AT21" i="8" s="1"/>
  <c r="AK21" i="8"/>
  <c r="AV21" i="8" s="1"/>
  <c r="Z21" i="8"/>
  <c r="AP21" i="8" s="1"/>
  <c r="BA21" i="8" s="1"/>
  <c r="X22" i="8"/>
  <c r="Y22" i="8"/>
  <c r="AO18" i="8"/>
  <c r="AZ18" i="8" s="1"/>
  <c r="D24" i="11"/>
  <c r="BO47" i="8" l="1"/>
  <c r="BO32" i="8"/>
  <c r="H25" i="13"/>
  <c r="BO92" i="8"/>
  <c r="BO67" i="8"/>
  <c r="BO69" i="8"/>
  <c r="BO95" i="8"/>
  <c r="BO46" i="8"/>
  <c r="BO55" i="8"/>
  <c r="BO70" i="8"/>
  <c r="BO90" i="8"/>
  <c r="BO75" i="8"/>
  <c r="BO16" i="8"/>
  <c r="H34" i="13"/>
  <c r="H33" i="13"/>
  <c r="BO59" i="8"/>
  <c r="BO93" i="8"/>
  <c r="BO35" i="8"/>
  <c r="BO40" i="8"/>
  <c r="BO97" i="8"/>
  <c r="BO84" i="8"/>
  <c r="BO66" i="8"/>
  <c r="BO76" i="8"/>
  <c r="BO34" i="8"/>
  <c r="BO91" i="8"/>
  <c r="BO99" i="8"/>
  <c r="BO60" i="8"/>
  <c r="BO33" i="8"/>
  <c r="BO26" i="8"/>
  <c r="BO58" i="8"/>
  <c r="BO98" i="8"/>
  <c r="BO53" i="8"/>
  <c r="BO15" i="8"/>
  <c r="H29" i="13"/>
  <c r="BO52" i="8"/>
  <c r="BO41" i="8"/>
  <c r="BO71" i="8"/>
  <c r="BO54" i="8"/>
  <c r="BO96" i="8"/>
  <c r="BO72" i="8"/>
  <c r="BO83" i="8"/>
  <c r="BO81" i="8"/>
  <c r="BO87" i="8"/>
  <c r="BO104" i="8"/>
  <c r="BO111" i="8"/>
  <c r="H31" i="13"/>
  <c r="BO61" i="8"/>
  <c r="H38" i="13"/>
  <c r="BO82" i="8"/>
  <c r="BO56" i="8"/>
  <c r="H47" i="13"/>
  <c r="BO109" i="8"/>
  <c r="BO57" i="8"/>
  <c r="H32" i="13"/>
  <c r="BO64" i="8"/>
  <c r="BO89" i="8"/>
  <c r="BO48" i="8"/>
  <c r="H39" i="13"/>
  <c r="BO85" i="8"/>
  <c r="BO88" i="8"/>
  <c r="BO110" i="8"/>
  <c r="H21" i="13"/>
  <c r="BO31" i="8"/>
  <c r="BO100" i="8"/>
  <c r="BO108" i="8"/>
  <c r="BO73" i="8"/>
  <c r="BO65" i="8"/>
  <c r="H46" i="13"/>
  <c r="BO106" i="8"/>
  <c r="BO86" i="8"/>
  <c r="BH19" i="8" a="1"/>
  <c r="BH19" i="8" s="1"/>
  <c r="F17" i="13" s="1"/>
  <c r="BF19" i="8" a="1"/>
  <c r="BF19" i="8" s="1"/>
  <c r="D17" i="13" s="1"/>
  <c r="BK19" i="8" a="1"/>
  <c r="BK19" i="8" s="1"/>
  <c r="BI19" i="8" a="1"/>
  <c r="BI19" i="8" s="1"/>
  <c r="AU21" i="8"/>
  <c r="BG19" i="8" a="1"/>
  <c r="BG19" i="8" s="1"/>
  <c r="E17" i="13" s="1"/>
  <c r="BJ19" i="8" a="1"/>
  <c r="BJ19" i="8" s="1"/>
  <c r="G17" i="13" s="1"/>
  <c r="BP21" i="8"/>
  <c r="BD21" i="8"/>
  <c r="BD20" i="8"/>
  <c r="BE20" i="8" s="1"/>
  <c r="BF20" i="8" s="1" a="1"/>
  <c r="BF20" i="8" s="1"/>
  <c r="BM17" i="8" a="1"/>
  <c r="BM17" i="8" s="1"/>
  <c r="BO17" i="8" s="1"/>
  <c r="AO19" i="8"/>
  <c r="AZ19" i="8" s="1"/>
  <c r="G23" i="11"/>
  <c r="F24" i="11"/>
  <c r="AN20" i="8"/>
  <c r="AY20" i="8" s="1"/>
  <c r="E25" i="11"/>
  <c r="Z22" i="8"/>
  <c r="AP22" i="8" s="1"/>
  <c r="BA22" i="8" s="1"/>
  <c r="G22" i="11"/>
  <c r="BL18" i="8" a="1"/>
  <c r="BL18" i="8" s="1"/>
  <c r="H22" i="11"/>
  <c r="BM18" i="8" a="1"/>
  <c r="BM18" i="8" s="1"/>
  <c r="AJ22" i="8"/>
  <c r="AT22" i="8" s="1"/>
  <c r="AI22" i="8"/>
  <c r="AS22" i="8" s="1"/>
  <c r="AM22" i="8"/>
  <c r="AX22" i="8" s="1"/>
  <c r="AK22" i="8"/>
  <c r="AV22" i="8" s="1"/>
  <c r="AQ22" i="8"/>
  <c r="BB22" i="8" s="1"/>
  <c r="AL21" i="8"/>
  <c r="AW21" i="8" s="1"/>
  <c r="D25" i="11"/>
  <c r="AU22" i="8" l="1"/>
  <c r="H23" i="11"/>
  <c r="BJ20" i="8" a="1"/>
  <c r="BJ20" i="8" s="1"/>
  <c r="BI20" i="8" a="1"/>
  <c r="BI20" i="8" s="1"/>
  <c r="I25" i="11"/>
  <c r="BP24" i="8"/>
  <c r="BN20" i="8" a="1"/>
  <c r="BN20" i="8" s="1"/>
  <c r="BG20" i="8" a="1"/>
  <c r="BG20" i="8" s="1"/>
  <c r="BH20" i="8" a="1"/>
  <c r="BH20" i="8" s="1"/>
  <c r="BD22" i="8"/>
  <c r="BE24" i="8" s="1"/>
  <c r="BI24" i="8" s="1" a="1"/>
  <c r="BI24" i="8" s="1"/>
  <c r="BL19" i="8" a="1"/>
  <c r="BL19" i="8" s="1"/>
  <c r="BK20" i="8" a="1"/>
  <c r="BK20" i="8" s="1"/>
  <c r="BE21" i="8"/>
  <c r="BN21" i="8" s="1" a="1"/>
  <c r="BN21" i="8" s="1"/>
  <c r="AO20" i="8"/>
  <c r="AZ20" i="8" s="1"/>
  <c r="G24" i="11"/>
  <c r="F25" i="11"/>
  <c r="AN21" i="8"/>
  <c r="AY21" i="8" s="1"/>
  <c r="E26" i="11"/>
  <c r="AL22" i="8"/>
  <c r="AW22" i="8" s="1"/>
  <c r="BO18" i="8"/>
  <c r="D26" i="11"/>
  <c r="BM19" i="8" l="1" a="1"/>
  <c r="BM19" i="8" s="1"/>
  <c r="H17" i="13" s="1"/>
  <c r="BN24" i="8" a="1"/>
  <c r="BN24" i="8" s="1"/>
  <c r="BE23" i="8"/>
  <c r="BK23" i="8" s="1" a="1"/>
  <c r="BK23" i="8" s="1"/>
  <c r="BP23" i="8"/>
  <c r="BE22" i="8"/>
  <c r="BN22" i="8" s="1" a="1"/>
  <c r="BN22" i="8" s="1"/>
  <c r="I18" i="13" s="1"/>
  <c r="BP22" i="8"/>
  <c r="BF24" i="8" a="1"/>
  <c r="BF24" i="8" s="1"/>
  <c r="BK24" i="8" a="1"/>
  <c r="BK24" i="8" s="1"/>
  <c r="BH24" i="8" a="1"/>
  <c r="BH24" i="8" s="1"/>
  <c r="BJ21" i="8" a="1"/>
  <c r="BJ21" i="8" s="1"/>
  <c r="BL20" i="8" a="1"/>
  <c r="BL20" i="8" s="1"/>
  <c r="BG21" i="8" a="1"/>
  <c r="BG21" i="8" s="1"/>
  <c r="BK21" i="8" a="1"/>
  <c r="BK21" i="8" s="1"/>
  <c r="BF21" i="8" a="1"/>
  <c r="BF21" i="8" s="1"/>
  <c r="BI21" i="8" a="1"/>
  <c r="BI21" i="8" s="1"/>
  <c r="I26" i="11"/>
  <c r="H24" i="11"/>
  <c r="AO21" i="8"/>
  <c r="AZ21" i="8" s="1"/>
  <c r="BL21" i="8" a="1"/>
  <c r="BL21" i="8" s="1"/>
  <c r="BH21" i="8" a="1"/>
  <c r="BH21" i="8" s="1"/>
  <c r="BG24" i="8" a="1"/>
  <c r="BG24" i="8" s="1"/>
  <c r="AN22" i="8"/>
  <c r="AY22" i="8" s="1"/>
  <c r="BJ24" i="8" a="1"/>
  <c r="BJ24" i="8" s="1"/>
  <c r="BO19" i="8" l="1"/>
  <c r="BN23" i="8" a="1"/>
  <c r="BN23" i="8" s="1"/>
  <c r="BF23" i="8" a="1"/>
  <c r="BF23" i="8" s="1"/>
  <c r="BJ23" i="8" a="1"/>
  <c r="BJ23" i="8" s="1"/>
  <c r="BK22" i="8" a="1"/>
  <c r="BK22" i="8" s="1"/>
  <c r="BI22" i="8" a="1"/>
  <c r="BI22" i="8" s="1"/>
  <c r="BJ22" i="8" a="1"/>
  <c r="BJ22" i="8" s="1"/>
  <c r="G18" i="13" s="1"/>
  <c r="BG23" i="8" a="1"/>
  <c r="BG23" i="8" s="1"/>
  <c r="BI23" i="8" a="1"/>
  <c r="BI23" i="8" s="1"/>
  <c r="BG22" i="8" a="1"/>
  <c r="BG22" i="8" s="1"/>
  <c r="E18" i="13" s="1"/>
  <c r="BF22" i="8" a="1"/>
  <c r="BF22" i="8" s="1"/>
  <c r="D18" i="13" s="1"/>
  <c r="BH22" i="8" a="1"/>
  <c r="BH22" i="8" s="1"/>
  <c r="F18" i="13" s="1"/>
  <c r="BH23" i="8" a="1"/>
  <c r="BH23" i="8" s="1"/>
  <c r="F26" i="11"/>
  <c r="G25" i="11"/>
  <c r="BM21" i="8" a="1"/>
  <c r="BM21" i="8" s="1"/>
  <c r="BO21" i="8" s="1"/>
  <c r="BM20" i="8" a="1"/>
  <c r="BM20" i="8" s="1"/>
  <c r="BO20" i="8" s="1"/>
  <c r="AO22" i="8"/>
  <c r="AZ22" i="8" s="1"/>
  <c r="H25" i="11" l="1"/>
  <c r="BL24" i="8" a="1"/>
  <c r="BL24" i="8" s="1"/>
  <c r="BL23" i="8" a="1"/>
  <c r="BL23" i="8" s="1"/>
  <c r="BL22" i="8" a="1"/>
  <c r="BL22" i="8" s="1"/>
  <c r="G26" i="11"/>
  <c r="BM24" i="8" a="1"/>
  <c r="BM24" i="8" s="1"/>
  <c r="H26" i="11"/>
  <c r="BM23" i="8" a="1"/>
  <c r="BM23" i="8" s="1"/>
  <c r="BM22" i="8" a="1"/>
  <c r="BM22" i="8" s="1"/>
  <c r="Z452" i="6"/>
  <c r="X452" i="6"/>
  <c r="H452" i="6"/>
  <c r="Z451" i="6"/>
  <c r="X451" i="6"/>
  <c r="Y451" i="6" s="1"/>
  <c r="H451" i="6"/>
  <c r="Z450" i="6"/>
  <c r="X450" i="6"/>
  <c r="Y450" i="6" s="1"/>
  <c r="H450" i="6"/>
  <c r="Z439" i="6"/>
  <c r="X439" i="6"/>
  <c r="H439" i="6"/>
  <c r="Z438" i="6"/>
  <c r="X438" i="6"/>
  <c r="Y438" i="6" s="1"/>
  <c r="H438" i="6"/>
  <c r="Z437" i="6"/>
  <c r="X437" i="6"/>
  <c r="Y437" i="6" s="1"/>
  <c r="H437" i="6"/>
  <c r="M437" i="6" s="1"/>
  <c r="Z436" i="6"/>
  <c r="X436" i="6"/>
  <c r="Y436" i="6" s="1"/>
  <c r="H436" i="6"/>
  <c r="M436" i="6" s="1"/>
  <c r="Z435" i="6"/>
  <c r="X435" i="6"/>
  <c r="Y435" i="6" s="1"/>
  <c r="H435" i="6"/>
  <c r="Z434" i="6"/>
  <c r="X434" i="6"/>
  <c r="Y434" i="6" s="1"/>
  <c r="H434" i="6"/>
  <c r="Z433" i="6"/>
  <c r="X433" i="6"/>
  <c r="Y433" i="6" s="1"/>
  <c r="H433" i="6"/>
  <c r="Z432" i="6"/>
  <c r="X432" i="6"/>
  <c r="Y432" i="6" s="1"/>
  <c r="H432" i="6"/>
  <c r="Z431" i="6"/>
  <c r="X431" i="6"/>
  <c r="Y431" i="6" s="1"/>
  <c r="H431" i="6"/>
  <c r="M431" i="6" s="1"/>
  <c r="Z430" i="6"/>
  <c r="X430" i="6"/>
  <c r="Y430" i="6" s="1"/>
  <c r="H430" i="6"/>
  <c r="Z429" i="6"/>
  <c r="X429" i="6"/>
  <c r="Y429" i="6" s="1"/>
  <c r="H429" i="6"/>
  <c r="M429" i="6" s="1"/>
  <c r="Z428" i="6"/>
  <c r="X428" i="6"/>
  <c r="Y428" i="6" s="1"/>
  <c r="H428" i="6"/>
  <c r="M428" i="6" s="1"/>
  <c r="Z427" i="6"/>
  <c r="X427" i="6"/>
  <c r="Y427" i="6" s="1"/>
  <c r="H427" i="6"/>
  <c r="Z426" i="6"/>
  <c r="X426" i="6"/>
  <c r="Y426" i="6" s="1"/>
  <c r="H426" i="6"/>
  <c r="Z425" i="6"/>
  <c r="X425" i="6"/>
  <c r="Y425" i="6" s="1"/>
  <c r="H425" i="6"/>
  <c r="M425" i="6" s="1"/>
  <c r="Z424" i="6"/>
  <c r="X424" i="6"/>
  <c r="Y424" i="6" s="1"/>
  <c r="H424" i="6"/>
  <c r="Z423" i="6"/>
  <c r="X423" i="6"/>
  <c r="Y423" i="6" s="1"/>
  <c r="H423" i="6"/>
  <c r="M423" i="6" s="1"/>
  <c r="Z422" i="6"/>
  <c r="X422" i="6"/>
  <c r="Y422" i="6" s="1"/>
  <c r="H422" i="6"/>
  <c r="Z421" i="6"/>
  <c r="X421" i="6"/>
  <c r="Y421" i="6" s="1"/>
  <c r="H421" i="6"/>
  <c r="Z420" i="6"/>
  <c r="X420" i="6"/>
  <c r="Y420" i="6" s="1"/>
  <c r="H420" i="6"/>
  <c r="Z419" i="6"/>
  <c r="X419" i="6"/>
  <c r="Y419" i="6" s="1"/>
  <c r="H419" i="6"/>
  <c r="Z418" i="6"/>
  <c r="X418" i="6"/>
  <c r="Y418" i="6" s="1"/>
  <c r="H418" i="6"/>
  <c r="Z417" i="6"/>
  <c r="X417" i="6"/>
  <c r="Y417" i="6" s="1"/>
  <c r="H417" i="6"/>
  <c r="M417" i="6" s="1"/>
  <c r="Z416" i="6"/>
  <c r="X416" i="6"/>
  <c r="Y416" i="6" s="1"/>
  <c r="H416" i="6"/>
  <c r="Z415" i="6"/>
  <c r="X415" i="6"/>
  <c r="Y415" i="6" s="1"/>
  <c r="H415" i="6"/>
  <c r="Z414" i="6"/>
  <c r="X414" i="6"/>
  <c r="Y414" i="6" s="1"/>
  <c r="H414" i="6"/>
  <c r="Z413" i="6"/>
  <c r="X413" i="6"/>
  <c r="Y413" i="6" s="1"/>
  <c r="H413" i="6"/>
  <c r="Z412" i="6"/>
  <c r="X412" i="6"/>
  <c r="Y412" i="6" s="1"/>
  <c r="H412" i="6"/>
  <c r="M412" i="6" s="1"/>
  <c r="Z411" i="6"/>
  <c r="X411" i="6"/>
  <c r="Y411" i="6" s="1"/>
  <c r="H411" i="6"/>
  <c r="M411" i="6" s="1"/>
  <c r="Z410" i="6"/>
  <c r="X410" i="6"/>
  <c r="Y410" i="6" s="1"/>
  <c r="H410" i="6"/>
  <c r="Z409" i="6"/>
  <c r="X409" i="6"/>
  <c r="Y409" i="6" s="1"/>
  <c r="H409" i="6"/>
  <c r="Z408" i="6"/>
  <c r="X408" i="6"/>
  <c r="Y408" i="6" s="1"/>
  <c r="H408" i="6"/>
  <c r="Z407" i="6"/>
  <c r="X407" i="6"/>
  <c r="Y407" i="6" s="1"/>
  <c r="H407" i="6"/>
  <c r="Z406" i="6"/>
  <c r="X406" i="6"/>
  <c r="H406" i="6"/>
  <c r="M406" i="6" s="1"/>
  <c r="Z405" i="6"/>
  <c r="X405" i="6"/>
  <c r="Y405" i="6" s="1"/>
  <c r="H405" i="6"/>
  <c r="Z404" i="6"/>
  <c r="X404" i="6"/>
  <c r="Y404" i="6" s="1"/>
  <c r="H404" i="6"/>
  <c r="Z403" i="6"/>
  <c r="X403" i="6"/>
  <c r="H403" i="6"/>
  <c r="Z402" i="6"/>
  <c r="X402" i="6"/>
  <c r="Y402" i="6" s="1"/>
  <c r="H402" i="6"/>
  <c r="Z401" i="6"/>
  <c r="X401" i="6"/>
  <c r="Y401" i="6" s="1"/>
  <c r="H401" i="6"/>
  <c r="Z400" i="6"/>
  <c r="X400" i="6"/>
  <c r="Y400" i="6" s="1"/>
  <c r="H400" i="6"/>
  <c r="M400" i="6" s="1"/>
  <c r="Z399" i="6"/>
  <c r="X399" i="6"/>
  <c r="Y399" i="6" s="1"/>
  <c r="H399" i="6"/>
  <c r="Z398" i="6"/>
  <c r="X398" i="6"/>
  <c r="Y398" i="6" s="1"/>
  <c r="H398" i="6"/>
  <c r="Z397" i="6"/>
  <c r="X397" i="6"/>
  <c r="H397" i="6"/>
  <c r="Z396" i="6"/>
  <c r="X396" i="6"/>
  <c r="Y396" i="6" s="1"/>
  <c r="H396" i="6"/>
  <c r="Z395" i="6"/>
  <c r="X395" i="6"/>
  <c r="Y395" i="6" s="1"/>
  <c r="H395" i="6"/>
  <c r="Z394" i="6"/>
  <c r="X394" i="6"/>
  <c r="H394" i="6"/>
  <c r="Z393" i="6"/>
  <c r="X393" i="6"/>
  <c r="Y393" i="6" s="1"/>
  <c r="H393" i="6"/>
  <c r="Z392" i="6"/>
  <c r="X392" i="6"/>
  <c r="Y392" i="6" s="1"/>
  <c r="H392" i="6"/>
  <c r="Z391" i="6"/>
  <c r="X391" i="6"/>
  <c r="Y391" i="6" s="1"/>
  <c r="H391" i="6"/>
  <c r="Z390" i="6"/>
  <c r="X390" i="6"/>
  <c r="Y390" i="6" s="1"/>
  <c r="H390" i="6"/>
  <c r="Z389" i="6"/>
  <c r="X389" i="6"/>
  <c r="Y389" i="6" s="1"/>
  <c r="H389" i="6"/>
  <c r="M389" i="6" s="1"/>
  <c r="Z388" i="6"/>
  <c r="X388" i="6"/>
  <c r="Y388" i="6" s="1"/>
  <c r="H388" i="6"/>
  <c r="Z387" i="6"/>
  <c r="X387" i="6"/>
  <c r="Y387" i="6" s="1"/>
  <c r="H387" i="6"/>
  <c r="Z386" i="6"/>
  <c r="X386" i="6"/>
  <c r="Y386" i="6" s="1"/>
  <c r="H386" i="6"/>
  <c r="Z385" i="6"/>
  <c r="X385" i="6"/>
  <c r="Y385" i="6" s="1"/>
  <c r="H385" i="6"/>
  <c r="Z384" i="6"/>
  <c r="X384" i="6"/>
  <c r="Y384" i="6" s="1"/>
  <c r="H384" i="6"/>
  <c r="Z383" i="6"/>
  <c r="X383" i="6"/>
  <c r="Y383" i="6" s="1"/>
  <c r="H383" i="6"/>
  <c r="M383" i="6" s="1"/>
  <c r="Z382" i="6"/>
  <c r="X382" i="6"/>
  <c r="Y382" i="6" s="1"/>
  <c r="H382" i="6"/>
  <c r="M382" i="6" s="1"/>
  <c r="Z381" i="6"/>
  <c r="X381" i="6"/>
  <c r="Y381" i="6" s="1"/>
  <c r="H381" i="6"/>
  <c r="Z380" i="6"/>
  <c r="X380" i="6"/>
  <c r="Y380" i="6" s="1"/>
  <c r="H380" i="6"/>
  <c r="Z379" i="6"/>
  <c r="X379" i="6"/>
  <c r="Y379" i="6" s="1"/>
  <c r="H379" i="6"/>
  <c r="Z378" i="6"/>
  <c r="X378" i="6"/>
  <c r="Y378" i="6" s="1"/>
  <c r="H378" i="6"/>
  <c r="Z377" i="6"/>
  <c r="X377" i="6"/>
  <c r="Y377" i="6" s="1"/>
  <c r="H377" i="6"/>
  <c r="Z376" i="6"/>
  <c r="X376" i="6"/>
  <c r="Y376" i="6" s="1"/>
  <c r="H376" i="6"/>
  <c r="Z375" i="6"/>
  <c r="X375" i="6"/>
  <c r="Y375" i="6" s="1"/>
  <c r="H375" i="6"/>
  <c r="Z374" i="6"/>
  <c r="X374" i="6"/>
  <c r="Y374" i="6" s="1"/>
  <c r="H374" i="6"/>
  <c r="Z373" i="6"/>
  <c r="X373" i="6"/>
  <c r="Y373" i="6" s="1"/>
  <c r="H373" i="6"/>
  <c r="Z372" i="6"/>
  <c r="X372" i="6"/>
  <c r="Y372" i="6" s="1"/>
  <c r="H372" i="6"/>
  <c r="Z371" i="6"/>
  <c r="X371" i="6"/>
  <c r="Y371" i="6" s="1"/>
  <c r="H371" i="6"/>
  <c r="M371" i="6" s="1"/>
  <c r="Z370" i="6"/>
  <c r="X370" i="6"/>
  <c r="Y370" i="6" s="1"/>
  <c r="H370" i="6"/>
  <c r="M370" i="6" s="1"/>
  <c r="Z369" i="6"/>
  <c r="X369" i="6"/>
  <c r="Y369" i="6" s="1"/>
  <c r="H369" i="6"/>
  <c r="Z368" i="6"/>
  <c r="X368" i="6"/>
  <c r="Y368" i="6" s="1"/>
  <c r="H368" i="6"/>
  <c r="Z367" i="6"/>
  <c r="X367" i="6"/>
  <c r="H367" i="6"/>
  <c r="Z366" i="6"/>
  <c r="X366" i="6"/>
  <c r="Y366" i="6" s="1"/>
  <c r="H366" i="6"/>
  <c r="Z365" i="6"/>
  <c r="X365" i="6"/>
  <c r="Y365" i="6" s="1"/>
  <c r="H365" i="6"/>
  <c r="M365" i="6" s="1"/>
  <c r="Z364" i="6"/>
  <c r="X364" i="6"/>
  <c r="Y364" i="6" s="1"/>
  <c r="H364" i="6"/>
  <c r="Z363" i="6"/>
  <c r="X363" i="6"/>
  <c r="Y363" i="6" s="1"/>
  <c r="H363" i="6"/>
  <c r="Z362" i="6"/>
  <c r="X362" i="6"/>
  <c r="Y362" i="6" s="1"/>
  <c r="H362" i="6"/>
  <c r="Z361" i="6"/>
  <c r="X361" i="6"/>
  <c r="Y361" i="6" s="1"/>
  <c r="H361" i="6"/>
  <c r="Z360" i="6"/>
  <c r="X360" i="6"/>
  <c r="Y360" i="6" s="1"/>
  <c r="H360" i="6"/>
  <c r="Z359" i="6"/>
  <c r="X359" i="6"/>
  <c r="Y359" i="6" s="1"/>
  <c r="H359" i="6"/>
  <c r="M359" i="6" s="1"/>
  <c r="Z358" i="6"/>
  <c r="X358" i="6"/>
  <c r="Y358" i="6" s="1"/>
  <c r="H358" i="6"/>
  <c r="Z357" i="6"/>
  <c r="X357" i="6"/>
  <c r="Y357" i="6" s="1"/>
  <c r="H357" i="6"/>
  <c r="Z356" i="6"/>
  <c r="X356" i="6"/>
  <c r="Y356" i="6" s="1"/>
  <c r="H356" i="6"/>
  <c r="Z355" i="6"/>
  <c r="X355" i="6"/>
  <c r="Y355" i="6" s="1"/>
  <c r="H355" i="6"/>
  <c r="Z354" i="6"/>
  <c r="X354" i="6"/>
  <c r="Y354" i="6" s="1"/>
  <c r="H354" i="6"/>
  <c r="Z353" i="6"/>
  <c r="X353" i="6"/>
  <c r="Y353" i="6" s="1"/>
  <c r="H353" i="6"/>
  <c r="M353" i="6" s="1"/>
  <c r="Z352" i="6"/>
  <c r="X352" i="6"/>
  <c r="Y352" i="6" s="1"/>
  <c r="H352" i="6"/>
  <c r="M352" i="6" s="1"/>
  <c r="Z351" i="6"/>
  <c r="X351" i="6"/>
  <c r="Y351" i="6" s="1"/>
  <c r="H351" i="6"/>
  <c r="Z350" i="6"/>
  <c r="X350" i="6"/>
  <c r="Y350" i="6" s="1"/>
  <c r="H350" i="6"/>
  <c r="Z349" i="6"/>
  <c r="X349" i="6"/>
  <c r="Y349" i="6" s="1"/>
  <c r="H349" i="6"/>
  <c r="Z348" i="6"/>
  <c r="X348" i="6"/>
  <c r="Y348" i="6" s="1"/>
  <c r="H348" i="6"/>
  <c r="Z347" i="6"/>
  <c r="X347" i="6"/>
  <c r="Y347" i="6" s="1"/>
  <c r="H347" i="6"/>
  <c r="X346" i="6"/>
  <c r="Y346" i="6" s="1"/>
  <c r="L346" i="6"/>
  <c r="Z346" i="6" s="1"/>
  <c r="H346" i="6"/>
  <c r="X345" i="6"/>
  <c r="Y345" i="6" s="1"/>
  <c r="L345" i="6"/>
  <c r="Z345" i="6" s="1"/>
  <c r="H345" i="6"/>
  <c r="X344" i="6"/>
  <c r="Y344" i="6" s="1"/>
  <c r="L344" i="6"/>
  <c r="Z344" i="6" s="1"/>
  <c r="H344" i="6"/>
  <c r="Z343" i="6"/>
  <c r="X343" i="6"/>
  <c r="Y343" i="6" s="1"/>
  <c r="H343" i="6"/>
  <c r="Z342" i="6"/>
  <c r="X342" i="6"/>
  <c r="Y342" i="6" s="1"/>
  <c r="H342" i="6"/>
  <c r="Z341" i="6"/>
  <c r="X341" i="6"/>
  <c r="Y341" i="6" s="1"/>
  <c r="H341" i="6"/>
  <c r="Z340" i="6"/>
  <c r="X340" i="6"/>
  <c r="Y340" i="6" s="1"/>
  <c r="H340" i="6"/>
  <c r="Z339" i="6"/>
  <c r="X339" i="6"/>
  <c r="Y339" i="6" s="1"/>
  <c r="H339" i="6"/>
  <c r="Z338" i="6"/>
  <c r="X338" i="6"/>
  <c r="Y338" i="6" s="1"/>
  <c r="H338" i="6"/>
  <c r="Z337" i="6"/>
  <c r="X337" i="6"/>
  <c r="Y337" i="6" s="1"/>
  <c r="H337" i="6"/>
  <c r="M337" i="6" s="1"/>
  <c r="Z336" i="6"/>
  <c r="X336" i="6"/>
  <c r="Y336" i="6" s="1"/>
  <c r="H336" i="6"/>
  <c r="Z335" i="6"/>
  <c r="X335" i="6"/>
  <c r="H335" i="6"/>
  <c r="M335" i="6" s="1"/>
  <c r="Z334" i="6"/>
  <c r="X334" i="6"/>
  <c r="H334" i="6"/>
  <c r="Z333" i="6"/>
  <c r="X333" i="6"/>
  <c r="Y333" i="6" s="1"/>
  <c r="H333" i="6"/>
  <c r="Z332" i="6"/>
  <c r="X332" i="6"/>
  <c r="Y332" i="6" s="1"/>
  <c r="H332" i="6"/>
  <c r="Z331" i="6"/>
  <c r="X331" i="6"/>
  <c r="Y331" i="6" s="1"/>
  <c r="H331" i="6"/>
  <c r="Z330" i="6"/>
  <c r="X330" i="6"/>
  <c r="H330" i="6"/>
  <c r="M330" i="6" s="1"/>
  <c r="Z329" i="6"/>
  <c r="X329" i="6"/>
  <c r="H329" i="6"/>
  <c r="M329" i="6" s="1"/>
  <c r="Z328" i="6"/>
  <c r="X328" i="6"/>
  <c r="Y328" i="6" s="1"/>
  <c r="H328" i="6"/>
  <c r="Z327" i="6"/>
  <c r="X327" i="6"/>
  <c r="Y327" i="6" s="1"/>
  <c r="H327" i="6"/>
  <c r="M327" i="6" s="1"/>
  <c r="Z326" i="6"/>
  <c r="X326" i="6"/>
  <c r="Y326" i="6" s="1"/>
  <c r="H326" i="6"/>
  <c r="M326" i="6" s="1"/>
  <c r="Z325" i="6"/>
  <c r="X325" i="6"/>
  <c r="Y325" i="6" s="1"/>
  <c r="H325" i="6"/>
  <c r="Z324" i="6"/>
  <c r="X324" i="6"/>
  <c r="Y324" i="6" s="1"/>
  <c r="H324" i="6"/>
  <c r="Z323" i="6"/>
  <c r="X323" i="6"/>
  <c r="Y323" i="6" s="1"/>
  <c r="H323" i="6"/>
  <c r="Z322" i="6"/>
  <c r="X322" i="6"/>
  <c r="Y322" i="6" s="1"/>
  <c r="H322" i="6"/>
  <c r="Z321" i="6"/>
  <c r="X321" i="6"/>
  <c r="Y321" i="6" s="1"/>
  <c r="H321" i="6"/>
  <c r="Z320" i="6"/>
  <c r="X320" i="6"/>
  <c r="H320" i="6"/>
  <c r="Z319" i="6"/>
  <c r="X319" i="6"/>
  <c r="Y319" i="6" s="1"/>
  <c r="H319" i="6"/>
  <c r="M319" i="6" s="1"/>
  <c r="Z318" i="6"/>
  <c r="X318" i="6"/>
  <c r="Y318" i="6" s="1"/>
  <c r="H318" i="6"/>
  <c r="Z317" i="6"/>
  <c r="X317" i="6"/>
  <c r="Y317" i="6" s="1"/>
  <c r="H317" i="6"/>
  <c r="Z316" i="6"/>
  <c r="X316" i="6"/>
  <c r="Y316" i="6" s="1"/>
  <c r="H316" i="6"/>
  <c r="Z315" i="6"/>
  <c r="X315" i="6"/>
  <c r="Y315" i="6" s="1"/>
  <c r="H315" i="6"/>
  <c r="Z314" i="6"/>
  <c r="X314" i="6"/>
  <c r="H314" i="6"/>
  <c r="Z313" i="6"/>
  <c r="X313" i="6"/>
  <c r="Y313" i="6" s="1"/>
  <c r="H313" i="6"/>
  <c r="Z312" i="6"/>
  <c r="X312" i="6"/>
  <c r="Y312" i="6" s="1"/>
  <c r="H312" i="6"/>
  <c r="Z311" i="6"/>
  <c r="X311" i="6"/>
  <c r="Y311" i="6" s="1"/>
  <c r="H311" i="6"/>
  <c r="M311" i="6" s="1"/>
  <c r="Z310" i="6"/>
  <c r="X310" i="6"/>
  <c r="H310" i="6"/>
  <c r="Z309" i="6"/>
  <c r="X309" i="6"/>
  <c r="Y309" i="6" s="1"/>
  <c r="H309" i="6"/>
  <c r="Z308" i="6"/>
  <c r="X308" i="6"/>
  <c r="H308" i="6"/>
  <c r="Z307" i="6"/>
  <c r="X307" i="6"/>
  <c r="Y307" i="6" s="1"/>
  <c r="H307" i="6"/>
  <c r="Z306" i="6"/>
  <c r="X306" i="6"/>
  <c r="Y306" i="6" s="1"/>
  <c r="H306" i="6"/>
  <c r="Z305" i="6"/>
  <c r="X305" i="6"/>
  <c r="Y305" i="6" s="1"/>
  <c r="H305" i="6"/>
  <c r="M305" i="6" s="1"/>
  <c r="Z304" i="6"/>
  <c r="X304" i="6"/>
  <c r="H304" i="6"/>
  <c r="Z303" i="6"/>
  <c r="X303" i="6"/>
  <c r="Y303" i="6" s="1"/>
  <c r="H303" i="6"/>
  <c r="Z302" i="6"/>
  <c r="X302" i="6"/>
  <c r="H302" i="6"/>
  <c r="Z301" i="6"/>
  <c r="X301" i="6"/>
  <c r="Y301" i="6" s="1"/>
  <c r="H301" i="6"/>
  <c r="Z300" i="6"/>
  <c r="X300" i="6"/>
  <c r="Y300" i="6" s="1"/>
  <c r="H300" i="6"/>
  <c r="Z299" i="6"/>
  <c r="X299" i="6"/>
  <c r="Y299" i="6" s="1"/>
  <c r="H299" i="6"/>
  <c r="M299" i="6" s="1"/>
  <c r="Z298" i="6"/>
  <c r="X298" i="6"/>
  <c r="H298" i="6"/>
  <c r="Z297" i="6"/>
  <c r="X297" i="6"/>
  <c r="Y297" i="6" s="1"/>
  <c r="H297" i="6"/>
  <c r="Z296" i="6"/>
  <c r="X296" i="6"/>
  <c r="H296" i="6"/>
  <c r="Z295" i="6"/>
  <c r="X295" i="6"/>
  <c r="Y295" i="6" s="1"/>
  <c r="H295" i="6"/>
  <c r="Z294" i="6"/>
  <c r="X294" i="6"/>
  <c r="Y294" i="6" s="1"/>
  <c r="H294" i="6"/>
  <c r="Z293" i="6"/>
  <c r="X293" i="6"/>
  <c r="Y293" i="6" s="1"/>
  <c r="H293" i="6"/>
  <c r="M293" i="6" s="1"/>
  <c r="Z292" i="6"/>
  <c r="X292" i="6"/>
  <c r="H292" i="6"/>
  <c r="Z291" i="6"/>
  <c r="X291" i="6"/>
  <c r="Y291" i="6" s="1"/>
  <c r="H291" i="6"/>
  <c r="Z290" i="6"/>
  <c r="X290" i="6"/>
  <c r="H290" i="6"/>
  <c r="Z289" i="6"/>
  <c r="X289" i="6"/>
  <c r="Y289" i="6" s="1"/>
  <c r="H289" i="6"/>
  <c r="Z288" i="6"/>
  <c r="X288" i="6"/>
  <c r="Y288" i="6" s="1"/>
  <c r="H288" i="6"/>
  <c r="Z287" i="6"/>
  <c r="X287" i="6"/>
  <c r="Y287" i="6" s="1"/>
  <c r="H287" i="6"/>
  <c r="M287" i="6" s="1"/>
  <c r="Z286" i="6"/>
  <c r="X286" i="6"/>
  <c r="Y286" i="6" s="1"/>
  <c r="H286" i="6"/>
  <c r="Z285" i="6"/>
  <c r="X285" i="6"/>
  <c r="Y285" i="6" s="1"/>
  <c r="H285" i="6"/>
  <c r="Z284" i="6"/>
  <c r="X284" i="6"/>
  <c r="H284" i="6"/>
  <c r="Z283" i="6"/>
  <c r="X283" i="6"/>
  <c r="Y283" i="6" s="1"/>
  <c r="H283" i="6"/>
  <c r="Z282" i="6"/>
  <c r="X282" i="6"/>
  <c r="Y282" i="6" s="1"/>
  <c r="H282" i="6"/>
  <c r="Z281" i="6"/>
  <c r="X281" i="6"/>
  <c r="Y281" i="6" s="1"/>
  <c r="H281" i="6"/>
  <c r="M281" i="6" s="1"/>
  <c r="Z280" i="6"/>
  <c r="X280" i="6"/>
  <c r="Y280" i="6" s="1"/>
  <c r="H280" i="6"/>
  <c r="M280" i="6" s="1"/>
  <c r="Z279" i="6"/>
  <c r="X279" i="6"/>
  <c r="Y279" i="6" s="1"/>
  <c r="H279" i="6"/>
  <c r="Z278" i="6"/>
  <c r="X278" i="6"/>
  <c r="Y278" i="6" s="1"/>
  <c r="H278" i="6"/>
  <c r="Z277" i="6"/>
  <c r="X277" i="6"/>
  <c r="Y277" i="6" s="1"/>
  <c r="H277" i="6"/>
  <c r="Z276" i="6"/>
  <c r="X276" i="6"/>
  <c r="Y276" i="6" s="1"/>
  <c r="H276" i="6"/>
  <c r="Z275" i="6"/>
  <c r="X275" i="6"/>
  <c r="Y275" i="6" s="1"/>
  <c r="H275" i="6"/>
  <c r="Z274" i="6"/>
  <c r="X274" i="6"/>
  <c r="Y274" i="6" s="1"/>
  <c r="H274" i="6"/>
  <c r="Z273" i="6"/>
  <c r="X273" i="6"/>
  <c r="Y273" i="6" s="1"/>
  <c r="H273" i="6"/>
  <c r="Z272" i="6"/>
  <c r="X272" i="6"/>
  <c r="Y272" i="6" s="1"/>
  <c r="H272" i="6"/>
  <c r="Z271" i="6"/>
  <c r="X271" i="6"/>
  <c r="Y271" i="6" s="1"/>
  <c r="H271" i="6"/>
  <c r="Z270" i="6"/>
  <c r="X270" i="6"/>
  <c r="Y270" i="6" s="1"/>
  <c r="H270" i="6"/>
  <c r="M270" i="6" s="1"/>
  <c r="Z269" i="6"/>
  <c r="X269" i="6"/>
  <c r="Y269" i="6" s="1"/>
  <c r="H269" i="6"/>
  <c r="M269" i="6" s="1"/>
  <c r="Z268" i="6"/>
  <c r="X268" i="6"/>
  <c r="H268" i="6"/>
  <c r="M268" i="6" s="1"/>
  <c r="Z267" i="6"/>
  <c r="X267" i="6"/>
  <c r="Y267" i="6" s="1"/>
  <c r="H267" i="6"/>
  <c r="Z266" i="6"/>
  <c r="X266" i="6"/>
  <c r="Y266" i="6" s="1"/>
  <c r="H266" i="6"/>
  <c r="Z265" i="6"/>
  <c r="X265" i="6"/>
  <c r="Y265" i="6" s="1"/>
  <c r="H265" i="6"/>
  <c r="Z264" i="6"/>
  <c r="X264" i="6"/>
  <c r="H264" i="6"/>
  <c r="Z263" i="6"/>
  <c r="X263" i="6"/>
  <c r="Y263" i="6" s="1"/>
  <c r="H263" i="6"/>
  <c r="Z262" i="6"/>
  <c r="X262" i="6"/>
  <c r="H262" i="6"/>
  <c r="Z261" i="6"/>
  <c r="X261" i="6"/>
  <c r="H261" i="6"/>
  <c r="Z260" i="6"/>
  <c r="X260" i="6"/>
  <c r="Y260" i="6" s="1"/>
  <c r="H260" i="6"/>
  <c r="Z259" i="6"/>
  <c r="X259" i="6"/>
  <c r="Y259" i="6" s="1"/>
  <c r="H259" i="6"/>
  <c r="Z258" i="6"/>
  <c r="X258" i="6"/>
  <c r="Y258" i="6" s="1"/>
  <c r="H258" i="6"/>
  <c r="Z257" i="6"/>
  <c r="X257" i="6"/>
  <c r="Y257" i="6" s="1"/>
  <c r="H257" i="6"/>
  <c r="M257" i="6" s="1"/>
  <c r="Z256" i="6"/>
  <c r="X256" i="6"/>
  <c r="Y256" i="6" s="1"/>
  <c r="H256" i="6"/>
  <c r="M256" i="6" s="1"/>
  <c r="Z255" i="6"/>
  <c r="X255" i="6"/>
  <c r="Y255" i="6" s="1"/>
  <c r="H255" i="6"/>
  <c r="Z254" i="6"/>
  <c r="X254" i="6"/>
  <c r="Y254" i="6" s="1"/>
  <c r="H254" i="6"/>
  <c r="Z253" i="6"/>
  <c r="X253" i="6"/>
  <c r="Y253" i="6" s="1"/>
  <c r="H253" i="6"/>
  <c r="M253" i="6" s="1"/>
  <c r="Z252" i="6"/>
  <c r="X252" i="6"/>
  <c r="Y252" i="6" s="1"/>
  <c r="H252" i="6"/>
  <c r="Z251" i="6"/>
  <c r="X251" i="6"/>
  <c r="H251" i="6"/>
  <c r="Z250" i="6"/>
  <c r="X250" i="6"/>
  <c r="Y250" i="6" s="1"/>
  <c r="H250" i="6"/>
  <c r="Z249" i="6"/>
  <c r="X249" i="6"/>
  <c r="Y249" i="6" s="1"/>
  <c r="H249" i="6"/>
  <c r="Z248" i="6"/>
  <c r="X248" i="6"/>
  <c r="Y248" i="6" s="1"/>
  <c r="H248" i="6"/>
  <c r="M248" i="6" s="1"/>
  <c r="Z247" i="6"/>
  <c r="X247" i="6"/>
  <c r="Y247" i="6" s="1"/>
  <c r="H247" i="6"/>
  <c r="Z246" i="6"/>
  <c r="X246" i="6"/>
  <c r="H246" i="6"/>
  <c r="Z245" i="6"/>
  <c r="X245" i="6"/>
  <c r="H245" i="6"/>
  <c r="Z244" i="6"/>
  <c r="X244" i="6"/>
  <c r="Y244" i="6" s="1"/>
  <c r="H244" i="6"/>
  <c r="Z243" i="6"/>
  <c r="X243" i="6"/>
  <c r="Y243" i="6" s="1"/>
  <c r="H243" i="6"/>
  <c r="M243" i="6" s="1"/>
  <c r="Z242" i="6"/>
  <c r="X242" i="6"/>
  <c r="Y242" i="6" s="1"/>
  <c r="H242" i="6"/>
  <c r="Z241" i="6"/>
  <c r="X241" i="6"/>
  <c r="Y241" i="6" s="1"/>
  <c r="H241" i="6"/>
  <c r="M241" i="6" s="1"/>
  <c r="Z240" i="6"/>
  <c r="X240" i="6"/>
  <c r="Y240" i="6" s="1"/>
  <c r="H240" i="6"/>
  <c r="M240" i="6" s="1"/>
  <c r="Z239" i="6"/>
  <c r="X239" i="6"/>
  <c r="H239" i="6"/>
  <c r="Z238" i="6"/>
  <c r="X238" i="6"/>
  <c r="Y238" i="6" s="1"/>
  <c r="H238" i="6"/>
  <c r="Z237" i="6"/>
  <c r="X237" i="6"/>
  <c r="Y237" i="6" s="1"/>
  <c r="H237" i="6"/>
  <c r="M237" i="6" s="1"/>
  <c r="Z236" i="6"/>
  <c r="X236" i="6"/>
  <c r="Y236" i="6" s="1"/>
  <c r="H236" i="6"/>
  <c r="Z235" i="6"/>
  <c r="X235" i="6"/>
  <c r="Y235" i="6" s="1"/>
  <c r="H235" i="6"/>
  <c r="M235" i="6" s="1"/>
  <c r="Z234" i="6"/>
  <c r="X234" i="6"/>
  <c r="Y234" i="6" s="1"/>
  <c r="H234" i="6"/>
  <c r="Z233" i="6"/>
  <c r="X233" i="6"/>
  <c r="H233" i="6"/>
  <c r="M233" i="6" s="1"/>
  <c r="Z232" i="6"/>
  <c r="X232" i="6"/>
  <c r="Y232" i="6" s="1"/>
  <c r="H232" i="6"/>
  <c r="Z231" i="6"/>
  <c r="X231" i="6"/>
  <c r="Y231" i="6" s="1"/>
  <c r="H231" i="6"/>
  <c r="Z230" i="6"/>
  <c r="X230" i="6"/>
  <c r="H230" i="6"/>
  <c r="Z229" i="6"/>
  <c r="X229" i="6"/>
  <c r="Y229" i="6" s="1"/>
  <c r="H229" i="6"/>
  <c r="Z228" i="6"/>
  <c r="X228" i="6"/>
  <c r="H228" i="6"/>
  <c r="M228" i="6" s="1"/>
  <c r="Z227" i="6"/>
  <c r="X227" i="6"/>
  <c r="H227" i="6"/>
  <c r="Z226" i="6"/>
  <c r="X226" i="6"/>
  <c r="Y226" i="6" s="1"/>
  <c r="H226" i="6"/>
  <c r="Z225" i="6"/>
  <c r="X225" i="6"/>
  <c r="Y225" i="6" s="1"/>
  <c r="H225" i="6"/>
  <c r="Z224" i="6"/>
  <c r="X224" i="6"/>
  <c r="Y224" i="6" s="1"/>
  <c r="H224" i="6"/>
  <c r="Z223" i="6"/>
  <c r="X223" i="6"/>
  <c r="Y223" i="6" s="1"/>
  <c r="H223" i="6"/>
  <c r="Z222" i="6"/>
  <c r="X222" i="6"/>
  <c r="Y222" i="6" s="1"/>
  <c r="H222" i="6"/>
  <c r="Z221" i="6"/>
  <c r="X221" i="6"/>
  <c r="Y221" i="6" s="1"/>
  <c r="H221" i="6"/>
  <c r="Z220" i="6"/>
  <c r="X220" i="6"/>
  <c r="Y220" i="6" s="1"/>
  <c r="H220" i="6"/>
  <c r="Z219" i="6"/>
  <c r="X219" i="6"/>
  <c r="Y219" i="6" s="1"/>
  <c r="H219" i="6"/>
  <c r="Z218" i="6"/>
  <c r="X218" i="6"/>
  <c r="Y218" i="6" s="1"/>
  <c r="H218" i="6"/>
  <c r="Z217" i="6"/>
  <c r="X217" i="6"/>
  <c r="Y217" i="6" s="1"/>
  <c r="H217" i="6"/>
  <c r="Z216" i="6"/>
  <c r="X216" i="6"/>
  <c r="Y216" i="6" s="1"/>
  <c r="H216" i="6"/>
  <c r="Z215" i="6"/>
  <c r="X215" i="6"/>
  <c r="H215" i="6"/>
  <c r="Z214" i="6"/>
  <c r="X214" i="6"/>
  <c r="H214" i="6"/>
  <c r="M214" i="6" s="1"/>
  <c r="Z213" i="6"/>
  <c r="X213" i="6"/>
  <c r="H213" i="6"/>
  <c r="Z212" i="6"/>
  <c r="X212" i="6"/>
  <c r="H212" i="6"/>
  <c r="Z211" i="6"/>
  <c r="X211" i="6"/>
  <c r="H211" i="6"/>
  <c r="Z210" i="6"/>
  <c r="X210" i="6"/>
  <c r="Y210" i="6" s="1"/>
  <c r="H210" i="6"/>
  <c r="M210" i="6" s="1"/>
  <c r="Z209" i="6"/>
  <c r="X209" i="6"/>
  <c r="Y209" i="6" s="1"/>
  <c r="H209" i="6"/>
  <c r="Z208" i="6"/>
  <c r="X208" i="6"/>
  <c r="Y208" i="6" s="1"/>
  <c r="H208" i="6"/>
  <c r="Z207" i="6"/>
  <c r="X207" i="6"/>
  <c r="Y207" i="6" s="1"/>
  <c r="H207" i="6"/>
  <c r="Z206" i="6"/>
  <c r="X206" i="6"/>
  <c r="H206" i="6"/>
  <c r="M206" i="6" s="1"/>
  <c r="Z205" i="6"/>
  <c r="X205" i="6"/>
  <c r="Y205" i="6" s="1"/>
  <c r="H205" i="6"/>
  <c r="Z204" i="6"/>
  <c r="X204" i="6"/>
  <c r="Y204" i="6" s="1"/>
  <c r="H204" i="6"/>
  <c r="M204" i="6" s="1"/>
  <c r="Z203" i="6"/>
  <c r="X203" i="6"/>
  <c r="Y203" i="6" s="1"/>
  <c r="H203" i="6"/>
  <c r="Z202" i="6"/>
  <c r="X202" i="6"/>
  <c r="Y202" i="6" s="1"/>
  <c r="H202" i="6"/>
  <c r="Z201" i="6"/>
  <c r="X201" i="6"/>
  <c r="Y201" i="6" s="1"/>
  <c r="H201" i="6"/>
  <c r="Z200" i="6"/>
  <c r="X200" i="6"/>
  <c r="H200" i="6"/>
  <c r="Z199" i="6"/>
  <c r="X199" i="6"/>
  <c r="Y199" i="6" s="1"/>
  <c r="H199" i="6"/>
  <c r="Z198" i="6"/>
  <c r="X198" i="6"/>
  <c r="Y198" i="6" s="1"/>
  <c r="H198" i="6"/>
  <c r="Z197" i="6"/>
  <c r="X197" i="6"/>
  <c r="Y197" i="6" s="1"/>
  <c r="H197" i="6"/>
  <c r="Z196" i="6"/>
  <c r="X196" i="6"/>
  <c r="Y196" i="6" s="1"/>
  <c r="H196" i="6"/>
  <c r="M196" i="6" s="1"/>
  <c r="Z195" i="6"/>
  <c r="X195" i="6"/>
  <c r="Y195" i="6" s="1"/>
  <c r="H195" i="6"/>
  <c r="Z194" i="6"/>
  <c r="X194" i="6"/>
  <c r="Y194" i="6" s="1"/>
  <c r="H194" i="6"/>
  <c r="Z193" i="6"/>
  <c r="X193" i="6"/>
  <c r="Y193" i="6" s="1"/>
  <c r="H193" i="6"/>
  <c r="Z192" i="6"/>
  <c r="X192" i="6"/>
  <c r="H192" i="6"/>
  <c r="Z191" i="6"/>
  <c r="X191" i="6"/>
  <c r="Y191" i="6" s="1"/>
  <c r="H191" i="6"/>
  <c r="Z190" i="6"/>
  <c r="X190" i="6"/>
  <c r="Y190" i="6" s="1"/>
  <c r="H190" i="6"/>
  <c r="M190" i="6" s="1"/>
  <c r="Z189" i="6"/>
  <c r="X189" i="6"/>
  <c r="Y189" i="6" s="1"/>
  <c r="H189" i="6"/>
  <c r="Z188" i="6"/>
  <c r="X188" i="6"/>
  <c r="Y188" i="6" s="1"/>
  <c r="H188" i="6"/>
  <c r="M188" i="6" s="1"/>
  <c r="Z187" i="6"/>
  <c r="X187" i="6"/>
  <c r="Y187" i="6" s="1"/>
  <c r="H187" i="6"/>
  <c r="Z186" i="6"/>
  <c r="X186" i="6"/>
  <c r="H186" i="6"/>
  <c r="Z185" i="6"/>
  <c r="X185" i="6"/>
  <c r="Y185" i="6" s="1"/>
  <c r="H185" i="6"/>
  <c r="Z184" i="6"/>
  <c r="X184" i="6"/>
  <c r="Y184" i="6" s="1"/>
  <c r="H184" i="6"/>
  <c r="Z183" i="6"/>
  <c r="X183" i="6"/>
  <c r="H183" i="6"/>
  <c r="Z182" i="6"/>
  <c r="X182" i="6"/>
  <c r="Y182" i="6" s="1"/>
  <c r="H182" i="6"/>
  <c r="Z181" i="6"/>
  <c r="X181" i="6"/>
  <c r="H181" i="6"/>
  <c r="Z180" i="6"/>
  <c r="X180" i="6"/>
  <c r="Y180" i="6" s="1"/>
  <c r="H180" i="6"/>
  <c r="M180" i="6" s="1"/>
  <c r="Z179" i="6"/>
  <c r="X179" i="6"/>
  <c r="Y179" i="6" s="1"/>
  <c r="H179" i="6"/>
  <c r="Z178" i="6"/>
  <c r="X178" i="6"/>
  <c r="Y178" i="6" s="1"/>
  <c r="H178" i="6"/>
  <c r="Z177" i="6"/>
  <c r="X177" i="6"/>
  <c r="Y177" i="6" s="1"/>
  <c r="H177" i="6"/>
  <c r="Z176" i="6"/>
  <c r="X176" i="6"/>
  <c r="Y176" i="6" s="1"/>
  <c r="H176" i="6"/>
  <c r="M176" i="6" s="1"/>
  <c r="Z175" i="6"/>
  <c r="X175" i="6"/>
  <c r="Y175" i="6" s="1"/>
  <c r="H175" i="6"/>
  <c r="M175" i="6" s="1"/>
  <c r="Z174" i="6"/>
  <c r="X174" i="6"/>
  <c r="H174" i="6"/>
  <c r="M174" i="6" s="1"/>
  <c r="Z173" i="6"/>
  <c r="X173" i="6"/>
  <c r="Y173" i="6" s="1"/>
  <c r="H173" i="6"/>
  <c r="Z172" i="6"/>
  <c r="X172" i="6"/>
  <c r="Y172" i="6" s="1"/>
  <c r="H172" i="6"/>
  <c r="Z171" i="6"/>
  <c r="X171" i="6"/>
  <c r="Y171" i="6" s="1"/>
  <c r="H171" i="6"/>
  <c r="Z170" i="6"/>
  <c r="X170" i="6"/>
  <c r="Y170" i="6" s="1"/>
  <c r="H170" i="6"/>
  <c r="Z169" i="6"/>
  <c r="X169" i="6"/>
  <c r="Y169" i="6" s="1"/>
  <c r="H169" i="6"/>
  <c r="Z168" i="6"/>
  <c r="X168" i="6"/>
  <c r="H168" i="6"/>
  <c r="M168" i="6" s="1"/>
  <c r="Z167" i="6"/>
  <c r="X167" i="6"/>
  <c r="Y167" i="6" s="1"/>
  <c r="H167" i="6"/>
  <c r="Z166" i="6"/>
  <c r="X166" i="6"/>
  <c r="Y166" i="6" s="1"/>
  <c r="H166" i="6"/>
  <c r="Z165" i="6"/>
  <c r="X165" i="6"/>
  <c r="H165" i="6"/>
  <c r="Z164" i="6"/>
  <c r="X164" i="6"/>
  <c r="Y164" i="6" s="1"/>
  <c r="H164" i="6"/>
  <c r="Z163" i="6"/>
  <c r="X163" i="6"/>
  <c r="H163" i="6"/>
  <c r="M163" i="6" s="1"/>
  <c r="Z162" i="6"/>
  <c r="X162" i="6"/>
  <c r="H162" i="6"/>
  <c r="Z161" i="6"/>
  <c r="X161" i="6"/>
  <c r="H161" i="6"/>
  <c r="Z160" i="6"/>
  <c r="X160" i="6"/>
  <c r="Y160" i="6" s="1"/>
  <c r="H160" i="6"/>
  <c r="M160" i="6" s="1"/>
  <c r="Z159" i="6"/>
  <c r="X159" i="6"/>
  <c r="Y159" i="6" s="1"/>
  <c r="H159" i="6"/>
  <c r="Z158" i="6"/>
  <c r="X158" i="6"/>
  <c r="Y158" i="6" s="1"/>
  <c r="H158" i="6"/>
  <c r="Z157" i="6"/>
  <c r="X157" i="6"/>
  <c r="Y157" i="6" s="1"/>
  <c r="H157" i="6"/>
  <c r="Z156" i="6"/>
  <c r="X156" i="6"/>
  <c r="H156" i="6"/>
  <c r="M156" i="6" s="1"/>
  <c r="Z155" i="6"/>
  <c r="X155" i="6"/>
  <c r="Y155" i="6" s="1"/>
  <c r="H155" i="6"/>
  <c r="M155" i="6" s="1"/>
  <c r="Z154" i="6"/>
  <c r="X154" i="6"/>
  <c r="Y154" i="6" s="1"/>
  <c r="H154" i="6"/>
  <c r="Z153" i="6"/>
  <c r="X153" i="6"/>
  <c r="Y153" i="6" s="1"/>
  <c r="H153" i="6"/>
  <c r="Z152" i="6"/>
  <c r="X152" i="6"/>
  <c r="Y152" i="6" s="1"/>
  <c r="H152" i="6"/>
  <c r="Z151" i="6"/>
  <c r="X151" i="6"/>
  <c r="Y151" i="6" s="1"/>
  <c r="H151" i="6"/>
  <c r="Z150" i="6"/>
  <c r="X150" i="6"/>
  <c r="H150" i="6"/>
  <c r="Z149" i="6"/>
  <c r="X149" i="6"/>
  <c r="H149" i="6"/>
  <c r="Z148" i="6"/>
  <c r="X148" i="6"/>
  <c r="Y148" i="6" s="1"/>
  <c r="H148" i="6"/>
  <c r="Z147" i="6"/>
  <c r="X147" i="6"/>
  <c r="H147" i="6"/>
  <c r="Z146" i="6"/>
  <c r="X146" i="6"/>
  <c r="Y146" i="6" s="1"/>
  <c r="H146" i="6"/>
  <c r="Z145" i="6"/>
  <c r="X145" i="6"/>
  <c r="Y145" i="6" s="1"/>
  <c r="H145" i="6"/>
  <c r="Z144" i="6"/>
  <c r="X144" i="6"/>
  <c r="H144" i="6"/>
  <c r="Z143" i="6"/>
  <c r="X143" i="6"/>
  <c r="Y143" i="6" s="1"/>
  <c r="H143" i="6"/>
  <c r="Z142" i="6"/>
  <c r="X142" i="6"/>
  <c r="Y142" i="6" s="1"/>
  <c r="H142" i="6"/>
  <c r="Z141" i="6"/>
  <c r="X141" i="6"/>
  <c r="Y141" i="6" s="1"/>
  <c r="H141" i="6"/>
  <c r="Z140" i="6"/>
  <c r="X140" i="6"/>
  <c r="Y140" i="6" s="1"/>
  <c r="H140" i="6"/>
  <c r="Z139" i="6"/>
  <c r="X139" i="6"/>
  <c r="Y139" i="6" s="1"/>
  <c r="H139" i="6"/>
  <c r="M139" i="6" s="1"/>
  <c r="Z138" i="6"/>
  <c r="X138" i="6"/>
  <c r="Y138" i="6" s="1"/>
  <c r="H138" i="6"/>
  <c r="M138" i="6" s="1"/>
  <c r="Z137" i="6"/>
  <c r="X137" i="6"/>
  <c r="Y137" i="6" s="1"/>
  <c r="H137" i="6"/>
  <c r="Z136" i="6"/>
  <c r="X136" i="6"/>
  <c r="Y136" i="6" s="1"/>
  <c r="H136" i="6"/>
  <c r="Z135" i="6"/>
  <c r="X135" i="6"/>
  <c r="Y135" i="6" s="1"/>
  <c r="H135" i="6"/>
  <c r="Z134" i="6"/>
  <c r="X134" i="6"/>
  <c r="Y134" i="6" s="1"/>
  <c r="H134" i="6"/>
  <c r="Z133" i="6"/>
  <c r="X133" i="6"/>
  <c r="Y133" i="6" s="1"/>
  <c r="H133" i="6"/>
  <c r="Z132" i="6"/>
  <c r="X132" i="6"/>
  <c r="H132" i="6"/>
  <c r="Z131" i="6"/>
  <c r="X131" i="6"/>
  <c r="H131" i="6"/>
  <c r="M131" i="6" s="1"/>
  <c r="Z130" i="6"/>
  <c r="X130" i="6"/>
  <c r="Y130" i="6" s="1"/>
  <c r="H130" i="6"/>
  <c r="M130" i="6" s="1"/>
  <c r="Z129" i="6"/>
  <c r="X129" i="6"/>
  <c r="H129" i="6"/>
  <c r="Z128" i="6"/>
  <c r="X128" i="6"/>
  <c r="Y128" i="6" s="1"/>
  <c r="H128" i="6"/>
  <c r="Z127" i="6"/>
  <c r="X127" i="6"/>
  <c r="Y127" i="6" s="1"/>
  <c r="H127" i="6"/>
  <c r="Z126" i="6"/>
  <c r="X126" i="6"/>
  <c r="H126" i="6"/>
  <c r="Z125" i="6"/>
  <c r="X125" i="6"/>
  <c r="Y125" i="6" s="1"/>
  <c r="H125" i="6"/>
  <c r="Z124" i="6"/>
  <c r="X124" i="6"/>
  <c r="Y124" i="6" s="1"/>
  <c r="H124" i="6"/>
  <c r="Z123" i="6"/>
  <c r="X123" i="6"/>
  <c r="Y123" i="6" s="1"/>
  <c r="H123" i="6"/>
  <c r="Z122" i="6"/>
  <c r="X122" i="6"/>
  <c r="Y122" i="6" s="1"/>
  <c r="H122" i="6"/>
  <c r="Z121" i="6"/>
  <c r="X121" i="6"/>
  <c r="Y121" i="6" s="1"/>
  <c r="H121" i="6"/>
  <c r="M121" i="6" s="1"/>
  <c r="Z120" i="6"/>
  <c r="X120" i="6"/>
  <c r="Y120" i="6" s="1"/>
  <c r="H120" i="6"/>
  <c r="Z119" i="6"/>
  <c r="X119" i="6"/>
  <c r="Y119" i="6" s="1"/>
  <c r="H119" i="6"/>
  <c r="Z118" i="6"/>
  <c r="X118" i="6"/>
  <c r="Y118" i="6" s="1"/>
  <c r="H118" i="6"/>
  <c r="Z117" i="6"/>
  <c r="X117" i="6"/>
  <c r="H117" i="6"/>
  <c r="Z116" i="6"/>
  <c r="X116" i="6"/>
  <c r="Y116" i="6" s="1"/>
  <c r="H116" i="6"/>
  <c r="Z115" i="6"/>
  <c r="X115" i="6"/>
  <c r="Y115" i="6" s="1"/>
  <c r="H115" i="6"/>
  <c r="Z114" i="6"/>
  <c r="X114" i="6"/>
  <c r="H114" i="6"/>
  <c r="Z113" i="6"/>
  <c r="X113" i="6"/>
  <c r="H113" i="6"/>
  <c r="M113" i="6" s="1"/>
  <c r="Z112" i="6"/>
  <c r="X112" i="6"/>
  <c r="Y112" i="6" s="1"/>
  <c r="H112" i="6"/>
  <c r="Z111" i="6"/>
  <c r="X111" i="6"/>
  <c r="H111" i="6"/>
  <c r="Z110" i="6"/>
  <c r="X110" i="6"/>
  <c r="Y110" i="6" s="1"/>
  <c r="H110" i="6"/>
  <c r="Z109" i="6"/>
  <c r="X109" i="6"/>
  <c r="Y109" i="6" s="1"/>
  <c r="H109" i="6"/>
  <c r="Z108" i="6"/>
  <c r="X108" i="6"/>
  <c r="H108" i="6"/>
  <c r="M108" i="6" s="1"/>
  <c r="Z107" i="6"/>
  <c r="X107" i="6"/>
  <c r="Y107" i="6" s="1"/>
  <c r="H107" i="6"/>
  <c r="Z106" i="6"/>
  <c r="X106" i="6"/>
  <c r="Y106" i="6" s="1"/>
  <c r="H106" i="6"/>
  <c r="Z105" i="6"/>
  <c r="X105" i="6"/>
  <c r="Y105" i="6" s="1"/>
  <c r="H105" i="6"/>
  <c r="M105" i="6" s="1"/>
  <c r="Z104" i="6"/>
  <c r="X104" i="6"/>
  <c r="Y104" i="6" s="1"/>
  <c r="H104" i="6"/>
  <c r="M104" i="6" s="1"/>
  <c r="Z103" i="6"/>
  <c r="X103" i="6"/>
  <c r="Y103" i="6" s="1"/>
  <c r="H103" i="6"/>
  <c r="Z102" i="6"/>
  <c r="X102" i="6"/>
  <c r="Y102" i="6" s="1"/>
  <c r="H102" i="6"/>
  <c r="Z101" i="6"/>
  <c r="X101" i="6"/>
  <c r="Y101" i="6" s="1"/>
  <c r="H101" i="6"/>
  <c r="Z100" i="6"/>
  <c r="X100" i="6"/>
  <c r="Y100" i="6" s="1"/>
  <c r="H100" i="6"/>
  <c r="Z99" i="6"/>
  <c r="X99" i="6"/>
  <c r="Y99" i="6" s="1"/>
  <c r="H99" i="6"/>
  <c r="Z98" i="6"/>
  <c r="X98" i="6"/>
  <c r="Y98" i="6" s="1"/>
  <c r="H98" i="6"/>
  <c r="Z97" i="6"/>
  <c r="X97" i="6"/>
  <c r="H97" i="6"/>
  <c r="Z96" i="6"/>
  <c r="X96" i="6"/>
  <c r="Y96" i="6" s="1"/>
  <c r="H96" i="6"/>
  <c r="Z95" i="6"/>
  <c r="X95" i="6"/>
  <c r="Y95" i="6" s="1"/>
  <c r="H95" i="6"/>
  <c r="Z94" i="6"/>
  <c r="X94" i="6"/>
  <c r="Y94" i="6" s="1"/>
  <c r="H94" i="6"/>
  <c r="Z93" i="6"/>
  <c r="X93" i="6"/>
  <c r="Y93" i="6" s="1"/>
  <c r="H93" i="6"/>
  <c r="Z92" i="6"/>
  <c r="X92" i="6"/>
  <c r="Y92" i="6" s="1"/>
  <c r="H92" i="6"/>
  <c r="M92" i="6" s="1"/>
  <c r="Z91" i="6"/>
  <c r="X91" i="6"/>
  <c r="H91" i="6"/>
  <c r="Z90" i="6"/>
  <c r="X90" i="6"/>
  <c r="Y90" i="6" s="1"/>
  <c r="H90" i="6"/>
  <c r="Z89" i="6"/>
  <c r="X89" i="6"/>
  <c r="Y89" i="6" s="1"/>
  <c r="H89" i="6"/>
  <c r="M89" i="6" s="1"/>
  <c r="Z88" i="6"/>
  <c r="X88" i="6"/>
  <c r="Y88" i="6" s="1"/>
  <c r="H88" i="6"/>
  <c r="Z87" i="6"/>
  <c r="X87" i="6"/>
  <c r="Y87" i="6" s="1"/>
  <c r="H87" i="6"/>
  <c r="Z86" i="6"/>
  <c r="X86" i="6"/>
  <c r="Y86" i="6" s="1"/>
  <c r="H86" i="6"/>
  <c r="Z85" i="6"/>
  <c r="X85" i="6"/>
  <c r="H85" i="6"/>
  <c r="M85" i="6" s="1"/>
  <c r="Z84" i="6"/>
  <c r="X84" i="6"/>
  <c r="Y84" i="6" s="1"/>
  <c r="H84" i="6"/>
  <c r="Z83" i="6"/>
  <c r="X83" i="6"/>
  <c r="Y83" i="6" s="1"/>
  <c r="H83" i="6"/>
  <c r="Z82" i="6"/>
  <c r="X82" i="6"/>
  <c r="Y82" i="6" s="1"/>
  <c r="H82" i="6"/>
  <c r="Z81" i="6"/>
  <c r="X81" i="6"/>
  <c r="Y81" i="6" s="1"/>
  <c r="H81" i="6"/>
  <c r="M81" i="6" s="1"/>
  <c r="Z80" i="6"/>
  <c r="X80" i="6"/>
  <c r="Y80" i="6" s="1"/>
  <c r="H80" i="6"/>
  <c r="M80" i="6" s="1"/>
  <c r="Z79" i="6"/>
  <c r="X79" i="6"/>
  <c r="H79" i="6"/>
  <c r="Z78" i="6"/>
  <c r="X78" i="6"/>
  <c r="Y78" i="6" s="1"/>
  <c r="H78" i="6"/>
  <c r="Z77" i="6"/>
  <c r="X77" i="6"/>
  <c r="Y77" i="6" s="1"/>
  <c r="H77" i="6"/>
  <c r="Z76" i="6"/>
  <c r="X76" i="6"/>
  <c r="Y76" i="6" s="1"/>
  <c r="H76" i="6"/>
  <c r="Z75" i="6"/>
  <c r="X75" i="6"/>
  <c r="H75" i="6"/>
  <c r="M75" i="6" s="1"/>
  <c r="Z74" i="6"/>
  <c r="X74" i="6"/>
  <c r="Y74" i="6" s="1"/>
  <c r="H74" i="6"/>
  <c r="Z73" i="6"/>
  <c r="X73" i="6"/>
  <c r="H73" i="6"/>
  <c r="Z72" i="6"/>
  <c r="X72" i="6"/>
  <c r="Y72" i="6" s="1"/>
  <c r="H72" i="6"/>
  <c r="Z71" i="6"/>
  <c r="X71" i="6"/>
  <c r="Y71" i="6" s="1"/>
  <c r="H71" i="6"/>
  <c r="M71" i="6" s="1"/>
  <c r="Z70" i="6"/>
  <c r="X70" i="6"/>
  <c r="Y70" i="6" s="1"/>
  <c r="H70" i="6"/>
  <c r="M70" i="6" s="1"/>
  <c r="Z69" i="6"/>
  <c r="X69" i="6"/>
  <c r="Y69" i="6" s="1"/>
  <c r="H69" i="6"/>
  <c r="Z68" i="6"/>
  <c r="X68" i="6"/>
  <c r="Y68" i="6" s="1"/>
  <c r="H68" i="6"/>
  <c r="Z67" i="6"/>
  <c r="X67" i="6"/>
  <c r="H67" i="6"/>
  <c r="Z66" i="6"/>
  <c r="X66" i="6"/>
  <c r="Y66" i="6" s="1"/>
  <c r="H66" i="6"/>
  <c r="Z65" i="6"/>
  <c r="X65" i="6"/>
  <c r="Y65" i="6" s="1"/>
  <c r="H65" i="6"/>
  <c r="Z64" i="6"/>
  <c r="X64" i="6"/>
  <c r="Y64" i="6" s="1"/>
  <c r="H64" i="6"/>
  <c r="Z63" i="6"/>
  <c r="X63" i="6"/>
  <c r="Y63" i="6" s="1"/>
  <c r="H63" i="6"/>
  <c r="Z62" i="6"/>
  <c r="X62" i="6"/>
  <c r="Y62" i="6" s="1"/>
  <c r="H62" i="6"/>
  <c r="Z61" i="6"/>
  <c r="X61" i="6"/>
  <c r="H61" i="6"/>
  <c r="M61" i="6" s="1"/>
  <c r="Z60" i="6"/>
  <c r="X60" i="6"/>
  <c r="Y60" i="6" s="1"/>
  <c r="H60" i="6"/>
  <c r="Z59" i="6"/>
  <c r="X59" i="6"/>
  <c r="Y59" i="6" s="1"/>
  <c r="H59" i="6"/>
  <c r="Z58" i="6"/>
  <c r="X58" i="6"/>
  <c r="Y58" i="6" s="1"/>
  <c r="H58" i="6"/>
  <c r="Z57" i="6"/>
  <c r="X57" i="6"/>
  <c r="Y57" i="6" s="1"/>
  <c r="H57" i="6"/>
  <c r="Z56" i="6"/>
  <c r="X56" i="6"/>
  <c r="Y56" i="6" s="1"/>
  <c r="H56" i="6"/>
  <c r="Z55" i="6"/>
  <c r="X55" i="6"/>
  <c r="H55" i="6"/>
  <c r="Z54" i="6"/>
  <c r="X54" i="6"/>
  <c r="Y54" i="6" s="1"/>
  <c r="H54" i="6"/>
  <c r="Z53" i="6"/>
  <c r="X53" i="6"/>
  <c r="Y53" i="6" s="1"/>
  <c r="H53" i="6"/>
  <c r="M53" i="6" s="1"/>
  <c r="Z52" i="6"/>
  <c r="X52" i="6"/>
  <c r="Y52" i="6" s="1"/>
  <c r="H52" i="6"/>
  <c r="Z51" i="6"/>
  <c r="X51" i="6"/>
  <c r="Y51" i="6" s="1"/>
  <c r="H51" i="6"/>
  <c r="Z50" i="6"/>
  <c r="X50" i="6"/>
  <c r="Y50" i="6" s="1"/>
  <c r="H50" i="6"/>
  <c r="Z49" i="6"/>
  <c r="X49" i="6"/>
  <c r="H49" i="6"/>
  <c r="Z48" i="6"/>
  <c r="X48" i="6"/>
  <c r="Y48" i="6" s="1"/>
  <c r="H48" i="6"/>
  <c r="Z47" i="6"/>
  <c r="X47" i="6"/>
  <c r="Y47" i="6" s="1"/>
  <c r="H47" i="6"/>
  <c r="Z46" i="6"/>
  <c r="X46" i="6"/>
  <c r="Y46" i="6" s="1"/>
  <c r="H46" i="6"/>
  <c r="Z45" i="6"/>
  <c r="X45" i="6"/>
  <c r="Y45" i="6" s="1"/>
  <c r="H45" i="6"/>
  <c r="M45" i="6" s="1"/>
  <c r="Z44" i="6"/>
  <c r="X44" i="6"/>
  <c r="Y44" i="6" s="1"/>
  <c r="H44" i="6"/>
  <c r="M44" i="6" s="1"/>
  <c r="Z43" i="6"/>
  <c r="X43" i="6"/>
  <c r="H43" i="6"/>
  <c r="Z42" i="6"/>
  <c r="X42" i="6"/>
  <c r="Y42" i="6" s="1"/>
  <c r="H42" i="6"/>
  <c r="Z41" i="6"/>
  <c r="X41" i="6"/>
  <c r="Y41" i="6" s="1"/>
  <c r="H41" i="6"/>
  <c r="Z40" i="6"/>
  <c r="X40" i="6"/>
  <c r="Y40" i="6" s="1"/>
  <c r="H40" i="6"/>
  <c r="Z39" i="6"/>
  <c r="X39" i="6"/>
  <c r="Y39" i="6" s="1"/>
  <c r="H39" i="6"/>
  <c r="Z38" i="6"/>
  <c r="X38" i="6"/>
  <c r="Y38" i="6" s="1"/>
  <c r="H38" i="6"/>
  <c r="M38" i="6" s="1"/>
  <c r="Z37" i="6"/>
  <c r="X37" i="6"/>
  <c r="Y37" i="6" s="1"/>
  <c r="H37" i="6"/>
  <c r="Z36" i="6"/>
  <c r="X36" i="6"/>
  <c r="Y36" i="6" s="1"/>
  <c r="H36" i="6"/>
  <c r="Z35" i="6"/>
  <c r="X35" i="6"/>
  <c r="Y35" i="6" s="1"/>
  <c r="H35" i="6"/>
  <c r="M35" i="6" s="1"/>
  <c r="Z34" i="6"/>
  <c r="X34" i="6"/>
  <c r="Y34" i="6" s="1"/>
  <c r="H34" i="6"/>
  <c r="Z33" i="6"/>
  <c r="X33" i="6"/>
  <c r="Y33" i="6" s="1"/>
  <c r="H33" i="6"/>
  <c r="Z32" i="6"/>
  <c r="X32" i="6"/>
  <c r="Y32" i="6" s="1"/>
  <c r="H32" i="6"/>
  <c r="Z31" i="6"/>
  <c r="X31" i="6"/>
  <c r="H31" i="6"/>
  <c r="Z30" i="6"/>
  <c r="X30" i="6"/>
  <c r="Y30" i="6" s="1"/>
  <c r="H30" i="6"/>
  <c r="Z29" i="6"/>
  <c r="X29" i="6"/>
  <c r="Y29" i="6" s="1"/>
  <c r="H29" i="6"/>
  <c r="Z28" i="6"/>
  <c r="X28" i="6"/>
  <c r="Y28" i="6" s="1"/>
  <c r="H28" i="6"/>
  <c r="Z27" i="6"/>
  <c r="X27" i="6"/>
  <c r="Y27" i="6" s="1"/>
  <c r="H27" i="6"/>
  <c r="Z26" i="6"/>
  <c r="X26" i="6"/>
  <c r="Y26" i="6" s="1"/>
  <c r="H26" i="6"/>
  <c r="Z25" i="6"/>
  <c r="X25" i="6"/>
  <c r="H25" i="6"/>
  <c r="Z24" i="6"/>
  <c r="X24" i="6"/>
  <c r="Y24" i="6" s="1"/>
  <c r="H24" i="6"/>
  <c r="Z23" i="6"/>
  <c r="X23" i="6"/>
  <c r="Y23" i="6" s="1"/>
  <c r="H23" i="6"/>
  <c r="Z22" i="6"/>
  <c r="X22" i="6"/>
  <c r="Y22" i="6" s="1"/>
  <c r="H22" i="6"/>
  <c r="Z21" i="6"/>
  <c r="X21" i="6"/>
  <c r="Y21" i="6" s="1"/>
  <c r="H21" i="6"/>
  <c r="M21" i="6" s="1"/>
  <c r="Z20" i="6"/>
  <c r="X20" i="6"/>
  <c r="Y20" i="6" s="1"/>
  <c r="H20" i="6"/>
  <c r="Z19" i="6"/>
  <c r="X19" i="6"/>
  <c r="H19" i="6"/>
  <c r="Z18" i="6"/>
  <c r="X18" i="6"/>
  <c r="Y18" i="6" s="1"/>
  <c r="H18" i="6"/>
  <c r="Z17" i="6"/>
  <c r="X17" i="6"/>
  <c r="Y17" i="6" s="1"/>
  <c r="H17" i="6"/>
  <c r="M17" i="6" s="1"/>
  <c r="Z16" i="6"/>
  <c r="X16" i="6"/>
  <c r="Y16" i="6" s="1"/>
  <c r="H16" i="6"/>
  <c r="Z15" i="6"/>
  <c r="X15" i="6"/>
  <c r="Y15" i="6" s="1"/>
  <c r="H15" i="6"/>
  <c r="Z14" i="6"/>
  <c r="X14" i="6"/>
  <c r="Y14" i="6" s="1"/>
  <c r="H14" i="6"/>
  <c r="Z13" i="6"/>
  <c r="X13" i="6"/>
  <c r="H13" i="6"/>
  <c r="M13" i="6" s="1"/>
  <c r="Z12" i="6"/>
  <c r="X12" i="6"/>
  <c r="Y12" i="6" s="1"/>
  <c r="H12" i="6"/>
  <c r="Z11" i="6"/>
  <c r="X11" i="6"/>
  <c r="Y11" i="6" s="1"/>
  <c r="H11" i="6"/>
  <c r="Z10" i="6"/>
  <c r="X10" i="6"/>
  <c r="Y10" i="6" s="1"/>
  <c r="H10" i="6"/>
  <c r="Z9" i="6"/>
  <c r="X9" i="6"/>
  <c r="Y9" i="6" s="1"/>
  <c r="H9" i="6"/>
  <c r="Z8" i="6"/>
  <c r="X8" i="6"/>
  <c r="Y8" i="6" s="1"/>
  <c r="H8" i="6"/>
  <c r="Z7" i="6"/>
  <c r="X7" i="6"/>
  <c r="H7" i="6"/>
  <c r="BO24" i="8" l="1"/>
  <c r="BO23" i="8"/>
  <c r="H18" i="13"/>
  <c r="BO22" i="8"/>
  <c r="M67" i="6"/>
  <c r="M239" i="6"/>
  <c r="M114" i="6"/>
  <c r="M117" i="6"/>
  <c r="M186" i="6"/>
  <c r="M296" i="6"/>
  <c r="M434" i="6"/>
  <c r="M147" i="6"/>
  <c r="M289" i="6"/>
  <c r="M148" i="6"/>
  <c r="M310" i="6"/>
  <c r="M55" i="6"/>
  <c r="M132" i="6"/>
  <c r="M150" i="6"/>
  <c r="M162" i="6"/>
  <c r="M313" i="6"/>
  <c r="M323" i="6"/>
  <c r="M324" i="6"/>
  <c r="M63" i="6"/>
  <c r="M98" i="6"/>
  <c r="M144" i="6"/>
  <c r="M182" i="6"/>
  <c r="M230" i="6"/>
  <c r="M277" i="6"/>
  <c r="M302" i="6"/>
  <c r="M320" i="6"/>
  <c r="M394" i="6"/>
  <c r="M15" i="6"/>
  <c r="M91" i="6"/>
  <c r="M111" i="6"/>
  <c r="M304" i="6"/>
  <c r="M158" i="6"/>
  <c r="M212" i="6"/>
  <c r="M223" i="6"/>
  <c r="M290" i="6"/>
  <c r="M424" i="6"/>
  <c r="M126" i="6"/>
  <c r="M129" i="6"/>
  <c r="Y268" i="6"/>
  <c r="M286" i="6"/>
  <c r="Y310" i="6"/>
  <c r="M20" i="6"/>
  <c r="M25" i="6"/>
  <c r="M79" i="6"/>
  <c r="M100" i="6"/>
  <c r="M192" i="6"/>
  <c r="M194" i="6"/>
  <c r="M208" i="6"/>
  <c r="Y230" i="6"/>
  <c r="M251" i="6"/>
  <c r="M341" i="6"/>
  <c r="M452" i="6"/>
  <c r="M118" i="6"/>
  <c r="Y144" i="6"/>
  <c r="M87" i="6"/>
  <c r="M115" i="6"/>
  <c r="M116" i="6"/>
  <c r="Y117" i="6"/>
  <c r="M275" i="6"/>
  <c r="M380" i="6"/>
  <c r="M43" i="6"/>
  <c r="M153" i="6"/>
  <c r="M284" i="6"/>
  <c r="M57" i="6"/>
  <c r="M97" i="6"/>
  <c r="M19" i="6"/>
  <c r="M37" i="6"/>
  <c r="M56" i="6"/>
  <c r="M99" i="6"/>
  <c r="M137" i="6"/>
  <c r="Y214" i="6"/>
  <c r="M314" i="6"/>
  <c r="M388" i="6"/>
  <c r="M374" i="6"/>
  <c r="M14" i="6"/>
  <c r="M39" i="6"/>
  <c r="M69" i="6"/>
  <c r="M93" i="6"/>
  <c r="M136" i="6"/>
  <c r="M164" i="6"/>
  <c r="M177" i="6"/>
  <c r="M292" i="6"/>
  <c r="M298" i="6"/>
  <c r="M308" i="6"/>
  <c r="M103" i="6"/>
  <c r="M157" i="6"/>
  <c r="M215" i="6"/>
  <c r="M246" i="6"/>
  <c r="M252" i="6"/>
  <c r="M322" i="6"/>
  <c r="M333" i="6"/>
  <c r="M381" i="6"/>
  <c r="M386" i="6"/>
  <c r="M392" i="6"/>
  <c r="M430" i="6"/>
  <c r="M62" i="6"/>
  <c r="Y73" i="6"/>
  <c r="Y75" i="6"/>
  <c r="M88" i="6"/>
  <c r="M102" i="6"/>
  <c r="Y108" i="6"/>
  <c r="M120" i="6"/>
  <c r="M133" i="6"/>
  <c r="M134" i="6"/>
  <c r="M135" i="6"/>
  <c r="M149" i="6"/>
  <c r="M165" i="6"/>
  <c r="M183" i="6"/>
  <c r="Y186" i="6"/>
  <c r="M193" i="6"/>
  <c r="M221" i="6"/>
  <c r="M227" i="6"/>
  <c r="Y239" i="6"/>
  <c r="M255" i="6"/>
  <c r="M295" i="6"/>
  <c r="M346" i="6"/>
  <c r="M358" i="6"/>
  <c r="Y397" i="6"/>
  <c r="M418" i="6"/>
  <c r="M450" i="6"/>
  <c r="M119" i="6"/>
  <c r="M178" i="6"/>
  <c r="M213" i="6"/>
  <c r="M263" i="6"/>
  <c r="Y292" i="6"/>
  <c r="Y406" i="6"/>
  <c r="M410" i="6"/>
  <c r="M8" i="6"/>
  <c r="M9" i="6"/>
  <c r="M16" i="6"/>
  <c r="Y19" i="6"/>
  <c r="M32" i="6"/>
  <c r="M33" i="6"/>
  <c r="M50" i="6"/>
  <c r="M51" i="6"/>
  <c r="Y55" i="6"/>
  <c r="M170" i="6"/>
  <c r="Y200" i="6"/>
  <c r="M207" i="6"/>
  <c r="M209" i="6"/>
  <c r="M245" i="6"/>
  <c r="Y298" i="6"/>
  <c r="M301" i="6"/>
  <c r="Y335" i="6"/>
  <c r="Y394" i="6"/>
  <c r="M398" i="6"/>
  <c r="M422" i="6"/>
  <c r="M7" i="6"/>
  <c r="M26" i="6"/>
  <c r="M27" i="6"/>
  <c r="M31" i="6"/>
  <c r="M34" i="6"/>
  <c r="M49" i="6"/>
  <c r="M52" i="6"/>
  <c r="M73" i="6"/>
  <c r="M74" i="6"/>
  <c r="Y91" i="6"/>
  <c r="Y126" i="6"/>
  <c r="M151" i="6"/>
  <c r="M152" i="6"/>
  <c r="M154" i="6"/>
  <c r="M159" i="6"/>
  <c r="M181" i="6"/>
  <c r="M283" i="6"/>
  <c r="M307" i="6"/>
  <c r="M357" i="6"/>
  <c r="M364" i="6"/>
  <c r="Y452" i="6"/>
  <c r="M101" i="6"/>
  <c r="M200" i="6"/>
  <c r="M202" i="6"/>
  <c r="M229" i="6"/>
  <c r="M261" i="6"/>
  <c r="M68" i="6"/>
  <c r="M86" i="6"/>
  <c r="M112" i="6"/>
  <c r="Y168" i="6"/>
  <c r="M247" i="6"/>
  <c r="M195" i="6"/>
  <c r="M222" i="6"/>
  <c r="M234" i="6"/>
  <c r="M262" i="6"/>
  <c r="Y304" i="6"/>
  <c r="M331" i="6"/>
  <c r="Y334" i="6"/>
  <c r="M336" i="6"/>
  <c r="M347" i="6"/>
  <c r="M368" i="6"/>
  <c r="M376" i="6"/>
  <c r="M404" i="6"/>
  <c r="M416" i="6"/>
  <c r="M236" i="6"/>
  <c r="M254" i="6"/>
  <c r="M276" i="6"/>
  <c r="M279" i="6"/>
  <c r="Y320" i="6"/>
  <c r="M343" i="6"/>
  <c r="M387" i="6"/>
  <c r="Y261" i="6"/>
  <c r="M325" i="6"/>
  <c r="M350" i="6"/>
  <c r="M363" i="6"/>
  <c r="Y403" i="6"/>
  <c r="Y264" i="6"/>
  <c r="M332" i="6"/>
  <c r="M356" i="6"/>
  <c r="M362" i="6"/>
  <c r="M12" i="6"/>
  <c r="M66" i="6"/>
  <c r="M171" i="6"/>
  <c r="M107" i="6"/>
  <c r="Y114" i="6"/>
  <c r="M122" i="6"/>
  <c r="M191" i="6"/>
  <c r="Y213" i="6"/>
  <c r="M10" i="6"/>
  <c r="M64" i="6"/>
  <c r="M96" i="6"/>
  <c r="Y439" i="6"/>
  <c r="M106" i="6"/>
  <c r="Y111" i="6"/>
  <c r="M124" i="6"/>
  <c r="Y129" i="6"/>
  <c r="M142" i="6"/>
  <c r="Y147" i="6"/>
  <c r="Y183" i="6"/>
  <c r="M203" i="6"/>
  <c r="Y211" i="6"/>
  <c r="Y212" i="6"/>
  <c r="M259" i="6"/>
  <c r="M288" i="6"/>
  <c r="M294" i="6"/>
  <c r="M300" i="6"/>
  <c r="M306" i="6"/>
  <c r="M312" i="6"/>
  <c r="M316" i="6"/>
  <c r="M405" i="6"/>
  <c r="M30" i="6"/>
  <c r="M84" i="6"/>
  <c r="Y228" i="6"/>
  <c r="M232" i="6"/>
  <c r="Y246" i="6"/>
  <c r="M250" i="6"/>
  <c r="Y330" i="6"/>
  <c r="M125" i="6"/>
  <c r="Y132" i="6"/>
  <c r="M143" i="6"/>
  <c r="Y162" i="6"/>
  <c r="M29" i="6"/>
  <c r="M42" i="6"/>
  <c r="M46" i="6"/>
  <c r="M47" i="6"/>
  <c r="Y49" i="6"/>
  <c r="M82" i="6"/>
  <c r="M83" i="6"/>
  <c r="Y85" i="6"/>
  <c r="Y113" i="6"/>
  <c r="Y131" i="6"/>
  <c r="Y149" i="6"/>
  <c r="M169" i="6"/>
  <c r="Y227" i="6"/>
  <c r="Y7" i="6"/>
  <c r="M18" i="6"/>
  <c r="M22" i="6"/>
  <c r="M23" i="6"/>
  <c r="Y25" i="6"/>
  <c r="M36" i="6"/>
  <c r="M40" i="6"/>
  <c r="M41" i="6"/>
  <c r="Y43" i="6"/>
  <c r="M54" i="6"/>
  <c r="M58" i="6"/>
  <c r="M59" i="6"/>
  <c r="Y61" i="6"/>
  <c r="M72" i="6"/>
  <c r="M76" i="6"/>
  <c r="M77" i="6"/>
  <c r="Y79" i="6"/>
  <c r="M90" i="6"/>
  <c r="M94" i="6"/>
  <c r="M95" i="6"/>
  <c r="Y97" i="6"/>
  <c r="Y165" i="6"/>
  <c r="M172" i="6"/>
  <c r="Y181" i="6"/>
  <c r="M224" i="6"/>
  <c r="M242" i="6"/>
  <c r="M282" i="6"/>
  <c r="M401" i="6"/>
  <c r="M408" i="6"/>
  <c r="M48" i="6"/>
  <c r="Y215" i="6"/>
  <c r="M140" i="6"/>
  <c r="Y150" i="6"/>
  <c r="Y161" i="6"/>
  <c r="M187" i="6"/>
  <c r="M266" i="6"/>
  <c r="M11" i="6"/>
  <c r="Y13" i="6"/>
  <c r="M24" i="6"/>
  <c r="M28" i="6"/>
  <c r="Y31" i="6"/>
  <c r="M60" i="6"/>
  <c r="M65" i="6"/>
  <c r="Y67" i="6"/>
  <c r="M78" i="6"/>
  <c r="M173" i="6"/>
  <c r="M225" i="6"/>
  <c r="Y245" i="6"/>
  <c r="M265" i="6"/>
  <c r="M123" i="6"/>
  <c r="M141" i="6"/>
  <c r="Y163" i="6"/>
  <c r="M189" i="6"/>
  <c r="M201" i="6"/>
  <c r="M205" i="6"/>
  <c r="M267" i="6"/>
  <c r="M278" i="6"/>
  <c r="M342" i="6"/>
  <c r="M372" i="6"/>
  <c r="M185" i="6"/>
  <c r="M199" i="6"/>
  <c r="M217" i="6"/>
  <c r="M258" i="6"/>
  <c r="Y284" i="6"/>
  <c r="Y290" i="6"/>
  <c r="Y296" i="6"/>
  <c r="Y302" i="6"/>
  <c r="Y308" i="6"/>
  <c r="Y314" i="6"/>
  <c r="M328" i="6"/>
  <c r="M399" i="6"/>
  <c r="M109" i="6"/>
  <c r="M110" i="6"/>
  <c r="M127" i="6"/>
  <c r="M128" i="6"/>
  <c r="M145" i="6"/>
  <c r="M146" i="6"/>
  <c r="Y156" i="6"/>
  <c r="M166" i="6"/>
  <c r="Y174" i="6"/>
  <c r="M184" i="6"/>
  <c r="Y192" i="6"/>
  <c r="Y206" i="6"/>
  <c r="M216" i="6"/>
  <c r="M231" i="6"/>
  <c r="Y233" i="6"/>
  <c r="M238" i="6"/>
  <c r="M249" i="6"/>
  <c r="Y251" i="6"/>
  <c r="M271" i="6"/>
  <c r="M318" i="6"/>
  <c r="M321" i="6"/>
  <c r="Y329" i="6"/>
  <c r="M355" i="6"/>
  <c r="M378" i="6"/>
  <c r="M395" i="6"/>
  <c r="M161" i="6"/>
  <c r="M179" i="6"/>
  <c r="M211" i="6"/>
  <c r="M260" i="6"/>
  <c r="M285" i="6"/>
  <c r="M291" i="6"/>
  <c r="M297" i="6"/>
  <c r="M303" i="6"/>
  <c r="M309" i="6"/>
  <c r="M315" i="6"/>
  <c r="M349" i="6"/>
  <c r="M384" i="6"/>
  <c r="M414" i="6"/>
  <c r="M167" i="6"/>
  <c r="M226" i="6"/>
  <c r="M244" i="6"/>
  <c r="Y262" i="6"/>
  <c r="M317" i="6"/>
  <c r="M344" i="6"/>
  <c r="M354" i="6"/>
  <c r="M393" i="6"/>
  <c r="M340" i="6"/>
  <c r="M348" i="6"/>
  <c r="M377" i="6"/>
  <c r="Y367" i="6"/>
  <c r="M451" i="6"/>
  <c r="M264" i="6"/>
  <c r="M339" i="6"/>
  <c r="M345" i="6"/>
  <c r="M351" i="6"/>
  <c r="M369" i="6"/>
  <c r="M375" i="6"/>
  <c r="M407" i="6"/>
  <c r="M420" i="6"/>
  <c r="M435" i="6"/>
  <c r="M390" i="6"/>
  <c r="M426" i="6"/>
  <c r="M360" i="6"/>
  <c r="M396" i="6"/>
  <c r="M413" i="6"/>
  <c r="M432" i="6"/>
  <c r="M334" i="6"/>
  <c r="M338" i="6"/>
  <c r="M366" i="6"/>
  <c r="M402" i="6"/>
  <c r="M419" i="6"/>
  <c r="M438" i="6"/>
  <c r="M361" i="6"/>
  <c r="M367" i="6"/>
  <c r="M373" i="6"/>
  <c r="M379" i="6"/>
  <c r="M385" i="6"/>
  <c r="M391" i="6"/>
  <c r="M397" i="6"/>
  <c r="M403" i="6"/>
  <c r="M409" i="6"/>
  <c r="M415" i="6"/>
  <c r="M421" i="6"/>
  <c r="M427" i="6"/>
  <c r="M433" i="6"/>
  <c r="M43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Giliberto</author>
  </authors>
  <commentList>
    <comment ref="V8" authorId="0" shapeId="0" xr:uid="{FCB0D1E6-A2DC-4448-8691-BB6BC45C9BAF}">
      <text>
        <r>
          <rPr>
            <b/>
            <sz val="9"/>
            <color indexed="81"/>
            <rFont val="Tahoma"/>
            <family val="2"/>
          </rPr>
          <t>Michael Giliberto:</t>
        </r>
        <r>
          <rPr>
            <sz val="9"/>
            <color indexed="81"/>
            <rFont val="Tahoma"/>
            <family val="2"/>
          </rPr>
          <t xml:space="preserve">
4 = both NAV &gt; 0
3 = Start NAV = 0
2 = End NAV = 0
1 = both = 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Michael Giliberto</author>
  </authors>
  <commentList>
    <comment ref="W198" authorId="0" shapeId="0" xr:uid="{8E034B6C-C572-433D-95D8-2D9557A41DA1}">
      <text>
        <r>
          <rPr>
            <b/>
            <sz val="9"/>
            <color indexed="81"/>
            <rFont val="Tahoma"/>
            <family val="2"/>
          </rPr>
          <t>Michael Giliberto:</t>
        </r>
        <r>
          <rPr>
            <sz val="9"/>
            <color indexed="81"/>
            <rFont val="Tahoma"/>
            <family val="2"/>
          </rPr>
          <t xml:space="preserve">
placeholder</t>
        </r>
      </text>
    </comment>
    <comment ref="L286" authorId="0" shapeId="0" xr:uid="{BD3C997E-78E6-4E10-B132-216F68821A1D}">
      <text>
        <r>
          <rPr>
            <b/>
            <sz val="9"/>
            <color indexed="81"/>
            <rFont val="Tahoma"/>
            <family val="2"/>
          </rPr>
          <t>Michael Giliberto:</t>
        </r>
        <r>
          <rPr>
            <sz val="9"/>
            <color indexed="81"/>
            <rFont val="Tahoma"/>
            <family val="2"/>
          </rPr>
          <t xml:space="preserve">
first leveraged in June 2019</t>
        </r>
      </text>
    </comment>
    <comment ref="L313" authorId="0" shapeId="0" xr:uid="{26ED54A5-D5DD-4D9B-9321-1FC9FF650EF1}">
      <text>
        <r>
          <rPr>
            <b/>
            <sz val="9"/>
            <color indexed="81"/>
            <rFont val="Tahoma"/>
            <family val="2"/>
          </rPr>
          <t>Michael Giliberto:</t>
        </r>
        <r>
          <rPr>
            <sz val="9"/>
            <color indexed="81"/>
            <rFont val="Tahoma"/>
            <family val="2"/>
          </rPr>
          <t xml:space="preserve">
First leveraged in May 2019</t>
        </r>
      </text>
    </comment>
    <comment ref="L314" authorId="0" shapeId="0" xr:uid="{0A31A20D-CF39-4D39-A6CA-8F226EB103AB}">
      <text>
        <r>
          <rPr>
            <b/>
            <sz val="9"/>
            <color indexed="81"/>
            <rFont val="Tahoma"/>
            <family val="2"/>
          </rPr>
          <t>Michael Giliberto:</t>
        </r>
        <r>
          <rPr>
            <sz val="9"/>
            <color indexed="81"/>
            <rFont val="Tahoma"/>
            <family val="2"/>
          </rPr>
          <t xml:space="preserve">
First leveraged in May 2019</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8DC8263-C775-4D67-8522-CFCF0DD2E5B9}"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2" xr16:uid="{5B3BB922-F0CC-47D4-B3CD-528E7F792C44}" name="WorksheetConnection_Thinking about revised DASHBOARD.xlsx!Table1" type="102" refreshedVersion="6" minRefreshableVersion="5">
    <extLst>
      <ext xmlns:x15="http://schemas.microsoft.com/office/spreadsheetml/2010/11/main" uri="{DE250136-89BD-433C-8126-D09CA5730AF9}">
        <x15:connection id="Table1">
          <x15:rangePr sourceName="_xlcn.WorksheetConnection_ThinkingaboutrevisedDASHBOARD.xlsxTable1"/>
        </x15:connection>
      </ext>
    </extLst>
  </connection>
  <connection id="3" xr16:uid="{750C1719-3AAF-4EAF-B484-6832AA722F23}" name="WorksheetConnection_Thinking about revised DASHBOARD.xlsx!Table2" type="102" refreshedVersion="6" minRefreshableVersion="5">
    <extLst>
      <ext xmlns:x15="http://schemas.microsoft.com/office/spreadsheetml/2010/11/main" uri="{DE250136-89BD-433C-8126-D09CA5730AF9}">
        <x15:connection id="Table2">
          <x15:rangePr sourceName="_xlcn.WorksheetConnection_ThinkingaboutrevisedDASHBOARD.xlsxTable2"/>
        </x15:connection>
      </ext>
    </extLst>
  </connection>
</connections>
</file>

<file path=xl/metadata.xml><?xml version="1.0" encoding="utf-8"?>
<metadata xmlns="http://schemas.openxmlformats.org/spreadsheetml/2006/main">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6">
    <s v="ThisWorkbookDataModel"/>
    <s v="{[Table1].[Pmt Type].[All]}"/>
    <s v="{[Table1].[SCHEMATIC TYPE].[All]}"/>
    <s v="{[Table1].[LowerAttachLabel].[All]}"/>
    <s v="{[Table1].[UpperAttachLabel].[All]}"/>
    <s v="{[Table1].[G-L SubStrategy].[All]}"/>
  </metadataStrings>
  <mdxMetadata count="5">
    <mdx n="0" f="s">
      <ms ns="1" c="0"/>
    </mdx>
    <mdx n="0" f="s">
      <ms ns="2" c="0"/>
    </mdx>
    <mdx n="0" f="s">
      <ms ns="3" c="0"/>
    </mdx>
    <mdx n="0" f="s">
      <ms ns="4" c="0"/>
    </mdx>
    <mdx n="0" f="s">
      <ms ns="5" c="0"/>
    </mdx>
  </mdxMetadata>
  <futureMetadata name="XLDAPR" count="1">
    <bk>
      <extLst>
        <ext xmlns:xda="http://schemas.microsoft.com/office/spreadsheetml/2017/dynamicarray" uri="{bdbb8cdc-fa1e-496e-a857-3c3f30c029c3}">
          <xda:dynamicArrayProperties fDynamic="1" fCollapsed="0"/>
        </ext>
      </extLst>
    </bk>
  </futureMetadata>
  <cellMetadata count="1">
    <bk>
      <rc t="2" v="0"/>
    </bk>
  </cellMetadata>
  <valueMetadata count="5">
    <bk>
      <rc t="1" v="0"/>
    </bk>
    <bk>
      <rc t="1" v="1"/>
    </bk>
    <bk>
      <rc t="1" v="2"/>
    </bk>
    <bk>
      <rc t="1" v="3"/>
    </bk>
    <bk>
      <rc t="1" v="4"/>
    </bk>
  </valueMetadata>
</metadata>
</file>

<file path=xl/sharedStrings.xml><?xml version="1.0" encoding="utf-8"?>
<sst xmlns="http://schemas.openxmlformats.org/spreadsheetml/2006/main" count="4609" uniqueCount="279">
  <si>
    <t>Value</t>
  </si>
  <si>
    <t>Cash</t>
  </si>
  <si>
    <t>Return</t>
  </si>
  <si>
    <t>Interest</t>
  </si>
  <si>
    <t>Principal</t>
  </si>
  <si>
    <t>Received</t>
  </si>
  <si>
    <t>Other</t>
  </si>
  <si>
    <t>Income</t>
  </si>
  <si>
    <t>Expenses</t>
  </si>
  <si>
    <t>Accrued</t>
  </si>
  <si>
    <t>LoanID</t>
  </si>
  <si>
    <t>AccrInterest</t>
  </si>
  <si>
    <t>OtherIncome</t>
  </si>
  <si>
    <t>Year</t>
  </si>
  <si>
    <t>Month</t>
  </si>
  <si>
    <t>Row Labels</t>
  </si>
  <si>
    <t>Sum of Expenses</t>
  </si>
  <si>
    <t>List of loans included during G-L 2 time span</t>
  </si>
  <si>
    <t>Selected data from Collected Loan Attribute Worksheets</t>
  </si>
  <si>
    <t>Stabilized</t>
  </si>
  <si>
    <t>Constructed Items</t>
  </si>
  <si>
    <t>Vintage</t>
  </si>
  <si>
    <t>Fully Funded LTV</t>
  </si>
  <si>
    <t>Flag "bad"</t>
  </si>
  <si>
    <t>Full Principal</t>
  </si>
  <si>
    <t>Property</t>
  </si>
  <si>
    <t>Advance</t>
  </si>
  <si>
    <t>Collateral</t>
  </si>
  <si>
    <t>Attachment Point Ranges</t>
  </si>
  <si>
    <t>Lower</t>
  </si>
  <si>
    <t>Principal in</t>
  </si>
  <si>
    <t>Total principal</t>
  </si>
  <si>
    <t>G-L ID</t>
  </si>
  <si>
    <t>Loan Type</t>
  </si>
  <si>
    <t>Pmt Type</t>
  </si>
  <si>
    <t>Bottom</t>
  </si>
  <si>
    <t>Top</t>
  </si>
  <si>
    <t>Cap Stack</t>
  </si>
  <si>
    <t>As Reported</t>
  </si>
  <si>
    <t>Type</t>
  </si>
  <si>
    <t>Coupon/Spread</t>
  </si>
  <si>
    <t>Rate</t>
  </si>
  <si>
    <t>SUB Flag</t>
  </si>
  <si>
    <t>SCHEMATIC TYPE</t>
  </si>
  <si>
    <t>Strategy</t>
  </si>
  <si>
    <t>Purpose</t>
  </si>
  <si>
    <t>G-L reclass strategy</t>
  </si>
  <si>
    <t>Upper</t>
  </si>
  <si>
    <t>LoanTerm (months)</t>
  </si>
  <si>
    <t>Attach</t>
  </si>
  <si>
    <t>Subordinate (NAV)</t>
  </si>
  <si>
    <t>incl. Sub. (GAV)</t>
  </si>
  <si>
    <t>VinYear</t>
  </si>
  <si>
    <t>LowerLTV1</t>
  </si>
  <si>
    <t>UpperAttach</t>
  </si>
  <si>
    <t>CapStackFlag</t>
  </si>
  <si>
    <t>Reported Principal</t>
  </si>
  <si>
    <t>PropType</t>
  </si>
  <si>
    <t>Interest Rate</t>
  </si>
  <si>
    <t>AdvanceRate</t>
  </si>
  <si>
    <t>CollateralValue</t>
  </si>
  <si>
    <t>G-L SubStrategy</t>
  </si>
  <si>
    <t>LowerAttachLabel</t>
  </si>
  <si>
    <t>UpperAttachLabel</t>
  </si>
  <si>
    <t>Term</t>
  </si>
  <si>
    <t>LowerAttach</t>
  </si>
  <si>
    <t>Principal NAV</t>
  </si>
  <si>
    <t>Principal GAV</t>
  </si>
  <si>
    <t>First Mortgage Whole Loan</t>
  </si>
  <si>
    <t>Floating</t>
  </si>
  <si>
    <t>SUBL</t>
  </si>
  <si>
    <t>Value-add</t>
  </si>
  <si>
    <t>Recapitalization</t>
  </si>
  <si>
    <t>Acquisition</t>
  </si>
  <si>
    <t>Mezzanine Loan</t>
  </si>
  <si>
    <t>MEZZ</t>
  </si>
  <si>
    <t>B Note</t>
  </si>
  <si>
    <t>Fixed</t>
  </si>
  <si>
    <t>SUBSR</t>
  </si>
  <si>
    <t>Not supplied</t>
  </si>
  <si>
    <t>Development</t>
  </si>
  <si>
    <t>First Mortgage</t>
  </si>
  <si>
    <t>Refinance</t>
  </si>
  <si>
    <t>Preferred Equity</t>
  </si>
  <si>
    <t>OTH</t>
  </si>
  <si>
    <t>Second Mortgage</t>
  </si>
  <si>
    <t>Bridge</t>
  </si>
  <si>
    <t>Repairs</t>
  </si>
  <si>
    <t>Bridge / Transitional</t>
  </si>
  <si>
    <t>Senior+Mezzanine</t>
  </si>
  <si>
    <t>SENIOR</t>
  </si>
  <si>
    <t>Hybrid/Blend</t>
  </si>
  <si>
    <t>Lease Up</t>
  </si>
  <si>
    <t>stabilized</t>
  </si>
  <si>
    <t>Blend</t>
  </si>
  <si>
    <t>SUB</t>
  </si>
  <si>
    <t>Senior Loan</t>
  </si>
  <si>
    <t>Transitional</t>
  </si>
  <si>
    <t>Structured Senior</t>
  </si>
  <si>
    <t>senior loan</t>
  </si>
  <si>
    <t>not supplied</t>
  </si>
  <si>
    <t>bridge</t>
  </si>
  <si>
    <t>Mezzanine loan</t>
  </si>
  <si>
    <t>NA</t>
  </si>
  <si>
    <t>floating</t>
  </si>
  <si>
    <t>acquisition</t>
  </si>
  <si>
    <t>refinance</t>
  </si>
  <si>
    <t>development</t>
  </si>
  <si>
    <t>value-add</t>
  </si>
  <si>
    <t>re-finance</t>
  </si>
  <si>
    <t>stabilized asset</t>
  </si>
  <si>
    <t>recapitalization</t>
  </si>
  <si>
    <t>Whole Loan</t>
  </si>
  <si>
    <t>construction</t>
  </si>
  <si>
    <t xml:space="preserve">Stabilized </t>
  </si>
  <si>
    <t>Loan Purchase</t>
  </si>
  <si>
    <t>Bridge to Stabilization</t>
  </si>
  <si>
    <t>Light Transitional</t>
  </si>
  <si>
    <t>Subordinate Bridge</t>
  </si>
  <si>
    <t>Stablized</t>
  </si>
  <si>
    <t>NLoans</t>
  </si>
  <si>
    <t>ReturnDate</t>
  </si>
  <si>
    <t>CashInterest</t>
  </si>
  <si>
    <t>PrincipalRepaid</t>
  </si>
  <si>
    <t>StartValue</t>
  </si>
  <si>
    <t>EndValue</t>
  </si>
  <si>
    <t>StartPrincipal</t>
  </si>
  <si>
    <t>EndPrincipal</t>
  </si>
  <si>
    <t>Sum of CashInterest</t>
  </si>
  <si>
    <t>Sum of AccrInterest</t>
  </si>
  <si>
    <t>Sum of OtherIncome</t>
  </si>
  <si>
    <t>Sum of PrincipalRepaid</t>
  </si>
  <si>
    <t>All</t>
  </si>
  <si>
    <t>MASK</t>
  </si>
  <si>
    <t>Return Components</t>
  </si>
  <si>
    <t>check value</t>
  </si>
  <si>
    <t>check principal</t>
  </si>
  <si>
    <t>Loan</t>
  </si>
  <si>
    <t>Fully Netted Returns</t>
  </si>
  <si>
    <t>Fully Netted Returns - Rolling three-months</t>
  </si>
  <si>
    <t>Cash Principal</t>
  </si>
  <si>
    <t>Start</t>
  </si>
  <si>
    <t>End</t>
  </si>
  <si>
    <t>Net</t>
  </si>
  <si>
    <t>Count</t>
  </si>
  <si>
    <t>Check for numerical entries</t>
  </si>
  <si>
    <t>Comp.</t>
  </si>
  <si>
    <t>Total</t>
  </si>
  <si>
    <t>Expense</t>
  </si>
  <si>
    <t>Capital</t>
  </si>
  <si>
    <t>month</t>
  </si>
  <si>
    <t>quarter</t>
  </si>
  <si>
    <t>Effect</t>
  </si>
  <si>
    <t>Sum of StartValue</t>
  </si>
  <si>
    <t>Sum of EndValue</t>
  </si>
  <si>
    <t>Sum of StartPrincipal</t>
  </si>
  <si>
    <t>Sum of EndPrincipal</t>
  </si>
  <si>
    <t>GAV</t>
  </si>
  <si>
    <t>NAV</t>
  </si>
  <si>
    <t>StartNAV</t>
  </si>
  <si>
    <t>EndNAV</t>
  </si>
  <si>
    <t>Sum of StartNAV</t>
  </si>
  <si>
    <t>Sum of EndNAV</t>
  </si>
  <si>
    <t>G-L 2 Performance Dashboard Monthly Results</t>
  </si>
  <si>
    <t>Data Selected:</t>
  </si>
  <si>
    <t>Back to selection criteria</t>
  </si>
  <si>
    <t>Returns Net of Leverage</t>
  </si>
  <si>
    <t>Value and Principal (Net Asset Value)</t>
  </si>
  <si>
    <t>Total *</t>
  </si>
  <si>
    <t>* Total Income = Interest Income + Other Income - Expenses Charged to Loan</t>
  </si>
  <si>
    <t>Value and Principal</t>
  </si>
  <si>
    <t>Other Subordinate</t>
  </si>
  <si>
    <t>Senior Whole Loan</t>
  </si>
  <si>
    <t>Leveraged Whole Loan</t>
  </si>
  <si>
    <t>Sub. Tranche of Senior</t>
  </si>
  <si>
    <t>G-L 2 Performance Dashboard Quarterly Results</t>
  </si>
  <si>
    <t>Quarter Ended</t>
  </si>
  <si>
    <t>Loan Type as reported</t>
  </si>
  <si>
    <t>LoanType</t>
  </si>
  <si>
    <t>G-L 2 Performance Dashboard Selector Page</t>
  </si>
  <si>
    <t>View monthly returns</t>
  </si>
  <si>
    <t>View quarterly returns</t>
  </si>
  <si>
    <t>Notes:</t>
  </si>
  <si>
    <t>The above boxes are Excel slicers, a built-in tool. Search "slicers" to get more information on how to use them.</t>
  </si>
  <si>
    <t>G-L 2 Performance Dashboard</t>
  </si>
  <si>
    <t>How to operate:</t>
  </si>
  <si>
    <t>2. Choose  criteria for loans to be included in the calculations by clicking on the desired criteria.</t>
  </si>
  <si>
    <t>3. Click on either the "View monthly results" or "View quarterly results" link.</t>
  </si>
  <si>
    <t>4. To return to the selection criteria , click on the "Back to selection critera" link.</t>
  </si>
  <si>
    <t>Selection criteria:</t>
  </si>
  <si>
    <t>"NA" indicates information not yet provided by lender. Loans with "NA" for any criteria do have sufficient data to calculate returns.</t>
  </si>
  <si>
    <t xml:space="preserve">  Mezzanine Loan</t>
  </si>
  <si>
    <t xml:space="preserve">  Other Subordinate (preferred equity and second mortgages)</t>
  </si>
  <si>
    <t xml:space="preserve">  Senior Whole Loan</t>
  </si>
  <si>
    <t xml:space="preserve">  Leveraged Whole Loan</t>
  </si>
  <si>
    <t>If there are not enough loans to pass masking thresholds, returns for that period will appear as ***.</t>
  </si>
  <si>
    <t>Loan count and amounts will still be reported.</t>
  </si>
  <si>
    <t>WARNINGS!</t>
  </si>
  <si>
    <t xml:space="preserve">    similar Excel notifications that something could not be calculated. Corollary: be careful when using the attachment points as criteria. The upper</t>
  </si>
  <si>
    <t xml:space="preserve">    and lower points are not "intelligently linked", so it is possible to set the upper point equal to or below the lower point, which will cause errors.</t>
  </si>
  <si>
    <t>2. Data have been validated against submissions, but there may still be errors and anomalies.</t>
  </si>
  <si>
    <t>3. Please do not mess with the workbook. It is not bulletproof! If you want to do additional analysis or charting, please copy data</t>
  </si>
  <si>
    <t xml:space="preserve">    from the Months or Quarters worksheets/tabs into another workbook, then have at it. When copying and pasting, make sure to paste</t>
  </si>
  <si>
    <t xml:space="preserve">    values (Paste Special Values).</t>
  </si>
  <si>
    <t>4. For narrow selection criteria, loan-specific events, such as a large origination fee, can heavily influence returns.</t>
  </si>
  <si>
    <t xml:space="preserve">    </t>
  </si>
  <si>
    <t>Note on Calculation Method:</t>
  </si>
  <si>
    <t>In contrast, all published G-L 2 results use actual reported dates on which cash flows occurred. </t>
  </si>
  <si>
    <t>That said, narrower "cuts" of the data may exhbit greater differences if a large cash flow, such as a full repayment, occurs at a date prior to month end.</t>
  </si>
  <si>
    <t>Changes made in Version 2.0:</t>
  </si>
  <si>
    <t>1. Added the Selector Page sheet/tab to use Excel "slicers" to control selection criteria.</t>
  </si>
  <si>
    <t>2. Loan Types were changed to the categories listed above under Selection Criteria.</t>
  </si>
  <si>
    <t xml:space="preserve">3. As a result of the change to Loan Types, the SubFlag criterion became redundant, so it was removed. </t>
  </si>
  <si>
    <t>4. Added notes on selecting "DUMMY" as a selection criterion.</t>
  </si>
  <si>
    <t>5. Renamed the Summary worksheet/tab to Months.</t>
  </si>
  <si>
    <t>6. Renamed the Quarterly worksheet/tab to Quarters.</t>
  </si>
  <si>
    <t>1. Loan Type:</t>
  </si>
  <si>
    <t>2. Payment Type: Floating, Fixed or Hybrid/Blend</t>
  </si>
  <si>
    <t>3. Asset Strategy: Stabilized, Value-Add, Bridge / Transitional</t>
  </si>
  <si>
    <t>4. LowerAttach LTV: Lower attachment point, i.e., bottom of capital stack, for the investment. Currently only  available for select pre-defined  ranges.</t>
  </si>
  <si>
    <t>5. UpperAttach LTV:  Upper attachment point, i.e., top of capital stack, for the investment. Currently only  available for select pre-defined  ranges.</t>
  </si>
  <si>
    <t>Changes made in Version 2.1:</t>
  </si>
  <si>
    <t xml:space="preserve">2. Removed DUMMY records. </t>
  </si>
  <si>
    <t>1. It is possible, particularly when using multiple selection criteria, that few or no loans will be selected. The summary results will show #N/A or</t>
  </si>
  <si>
    <t>1. Consolidated data and improved calculations to shrink size of workbook.</t>
  </si>
  <si>
    <t>3. Added Start and End GAV; renamed former Start Value and End Value to Start NAV and End NAV, respectively.</t>
  </si>
  <si>
    <t xml:space="preserve">   GAV is Gross Asset Value. NAV is Net Asset Value. The difference is due to leverage applied to some whole loans.</t>
  </si>
  <si>
    <t xml:space="preserve">   Principal amount may be compared with GAV to approximate loan pricing or valuation.</t>
  </si>
  <si>
    <t>Sum of</t>
  </si>
  <si>
    <t>Cash Flows</t>
  </si>
  <si>
    <t>55% to 59.9%</t>
  </si>
  <si>
    <t>75% to 79.9%</t>
  </si>
  <si>
    <t>40% to 49.9%</t>
  </si>
  <si>
    <t>70% to 74.9%</t>
  </si>
  <si>
    <t>65% to 69.9%</t>
  </si>
  <si>
    <t>60% to 64.9%</t>
  </si>
  <si>
    <t>50% to 54.9%</t>
  </si>
  <si>
    <t>80% and above</t>
  </si>
  <si>
    <t>0% to 39.9%</t>
  </si>
  <si>
    <t>65% and above</t>
  </si>
  <si>
    <t>40% to 54.9%</t>
  </si>
  <si>
    <t>Memo</t>
  </si>
  <si>
    <t>Yield</t>
  </si>
  <si>
    <t>PrincipalFunded</t>
  </si>
  <si>
    <t>Sum of PrincipalFunded</t>
  </si>
  <si>
    <t>Denominator</t>
  </si>
  <si>
    <t>Numerator</t>
  </si>
  <si>
    <t>Funded</t>
  </si>
  <si>
    <t>Return Calc</t>
  </si>
  <si>
    <t>ManagerCode</t>
  </si>
  <si>
    <t>Distinct Count of LoanID</t>
  </si>
  <si>
    <t>Distinct Count of ManagerCode</t>
  </si>
  <si>
    <t>Manager</t>
  </si>
  <si>
    <t xml:space="preserve"> Version 2.2</t>
  </si>
  <si>
    <t>Changes made in Version 2.2:</t>
  </si>
  <si>
    <t>slicer</t>
  </si>
  <si>
    <t>What was selected using slicers</t>
  </si>
  <si>
    <t>Payment Type</t>
  </si>
  <si>
    <t>Asset Strategy</t>
  </si>
  <si>
    <t>LowerAttach LTV</t>
  </si>
  <si>
    <t>UpperAttach LTV</t>
  </si>
  <si>
    <t>1. Open the Selector worksheet/tab. There are menus showing all available selection criteria.</t>
  </si>
  <si>
    <t>To make the Excel Dashboard operate efficiently, its internal calculation of monthly return treats most cash flows as occurring mid-month.</t>
  </si>
  <si>
    <t>1. Revised return calculation to be closer to published G-L  2 by changing from end-of-month to mid-month timing for cash flows.</t>
  </si>
  <si>
    <t>2. Added a control button to reset all selectors. Note this takes a few seconds to complete its task.</t>
  </si>
  <si>
    <t>PmtType</t>
  </si>
  <si>
    <t>LowAttach</t>
  </si>
  <si>
    <t>HighAttach</t>
  </si>
  <si>
    <t>Whole loan</t>
  </si>
  <si>
    <t>Masked Results</t>
  </si>
  <si>
    <t>Loan Count</t>
  </si>
  <si>
    <t>OK?</t>
  </si>
  <si>
    <t>causes</t>
  </si>
  <si>
    <t>override?</t>
  </si>
  <si>
    <t>(blank)</t>
  </si>
  <si>
    <t>Data updated through September 2020</t>
  </si>
  <si>
    <t>Release Date: December 10, 2020</t>
  </si>
  <si>
    <t xml:space="preserve">  Sub. Tranche of Senior (B-note and other, possibly unidentified, tranches)</t>
  </si>
  <si>
    <t>Differences tend to be modest.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</si>
</sst>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0.000%"/>
    <numFmt numFmtId="165" formatCode="0.0000%"/>
    <numFmt numFmtId="166" formatCode="_(* #,##0_);_(* \(#,##0\);_(* &quot;-&quot;??_);_(@_)"/>
    <numFmt numFmtId="167" formatCode="[$-409]mmm\-yy;@"/>
  </numFmts>
  <fonts count="16" x14ac:knownFonts="1">
    <font>
      <sz val="11"/>
      <color theme="1"/>
      <name val="Calibri"/>
      <family val="2"/>
      <scheme val="minor"/>
    </font>
    <font>
      <sz val="11"/>
      <color theme="1"/>
      <name val="Calibri"/>
      <family val="2"/>
      <scheme val="minor"/>
    </font>
    <font>
      <sz val="11"/>
      <color rgb="FF3F3F76"/>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9"/>
      <color indexed="81"/>
      <name val="Tahoma"/>
      <family val="2"/>
    </font>
    <font>
      <sz val="9"/>
      <color indexed="81"/>
      <name val="Tahoma"/>
      <family val="2"/>
    </font>
    <font>
      <u/>
      <sz val="11"/>
      <color theme="10"/>
      <name val="Calibri"/>
      <family val="2"/>
      <scheme val="minor"/>
    </font>
    <font>
      <sz val="18"/>
      <color theme="1"/>
      <name val="Calibri"/>
      <family val="2"/>
      <scheme val="minor"/>
    </font>
    <font>
      <sz val="18"/>
      <name val="Calibri"/>
      <family val="2"/>
      <scheme val="minor"/>
    </font>
    <font>
      <sz val="14"/>
      <name val="Calibri"/>
      <family val="2"/>
      <scheme val="minor"/>
    </font>
    <font>
      <b/>
      <sz val="12"/>
      <color theme="0"/>
      <name val="Calibri"/>
      <family val="2"/>
      <scheme val="minor"/>
    </font>
    <font>
      <b/>
      <i/>
      <sz val="11"/>
      <color theme="1"/>
      <name val="Calibri"/>
      <family val="2"/>
      <scheme val="minor"/>
    </font>
    <font>
      <b/>
      <sz val="12"/>
      <color rgb="FFFF0000"/>
      <name val="Calibri"/>
      <family val="2"/>
      <scheme val="minor"/>
    </font>
    <font>
      <b/>
      <sz val="11"/>
      <color rgb="FF000000"/>
      <name val="Calibri"/>
      <family val="2"/>
    </font>
  </fonts>
  <fills count="13">
    <fill>
      <patternFill patternType="none"/>
    </fill>
    <fill>
      <patternFill patternType="gray125"/>
    </fill>
    <fill>
      <patternFill patternType="solid">
        <fgColor rgb="FFFFCC99"/>
      </patternFill>
    </fill>
    <fill>
      <patternFill patternType="solid">
        <fgColor rgb="FFFFFFCC"/>
      </patternFill>
    </fill>
    <fill>
      <patternFill patternType="solid">
        <fgColor rgb="FFFFFF00"/>
        <bgColor indexed="64"/>
      </patternFill>
    </fill>
    <fill>
      <patternFill patternType="solid">
        <fgColor theme="4" tint="0.599963377788628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7" tint="0.59999389629810485"/>
        <bgColor indexed="64"/>
      </patternFill>
    </fill>
  </fills>
  <borders count="7">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1" applyNumberFormat="0" applyAlignment="0" applyProtection="0"/>
    <xf numFmtId="0" fontId="3" fillId="0" borderId="0" applyNumberFormat="0" applyFill="0" applyBorder="0" applyAlignment="0" applyProtection="0"/>
    <xf numFmtId="0" fontId="1" fillId="3" borderId="2" applyNumberFormat="0" applyFont="0" applyAlignment="0" applyProtection="0"/>
    <xf numFmtId="0" fontId="8" fillId="0" borderId="0" applyNumberFormat="0" applyFill="0" applyBorder="0" applyAlignment="0" applyProtection="0"/>
  </cellStyleXfs>
  <cellXfs count="62">
    <xf numFmtId="0" fontId="0" fillId="0" borderId="0" xfId="0"/>
    <xf numFmtId="4" fontId="0" fillId="0" borderId="0" xfId="0" applyNumberFormat="1"/>
    <xf numFmtId="9" fontId="0" fillId="0" borderId="0" xfId="2" applyFont="1"/>
    <xf numFmtId="164" fontId="0" fillId="0" borderId="0" xfId="2" applyNumberFormat="1" applyFont="1"/>
    <xf numFmtId="165" fontId="0" fillId="0" borderId="0" xfId="2" applyNumberFormat="1" applyFont="1"/>
    <xf numFmtId="43" fontId="0" fillId="0" borderId="0" xfId="1" applyFont="1"/>
    <xf numFmtId="10" fontId="0" fillId="0" borderId="0" xfId="0" applyNumberFormat="1"/>
    <xf numFmtId="165" fontId="0" fillId="0" borderId="0" xfId="0" applyNumberFormat="1"/>
    <xf numFmtId="166" fontId="0" fillId="0" borderId="0" xfId="1" applyNumberFormat="1" applyFont="1"/>
    <xf numFmtId="0" fontId="0" fillId="0" borderId="0" xfId="0" pivotButton="1"/>
    <xf numFmtId="0" fontId="0" fillId="0" borderId="0" xfId="0" applyAlignment="1">
      <alignment horizontal="left"/>
    </xf>
    <xf numFmtId="1" fontId="0" fillId="0" borderId="0" xfId="0" applyNumberFormat="1"/>
    <xf numFmtId="166" fontId="0" fillId="0" borderId="0" xfId="0" applyNumberFormat="1"/>
    <xf numFmtId="0" fontId="0" fillId="0" borderId="0" xfId="0" applyNumberFormat="1"/>
    <xf numFmtId="1" fontId="0" fillId="0" borderId="0" xfId="2" applyNumberFormat="1" applyFont="1"/>
    <xf numFmtId="9" fontId="3" fillId="0" borderId="0" xfId="4" applyNumberFormat="1"/>
    <xf numFmtId="43" fontId="0" fillId="4" borderId="0" xfId="1" applyFont="1" applyFill="1"/>
    <xf numFmtId="0" fontId="0" fillId="4" borderId="0" xfId="0" applyFill="1"/>
    <xf numFmtId="43" fontId="0" fillId="0" borderId="0" xfId="1" applyFont="1" applyFill="1"/>
    <xf numFmtId="1" fontId="0" fillId="4" borderId="0" xfId="0" applyNumberFormat="1" applyFill="1"/>
    <xf numFmtId="3" fontId="0" fillId="0" borderId="0" xfId="0" applyNumberFormat="1"/>
    <xf numFmtId="0" fontId="0" fillId="0" borderId="0" xfId="0" applyAlignment="1">
      <alignment horizontal="center"/>
    </xf>
    <xf numFmtId="0" fontId="2" fillId="2" borderId="1" xfId="3" applyAlignment="1">
      <alignment horizontal="center"/>
    </xf>
    <xf numFmtId="0" fontId="0" fillId="0" borderId="0" xfId="0" applyBorder="1" applyAlignment="1">
      <alignment horizontal="center"/>
    </xf>
    <xf numFmtId="0" fontId="0" fillId="0" borderId="0" xfId="0" applyBorder="1"/>
    <xf numFmtId="0" fontId="0" fillId="0" borderId="0" xfId="0" applyFill="1" applyBorder="1"/>
    <xf numFmtId="0" fontId="4" fillId="3" borderId="2" xfId="5" applyFont="1"/>
    <xf numFmtId="0" fontId="0" fillId="3" borderId="2" xfId="5" applyFont="1"/>
    <xf numFmtId="167" fontId="0" fillId="0" borderId="0" xfId="0" applyNumberFormat="1"/>
    <xf numFmtId="164" fontId="0" fillId="0" borderId="0" xfId="2" applyNumberFormat="1" applyFont="1" applyAlignment="1">
      <alignment horizontal="center"/>
    </xf>
    <xf numFmtId="0" fontId="4" fillId="0" borderId="0" xfId="0" applyFont="1"/>
    <xf numFmtId="0" fontId="10" fillId="5" borderId="0" xfId="0" applyFont="1" applyFill="1" applyAlignment="1">
      <alignment horizontal="center" vertical="center"/>
    </xf>
    <xf numFmtId="0" fontId="5" fillId="5" borderId="0" xfId="0" applyFont="1" applyFill="1"/>
    <xf numFmtId="0" fontId="11" fillId="5" borderId="0" xfId="0" applyFont="1" applyFill="1" applyAlignment="1">
      <alignment horizontal="center"/>
    </xf>
    <xf numFmtId="14" fontId="11" fillId="5" borderId="0" xfId="0" applyNumberFormat="1" applyFont="1" applyFill="1" applyAlignment="1">
      <alignment horizontal="center"/>
    </xf>
    <xf numFmtId="14" fontId="12" fillId="5" borderId="0" xfId="0" applyNumberFormat="1" applyFont="1" applyFill="1" applyAlignment="1">
      <alignment horizontal="center"/>
    </xf>
    <xf numFmtId="0" fontId="13" fillId="6" borderId="0" xfId="0" applyFont="1" applyFill="1"/>
    <xf numFmtId="0" fontId="0" fillId="6" borderId="0" xfId="0" applyFill="1"/>
    <xf numFmtId="0" fontId="13" fillId="7" borderId="0" xfId="0" applyFont="1" applyFill="1"/>
    <xf numFmtId="0" fontId="0" fillId="7" borderId="0" xfId="0" applyFill="1"/>
    <xf numFmtId="0" fontId="14" fillId="8" borderId="0" xfId="0" applyFont="1" applyFill="1" applyAlignment="1">
      <alignment horizontal="center"/>
    </xf>
    <xf numFmtId="0" fontId="0" fillId="8" borderId="0" xfId="0" applyFill="1"/>
    <xf numFmtId="0" fontId="0" fillId="9" borderId="0" xfId="0" applyFill="1"/>
    <xf numFmtId="0" fontId="13" fillId="10" borderId="0" xfId="0" applyFont="1" applyFill="1"/>
    <xf numFmtId="0" fontId="0" fillId="10" borderId="0" xfId="0" applyFill="1"/>
    <xf numFmtId="0" fontId="13" fillId="11" borderId="0" xfId="0" applyFont="1" applyFill="1"/>
    <xf numFmtId="0" fontId="0" fillId="11" borderId="0" xfId="0" applyFill="1"/>
    <xf numFmtId="0" fontId="0" fillId="0" borderId="0" xfId="1" applyNumberFormat="1" applyFont="1"/>
    <xf numFmtId="10" fontId="0" fillId="0" borderId="0" xfId="2" applyNumberFormat="1" applyFont="1"/>
    <xf numFmtId="0" fontId="8" fillId="0" borderId="0" xfId="6" applyAlignment="1">
      <alignment horizontal="center"/>
    </xf>
    <xf numFmtId="164" fontId="8" fillId="0" borderId="0" xfId="6" applyNumberFormat="1" applyAlignment="1">
      <alignment horizontal="center"/>
    </xf>
    <xf numFmtId="0" fontId="2" fillId="12" borderId="1" xfId="3" applyFill="1" applyAlignment="1">
      <alignment horizontal="center"/>
    </xf>
    <xf numFmtId="0" fontId="10" fillId="5" borderId="0" xfId="0" applyFont="1" applyFill="1" applyAlignment="1">
      <alignment horizontal="center" vertical="center"/>
    </xf>
    <xf numFmtId="0" fontId="8" fillId="0" borderId="0" xfId="6" applyAlignment="1">
      <alignment horizontal="center"/>
    </xf>
    <xf numFmtId="0" fontId="9" fillId="5" borderId="0" xfId="0" applyFont="1" applyFill="1" applyAlignment="1">
      <alignment horizontal="center"/>
    </xf>
    <xf numFmtId="0" fontId="0" fillId="5" borderId="0" xfId="0" applyFill="1" applyAlignment="1">
      <alignment horizontal="center"/>
    </xf>
    <xf numFmtId="0" fontId="0" fillId="0" borderId="3" xfId="0" applyBorder="1" applyAlignment="1">
      <alignment horizontal="center"/>
    </xf>
    <xf numFmtId="0" fontId="0" fillId="3" borderId="4" xfId="5" applyFont="1" applyBorder="1"/>
    <xf numFmtId="0" fontId="0" fillId="3" borderId="5" xfId="5" applyFont="1" applyBorder="1"/>
    <xf numFmtId="0" fontId="0" fillId="3" borderId="6" xfId="5" applyFont="1" applyBorder="1"/>
    <xf numFmtId="164" fontId="8" fillId="0" borderId="0" xfId="6" applyNumberFormat="1" applyAlignment="1">
      <alignment horizontal="center"/>
    </xf>
    <xf numFmtId="164" fontId="0" fillId="0" borderId="3" xfId="2" applyNumberFormat="1" applyFont="1" applyBorder="1" applyAlignment="1">
      <alignment horizontal="center"/>
    </xf>
  </cellXfs>
  <cellStyles count="7">
    <cellStyle name="Comma" xfId="1" builtinId="3"/>
    <cellStyle name="Hyperlink" xfId="6" builtinId="8"/>
    <cellStyle name="Input" xfId="3" builtinId="20"/>
    <cellStyle name="Normal" xfId="0" builtinId="0"/>
    <cellStyle name="Note" xfId="5" builtinId="10"/>
    <cellStyle name="Percent" xfId="2" builtinId="5"/>
    <cellStyle name="Warning Text" xfId="4" builtinId="11"/>
  </cellStyles>
  <dxfs count="36">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numFmt numFmtId="166" formatCode="_(* #,##0_);_(* \(#,##0\);_(* &quot;-&quot;??_);_(@_)"/>
    </dxf>
    <dxf>
      <numFmt numFmtId="166"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0" formatCode="General"/>
    </dxf>
    <dxf>
      <numFmt numFmtId="14" formatCode="0.00%"/>
    </dxf>
    <dxf>
      <numFmt numFmtId="14" formatCode="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 formatCode="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0" formatCode="General"/>
    </dxf>
    <dxf>
      <font>
        <b val="0"/>
        <i val="0"/>
        <strike val="0"/>
        <condense val="0"/>
        <extend val="0"/>
        <outline val="0"/>
        <shadow val="0"/>
        <u val="none"/>
        <vertAlign val="baseline"/>
        <sz val="11"/>
        <color theme="1"/>
        <name val="Calibri"/>
        <family val="2"/>
        <scheme val="minor"/>
      </font>
      <numFmt numFmtId="1" formatCode="0"/>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numFmt numFmtId="166"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6" formatCode="_(* #,##0_);_(* \(#,##0\);_(* &quot;-&quot;??_);_(@_)"/>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74CE2207-A59A-4442-A035-EBD7EE9DF6EC}">
      <tableStyleElement type="headerRow" dxfId="35"/>
      <tableStyleElement type="totalRow" dxfId="34"/>
      <tableStyleElement type="secondRowStripe"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olapFunctions">
    <main first="ThisWorkbookDataModel">
      <tp t="e">
        <v>#N/A</v>
        <stp>1</stp>
        <tr r="B6" s="19"/>
        <tr r="B6" s="19"/>
        <tr r="B6" s="19"/>
        <tr r="B6" s="19"/>
        <tr r="B7" s="19"/>
        <tr r="B7" s="19"/>
        <tr r="B7" s="19"/>
        <tr r="B7" s="19"/>
        <tr r="B9" s="19"/>
        <tr r="B9" s="19"/>
        <tr r="B9" s="19"/>
        <tr r="B9" s="19"/>
        <tr r="B8" s="19"/>
        <tr r="B8" s="19"/>
        <tr r="B8" s="19"/>
        <tr r="B8" s="19"/>
        <tr r="B10" s="19"/>
        <tr r="B10" s="19"/>
        <tr r="B10" s="19"/>
        <tr r="B10" s="19"/>
      </tp>
    </main>
  </volType>
</volTypes>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2.xml"/><Relationship Id="rId18" Type="http://schemas.microsoft.com/office/2007/relationships/slicerCache" Target="slicerCaches/slicerCache3.xml"/><Relationship Id="rId26" Type="http://schemas.openxmlformats.org/officeDocument/2006/relationships/powerPivotData" Target="model/item.data"/><Relationship Id="rId39" Type="http://schemas.openxmlformats.org/officeDocument/2006/relationships/customXml" Target="../customXml/item12.xml"/><Relationship Id="rId21" Type="http://schemas.openxmlformats.org/officeDocument/2006/relationships/theme" Target="theme/theme1.xml"/><Relationship Id="rId34" Type="http://schemas.openxmlformats.org/officeDocument/2006/relationships/customXml" Target="../customXml/item7.xml"/><Relationship Id="rId42" Type="http://schemas.openxmlformats.org/officeDocument/2006/relationships/customXml" Target="../customXml/item15.xml"/><Relationship Id="rId7" Type="http://schemas.openxmlformats.org/officeDocument/2006/relationships/worksheet" Target="worksheets/sheet7.xml"/><Relationship Id="rId2" Type="http://schemas.openxmlformats.org/officeDocument/2006/relationships/worksheet" Target="worksheets/sheet2.xml"/><Relationship Id="rId16" Type="http://schemas.microsoft.com/office/2007/relationships/slicerCache" Target="slicerCaches/slicerCache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32" Type="http://schemas.openxmlformats.org/officeDocument/2006/relationships/customXml" Target="../customXml/item5.xml"/><Relationship Id="rId37" Type="http://schemas.openxmlformats.org/officeDocument/2006/relationships/customXml" Target="../customXml/item10.xml"/><Relationship Id="rId40" Type="http://schemas.openxmlformats.org/officeDocument/2006/relationships/customXml" Target="../customXml/item13.xml"/><Relationship Id="rId45" Type="http://schemas.openxmlformats.org/officeDocument/2006/relationships/volatileDependencies" Target="volatileDependencies.xml"/><Relationship Id="rId5" Type="http://schemas.openxmlformats.org/officeDocument/2006/relationships/worksheet" Target="worksheets/sheet5.xml"/><Relationship Id="rId15" Type="http://schemas.openxmlformats.org/officeDocument/2006/relationships/pivotCacheDefinition" Target="pivotCache/pivotCacheDefinition4.xml"/><Relationship Id="rId23" Type="http://schemas.openxmlformats.org/officeDocument/2006/relationships/styles" Target="styles.xml"/><Relationship Id="rId28" Type="http://schemas.openxmlformats.org/officeDocument/2006/relationships/customXml" Target="../customXml/item1.xml"/><Relationship Id="rId36" Type="http://schemas.openxmlformats.org/officeDocument/2006/relationships/customXml" Target="../customXml/item9.xml"/><Relationship Id="rId10" Type="http://schemas.openxmlformats.org/officeDocument/2006/relationships/worksheet" Target="worksheets/sheet10.xml"/><Relationship Id="rId19" Type="http://schemas.microsoft.com/office/2007/relationships/slicerCache" Target="slicerCaches/slicerCache4.xml"/><Relationship Id="rId31" Type="http://schemas.openxmlformats.org/officeDocument/2006/relationships/customXml" Target="../customXml/item4.xml"/><Relationship Id="rId44" Type="http://schemas.openxmlformats.org/officeDocument/2006/relationships/customXml" Target="../customXml/item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 Id="rId22" Type="http://schemas.openxmlformats.org/officeDocument/2006/relationships/connections" Target="connections.xml"/><Relationship Id="rId27" Type="http://schemas.openxmlformats.org/officeDocument/2006/relationships/calcChain" Target="calcChain.xml"/><Relationship Id="rId30" Type="http://schemas.openxmlformats.org/officeDocument/2006/relationships/customXml" Target="../customXml/item3.xml"/><Relationship Id="rId35" Type="http://schemas.openxmlformats.org/officeDocument/2006/relationships/customXml" Target="../customXml/item8.xml"/><Relationship Id="rId43" Type="http://schemas.openxmlformats.org/officeDocument/2006/relationships/customXml" Target="../customXml/item16.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pivotCacheDefinition" Target="pivotCache/pivotCacheDefinition1.xml"/><Relationship Id="rId17" Type="http://schemas.microsoft.com/office/2007/relationships/slicerCache" Target="slicerCaches/slicerCache2.xml"/><Relationship Id="rId25" Type="http://schemas.openxmlformats.org/officeDocument/2006/relationships/sheetMetadata" Target="metadata.xml"/><Relationship Id="rId33" Type="http://schemas.openxmlformats.org/officeDocument/2006/relationships/customXml" Target="../customXml/item6.xml"/><Relationship Id="rId38" Type="http://schemas.openxmlformats.org/officeDocument/2006/relationships/customXml" Target="../customXml/item11.xml"/><Relationship Id="rId20" Type="http://schemas.microsoft.com/office/2007/relationships/slicerCache" Target="slicerCaches/slicerCache5.xml"/><Relationship Id="rId41" Type="http://schemas.openxmlformats.org/officeDocument/2006/relationships/customXml" Target="../customXml/item14.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20</xdr:col>
      <xdr:colOff>600075</xdr:colOff>
      <xdr:row>1</xdr:row>
      <xdr:rowOff>28575</xdr:rowOff>
    </xdr:from>
    <xdr:to>
      <xdr:col>23</xdr:col>
      <xdr:colOff>371475</xdr:colOff>
      <xdr:row>4</xdr:row>
      <xdr:rowOff>19050</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10896600" y="323850"/>
          <a:ext cx="1600200"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Click</a:t>
          </a:r>
          <a:r>
            <a:rPr lang="en-US" sz="1100" baseline="0"/>
            <a:t> here to reset selections in a slicer.</a:t>
          </a:r>
          <a:endParaRPr lang="en-US" sz="1100"/>
        </a:p>
      </xdr:txBody>
    </xdr:sp>
    <xdr:clientData/>
  </xdr:twoCellAnchor>
  <xdr:twoCellAnchor>
    <xdr:from>
      <xdr:col>20</xdr:col>
      <xdr:colOff>76200</xdr:colOff>
      <xdr:row>2</xdr:row>
      <xdr:rowOff>119063</xdr:rowOff>
    </xdr:from>
    <xdr:to>
      <xdr:col>20</xdr:col>
      <xdr:colOff>600075</xdr:colOff>
      <xdr:row>2</xdr:row>
      <xdr:rowOff>123825</xdr:rowOff>
    </xdr:to>
    <xdr:cxnSp macro="">
      <xdr:nvCxnSpPr>
        <xdr:cNvPr id="7" name="Straight Arrow Connector 6">
          <a:extLst>
            <a:ext uri="{FF2B5EF4-FFF2-40B4-BE49-F238E27FC236}">
              <a16:creationId xmlns:a16="http://schemas.microsoft.com/office/drawing/2014/main" id="{00000000-0008-0000-0100-000007000000}"/>
            </a:ext>
          </a:extLst>
        </xdr:cNvPr>
        <xdr:cNvCxnSpPr>
          <a:stCxn id="6" idx="1"/>
        </xdr:cNvCxnSpPr>
      </xdr:nvCxnSpPr>
      <xdr:spPr>
        <a:xfrm flipH="1">
          <a:off x="10372725" y="604838"/>
          <a:ext cx="523875" cy="476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0</xdr:colOff>
      <xdr:row>2</xdr:row>
      <xdr:rowOff>19050</xdr:rowOff>
    </xdr:from>
    <xdr:to>
      <xdr:col>12</xdr:col>
      <xdr:colOff>0</xdr:colOff>
      <xdr:row>17</xdr:row>
      <xdr:rowOff>161925</xdr:rowOff>
    </xdr:to>
    <mc:AlternateContent xmlns:mc="http://schemas.openxmlformats.org/markup-compatibility/2006" xmlns:a14="http://schemas.microsoft.com/office/drawing/2010/main">
      <mc:Choice Requires="a14">
        <xdr:graphicFrame macro="">
          <xdr:nvGraphicFramePr>
            <xdr:cNvPr id="16" name="G-L SubStrategy">
              <a:extLst>
                <a:ext uri="{FF2B5EF4-FFF2-40B4-BE49-F238E27FC236}">
                  <a16:creationId xmlns:a16="http://schemas.microsoft.com/office/drawing/2014/main" id="{00000000-0008-0000-0100-000010000000}"/>
                </a:ext>
              </a:extLst>
            </xdr:cNvPr>
            <xdr:cNvGraphicFramePr/>
          </xdr:nvGraphicFramePr>
          <xdr:xfrm>
            <a:off x="0" y="0"/>
            <a:ext cx="0" cy="0"/>
          </xdr:xfrm>
          <a:graphic>
            <a:graphicData uri="http://schemas.microsoft.com/office/drawing/2010/slicer">
              <sle:slicer xmlns:sle="http://schemas.microsoft.com/office/drawing/2010/slicer" name="G-L SubStrategy"/>
            </a:graphicData>
          </a:graphic>
        </xdr:graphicFrame>
      </mc:Choice>
      <mc:Fallback xmlns="">
        <xdr:sp macro="" textlink="">
          <xdr:nvSpPr>
            <xdr:cNvPr id="0" name=""/>
            <xdr:cNvSpPr>
              <a:spLocks noTextEdit="1"/>
            </xdr:cNvSpPr>
          </xdr:nvSpPr>
          <xdr:spPr>
            <a:xfrm>
              <a:off x="4276725" y="504825"/>
              <a:ext cx="1828800" cy="3000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9525</xdr:colOff>
      <xdr:row>2</xdr:row>
      <xdr:rowOff>9525</xdr:rowOff>
    </xdr:from>
    <xdr:to>
      <xdr:col>16</xdr:col>
      <xdr:colOff>9525</xdr:colOff>
      <xdr:row>17</xdr:row>
      <xdr:rowOff>161925</xdr:rowOff>
    </xdr:to>
    <mc:AlternateContent xmlns:mc="http://schemas.openxmlformats.org/markup-compatibility/2006" xmlns:a14="http://schemas.microsoft.com/office/drawing/2010/main">
      <mc:Choice Requires="a14">
        <xdr:graphicFrame macro="">
          <xdr:nvGraphicFramePr>
            <xdr:cNvPr id="18" name="LowerAttachLabel">
              <a:extLst>
                <a:ext uri="{FF2B5EF4-FFF2-40B4-BE49-F238E27FC236}">
                  <a16:creationId xmlns:a16="http://schemas.microsoft.com/office/drawing/2014/main" id="{00000000-0008-0000-0100-000012000000}"/>
                </a:ext>
              </a:extLst>
            </xdr:cNvPr>
            <xdr:cNvGraphicFramePr/>
          </xdr:nvGraphicFramePr>
          <xdr:xfrm>
            <a:off x="0" y="0"/>
            <a:ext cx="0" cy="0"/>
          </xdr:xfrm>
          <a:graphic>
            <a:graphicData uri="http://schemas.microsoft.com/office/drawing/2010/slicer">
              <sle:slicer xmlns:sle="http://schemas.microsoft.com/office/drawing/2010/slicer" name="LowerAttachLabel"/>
            </a:graphicData>
          </a:graphic>
        </xdr:graphicFrame>
      </mc:Choice>
      <mc:Fallback xmlns="">
        <xdr:sp macro="" textlink="">
          <xdr:nvSpPr>
            <xdr:cNvPr id="0" name=""/>
            <xdr:cNvSpPr>
              <a:spLocks noTextEdit="1"/>
            </xdr:cNvSpPr>
          </xdr:nvSpPr>
          <xdr:spPr>
            <a:xfrm>
              <a:off x="6391275" y="495300"/>
              <a:ext cx="1828800" cy="3009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0</xdr:colOff>
      <xdr:row>2</xdr:row>
      <xdr:rowOff>19050</xdr:rowOff>
    </xdr:from>
    <xdr:to>
      <xdr:col>8</xdr:col>
      <xdr:colOff>0</xdr:colOff>
      <xdr:row>17</xdr:row>
      <xdr:rowOff>161925</xdr:rowOff>
    </xdr:to>
    <mc:AlternateContent xmlns:mc="http://schemas.openxmlformats.org/markup-compatibility/2006" xmlns:a14="http://schemas.microsoft.com/office/drawing/2010/main">
      <mc:Choice Requires="a14">
        <xdr:graphicFrame macro="">
          <xdr:nvGraphicFramePr>
            <xdr:cNvPr id="19" name="Pmt Type">
              <a:extLst>
                <a:ext uri="{FF2B5EF4-FFF2-40B4-BE49-F238E27FC236}">
                  <a16:creationId xmlns:a16="http://schemas.microsoft.com/office/drawing/2014/main" id="{00000000-0008-0000-0100-000013000000}"/>
                </a:ext>
              </a:extLst>
            </xdr:cNvPr>
            <xdr:cNvGraphicFramePr/>
          </xdr:nvGraphicFramePr>
          <xdr:xfrm>
            <a:off x="0" y="0"/>
            <a:ext cx="0" cy="0"/>
          </xdr:xfrm>
          <a:graphic>
            <a:graphicData uri="http://schemas.microsoft.com/office/drawing/2010/slicer">
              <sle:slicer xmlns:sle="http://schemas.microsoft.com/office/drawing/2010/slicer" name="Pmt Type"/>
            </a:graphicData>
          </a:graphic>
        </xdr:graphicFrame>
      </mc:Choice>
      <mc:Fallback xmlns="">
        <xdr:sp macro="" textlink="">
          <xdr:nvSpPr>
            <xdr:cNvPr id="0" name=""/>
            <xdr:cNvSpPr>
              <a:spLocks noTextEdit="1"/>
            </xdr:cNvSpPr>
          </xdr:nvSpPr>
          <xdr:spPr>
            <a:xfrm>
              <a:off x="2200275" y="504825"/>
              <a:ext cx="1828800" cy="3000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9525</xdr:colOff>
      <xdr:row>2</xdr:row>
      <xdr:rowOff>9524</xdr:rowOff>
    </xdr:from>
    <xdr:to>
      <xdr:col>20</xdr:col>
      <xdr:colOff>9525</xdr:colOff>
      <xdr:row>17</xdr:row>
      <xdr:rowOff>171449</xdr:rowOff>
    </xdr:to>
    <mc:AlternateContent xmlns:mc="http://schemas.openxmlformats.org/markup-compatibility/2006" xmlns:a14="http://schemas.microsoft.com/office/drawing/2010/main">
      <mc:Choice Requires="a14">
        <xdr:graphicFrame macro="">
          <xdr:nvGraphicFramePr>
            <xdr:cNvPr id="20" name="UpperAttachLabel">
              <a:extLst>
                <a:ext uri="{FF2B5EF4-FFF2-40B4-BE49-F238E27FC236}">
                  <a16:creationId xmlns:a16="http://schemas.microsoft.com/office/drawing/2014/main" id="{00000000-0008-0000-0100-000014000000}"/>
                </a:ext>
              </a:extLst>
            </xdr:cNvPr>
            <xdr:cNvGraphicFramePr/>
          </xdr:nvGraphicFramePr>
          <xdr:xfrm>
            <a:off x="0" y="0"/>
            <a:ext cx="0" cy="0"/>
          </xdr:xfrm>
          <a:graphic>
            <a:graphicData uri="http://schemas.microsoft.com/office/drawing/2010/slicer">
              <sle:slicer xmlns:sle="http://schemas.microsoft.com/office/drawing/2010/slicer" name="UpperAttachLabel"/>
            </a:graphicData>
          </a:graphic>
        </xdr:graphicFrame>
      </mc:Choice>
      <mc:Fallback xmlns="">
        <xdr:sp macro="" textlink="">
          <xdr:nvSpPr>
            <xdr:cNvPr id="0" name=""/>
            <xdr:cNvSpPr>
              <a:spLocks noTextEdit="1"/>
            </xdr:cNvSpPr>
          </xdr:nvSpPr>
          <xdr:spPr>
            <a:xfrm>
              <a:off x="8477250" y="495299"/>
              <a:ext cx="1828800" cy="3019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9525</xdr:colOff>
      <xdr:row>2</xdr:row>
      <xdr:rowOff>28575</xdr:rowOff>
    </xdr:from>
    <xdr:to>
      <xdr:col>4</xdr:col>
      <xdr:colOff>9525</xdr:colOff>
      <xdr:row>17</xdr:row>
      <xdr:rowOff>161925</xdr:rowOff>
    </xdr:to>
    <mc:AlternateContent xmlns:mc="http://schemas.openxmlformats.org/markup-compatibility/2006" xmlns:a14="http://schemas.microsoft.com/office/drawing/2010/main">
      <mc:Choice Requires="a14">
        <xdr:graphicFrame macro="">
          <xdr:nvGraphicFramePr>
            <xdr:cNvPr id="21" name="LoanType">
              <a:extLst>
                <a:ext uri="{FF2B5EF4-FFF2-40B4-BE49-F238E27FC236}">
                  <a16:creationId xmlns:a16="http://schemas.microsoft.com/office/drawing/2014/main" id="{00000000-0008-0000-0100-000015000000}"/>
                </a:ext>
              </a:extLst>
            </xdr:cNvPr>
            <xdr:cNvGraphicFramePr/>
          </xdr:nvGraphicFramePr>
          <xdr:xfrm>
            <a:off x="0" y="0"/>
            <a:ext cx="0" cy="0"/>
          </xdr:xfrm>
          <a:graphic>
            <a:graphicData uri="http://schemas.microsoft.com/office/drawing/2010/slicer">
              <sle:slicer xmlns:sle="http://schemas.microsoft.com/office/drawing/2010/slicer" name="LoanType"/>
            </a:graphicData>
          </a:graphic>
        </xdr:graphicFrame>
      </mc:Choice>
      <mc:Fallback xmlns="">
        <xdr:sp macro="" textlink="">
          <xdr:nvSpPr>
            <xdr:cNvPr id="0" name=""/>
            <xdr:cNvSpPr>
              <a:spLocks noTextEdit="1"/>
            </xdr:cNvSpPr>
          </xdr:nvSpPr>
          <xdr:spPr>
            <a:xfrm>
              <a:off x="133350" y="514350"/>
              <a:ext cx="1828800" cy="2990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mc:AlternateContent xmlns:mc="http://schemas.openxmlformats.org/markup-compatibility/2006">
    <mc:Choice xmlns:a14="http://schemas.microsoft.com/office/drawing/2010/main" Requires="a14">
      <xdr:twoCellAnchor>
        <xdr:from>
          <xdr:col>20</xdr:col>
          <xdr:colOff>600075</xdr:colOff>
          <xdr:row>5</xdr:row>
          <xdr:rowOff>76200</xdr:rowOff>
        </xdr:from>
        <xdr:to>
          <xdr:col>23</xdr:col>
          <xdr:colOff>304800</xdr:colOff>
          <xdr:row>7</xdr:row>
          <xdr:rowOff>152400</xdr:rowOff>
        </xdr:to>
        <xdr:sp macro="" textlink="">
          <xdr:nvSpPr>
            <xdr:cNvPr id="1025" name="Button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Reset All Selectors</a:t>
              </a:r>
            </a:p>
          </xdr:txBody>
        </xdr:sp>
        <xdr:clientData fPrintsWithSheet="0"/>
      </xdr:twoCellAnchor>
    </mc:Choice>
    <mc:Fallback/>
  </mc:AlternateContent>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saveData="0" refreshedBy="Michael Giliberto" refreshedDate="44174.372708449075" createdVersion="3" refreshedVersion="6" minRefreshableVersion="3" recordCount="0" tupleCache="1" supportSubquery="1" supportAdvancedDrill="1" xr:uid="{1D03B579-702A-4FA9-A56B-862C98D344F9}">
  <cacheSource type="external" connectionId="1"/>
  <cacheFields count="4">
    <cacheField name="[Table1].[LoanType].[LoanType]" caption="LoanType" numFmtId="0" hierarchy="15" level="1">
      <sharedItems count="1">
        <s v="[Table1].[LoanType].&amp;[Mezzanine Loan]" c="Mezzanine Loan"/>
      </sharedItems>
    </cacheField>
    <cacheField name="[Table1].[Pmt Type].[Pmt Type]" caption="Pmt Type" numFmtId="0" hierarchy="5" level="1">
      <sharedItems count="1">
        <s v="[Table1].[Pmt Type].&amp;[Fixed]" c="Fixed"/>
      </sharedItems>
    </cacheField>
    <cacheField name="[Table1].[G-L SubStrategy].[G-L SubStrategy]" caption="G-L SubStrategy" numFmtId="0" hierarchy="20" level="1">
      <sharedItems count="1">
        <s v="[Table1].[G-L SubStrategy].&amp;[Stabilized]" c="Stabilized"/>
      </sharedItems>
    </cacheField>
    <cacheField name="[Table1].[LowerAttachLabel].[LowerAttachLabel]" caption="LowerAttachLabel" numFmtId="0" hierarchy="21" level="1">
      <sharedItems count="4">
        <s v="[Table1].[LowerAttachLabel].&amp;[50% to 54.9%]" c="50% to 54.9%"/>
        <s v="[Table1].[LowerAttachLabel].&amp;[55% to 59.9%]" c="55% to 59.9%"/>
        <s v="[Table1].[LowerAttachLabel].&amp;[60% to 64.9%]" c="60% to 64.9%"/>
        <s v="[Table1].[LowerAttachLabel].&amp;[65% and above]" c="65% and above"/>
      </sharedItems>
    </cacheField>
  </cacheFields>
  <cacheHierarchies count="67">
    <cacheHierarchy uniqueName="[Measures]" caption="Measures" attribute="1" keyAttribute="1" defaultMemberUniqueName="[Measures].[__No measures defined]" dimensionUniqueName="[Measures]" displayFolder="" measures="1" count="1" memberValueDatatype="130" unbalanced="0"/>
    <cacheHierarchy uniqueName="[Table1].[G-L ID]" caption="G-L ID" attribute="1" defaultMemberUniqueName="[Table1].[G-L ID].[All]" allUniqueName="[Table1].[G-L ID].[All]" dimensionUniqueName="[Table1]" displayFolder="" count="2" memberValueDatatype="20" unbalanced="0"/>
    <cacheHierarchy uniqueName="[Table1].[ManagerCode]" caption="ManagerCode" attribute="1" defaultMemberUniqueName="[Table1].[ManagerCode].[All]" allUniqueName="[Table1].[ManagerCode].[All]" dimensionUniqueName="[Table1]" displayFolder="" count="2" memberValueDatatype="20" unbalanced="0"/>
    <cacheHierarchy uniqueName="[Table1].[VinYear]" caption="VinYear" attribute="1" defaultMemberUniqueName="[Table1].[VinYear].[All]" allUniqueName="[Table1].[VinYear].[All]" dimensionUniqueName="[Table1]" displayFolder="" count="2" memberValueDatatype="20" unbalanced="0"/>
    <cacheHierarchy uniqueName="[Table1].[Loan Type as reported]" caption="Loan Type as reported" attribute="1" defaultMemberUniqueName="[Table1].[Loan Type as reported].[All]" allUniqueName="[Table1].[Loan Type as reported].[All]" dimensionUniqueName="[Table1]" displayFolder="" count="2" memberValueDatatype="130" unbalanced="0"/>
    <cacheHierarchy uniqueName="[Table1].[Pmt Type]" caption="Pmt Type" attribute="1" defaultMemberUniqueName="[Table1].[Pmt Type].[All]" allUniqueName="[Table1].[Pmt Type].[All]" allCaption="All" dimensionUniqueName="[Table1]" displayFolder="" count="2" memberValueDatatype="130" unbalanced="0">
      <fieldsUsage count="2">
        <fieldUsage x="-1"/>
        <fieldUsage x="1"/>
      </fieldsUsage>
    </cacheHierarchy>
    <cacheHierarchy uniqueName="[Table1].[LowerLTV1]" caption="LowerLTV1" attribute="1" defaultMemberUniqueName="[Table1].[LowerLTV1].[All]" allUniqueName="[Table1].[LowerLTV1].[All]" dimensionUniqueName="[Table1]" displayFolder="" count="2" memberValueDatatype="5" unbalanced="0"/>
    <cacheHierarchy uniqueName="[Table1].[UpperAttach]" caption="UpperAttach" attribute="1" defaultMemberUniqueName="[Table1].[UpperAttach].[All]" allUniqueName="[Table1].[UpperAttach].[All]" dimensionUniqueName="[Table1]" displayFolder="" count="2" memberValueDatatype="5" unbalanced="0"/>
    <cacheHierarchy uniqueName="[Table1].[CapStackFlag]" caption="CapStackFlag" attribute="1" defaultMemberUniqueName="[Table1].[CapStackFlag].[All]" allUniqueName="[Table1].[CapStackFlag].[All]" dimensionUniqueName="[Table1]" displayFolder="" count="2" memberValueDatatype="20" unbalanced="0"/>
    <cacheHierarchy uniqueName="[Table1].[Reported Principal]" caption="Reported Principal" attribute="1" defaultMemberUniqueName="[Table1].[Reported Principal].[All]" allUniqueName="[Table1].[Reported Principal].[All]" dimensionUniqueName="[Table1]" displayFolder="" count="2" memberValueDatatype="5" unbalanced="0"/>
    <cacheHierarchy uniqueName="[Table1].[PropType]" caption="PropType" attribute="1" defaultMemberUniqueName="[Table1].[PropType].[All]" allUniqueName="[Table1].[PropType].[All]" dimensionUniqueName="[Table1]" displayFolder="" count="2" memberValueDatatype="130" unbalanced="0"/>
    <cacheHierarchy uniqueName="[Table1].[Interest Rate]" caption="Interest Rate" attribute="1" defaultMemberUniqueName="[Table1].[Interest Rate].[All]" allUniqueName="[Table1].[Interest Rate].[All]" dimensionUniqueName="[Table1]" displayFolder="" count="2" memberValueDatatype="130" unbalanced="0"/>
    <cacheHierarchy uniqueName="[Table1].[AdvanceRate]" caption="AdvanceRate" attribute="1" defaultMemberUniqueName="[Table1].[AdvanceRate].[All]" allUniqueName="[Table1].[AdvanceRate].[All]" dimensionUniqueName="[Table1]" displayFolder="" count="2" memberValueDatatype="5" unbalanced="0"/>
    <cacheHierarchy uniqueName="[Table1].[SUB Flag]" caption="SUB Flag" attribute="1" defaultMemberUniqueName="[Table1].[SUB Flag].[All]" allUniqueName="[Table1].[SUB Flag].[All]" dimensionUniqueName="[Table1]" displayFolder="" count="2" memberValueDatatype="130" unbalanced="0"/>
    <cacheHierarchy uniqueName="[Table1].[SCHEMATIC TYPE]" caption="SCHEMATIC TYPE" attribute="1" defaultMemberUniqueName="[Table1].[SCHEMATIC TYPE].[All]" allUniqueName="[Table1].[SCHEMATIC TYPE].[All]" dimensionUniqueName="[Table1]" displayFolder="" count="2" memberValueDatatype="130" unbalanced="0"/>
    <cacheHierarchy uniqueName="[Table1].[LoanType]" caption="LoanType" attribute="1" defaultMemberUniqueName="[Table1].[LoanType].[All]" allUniqueName="[Table1].[LoanType].[All]" allCaption="All" dimensionUniqueName="[Table1]" displayFolder="" count="2" memberValueDatatype="130" unbalanced="0">
      <fieldsUsage count="2">
        <fieldUsage x="-1"/>
        <fieldUsage x="0"/>
      </fieldsUsage>
    </cacheHierarchy>
    <cacheHierarchy uniqueName="[Table1].[CollateralValue]" caption="CollateralValue" attribute="1" defaultMemberUniqueName="[Table1].[CollateralValue].[All]" allUniqueName="[Table1].[CollateralValue].[All]" dimensionUniqueName="[Table1]" displayFolder="" count="2" memberValueDatatype="130" unbalanced="0"/>
    <cacheHierarchy uniqueName="[Table1].[Strategy]" caption="Strategy" attribute="1" defaultMemberUniqueName="[Table1].[Strategy].[All]" allUniqueName="[Table1].[Strategy].[All]" dimensionUniqueName="[Table1]" displayFolder="" count="2" memberValueDatatype="130" unbalanced="0"/>
    <cacheHierarchy uniqueName="[Table1].[Purpose]" caption="Purpose" attribute="1" defaultMemberUniqueName="[Table1].[Purpose].[All]" allUniqueName="[Table1].[Purpose].[All]" dimensionUniqueName="[Table1]" displayFolder="" count="2" memberValueDatatype="130" unbalanced="0"/>
    <cacheHierarchy uniqueName="[Table1].[G-L reclass strategy]" caption="G-L reclass strategy" attribute="1" defaultMemberUniqueName="[Table1].[G-L reclass strategy].[All]" allUniqueName="[Table1].[G-L reclass strategy].[All]" dimensionUniqueName="[Table1]" displayFolder="" count="2" memberValueDatatype="130" unbalanced="0"/>
    <cacheHierarchy uniqueName="[Table1].[G-L SubStrategy]" caption="G-L SubStrategy" attribute="1" defaultMemberUniqueName="[Table1].[G-L SubStrategy].[All]" allUniqueName="[Table1].[G-L SubStrategy].[All]" allCaption="All" dimensionUniqueName="[Table1]" displayFolder="" count="2" memberValueDatatype="130" unbalanced="0">
      <fieldsUsage count="2">
        <fieldUsage x="-1"/>
        <fieldUsage x="2"/>
      </fieldsUsage>
    </cacheHierarchy>
    <cacheHierarchy uniqueName="[Table1].[LowerAttachLabel]" caption="LowerAttachLabel" attribute="1" defaultMemberUniqueName="[Table1].[LowerAttachLabel].[All]" allUniqueName="[Table1].[LowerAttachLabel].[All]" allCaption="All" dimensionUniqueName="[Table1]" displayFolder="" count="2" memberValueDatatype="130" unbalanced="0">
      <fieldsUsage count="2">
        <fieldUsage x="-1"/>
        <fieldUsage x="3"/>
      </fieldsUsage>
    </cacheHierarchy>
    <cacheHierarchy uniqueName="[Table1].[UpperAttachLabel]" caption="UpperAttachLabel" attribute="1" defaultMemberUniqueName="[Table1].[UpperAttachLabel].[All]" allUniqueName="[Table1].[UpperAttachLabel].[All]" allCaption="All" dimensionUniqueName="[Table1]" displayFolder="" count="2" memberValueDatatype="130" unbalanced="0"/>
    <cacheHierarchy uniqueName="[Table1].[Term]" caption="Term" attribute="1" defaultMemberUniqueName="[Table1].[Term].[All]" allUniqueName="[Table1].[Term].[All]" dimensionUniqueName="[Table1]" displayFolder="" count="2" memberValueDatatype="130" unbalanced="0"/>
    <cacheHierarchy uniqueName="[Table1].[LowerAttach]" caption="LowerAttach" attribute="1" defaultMemberUniqueName="[Table1].[LowerAttach].[All]" allUniqueName="[Table1].[LowerAttach].[All]" dimensionUniqueName="[Table1]" displayFolder="" count="2" memberValueDatatype="5" unbalanced="0"/>
    <cacheHierarchy uniqueName="[Table1].[Principal NAV]" caption="Principal NAV" attribute="1" defaultMemberUniqueName="[Table1].[Principal NAV].[All]" allUniqueName="[Table1].[Principal NAV].[All]" dimensionUniqueName="[Table1]" displayFolder="" count="2" memberValueDatatype="5" unbalanced="0"/>
    <cacheHierarchy uniqueName="[Table1].[Principal GAV]" caption="Principal GAV" attribute="1" defaultMemberUniqueName="[Table1].[Principal GAV].[All]" allUniqueName="[Table1].[Principal GAV].[All]" dimensionUniqueName="[Table1]" displayFolder="" count="2" memberValueDatatype="5" unbalanced="0"/>
    <cacheHierarchy uniqueName="[Table2].[ReturnDate]" caption="ReturnDate" attribute="1" defaultMemberUniqueName="[Table2].[ReturnDate].[All]" allUniqueName="[Table2].[ReturnDate].[All]" dimensionUniqueName="[Table2]" displayFolder="" count="2" memberValueDatatype="20" unbalanced="0"/>
    <cacheHierarchy uniqueName="[Table2].[Year]" caption="Year" attribute="1" defaultMemberUniqueName="[Table2].[Year].[All]" allUniqueName="[Table2].[Year].[All]" dimensionUniqueName="[Table2]" displayFolder="" count="2" memberValueDatatype="20" unbalanced="0"/>
    <cacheHierarchy uniqueName="[Table2].[Month]" caption="Month" attribute="1" defaultMemberUniqueName="[Table2].[Month].[All]" allUniqueName="[Table2].[Month].[All]" dimensionUniqueName="[Table2]" displayFolder="" count="2" memberValueDatatype="20" unbalanced="0"/>
    <cacheHierarchy uniqueName="[Table2].[NLoans]" caption="NLoans" attribute="1" defaultMemberUniqueName="[Table2].[NLoans].[All]" allUniqueName="[Table2].[NLoans].[All]" dimensionUniqueName="[Table2]" displayFolder="" count="2" memberValueDatatype="20" unbalanced="0"/>
    <cacheHierarchy uniqueName="[Table2].[LoanID]" caption="LoanID" attribute="1" defaultMemberUniqueName="[Table2].[LoanID].[All]" allUniqueName="[Table2].[LoanID].[All]" dimensionUniqueName="[Table2]" displayFolder="" count="2" memberValueDatatype="20" unbalanced="0"/>
    <cacheHierarchy uniqueName="[Table2].[CashInterest]" caption="CashInterest" attribute="1" defaultMemberUniqueName="[Table2].[CashInterest].[All]" allUniqueName="[Table2].[CashInterest].[All]" dimensionUniqueName="[Table2]" displayFolder="" count="2" memberValueDatatype="5" unbalanced="0"/>
    <cacheHierarchy uniqueName="[Table2].[AccrInterest]" caption="AccrInterest" attribute="1" defaultMemberUniqueName="[Table2].[AccrInterest].[All]" allUniqueName="[Table2].[AccrInterest].[All]" dimensionUniqueName="[Table2]" displayFolder="" count="2" memberValueDatatype="5" unbalanced="0"/>
    <cacheHierarchy uniqueName="[Table2].[OtherIncome]" caption="OtherIncome" attribute="1" defaultMemberUniqueName="[Table2].[OtherIncome].[All]" allUniqueName="[Table2].[OtherIncome].[All]" dimensionUniqueName="[Table2]" displayFolder="" count="2" memberValueDatatype="5" unbalanced="0"/>
    <cacheHierarchy uniqueName="[Table2].[Expenses]" caption="Expenses" attribute="1" defaultMemberUniqueName="[Table2].[Expenses].[All]" allUniqueName="[Table2].[Expenses].[All]" dimensionUniqueName="[Table2]" displayFolder="" count="2" memberValueDatatype="5" unbalanced="0"/>
    <cacheHierarchy uniqueName="[Table2].[PrincipalFunded]" caption="PrincipalFunded" attribute="1" defaultMemberUniqueName="[Table2].[PrincipalFunded].[All]" allUniqueName="[Table2].[PrincipalFunded].[All]" dimensionUniqueName="[Table2]" displayFolder="" count="2" memberValueDatatype="5" unbalanced="0"/>
    <cacheHierarchy uniqueName="[Table2].[PrincipalRepaid]" caption="PrincipalRepaid" attribute="1" defaultMemberUniqueName="[Table2].[PrincipalRepaid].[All]" allUniqueName="[Table2].[PrincipalRepaid].[All]" dimensionUniqueName="[Table2]" displayFolder="" count="2" memberValueDatatype="5" unbalanced="0"/>
    <cacheHierarchy uniqueName="[Table2].[StartValue]" caption="StartValue" attribute="1" defaultMemberUniqueName="[Table2].[StartValue].[All]" allUniqueName="[Table2].[StartValue].[All]" dimensionUniqueName="[Table2]" displayFolder="" count="2" memberValueDatatype="5" unbalanced="0"/>
    <cacheHierarchy uniqueName="[Table2].[EndValue]" caption="EndValue" attribute="1" defaultMemberUniqueName="[Table2].[EndValue].[All]" allUniqueName="[Table2].[EndValue].[All]" dimensionUniqueName="[Table2]" displayFolder="" count="2" memberValueDatatype="5" unbalanced="0"/>
    <cacheHierarchy uniqueName="[Table2].[StartNAV]" caption="StartNAV" attribute="1" defaultMemberUniqueName="[Table2].[StartNAV].[All]" allUniqueName="[Table2].[StartNAV].[All]" dimensionUniqueName="[Table2]" displayFolder="" count="2" memberValueDatatype="5" unbalanced="0"/>
    <cacheHierarchy uniqueName="[Table2].[EndNAV]" caption="EndNAV" attribute="1" defaultMemberUniqueName="[Table2].[EndNAV].[All]" allUniqueName="[Table2].[EndNAV].[All]" dimensionUniqueName="[Table2]" displayFolder="" count="2" memberValueDatatype="5" unbalanced="0"/>
    <cacheHierarchy uniqueName="[Table2].[StartPrincipal]" caption="StartPrincipal" attribute="1" defaultMemberUniqueName="[Table2].[StartPrincipal].[All]" allUniqueName="[Table2].[StartPrincipal].[All]" dimensionUniqueName="[Table2]" displayFolder="" count="2" memberValueDatatype="5" unbalanced="0"/>
    <cacheHierarchy uniqueName="[Table2].[EndPrincipal]" caption="EndPrincipal" attribute="1" defaultMemberUniqueName="[Table2].[EndPrincipal].[All]" allUniqueName="[Table2].[EndPrincipal].[All]" dimensionUniqueName="[Table2]" displayFolder="" count="2" memberValueDatatype="5" unbalanced="0"/>
    <cacheHierarchy uniqueName="[Table2].[ManagerCode]" caption="ManagerCode" attribute="1" defaultMemberUniqueName="[Table2].[ManagerCode].[All]" allUniqueName="[Table2].[ManagerCode].[All]" dimensionUniqueName="[Table2]" displayFolder="" count="2" memberValueDatatype="20" unbalanced="0"/>
    <cacheHierarchy uniqueName="[Measures].[__XL_Count Table1]" caption="__XL_Count Table1" measure="1" displayFolder="" measureGroup="Table1" count="0" hidden="1"/>
    <cacheHierarchy uniqueName="[Measures].[__XL_Count Table2]" caption="__XL_Count Table2" measure="1" displayFolder="" measureGroup="Table2" count="0" hidden="1"/>
    <cacheHierarchy uniqueName="[Measures].[__No measures defined]" caption="__No measures defined" measure="1" displayFolder="" count="0" hidden="1"/>
    <cacheHierarchy uniqueName="[Measures].[Sum of ReturnDate]" caption="Sum of ReturnDate" measure="1" displayFolder="" measureGroup="Table2" count="0" hidden="1">
      <extLst>
        <ext xmlns:x15="http://schemas.microsoft.com/office/spreadsheetml/2010/11/main" uri="{B97F6D7D-B522-45F9-BDA1-12C45D357490}">
          <x15:cacheHierarchy aggregatedColumn="27"/>
        </ext>
      </extLst>
    </cacheHierarchy>
    <cacheHierarchy uniqueName="[Measures].[Sum of CashInterest]" caption="Sum of CashInterest" measure="1" displayFolder="" measureGroup="Table2" count="0" hidden="1">
      <extLst>
        <ext xmlns:x15="http://schemas.microsoft.com/office/spreadsheetml/2010/11/main" uri="{B97F6D7D-B522-45F9-BDA1-12C45D357490}">
          <x15:cacheHierarchy aggregatedColumn="32"/>
        </ext>
      </extLst>
    </cacheHierarchy>
    <cacheHierarchy uniqueName="[Measures].[Sum of AccrInterest]" caption="Sum of AccrInterest" measure="1" displayFolder="" measureGroup="Table2" count="0" hidden="1">
      <extLst>
        <ext xmlns:x15="http://schemas.microsoft.com/office/spreadsheetml/2010/11/main" uri="{B97F6D7D-B522-45F9-BDA1-12C45D357490}">
          <x15:cacheHierarchy aggregatedColumn="33"/>
        </ext>
      </extLst>
    </cacheHierarchy>
    <cacheHierarchy uniqueName="[Measures].[Sum of OtherIncome]" caption="Sum of OtherIncome" measure="1" displayFolder="" measureGroup="Table2" count="0" hidden="1">
      <extLst>
        <ext xmlns:x15="http://schemas.microsoft.com/office/spreadsheetml/2010/11/main" uri="{B97F6D7D-B522-45F9-BDA1-12C45D357490}">
          <x15:cacheHierarchy aggregatedColumn="34"/>
        </ext>
      </extLst>
    </cacheHierarchy>
    <cacheHierarchy uniqueName="[Measures].[Sum of Expenses]" caption="Sum of Expenses" measure="1" displayFolder="" measureGroup="Table2" count="0" hidden="1">
      <extLst>
        <ext xmlns:x15="http://schemas.microsoft.com/office/spreadsheetml/2010/11/main" uri="{B97F6D7D-B522-45F9-BDA1-12C45D357490}">
          <x15:cacheHierarchy aggregatedColumn="35"/>
        </ext>
      </extLst>
    </cacheHierarchy>
    <cacheHierarchy uniqueName="[Measures].[Sum of PrincipalRepaid]" caption="Sum of PrincipalRepaid" measure="1" displayFolder="" measureGroup="Table2" count="0" hidden="1">
      <extLst>
        <ext xmlns:x15="http://schemas.microsoft.com/office/spreadsheetml/2010/11/main" uri="{B97F6D7D-B522-45F9-BDA1-12C45D357490}">
          <x15:cacheHierarchy aggregatedColumn="37"/>
        </ext>
      </extLst>
    </cacheHierarchy>
    <cacheHierarchy uniqueName="[Measures].[Sum of StartValue]" caption="Sum of StartValue" measure="1" displayFolder="" measureGroup="Table2" count="0" hidden="1">
      <extLst>
        <ext xmlns:x15="http://schemas.microsoft.com/office/spreadsheetml/2010/11/main" uri="{B97F6D7D-B522-45F9-BDA1-12C45D357490}">
          <x15:cacheHierarchy aggregatedColumn="38"/>
        </ext>
      </extLst>
    </cacheHierarchy>
    <cacheHierarchy uniqueName="[Measures].[Sum of EndValue]" caption="Sum of EndValue" measure="1" displayFolder="" measureGroup="Table2" count="0" hidden="1">
      <extLst>
        <ext xmlns:x15="http://schemas.microsoft.com/office/spreadsheetml/2010/11/main" uri="{B97F6D7D-B522-45F9-BDA1-12C45D357490}">
          <x15:cacheHierarchy aggregatedColumn="39"/>
        </ext>
      </extLst>
    </cacheHierarchy>
    <cacheHierarchy uniqueName="[Measures].[Sum of StartPrincipal]" caption="Sum of StartPrincipal" measure="1" displayFolder="" measureGroup="Table2" count="0" hidden="1">
      <extLst>
        <ext xmlns:x15="http://schemas.microsoft.com/office/spreadsheetml/2010/11/main" uri="{B97F6D7D-B522-45F9-BDA1-12C45D357490}">
          <x15:cacheHierarchy aggregatedColumn="42"/>
        </ext>
      </extLst>
    </cacheHierarchy>
    <cacheHierarchy uniqueName="[Measures].[Sum of EndPrincipal]" caption="Sum of EndPrincipal" measure="1" displayFolder="" measureGroup="Table2" count="0" hidden="1">
      <extLst>
        <ext xmlns:x15="http://schemas.microsoft.com/office/spreadsheetml/2010/11/main" uri="{B97F6D7D-B522-45F9-BDA1-12C45D357490}">
          <x15:cacheHierarchy aggregatedColumn="43"/>
        </ext>
      </extLst>
    </cacheHierarchy>
    <cacheHierarchy uniqueName="[Measures].[Sum of StartNAV]" caption="Sum of StartNAV" measure="1" displayFolder="" measureGroup="Table2" count="0" hidden="1">
      <extLst>
        <ext xmlns:x15="http://schemas.microsoft.com/office/spreadsheetml/2010/11/main" uri="{B97F6D7D-B522-45F9-BDA1-12C45D357490}">
          <x15:cacheHierarchy aggregatedColumn="40"/>
        </ext>
      </extLst>
    </cacheHierarchy>
    <cacheHierarchy uniqueName="[Measures].[Sum of EndNAV]" caption="Sum of EndNAV" measure="1" displayFolder="" measureGroup="Table2" count="0" hidden="1">
      <extLst>
        <ext xmlns:x15="http://schemas.microsoft.com/office/spreadsheetml/2010/11/main" uri="{B97F6D7D-B522-45F9-BDA1-12C45D357490}">
          <x15:cacheHierarchy aggregatedColumn="41"/>
        </ext>
      </extLst>
    </cacheHierarchy>
    <cacheHierarchy uniqueName="[Measures].[Sum of LoanID]" caption="Sum of LoanID" measure="1" displayFolder="" measureGroup="Table2" count="0" hidden="1">
      <extLst>
        <ext xmlns:x15="http://schemas.microsoft.com/office/spreadsheetml/2010/11/main" uri="{B97F6D7D-B522-45F9-BDA1-12C45D357490}">
          <x15:cacheHierarchy aggregatedColumn="31"/>
        </ext>
      </extLst>
    </cacheHierarchy>
    <cacheHierarchy uniqueName="[Measures].[Distinct Count of LoanID]" caption="Distinct Count of LoanID" measure="1" displayFolder="" measureGroup="Table2" count="0" hidden="1">
      <extLst>
        <ext xmlns:x15="http://schemas.microsoft.com/office/spreadsheetml/2010/11/main" uri="{B97F6D7D-B522-45F9-BDA1-12C45D357490}">
          <x15:cacheHierarchy aggregatedColumn="31"/>
        </ext>
      </extLst>
    </cacheHierarchy>
    <cacheHierarchy uniqueName="[Measures].[Sum of ManagerCode]" caption="Sum of ManagerCode" measure="1" displayFolder="" measureGroup="Table1" count="0" hidden="1">
      <extLst>
        <ext xmlns:x15="http://schemas.microsoft.com/office/spreadsheetml/2010/11/main" uri="{B97F6D7D-B522-45F9-BDA1-12C45D357490}">
          <x15:cacheHierarchy aggregatedColumn="2"/>
        </ext>
      </extLst>
    </cacheHierarchy>
    <cacheHierarchy uniqueName="[Measures].[Distinct Count of ManagerCode]" caption="Distinct Count of ManagerCode" measure="1" displayFolder="" measureGroup="Table1" count="0" hidden="1">
      <extLst>
        <ext xmlns:x15="http://schemas.microsoft.com/office/spreadsheetml/2010/11/main" uri="{B97F6D7D-B522-45F9-BDA1-12C45D357490}">
          <x15:cacheHierarchy aggregatedColumn="2"/>
        </ext>
      </extLst>
    </cacheHierarchy>
    <cacheHierarchy uniqueName="[Measures].[Sum of ManagerCode 2]" caption="Sum of ManagerCode 2" measure="1" displayFolder="" measureGroup="Table2" count="0" hidden="1">
      <extLst>
        <ext xmlns:x15="http://schemas.microsoft.com/office/spreadsheetml/2010/11/main" uri="{B97F6D7D-B522-45F9-BDA1-12C45D357490}">
          <x15:cacheHierarchy aggregatedColumn="44"/>
        </ext>
      </extLst>
    </cacheHierarchy>
    <cacheHierarchy uniqueName="[Measures].[Distinct Count of ManagerCode 2]" caption="Distinct Count of ManagerCode 2" measure="1" displayFolder="" measureGroup="Table2" count="0" hidden="1">
      <extLst>
        <ext xmlns:x15="http://schemas.microsoft.com/office/spreadsheetml/2010/11/main" uri="{B97F6D7D-B522-45F9-BDA1-12C45D357490}">
          <x15:cacheHierarchy aggregatedColumn="44"/>
        </ext>
      </extLst>
    </cacheHierarchy>
    <cacheHierarchy uniqueName="[Measures].[Sum of PrincipalFunded]" caption="Sum of PrincipalFunded" measure="1" displayFolder="" measureGroup="Table2" count="0" hidden="1">
      <extLst>
        <ext xmlns:x15="http://schemas.microsoft.com/office/spreadsheetml/2010/11/main" uri="{B97F6D7D-B522-45F9-BDA1-12C45D357490}">
          <x15:cacheHierarchy aggregatedColumn="36"/>
        </ext>
      </extLst>
    </cacheHierarchy>
  </cacheHierarchies>
  <kpis count="0"/>
  <tupleCache>
    <sets count="12">
      <set count="1" maxRank="1" setDefinition="{[Table1].[G-L SubStrategy].[All]}">
        <tpls c="1">
          <tpl hier="20" item="4294967295"/>
        </tpls>
      </set>
      <set count="1" maxRank="1" setDefinition="{[Table1].[LowerAttachLabel].[All]}">
        <tpls c="1">
          <tpl hier="21" item="4294967295"/>
        </tpls>
      </set>
      <set count="1" maxRank="1" setDefinition="{[Table1].[UpperAttachLabel].[All]}">
        <tpls c="1">
          <tpl hier="22" item="4294967295"/>
        </tpls>
      </set>
      <set count="1" maxRank="1" setDefinition="{[Table1].[LoanType].[All]}">
        <tpls c="1">
          <tpl hier="15" item="4294967295"/>
        </tpls>
      </set>
      <set count="1" maxRank="1" setDefinition="{[Table1].[Pmt Type].[All]}">
        <tpls c="1">
          <tpl hier="5" item="4294967295"/>
        </tpls>
      </set>
      <set count="1" maxRank="1" setDefinition="{[Table1].[LoanType].&amp;[Mezzanine Loan]}">
        <tpls c="1">
          <tpl fld="0" item="0"/>
        </tpls>
      </set>
      <set count="1" maxRank="1" setDefinition="{[Table1].[Pmt Type].&amp;[Fixed]}">
        <tpls c="1">
          <tpl fld="1" item="0"/>
        </tpls>
      </set>
      <set count="1" maxRank="1" setDefinition="{[Table1].[G-L SubStrategy].&amp;[Stabilized]}">
        <tpls c="1">
          <tpl fld="2" item="0"/>
        </tpls>
      </set>
      <set count="1" maxRank="1" setDefinition="{[Table1].[LowerAttachLabel].&amp;[50% to 54.9%]}">
        <tpls c="1">
          <tpl fld="3" item="0"/>
        </tpls>
      </set>
      <set count="2" maxRank="2" setDefinition="{[Table1].[LowerAttachLabel].&amp;[50% to 54.9%],[Table1].[LowerAttachLabel].&amp;[55% to 59.9%]}">
        <tpls c="1">
          <tpl fld="3" item="0"/>
        </tpls>
        <tpls c="1">
          <tpl fld="3" item="1"/>
        </tpls>
      </set>
      <set count="3" maxRank="3" setDefinition="{[Table1].[LowerAttachLabel].&amp;[50% to 54.9%],[Table1].[LowerAttachLabel].&amp;[55% to 59.9%],[Table1].[LowerAttachLabel].&amp;[60% to 64.9%]}">
        <tpls c="1">
          <tpl fld="3" item="0"/>
        </tpls>
        <tpls c="1">
          <tpl fld="3" item="1"/>
        </tpls>
        <tpls c="1">
          <tpl fld="3" item="2"/>
        </tpls>
      </set>
      <set count="4" maxRank="4" setDefinition="{[Table1].[LowerAttachLabel].&amp;[50% to 54.9%],[Table1].[LowerAttachLabel].&amp;[55% to 59.9%],[Table1].[LowerAttachLabel].&amp;[60% to 64.9%],[Table1].[LowerAttachLabel].&amp;[65% and above]}">
        <tpls c="1">
          <tpl fld="3" item="0"/>
        </tpls>
        <tpls c="1">
          <tpl fld="3" item="1"/>
        </tpls>
        <tpls c="1">
          <tpl fld="3" item="2"/>
        </tpls>
        <tpls c="1">
          <tpl fld="3" item="3"/>
        </tpls>
      </set>
    </sets>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chael Giliberto" refreshedDate="44175.415373611111" createdVersion="5" refreshedVersion="6" minRefreshableVersion="3" recordCount="0" supportSubquery="1" supportAdvancedDrill="1" xr:uid="{3DC54CA7-6348-417C-BE52-167C90F6343B}">
  <cacheSource type="external" connectionId="1"/>
  <cacheFields count="19">
    <cacheField name="[Measures].[Sum of CashInterest]" caption="Sum of CashInterest" numFmtId="0" hierarchy="48" level="32767"/>
    <cacheField name="[Measures].[Sum of AccrInterest]" caption="Sum of AccrInterest" numFmtId="0" hierarchy="49" level="32767"/>
    <cacheField name="[Measures].[Sum of OtherIncome]" caption="Sum of OtherIncome" numFmtId="0" hierarchy="50" level="32767"/>
    <cacheField name="[Measures].[Sum of Expenses]" caption="Sum of Expenses" numFmtId="0" hierarchy="51" level="32767"/>
    <cacheField name="[Measures].[Sum of PrincipalRepaid]" caption="Sum of PrincipalRepaid" numFmtId="0" hierarchy="52" level="32767"/>
    <cacheField name="[Table1].[Pmt Type].[Pmt Type]" caption="Pmt Type" numFmtId="0" hierarchy="4" level="1">
      <sharedItems containsSemiMixedTypes="0" containsNonDate="0" containsString="0"/>
    </cacheField>
    <cacheField name="[Table1].[SCHEMATIC TYPE].[SCHEMATIC TYPE]" caption="SCHEMATIC TYPE" numFmtId="0" hierarchy="13" level="1">
      <sharedItems containsSemiMixedTypes="0" containsNonDate="0" containsString="0"/>
    </cacheField>
    <cacheField name="[Table1].[LowerAttachLabel].[LowerAttachLabel]" caption="LowerAttachLabel" numFmtId="0" hierarchy="20" level="1">
      <sharedItems containsSemiMixedTypes="0" containsNonDate="0" containsString="0"/>
    </cacheField>
    <cacheField name="[Table1].[UpperAttachLabel].[UpperAttachLabel]" caption="UpperAttachLabel" numFmtId="0" hierarchy="21" level="1">
      <sharedItems containsSemiMixedTypes="0" containsNonDate="0" containsString="0"/>
    </cacheField>
    <cacheField name="[Table1].[G-L SubStrategy].[G-L SubStrategy]" caption="G-L SubStrategy" numFmtId="0" hierarchy="19" level="1">
      <sharedItems containsSemiMixedTypes="0" containsNonDate="0" containsString="0"/>
    </cacheField>
    <cacheField name="[Measures].[Sum of StartValue]" caption="Sum of StartValue" numFmtId="0" hierarchy="53" level="32767"/>
    <cacheField name="[Measures].[Sum of EndValue]" caption="Sum of EndValue" numFmtId="0" hierarchy="54" level="32767"/>
    <cacheField name="[Measures].[Sum of StartPrincipal]" caption="Sum of StartPrincipal" numFmtId="0" hierarchy="55" level="32767"/>
    <cacheField name="[Measures].[Sum of EndPrincipal]" caption="Sum of EndPrincipal" numFmtId="0" hierarchy="56" level="32767"/>
    <cacheField name="[Table2].[ReturnDate].[ReturnDate]" caption="ReturnDate" numFmtId="0" hierarchy="26" level="1">
      <sharedItems containsSemiMixedTypes="0" containsString="0" containsNumber="1" containsInteger="1" minValue="20100131" maxValue="20200930" count="129">
        <n v="20100131"/>
        <n v="20100228"/>
        <n v="20100331"/>
        <n v="20100430"/>
        <n v="20100531"/>
        <n v="20100630"/>
        <n v="20100731"/>
        <n v="20100831"/>
        <n v="20100930"/>
        <n v="20101031"/>
        <n v="20101130"/>
        <n v="20101231"/>
        <n v="20110131"/>
        <n v="20110228"/>
        <n v="20110331"/>
        <n v="20110430"/>
        <n v="20110531"/>
        <n v="20110630"/>
        <n v="20110731"/>
        <n v="20110831"/>
        <n v="20110930"/>
        <n v="20111031"/>
        <n v="20111130"/>
        <n v="20111231"/>
        <n v="20120131"/>
        <n v="20120229"/>
        <n v="20120331"/>
        <n v="20120430"/>
        <n v="20120531"/>
        <n v="20120630"/>
        <n v="20120731"/>
        <n v="20120831"/>
        <n v="20120930"/>
        <n v="20121031"/>
        <n v="20121130"/>
        <n v="20121231"/>
        <n v="20130131"/>
        <n v="20130228"/>
        <n v="20130331"/>
        <n v="20130430"/>
        <n v="20130531"/>
        <n v="20130630"/>
        <n v="20130731"/>
        <n v="20130831"/>
        <n v="20130930"/>
        <n v="20131031"/>
        <n v="20131130"/>
        <n v="20131231"/>
        <n v="20140131"/>
        <n v="20140228"/>
        <n v="20140331"/>
        <n v="20140430"/>
        <n v="20140531"/>
        <n v="20140630"/>
        <n v="20140731"/>
        <n v="20140831"/>
        <n v="20140930"/>
        <n v="20141031"/>
        <n v="20141130"/>
        <n v="20141231"/>
        <n v="20150131"/>
        <n v="20150228"/>
        <n v="20150331"/>
        <n v="20150430"/>
        <n v="20150531"/>
        <n v="20150630"/>
        <n v="20150731"/>
        <n v="20150831"/>
        <n v="20150930"/>
        <n v="20151031"/>
        <n v="20151130"/>
        <n v="20151231"/>
        <n v="20160131"/>
        <n v="20160229"/>
        <n v="20160331"/>
        <n v="20160430"/>
        <n v="20160531"/>
        <n v="20160630"/>
        <n v="20160731"/>
        <n v="20160831"/>
        <n v="20160930"/>
        <n v="20161031"/>
        <n v="20161130"/>
        <n v="20161231"/>
        <n v="20170131"/>
        <n v="20170228"/>
        <n v="20170331"/>
        <n v="20170430"/>
        <n v="20170531"/>
        <n v="20170630"/>
        <n v="20170731"/>
        <n v="20170831"/>
        <n v="20170930"/>
        <n v="20171031"/>
        <n v="20171130"/>
        <n v="20171231"/>
        <n v="20180131"/>
        <n v="20180228"/>
        <n v="20180331"/>
        <n v="20180430"/>
        <n v="20180531"/>
        <n v="20180630"/>
        <n v="20180731"/>
        <n v="20180831"/>
        <n v="20180930"/>
        <n v="20181031"/>
        <n v="20181130"/>
        <n v="20181231"/>
        <n v="20190131"/>
        <n v="20190228"/>
        <n v="20190331"/>
        <n v="20190430"/>
        <n v="20190531"/>
        <n v="20190630"/>
        <n v="20190731"/>
        <n v="20190831"/>
        <n v="20190930"/>
        <n v="20191031"/>
        <n v="20191130"/>
        <n v="20191231"/>
        <n v="20200131"/>
        <n v="20200229"/>
        <n v="20200331"/>
        <n v="20200430"/>
        <n v="20200531"/>
        <n v="20200630"/>
        <n v="20200731"/>
        <n v="20200831"/>
        <n v="20200930"/>
      </sharedItems>
      <extLst>
        <ext xmlns:x15="http://schemas.microsoft.com/office/spreadsheetml/2010/11/main" uri="{4F2E5C28-24EA-4eb8-9CBF-B6C8F9C3D259}">
          <x15:cachedUniqueNames>
            <x15:cachedUniqueName index="0" name="[Table2].[ReturnDate].&amp;[20100131]"/>
            <x15:cachedUniqueName index="1" name="[Table2].[ReturnDate].&amp;[20100228]"/>
            <x15:cachedUniqueName index="2" name="[Table2].[ReturnDate].&amp;[20100331]"/>
            <x15:cachedUniqueName index="3" name="[Table2].[ReturnDate].&amp;[20100430]"/>
            <x15:cachedUniqueName index="4" name="[Table2].[ReturnDate].&amp;[20100531]"/>
            <x15:cachedUniqueName index="5" name="[Table2].[ReturnDate].&amp;[20100630]"/>
            <x15:cachedUniqueName index="6" name="[Table2].[ReturnDate].&amp;[20100731]"/>
            <x15:cachedUniqueName index="7" name="[Table2].[ReturnDate].&amp;[20100831]"/>
            <x15:cachedUniqueName index="8" name="[Table2].[ReturnDate].&amp;[20100930]"/>
            <x15:cachedUniqueName index="9" name="[Table2].[ReturnDate].&amp;[20101031]"/>
            <x15:cachedUniqueName index="10" name="[Table2].[ReturnDate].&amp;[20101130]"/>
            <x15:cachedUniqueName index="11" name="[Table2].[ReturnDate].&amp;[20101231]"/>
            <x15:cachedUniqueName index="12" name="[Table2].[ReturnDate].&amp;[20110131]"/>
            <x15:cachedUniqueName index="13" name="[Table2].[ReturnDate].&amp;[20110228]"/>
            <x15:cachedUniqueName index="14" name="[Table2].[ReturnDate].&amp;[20110331]"/>
            <x15:cachedUniqueName index="15" name="[Table2].[ReturnDate].&amp;[20110430]"/>
            <x15:cachedUniqueName index="16" name="[Table2].[ReturnDate].&amp;[20110531]"/>
            <x15:cachedUniqueName index="17" name="[Table2].[ReturnDate].&amp;[20110630]"/>
            <x15:cachedUniqueName index="18" name="[Table2].[ReturnDate].&amp;[20110731]"/>
            <x15:cachedUniqueName index="19" name="[Table2].[ReturnDate].&amp;[20110831]"/>
            <x15:cachedUniqueName index="20" name="[Table2].[ReturnDate].&amp;[20110930]"/>
            <x15:cachedUniqueName index="21" name="[Table2].[ReturnDate].&amp;[20111031]"/>
            <x15:cachedUniqueName index="22" name="[Table2].[ReturnDate].&amp;[20111130]"/>
            <x15:cachedUniqueName index="23" name="[Table2].[ReturnDate].&amp;[20111231]"/>
            <x15:cachedUniqueName index="24" name="[Table2].[ReturnDate].&amp;[20120131]"/>
            <x15:cachedUniqueName index="25" name="[Table2].[ReturnDate].&amp;[20120229]"/>
            <x15:cachedUniqueName index="26" name="[Table2].[ReturnDate].&amp;[20120331]"/>
            <x15:cachedUniqueName index="27" name="[Table2].[ReturnDate].&amp;[20120430]"/>
            <x15:cachedUniqueName index="28" name="[Table2].[ReturnDate].&amp;[20120531]"/>
            <x15:cachedUniqueName index="29" name="[Table2].[ReturnDate].&amp;[20120630]"/>
            <x15:cachedUniqueName index="30" name="[Table2].[ReturnDate].&amp;[20120731]"/>
            <x15:cachedUniqueName index="31" name="[Table2].[ReturnDate].&amp;[20120831]"/>
            <x15:cachedUniqueName index="32" name="[Table2].[ReturnDate].&amp;[20120930]"/>
            <x15:cachedUniqueName index="33" name="[Table2].[ReturnDate].&amp;[20121031]"/>
            <x15:cachedUniqueName index="34" name="[Table2].[ReturnDate].&amp;[20121130]"/>
            <x15:cachedUniqueName index="35" name="[Table2].[ReturnDate].&amp;[20121231]"/>
            <x15:cachedUniqueName index="36" name="[Table2].[ReturnDate].&amp;[20130131]"/>
            <x15:cachedUniqueName index="37" name="[Table2].[ReturnDate].&amp;[20130228]"/>
            <x15:cachedUniqueName index="38" name="[Table2].[ReturnDate].&amp;[20130331]"/>
            <x15:cachedUniqueName index="39" name="[Table2].[ReturnDate].&amp;[20130430]"/>
            <x15:cachedUniqueName index="40" name="[Table2].[ReturnDate].&amp;[20130531]"/>
            <x15:cachedUniqueName index="41" name="[Table2].[ReturnDate].&amp;[20130630]"/>
            <x15:cachedUniqueName index="42" name="[Table2].[ReturnDate].&amp;[20130731]"/>
            <x15:cachedUniqueName index="43" name="[Table2].[ReturnDate].&amp;[20130831]"/>
            <x15:cachedUniqueName index="44" name="[Table2].[ReturnDate].&amp;[20130930]"/>
            <x15:cachedUniqueName index="45" name="[Table2].[ReturnDate].&amp;[20131031]"/>
            <x15:cachedUniqueName index="46" name="[Table2].[ReturnDate].&amp;[20131130]"/>
            <x15:cachedUniqueName index="47" name="[Table2].[ReturnDate].&amp;[20131231]"/>
            <x15:cachedUniqueName index="48" name="[Table2].[ReturnDate].&amp;[20140131]"/>
            <x15:cachedUniqueName index="49" name="[Table2].[ReturnDate].&amp;[20140228]"/>
            <x15:cachedUniqueName index="50" name="[Table2].[ReturnDate].&amp;[20140331]"/>
            <x15:cachedUniqueName index="51" name="[Table2].[ReturnDate].&amp;[20140430]"/>
            <x15:cachedUniqueName index="52" name="[Table2].[ReturnDate].&amp;[20140531]"/>
            <x15:cachedUniqueName index="53" name="[Table2].[ReturnDate].&amp;[20140630]"/>
            <x15:cachedUniqueName index="54" name="[Table2].[ReturnDate].&amp;[20140731]"/>
            <x15:cachedUniqueName index="55" name="[Table2].[ReturnDate].&amp;[20140831]"/>
            <x15:cachedUniqueName index="56" name="[Table2].[ReturnDate].&amp;[20140930]"/>
            <x15:cachedUniqueName index="57" name="[Table2].[ReturnDate].&amp;[20141031]"/>
            <x15:cachedUniqueName index="58" name="[Table2].[ReturnDate].&amp;[20141130]"/>
            <x15:cachedUniqueName index="59" name="[Table2].[ReturnDate].&amp;[20141231]"/>
            <x15:cachedUniqueName index="60" name="[Table2].[ReturnDate].&amp;[20150131]"/>
            <x15:cachedUniqueName index="61" name="[Table2].[ReturnDate].&amp;[20150228]"/>
            <x15:cachedUniqueName index="62" name="[Table2].[ReturnDate].&amp;[20150331]"/>
            <x15:cachedUniqueName index="63" name="[Table2].[ReturnDate].&amp;[20150430]"/>
            <x15:cachedUniqueName index="64" name="[Table2].[ReturnDate].&amp;[20150531]"/>
            <x15:cachedUniqueName index="65" name="[Table2].[ReturnDate].&amp;[20150630]"/>
            <x15:cachedUniqueName index="66" name="[Table2].[ReturnDate].&amp;[20150731]"/>
            <x15:cachedUniqueName index="67" name="[Table2].[ReturnDate].&amp;[20150831]"/>
            <x15:cachedUniqueName index="68" name="[Table2].[ReturnDate].&amp;[20150930]"/>
            <x15:cachedUniqueName index="69" name="[Table2].[ReturnDate].&amp;[20151031]"/>
            <x15:cachedUniqueName index="70" name="[Table2].[ReturnDate].&amp;[20151130]"/>
            <x15:cachedUniqueName index="71" name="[Table2].[ReturnDate].&amp;[20151231]"/>
            <x15:cachedUniqueName index="72" name="[Table2].[ReturnDate].&amp;[20160131]"/>
            <x15:cachedUniqueName index="73" name="[Table2].[ReturnDate].&amp;[20160229]"/>
            <x15:cachedUniqueName index="74" name="[Table2].[ReturnDate].&amp;[20160331]"/>
            <x15:cachedUniqueName index="75" name="[Table2].[ReturnDate].&amp;[20160430]"/>
            <x15:cachedUniqueName index="76" name="[Table2].[ReturnDate].&amp;[20160531]"/>
            <x15:cachedUniqueName index="77" name="[Table2].[ReturnDate].&amp;[20160630]"/>
            <x15:cachedUniqueName index="78" name="[Table2].[ReturnDate].&amp;[20160731]"/>
            <x15:cachedUniqueName index="79" name="[Table2].[ReturnDate].&amp;[20160831]"/>
            <x15:cachedUniqueName index="80" name="[Table2].[ReturnDate].&amp;[20160930]"/>
            <x15:cachedUniqueName index="81" name="[Table2].[ReturnDate].&amp;[20161031]"/>
            <x15:cachedUniqueName index="82" name="[Table2].[ReturnDate].&amp;[20161130]"/>
            <x15:cachedUniqueName index="83" name="[Table2].[ReturnDate].&amp;[20161231]"/>
            <x15:cachedUniqueName index="84" name="[Table2].[ReturnDate].&amp;[20170131]"/>
            <x15:cachedUniqueName index="85" name="[Table2].[ReturnDate].&amp;[20170228]"/>
            <x15:cachedUniqueName index="86" name="[Table2].[ReturnDate].&amp;[20170331]"/>
            <x15:cachedUniqueName index="87" name="[Table2].[ReturnDate].&amp;[20170430]"/>
            <x15:cachedUniqueName index="88" name="[Table2].[ReturnDate].&amp;[20170531]"/>
            <x15:cachedUniqueName index="89" name="[Table2].[ReturnDate].&amp;[20170630]"/>
            <x15:cachedUniqueName index="90" name="[Table2].[ReturnDate].&amp;[20170731]"/>
            <x15:cachedUniqueName index="91" name="[Table2].[ReturnDate].&amp;[20170831]"/>
            <x15:cachedUniqueName index="92" name="[Table2].[ReturnDate].&amp;[20170930]"/>
            <x15:cachedUniqueName index="93" name="[Table2].[ReturnDate].&amp;[20171031]"/>
            <x15:cachedUniqueName index="94" name="[Table2].[ReturnDate].&amp;[20171130]"/>
            <x15:cachedUniqueName index="95" name="[Table2].[ReturnDate].&amp;[20171231]"/>
            <x15:cachedUniqueName index="96" name="[Table2].[ReturnDate].&amp;[20180131]"/>
            <x15:cachedUniqueName index="97" name="[Table2].[ReturnDate].&amp;[20180228]"/>
            <x15:cachedUniqueName index="98" name="[Table2].[ReturnDate].&amp;[20180331]"/>
            <x15:cachedUniqueName index="99" name="[Table2].[ReturnDate].&amp;[20180430]"/>
            <x15:cachedUniqueName index="100" name="[Table2].[ReturnDate].&amp;[20180531]"/>
            <x15:cachedUniqueName index="101" name="[Table2].[ReturnDate].&amp;[20180630]"/>
            <x15:cachedUniqueName index="102" name="[Table2].[ReturnDate].&amp;[20180731]"/>
            <x15:cachedUniqueName index="103" name="[Table2].[ReturnDate].&amp;[20180831]"/>
            <x15:cachedUniqueName index="104" name="[Table2].[ReturnDate].&amp;[20180930]"/>
            <x15:cachedUniqueName index="105" name="[Table2].[ReturnDate].&amp;[20181031]"/>
            <x15:cachedUniqueName index="106" name="[Table2].[ReturnDate].&amp;[20181130]"/>
            <x15:cachedUniqueName index="107" name="[Table2].[ReturnDate].&amp;[20181231]"/>
            <x15:cachedUniqueName index="108" name="[Table2].[ReturnDate].&amp;[20190131]"/>
            <x15:cachedUniqueName index="109" name="[Table2].[ReturnDate].&amp;[20190228]"/>
            <x15:cachedUniqueName index="110" name="[Table2].[ReturnDate].&amp;[20190331]"/>
            <x15:cachedUniqueName index="111" name="[Table2].[ReturnDate].&amp;[20190430]"/>
            <x15:cachedUniqueName index="112" name="[Table2].[ReturnDate].&amp;[20190531]"/>
            <x15:cachedUniqueName index="113" name="[Table2].[ReturnDate].&amp;[20190630]"/>
            <x15:cachedUniqueName index="114" name="[Table2].[ReturnDate].&amp;[20190731]"/>
            <x15:cachedUniqueName index="115" name="[Table2].[ReturnDate].&amp;[20190831]"/>
            <x15:cachedUniqueName index="116" name="[Table2].[ReturnDate].&amp;[20190930]"/>
            <x15:cachedUniqueName index="117" name="[Table2].[ReturnDate].&amp;[20191031]"/>
            <x15:cachedUniqueName index="118" name="[Table2].[ReturnDate].&amp;[20191130]"/>
            <x15:cachedUniqueName index="119" name="[Table2].[ReturnDate].&amp;[20191231]"/>
            <x15:cachedUniqueName index="120" name="[Table2].[ReturnDate].&amp;[20200131]"/>
            <x15:cachedUniqueName index="121" name="[Table2].[ReturnDate].&amp;[20200229]"/>
            <x15:cachedUniqueName index="122" name="[Table2].[ReturnDate].&amp;[20200331]"/>
            <x15:cachedUniqueName index="123" name="[Table2].[ReturnDate].&amp;[20200430]"/>
            <x15:cachedUniqueName index="124" name="[Table2].[ReturnDate].&amp;[20200531]"/>
            <x15:cachedUniqueName index="125" name="[Table2].[ReturnDate].&amp;[20200630]"/>
            <x15:cachedUniqueName index="126" name="[Table2].[ReturnDate].&amp;[20200731]"/>
            <x15:cachedUniqueName index="127" name="[Table2].[ReturnDate].&amp;[20200831]"/>
            <x15:cachedUniqueName index="128" name="[Table2].[ReturnDate].&amp;[20200930]"/>
          </x15:cachedUniqueNames>
        </ext>
      </extLst>
    </cacheField>
    <cacheField name="[Measures].[Sum of StartNAV]" caption="Sum of StartNAV" numFmtId="0" hierarchy="57" level="32767"/>
    <cacheField name="[Measures].[Sum of EndNAV]" caption="Sum of EndNAV" numFmtId="0" hierarchy="58" level="32767"/>
    <cacheField name="[Measures].[Sum of PrincipalFunded]" caption="Sum of PrincipalFunded" numFmtId="0" hierarchy="65" level="32767"/>
    <cacheField name="[Table1].[LoanType].[LoanType]" caption="LoanType" numFmtId="0" hierarchy="14" level="1">
      <sharedItems containsSemiMixedTypes="0" containsNonDate="0" containsString="0"/>
    </cacheField>
  </cacheFields>
  <cacheHierarchies count="66">
    <cacheHierarchy uniqueName="[Table1].[G-L ID]" caption="G-L ID" attribute="1" defaultMemberUniqueName="[Table1].[G-L ID].[All]" allUniqueName="[Table1].[G-L ID].[All]" dimensionUniqueName="[Table1]" displayFolder="" count="0" memberValueDatatype="20" unbalanced="0"/>
    <cacheHierarchy uniqueName="[Table1].[ManagerCode]" caption="ManagerCode" attribute="1" defaultMemberUniqueName="[Table1].[ManagerCode].[All]" allUniqueName="[Table1].[ManagerCode].[All]" dimensionUniqueName="[Table1]" displayFolder="" count="0" memberValueDatatype="20" unbalanced="0"/>
    <cacheHierarchy uniqueName="[Table1].[VinYear]" caption="VinYear" attribute="1" defaultMemberUniqueName="[Table1].[VinYear].[All]" allUniqueName="[Table1].[VinYear].[All]" dimensionUniqueName="[Table1]" displayFolder="" count="0" memberValueDatatype="20" unbalanced="0"/>
    <cacheHierarchy uniqueName="[Table1].[Loan Type as reported]" caption="Loan Type as reported" attribute="1" defaultMemberUniqueName="[Table1].[Loan Type as reported].[All]" allUniqueName="[Table1].[Loan Type as reported].[All]" dimensionUniqueName="[Table1]" displayFolder="" count="0" memberValueDatatype="130" unbalanced="0"/>
    <cacheHierarchy uniqueName="[Table1].[Pmt Type]" caption="Pmt Type" attribute="1" defaultMemberUniqueName="[Table1].[Pmt Type].[All]" allUniqueName="[Table1].[Pmt Type].[All]" dimensionUniqueName="[Table1]" displayFolder="" count="2" memberValueDatatype="130" unbalanced="0">
      <fieldsUsage count="2">
        <fieldUsage x="-1"/>
        <fieldUsage x="5"/>
      </fieldsUsage>
    </cacheHierarchy>
    <cacheHierarchy uniqueName="[Table1].[LowerLTV1]" caption="LowerLTV1" attribute="1" defaultMemberUniqueName="[Table1].[LowerLTV1].[All]" allUniqueName="[Table1].[LowerLTV1].[All]" dimensionUniqueName="[Table1]" displayFolder="" count="0" memberValueDatatype="5" unbalanced="0"/>
    <cacheHierarchy uniqueName="[Table1].[UpperAttach]" caption="UpperAttach" attribute="1" defaultMemberUniqueName="[Table1].[UpperAttach].[All]" allUniqueName="[Table1].[UpperAttach].[All]" dimensionUniqueName="[Table1]" displayFolder="" count="0" memberValueDatatype="5" unbalanced="0"/>
    <cacheHierarchy uniqueName="[Table1].[CapStackFlag]" caption="CapStackFlag" attribute="1" defaultMemberUniqueName="[Table1].[CapStackFlag].[All]" allUniqueName="[Table1].[CapStackFlag].[All]" dimensionUniqueName="[Table1]" displayFolder="" count="0" memberValueDatatype="20" unbalanced="0"/>
    <cacheHierarchy uniqueName="[Table1].[Reported Principal]" caption="Reported Principal" attribute="1" defaultMemberUniqueName="[Table1].[Reported Principal].[All]" allUniqueName="[Table1].[Reported Principal].[All]" dimensionUniqueName="[Table1]" displayFolder="" count="0" memberValueDatatype="5" unbalanced="0"/>
    <cacheHierarchy uniqueName="[Table1].[PropType]" caption="PropType" attribute="1" defaultMemberUniqueName="[Table1].[PropType].[All]" allUniqueName="[Table1].[PropType].[All]" dimensionUniqueName="[Table1]" displayFolder="" count="0" memberValueDatatype="130" unbalanced="0"/>
    <cacheHierarchy uniqueName="[Table1].[Interest Rate]" caption="Interest Rate" attribute="1" defaultMemberUniqueName="[Table1].[Interest Rate].[All]" allUniqueName="[Table1].[Interest Rate].[All]" dimensionUniqueName="[Table1]" displayFolder="" count="0" memberValueDatatype="130" unbalanced="0"/>
    <cacheHierarchy uniqueName="[Table1].[AdvanceRate]" caption="AdvanceRate" attribute="1" defaultMemberUniqueName="[Table1].[AdvanceRate].[All]" allUniqueName="[Table1].[AdvanceRate].[All]" dimensionUniqueName="[Table1]" displayFolder="" count="0" memberValueDatatype="5" unbalanced="0"/>
    <cacheHierarchy uniqueName="[Table1].[SUB Flag]" caption="SUB Flag" attribute="1" defaultMemberUniqueName="[Table1].[SUB Flag].[All]" allUniqueName="[Table1].[SUB Flag].[All]" dimensionUniqueName="[Table1]" displayFolder="" count="0" memberValueDatatype="130" unbalanced="0"/>
    <cacheHierarchy uniqueName="[Table1].[SCHEMATIC TYPE]" caption="SCHEMATIC TYPE" attribute="1" defaultMemberUniqueName="[Table1].[SCHEMATIC TYPE].[All]" allUniqueName="[Table1].[SCHEMATIC TYPE].[All]" dimensionUniqueName="[Table1]" displayFolder="" count="2" memberValueDatatype="130" unbalanced="0">
      <fieldsUsage count="2">
        <fieldUsage x="-1"/>
        <fieldUsage x="6"/>
      </fieldsUsage>
    </cacheHierarchy>
    <cacheHierarchy uniqueName="[Table1].[LoanType]" caption="LoanType" attribute="1" defaultMemberUniqueName="[Table1].[LoanType].[All]" allUniqueName="[Table1].[LoanType].[All]" dimensionUniqueName="[Table1]" displayFolder="" count="2" memberValueDatatype="130" unbalanced="0">
      <fieldsUsage count="2">
        <fieldUsage x="-1"/>
        <fieldUsage x="18"/>
      </fieldsUsage>
    </cacheHierarchy>
    <cacheHierarchy uniqueName="[Table1].[CollateralValue]" caption="CollateralValue" attribute="1" defaultMemberUniqueName="[Table1].[CollateralValue].[All]" allUniqueName="[Table1].[CollateralValue].[All]" dimensionUniqueName="[Table1]" displayFolder="" count="0" memberValueDatatype="130" unbalanced="0"/>
    <cacheHierarchy uniqueName="[Table1].[Strategy]" caption="Strategy" attribute="1" defaultMemberUniqueName="[Table1].[Strategy].[All]" allUniqueName="[Table1].[Strategy].[All]" dimensionUniqueName="[Table1]" displayFolder="" count="0" memberValueDatatype="130" unbalanced="0"/>
    <cacheHierarchy uniqueName="[Table1].[Purpose]" caption="Purpose" attribute="1" defaultMemberUniqueName="[Table1].[Purpose].[All]" allUniqueName="[Table1].[Purpose].[All]" dimensionUniqueName="[Table1]" displayFolder="" count="0" memberValueDatatype="130" unbalanced="0"/>
    <cacheHierarchy uniqueName="[Table1].[G-L reclass strategy]" caption="G-L reclass strategy" attribute="1" defaultMemberUniqueName="[Table1].[G-L reclass strategy].[All]" allUniqueName="[Table1].[G-L reclass strategy].[All]" dimensionUniqueName="[Table1]" displayFolder="" count="0" memberValueDatatype="130" unbalanced="0"/>
    <cacheHierarchy uniqueName="[Table1].[G-L SubStrategy]" caption="G-L SubStrategy" attribute="1" defaultMemberUniqueName="[Table1].[G-L SubStrategy].[All]" allUniqueName="[Table1].[G-L SubStrategy].[All]" dimensionUniqueName="[Table1]" displayFolder="" count="2" memberValueDatatype="130" unbalanced="0">
      <fieldsUsage count="2">
        <fieldUsage x="-1"/>
        <fieldUsage x="9"/>
      </fieldsUsage>
    </cacheHierarchy>
    <cacheHierarchy uniqueName="[Table1].[LowerAttachLabel]" caption="LowerAttachLabel" attribute="1" defaultMemberUniqueName="[Table1].[LowerAttachLabel].[All]" allUniqueName="[Table1].[LowerAttachLabel].[All]" dimensionUniqueName="[Table1]" displayFolder="" count="2" memberValueDatatype="130" unbalanced="0">
      <fieldsUsage count="2">
        <fieldUsage x="-1"/>
        <fieldUsage x="7"/>
      </fieldsUsage>
    </cacheHierarchy>
    <cacheHierarchy uniqueName="[Table1].[UpperAttachLabel]" caption="UpperAttachLabel" attribute="1" defaultMemberUniqueName="[Table1].[UpperAttachLabel].[All]" allUniqueName="[Table1].[UpperAttachLabel].[All]" dimensionUniqueName="[Table1]" displayFolder="" count="2" memberValueDatatype="130" unbalanced="0">
      <fieldsUsage count="2">
        <fieldUsage x="-1"/>
        <fieldUsage x="8"/>
      </fieldsUsage>
    </cacheHierarchy>
    <cacheHierarchy uniqueName="[Table1].[Term]" caption="Term" attribute="1" defaultMemberUniqueName="[Table1].[Term].[All]" allUniqueName="[Table1].[Term].[All]" dimensionUniqueName="[Table1]" displayFolder="" count="0" memberValueDatatype="130" unbalanced="0"/>
    <cacheHierarchy uniqueName="[Table1].[LowerAttach]" caption="LowerAttach" attribute="1" defaultMemberUniqueName="[Table1].[LowerAttach].[All]" allUniqueName="[Table1].[LowerAttach].[All]" dimensionUniqueName="[Table1]" displayFolder="" count="0" memberValueDatatype="5" unbalanced="0"/>
    <cacheHierarchy uniqueName="[Table1].[Principal NAV]" caption="Principal NAV" attribute="1" defaultMemberUniqueName="[Table1].[Principal NAV].[All]" allUniqueName="[Table1].[Principal NAV].[All]" dimensionUniqueName="[Table1]" displayFolder="" count="0" memberValueDatatype="5" unbalanced="0"/>
    <cacheHierarchy uniqueName="[Table1].[Principal GAV]" caption="Principal GAV" attribute="1" defaultMemberUniqueName="[Table1].[Principal GAV].[All]" allUniqueName="[Table1].[Principal GAV].[All]" dimensionUniqueName="[Table1]" displayFolder="" count="0" memberValueDatatype="5" unbalanced="0"/>
    <cacheHierarchy uniqueName="[Table2].[ReturnDate]" caption="ReturnDate" attribute="1" defaultMemberUniqueName="[Table2].[ReturnDate].[All]" allUniqueName="[Table2].[ReturnDate].[All]" dimensionUniqueName="[Table2]" displayFolder="" count="2" memberValueDatatype="20" unbalanced="0">
      <fieldsUsage count="2">
        <fieldUsage x="-1"/>
        <fieldUsage x="14"/>
      </fieldsUsage>
    </cacheHierarchy>
    <cacheHierarchy uniqueName="[Table2].[Year]" caption="Year" attribute="1" defaultMemberUniqueName="[Table2].[Year].[All]" allUniqueName="[Table2].[Year].[All]" dimensionUniqueName="[Table2]" displayFolder="" count="0" memberValueDatatype="20" unbalanced="0"/>
    <cacheHierarchy uniqueName="[Table2].[Month]" caption="Month" attribute="1" defaultMemberUniqueName="[Table2].[Month].[All]" allUniqueName="[Table2].[Month].[All]" dimensionUniqueName="[Table2]" displayFolder="" count="0" memberValueDatatype="20" unbalanced="0"/>
    <cacheHierarchy uniqueName="[Table2].[NLoans]" caption="NLoans" attribute="1" defaultMemberUniqueName="[Table2].[NLoans].[All]" allUniqueName="[Table2].[NLoans].[All]" dimensionUniqueName="[Table2]" displayFolder="" count="0" memberValueDatatype="20" unbalanced="0"/>
    <cacheHierarchy uniqueName="[Table2].[LoanID]" caption="LoanID" attribute="1" defaultMemberUniqueName="[Table2].[LoanID].[All]" allUniqueName="[Table2].[LoanID].[All]" dimensionUniqueName="[Table2]" displayFolder="" count="0" memberValueDatatype="20" unbalanced="0"/>
    <cacheHierarchy uniqueName="[Table2].[CashInterest]" caption="CashInterest" attribute="1" defaultMemberUniqueName="[Table2].[CashInterest].[All]" allUniqueName="[Table2].[CashInterest].[All]" dimensionUniqueName="[Table2]" displayFolder="" count="0" memberValueDatatype="5" unbalanced="0"/>
    <cacheHierarchy uniqueName="[Table2].[AccrInterest]" caption="AccrInterest" attribute="1" defaultMemberUniqueName="[Table2].[AccrInterest].[All]" allUniqueName="[Table2].[AccrInterest].[All]" dimensionUniqueName="[Table2]" displayFolder="" count="0" memberValueDatatype="5" unbalanced="0"/>
    <cacheHierarchy uniqueName="[Table2].[OtherIncome]" caption="OtherIncome" attribute="1" defaultMemberUniqueName="[Table2].[OtherIncome].[All]" allUniqueName="[Table2].[OtherIncome].[All]" dimensionUniqueName="[Table2]" displayFolder="" count="0" memberValueDatatype="5" unbalanced="0"/>
    <cacheHierarchy uniqueName="[Table2].[Expenses]" caption="Expenses" attribute="1" defaultMemberUniqueName="[Table2].[Expenses].[All]" allUniqueName="[Table2].[Expenses].[All]" dimensionUniqueName="[Table2]" displayFolder="" count="0" memberValueDatatype="5" unbalanced="0"/>
    <cacheHierarchy uniqueName="[Table2].[PrincipalFunded]" caption="PrincipalFunded" attribute="1" defaultMemberUniqueName="[Table2].[PrincipalFunded].[All]" allUniqueName="[Table2].[PrincipalFunded].[All]" dimensionUniqueName="[Table2]" displayFolder="" count="0" memberValueDatatype="5" unbalanced="0"/>
    <cacheHierarchy uniqueName="[Table2].[PrincipalRepaid]" caption="PrincipalRepaid" attribute="1" defaultMemberUniqueName="[Table2].[PrincipalRepaid].[All]" allUniqueName="[Table2].[PrincipalRepaid].[All]" dimensionUniqueName="[Table2]" displayFolder="" count="0" memberValueDatatype="5" unbalanced="0"/>
    <cacheHierarchy uniqueName="[Table2].[StartValue]" caption="StartValue" attribute="1" defaultMemberUniqueName="[Table2].[StartValue].[All]" allUniqueName="[Table2].[StartValue].[All]" dimensionUniqueName="[Table2]" displayFolder="" count="0" memberValueDatatype="5" unbalanced="0"/>
    <cacheHierarchy uniqueName="[Table2].[EndValue]" caption="EndValue" attribute="1" defaultMemberUniqueName="[Table2].[EndValue].[All]" allUniqueName="[Table2].[EndValue].[All]" dimensionUniqueName="[Table2]" displayFolder="" count="0" memberValueDatatype="5" unbalanced="0"/>
    <cacheHierarchy uniqueName="[Table2].[StartNAV]" caption="StartNAV" attribute="1" defaultMemberUniqueName="[Table2].[StartNAV].[All]" allUniqueName="[Table2].[StartNAV].[All]" dimensionUniqueName="[Table2]" displayFolder="" count="0" memberValueDatatype="5" unbalanced="0"/>
    <cacheHierarchy uniqueName="[Table2].[EndNAV]" caption="EndNAV" attribute="1" defaultMemberUniqueName="[Table2].[EndNAV].[All]" allUniqueName="[Table2].[EndNAV].[All]" dimensionUniqueName="[Table2]" displayFolder="" count="0" memberValueDatatype="5" unbalanced="0"/>
    <cacheHierarchy uniqueName="[Table2].[StartPrincipal]" caption="StartPrincipal" attribute="1" defaultMemberUniqueName="[Table2].[StartPrincipal].[All]" allUniqueName="[Table2].[StartPrincipal].[All]" dimensionUniqueName="[Table2]" displayFolder="" count="0" memberValueDatatype="5" unbalanced="0"/>
    <cacheHierarchy uniqueName="[Table2].[EndPrincipal]" caption="EndPrincipal" attribute="1" defaultMemberUniqueName="[Table2].[EndPrincipal].[All]" allUniqueName="[Table2].[EndPrincipal].[All]" dimensionUniqueName="[Table2]" displayFolder="" count="0" memberValueDatatype="5" unbalanced="0"/>
    <cacheHierarchy uniqueName="[Table2].[ManagerCode]" caption="ManagerCode" attribute="1" defaultMemberUniqueName="[Table2].[ManagerCode].[All]" allUniqueName="[Table2].[ManagerCode].[All]" dimensionUniqueName="[Table2]" displayFolder="" count="0" memberValueDatatype="20" unbalanced="0"/>
    <cacheHierarchy uniqueName="[Measures].[__XL_Count Table1]" caption="__XL_Count Table1" measure="1" displayFolder="" measureGroup="Table1" count="0" hidden="1"/>
    <cacheHierarchy uniqueName="[Measures].[__XL_Count Table2]" caption="__XL_Count Table2" measure="1" displayFolder="" measureGroup="Table2" count="0" hidden="1"/>
    <cacheHierarchy uniqueName="[Measures].[__No measures defined]" caption="__No measures defined" measure="1" displayFolder="" count="0" hidden="1"/>
    <cacheHierarchy uniqueName="[Measures].[Sum of ReturnDate]" caption="Sum of ReturnDate" measure="1" displayFolder="" measureGroup="Table2" count="0" hidden="1">
      <extLst>
        <ext xmlns:x15="http://schemas.microsoft.com/office/spreadsheetml/2010/11/main" uri="{B97F6D7D-B522-45F9-BDA1-12C45D357490}">
          <x15:cacheHierarchy aggregatedColumn="26"/>
        </ext>
      </extLst>
    </cacheHierarchy>
    <cacheHierarchy uniqueName="[Measures].[Sum of CashInterest]" caption="Sum of CashInterest" measure="1" displayFolder="" measureGroup="Table2" count="0" oneField="1" hidden="1">
      <fieldsUsage count="1">
        <fieldUsage x="0"/>
      </fieldsUsage>
      <extLst>
        <ext xmlns:x15="http://schemas.microsoft.com/office/spreadsheetml/2010/11/main" uri="{B97F6D7D-B522-45F9-BDA1-12C45D357490}">
          <x15:cacheHierarchy aggregatedColumn="31"/>
        </ext>
      </extLst>
    </cacheHierarchy>
    <cacheHierarchy uniqueName="[Measures].[Sum of AccrInterest]" caption="Sum of AccrInterest" measure="1" displayFolder="" measureGroup="Table2" count="0" oneField="1" hidden="1">
      <fieldsUsage count="1">
        <fieldUsage x="1"/>
      </fieldsUsage>
      <extLst>
        <ext xmlns:x15="http://schemas.microsoft.com/office/spreadsheetml/2010/11/main" uri="{B97F6D7D-B522-45F9-BDA1-12C45D357490}">
          <x15:cacheHierarchy aggregatedColumn="32"/>
        </ext>
      </extLst>
    </cacheHierarchy>
    <cacheHierarchy uniqueName="[Measures].[Sum of OtherIncome]" caption="Sum of OtherIncome" measure="1" displayFolder="" measureGroup="Table2" count="0" oneField="1" hidden="1">
      <fieldsUsage count="1">
        <fieldUsage x="2"/>
      </fieldsUsage>
      <extLst>
        <ext xmlns:x15="http://schemas.microsoft.com/office/spreadsheetml/2010/11/main" uri="{B97F6D7D-B522-45F9-BDA1-12C45D357490}">
          <x15:cacheHierarchy aggregatedColumn="33"/>
        </ext>
      </extLst>
    </cacheHierarchy>
    <cacheHierarchy uniqueName="[Measures].[Sum of Expenses]" caption="Sum of Expenses" measure="1" displayFolder="" measureGroup="Table2" count="0" oneField="1" hidden="1">
      <fieldsUsage count="1">
        <fieldUsage x="3"/>
      </fieldsUsage>
      <extLst>
        <ext xmlns:x15="http://schemas.microsoft.com/office/spreadsheetml/2010/11/main" uri="{B97F6D7D-B522-45F9-BDA1-12C45D357490}">
          <x15:cacheHierarchy aggregatedColumn="34"/>
        </ext>
      </extLst>
    </cacheHierarchy>
    <cacheHierarchy uniqueName="[Measures].[Sum of PrincipalRepaid]" caption="Sum of PrincipalRepaid" measure="1" displayFolder="" measureGroup="Table2" count="0" oneField="1" hidden="1">
      <fieldsUsage count="1">
        <fieldUsage x="4"/>
      </fieldsUsage>
      <extLst>
        <ext xmlns:x15="http://schemas.microsoft.com/office/spreadsheetml/2010/11/main" uri="{B97F6D7D-B522-45F9-BDA1-12C45D357490}">
          <x15:cacheHierarchy aggregatedColumn="36"/>
        </ext>
      </extLst>
    </cacheHierarchy>
    <cacheHierarchy uniqueName="[Measures].[Sum of StartValue]" caption="Sum of StartValue" measure="1" displayFolder="" measureGroup="Table2" count="0" oneField="1" hidden="1">
      <fieldsUsage count="1">
        <fieldUsage x="10"/>
      </fieldsUsage>
      <extLst>
        <ext xmlns:x15="http://schemas.microsoft.com/office/spreadsheetml/2010/11/main" uri="{B97F6D7D-B522-45F9-BDA1-12C45D357490}">
          <x15:cacheHierarchy aggregatedColumn="37"/>
        </ext>
      </extLst>
    </cacheHierarchy>
    <cacheHierarchy uniqueName="[Measures].[Sum of EndValue]" caption="Sum of EndValue" measure="1" displayFolder="" measureGroup="Table2" count="0" oneField="1" hidden="1">
      <fieldsUsage count="1">
        <fieldUsage x="11"/>
      </fieldsUsage>
      <extLst>
        <ext xmlns:x15="http://schemas.microsoft.com/office/spreadsheetml/2010/11/main" uri="{B97F6D7D-B522-45F9-BDA1-12C45D357490}">
          <x15:cacheHierarchy aggregatedColumn="38"/>
        </ext>
      </extLst>
    </cacheHierarchy>
    <cacheHierarchy uniqueName="[Measures].[Sum of StartPrincipal]" caption="Sum of StartPrincipal" measure="1" displayFolder="" measureGroup="Table2" count="0" oneField="1" hidden="1">
      <fieldsUsage count="1">
        <fieldUsage x="12"/>
      </fieldsUsage>
      <extLst>
        <ext xmlns:x15="http://schemas.microsoft.com/office/spreadsheetml/2010/11/main" uri="{B97F6D7D-B522-45F9-BDA1-12C45D357490}">
          <x15:cacheHierarchy aggregatedColumn="41"/>
        </ext>
      </extLst>
    </cacheHierarchy>
    <cacheHierarchy uniqueName="[Measures].[Sum of EndPrincipal]" caption="Sum of EndPrincipal" measure="1" displayFolder="" measureGroup="Table2" count="0" oneField="1" hidden="1">
      <fieldsUsage count="1">
        <fieldUsage x="13"/>
      </fieldsUsage>
      <extLst>
        <ext xmlns:x15="http://schemas.microsoft.com/office/spreadsheetml/2010/11/main" uri="{B97F6D7D-B522-45F9-BDA1-12C45D357490}">
          <x15:cacheHierarchy aggregatedColumn="42"/>
        </ext>
      </extLst>
    </cacheHierarchy>
    <cacheHierarchy uniqueName="[Measures].[Sum of StartNAV]" caption="Sum of StartNAV" measure="1" displayFolder="" measureGroup="Table2" count="0" oneField="1" hidden="1">
      <fieldsUsage count="1">
        <fieldUsage x="15"/>
      </fieldsUsage>
      <extLst>
        <ext xmlns:x15="http://schemas.microsoft.com/office/spreadsheetml/2010/11/main" uri="{B97F6D7D-B522-45F9-BDA1-12C45D357490}">
          <x15:cacheHierarchy aggregatedColumn="39"/>
        </ext>
      </extLst>
    </cacheHierarchy>
    <cacheHierarchy uniqueName="[Measures].[Sum of EndNAV]" caption="Sum of EndNAV" measure="1" displayFolder="" measureGroup="Table2" count="0" oneField="1" hidden="1">
      <fieldsUsage count="1">
        <fieldUsage x="16"/>
      </fieldsUsage>
      <extLst>
        <ext xmlns:x15="http://schemas.microsoft.com/office/spreadsheetml/2010/11/main" uri="{B97F6D7D-B522-45F9-BDA1-12C45D357490}">
          <x15:cacheHierarchy aggregatedColumn="40"/>
        </ext>
      </extLst>
    </cacheHierarchy>
    <cacheHierarchy uniqueName="[Measures].[Sum of LoanID]" caption="Sum of LoanID" measure="1" displayFolder="" measureGroup="Table2" count="0" hidden="1">
      <extLst>
        <ext xmlns:x15="http://schemas.microsoft.com/office/spreadsheetml/2010/11/main" uri="{B97F6D7D-B522-45F9-BDA1-12C45D357490}">
          <x15:cacheHierarchy aggregatedColumn="30"/>
        </ext>
      </extLst>
    </cacheHierarchy>
    <cacheHierarchy uniqueName="[Measures].[Distinct Count of LoanID]" caption="Distinct Count of LoanID" measure="1" displayFolder="" measureGroup="Table2" count="0" hidden="1">
      <extLst>
        <ext xmlns:x15="http://schemas.microsoft.com/office/spreadsheetml/2010/11/main" uri="{B97F6D7D-B522-45F9-BDA1-12C45D357490}">
          <x15:cacheHierarchy aggregatedColumn="30"/>
        </ext>
      </extLst>
    </cacheHierarchy>
    <cacheHierarchy uniqueName="[Measures].[Sum of ManagerCode]" caption="Sum of ManagerCode" measure="1" displayFolder="" measureGroup="Table1" count="0" hidden="1">
      <extLst>
        <ext xmlns:x15="http://schemas.microsoft.com/office/spreadsheetml/2010/11/main" uri="{B97F6D7D-B522-45F9-BDA1-12C45D357490}">
          <x15:cacheHierarchy aggregatedColumn="1"/>
        </ext>
      </extLst>
    </cacheHierarchy>
    <cacheHierarchy uniqueName="[Measures].[Distinct Count of ManagerCode]" caption="Distinct Count of ManagerCode" measure="1" displayFolder="" measureGroup="Table1" count="0" hidden="1">
      <extLst>
        <ext xmlns:x15="http://schemas.microsoft.com/office/spreadsheetml/2010/11/main" uri="{B97F6D7D-B522-45F9-BDA1-12C45D357490}">
          <x15:cacheHierarchy aggregatedColumn="1"/>
        </ext>
      </extLst>
    </cacheHierarchy>
    <cacheHierarchy uniqueName="[Measures].[Sum of ManagerCode 2]" caption="Sum of ManagerCode 2" measure="1" displayFolder="" measureGroup="Table2" count="0" hidden="1">
      <extLst>
        <ext xmlns:x15="http://schemas.microsoft.com/office/spreadsheetml/2010/11/main" uri="{B97F6D7D-B522-45F9-BDA1-12C45D357490}">
          <x15:cacheHierarchy aggregatedColumn="43"/>
        </ext>
      </extLst>
    </cacheHierarchy>
    <cacheHierarchy uniqueName="[Measures].[Distinct Count of ManagerCode 2]" caption="Distinct Count of ManagerCode 2" measure="1" displayFolder="" measureGroup="Table2" count="0" hidden="1">
      <extLst>
        <ext xmlns:x15="http://schemas.microsoft.com/office/spreadsheetml/2010/11/main" uri="{B97F6D7D-B522-45F9-BDA1-12C45D357490}">
          <x15:cacheHierarchy aggregatedColumn="43"/>
        </ext>
      </extLst>
    </cacheHierarchy>
    <cacheHierarchy uniqueName="[Measures].[Sum of PrincipalFunded]" caption="Sum of PrincipalFunded" measure="1" displayFolder="" measureGroup="Table2" count="0" oneField="1" hidden="1">
      <fieldsUsage count="1">
        <fieldUsage x="17"/>
      </fieldsUsage>
      <extLst>
        <ext xmlns:x15="http://schemas.microsoft.com/office/spreadsheetml/2010/11/main" uri="{B97F6D7D-B522-45F9-BDA1-12C45D357490}">
          <x15:cacheHierarchy aggregatedColumn="35"/>
        </ext>
      </extLst>
    </cacheHierarchy>
  </cacheHierarchies>
  <kpis count="0"/>
  <dimensions count="3">
    <dimension measure="1" name="Measures" uniqueName="[Measures]" caption="Measures"/>
    <dimension name="Table1" uniqueName="[Table1]" caption="Table1"/>
    <dimension name="Table2" uniqueName="[Table2]" caption="Table2"/>
  </dimensions>
  <measureGroups count="2">
    <measureGroup name="Table1" caption="Table1"/>
    <measureGroup name="Table2" caption="Table2"/>
  </measureGroups>
  <maps count="3">
    <map measureGroup="0" dimension="1"/>
    <map measureGroup="1"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chael Giliberto" refreshedDate="44175.415374537035" createdVersion="5" refreshedVersion="6" minRefreshableVersion="3" recordCount="0" supportSubquery="1" supportAdvancedDrill="1" xr:uid="{B6ECD5E8-7D2A-4E24-B882-3C2613D3FF86}">
  <cacheSource type="external" connectionId="1"/>
  <cacheFields count="4">
    <cacheField name="[Table2].[ReturnDate].[ReturnDate]" caption="ReturnDate" numFmtId="0" hierarchy="26" level="1">
      <sharedItems containsString="0" containsBlank="1" containsNumber="1" containsInteger="1" minValue="20100131" maxValue="20200930" count="130">
        <m/>
        <n v="20100131"/>
        <n v="20100228"/>
        <n v="20100331"/>
        <n v="20100430"/>
        <n v="20100531"/>
        <n v="20100630"/>
        <n v="20100731"/>
        <n v="20100831"/>
        <n v="20100930"/>
        <n v="20101031"/>
        <n v="20101130"/>
        <n v="20101231"/>
        <n v="20110131"/>
        <n v="20110228"/>
        <n v="20110331"/>
        <n v="20110430"/>
        <n v="20110531"/>
        <n v="20110630"/>
        <n v="20110731"/>
        <n v="20110831"/>
        <n v="20110930"/>
        <n v="20111031"/>
        <n v="20111130"/>
        <n v="20111231"/>
        <n v="20120131"/>
        <n v="20120229"/>
        <n v="20120331"/>
        <n v="20120430"/>
        <n v="20120531"/>
        <n v="20120630"/>
        <n v="20120731"/>
        <n v="20120831"/>
        <n v="20120930"/>
        <n v="20121031"/>
        <n v="20121130"/>
        <n v="20121231"/>
        <n v="20130131"/>
        <n v="20130228"/>
        <n v="20130331"/>
        <n v="20130430"/>
        <n v="20130531"/>
        <n v="20130630"/>
        <n v="20130731"/>
        <n v="20130831"/>
        <n v="20130930"/>
        <n v="20131031"/>
        <n v="20131130"/>
        <n v="20131231"/>
        <n v="20140131"/>
        <n v="20140228"/>
        <n v="20140331"/>
        <n v="20140430"/>
        <n v="20140531"/>
        <n v="20140630"/>
        <n v="20140731"/>
        <n v="20140831"/>
        <n v="20140930"/>
        <n v="20141031"/>
        <n v="20141130"/>
        <n v="20141231"/>
        <n v="20150131"/>
        <n v="20150228"/>
        <n v="20150331"/>
        <n v="20150430"/>
        <n v="20150531"/>
        <n v="20150630"/>
        <n v="20150731"/>
        <n v="20150831"/>
        <n v="20150930"/>
        <n v="20151031"/>
        <n v="20151130"/>
        <n v="20151231"/>
        <n v="20160131"/>
        <n v="20160229"/>
        <n v="20160331"/>
        <n v="20160430"/>
        <n v="20160531"/>
        <n v="20160630"/>
        <n v="20160731"/>
        <n v="20160831"/>
        <n v="20160930"/>
        <n v="20161031"/>
        <n v="20161130"/>
        <n v="20161231"/>
        <n v="20170131"/>
        <n v="20170228"/>
        <n v="20170331"/>
        <n v="20170430"/>
        <n v="20170531"/>
        <n v="20170630"/>
        <n v="20170731"/>
        <n v="20170831"/>
        <n v="20170930"/>
        <n v="20171031"/>
        <n v="20171130"/>
        <n v="20171231"/>
        <n v="20180131"/>
        <n v="20180228"/>
        <n v="20180331"/>
        <n v="20180430"/>
        <n v="20180531"/>
        <n v="20180630"/>
        <n v="20180731"/>
        <n v="20180831"/>
        <n v="20180930"/>
        <n v="20181031"/>
        <n v="20181130"/>
        <n v="20181231"/>
        <n v="20190131"/>
        <n v="20190228"/>
        <n v="20190331"/>
        <n v="20190430"/>
        <n v="20190531"/>
        <n v="20190630"/>
        <n v="20190731"/>
        <n v="20190831"/>
        <n v="20190930"/>
        <n v="20191031"/>
        <n v="20191130"/>
        <n v="20191231"/>
        <n v="20200131"/>
        <n v="20200229"/>
        <n v="20200331"/>
        <n v="20200430"/>
        <n v="20200531"/>
        <n v="20200630"/>
        <n v="20200731"/>
        <n v="20200831"/>
        <n v="20200930"/>
      </sharedItems>
      <extLst>
        <ext xmlns:x15="http://schemas.microsoft.com/office/spreadsheetml/2010/11/main" uri="{4F2E5C28-24EA-4eb8-9CBF-B6C8F9C3D259}">
          <x15:cachedUniqueNames>
            <x15:cachedUniqueName index="1" name="[Table2].[ReturnDate].&amp;[20100131]"/>
            <x15:cachedUniqueName index="2" name="[Table2].[ReturnDate].&amp;[20100228]"/>
            <x15:cachedUniqueName index="3" name="[Table2].[ReturnDate].&amp;[20100331]"/>
            <x15:cachedUniqueName index="4" name="[Table2].[ReturnDate].&amp;[20100430]"/>
            <x15:cachedUniqueName index="5" name="[Table2].[ReturnDate].&amp;[20100531]"/>
            <x15:cachedUniqueName index="6" name="[Table2].[ReturnDate].&amp;[20100630]"/>
            <x15:cachedUniqueName index="7" name="[Table2].[ReturnDate].&amp;[20100731]"/>
            <x15:cachedUniqueName index="8" name="[Table2].[ReturnDate].&amp;[20100831]"/>
            <x15:cachedUniqueName index="9" name="[Table2].[ReturnDate].&amp;[20100930]"/>
            <x15:cachedUniqueName index="10" name="[Table2].[ReturnDate].&amp;[20101031]"/>
            <x15:cachedUniqueName index="11" name="[Table2].[ReturnDate].&amp;[20101130]"/>
            <x15:cachedUniqueName index="12" name="[Table2].[ReturnDate].&amp;[20101231]"/>
            <x15:cachedUniqueName index="13" name="[Table2].[ReturnDate].&amp;[20110131]"/>
            <x15:cachedUniqueName index="14" name="[Table2].[ReturnDate].&amp;[20110228]"/>
            <x15:cachedUniqueName index="15" name="[Table2].[ReturnDate].&amp;[20110331]"/>
            <x15:cachedUniqueName index="16" name="[Table2].[ReturnDate].&amp;[20110430]"/>
            <x15:cachedUniqueName index="17" name="[Table2].[ReturnDate].&amp;[20110531]"/>
            <x15:cachedUniqueName index="18" name="[Table2].[ReturnDate].&amp;[20110630]"/>
            <x15:cachedUniqueName index="19" name="[Table2].[ReturnDate].&amp;[20110731]"/>
            <x15:cachedUniqueName index="20" name="[Table2].[ReturnDate].&amp;[20110831]"/>
            <x15:cachedUniqueName index="21" name="[Table2].[ReturnDate].&amp;[20110930]"/>
            <x15:cachedUniqueName index="22" name="[Table2].[ReturnDate].&amp;[20111031]"/>
            <x15:cachedUniqueName index="23" name="[Table2].[ReturnDate].&amp;[20111130]"/>
            <x15:cachedUniqueName index="24" name="[Table2].[ReturnDate].&amp;[20111231]"/>
            <x15:cachedUniqueName index="25" name="[Table2].[ReturnDate].&amp;[20120131]"/>
            <x15:cachedUniqueName index="26" name="[Table2].[ReturnDate].&amp;[20120229]"/>
            <x15:cachedUniqueName index="27" name="[Table2].[ReturnDate].&amp;[20120331]"/>
            <x15:cachedUniqueName index="28" name="[Table2].[ReturnDate].&amp;[20120430]"/>
            <x15:cachedUniqueName index="29" name="[Table2].[ReturnDate].&amp;[20120531]"/>
            <x15:cachedUniqueName index="30" name="[Table2].[ReturnDate].&amp;[20120630]"/>
            <x15:cachedUniqueName index="31" name="[Table2].[ReturnDate].&amp;[20120731]"/>
            <x15:cachedUniqueName index="32" name="[Table2].[ReturnDate].&amp;[20120831]"/>
            <x15:cachedUniqueName index="33" name="[Table2].[ReturnDate].&amp;[20120930]"/>
            <x15:cachedUniqueName index="34" name="[Table2].[ReturnDate].&amp;[20121031]"/>
            <x15:cachedUniqueName index="35" name="[Table2].[ReturnDate].&amp;[20121130]"/>
            <x15:cachedUniqueName index="36" name="[Table2].[ReturnDate].&amp;[20121231]"/>
            <x15:cachedUniqueName index="37" name="[Table2].[ReturnDate].&amp;[20130131]"/>
            <x15:cachedUniqueName index="38" name="[Table2].[ReturnDate].&amp;[20130228]"/>
            <x15:cachedUniqueName index="39" name="[Table2].[ReturnDate].&amp;[20130331]"/>
            <x15:cachedUniqueName index="40" name="[Table2].[ReturnDate].&amp;[20130430]"/>
            <x15:cachedUniqueName index="41" name="[Table2].[ReturnDate].&amp;[20130531]"/>
            <x15:cachedUniqueName index="42" name="[Table2].[ReturnDate].&amp;[20130630]"/>
            <x15:cachedUniqueName index="43" name="[Table2].[ReturnDate].&amp;[20130731]"/>
            <x15:cachedUniqueName index="44" name="[Table2].[ReturnDate].&amp;[20130831]"/>
            <x15:cachedUniqueName index="45" name="[Table2].[ReturnDate].&amp;[20130930]"/>
            <x15:cachedUniqueName index="46" name="[Table2].[ReturnDate].&amp;[20131031]"/>
            <x15:cachedUniqueName index="47" name="[Table2].[ReturnDate].&amp;[20131130]"/>
            <x15:cachedUniqueName index="48" name="[Table2].[ReturnDate].&amp;[20131231]"/>
            <x15:cachedUniqueName index="49" name="[Table2].[ReturnDate].&amp;[20140131]"/>
            <x15:cachedUniqueName index="50" name="[Table2].[ReturnDate].&amp;[20140228]"/>
            <x15:cachedUniqueName index="51" name="[Table2].[ReturnDate].&amp;[20140331]"/>
            <x15:cachedUniqueName index="52" name="[Table2].[ReturnDate].&amp;[20140430]"/>
            <x15:cachedUniqueName index="53" name="[Table2].[ReturnDate].&amp;[20140531]"/>
            <x15:cachedUniqueName index="54" name="[Table2].[ReturnDate].&amp;[20140630]"/>
            <x15:cachedUniqueName index="55" name="[Table2].[ReturnDate].&amp;[20140731]"/>
            <x15:cachedUniqueName index="56" name="[Table2].[ReturnDate].&amp;[20140831]"/>
            <x15:cachedUniqueName index="57" name="[Table2].[ReturnDate].&amp;[20140930]"/>
            <x15:cachedUniqueName index="58" name="[Table2].[ReturnDate].&amp;[20141031]"/>
            <x15:cachedUniqueName index="59" name="[Table2].[ReturnDate].&amp;[20141130]"/>
            <x15:cachedUniqueName index="60" name="[Table2].[ReturnDate].&amp;[20141231]"/>
            <x15:cachedUniqueName index="61" name="[Table2].[ReturnDate].&amp;[20150131]"/>
            <x15:cachedUniqueName index="62" name="[Table2].[ReturnDate].&amp;[20150228]"/>
            <x15:cachedUniqueName index="63" name="[Table2].[ReturnDate].&amp;[20150331]"/>
            <x15:cachedUniqueName index="64" name="[Table2].[ReturnDate].&amp;[20150430]"/>
            <x15:cachedUniqueName index="65" name="[Table2].[ReturnDate].&amp;[20150531]"/>
            <x15:cachedUniqueName index="66" name="[Table2].[ReturnDate].&amp;[20150630]"/>
            <x15:cachedUniqueName index="67" name="[Table2].[ReturnDate].&amp;[20150731]"/>
            <x15:cachedUniqueName index="68" name="[Table2].[ReturnDate].&amp;[20150831]"/>
            <x15:cachedUniqueName index="69" name="[Table2].[ReturnDate].&amp;[20150930]"/>
            <x15:cachedUniqueName index="70" name="[Table2].[ReturnDate].&amp;[20151031]"/>
            <x15:cachedUniqueName index="71" name="[Table2].[ReturnDate].&amp;[20151130]"/>
            <x15:cachedUniqueName index="72" name="[Table2].[ReturnDate].&amp;[20151231]"/>
            <x15:cachedUniqueName index="73" name="[Table2].[ReturnDate].&amp;[20160131]"/>
            <x15:cachedUniqueName index="74" name="[Table2].[ReturnDate].&amp;[20160229]"/>
            <x15:cachedUniqueName index="75" name="[Table2].[ReturnDate].&amp;[20160331]"/>
            <x15:cachedUniqueName index="76" name="[Table2].[ReturnDate].&amp;[20160430]"/>
            <x15:cachedUniqueName index="77" name="[Table2].[ReturnDate].&amp;[20160531]"/>
            <x15:cachedUniqueName index="78" name="[Table2].[ReturnDate].&amp;[20160630]"/>
            <x15:cachedUniqueName index="79" name="[Table2].[ReturnDate].&amp;[20160731]"/>
            <x15:cachedUniqueName index="80" name="[Table2].[ReturnDate].&amp;[20160831]"/>
            <x15:cachedUniqueName index="81" name="[Table2].[ReturnDate].&amp;[20160930]"/>
            <x15:cachedUniqueName index="82" name="[Table2].[ReturnDate].&amp;[20161031]"/>
            <x15:cachedUniqueName index="83" name="[Table2].[ReturnDate].&amp;[20161130]"/>
            <x15:cachedUniqueName index="84" name="[Table2].[ReturnDate].&amp;[20161231]"/>
            <x15:cachedUniqueName index="85" name="[Table2].[ReturnDate].&amp;[20170131]"/>
            <x15:cachedUniqueName index="86" name="[Table2].[ReturnDate].&amp;[20170228]"/>
            <x15:cachedUniqueName index="87" name="[Table2].[ReturnDate].&amp;[20170331]"/>
            <x15:cachedUniqueName index="88" name="[Table2].[ReturnDate].&amp;[20170430]"/>
            <x15:cachedUniqueName index="89" name="[Table2].[ReturnDate].&amp;[20170531]"/>
            <x15:cachedUniqueName index="90" name="[Table2].[ReturnDate].&amp;[20170630]"/>
            <x15:cachedUniqueName index="91" name="[Table2].[ReturnDate].&amp;[20170731]"/>
            <x15:cachedUniqueName index="92" name="[Table2].[ReturnDate].&amp;[20170831]"/>
            <x15:cachedUniqueName index="93" name="[Table2].[ReturnDate].&amp;[20170930]"/>
            <x15:cachedUniqueName index="94" name="[Table2].[ReturnDate].&amp;[20171031]"/>
            <x15:cachedUniqueName index="95" name="[Table2].[ReturnDate].&amp;[20171130]"/>
            <x15:cachedUniqueName index="96" name="[Table2].[ReturnDate].&amp;[20171231]"/>
            <x15:cachedUniqueName index="97" name="[Table2].[ReturnDate].&amp;[20180131]"/>
            <x15:cachedUniqueName index="98" name="[Table2].[ReturnDate].&amp;[20180228]"/>
            <x15:cachedUniqueName index="99" name="[Table2].[ReturnDate].&amp;[20180331]"/>
            <x15:cachedUniqueName index="100" name="[Table2].[ReturnDate].&amp;[20180430]"/>
            <x15:cachedUniqueName index="101" name="[Table2].[ReturnDate].&amp;[20180531]"/>
            <x15:cachedUniqueName index="102" name="[Table2].[ReturnDate].&amp;[20180630]"/>
            <x15:cachedUniqueName index="103" name="[Table2].[ReturnDate].&amp;[20180731]"/>
            <x15:cachedUniqueName index="104" name="[Table2].[ReturnDate].&amp;[20180831]"/>
            <x15:cachedUniqueName index="105" name="[Table2].[ReturnDate].&amp;[20180930]"/>
            <x15:cachedUniqueName index="106" name="[Table2].[ReturnDate].&amp;[20181031]"/>
            <x15:cachedUniqueName index="107" name="[Table2].[ReturnDate].&amp;[20181130]"/>
            <x15:cachedUniqueName index="108" name="[Table2].[ReturnDate].&amp;[20181231]"/>
            <x15:cachedUniqueName index="109" name="[Table2].[ReturnDate].&amp;[20190131]"/>
            <x15:cachedUniqueName index="110" name="[Table2].[ReturnDate].&amp;[20190228]"/>
            <x15:cachedUniqueName index="111" name="[Table2].[ReturnDate].&amp;[20190331]"/>
            <x15:cachedUniqueName index="112" name="[Table2].[ReturnDate].&amp;[20190430]"/>
            <x15:cachedUniqueName index="113" name="[Table2].[ReturnDate].&amp;[20190531]"/>
            <x15:cachedUniqueName index="114" name="[Table2].[ReturnDate].&amp;[20190630]"/>
            <x15:cachedUniqueName index="115" name="[Table2].[ReturnDate].&amp;[20190731]"/>
            <x15:cachedUniqueName index="116" name="[Table2].[ReturnDate].&amp;[20190831]"/>
            <x15:cachedUniqueName index="117" name="[Table2].[ReturnDate].&amp;[20190930]"/>
            <x15:cachedUniqueName index="118" name="[Table2].[ReturnDate].&amp;[20191031]"/>
            <x15:cachedUniqueName index="119" name="[Table2].[ReturnDate].&amp;[20191130]"/>
            <x15:cachedUniqueName index="120" name="[Table2].[ReturnDate].&amp;[20191231]"/>
            <x15:cachedUniqueName index="121" name="[Table2].[ReturnDate].&amp;[20200131]"/>
            <x15:cachedUniqueName index="122" name="[Table2].[ReturnDate].&amp;[20200229]"/>
            <x15:cachedUniqueName index="123" name="[Table2].[ReturnDate].&amp;[20200331]"/>
            <x15:cachedUniqueName index="124" name="[Table2].[ReturnDate].&amp;[20200430]"/>
            <x15:cachedUniqueName index="125" name="[Table2].[ReturnDate].&amp;[20200531]"/>
            <x15:cachedUniqueName index="126" name="[Table2].[ReturnDate].&amp;[20200630]"/>
            <x15:cachedUniqueName index="127" name="[Table2].[ReturnDate].&amp;[20200731]"/>
            <x15:cachedUniqueName index="128" name="[Table2].[ReturnDate].&amp;[20200831]"/>
            <x15:cachedUniqueName index="129" name="[Table2].[ReturnDate].&amp;[20200930]"/>
          </x15:cachedUniqueNames>
        </ext>
      </extLst>
    </cacheField>
    <cacheField name="[Measures].[Distinct Count of LoanID]" caption="Distinct Count of LoanID" numFmtId="0" hierarchy="60" level="32767"/>
    <cacheField name="[Measures].[Distinct Count of ManagerCode 2]" caption="Distinct Count of ManagerCode 2" numFmtId="0" hierarchy="64" level="32767"/>
    <cacheField name="[Table1].[LoanType].[LoanType]" caption="LoanType" numFmtId="0" hierarchy="14" level="1">
      <sharedItems containsSemiMixedTypes="0" containsNonDate="0" containsString="0"/>
    </cacheField>
  </cacheFields>
  <cacheHierarchies count="66">
    <cacheHierarchy uniqueName="[Table1].[G-L ID]" caption="G-L ID" attribute="1" defaultMemberUniqueName="[Table1].[G-L ID].[All]" allUniqueName="[Table1].[G-L ID].[All]" dimensionUniqueName="[Table1]" displayFolder="" count="0" memberValueDatatype="20" unbalanced="0"/>
    <cacheHierarchy uniqueName="[Table1].[ManagerCode]" caption="ManagerCode" attribute="1" defaultMemberUniqueName="[Table1].[ManagerCode].[All]" allUniqueName="[Table1].[ManagerCode].[All]" dimensionUniqueName="[Table1]" displayFolder="" count="0" memberValueDatatype="20" unbalanced="0"/>
    <cacheHierarchy uniqueName="[Table1].[VinYear]" caption="VinYear" attribute="1" defaultMemberUniqueName="[Table1].[VinYear].[All]" allUniqueName="[Table1].[VinYear].[All]" dimensionUniqueName="[Table1]" displayFolder="" count="0" memberValueDatatype="20" unbalanced="0"/>
    <cacheHierarchy uniqueName="[Table1].[Loan Type as reported]" caption="Loan Type as reported" attribute="1" defaultMemberUniqueName="[Table1].[Loan Type as reported].[All]" allUniqueName="[Table1].[Loan Type as reported].[All]" dimensionUniqueName="[Table1]" displayFolder="" count="0" memberValueDatatype="130" unbalanced="0"/>
    <cacheHierarchy uniqueName="[Table1].[Pmt Type]" caption="Pmt Type" attribute="1" defaultMemberUniqueName="[Table1].[Pmt Type].[All]" allUniqueName="[Table1].[Pmt Type].[All]" dimensionUniqueName="[Table1]" displayFolder="" count="2" memberValueDatatype="130" unbalanced="0"/>
    <cacheHierarchy uniqueName="[Table1].[LowerLTV1]" caption="LowerLTV1" attribute="1" defaultMemberUniqueName="[Table1].[LowerLTV1].[All]" allUniqueName="[Table1].[LowerLTV1].[All]" dimensionUniqueName="[Table1]" displayFolder="" count="0" memberValueDatatype="5" unbalanced="0"/>
    <cacheHierarchy uniqueName="[Table1].[UpperAttach]" caption="UpperAttach" attribute="1" defaultMemberUniqueName="[Table1].[UpperAttach].[All]" allUniqueName="[Table1].[UpperAttach].[All]" dimensionUniqueName="[Table1]" displayFolder="" count="0" memberValueDatatype="5" unbalanced="0"/>
    <cacheHierarchy uniqueName="[Table1].[CapStackFlag]" caption="CapStackFlag" attribute="1" defaultMemberUniqueName="[Table1].[CapStackFlag].[All]" allUniqueName="[Table1].[CapStackFlag].[All]" dimensionUniqueName="[Table1]" displayFolder="" count="0" memberValueDatatype="20" unbalanced="0"/>
    <cacheHierarchy uniqueName="[Table1].[Reported Principal]" caption="Reported Principal" attribute="1" defaultMemberUniqueName="[Table1].[Reported Principal].[All]" allUniqueName="[Table1].[Reported Principal].[All]" dimensionUniqueName="[Table1]" displayFolder="" count="0" memberValueDatatype="5" unbalanced="0"/>
    <cacheHierarchy uniqueName="[Table1].[PropType]" caption="PropType" attribute="1" defaultMemberUniqueName="[Table1].[PropType].[All]" allUniqueName="[Table1].[PropType].[All]" dimensionUniqueName="[Table1]" displayFolder="" count="0" memberValueDatatype="130" unbalanced="0"/>
    <cacheHierarchy uniqueName="[Table1].[Interest Rate]" caption="Interest Rate" attribute="1" defaultMemberUniqueName="[Table1].[Interest Rate].[All]" allUniqueName="[Table1].[Interest Rate].[All]" dimensionUniqueName="[Table1]" displayFolder="" count="0" memberValueDatatype="130" unbalanced="0"/>
    <cacheHierarchy uniqueName="[Table1].[AdvanceRate]" caption="AdvanceRate" attribute="1" defaultMemberUniqueName="[Table1].[AdvanceRate].[All]" allUniqueName="[Table1].[AdvanceRate].[All]" dimensionUniqueName="[Table1]" displayFolder="" count="0" memberValueDatatype="5" unbalanced="0"/>
    <cacheHierarchy uniqueName="[Table1].[SUB Flag]" caption="SUB Flag" attribute="1" defaultMemberUniqueName="[Table1].[SUB Flag].[All]" allUniqueName="[Table1].[SUB Flag].[All]" dimensionUniqueName="[Table1]" displayFolder="" count="0" memberValueDatatype="130" unbalanced="0"/>
    <cacheHierarchy uniqueName="[Table1].[SCHEMATIC TYPE]" caption="SCHEMATIC TYPE" attribute="1" defaultMemberUniqueName="[Table1].[SCHEMATIC TYPE].[All]" allUniqueName="[Table1].[SCHEMATIC TYPE].[All]" dimensionUniqueName="[Table1]" displayFolder="" count="0" memberValueDatatype="130" unbalanced="0"/>
    <cacheHierarchy uniqueName="[Table1].[LoanType]" caption="LoanType" attribute="1" defaultMemberUniqueName="[Table1].[LoanType].[All]" allUniqueName="[Table1].[LoanType].[All]" dimensionUniqueName="[Table1]" displayFolder="" count="2" memberValueDatatype="130" unbalanced="0">
      <fieldsUsage count="2">
        <fieldUsage x="-1"/>
        <fieldUsage x="3"/>
      </fieldsUsage>
    </cacheHierarchy>
    <cacheHierarchy uniqueName="[Table1].[CollateralValue]" caption="CollateralValue" attribute="1" defaultMemberUniqueName="[Table1].[CollateralValue].[All]" allUniqueName="[Table1].[CollateralValue].[All]" dimensionUniqueName="[Table1]" displayFolder="" count="0" memberValueDatatype="130" unbalanced="0"/>
    <cacheHierarchy uniqueName="[Table1].[Strategy]" caption="Strategy" attribute="1" defaultMemberUniqueName="[Table1].[Strategy].[All]" allUniqueName="[Table1].[Strategy].[All]" dimensionUniqueName="[Table1]" displayFolder="" count="0" memberValueDatatype="130" unbalanced="0"/>
    <cacheHierarchy uniqueName="[Table1].[Purpose]" caption="Purpose" attribute="1" defaultMemberUniqueName="[Table1].[Purpose].[All]" allUniqueName="[Table1].[Purpose].[All]" dimensionUniqueName="[Table1]" displayFolder="" count="0" memberValueDatatype="130" unbalanced="0"/>
    <cacheHierarchy uniqueName="[Table1].[G-L reclass strategy]" caption="G-L reclass strategy" attribute="1" defaultMemberUniqueName="[Table1].[G-L reclass strategy].[All]" allUniqueName="[Table1].[G-L reclass strategy].[All]" dimensionUniqueName="[Table1]" displayFolder="" count="0" memberValueDatatype="130" unbalanced="0"/>
    <cacheHierarchy uniqueName="[Table1].[G-L SubStrategy]" caption="G-L SubStrategy" attribute="1" defaultMemberUniqueName="[Table1].[G-L SubStrategy].[All]" allUniqueName="[Table1].[G-L SubStrategy].[All]" dimensionUniqueName="[Table1]" displayFolder="" count="2" memberValueDatatype="130" unbalanced="0"/>
    <cacheHierarchy uniqueName="[Table1].[LowerAttachLabel]" caption="LowerAttachLabel" attribute="1" defaultMemberUniqueName="[Table1].[LowerAttachLabel].[All]" allUniqueName="[Table1].[LowerAttachLabel].[All]" dimensionUniqueName="[Table1]" displayFolder="" count="2" memberValueDatatype="130" unbalanced="0"/>
    <cacheHierarchy uniqueName="[Table1].[UpperAttachLabel]" caption="UpperAttachLabel" attribute="1" defaultMemberUniqueName="[Table1].[UpperAttachLabel].[All]" allUniqueName="[Table1].[UpperAttachLabel].[All]" dimensionUniqueName="[Table1]" displayFolder="" count="2" memberValueDatatype="130" unbalanced="0"/>
    <cacheHierarchy uniqueName="[Table1].[Term]" caption="Term" attribute="1" defaultMemberUniqueName="[Table1].[Term].[All]" allUniqueName="[Table1].[Term].[All]" dimensionUniqueName="[Table1]" displayFolder="" count="0" memberValueDatatype="130" unbalanced="0"/>
    <cacheHierarchy uniqueName="[Table1].[LowerAttach]" caption="LowerAttach" attribute="1" defaultMemberUniqueName="[Table1].[LowerAttach].[All]" allUniqueName="[Table1].[LowerAttach].[All]" dimensionUniqueName="[Table1]" displayFolder="" count="0" memberValueDatatype="5" unbalanced="0"/>
    <cacheHierarchy uniqueName="[Table1].[Principal NAV]" caption="Principal NAV" attribute="1" defaultMemberUniqueName="[Table1].[Principal NAV].[All]" allUniqueName="[Table1].[Principal NAV].[All]" dimensionUniqueName="[Table1]" displayFolder="" count="0" memberValueDatatype="5" unbalanced="0"/>
    <cacheHierarchy uniqueName="[Table1].[Principal GAV]" caption="Principal GAV" attribute="1" defaultMemberUniqueName="[Table1].[Principal GAV].[All]" allUniqueName="[Table1].[Principal GAV].[All]" dimensionUniqueName="[Table1]" displayFolder="" count="0" memberValueDatatype="5" unbalanced="0"/>
    <cacheHierarchy uniqueName="[Table2].[ReturnDate]" caption="ReturnDate" attribute="1" defaultMemberUniqueName="[Table2].[ReturnDate].[All]" allUniqueName="[Table2].[ReturnDate].[All]" dimensionUniqueName="[Table2]" displayFolder="" count="2" memberValueDatatype="20" unbalanced="0">
      <fieldsUsage count="2">
        <fieldUsage x="-1"/>
        <fieldUsage x="0"/>
      </fieldsUsage>
    </cacheHierarchy>
    <cacheHierarchy uniqueName="[Table2].[Year]" caption="Year" attribute="1" defaultMemberUniqueName="[Table2].[Year].[All]" allUniqueName="[Table2].[Year].[All]" dimensionUniqueName="[Table2]" displayFolder="" count="0" memberValueDatatype="20" unbalanced="0"/>
    <cacheHierarchy uniqueName="[Table2].[Month]" caption="Month" attribute="1" defaultMemberUniqueName="[Table2].[Month].[All]" allUniqueName="[Table2].[Month].[All]" dimensionUniqueName="[Table2]" displayFolder="" count="0" memberValueDatatype="20" unbalanced="0"/>
    <cacheHierarchy uniqueName="[Table2].[NLoans]" caption="NLoans" attribute="1" defaultMemberUniqueName="[Table2].[NLoans].[All]" allUniqueName="[Table2].[NLoans].[All]" dimensionUniqueName="[Table2]" displayFolder="" count="0" memberValueDatatype="20" unbalanced="0"/>
    <cacheHierarchy uniqueName="[Table2].[LoanID]" caption="LoanID" attribute="1" defaultMemberUniqueName="[Table2].[LoanID].[All]" allUniqueName="[Table2].[LoanID].[All]" dimensionUniqueName="[Table2]" displayFolder="" count="0" memberValueDatatype="20" unbalanced="0"/>
    <cacheHierarchy uniqueName="[Table2].[CashInterest]" caption="CashInterest" attribute="1" defaultMemberUniqueName="[Table2].[CashInterest].[All]" allUniqueName="[Table2].[CashInterest].[All]" dimensionUniqueName="[Table2]" displayFolder="" count="0" memberValueDatatype="5" unbalanced="0"/>
    <cacheHierarchy uniqueName="[Table2].[AccrInterest]" caption="AccrInterest" attribute="1" defaultMemberUniqueName="[Table2].[AccrInterest].[All]" allUniqueName="[Table2].[AccrInterest].[All]" dimensionUniqueName="[Table2]" displayFolder="" count="0" memberValueDatatype="5" unbalanced="0"/>
    <cacheHierarchy uniqueName="[Table2].[OtherIncome]" caption="OtherIncome" attribute="1" defaultMemberUniqueName="[Table2].[OtherIncome].[All]" allUniqueName="[Table2].[OtherIncome].[All]" dimensionUniqueName="[Table2]" displayFolder="" count="0" memberValueDatatype="5" unbalanced="0"/>
    <cacheHierarchy uniqueName="[Table2].[Expenses]" caption="Expenses" attribute="1" defaultMemberUniqueName="[Table2].[Expenses].[All]" allUniqueName="[Table2].[Expenses].[All]" dimensionUniqueName="[Table2]" displayFolder="" count="0" memberValueDatatype="5" unbalanced="0"/>
    <cacheHierarchy uniqueName="[Table2].[PrincipalFunded]" caption="PrincipalFunded" attribute="1" defaultMemberUniqueName="[Table2].[PrincipalFunded].[All]" allUniqueName="[Table2].[PrincipalFunded].[All]" dimensionUniqueName="[Table2]" displayFolder="" count="0" memberValueDatatype="5" unbalanced="0"/>
    <cacheHierarchy uniqueName="[Table2].[PrincipalRepaid]" caption="PrincipalRepaid" attribute="1" defaultMemberUniqueName="[Table2].[PrincipalRepaid].[All]" allUniqueName="[Table2].[PrincipalRepaid].[All]" dimensionUniqueName="[Table2]" displayFolder="" count="0" memberValueDatatype="5" unbalanced="0"/>
    <cacheHierarchy uniqueName="[Table2].[StartValue]" caption="StartValue" attribute="1" defaultMemberUniqueName="[Table2].[StartValue].[All]" allUniqueName="[Table2].[StartValue].[All]" dimensionUniqueName="[Table2]" displayFolder="" count="0" memberValueDatatype="5" unbalanced="0"/>
    <cacheHierarchy uniqueName="[Table2].[EndValue]" caption="EndValue" attribute="1" defaultMemberUniqueName="[Table2].[EndValue].[All]" allUniqueName="[Table2].[EndValue].[All]" dimensionUniqueName="[Table2]" displayFolder="" count="0" memberValueDatatype="5" unbalanced="0"/>
    <cacheHierarchy uniqueName="[Table2].[StartNAV]" caption="StartNAV" attribute="1" defaultMemberUniqueName="[Table2].[StartNAV].[All]" allUniqueName="[Table2].[StartNAV].[All]" dimensionUniqueName="[Table2]" displayFolder="" count="0" memberValueDatatype="5" unbalanced="0"/>
    <cacheHierarchy uniqueName="[Table2].[EndNAV]" caption="EndNAV" attribute="1" defaultMemberUniqueName="[Table2].[EndNAV].[All]" allUniqueName="[Table2].[EndNAV].[All]" dimensionUniqueName="[Table2]" displayFolder="" count="0" memberValueDatatype="5" unbalanced="0"/>
    <cacheHierarchy uniqueName="[Table2].[StartPrincipal]" caption="StartPrincipal" attribute="1" defaultMemberUniqueName="[Table2].[StartPrincipal].[All]" allUniqueName="[Table2].[StartPrincipal].[All]" dimensionUniqueName="[Table2]" displayFolder="" count="0" memberValueDatatype="5" unbalanced="0"/>
    <cacheHierarchy uniqueName="[Table2].[EndPrincipal]" caption="EndPrincipal" attribute="1" defaultMemberUniqueName="[Table2].[EndPrincipal].[All]" allUniqueName="[Table2].[EndPrincipal].[All]" dimensionUniqueName="[Table2]" displayFolder="" count="0" memberValueDatatype="5" unbalanced="0"/>
    <cacheHierarchy uniqueName="[Table2].[ManagerCode]" caption="ManagerCode" attribute="1" defaultMemberUniqueName="[Table2].[ManagerCode].[All]" allUniqueName="[Table2].[ManagerCode].[All]" dimensionUniqueName="[Table2]" displayFolder="" count="0" memberValueDatatype="20" unbalanced="0"/>
    <cacheHierarchy uniqueName="[Measures].[__XL_Count Table1]" caption="__XL_Count Table1" measure="1" displayFolder="" measureGroup="Table1" count="0" hidden="1"/>
    <cacheHierarchy uniqueName="[Measures].[__XL_Count Table2]" caption="__XL_Count Table2" measure="1" displayFolder="" measureGroup="Table2" count="0" hidden="1"/>
    <cacheHierarchy uniqueName="[Measures].[__No measures defined]" caption="__No measures defined" measure="1" displayFolder="" count="0" hidden="1"/>
    <cacheHierarchy uniqueName="[Measures].[Sum of ReturnDate]" caption="Sum of ReturnDate" measure="1" displayFolder="" measureGroup="Table2" count="0" hidden="1">
      <extLst>
        <ext xmlns:x15="http://schemas.microsoft.com/office/spreadsheetml/2010/11/main" uri="{B97F6D7D-B522-45F9-BDA1-12C45D357490}">
          <x15:cacheHierarchy aggregatedColumn="26"/>
        </ext>
      </extLst>
    </cacheHierarchy>
    <cacheHierarchy uniqueName="[Measures].[Sum of CashInterest]" caption="Sum of CashInterest" measure="1" displayFolder="" measureGroup="Table2" count="0" hidden="1">
      <extLst>
        <ext xmlns:x15="http://schemas.microsoft.com/office/spreadsheetml/2010/11/main" uri="{B97F6D7D-B522-45F9-BDA1-12C45D357490}">
          <x15:cacheHierarchy aggregatedColumn="31"/>
        </ext>
      </extLst>
    </cacheHierarchy>
    <cacheHierarchy uniqueName="[Measures].[Sum of AccrInterest]" caption="Sum of AccrInterest" measure="1" displayFolder="" measureGroup="Table2" count="0" hidden="1">
      <extLst>
        <ext xmlns:x15="http://schemas.microsoft.com/office/spreadsheetml/2010/11/main" uri="{B97F6D7D-B522-45F9-BDA1-12C45D357490}">
          <x15:cacheHierarchy aggregatedColumn="32"/>
        </ext>
      </extLst>
    </cacheHierarchy>
    <cacheHierarchy uniqueName="[Measures].[Sum of OtherIncome]" caption="Sum of OtherIncome" measure="1" displayFolder="" measureGroup="Table2" count="0" hidden="1">
      <extLst>
        <ext xmlns:x15="http://schemas.microsoft.com/office/spreadsheetml/2010/11/main" uri="{B97F6D7D-B522-45F9-BDA1-12C45D357490}">
          <x15:cacheHierarchy aggregatedColumn="33"/>
        </ext>
      </extLst>
    </cacheHierarchy>
    <cacheHierarchy uniqueName="[Measures].[Sum of Expenses]" caption="Sum of Expenses" measure="1" displayFolder="" measureGroup="Table2" count="0" hidden="1">
      <extLst>
        <ext xmlns:x15="http://schemas.microsoft.com/office/spreadsheetml/2010/11/main" uri="{B97F6D7D-B522-45F9-BDA1-12C45D357490}">
          <x15:cacheHierarchy aggregatedColumn="34"/>
        </ext>
      </extLst>
    </cacheHierarchy>
    <cacheHierarchy uniqueName="[Measures].[Sum of PrincipalRepaid]" caption="Sum of PrincipalRepaid" measure="1" displayFolder="" measureGroup="Table2" count="0" hidden="1">
      <extLst>
        <ext xmlns:x15="http://schemas.microsoft.com/office/spreadsheetml/2010/11/main" uri="{B97F6D7D-B522-45F9-BDA1-12C45D357490}">
          <x15:cacheHierarchy aggregatedColumn="36"/>
        </ext>
      </extLst>
    </cacheHierarchy>
    <cacheHierarchy uniqueName="[Measures].[Sum of StartValue]" caption="Sum of StartValue" measure="1" displayFolder="" measureGroup="Table2" count="0" hidden="1">
      <extLst>
        <ext xmlns:x15="http://schemas.microsoft.com/office/spreadsheetml/2010/11/main" uri="{B97F6D7D-B522-45F9-BDA1-12C45D357490}">
          <x15:cacheHierarchy aggregatedColumn="37"/>
        </ext>
      </extLst>
    </cacheHierarchy>
    <cacheHierarchy uniqueName="[Measures].[Sum of EndValue]" caption="Sum of EndValue" measure="1" displayFolder="" measureGroup="Table2" count="0" hidden="1">
      <extLst>
        <ext xmlns:x15="http://schemas.microsoft.com/office/spreadsheetml/2010/11/main" uri="{B97F6D7D-B522-45F9-BDA1-12C45D357490}">
          <x15:cacheHierarchy aggregatedColumn="38"/>
        </ext>
      </extLst>
    </cacheHierarchy>
    <cacheHierarchy uniqueName="[Measures].[Sum of StartPrincipal]" caption="Sum of StartPrincipal" measure="1" displayFolder="" measureGroup="Table2" count="0" hidden="1">
      <extLst>
        <ext xmlns:x15="http://schemas.microsoft.com/office/spreadsheetml/2010/11/main" uri="{B97F6D7D-B522-45F9-BDA1-12C45D357490}">
          <x15:cacheHierarchy aggregatedColumn="41"/>
        </ext>
      </extLst>
    </cacheHierarchy>
    <cacheHierarchy uniqueName="[Measures].[Sum of EndPrincipal]" caption="Sum of EndPrincipal" measure="1" displayFolder="" measureGroup="Table2" count="0" hidden="1">
      <extLst>
        <ext xmlns:x15="http://schemas.microsoft.com/office/spreadsheetml/2010/11/main" uri="{B97F6D7D-B522-45F9-BDA1-12C45D357490}">
          <x15:cacheHierarchy aggregatedColumn="42"/>
        </ext>
      </extLst>
    </cacheHierarchy>
    <cacheHierarchy uniqueName="[Measures].[Sum of StartNAV]" caption="Sum of StartNAV" measure="1" displayFolder="" measureGroup="Table2" count="0" hidden="1">
      <extLst>
        <ext xmlns:x15="http://schemas.microsoft.com/office/spreadsheetml/2010/11/main" uri="{B97F6D7D-B522-45F9-BDA1-12C45D357490}">
          <x15:cacheHierarchy aggregatedColumn="39"/>
        </ext>
      </extLst>
    </cacheHierarchy>
    <cacheHierarchy uniqueName="[Measures].[Sum of EndNAV]" caption="Sum of EndNAV" measure="1" displayFolder="" measureGroup="Table2" count="0" hidden="1">
      <extLst>
        <ext xmlns:x15="http://schemas.microsoft.com/office/spreadsheetml/2010/11/main" uri="{B97F6D7D-B522-45F9-BDA1-12C45D357490}">
          <x15:cacheHierarchy aggregatedColumn="40"/>
        </ext>
      </extLst>
    </cacheHierarchy>
    <cacheHierarchy uniqueName="[Measures].[Sum of LoanID]" caption="Sum of LoanID" measure="1" displayFolder="" measureGroup="Table2" count="0" hidden="1">
      <extLst>
        <ext xmlns:x15="http://schemas.microsoft.com/office/spreadsheetml/2010/11/main" uri="{B97F6D7D-B522-45F9-BDA1-12C45D357490}">
          <x15:cacheHierarchy aggregatedColumn="30"/>
        </ext>
      </extLst>
    </cacheHierarchy>
    <cacheHierarchy uniqueName="[Measures].[Distinct Count of LoanID]" caption="Distinct Count of LoanID" measure="1" displayFolder="" measureGroup="Table2" count="0" oneField="1" hidden="1">
      <fieldsUsage count="1">
        <fieldUsage x="1"/>
      </fieldsUsage>
      <extLst>
        <ext xmlns:x15="http://schemas.microsoft.com/office/spreadsheetml/2010/11/main" uri="{B97F6D7D-B522-45F9-BDA1-12C45D357490}">
          <x15:cacheHierarchy aggregatedColumn="30"/>
        </ext>
      </extLst>
    </cacheHierarchy>
    <cacheHierarchy uniqueName="[Measures].[Sum of ManagerCode]" caption="Sum of ManagerCode" measure="1" displayFolder="" measureGroup="Table1" count="0" hidden="1">
      <extLst>
        <ext xmlns:x15="http://schemas.microsoft.com/office/spreadsheetml/2010/11/main" uri="{B97F6D7D-B522-45F9-BDA1-12C45D357490}">
          <x15:cacheHierarchy aggregatedColumn="1"/>
        </ext>
      </extLst>
    </cacheHierarchy>
    <cacheHierarchy uniqueName="[Measures].[Distinct Count of ManagerCode]" caption="Distinct Count of ManagerCode" measure="1" displayFolder="" measureGroup="Table1" count="0" hidden="1">
      <extLst>
        <ext xmlns:x15="http://schemas.microsoft.com/office/spreadsheetml/2010/11/main" uri="{B97F6D7D-B522-45F9-BDA1-12C45D357490}">
          <x15:cacheHierarchy aggregatedColumn="1"/>
        </ext>
      </extLst>
    </cacheHierarchy>
    <cacheHierarchy uniqueName="[Measures].[Sum of ManagerCode 2]" caption="Sum of ManagerCode 2" measure="1" displayFolder="" measureGroup="Table2" count="0" hidden="1">
      <extLst>
        <ext xmlns:x15="http://schemas.microsoft.com/office/spreadsheetml/2010/11/main" uri="{B97F6D7D-B522-45F9-BDA1-12C45D357490}">
          <x15:cacheHierarchy aggregatedColumn="43"/>
        </ext>
      </extLst>
    </cacheHierarchy>
    <cacheHierarchy uniqueName="[Measures].[Distinct Count of ManagerCode 2]" caption="Distinct Count of ManagerCode 2" measure="1" displayFolder="" measureGroup="Table2" count="0" oneField="1" hidden="1">
      <fieldsUsage count="1">
        <fieldUsage x="2"/>
      </fieldsUsage>
      <extLst>
        <ext xmlns:x15="http://schemas.microsoft.com/office/spreadsheetml/2010/11/main" uri="{B97F6D7D-B522-45F9-BDA1-12C45D357490}">
          <x15:cacheHierarchy aggregatedColumn="43"/>
        </ext>
      </extLst>
    </cacheHierarchy>
    <cacheHierarchy uniqueName="[Measures].[Sum of PrincipalFunded]" caption="Sum of PrincipalFunded" measure="1" displayFolder="" measureGroup="Table2" count="0" hidden="1">
      <extLst>
        <ext xmlns:x15="http://schemas.microsoft.com/office/spreadsheetml/2010/11/main" uri="{B97F6D7D-B522-45F9-BDA1-12C45D357490}">
          <x15:cacheHierarchy aggregatedColumn="35"/>
        </ext>
      </extLst>
    </cacheHierarchy>
  </cacheHierarchies>
  <kpis count="0"/>
  <dimensions count="3">
    <dimension measure="1" name="Measures" uniqueName="[Measures]" caption="Measures"/>
    <dimension name="Table1" uniqueName="[Table1]" caption="Table1"/>
    <dimension name="Table2" uniqueName="[Table2]" caption="Table2"/>
  </dimensions>
  <measureGroups count="2">
    <measureGroup name="Table1" caption="Table1"/>
    <measureGroup name="Table2" caption="Table2"/>
  </measureGroups>
  <maps count="3">
    <map measureGroup="0" dimension="1"/>
    <map measureGroup="1"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chael Giliberto" refreshedDate="44174.372700231484" createdVersion="3" refreshedVersion="6" minRefreshableVersion="3" recordCount="0" supportSubquery="1" supportAdvancedDrill="1" xr:uid="{F29F2A46-3A44-4A33-9667-0811B37421F9}">
  <cacheSource type="external" connectionId="1">
    <extLst>
      <ext xmlns:x14="http://schemas.microsoft.com/office/spreadsheetml/2009/9/main" uri="{F057638F-6D5F-4e77-A914-E7F072B9BCA8}">
        <x14:sourceConnection name="ThisWorkbookDataModel"/>
      </ext>
    </extLst>
  </cacheSource>
  <cacheFields count="0"/>
  <cacheHierarchies count="66">
    <cacheHierarchy uniqueName="[Table1].[G-L ID]" caption="G-L ID" attribute="1" defaultMemberUniqueName="[Table1].[G-L ID].[All]" allUniqueName="[Table1].[G-L ID].[All]" dimensionUniqueName="[Table1]" displayFolder="" count="0" memberValueDatatype="20" unbalanced="0"/>
    <cacheHierarchy uniqueName="[Table1].[ManagerCode]" caption="ManagerCode" attribute="1" defaultMemberUniqueName="[Table1].[ManagerCode].[All]" allUniqueName="[Table1].[ManagerCode].[All]" dimensionUniqueName="[Table1]" displayFolder="" count="0" memberValueDatatype="20" unbalanced="0"/>
    <cacheHierarchy uniqueName="[Table1].[VinYear]" caption="VinYear" attribute="1" defaultMemberUniqueName="[Table1].[VinYear].[All]" allUniqueName="[Table1].[VinYear].[All]" dimensionUniqueName="[Table1]" displayFolder="" count="0" memberValueDatatype="20" unbalanced="0"/>
    <cacheHierarchy uniqueName="[Table1].[Loan Type as reported]" caption="Loan Type as reported" attribute="1" defaultMemberUniqueName="[Table1].[Loan Type as reported].[All]" allUniqueName="[Table1].[Loan Type as reported].[All]" dimensionUniqueName="[Table1]" displayFolder="" count="0" memberValueDatatype="130" unbalanced="0"/>
    <cacheHierarchy uniqueName="[Table1].[Pmt Type]" caption="Pmt Type" attribute="1" defaultMemberUniqueName="[Table1].[Pmt Type].[All]" allUniqueName="[Table1].[Pmt Type].[All]" dimensionUniqueName="[Table1]" displayFolder="" count="2" memberValueDatatype="130" unbalanced="0"/>
    <cacheHierarchy uniqueName="[Table1].[LowerLTV1]" caption="LowerLTV1" attribute="1" defaultMemberUniqueName="[Table1].[LowerLTV1].[All]" allUniqueName="[Table1].[LowerLTV1].[All]" dimensionUniqueName="[Table1]" displayFolder="" count="0" memberValueDatatype="5" unbalanced="0"/>
    <cacheHierarchy uniqueName="[Table1].[UpperAttach]" caption="UpperAttach" attribute="1" defaultMemberUniqueName="[Table1].[UpperAttach].[All]" allUniqueName="[Table1].[UpperAttach].[All]" dimensionUniqueName="[Table1]" displayFolder="" count="0" memberValueDatatype="5" unbalanced="0"/>
    <cacheHierarchy uniqueName="[Table1].[CapStackFlag]" caption="CapStackFlag" attribute="1" defaultMemberUniqueName="[Table1].[CapStackFlag].[All]" allUniqueName="[Table1].[CapStackFlag].[All]" dimensionUniqueName="[Table1]" displayFolder="" count="0" memberValueDatatype="20" unbalanced="0"/>
    <cacheHierarchy uniqueName="[Table1].[Reported Principal]" caption="Reported Principal" attribute="1" defaultMemberUniqueName="[Table1].[Reported Principal].[All]" allUniqueName="[Table1].[Reported Principal].[All]" dimensionUniqueName="[Table1]" displayFolder="" count="0" memberValueDatatype="5" unbalanced="0"/>
    <cacheHierarchy uniqueName="[Table1].[PropType]" caption="PropType" attribute="1" defaultMemberUniqueName="[Table1].[PropType].[All]" allUniqueName="[Table1].[PropType].[All]" dimensionUniqueName="[Table1]" displayFolder="" count="0" memberValueDatatype="130" unbalanced="0"/>
    <cacheHierarchy uniqueName="[Table1].[Interest Rate]" caption="Interest Rate" attribute="1" defaultMemberUniqueName="[Table1].[Interest Rate].[All]" allUniqueName="[Table1].[Interest Rate].[All]" dimensionUniqueName="[Table1]" displayFolder="" count="0" memberValueDatatype="130" unbalanced="0"/>
    <cacheHierarchy uniqueName="[Table1].[AdvanceRate]" caption="AdvanceRate" attribute="1" defaultMemberUniqueName="[Table1].[AdvanceRate].[All]" allUniqueName="[Table1].[AdvanceRate].[All]" dimensionUniqueName="[Table1]" displayFolder="" count="0" memberValueDatatype="5" unbalanced="0"/>
    <cacheHierarchy uniqueName="[Table1].[SUB Flag]" caption="SUB Flag" attribute="1" defaultMemberUniqueName="[Table1].[SUB Flag].[All]" allUniqueName="[Table1].[SUB Flag].[All]" dimensionUniqueName="[Table1]" displayFolder="" count="0" memberValueDatatype="130" unbalanced="0"/>
    <cacheHierarchy uniqueName="[Table1].[SCHEMATIC TYPE]" caption="SCHEMATIC TYPE" attribute="1" defaultMemberUniqueName="[Table1].[SCHEMATIC TYPE].[All]" allUniqueName="[Table1].[SCHEMATIC TYPE].[All]" dimensionUniqueName="[Table1]" displayFolder="" count="0" memberValueDatatype="130" unbalanced="0"/>
    <cacheHierarchy uniqueName="[Table1].[LoanType]" caption="LoanType" attribute="1" defaultMemberUniqueName="[Table1].[LoanType].[All]" allUniqueName="[Table1].[LoanType].[All]" dimensionUniqueName="[Table1]" displayFolder="" count="2" memberValueDatatype="130" unbalanced="0"/>
    <cacheHierarchy uniqueName="[Table1].[CollateralValue]" caption="CollateralValue" attribute="1" defaultMemberUniqueName="[Table1].[CollateralValue].[All]" allUniqueName="[Table1].[CollateralValue].[All]" dimensionUniqueName="[Table1]" displayFolder="" count="0" memberValueDatatype="130" unbalanced="0"/>
    <cacheHierarchy uniqueName="[Table1].[Strategy]" caption="Strategy" attribute="1" defaultMemberUniqueName="[Table1].[Strategy].[All]" allUniqueName="[Table1].[Strategy].[All]" dimensionUniqueName="[Table1]" displayFolder="" count="0" memberValueDatatype="130" unbalanced="0"/>
    <cacheHierarchy uniqueName="[Table1].[Purpose]" caption="Purpose" attribute="1" defaultMemberUniqueName="[Table1].[Purpose].[All]" allUniqueName="[Table1].[Purpose].[All]" dimensionUniqueName="[Table1]" displayFolder="" count="0" memberValueDatatype="130" unbalanced="0"/>
    <cacheHierarchy uniqueName="[Table1].[G-L reclass strategy]" caption="G-L reclass strategy" attribute="1" defaultMemberUniqueName="[Table1].[G-L reclass strategy].[All]" allUniqueName="[Table1].[G-L reclass strategy].[All]" dimensionUniqueName="[Table1]" displayFolder="" count="0" memberValueDatatype="130" unbalanced="0"/>
    <cacheHierarchy uniqueName="[Table1].[G-L SubStrategy]" caption="G-L SubStrategy" attribute="1" defaultMemberUniqueName="[Table1].[G-L SubStrategy].[All]" allUniqueName="[Table1].[G-L SubStrategy].[All]" dimensionUniqueName="[Table1]" displayFolder="" count="2" memberValueDatatype="130" unbalanced="0"/>
    <cacheHierarchy uniqueName="[Table1].[LowerAttachLabel]" caption="LowerAttachLabel" attribute="1" defaultMemberUniqueName="[Table1].[LowerAttachLabel].[All]" allUniqueName="[Table1].[LowerAttachLabel].[All]" dimensionUniqueName="[Table1]" displayFolder="" count="2" memberValueDatatype="130" unbalanced="0"/>
    <cacheHierarchy uniqueName="[Table1].[UpperAttachLabel]" caption="UpperAttachLabel" attribute="1" defaultMemberUniqueName="[Table1].[UpperAttachLabel].[All]" allUniqueName="[Table1].[UpperAttachLabel].[All]" dimensionUniqueName="[Table1]" displayFolder="" count="2" memberValueDatatype="130" unbalanced="0"/>
    <cacheHierarchy uniqueName="[Table1].[Term]" caption="Term" attribute="1" defaultMemberUniqueName="[Table1].[Term].[All]" allUniqueName="[Table1].[Term].[All]" dimensionUniqueName="[Table1]" displayFolder="" count="0" memberValueDatatype="130" unbalanced="0"/>
    <cacheHierarchy uniqueName="[Table1].[LowerAttach]" caption="LowerAttach" attribute="1" defaultMemberUniqueName="[Table1].[LowerAttach].[All]" allUniqueName="[Table1].[LowerAttach].[All]" dimensionUniqueName="[Table1]" displayFolder="" count="0" memberValueDatatype="5" unbalanced="0"/>
    <cacheHierarchy uniqueName="[Table1].[Principal NAV]" caption="Principal NAV" attribute="1" defaultMemberUniqueName="[Table1].[Principal NAV].[All]" allUniqueName="[Table1].[Principal NAV].[All]" dimensionUniqueName="[Table1]" displayFolder="" count="0" memberValueDatatype="5" unbalanced="0"/>
    <cacheHierarchy uniqueName="[Table1].[Principal GAV]" caption="Principal GAV" attribute="1" defaultMemberUniqueName="[Table1].[Principal GAV].[All]" allUniqueName="[Table1].[Principal GAV].[All]" dimensionUniqueName="[Table1]" displayFolder="" count="0" memberValueDatatype="5" unbalanced="0"/>
    <cacheHierarchy uniqueName="[Table2].[ReturnDate]" caption="ReturnDate" attribute="1" defaultMemberUniqueName="[Table2].[ReturnDate].[All]" allUniqueName="[Table2].[ReturnDate].[All]" dimensionUniqueName="[Table2]" displayFolder="" count="0" memberValueDatatype="20" unbalanced="0"/>
    <cacheHierarchy uniqueName="[Table2].[Year]" caption="Year" attribute="1" defaultMemberUniqueName="[Table2].[Year].[All]" allUniqueName="[Table2].[Year].[All]" dimensionUniqueName="[Table2]" displayFolder="" count="0" memberValueDatatype="20" unbalanced="0"/>
    <cacheHierarchy uniqueName="[Table2].[Month]" caption="Month" attribute="1" defaultMemberUniqueName="[Table2].[Month].[All]" allUniqueName="[Table2].[Month].[All]" dimensionUniqueName="[Table2]" displayFolder="" count="0" memberValueDatatype="20" unbalanced="0"/>
    <cacheHierarchy uniqueName="[Table2].[NLoans]" caption="NLoans" attribute="1" defaultMemberUniqueName="[Table2].[NLoans].[All]" allUniqueName="[Table2].[NLoans].[All]" dimensionUniqueName="[Table2]" displayFolder="" count="0" memberValueDatatype="20" unbalanced="0"/>
    <cacheHierarchy uniqueName="[Table2].[LoanID]" caption="LoanID" attribute="1" defaultMemberUniqueName="[Table2].[LoanID].[All]" allUniqueName="[Table2].[LoanID].[All]" dimensionUniqueName="[Table2]" displayFolder="" count="0" memberValueDatatype="20" unbalanced="0"/>
    <cacheHierarchy uniqueName="[Table2].[CashInterest]" caption="CashInterest" attribute="1" defaultMemberUniqueName="[Table2].[CashInterest].[All]" allUniqueName="[Table2].[CashInterest].[All]" dimensionUniqueName="[Table2]" displayFolder="" count="0" memberValueDatatype="5" unbalanced="0"/>
    <cacheHierarchy uniqueName="[Table2].[AccrInterest]" caption="AccrInterest" attribute="1" defaultMemberUniqueName="[Table2].[AccrInterest].[All]" allUniqueName="[Table2].[AccrInterest].[All]" dimensionUniqueName="[Table2]" displayFolder="" count="0" memberValueDatatype="5" unbalanced="0"/>
    <cacheHierarchy uniqueName="[Table2].[OtherIncome]" caption="OtherIncome" attribute="1" defaultMemberUniqueName="[Table2].[OtherIncome].[All]" allUniqueName="[Table2].[OtherIncome].[All]" dimensionUniqueName="[Table2]" displayFolder="" count="0" memberValueDatatype="5" unbalanced="0"/>
    <cacheHierarchy uniqueName="[Table2].[Expenses]" caption="Expenses" attribute="1" defaultMemberUniqueName="[Table2].[Expenses].[All]" allUniqueName="[Table2].[Expenses].[All]" dimensionUniqueName="[Table2]" displayFolder="" count="0" memberValueDatatype="5" unbalanced="0"/>
    <cacheHierarchy uniqueName="[Table2].[PrincipalFunded]" caption="PrincipalFunded" attribute="1" defaultMemberUniqueName="[Table2].[PrincipalFunded].[All]" allUniqueName="[Table2].[PrincipalFunded].[All]" dimensionUniqueName="[Table2]" displayFolder="" count="0" memberValueDatatype="5" unbalanced="0"/>
    <cacheHierarchy uniqueName="[Table2].[PrincipalRepaid]" caption="PrincipalRepaid" attribute="1" defaultMemberUniqueName="[Table2].[PrincipalRepaid].[All]" allUniqueName="[Table2].[PrincipalRepaid].[All]" dimensionUniqueName="[Table2]" displayFolder="" count="0" memberValueDatatype="5" unbalanced="0"/>
    <cacheHierarchy uniqueName="[Table2].[StartValue]" caption="StartValue" attribute="1" defaultMemberUniqueName="[Table2].[StartValue].[All]" allUniqueName="[Table2].[StartValue].[All]" dimensionUniqueName="[Table2]" displayFolder="" count="0" memberValueDatatype="5" unbalanced="0"/>
    <cacheHierarchy uniqueName="[Table2].[EndValue]" caption="EndValue" attribute="1" defaultMemberUniqueName="[Table2].[EndValue].[All]" allUniqueName="[Table2].[EndValue].[All]" dimensionUniqueName="[Table2]" displayFolder="" count="0" memberValueDatatype="5" unbalanced="0"/>
    <cacheHierarchy uniqueName="[Table2].[StartNAV]" caption="StartNAV" attribute="1" defaultMemberUniqueName="[Table2].[StartNAV].[All]" allUniqueName="[Table2].[StartNAV].[All]" dimensionUniqueName="[Table2]" displayFolder="" count="0" memberValueDatatype="5" unbalanced="0"/>
    <cacheHierarchy uniqueName="[Table2].[EndNAV]" caption="EndNAV" attribute="1" defaultMemberUniqueName="[Table2].[EndNAV].[All]" allUniqueName="[Table2].[EndNAV].[All]" dimensionUniqueName="[Table2]" displayFolder="" count="0" memberValueDatatype="5" unbalanced="0"/>
    <cacheHierarchy uniqueName="[Table2].[StartPrincipal]" caption="StartPrincipal" attribute="1" defaultMemberUniqueName="[Table2].[StartPrincipal].[All]" allUniqueName="[Table2].[StartPrincipal].[All]" dimensionUniqueName="[Table2]" displayFolder="" count="0" memberValueDatatype="5" unbalanced="0"/>
    <cacheHierarchy uniqueName="[Table2].[EndPrincipal]" caption="EndPrincipal" attribute="1" defaultMemberUniqueName="[Table2].[EndPrincipal].[All]" allUniqueName="[Table2].[EndPrincipal].[All]" dimensionUniqueName="[Table2]" displayFolder="" count="0" memberValueDatatype="5" unbalanced="0"/>
    <cacheHierarchy uniqueName="[Table2].[ManagerCode]" caption="ManagerCode" attribute="1" defaultMemberUniqueName="[Table2].[ManagerCode].[All]" allUniqueName="[Table2].[ManagerCode].[All]" dimensionUniqueName="[Table2]" displayFolder="" count="0" memberValueDatatype="20" unbalanced="0"/>
    <cacheHierarchy uniqueName="[Measures].[__XL_Count Table1]" caption="__XL_Count Table1" measure="1" displayFolder="" measureGroup="Table1" count="0" hidden="1"/>
    <cacheHierarchy uniqueName="[Measures].[__XL_Count Table2]" caption="__XL_Count Table2" measure="1" displayFolder="" measureGroup="Table2" count="0" hidden="1"/>
    <cacheHierarchy uniqueName="[Measures].[__No measures defined]" caption="__No measures defined" measure="1" displayFolder="" count="0" hidden="1"/>
    <cacheHierarchy uniqueName="[Measures].[Sum of ReturnDate]" caption="Sum of ReturnDate" measure="1" displayFolder="" measureGroup="Table2" count="0" hidden="1">
      <extLst>
        <ext xmlns:x15="http://schemas.microsoft.com/office/spreadsheetml/2010/11/main" uri="{B97F6D7D-B522-45F9-BDA1-12C45D357490}">
          <x15:cacheHierarchy aggregatedColumn="26"/>
        </ext>
      </extLst>
    </cacheHierarchy>
    <cacheHierarchy uniqueName="[Measures].[Sum of CashInterest]" caption="Sum of CashInterest" measure="1" displayFolder="" measureGroup="Table2" count="0" hidden="1">
      <extLst>
        <ext xmlns:x15="http://schemas.microsoft.com/office/spreadsheetml/2010/11/main" uri="{B97F6D7D-B522-45F9-BDA1-12C45D357490}">
          <x15:cacheHierarchy aggregatedColumn="31"/>
        </ext>
      </extLst>
    </cacheHierarchy>
    <cacheHierarchy uniqueName="[Measures].[Sum of AccrInterest]" caption="Sum of AccrInterest" measure="1" displayFolder="" measureGroup="Table2" count="0" hidden="1">
      <extLst>
        <ext xmlns:x15="http://schemas.microsoft.com/office/spreadsheetml/2010/11/main" uri="{B97F6D7D-B522-45F9-BDA1-12C45D357490}">
          <x15:cacheHierarchy aggregatedColumn="32"/>
        </ext>
      </extLst>
    </cacheHierarchy>
    <cacheHierarchy uniqueName="[Measures].[Sum of OtherIncome]" caption="Sum of OtherIncome" measure="1" displayFolder="" measureGroup="Table2" count="0" hidden="1">
      <extLst>
        <ext xmlns:x15="http://schemas.microsoft.com/office/spreadsheetml/2010/11/main" uri="{B97F6D7D-B522-45F9-BDA1-12C45D357490}">
          <x15:cacheHierarchy aggregatedColumn="33"/>
        </ext>
      </extLst>
    </cacheHierarchy>
    <cacheHierarchy uniqueName="[Measures].[Sum of Expenses]" caption="Sum of Expenses" measure="1" displayFolder="" measureGroup="Table2" count="0" hidden="1">
      <extLst>
        <ext xmlns:x15="http://schemas.microsoft.com/office/spreadsheetml/2010/11/main" uri="{B97F6D7D-B522-45F9-BDA1-12C45D357490}">
          <x15:cacheHierarchy aggregatedColumn="34"/>
        </ext>
      </extLst>
    </cacheHierarchy>
    <cacheHierarchy uniqueName="[Measures].[Sum of PrincipalRepaid]" caption="Sum of PrincipalRepaid" measure="1" displayFolder="" measureGroup="Table2" count="0" hidden="1">
      <extLst>
        <ext xmlns:x15="http://schemas.microsoft.com/office/spreadsheetml/2010/11/main" uri="{B97F6D7D-B522-45F9-BDA1-12C45D357490}">
          <x15:cacheHierarchy aggregatedColumn="36"/>
        </ext>
      </extLst>
    </cacheHierarchy>
    <cacheHierarchy uniqueName="[Measures].[Sum of StartValue]" caption="Sum of StartValue" measure="1" displayFolder="" measureGroup="Table2" count="0" hidden="1">
      <extLst>
        <ext xmlns:x15="http://schemas.microsoft.com/office/spreadsheetml/2010/11/main" uri="{B97F6D7D-B522-45F9-BDA1-12C45D357490}">
          <x15:cacheHierarchy aggregatedColumn="37"/>
        </ext>
      </extLst>
    </cacheHierarchy>
    <cacheHierarchy uniqueName="[Measures].[Sum of EndValue]" caption="Sum of EndValue" measure="1" displayFolder="" measureGroup="Table2" count="0" hidden="1">
      <extLst>
        <ext xmlns:x15="http://schemas.microsoft.com/office/spreadsheetml/2010/11/main" uri="{B97F6D7D-B522-45F9-BDA1-12C45D357490}">
          <x15:cacheHierarchy aggregatedColumn="38"/>
        </ext>
      </extLst>
    </cacheHierarchy>
    <cacheHierarchy uniqueName="[Measures].[Sum of StartPrincipal]" caption="Sum of StartPrincipal" measure="1" displayFolder="" measureGroup="Table2" count="0" hidden="1">
      <extLst>
        <ext xmlns:x15="http://schemas.microsoft.com/office/spreadsheetml/2010/11/main" uri="{B97F6D7D-B522-45F9-BDA1-12C45D357490}">
          <x15:cacheHierarchy aggregatedColumn="41"/>
        </ext>
      </extLst>
    </cacheHierarchy>
    <cacheHierarchy uniqueName="[Measures].[Sum of EndPrincipal]" caption="Sum of EndPrincipal" measure="1" displayFolder="" measureGroup="Table2" count="0" hidden="1">
      <extLst>
        <ext xmlns:x15="http://schemas.microsoft.com/office/spreadsheetml/2010/11/main" uri="{B97F6D7D-B522-45F9-BDA1-12C45D357490}">
          <x15:cacheHierarchy aggregatedColumn="42"/>
        </ext>
      </extLst>
    </cacheHierarchy>
    <cacheHierarchy uniqueName="[Measures].[Sum of StartNAV]" caption="Sum of StartNAV" measure="1" displayFolder="" measureGroup="Table2" count="0" hidden="1">
      <extLst>
        <ext xmlns:x15="http://schemas.microsoft.com/office/spreadsheetml/2010/11/main" uri="{B97F6D7D-B522-45F9-BDA1-12C45D357490}">
          <x15:cacheHierarchy aggregatedColumn="39"/>
        </ext>
      </extLst>
    </cacheHierarchy>
    <cacheHierarchy uniqueName="[Measures].[Sum of EndNAV]" caption="Sum of EndNAV" measure="1" displayFolder="" measureGroup="Table2" count="0" hidden="1">
      <extLst>
        <ext xmlns:x15="http://schemas.microsoft.com/office/spreadsheetml/2010/11/main" uri="{B97F6D7D-B522-45F9-BDA1-12C45D357490}">
          <x15:cacheHierarchy aggregatedColumn="40"/>
        </ext>
      </extLst>
    </cacheHierarchy>
    <cacheHierarchy uniqueName="[Measures].[Sum of LoanID]" caption="Sum of LoanID" measure="1" displayFolder="" measureGroup="Table2" count="0" hidden="1">
      <extLst>
        <ext xmlns:x15="http://schemas.microsoft.com/office/spreadsheetml/2010/11/main" uri="{B97F6D7D-B522-45F9-BDA1-12C45D357490}">
          <x15:cacheHierarchy aggregatedColumn="30"/>
        </ext>
      </extLst>
    </cacheHierarchy>
    <cacheHierarchy uniqueName="[Measures].[Distinct Count of LoanID]" caption="Distinct Count of LoanID" measure="1" displayFolder="" measureGroup="Table2" count="0" hidden="1">
      <extLst>
        <ext xmlns:x15="http://schemas.microsoft.com/office/spreadsheetml/2010/11/main" uri="{B97F6D7D-B522-45F9-BDA1-12C45D357490}">
          <x15:cacheHierarchy aggregatedColumn="30"/>
        </ext>
      </extLst>
    </cacheHierarchy>
    <cacheHierarchy uniqueName="[Measures].[Sum of ManagerCode]" caption="Sum of ManagerCode" measure="1" displayFolder="" measureGroup="Table1" count="0" hidden="1">
      <extLst>
        <ext xmlns:x15="http://schemas.microsoft.com/office/spreadsheetml/2010/11/main" uri="{B97F6D7D-B522-45F9-BDA1-12C45D357490}">
          <x15:cacheHierarchy aggregatedColumn="1"/>
        </ext>
      </extLst>
    </cacheHierarchy>
    <cacheHierarchy uniqueName="[Measures].[Distinct Count of ManagerCode]" caption="Distinct Count of ManagerCode" measure="1" displayFolder="" measureGroup="Table1" count="0" hidden="1">
      <extLst>
        <ext xmlns:x15="http://schemas.microsoft.com/office/spreadsheetml/2010/11/main" uri="{B97F6D7D-B522-45F9-BDA1-12C45D357490}">
          <x15:cacheHierarchy aggregatedColumn="1"/>
        </ext>
      </extLst>
    </cacheHierarchy>
    <cacheHierarchy uniqueName="[Measures].[Sum of ManagerCode 2]" caption="Sum of ManagerCode 2" measure="1" displayFolder="" measureGroup="Table2" count="0" hidden="1">
      <extLst>
        <ext xmlns:x15="http://schemas.microsoft.com/office/spreadsheetml/2010/11/main" uri="{B97F6D7D-B522-45F9-BDA1-12C45D357490}">
          <x15:cacheHierarchy aggregatedColumn="43"/>
        </ext>
      </extLst>
    </cacheHierarchy>
    <cacheHierarchy uniqueName="[Measures].[Distinct Count of ManagerCode 2]" caption="Distinct Count of ManagerCode 2" measure="1" displayFolder="" measureGroup="Table2" count="0" hidden="1">
      <extLst>
        <ext xmlns:x15="http://schemas.microsoft.com/office/spreadsheetml/2010/11/main" uri="{B97F6D7D-B522-45F9-BDA1-12C45D357490}">
          <x15:cacheHierarchy aggregatedColumn="43"/>
        </ext>
      </extLst>
    </cacheHierarchy>
    <cacheHierarchy uniqueName="[Measures].[Sum of PrincipalFunded]" caption="Sum of PrincipalFunded" measure="1" displayFolder="" measureGroup="Table2" count="0" hidden="1">
      <extLst>
        <ext xmlns:x15="http://schemas.microsoft.com/office/spreadsheetml/2010/11/main" uri="{B97F6D7D-B522-45F9-BDA1-12C45D357490}">
          <x15:cacheHierarchy aggregatedColumn="35"/>
        </ext>
      </extLst>
    </cacheHierarchy>
  </cacheHierarchies>
  <kpis count="0"/>
  <extLst>
    <ext xmlns:x14="http://schemas.microsoft.com/office/spreadsheetml/2009/9/main" uri="{725AE2AE-9491-48be-B2B4-4EB974FC3084}">
      <x14:pivotCacheDefinition slicerData="1" pivotCacheId="934086587"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D871F4-1DF4-4C70-A4B9-5135465C87FB}" name="PTReturnComponents" cacheId="1" applyNumberFormats="0" applyBorderFormats="0" applyFontFormats="0" applyPatternFormats="0" applyAlignmentFormats="0" applyWidthHeightFormats="1" dataCaption="Values" tag="7dc922bf-743a-4960-bb4b-ff399cfe6a11" updatedVersion="6" minRefreshableVersion="3" useAutoFormatting="1" subtotalHiddenItems="1" rowGrandTotals="0" colGrandTotals="0" itemPrintTitles="1" createdVersion="5" indent="0" outline="1" outlineData="1" multipleFieldFilters="0">
  <location ref="B8:N137" firstHeaderRow="0" firstDataRow="1" firstDataCol="1" rowPageCount="5" colPageCount="1"/>
  <pivotFields count="19">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axis="axisRow" allDrilled="1" subtotalTop="0" showAll="0" dataSourceSort="1" defaultSubtotal="0" defaultAttributeDrillState="1">
      <items count="1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14"/>
  </rowFields>
  <rowItems count="12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rowItems>
  <colFields count="1">
    <field x="-2"/>
  </colFields>
  <colItems count="12">
    <i>
      <x/>
    </i>
    <i i="1">
      <x v="1"/>
    </i>
    <i i="2">
      <x v="2"/>
    </i>
    <i i="3">
      <x v="3"/>
    </i>
    <i i="4">
      <x v="4"/>
    </i>
    <i i="5">
      <x v="5"/>
    </i>
    <i i="6">
      <x v="6"/>
    </i>
    <i i="7">
      <x v="7"/>
    </i>
    <i i="8">
      <x v="8"/>
    </i>
    <i i="9">
      <x v="9"/>
    </i>
    <i i="10">
      <x v="10"/>
    </i>
    <i i="11">
      <x v="11"/>
    </i>
  </colItems>
  <pageFields count="5">
    <pageField fld="6" hier="13" name="[Table1].[SCHEMATIC TYPE].[All]" cap="All"/>
    <pageField fld="5" hier="4" name="[Table1].[Pmt Type].[All]" cap="All"/>
    <pageField fld="9" hier="19" name="[Table1].[G-L SubStrategy].[All]" cap="All"/>
    <pageField fld="7" hier="20" name="[Table1].[LowerAttachLabel].[All]" cap="All"/>
    <pageField fld="8" hier="21" name="[Table1].[UpperAttachLabel].[All]" cap="All"/>
  </pageFields>
  <dataFields count="12">
    <dataField name="Sum of CashInterest" fld="0" baseField="0" baseItem="0"/>
    <dataField name="Sum of AccrInterest" fld="1" baseField="0" baseItem="0"/>
    <dataField name="Sum of OtherIncome" fld="2" baseField="0" baseItem="0"/>
    <dataField name="Sum of Expenses" fld="3" baseField="0" baseItem="0"/>
    <dataField name="Sum of PrincipalFunded" fld="17" baseField="0" baseItem="0"/>
    <dataField name="Sum of PrincipalRepaid" fld="4" baseField="0" baseItem="0"/>
    <dataField name="Sum of StartValue" fld="10" baseField="0" baseItem="0"/>
    <dataField name="Sum of EndValue" fld="11" baseField="0" baseItem="0"/>
    <dataField name="Sum of StartPrincipal" fld="12" baseField="0" baseItem="0"/>
    <dataField name="Sum of EndPrincipal" fld="13" baseField="0" baseItem="0"/>
    <dataField name="Sum of StartNAV" fld="15" baseField="0" baseItem="0"/>
    <dataField name="Sum of EndNAV" fld="16" baseField="0" baseItem="0"/>
  </dataFields>
  <pivotHierarchies count="66">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79D5DE7-85CD-4BBF-89D3-4F8DDB568700}" name="CountPivTab" cacheId="2" applyNumberFormats="0" applyBorderFormats="0" applyFontFormats="0" applyPatternFormats="0" applyAlignmentFormats="0" applyWidthHeightFormats="1" dataCaption="Values" tag="fdc3cc8b-8f40-4178-9292-12d841b22819" updatedVersion="6" minRefreshableVersion="3" showDrill="0" useAutoFormatting="1" subtotalHiddenItems="1" rowGrandTotals="0" colGrandTotals="0" itemPrintTitles="1" createdVersion="5" indent="0" compact="0" compactData="0" multipleFieldFilters="0">
  <location ref="B3:D133" firstHeaderRow="0" firstDataRow="1" firstDataCol="1"/>
  <pivotFields count="4">
    <pivotField axis="axisRow" compact="0" allDrilled="1" outline="0" subtotalTop="0" showAll="0" dataSourceSort="1" defaultSubtotal="0" defaultAttributeDrillState="1">
      <items count="13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s>
  <rowFields count="1">
    <field x="0"/>
  </rowFields>
  <rowItems count="1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rowItems>
  <colFields count="1">
    <field x="-2"/>
  </colFields>
  <colItems count="2">
    <i>
      <x/>
    </i>
    <i i="1">
      <x v="1"/>
    </i>
  </colItems>
  <dataFields count="2">
    <dataField name="Distinct Count of LoanID" fld="1" subtotal="count" baseField="0" baseItem="0">
      <extLst>
        <ext xmlns:x15="http://schemas.microsoft.com/office/spreadsheetml/2010/11/main" uri="{FABC7310-3BB5-11E1-824E-6D434824019B}">
          <x15:dataField isCountDistinct="1"/>
        </ext>
      </extLst>
    </dataField>
    <dataField name="Distinct Count of ManagerCode" fld="2" subtotal="count" baseField="0" baseItem="0">
      <extLst>
        <ext xmlns:x15="http://schemas.microsoft.com/office/spreadsheetml/2010/11/main" uri="{FABC7310-3BB5-11E1-824E-6D434824019B}">
          <x15:dataField isCountDistinct="1"/>
        </ext>
      </extLst>
    </dataField>
  </dataFields>
  <pivotHierarchies count="66">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LoanID"/>
    <pivotHierarchy dragToData="1"/>
    <pivotHierarchy dragToData="1" caption="Distinct Count of ManagerCode"/>
    <pivotHierarchy dragToData="1"/>
    <pivotHierarchy dragToData="1" caption="Distinct Count of ManagerCode"/>
    <pivotHierarchy dragToData="1"/>
  </pivotHierarchies>
  <pivotTableStyleInfo name="Flattened Pivot Style" showRowHeaders="1" showColHeaders="1" showRowStripes="1" showColStripes="0" showLastColumn="1"/>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Table2]"/>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_L_SubStrategy" xr10:uid="{878DCDD9-30B2-45DF-B295-F60AE8259D26}" sourceName="[Table1].[G-L SubStrategy]">
  <pivotTables>
    <pivotTable tabId="7" name="PTReturnComponents"/>
    <pivotTable tabId="18" name="CountPivTab"/>
  </pivotTables>
  <data>
    <olap pivotCacheId="934086587">
      <levels count="2">
        <level uniqueName="[Table1].[G-L SubStrategy].[(All)]" sourceCaption="(All)" count="0"/>
        <level uniqueName="[Table1].[G-L SubStrategy].[G-L SubStrategy]" sourceCaption="G-L SubStrategy" count="5">
          <ranges>
            <range startItem="0">
              <i n="[Table1].[G-L SubStrategy].&amp;[Bridge / Transitional]" c="Bridge / Transitional"/>
              <i n="[Table1].[G-L SubStrategy].&amp;[Not supplied]" c="Not supplied"/>
              <i n="[Table1].[G-L SubStrategy].&amp;[Stabilized]" c="Stabilized"/>
              <i n="[Table1].[G-L SubStrategy].&amp;[Value-add]" c="Value-add"/>
              <i n="[Table1].[G-L SubStrategy].&amp;" c="(blank)"/>
            </range>
          </ranges>
        </level>
      </levels>
      <selections count="1">
        <selection n="[Table1].[G-L SubStrategy].[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werAttachLabel" xr10:uid="{7CA38035-56F4-457F-8A4A-2906BA330107}" sourceName="[Table1].[LowerAttachLabel]">
  <pivotTables>
    <pivotTable tabId="7" name="PTReturnComponents"/>
    <pivotTable tabId="18" name="CountPivTab"/>
  </pivotTables>
  <data>
    <olap pivotCacheId="934086587">
      <levels count="2">
        <level uniqueName="[Table1].[LowerAttachLabel].[(All)]" sourceCaption="(All)" count="0"/>
        <level uniqueName="[Table1].[LowerAttachLabel].[LowerAttachLabel]" sourceCaption="LowerAttachLabel" count="8">
          <ranges>
            <range startItem="0">
              <i n="[Table1].[LowerAttachLabel].&amp;[0% to 39.9%]" c="0% to 39.9%"/>
              <i n="[Table1].[LowerAttachLabel].&amp;[40% to 49.9%]" c="40% to 49.9%"/>
              <i n="[Table1].[LowerAttachLabel].&amp;[50% to 54.9%]" c="50% to 54.9%"/>
              <i n="[Table1].[LowerAttachLabel].&amp;[55% to 59.9%]" c="55% to 59.9%"/>
              <i n="[Table1].[LowerAttachLabel].&amp;[60% to 64.9%]" c="60% to 64.9%"/>
              <i n="[Table1].[LowerAttachLabel].&amp;[65% and above]" c="65% and above"/>
              <i n="[Table1].[LowerAttachLabel].&amp;[NA]" c="NA"/>
              <i n="[Table1].[LowerAttachLabel].&amp;" c="(blank)"/>
            </range>
          </ranges>
        </level>
      </levels>
      <selections count="1">
        <selection n="[Table1].[LowerAttachLabel].[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mt_Type" xr10:uid="{B4C2F6D4-B5CF-4DB9-8F02-53DFED552A63}" sourceName="[Table1].[Pmt Type]">
  <pivotTables>
    <pivotTable tabId="7" name="PTReturnComponents"/>
    <pivotTable tabId="18" name="CountPivTab"/>
  </pivotTables>
  <data>
    <olap pivotCacheId="934086587">
      <levels count="2">
        <level uniqueName="[Table1].[Pmt Type].[(All)]" sourceCaption="(All)" count="0"/>
        <level uniqueName="[Table1].[Pmt Type].[Pmt Type]" sourceCaption="Pmt Type" count="4">
          <ranges>
            <range startItem="0">
              <i n="[Table1].[Pmt Type].&amp;[Fixed]" c="Fixed"/>
              <i n="[Table1].[Pmt Type].&amp;[Floating]" c="Floating"/>
              <i n="[Table1].[Pmt Type].&amp;[Hybrid/Blend]" c="Hybrid/Blend"/>
              <i n="[Table1].[Pmt Type].&amp;" c="(blank)"/>
            </range>
          </ranges>
        </level>
      </levels>
      <selections count="1">
        <selection n="[Table1].[Pmt Type].[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pperAttachLabel" xr10:uid="{7EE42555-5021-41D0-AAAB-658015FB4F04}" sourceName="[Table1].[UpperAttachLabel]">
  <pivotTables>
    <pivotTable tabId="7" name="PTReturnComponents"/>
    <pivotTable tabId="18" name="CountPivTab"/>
  </pivotTables>
  <data>
    <olap pivotCacheId="934086587">
      <levels count="2">
        <level uniqueName="[Table1].[UpperAttachLabel].[(All)]" sourceCaption="(All)" count="0"/>
        <level uniqueName="[Table1].[UpperAttachLabel].[UpperAttachLabel]" sourceCaption="UpperAttachLabel" count="10">
          <ranges>
            <range startItem="0">
              <i n="[Table1].[UpperAttachLabel].&amp;[0% to 39.9%]" c="0% to 39.9%"/>
              <i n="[Table1].[UpperAttachLabel].&amp;[40% to 54.9%]" c="40% to 54.9%"/>
              <i n="[Table1].[UpperAttachLabel].&amp;[55% to 59.9%]" c="55% to 59.9%"/>
              <i n="[Table1].[UpperAttachLabel].&amp;[60% to 64.9%]" c="60% to 64.9%"/>
              <i n="[Table1].[UpperAttachLabel].&amp;[65% to 69.9%]" c="65% to 69.9%"/>
              <i n="[Table1].[UpperAttachLabel].&amp;[70% to 74.9%]" c="70% to 74.9%"/>
              <i n="[Table1].[UpperAttachLabel].&amp;[75% to 79.9%]" c="75% to 79.9%"/>
              <i n="[Table1].[UpperAttachLabel].&amp;[80% and above]" c="80% and above"/>
              <i n="[Table1].[UpperAttachLabel].&amp;[NA]" c="NA"/>
              <i n="[Table1].[UpperAttachLabel].&amp;" c="(blank)"/>
            </range>
          </ranges>
        </level>
      </levels>
      <selections count="1">
        <selection n="[Table1].[UpperAttachLabel].[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anType" xr10:uid="{0BE66413-E553-46DE-A6DC-70A6E111FE92}" sourceName="[Table1].[LoanType]">
  <pivotTables>
    <pivotTable tabId="7" name="PTReturnComponents"/>
    <pivotTable tabId="18" name="CountPivTab"/>
  </pivotTables>
  <data>
    <olap pivotCacheId="934086587">
      <levels count="2">
        <level uniqueName="[Table1].[LoanType].[(All)]" sourceCaption="(All)" count="0"/>
        <level uniqueName="[Table1].[LoanType].[LoanType]" sourceCaption="LoanType" count="6">
          <ranges>
            <range startItem="0">
              <i n="[Table1].[LoanType].&amp;[Leveraged Whole Loan]" c="Leveraged Whole Loan"/>
              <i n="[Table1].[LoanType].&amp;[Mezzanine Loan]" c="Mezzanine Loan"/>
              <i n="[Table1].[LoanType].&amp;[Other Subordinate]" c="Other Subordinate"/>
              <i n="[Table1].[LoanType].&amp;[Senior Whole Loan]" c="Senior Whole Loan"/>
              <i n="[Table1].[LoanType].&amp;[Sub. Tranche of Senior]" c="Sub. Tranche of Senior"/>
              <i n="[Table1].[LoanType].&amp;" c="(blank)"/>
            </range>
          </ranges>
        </level>
      </levels>
      <selections count="1">
        <selection n="[Table1].[LoanType].[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L SubStrategy" xr10:uid="{E1A660DB-EE24-4B64-B9C5-05790C97B448}" cache="Slicer_G_L_SubStrategy" caption="Asset Strategy" level="1" rowHeight="241300"/>
  <slicer name="LowerAttachLabel" xr10:uid="{9F1535BF-239A-483D-8973-FFFD86C0EC7F}" cache="Slicer_LowerAttachLabel" caption="LowerAttach LTV" level="1" rowHeight="241300"/>
  <slicer name="Pmt Type" xr10:uid="{E5F580A5-6A80-415B-BE74-33670DF9E2D6}" cache="Slicer_Pmt_Type" caption="Payment Type" level="1" rowHeight="241300"/>
  <slicer name="UpperAttachLabel" xr10:uid="{901BA020-EB15-45FB-A8ED-ADDFC2C14143}" cache="Slicer_UpperAttachLabel" caption="UpperAttach LTV" level="1" rowHeight="241300"/>
  <slicer name="LoanType" xr10:uid="{CE089613-99DB-4B0D-B593-E3B451065501}" cache="Slicer_LoanType" caption="Loan Type" level="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CA238FA-F275-436E-9AC9-100802D322CB}" name="Table2" displayName="Table2" ref="A2:R11690" totalsRowShown="0" headerRowDxfId="32" dataDxfId="31" headerRowCellStyle="Comma" dataCellStyle="Comma">
  <autoFilter ref="A2:R11690" xr:uid="{A2969E7C-D9BF-4F74-B746-3FE4BC494786}"/>
  <tableColumns count="18">
    <tableColumn id="6" xr3:uid="{9E1E8A20-E885-4D1B-B958-0390CEEFF967}" name="ReturnDate" dataDxfId="30" dataCellStyle="Comma"/>
    <tableColumn id="1" xr3:uid="{B1CB5AF6-67CF-40BC-97EC-28BBB79CE5D2}" name="Year"/>
    <tableColumn id="2" xr3:uid="{A832FE17-F3B3-4625-849D-C299276621B1}" name="Month"/>
    <tableColumn id="3" xr3:uid="{B9E9BA49-1EA7-4562-90C3-E38EB5A77FD6}" name="NLoans"/>
    <tableColumn id="5" xr3:uid="{8CAEB496-DF4D-4FC2-A023-A7F517C2B596}" name="LoanID"/>
    <tableColumn id="8" xr3:uid="{E271EC2F-2FB5-458C-9B6E-8F54B23AC6EB}" name="CashInterest" dataDxfId="29" dataCellStyle="Comma"/>
    <tableColumn id="9" xr3:uid="{0D92179D-A735-4354-B5F1-07F6094D26C5}" name="AccrInterest" dataDxfId="28" dataCellStyle="Comma"/>
    <tableColumn id="10" xr3:uid="{6695C527-55E6-4AD8-986B-8AC0845D422C}" name="OtherIncome" dataDxfId="27" dataCellStyle="Comma"/>
    <tableColumn id="11" xr3:uid="{F33563D4-377F-44F0-87A3-79F0791E8E18}" name="Expenses" dataDxfId="26" dataCellStyle="Comma"/>
    <tableColumn id="18" xr3:uid="{7779BC61-E612-4A45-8C8E-55C16770FB2C}" name="PrincipalFunded" dataDxfId="25" dataCellStyle="Comma"/>
    <tableColumn id="12" xr3:uid="{00B56601-8702-475A-AB1E-262F87F0F761}" name="PrincipalRepaid" dataDxfId="24" dataCellStyle="Comma"/>
    <tableColumn id="13" xr3:uid="{7529E66E-5AC0-4D9F-8881-1D950C1C327E}" name="StartValue" dataDxfId="23" dataCellStyle="Comma"/>
    <tableColumn id="14" xr3:uid="{B5081AF5-586A-44AD-A01F-5CDF76E09540}" name="EndValue" dataDxfId="22" dataCellStyle="Comma"/>
    <tableColumn id="19" xr3:uid="{26183DB0-F821-4DC0-8790-4D4822B4E551}" name="StartNAV" dataDxfId="21" dataCellStyle="Comma"/>
    <tableColumn id="20" xr3:uid="{4D0CC9C6-3BEA-4CD8-BC38-D6F41D6D7B18}" name="EndNAV" dataDxfId="20" dataCellStyle="Comma"/>
    <tableColumn id="15" xr3:uid="{DB534E21-CE93-4EBC-A5A6-48DFA8947418}" name="StartPrincipal" dataDxfId="19" dataCellStyle="Comma"/>
    <tableColumn id="16" xr3:uid="{77314454-4DF6-4050-95D9-BEE623E18C0E}" name="EndPrincipal" dataDxfId="18" dataCellStyle="Comma"/>
    <tableColumn id="17" xr3:uid="{1904626E-8B69-41F0-95E2-F8DF723B640C}" name="ManagerCode" dataDxfId="17" dataCellStyle="Percent">
      <calculatedColumnFormula>_xlfn.XLOOKUP(Table2[[#This Row],[LoanID]],Table1[G-L ID],Table1[ManagerCode],-99)</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0691B06-60FC-4D8C-91D5-7AA10A0C9993}" name="Table1" displayName="Table1" ref="A6:Z474" totalsRowShown="0">
  <autoFilter ref="A6:Z474" xr:uid="{3A1A90AA-3F07-4BCD-BE6E-21E3BD661AF9}"/>
  <sortState xmlns:xlrd2="http://schemas.microsoft.com/office/spreadsheetml/2017/richdata2" ref="A7:Z470">
    <sortCondition ref="A7:A470"/>
  </sortState>
  <tableColumns count="26">
    <tableColumn id="1" xr3:uid="{BF1300D2-830C-4806-A543-72DEFF6E69BD}" name="G-L ID"/>
    <tableColumn id="26" xr3:uid="{09191A36-A865-4CE3-91C6-DF9EAA4DC6BD}" name="ManagerCode" dataDxfId="16"/>
    <tableColumn id="2" xr3:uid="{74436D83-A2A2-40B8-8383-66B3218B83FB}" name="VinYear"/>
    <tableColumn id="3" xr3:uid="{EBA45232-4B65-422B-9986-D752095F790A}" name="Loan Type as reported"/>
    <tableColumn id="4" xr3:uid="{BDFBDC8D-711D-4F03-8FE6-7ABB72BC4583}" name="Pmt Type"/>
    <tableColumn id="5" xr3:uid="{25305EB1-3445-4806-83A6-7FE4879497FA}" name="LowerLTV1" dataDxfId="15" dataCellStyle="Percent"/>
    <tableColumn id="6" xr3:uid="{1336EBEB-F157-4BAB-87F4-9EFA5B365E5F}" name="UpperAttach" dataDxfId="14" dataCellStyle="Percent"/>
    <tableColumn id="7" xr3:uid="{9EE82820-AC08-43BE-8B88-CD1D314EAAA0}" name="CapStackFlag" dataDxfId="13" dataCellStyle="Percent">
      <calculatedColumnFormula>(G7=F7)*1</calculatedColumnFormula>
    </tableColumn>
    <tableColumn id="8" xr3:uid="{5A1F61BB-7BAC-41A7-93E0-4492793D9C25}" name="Reported Principal" dataDxfId="12" dataCellStyle="Comma"/>
    <tableColumn id="9" xr3:uid="{851516D9-C6B6-4D1A-947F-2C682A384722}" name="PropType"/>
    <tableColumn id="10" xr3:uid="{6C057B78-9B72-41A1-B61A-EFBDBE50FCD1}" name="Interest Rate" dataDxfId="11"/>
    <tableColumn id="11" xr3:uid="{DAC9800A-8D76-4ABC-A425-8D3F2516A517}" name="AdvanceRate" dataDxfId="10"/>
    <tableColumn id="12" xr3:uid="{5926FC55-C40C-4A6D-953C-B26DAD007106}" name="SUB Flag">
      <calculatedColumnFormula>IF(AND(H7=0,OR(F7&gt;0,L7&gt;0)),"SUB",IF(AND(H7=0,F7=0),"SENIOR","BAD"))&amp;IF(L7&gt;0,"L","")</calculatedColumnFormula>
    </tableColumn>
    <tableColumn id="13" xr3:uid="{149EDB64-395C-4571-AC4E-ACC27713F099}" name="SCHEMATIC TYPE"/>
    <tableColumn id="25" xr3:uid="{C27D5C02-68B8-48FB-A58A-8118A586DDE7}" name="LoanType" dataDxfId="9">
      <calculatedColumnFormula>VLOOKUP(Table1[[#This Row],[SCHEMATIC TYPE]],'SCHEMATIC Lookup'!$B$1:$C$5,2)</calculatedColumnFormula>
    </tableColumn>
    <tableColumn id="14" xr3:uid="{B71F7061-FBF3-4692-AB4C-0BB2072AE5A1}" name="CollateralValue" dataDxfId="8" dataCellStyle="Comma"/>
    <tableColumn id="15" xr3:uid="{93D56769-E85C-4E74-BDF1-301E86F9F996}" name="Strategy" dataDxfId="7" dataCellStyle="Comma"/>
    <tableColumn id="16" xr3:uid="{BE462454-C1DB-45B3-AE86-8DED793F5507}" name="Purpose" dataDxfId="6" dataCellStyle="Comma"/>
    <tableColumn id="17" xr3:uid="{DE661F58-263F-49F4-A874-0A9DC289A76E}" name="G-L reclass strategy"/>
    <tableColumn id="24" xr3:uid="{D9DA717D-BA27-4375-A8AA-879F3FA28FE3}" name="G-L SubStrategy"/>
    <tableColumn id="18" xr3:uid="{794D7ACB-CF6A-4625-AE2F-CED037286124}" name="LowerAttachLabel" dataDxfId="5"/>
    <tableColumn id="19" xr3:uid="{56FBF22A-789C-41F9-8D86-348EEA097A05}" name="UpperAttachLabel" dataDxfId="4"/>
    <tableColumn id="20" xr3:uid="{0A7FFEBE-D1E4-4F8F-B23B-D2DECC5943B2}" name="Term" dataDxfId="3"/>
    <tableColumn id="21" xr3:uid="{86FBAAD4-898A-4473-B378-DE2B13B6C913}" name="LowerAttach" dataDxfId="2" dataCellStyle="Percent">
      <calculatedColumnFormula>IF(F7=0,L7*G7,F7)</calculatedColumnFormula>
    </tableColumn>
    <tableColumn id="22" xr3:uid="{1480BE86-6E20-4225-9B7A-07D3FD41A668}" name="Principal NAV" dataDxfId="1" dataCellStyle="Comma">
      <calculatedColumnFormula>IF(AND(F7=0,X7&gt;0),I7*(1-L7),I7)</calculatedColumnFormula>
    </tableColumn>
    <tableColumn id="23" xr3:uid="{D6BAFE3E-8264-4854-A3D8-FDFF585C9E4A}" name="Principal GAV" dataDxfId="0" dataCellStyle="Comma">
      <calculatedColumnFormula>IF(AND(L7&gt;0,F7&lt;&gt;0),I7/((G7-F7)/G7),I7)</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07/relationships/slicer" Target="../slicers/slicer1.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FE68F-8ECF-4C5E-BFD6-5EEE1935FFAA}">
  <sheetPr codeName="Sheet1"/>
  <dimension ref="A1:A82"/>
  <sheetViews>
    <sheetView tabSelected="1" workbookViewId="0">
      <selection activeCell="A3" sqref="A3"/>
    </sheetView>
  </sheetViews>
  <sheetFormatPr defaultColWidth="0" defaultRowHeight="15" x14ac:dyDescent="0.25"/>
  <cols>
    <col min="1" max="1" width="132.7109375" customWidth="1"/>
    <col min="2" max="16384" width="9.140625" hidden="1"/>
  </cols>
  <sheetData>
    <row r="1" spans="1:1" ht="23.25" x14ac:dyDescent="0.25">
      <c r="A1" s="31" t="s">
        <v>184</v>
      </c>
    </row>
    <row r="3" spans="1:1" x14ac:dyDescent="0.25">
      <c r="A3" s="32"/>
    </row>
    <row r="4" spans="1:1" ht="18.75" x14ac:dyDescent="0.3">
      <c r="A4" s="33" t="s">
        <v>253</v>
      </c>
    </row>
    <row r="5" spans="1:1" ht="18.75" x14ac:dyDescent="0.3">
      <c r="A5" s="33"/>
    </row>
    <row r="6" spans="1:1" ht="18.75" x14ac:dyDescent="0.3">
      <c r="A6" s="34" t="s">
        <v>275</v>
      </c>
    </row>
    <row r="7" spans="1:1" ht="18.75" x14ac:dyDescent="0.3">
      <c r="A7" s="34" t="s">
        <v>276</v>
      </c>
    </row>
    <row r="8" spans="1:1" ht="15.75" x14ac:dyDescent="0.25">
      <c r="A8" s="35"/>
    </row>
    <row r="10" spans="1:1" x14ac:dyDescent="0.25">
      <c r="A10" s="36" t="s">
        <v>185</v>
      </c>
    </row>
    <row r="11" spans="1:1" x14ac:dyDescent="0.25">
      <c r="A11" s="37"/>
    </row>
    <row r="12" spans="1:1" x14ac:dyDescent="0.25">
      <c r="A12" s="37" t="s">
        <v>261</v>
      </c>
    </row>
    <row r="13" spans="1:1" x14ac:dyDescent="0.25">
      <c r="A13" s="37" t="s">
        <v>186</v>
      </c>
    </row>
    <row r="14" spans="1:1" x14ac:dyDescent="0.25">
      <c r="A14" s="37" t="s">
        <v>187</v>
      </c>
    </row>
    <row r="15" spans="1:1" x14ac:dyDescent="0.25">
      <c r="A15" s="37" t="s">
        <v>188</v>
      </c>
    </row>
    <row r="18" spans="1:1" x14ac:dyDescent="0.25">
      <c r="A18" s="38" t="s">
        <v>189</v>
      </c>
    </row>
    <row r="19" spans="1:1" x14ac:dyDescent="0.25">
      <c r="A19" s="39"/>
    </row>
    <row r="20" spans="1:1" x14ac:dyDescent="0.25">
      <c r="A20" s="39" t="s">
        <v>190</v>
      </c>
    </row>
    <row r="21" spans="1:1" x14ac:dyDescent="0.25">
      <c r="A21" s="39"/>
    </row>
    <row r="22" spans="1:1" x14ac:dyDescent="0.25">
      <c r="A22" s="39" t="s">
        <v>216</v>
      </c>
    </row>
    <row r="23" spans="1:1" x14ac:dyDescent="0.25">
      <c r="A23" s="39" t="s">
        <v>191</v>
      </c>
    </row>
    <row r="24" spans="1:1" x14ac:dyDescent="0.25">
      <c r="A24" s="39" t="s">
        <v>192</v>
      </c>
    </row>
    <row r="25" spans="1:1" x14ac:dyDescent="0.25">
      <c r="A25" s="39" t="s">
        <v>193</v>
      </c>
    </row>
    <row r="26" spans="1:1" x14ac:dyDescent="0.25">
      <c r="A26" s="39" t="s">
        <v>194</v>
      </c>
    </row>
    <row r="27" spans="1:1" x14ac:dyDescent="0.25">
      <c r="A27" s="39" t="s">
        <v>277</v>
      </c>
    </row>
    <row r="28" spans="1:1" x14ac:dyDescent="0.25">
      <c r="A28" s="39"/>
    </row>
    <row r="29" spans="1:1" x14ac:dyDescent="0.25">
      <c r="A29" s="39" t="s">
        <v>217</v>
      </c>
    </row>
    <row r="30" spans="1:1" x14ac:dyDescent="0.25">
      <c r="A30" s="39"/>
    </row>
    <row r="31" spans="1:1" x14ac:dyDescent="0.25">
      <c r="A31" s="39" t="s">
        <v>218</v>
      </c>
    </row>
    <row r="32" spans="1:1" x14ac:dyDescent="0.25">
      <c r="A32" s="39"/>
    </row>
    <row r="33" spans="1:1" x14ac:dyDescent="0.25">
      <c r="A33" s="39" t="s">
        <v>219</v>
      </c>
    </row>
    <row r="34" spans="1:1" x14ac:dyDescent="0.25">
      <c r="A34" s="39" t="s">
        <v>220</v>
      </c>
    </row>
    <row r="35" spans="1:1" x14ac:dyDescent="0.25">
      <c r="A35" s="39"/>
    </row>
    <row r="36" spans="1:1" x14ac:dyDescent="0.25">
      <c r="A36" s="39" t="s">
        <v>195</v>
      </c>
    </row>
    <row r="37" spans="1:1" x14ac:dyDescent="0.25">
      <c r="A37" s="39" t="s">
        <v>196</v>
      </c>
    </row>
    <row r="39" spans="1:1" ht="15.75" x14ac:dyDescent="0.25">
      <c r="A39" s="40" t="s">
        <v>197</v>
      </c>
    </row>
    <row r="40" spans="1:1" x14ac:dyDescent="0.25">
      <c r="A40" s="41"/>
    </row>
    <row r="41" spans="1:1" x14ac:dyDescent="0.25">
      <c r="A41" s="41" t="s">
        <v>223</v>
      </c>
    </row>
    <row r="42" spans="1:1" x14ac:dyDescent="0.25">
      <c r="A42" s="41" t="s">
        <v>198</v>
      </c>
    </row>
    <row r="43" spans="1:1" x14ac:dyDescent="0.25">
      <c r="A43" s="41" t="s">
        <v>199</v>
      </c>
    </row>
    <row r="44" spans="1:1" x14ac:dyDescent="0.25">
      <c r="A44" s="41"/>
    </row>
    <row r="45" spans="1:1" x14ac:dyDescent="0.25">
      <c r="A45" s="41" t="s">
        <v>200</v>
      </c>
    </row>
    <row r="46" spans="1:1" x14ac:dyDescent="0.25">
      <c r="A46" s="41"/>
    </row>
    <row r="47" spans="1:1" x14ac:dyDescent="0.25">
      <c r="A47" s="41" t="s">
        <v>201</v>
      </c>
    </row>
    <row r="48" spans="1:1" x14ac:dyDescent="0.25">
      <c r="A48" s="41" t="s">
        <v>202</v>
      </c>
    </row>
    <row r="49" spans="1:1" x14ac:dyDescent="0.25">
      <c r="A49" s="41" t="s">
        <v>203</v>
      </c>
    </row>
    <row r="50" spans="1:1" x14ac:dyDescent="0.25">
      <c r="A50" s="41"/>
    </row>
    <row r="51" spans="1:1" x14ac:dyDescent="0.25">
      <c r="A51" s="41" t="s">
        <v>204</v>
      </c>
    </row>
    <row r="52" spans="1:1" x14ac:dyDescent="0.25">
      <c r="A52" s="42" t="s">
        <v>205</v>
      </c>
    </row>
    <row r="53" spans="1:1" x14ac:dyDescent="0.25">
      <c r="A53" s="43" t="s">
        <v>206</v>
      </c>
    </row>
    <row r="54" spans="1:1" x14ac:dyDescent="0.25">
      <c r="A54" s="44"/>
    </row>
    <row r="55" spans="1:1" x14ac:dyDescent="0.25">
      <c r="A55" s="44" t="s">
        <v>262</v>
      </c>
    </row>
    <row r="56" spans="1:1" x14ac:dyDescent="0.25">
      <c r="A56" s="44" t="s">
        <v>207</v>
      </c>
    </row>
    <row r="57" spans="1:1" x14ac:dyDescent="0.25">
      <c r="A57" s="44"/>
    </row>
    <row r="58" spans="1:1" x14ac:dyDescent="0.25">
      <c r="A58" s="44" t="s">
        <v>278</v>
      </c>
    </row>
    <row r="59" spans="1:1" x14ac:dyDescent="0.25">
      <c r="A59" s="44" t="s">
        <v>208</v>
      </c>
    </row>
    <row r="60" spans="1:1" x14ac:dyDescent="0.25">
      <c r="A60" s="42"/>
    </row>
    <row r="61" spans="1:1" x14ac:dyDescent="0.25">
      <c r="A61" s="45" t="s">
        <v>209</v>
      </c>
    </row>
    <row r="62" spans="1:1" x14ac:dyDescent="0.25">
      <c r="A62" s="46"/>
    </row>
    <row r="63" spans="1:1" x14ac:dyDescent="0.25">
      <c r="A63" s="46" t="s">
        <v>210</v>
      </c>
    </row>
    <row r="64" spans="1:1" x14ac:dyDescent="0.25">
      <c r="A64" s="46" t="s">
        <v>211</v>
      </c>
    </row>
    <row r="65" spans="1:1" x14ac:dyDescent="0.25">
      <c r="A65" s="46" t="s">
        <v>212</v>
      </c>
    </row>
    <row r="66" spans="1:1" x14ac:dyDescent="0.25">
      <c r="A66" s="46" t="s">
        <v>213</v>
      </c>
    </row>
    <row r="67" spans="1:1" x14ac:dyDescent="0.25">
      <c r="A67" s="46" t="s">
        <v>214</v>
      </c>
    </row>
    <row r="68" spans="1:1" x14ac:dyDescent="0.25">
      <c r="A68" s="46" t="s">
        <v>215</v>
      </c>
    </row>
    <row r="69" spans="1:1" x14ac:dyDescent="0.25">
      <c r="A69" s="46"/>
    </row>
    <row r="70" spans="1:1" x14ac:dyDescent="0.25">
      <c r="A70" s="45" t="s">
        <v>221</v>
      </c>
    </row>
    <row r="71" spans="1:1" x14ac:dyDescent="0.25">
      <c r="A71" s="46"/>
    </row>
    <row r="72" spans="1:1" x14ac:dyDescent="0.25">
      <c r="A72" s="46" t="s">
        <v>224</v>
      </c>
    </row>
    <row r="73" spans="1:1" x14ac:dyDescent="0.25">
      <c r="A73" s="46" t="s">
        <v>222</v>
      </c>
    </row>
    <row r="74" spans="1:1" x14ac:dyDescent="0.25">
      <c r="A74" s="46" t="s">
        <v>225</v>
      </c>
    </row>
    <row r="75" spans="1:1" x14ac:dyDescent="0.25">
      <c r="A75" s="46" t="s">
        <v>226</v>
      </c>
    </row>
    <row r="76" spans="1:1" x14ac:dyDescent="0.25">
      <c r="A76" s="46" t="s">
        <v>227</v>
      </c>
    </row>
    <row r="77" spans="1:1" x14ac:dyDescent="0.25">
      <c r="A77" s="46"/>
    </row>
    <row r="78" spans="1:1" x14ac:dyDescent="0.25">
      <c r="A78" s="45" t="s">
        <v>254</v>
      </c>
    </row>
    <row r="79" spans="1:1" x14ac:dyDescent="0.25">
      <c r="A79" s="46"/>
    </row>
    <row r="80" spans="1:1" x14ac:dyDescent="0.25">
      <c r="A80" s="46" t="s">
        <v>263</v>
      </c>
    </row>
    <row r="81" spans="1:1" x14ac:dyDescent="0.25">
      <c r="A81" s="46" t="s">
        <v>264</v>
      </c>
    </row>
    <row r="82" spans="1:1" x14ac:dyDescent="0.25">
      <c r="A82" s="46"/>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336F2-637E-491B-9BA3-50DE839991BB}">
  <sheetPr codeName="Sheet13"/>
  <dimension ref="B1:C5"/>
  <sheetViews>
    <sheetView workbookViewId="0">
      <selection activeCell="B5" sqref="B5"/>
    </sheetView>
  </sheetViews>
  <sheetFormatPr defaultRowHeight="15" x14ac:dyDescent="0.25"/>
  <cols>
    <col min="3" max="3" width="25.5703125" customWidth="1"/>
  </cols>
  <sheetData>
    <row r="1" spans="2:3" x14ac:dyDescent="0.25">
      <c r="B1" t="s">
        <v>75</v>
      </c>
      <c r="C1" t="s">
        <v>74</v>
      </c>
    </row>
    <row r="2" spans="2:3" x14ac:dyDescent="0.25">
      <c r="B2" t="s">
        <v>84</v>
      </c>
      <c r="C2" t="s">
        <v>171</v>
      </c>
    </row>
    <row r="3" spans="2:3" x14ac:dyDescent="0.25">
      <c r="B3" t="s">
        <v>90</v>
      </c>
      <c r="C3" t="s">
        <v>172</v>
      </c>
    </row>
    <row r="4" spans="2:3" x14ac:dyDescent="0.25">
      <c r="B4" t="s">
        <v>70</v>
      </c>
      <c r="C4" t="s">
        <v>173</v>
      </c>
    </row>
    <row r="5" spans="2:3" x14ac:dyDescent="0.25">
      <c r="B5" t="s">
        <v>78</v>
      </c>
      <c r="C5" t="s">
        <v>174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3AFF2-81A1-4EA5-ADFE-3155D5D4D7F5}">
  <dimension ref="A4:B10"/>
  <sheetViews>
    <sheetView workbookViewId="0">
      <selection activeCell="B29" sqref="B29"/>
    </sheetView>
  </sheetViews>
  <sheetFormatPr defaultColWidth="8.85546875" defaultRowHeight="15" x14ac:dyDescent="0.25"/>
  <cols>
    <col min="1" max="1" width="23" customWidth="1"/>
    <col min="2" max="2" width="55.42578125" customWidth="1"/>
  </cols>
  <sheetData>
    <row r="4" spans="1:2" x14ac:dyDescent="0.25">
      <c r="A4" t="s">
        <v>255</v>
      </c>
      <c r="B4" t="s">
        <v>256</v>
      </c>
    </row>
    <row r="6" spans="1:2" x14ac:dyDescent="0.25">
      <c r="A6" t="s">
        <v>33</v>
      </c>
      <c r="B6" t="str" cm="1">
        <f t="array" aca="1" ref="B6" ca="1">_xlfn.TEXTJOIN(", ",TRUE,IFERROR(CUBERANKEDMEMBER("ThisWorkbookDataModel",Slicer_LoanType,ROW(INDIRECT("1:"&amp;CUBESETCOUNT(Slicer_LoanType)))),""))</f>
        <v>All</v>
      </c>
    </row>
    <row r="7" spans="1:2" x14ac:dyDescent="0.25">
      <c r="A7" t="s">
        <v>257</v>
      </c>
      <c r="B7" t="str">
        <f t="array" aca="1" ref="B7" ca="1">_xlfn.TEXTJOIN(", ",TRUE,IFERROR(CUBERANKEDMEMBER("ThisWorkbookDataModel",Slicer_Pmt_Type,ROW(INDIRECT("1:"&amp;CUBESETCOUNT(Slicer_Pmt_Type)))),""))</f>
        <v>All</v>
      </c>
    </row>
    <row r="8" spans="1:2" x14ac:dyDescent="0.25">
      <c r="A8" t="s">
        <v>258</v>
      </c>
      <c r="B8" t="str">
        <f t="array" aca="1" ref="B8" ca="1">_xlfn.TEXTJOIN(", ",TRUE,IFERROR(CUBERANKEDMEMBER("ThisWorkbookDataModel",Slicer_G_L_SubStrategy,ROW(INDIRECT("1:"&amp;CUBESETCOUNT(Slicer_G_L_SubStrategy)))),""))</f>
        <v>All</v>
      </c>
    </row>
    <row r="9" spans="1:2" x14ac:dyDescent="0.25">
      <c r="A9" t="s">
        <v>259</v>
      </c>
      <c r="B9" t="str">
        <f t="array" aca="1" ref="B9" ca="1">_xlfn.TEXTJOIN(", ",TRUE,IFERROR(CUBERANKEDMEMBER("ThisWorkbookDataModel",Slicer_LowerAttachLabel,ROW(INDIRECT("1:"&amp;CUBESETCOUNT(Slicer_LowerAttachLabel)))),""))</f>
        <v>All</v>
      </c>
    </row>
    <row r="10" spans="1:2" x14ac:dyDescent="0.25">
      <c r="A10" t="s">
        <v>260</v>
      </c>
      <c r="B10" t="str">
        <f t="array" aca="1" ref="B10" ca="1">_xlfn.TEXTJOIN(", ",TRUE,IFERROR(CUBERANKEDMEMBER("ThisWorkbookDataModel",Slicer_UpperAttachLabel,ROW(INDIRECT("1:"&amp;CUBESETCOUNT(Slicer_UpperAttachLabel)))),""))</f>
        <v>All</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F7504-6E9F-4525-A40D-B4B22F627FDD}">
  <sheetPr codeName="Sheet2"/>
  <dimension ref="B1:T25"/>
  <sheetViews>
    <sheetView workbookViewId="0"/>
  </sheetViews>
  <sheetFormatPr defaultRowHeight="15" x14ac:dyDescent="0.25"/>
  <cols>
    <col min="1" max="1" width="1.85546875" customWidth="1"/>
    <col min="5" max="5" width="3.7109375" customWidth="1"/>
    <col min="9" max="9" width="3.7109375" customWidth="1"/>
    <col min="13" max="13" width="4.140625" customWidth="1"/>
    <col min="17" max="17" width="3.85546875" customWidth="1"/>
  </cols>
  <sheetData>
    <row r="1" spans="2:20" ht="23.25" x14ac:dyDescent="0.25">
      <c r="B1" s="52" t="s">
        <v>179</v>
      </c>
      <c r="C1" s="52"/>
      <c r="D1" s="52"/>
      <c r="E1" s="52"/>
      <c r="F1" s="52"/>
      <c r="G1" s="52"/>
      <c r="H1" s="52"/>
      <c r="I1" s="52"/>
      <c r="J1" s="52"/>
      <c r="K1" s="52"/>
      <c r="L1" s="52"/>
      <c r="M1" s="52"/>
      <c r="N1" s="52"/>
      <c r="O1" s="52"/>
      <c r="P1" s="52"/>
      <c r="Q1" s="52"/>
      <c r="R1" s="52"/>
      <c r="S1" s="52"/>
      <c r="T1" s="52"/>
    </row>
    <row r="2" spans="2:20" x14ac:dyDescent="0.25">
      <c r="B2" s="30"/>
    </row>
    <row r="22" spans="2:8" x14ac:dyDescent="0.25">
      <c r="B22" s="53" t="s">
        <v>180</v>
      </c>
      <c r="C22" s="53"/>
      <c r="D22" s="53"/>
      <c r="F22" s="53" t="s">
        <v>181</v>
      </c>
      <c r="G22" s="53"/>
      <c r="H22" s="53"/>
    </row>
    <row r="24" spans="2:8" x14ac:dyDescent="0.25">
      <c r="B24" t="s">
        <v>182</v>
      </c>
    </row>
    <row r="25" spans="2:8" x14ac:dyDescent="0.25">
      <c r="B25" t="s">
        <v>183</v>
      </c>
    </row>
  </sheetData>
  <mergeCells count="3">
    <mergeCell ref="B1:T1"/>
    <mergeCell ref="B22:D22"/>
    <mergeCell ref="F22:H22"/>
  </mergeCells>
  <hyperlinks>
    <hyperlink ref="B22" location="Months!D3" display="View monthly returns" xr:uid="{A05783F9-BAF6-419C-A1CA-4D3CBE18F08B}"/>
    <hyperlink ref="F22" location="Quarters!D3" display="View quarterly returns" xr:uid="{69A850CE-353A-45E1-BF2D-75E57E7B9F6C}"/>
    <hyperlink ref="B22:D22" location="Months!D3" display="View monthly returns" xr:uid="{68B3CA86-A306-4E2D-BBF0-D7116AE610A5}"/>
    <hyperlink ref="F22:H22" location="Quarters!D3" display="View quarterly returns" xr:uid="{B2661E55-FE4A-4F03-93BE-88AD8C1A3BE7}"/>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ClearSlicers">
                <anchor moveWithCells="1" sizeWithCells="1">
                  <from>
                    <xdr:col>20</xdr:col>
                    <xdr:colOff>600075</xdr:colOff>
                    <xdr:row>5</xdr:row>
                    <xdr:rowOff>76200</xdr:rowOff>
                  </from>
                  <to>
                    <xdr:col>23</xdr:col>
                    <xdr:colOff>304800</xdr:colOff>
                    <xdr:row>7</xdr:row>
                    <xdr:rowOff>152400</xdr:rowOff>
                  </to>
                </anchor>
              </controlPr>
            </control>
          </mc:Choice>
        </mc:AlternateContent>
      </controls>
    </mc:Choice>
  </mc:AlternateContent>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6962B-87AD-4BD3-BC41-EEEE16824DA5}">
  <sheetPr codeName="Sheet4"/>
  <dimension ref="A1:W164"/>
  <sheetViews>
    <sheetView workbookViewId="0">
      <selection activeCell="B2" sqref="B2:G2"/>
    </sheetView>
  </sheetViews>
  <sheetFormatPr defaultRowHeight="15" x14ac:dyDescent="0.25"/>
  <cols>
    <col min="1" max="1" width="18.85546875" customWidth="1"/>
    <col min="2" max="2" width="22.42578125" customWidth="1"/>
    <col min="3" max="3" width="3.7109375" customWidth="1"/>
    <col min="10" max="10" width="3.5703125" customWidth="1"/>
    <col min="12" max="12" width="2.42578125" customWidth="1"/>
    <col min="13" max="13" width="13.85546875" customWidth="1"/>
    <col min="14" max="16" width="13.42578125" customWidth="1"/>
    <col min="17" max="17" width="13.5703125" customWidth="1"/>
    <col min="18" max="18" width="14.5703125" customWidth="1"/>
    <col min="19" max="19" width="2.7109375" customWidth="1"/>
    <col min="20" max="20" width="13.5703125" customWidth="1"/>
    <col min="21" max="21" width="14.42578125" customWidth="1"/>
    <col min="22" max="22" width="15.28515625" customWidth="1"/>
    <col min="23" max="23" width="15.85546875" customWidth="1"/>
  </cols>
  <sheetData>
    <row r="1" spans="1:23" ht="23.25" x14ac:dyDescent="0.35">
      <c r="A1" s="54" t="s">
        <v>163</v>
      </c>
      <c r="B1" s="55"/>
      <c r="C1" s="55"/>
      <c r="D1" s="55"/>
      <c r="E1" s="55"/>
      <c r="F1" s="55"/>
      <c r="G1" s="55"/>
      <c r="H1" s="55"/>
      <c r="I1" s="55"/>
      <c r="J1" s="55"/>
      <c r="K1" s="55"/>
      <c r="L1" s="55"/>
      <c r="M1" s="55"/>
      <c r="N1" s="55"/>
      <c r="O1" s="55"/>
      <c r="P1" s="55"/>
      <c r="Q1" s="55"/>
      <c r="R1" s="55"/>
    </row>
    <row r="2" spans="1:23" x14ac:dyDescent="0.25">
      <c r="B2" s="53" t="s">
        <v>165</v>
      </c>
      <c r="C2" s="53"/>
      <c r="D2" s="53"/>
      <c r="E2" s="53"/>
      <c r="F2" s="53"/>
      <c r="G2" s="53"/>
    </row>
    <row r="3" spans="1:23" x14ac:dyDescent="0.25">
      <c r="B3" s="49"/>
      <c r="C3" s="49"/>
      <c r="D3" s="49"/>
      <c r="E3" s="49"/>
      <c r="F3" s="49"/>
      <c r="G3" s="49"/>
    </row>
    <row r="4" spans="1:23" x14ac:dyDescent="0.25">
      <c r="A4" s="26" t="s">
        <v>164</v>
      </c>
      <c r="B4" s="57"/>
      <c r="C4" s="58"/>
      <c r="D4" s="58"/>
      <c r="E4" s="58"/>
      <c r="F4" s="58"/>
      <c r="G4" s="58"/>
      <c r="H4" s="58"/>
      <c r="I4" s="59"/>
    </row>
    <row r="5" spans="1:23" x14ac:dyDescent="0.25">
      <c r="A5" s="27"/>
      <c r="B5" s="57"/>
      <c r="C5" s="58"/>
      <c r="D5" s="58"/>
      <c r="E5" s="58"/>
      <c r="F5" s="58"/>
      <c r="G5" s="58"/>
      <c r="H5" s="58"/>
      <c r="I5" s="59"/>
    </row>
    <row r="6" spans="1:23" x14ac:dyDescent="0.25">
      <c r="A6" s="27" t="s">
        <v>44</v>
      </c>
      <c r="B6" s="57" t="str">
        <f ca="1">Calculator!G2</f>
        <v>All</v>
      </c>
      <c r="C6" s="58"/>
      <c r="D6" s="58"/>
      <c r="E6" s="58"/>
      <c r="F6" s="58"/>
      <c r="G6" s="58"/>
      <c r="H6" s="58"/>
      <c r="I6" s="59"/>
    </row>
    <row r="7" spans="1:23" x14ac:dyDescent="0.25">
      <c r="A7" s="27" t="s">
        <v>265</v>
      </c>
      <c r="B7" s="57" t="str">
        <f ca="1">Calculator!G3</f>
        <v>All</v>
      </c>
      <c r="C7" s="58"/>
      <c r="D7" s="58"/>
      <c r="E7" s="58"/>
      <c r="F7" s="58"/>
      <c r="G7" s="58"/>
      <c r="H7" s="58"/>
      <c r="I7" s="59"/>
    </row>
    <row r="8" spans="1:23" x14ac:dyDescent="0.25">
      <c r="A8" s="27" t="s">
        <v>178</v>
      </c>
      <c r="B8" s="57" t="str">
        <f ca="1">Calculator!G4</f>
        <v>All</v>
      </c>
      <c r="C8" s="58"/>
      <c r="D8" s="58"/>
      <c r="E8" s="58"/>
      <c r="F8" s="58"/>
      <c r="G8" s="58"/>
      <c r="H8" s="58"/>
      <c r="I8" s="59"/>
    </row>
    <row r="9" spans="1:23" x14ac:dyDescent="0.25">
      <c r="A9" s="27" t="s">
        <v>266</v>
      </c>
      <c r="B9" s="57" t="str">
        <f ca="1">Calculator!G5</f>
        <v>All</v>
      </c>
      <c r="C9" s="58"/>
      <c r="D9" s="58"/>
      <c r="E9" s="58"/>
      <c r="F9" s="58"/>
      <c r="G9" s="58"/>
      <c r="H9" s="58"/>
      <c r="I9" s="59"/>
    </row>
    <row r="10" spans="1:23" x14ac:dyDescent="0.25">
      <c r="A10" s="27" t="s">
        <v>267</v>
      </c>
      <c r="B10" s="57" t="str">
        <f ca="1">Calculator!G6</f>
        <v>All</v>
      </c>
      <c r="C10" s="58"/>
      <c r="D10" s="58"/>
      <c r="E10" s="58"/>
      <c r="F10" s="58"/>
      <c r="G10" s="58"/>
      <c r="H10" s="58"/>
      <c r="I10" s="59"/>
    </row>
    <row r="12" spans="1:23" x14ac:dyDescent="0.25">
      <c r="D12" s="56" t="s">
        <v>166</v>
      </c>
      <c r="E12" s="56"/>
      <c r="F12" s="56"/>
      <c r="G12" s="56"/>
      <c r="H12" s="56"/>
      <c r="I12" s="56"/>
      <c r="M12" s="56" t="s">
        <v>170</v>
      </c>
      <c r="N12" s="56"/>
      <c r="O12" s="56"/>
      <c r="P12" s="56"/>
      <c r="Q12" s="56"/>
      <c r="R12" s="56"/>
    </row>
    <row r="13" spans="1:23" x14ac:dyDescent="0.25">
      <c r="D13" s="21" t="s">
        <v>1</v>
      </c>
      <c r="E13" s="21" t="s">
        <v>9</v>
      </c>
      <c r="F13" s="21" t="s">
        <v>3</v>
      </c>
      <c r="G13" s="21" t="s">
        <v>168</v>
      </c>
      <c r="H13" s="21"/>
      <c r="I13" s="21"/>
      <c r="K13" s="21" t="s">
        <v>137</v>
      </c>
      <c r="M13" s="21" t="s">
        <v>141</v>
      </c>
      <c r="N13" s="21" t="s">
        <v>142</v>
      </c>
      <c r="O13" s="21" t="s">
        <v>141</v>
      </c>
      <c r="P13" s="21" t="s">
        <v>142</v>
      </c>
      <c r="Q13" s="21" t="s">
        <v>141</v>
      </c>
      <c r="R13" s="21" t="s">
        <v>142</v>
      </c>
      <c r="S13" s="21"/>
      <c r="T13" s="21"/>
      <c r="U13" s="21"/>
      <c r="V13" s="21"/>
      <c r="W13" s="21"/>
    </row>
    <row r="14" spans="1:23" x14ac:dyDescent="0.25">
      <c r="B14" s="21" t="s">
        <v>14</v>
      </c>
      <c r="D14" s="21" t="s">
        <v>3</v>
      </c>
      <c r="E14" s="21" t="s">
        <v>3</v>
      </c>
      <c r="F14" s="21" t="s">
        <v>7</v>
      </c>
      <c r="G14" s="21" t="s">
        <v>7</v>
      </c>
      <c r="H14" s="21" t="s">
        <v>149</v>
      </c>
      <c r="I14" s="21" t="s">
        <v>147</v>
      </c>
      <c r="K14" s="21" t="s">
        <v>144</v>
      </c>
      <c r="M14" s="21" t="s">
        <v>158</v>
      </c>
      <c r="N14" s="21" t="s">
        <v>158</v>
      </c>
      <c r="O14" s="21" t="s">
        <v>157</v>
      </c>
      <c r="P14" s="21" t="s">
        <v>157</v>
      </c>
      <c r="Q14" s="21" t="s">
        <v>4</v>
      </c>
      <c r="R14" s="21" t="s">
        <v>4</v>
      </c>
      <c r="S14" s="21"/>
      <c r="T14" s="21"/>
      <c r="U14" s="21"/>
      <c r="V14" s="21"/>
      <c r="W14" s="21"/>
    </row>
    <row r="15" spans="1:23" x14ac:dyDescent="0.25">
      <c r="B15" s="28">
        <f>Calculator!B11</f>
        <v>40939</v>
      </c>
      <c r="D15" s="3">
        <f>Calculator!AS11</f>
        <v>3.3203252406713837E-3</v>
      </c>
      <c r="E15" s="3">
        <f>Calculator!AT11</f>
        <v>4.2986691576655268E-5</v>
      </c>
      <c r="F15" s="3">
        <f>Calculator!AU11</f>
        <v>3.3633119322480391E-3</v>
      </c>
      <c r="G15" s="3">
        <f>Calculator!AY11</f>
        <v>3.4280549573476758E-3</v>
      </c>
      <c r="H15" s="3">
        <f>Calculator!AZ11</f>
        <v>2.2314569897763032E-3</v>
      </c>
      <c r="I15" s="3">
        <f>Calculator!BA11</f>
        <v>5.659511947123979E-3</v>
      </c>
      <c r="K15" s="20">
        <f>Calculator!AC11</f>
        <v>39</v>
      </c>
      <c r="M15" s="20">
        <f>Calculator!Q11</f>
        <v>1541327174.8499999</v>
      </c>
      <c r="N15" s="20">
        <f>Calculator!R11</f>
        <v>1550926291.2</v>
      </c>
      <c r="O15" s="20">
        <f>Calculator!M11</f>
        <v>1541327174.8499999</v>
      </c>
      <c r="P15" s="20">
        <f>Calculator!N11</f>
        <v>1550926291.2</v>
      </c>
      <c r="Q15" s="20">
        <f>Calculator!O11</f>
        <v>1620125593.6500001</v>
      </c>
      <c r="R15" s="20">
        <f>Calculator!P11</f>
        <v>1626296317.4299996</v>
      </c>
      <c r="S15" s="20"/>
      <c r="T15" s="20"/>
      <c r="U15" s="20"/>
      <c r="V15" s="20"/>
      <c r="W15" s="20"/>
    </row>
    <row r="16" spans="1:23" x14ac:dyDescent="0.25">
      <c r="B16" s="28">
        <f>Calculator!B12</f>
        <v>40968</v>
      </c>
      <c r="D16" s="3">
        <f>Calculator!AS12</f>
        <v>3.632354605483638E-3</v>
      </c>
      <c r="E16" s="3">
        <f>Calculator!AT12</f>
        <v>5.719568728152831E-5</v>
      </c>
      <c r="F16" s="3">
        <f>Calculator!AU12</f>
        <v>3.6895502927651665E-3</v>
      </c>
      <c r="G16" s="3">
        <f>Calculator!AY12</f>
        <v>3.6862863835776471E-3</v>
      </c>
      <c r="H16" s="3">
        <f>Calculator!AZ12</f>
        <v>2.3291082293336643E-3</v>
      </c>
      <c r="I16" s="3">
        <f>Calculator!BA12</f>
        <v>6.0153946129113114E-3</v>
      </c>
      <c r="K16" s="20">
        <f>Calculator!AC12</f>
        <v>41</v>
      </c>
      <c r="M16" s="20">
        <f>Calculator!Q12</f>
        <v>1550926291.2</v>
      </c>
      <c r="N16" s="20">
        <f>Calculator!R12</f>
        <v>1630859984.2899995</v>
      </c>
      <c r="O16" s="20">
        <f>Calculator!M12</f>
        <v>1550926291.2</v>
      </c>
      <c r="P16" s="20">
        <f>Calculator!N12</f>
        <v>1630859984.2899995</v>
      </c>
      <c r="Q16" s="20">
        <f>Calculator!O12</f>
        <v>1626296317.4299996</v>
      </c>
      <c r="R16" s="20">
        <f>Calculator!P12</f>
        <v>1702535963.52</v>
      </c>
      <c r="S16" s="20"/>
      <c r="T16" s="20"/>
      <c r="U16" s="20"/>
      <c r="V16" s="20"/>
      <c r="W16" s="20"/>
    </row>
    <row r="17" spans="2:23" x14ac:dyDescent="0.25">
      <c r="B17" s="28">
        <f>Calculator!B13</f>
        <v>40999</v>
      </c>
      <c r="D17" s="3">
        <f>Calculator!AS13</f>
        <v>3.4102252444313153E-3</v>
      </c>
      <c r="E17" s="3">
        <f>Calculator!AT13</f>
        <v>7.2742929328173839E-5</v>
      </c>
      <c r="F17" s="3">
        <f>Calculator!AU13</f>
        <v>3.4829681737594889E-3</v>
      </c>
      <c r="G17" s="3">
        <f>Calculator!AY13</f>
        <v>3.7891388151784708E-3</v>
      </c>
      <c r="H17" s="3">
        <f>Calculator!AZ13</f>
        <v>-1.4568798219757829E-4</v>
      </c>
      <c r="I17" s="3">
        <f>Calculator!BA13</f>
        <v>3.6434508329808925E-3</v>
      </c>
      <c r="K17" s="20">
        <f>Calculator!AC13</f>
        <v>41</v>
      </c>
      <c r="M17" s="20">
        <f>Calculator!Q13</f>
        <v>1630859984.2899995</v>
      </c>
      <c r="N17" s="20">
        <f>Calculator!R13</f>
        <v>1637939996.3699996</v>
      </c>
      <c r="O17" s="20">
        <f>Calculator!M13</f>
        <v>1630859984.2899995</v>
      </c>
      <c r="P17" s="20">
        <f>Calculator!N13</f>
        <v>1637939996.3699996</v>
      </c>
      <c r="Q17" s="20">
        <f>Calculator!O13</f>
        <v>1702535963.52</v>
      </c>
      <c r="R17" s="20">
        <f>Calculator!P13</f>
        <v>1709853859.1500001</v>
      </c>
      <c r="S17" s="20"/>
      <c r="T17" s="20"/>
      <c r="U17" s="20"/>
      <c r="V17" s="20"/>
      <c r="W17" s="20"/>
    </row>
    <row r="18" spans="2:23" x14ac:dyDescent="0.25">
      <c r="B18" s="28">
        <f>Calculator!B14</f>
        <v>41029</v>
      </c>
      <c r="D18" s="3">
        <f>Calculator!AS14</f>
        <v>4.3083029315849211E-3</v>
      </c>
      <c r="E18" s="3">
        <f>Calculator!AT14</f>
        <v>9.1239169089756979E-5</v>
      </c>
      <c r="F18" s="3">
        <f>Calculator!AU14</f>
        <v>4.399542100674678E-3</v>
      </c>
      <c r="G18" s="3">
        <f>Calculator!AY14</f>
        <v>4.3964020129759534E-3</v>
      </c>
      <c r="H18" s="3">
        <f>Calculator!AZ14</f>
        <v>-2.1135879978118033E-3</v>
      </c>
      <c r="I18" s="3">
        <f>Calculator!BA14</f>
        <v>2.2828140151641501E-3</v>
      </c>
      <c r="K18" s="20">
        <f>Calculator!AC14</f>
        <v>42</v>
      </c>
      <c r="M18" s="20">
        <f>Calculator!Q14</f>
        <v>1637939996.3699996</v>
      </c>
      <c r="N18" s="20">
        <f>Calculator!R14</f>
        <v>1653440448.4999995</v>
      </c>
      <c r="O18" s="20">
        <f>Calculator!M14</f>
        <v>1637939996.3699996</v>
      </c>
      <c r="P18" s="20">
        <f>Calculator!N14</f>
        <v>1653440448.4999995</v>
      </c>
      <c r="Q18" s="20">
        <f>Calculator!O14</f>
        <v>1709853859.1500001</v>
      </c>
      <c r="R18" s="20">
        <f>Calculator!P14</f>
        <v>1728828860.6699996</v>
      </c>
      <c r="S18" s="20"/>
      <c r="T18" s="20"/>
      <c r="U18" s="20"/>
      <c r="V18" s="20"/>
      <c r="W18" s="20"/>
    </row>
    <row r="19" spans="2:23" x14ac:dyDescent="0.25">
      <c r="B19" s="28">
        <f>Calculator!B15</f>
        <v>41060</v>
      </c>
      <c r="D19" s="3">
        <f>Calculator!AS15</f>
        <v>3.8966158460981594E-3</v>
      </c>
      <c r="E19" s="3">
        <f>Calculator!AT15</f>
        <v>9.9708252464860827E-5</v>
      </c>
      <c r="F19" s="3">
        <f>Calculator!AU15</f>
        <v>3.9963240985630205E-3</v>
      </c>
      <c r="G19" s="3">
        <f>Calculator!AY15</f>
        <v>3.9933016577287173E-3</v>
      </c>
      <c r="H19" s="3">
        <f>Calculator!AZ15</f>
        <v>1.166194401957996E-2</v>
      </c>
      <c r="I19" s="3">
        <f>Calculator!BA15</f>
        <v>1.5655245677308676E-2</v>
      </c>
      <c r="K19" s="20">
        <f>Calculator!AC15</f>
        <v>43</v>
      </c>
      <c r="M19" s="20">
        <f>Calculator!Q15</f>
        <v>1653440448.4999995</v>
      </c>
      <c r="N19" s="20">
        <f>Calculator!R15</f>
        <v>1678828007.7299998</v>
      </c>
      <c r="O19" s="20">
        <f>Calculator!M15</f>
        <v>1653440448.4999995</v>
      </c>
      <c r="P19" s="20">
        <f>Calculator!N15</f>
        <v>1678828007.7299998</v>
      </c>
      <c r="Q19" s="20">
        <f>Calculator!O15</f>
        <v>1728828860.6699996</v>
      </c>
      <c r="R19" s="20">
        <f>Calculator!P15</f>
        <v>1734937172.1999998</v>
      </c>
      <c r="S19" s="20"/>
      <c r="T19" s="20"/>
      <c r="U19" s="20"/>
      <c r="V19" s="20"/>
      <c r="W19" s="20"/>
    </row>
    <row r="20" spans="2:23" x14ac:dyDescent="0.25">
      <c r="B20" s="28">
        <f>Calculator!B16</f>
        <v>41090</v>
      </c>
      <c r="D20" s="3">
        <f>Calculator!AS16</f>
        <v>4.7267809483842989E-3</v>
      </c>
      <c r="E20" s="3">
        <f>Calculator!AT16</f>
        <v>1.0861434167854578E-4</v>
      </c>
      <c r="F20" s="3">
        <f>Calculator!AU16</f>
        <v>4.8353952900628445E-3</v>
      </c>
      <c r="G20" s="3">
        <f>Calculator!AY16</f>
        <v>4.8322872914934294E-3</v>
      </c>
      <c r="H20" s="3">
        <f>Calculator!AZ16</f>
        <v>-2.9221592188819791E-4</v>
      </c>
      <c r="I20" s="3">
        <f>Calculator!BA16</f>
        <v>4.5400713696052315E-3</v>
      </c>
      <c r="K20" s="20">
        <f>Calculator!AC16</f>
        <v>43</v>
      </c>
      <c r="M20" s="20">
        <f>Calculator!Q16</f>
        <v>1678828007.7299998</v>
      </c>
      <c r="N20" s="20">
        <f>Calculator!R16</f>
        <v>1641086594.97</v>
      </c>
      <c r="O20" s="20">
        <f>Calculator!M16</f>
        <v>1678828007.7299998</v>
      </c>
      <c r="P20" s="20">
        <f>Calculator!N16</f>
        <v>1641086594.97</v>
      </c>
      <c r="Q20" s="20">
        <f>Calculator!O16</f>
        <v>1734937172.1999998</v>
      </c>
      <c r="R20" s="20">
        <f>Calculator!P16</f>
        <v>1697679930.7899995</v>
      </c>
      <c r="S20" s="20"/>
      <c r="T20" s="20"/>
      <c r="U20" s="20"/>
      <c r="V20" s="20"/>
      <c r="W20" s="20"/>
    </row>
    <row r="21" spans="2:23" x14ac:dyDescent="0.25">
      <c r="B21" s="28">
        <f>Calculator!B17</f>
        <v>41121</v>
      </c>
      <c r="D21" s="3">
        <f>Calculator!AS17</f>
        <v>3.9837924339414296E-3</v>
      </c>
      <c r="E21" s="3">
        <f>Calculator!AT17</f>
        <v>1.2112236910026314E-4</v>
      </c>
      <c r="F21" s="3">
        <f>Calculator!AU17</f>
        <v>4.1049148030416925E-3</v>
      </c>
      <c r="G21" s="3">
        <f>Calculator!AY17</f>
        <v>4.4345586623616238E-3</v>
      </c>
      <c r="H21" s="3">
        <f>Calculator!AZ17</f>
        <v>2.0178641487146294E-3</v>
      </c>
      <c r="I21" s="3">
        <f>Calculator!BA17</f>
        <v>6.4524228110762532E-3</v>
      </c>
      <c r="K21" s="20">
        <f>Calculator!AC17</f>
        <v>46</v>
      </c>
      <c r="M21" s="20">
        <f>Calculator!Q17</f>
        <v>1641086594.97</v>
      </c>
      <c r="N21" s="20">
        <f>Calculator!R17</f>
        <v>1790792863.1500003</v>
      </c>
      <c r="O21" s="20">
        <f>Calculator!M17</f>
        <v>1641086594.97</v>
      </c>
      <c r="P21" s="20">
        <f>Calculator!N17</f>
        <v>1790792863.1500003</v>
      </c>
      <c r="Q21" s="20">
        <f>Calculator!O17</f>
        <v>1697679930.7899995</v>
      </c>
      <c r="R21" s="20">
        <f>Calculator!P17</f>
        <v>1843935004.78</v>
      </c>
      <c r="S21" s="20"/>
      <c r="T21" s="20"/>
      <c r="U21" s="20"/>
      <c r="V21" s="20"/>
      <c r="W21" s="20"/>
    </row>
    <row r="22" spans="2:23" x14ac:dyDescent="0.25">
      <c r="B22" s="28">
        <f>Calculator!B18</f>
        <v>41152</v>
      </c>
      <c r="D22" s="3">
        <f>Calculator!AS18</f>
        <v>5.7278328952868954E-3</v>
      </c>
      <c r="E22" s="3">
        <f>Calculator!AT18</f>
        <v>1.3216050835599752E-4</v>
      </c>
      <c r="F22" s="3">
        <f>Calculator!AU18</f>
        <v>5.8599934036428925E-3</v>
      </c>
      <c r="G22" s="3">
        <f>Calculator!AY18</f>
        <v>5.9825904214278625E-3</v>
      </c>
      <c r="H22" s="3">
        <f>Calculator!AZ18</f>
        <v>6.6350703684464607E-3</v>
      </c>
      <c r="I22" s="3">
        <f>Calculator!BA18</f>
        <v>1.2617660789874323E-2</v>
      </c>
      <c r="K22" s="20">
        <f>Calculator!AC18</f>
        <v>46</v>
      </c>
      <c r="M22" s="20">
        <f>Calculator!Q18</f>
        <v>1790792863.1500003</v>
      </c>
      <c r="N22" s="20">
        <f>Calculator!R18</f>
        <v>1785285112.1799998</v>
      </c>
      <c r="O22" s="20">
        <f>Calculator!M18</f>
        <v>1790792863.1500003</v>
      </c>
      <c r="P22" s="20">
        <f>Calculator!N18</f>
        <v>1785285112.1799998</v>
      </c>
      <c r="Q22" s="20">
        <f>Calculator!O18</f>
        <v>1843935004.78</v>
      </c>
      <c r="R22" s="20">
        <f>Calculator!P18</f>
        <v>1826633626.2099996</v>
      </c>
      <c r="S22" s="20"/>
      <c r="T22" s="20"/>
      <c r="U22" s="20"/>
      <c r="V22" s="20"/>
      <c r="W22" s="20"/>
    </row>
    <row r="23" spans="2:23" x14ac:dyDescent="0.25">
      <c r="B23" s="28">
        <f>Calculator!B19</f>
        <v>41182</v>
      </c>
      <c r="D23" s="3">
        <f>Calculator!AS19</f>
        <v>5.2206260993978935E-3</v>
      </c>
      <c r="E23" s="3">
        <f>Calculator!AT19</f>
        <v>2.3923908150542175E-5</v>
      </c>
      <c r="F23" s="3">
        <f>Calculator!AU19</f>
        <v>5.2445500075484356E-3</v>
      </c>
      <c r="G23" s="3">
        <f>Calculator!AY19</f>
        <v>5.6142951463471237E-3</v>
      </c>
      <c r="H23" s="3">
        <f>Calculator!AZ19</f>
        <v>-8.3457485039089528E-3</v>
      </c>
      <c r="I23" s="3">
        <f>Calculator!BA19</f>
        <v>-2.7314533575618295E-3</v>
      </c>
      <c r="K23" s="20">
        <f>Calculator!AC19</f>
        <v>48</v>
      </c>
      <c r="M23" s="20">
        <f>Calculator!Q19</f>
        <v>1785285112.1799998</v>
      </c>
      <c r="N23" s="20">
        <f>Calculator!R19</f>
        <v>1830593798.27</v>
      </c>
      <c r="O23" s="20">
        <f>Calculator!M19</f>
        <v>1785285112.1799998</v>
      </c>
      <c r="P23" s="20">
        <f>Calculator!N19</f>
        <v>1830593798.27</v>
      </c>
      <c r="Q23" s="20">
        <f>Calculator!O19</f>
        <v>1826633626.2099996</v>
      </c>
      <c r="R23" s="20">
        <f>Calculator!P19</f>
        <v>1887051759.4699996</v>
      </c>
      <c r="S23" s="20"/>
      <c r="T23" s="20"/>
      <c r="U23" s="20"/>
      <c r="V23" s="20"/>
      <c r="W23" s="20"/>
    </row>
    <row r="24" spans="2:23" x14ac:dyDescent="0.25">
      <c r="B24" s="28">
        <f>Calculator!B20</f>
        <v>41213</v>
      </c>
      <c r="D24" s="3">
        <f>Calculator!AS20</f>
        <v>4.8211674799418409E-3</v>
      </c>
      <c r="E24" s="3">
        <f>Calculator!AT20</f>
        <v>1.3787697422555016E-4</v>
      </c>
      <c r="F24" s="3">
        <f>Calculator!AU20</f>
        <v>4.9590444541673913E-3</v>
      </c>
      <c r="G24" s="3">
        <f>Calculator!AY20</f>
        <v>5.4779304508403666E-3</v>
      </c>
      <c r="H24" s="3">
        <f>Calculator!AZ20</f>
        <v>6.2285991281571616E-4</v>
      </c>
      <c r="I24" s="3">
        <f>Calculator!BA20</f>
        <v>6.1007903636560827E-3</v>
      </c>
      <c r="K24" s="20">
        <f>Calculator!AC20</f>
        <v>50</v>
      </c>
      <c r="M24" s="20">
        <f>Calculator!Q20</f>
        <v>1830593798.27</v>
      </c>
      <c r="N24" s="20">
        <f>Calculator!R20</f>
        <v>1900434852.8</v>
      </c>
      <c r="O24" s="20">
        <f>Calculator!M20</f>
        <v>1830593798.27</v>
      </c>
      <c r="P24" s="20">
        <f>Calculator!N20</f>
        <v>1900434852.8</v>
      </c>
      <c r="Q24" s="20">
        <f>Calculator!O20</f>
        <v>1887051759.4699996</v>
      </c>
      <c r="R24" s="20">
        <f>Calculator!P20</f>
        <v>1955734597.5999997</v>
      </c>
      <c r="S24" s="20"/>
      <c r="T24" s="20"/>
      <c r="U24" s="20"/>
      <c r="V24" s="20"/>
      <c r="W24" s="20"/>
    </row>
    <row r="25" spans="2:23" x14ac:dyDescent="0.25">
      <c r="B25" s="28">
        <f>Calculator!B21</f>
        <v>41243</v>
      </c>
      <c r="D25" s="3">
        <f>Calculator!AS21</f>
        <v>5.074521798103266E-3</v>
      </c>
      <c r="E25" s="3">
        <f>Calculator!AT21</f>
        <v>1.5302246320473374E-4</v>
      </c>
      <c r="F25" s="3">
        <f>Calculator!AU21</f>
        <v>5.2275442613080002E-3</v>
      </c>
      <c r="G25" s="3">
        <f>Calculator!AY21</f>
        <v>6.2733136915785019E-3</v>
      </c>
      <c r="H25" s="3">
        <f>Calculator!AZ21</f>
        <v>1.6248190164571078E-3</v>
      </c>
      <c r="I25" s="3">
        <f>Calculator!BA21</f>
        <v>7.8981327080356097E-3</v>
      </c>
      <c r="K25" s="20">
        <f>Calculator!AC21</f>
        <v>52</v>
      </c>
      <c r="M25" s="20">
        <f>Calculator!Q21</f>
        <v>1900434852.8</v>
      </c>
      <c r="N25" s="20">
        <f>Calculator!R21</f>
        <v>1940229425.4499998</v>
      </c>
      <c r="O25" s="20">
        <f>Calculator!M21</f>
        <v>1900434852.8</v>
      </c>
      <c r="P25" s="20">
        <f>Calculator!N21</f>
        <v>1940229425.4499998</v>
      </c>
      <c r="Q25" s="20">
        <f>Calculator!O21</f>
        <v>1955734597.5999997</v>
      </c>
      <c r="R25" s="20">
        <f>Calculator!P21</f>
        <v>1992421455.5199995</v>
      </c>
      <c r="S25" s="20"/>
      <c r="T25" s="20"/>
      <c r="U25" s="20"/>
      <c r="V25" s="20"/>
      <c r="W25" s="20"/>
    </row>
    <row r="26" spans="2:23" x14ac:dyDescent="0.25">
      <c r="B26" s="28">
        <f>Calculator!B22</f>
        <v>41274</v>
      </c>
      <c r="D26" s="3">
        <f>Calculator!AS22</f>
        <v>8.3922034634096119E-3</v>
      </c>
      <c r="E26" s="3">
        <f>Calculator!AT22</f>
        <v>2.1750931586483199E-4</v>
      </c>
      <c r="F26" s="3">
        <f>Calculator!AU22</f>
        <v>8.6097127792744439E-3</v>
      </c>
      <c r="G26" s="3">
        <f>Calculator!AY22</f>
        <v>9.6725291109130643E-3</v>
      </c>
      <c r="H26" s="3">
        <f>Calculator!AZ22</f>
        <v>1.6757990139551916E-3</v>
      </c>
      <c r="I26" s="3">
        <f>Calculator!BA22</f>
        <v>1.1348328124868256E-2</v>
      </c>
      <c r="K26" s="20">
        <f>Calculator!AC22</f>
        <v>60</v>
      </c>
      <c r="M26" s="20">
        <f>Calculator!Q22</f>
        <v>1940229425.4499998</v>
      </c>
      <c r="N26" s="20">
        <f>Calculator!R22</f>
        <v>2076898838.9499998</v>
      </c>
      <c r="O26" s="20">
        <f>Calculator!M22</f>
        <v>1940229425.4499998</v>
      </c>
      <c r="P26" s="20">
        <f>Calculator!N22</f>
        <v>2076898838.9499998</v>
      </c>
      <c r="Q26" s="20">
        <f>Calculator!O22</f>
        <v>1992421455.5199995</v>
      </c>
      <c r="R26" s="20">
        <f>Calculator!P22</f>
        <v>2125744114.4999998</v>
      </c>
      <c r="S26" s="20"/>
      <c r="T26" s="20"/>
      <c r="U26" s="20"/>
      <c r="V26" s="20"/>
      <c r="W26" s="20"/>
    </row>
    <row r="27" spans="2:23" x14ac:dyDescent="0.25">
      <c r="B27" s="28">
        <f>Calculator!B23</f>
        <v>41305</v>
      </c>
      <c r="D27" s="3">
        <f>Calculator!AS23</f>
        <v>4.1828006753117037E-3</v>
      </c>
      <c r="E27" s="3">
        <f>Calculator!AT23</f>
        <v>2.2970932836977802E-4</v>
      </c>
      <c r="F27" s="3">
        <f>Calculator!AU23</f>
        <v>4.4125100036814819E-3</v>
      </c>
      <c r="G27" s="3">
        <f>Calculator!AY23</f>
        <v>4.4805157447001089E-3</v>
      </c>
      <c r="H27" s="3">
        <f>Calculator!AZ23</f>
        <v>-1.1428058387759326E-3</v>
      </c>
      <c r="I27" s="3">
        <f>Calculator!BA23</f>
        <v>3.3377099059241763E-3</v>
      </c>
      <c r="K27" s="20">
        <f>Calculator!AC23</f>
        <v>61</v>
      </c>
      <c r="M27" s="20">
        <f>Calculator!Q23</f>
        <v>2076898838.9499998</v>
      </c>
      <c r="N27" s="20">
        <f>Calculator!R23</f>
        <v>2142527754.1699998</v>
      </c>
      <c r="O27" s="20">
        <f>Calculator!M23</f>
        <v>2076898838.9499998</v>
      </c>
      <c r="P27" s="20">
        <f>Calculator!N23</f>
        <v>2142527754.1699998</v>
      </c>
      <c r="Q27" s="20">
        <f>Calculator!O23</f>
        <v>2125744114.4999998</v>
      </c>
      <c r="R27" s="20">
        <f>Calculator!P23</f>
        <v>2193780209.5899997</v>
      </c>
      <c r="S27" s="20"/>
      <c r="T27" s="20"/>
      <c r="U27" s="20"/>
      <c r="V27" s="20"/>
      <c r="W27" s="20"/>
    </row>
    <row r="28" spans="2:23" x14ac:dyDescent="0.25">
      <c r="B28" s="28">
        <f>Calculator!B24</f>
        <v>41333</v>
      </c>
      <c r="D28" s="3">
        <f>Calculator!AS24</f>
        <v>6.2255397116617005E-3</v>
      </c>
      <c r="E28" s="3">
        <f>Calculator!AT24</f>
        <v>2.5234113396718533E-4</v>
      </c>
      <c r="F28" s="3">
        <f>Calculator!AU24</f>
        <v>6.4778808456288856E-3</v>
      </c>
      <c r="G28" s="3">
        <f>Calculator!AY24</f>
        <v>7.0363734444268402E-3</v>
      </c>
      <c r="H28" s="3">
        <f>Calculator!AZ24</f>
        <v>2.8217594223099067E-3</v>
      </c>
      <c r="I28" s="3">
        <f>Calculator!BA24</f>
        <v>9.858132866736747E-3</v>
      </c>
      <c r="K28" s="20">
        <f>Calculator!AC24</f>
        <v>61</v>
      </c>
      <c r="M28" s="20">
        <f>Calculator!Q24</f>
        <v>2142527754.1699998</v>
      </c>
      <c r="N28" s="20">
        <f>Calculator!R24</f>
        <v>2037244407.1499999</v>
      </c>
      <c r="O28" s="20">
        <f>Calculator!M24</f>
        <v>2142527754.1699998</v>
      </c>
      <c r="P28" s="20">
        <f>Calculator!N24</f>
        <v>2037244407.1499999</v>
      </c>
      <c r="Q28" s="20">
        <f>Calculator!O24</f>
        <v>2193780209.5899997</v>
      </c>
      <c r="R28" s="20">
        <f>Calculator!P24</f>
        <v>2082628835.78</v>
      </c>
      <c r="S28" s="20"/>
      <c r="T28" s="20"/>
      <c r="U28" s="20"/>
      <c r="V28" s="20"/>
      <c r="W28" s="20"/>
    </row>
    <row r="29" spans="2:23" x14ac:dyDescent="0.25">
      <c r="B29" s="28">
        <f>Calculator!B25</f>
        <v>41364</v>
      </c>
      <c r="D29" s="3">
        <f>Calculator!AS25</f>
        <v>4.7598940296886922E-3</v>
      </c>
      <c r="E29" s="3">
        <f>Calculator!AT25</f>
        <v>1.9670874735806812E-4</v>
      </c>
      <c r="F29" s="3">
        <f>Calculator!AU25</f>
        <v>4.9566027770467603E-3</v>
      </c>
      <c r="G29" s="3">
        <f>Calculator!AY25</f>
        <v>5.1899193626950106E-3</v>
      </c>
      <c r="H29" s="3">
        <f>Calculator!AZ25</f>
        <v>6.1027073512671358E-3</v>
      </c>
      <c r="I29" s="3">
        <f>Calculator!BA25</f>
        <v>1.1292626713962146E-2</v>
      </c>
      <c r="K29" s="20">
        <f>Calculator!AC25</f>
        <v>63</v>
      </c>
      <c r="M29" s="20">
        <f>Calculator!Q25</f>
        <v>2037244407.1499999</v>
      </c>
      <c r="N29" s="20">
        <f>Calculator!R25</f>
        <v>2130136282.6000001</v>
      </c>
      <c r="O29" s="20">
        <f>Calculator!M25</f>
        <v>2037244407.1499999</v>
      </c>
      <c r="P29" s="20">
        <f>Calculator!N25</f>
        <v>2130136282.6000001</v>
      </c>
      <c r="Q29" s="20">
        <f>Calculator!O25</f>
        <v>2082628835.79</v>
      </c>
      <c r="R29" s="20">
        <f>Calculator!P25</f>
        <v>2162875301.5599995</v>
      </c>
      <c r="S29" s="20"/>
      <c r="T29" s="20"/>
      <c r="U29" s="20"/>
      <c r="V29" s="20"/>
      <c r="W29" s="20"/>
    </row>
    <row r="30" spans="2:23" x14ac:dyDescent="0.25">
      <c r="B30" s="28">
        <f>Calculator!B26</f>
        <v>41394</v>
      </c>
      <c r="D30" s="3">
        <f>Calculator!AS26</f>
        <v>5.3163426792951617E-3</v>
      </c>
      <c r="E30" s="3">
        <f>Calculator!AT26</f>
        <v>2.1481061829791432E-4</v>
      </c>
      <c r="F30" s="3">
        <f>Calculator!AU26</f>
        <v>5.5311532975930756E-3</v>
      </c>
      <c r="G30" s="3">
        <f>Calculator!AY26</f>
        <v>5.5304933344117874E-3</v>
      </c>
      <c r="H30" s="3">
        <f>Calculator!AZ26</f>
        <v>-1.7434475288446473E-4</v>
      </c>
      <c r="I30" s="3">
        <f>Calculator!BA26</f>
        <v>5.3561485815273226E-3</v>
      </c>
      <c r="K30" s="20">
        <f>Calculator!AC26</f>
        <v>64</v>
      </c>
      <c r="M30" s="20">
        <f>Calculator!Q26</f>
        <v>2130136282.6000001</v>
      </c>
      <c r="N30" s="20">
        <f>Calculator!R26</f>
        <v>2126074585.04</v>
      </c>
      <c r="O30" s="20">
        <f>Calculator!M26</f>
        <v>2130136282.6000001</v>
      </c>
      <c r="P30" s="20">
        <f>Calculator!N26</f>
        <v>2144297787.04</v>
      </c>
      <c r="Q30" s="20">
        <f>Calculator!O26</f>
        <v>2162875301.5599995</v>
      </c>
      <c r="R30" s="20">
        <f>Calculator!P26</f>
        <v>2177407901.0599999</v>
      </c>
      <c r="S30" s="20"/>
      <c r="T30" s="20"/>
      <c r="U30" s="20"/>
      <c r="V30" s="20"/>
      <c r="W30" s="20"/>
    </row>
    <row r="31" spans="2:23" x14ac:dyDescent="0.25">
      <c r="B31" s="28">
        <f>Calculator!B27</f>
        <v>41425</v>
      </c>
      <c r="D31" s="3">
        <f>Calculator!AS27</f>
        <v>8.2111299280579683E-3</v>
      </c>
      <c r="E31" s="3">
        <f>Calculator!AT27</f>
        <v>2.7869016354752828E-4</v>
      </c>
      <c r="F31" s="3">
        <f>Calculator!AU27</f>
        <v>8.4898200916054961E-3</v>
      </c>
      <c r="G31" s="3">
        <f>Calculator!AY27</f>
        <v>8.632042484135417E-3</v>
      </c>
      <c r="H31" s="3">
        <f>Calculator!AZ27</f>
        <v>-1.9668439255761229E-3</v>
      </c>
      <c r="I31" s="3">
        <f>Calculator!BA27</f>
        <v>6.6651985585592941E-3</v>
      </c>
      <c r="K31" s="20">
        <f>Calculator!AC27</f>
        <v>63</v>
      </c>
      <c r="M31" s="20">
        <f>Calculator!Q27</f>
        <v>2126074585.04</v>
      </c>
      <c r="N31" s="20">
        <f>Calculator!R27</f>
        <v>2064382940.71</v>
      </c>
      <c r="O31" s="20">
        <f>Calculator!M27</f>
        <v>2144297787.04</v>
      </c>
      <c r="P31" s="20">
        <f>Calculator!N27</f>
        <v>2082606142.71</v>
      </c>
      <c r="Q31" s="20">
        <f>Calculator!O27</f>
        <v>2177407901.0599999</v>
      </c>
      <c r="R31" s="20">
        <f>Calculator!P27</f>
        <v>2119760846.7499998</v>
      </c>
      <c r="S31" s="20"/>
      <c r="T31" s="20"/>
      <c r="U31" s="20"/>
      <c r="V31" s="20"/>
      <c r="W31" s="20"/>
    </row>
    <row r="32" spans="2:23" x14ac:dyDescent="0.25">
      <c r="B32" s="28">
        <f>Calculator!B28</f>
        <v>41455</v>
      </c>
      <c r="D32" s="3">
        <f>Calculator!AS28</f>
        <v>5.2110743887827191E-3</v>
      </c>
      <c r="E32" s="3">
        <f>Calculator!AT28</f>
        <v>2.2778803675861545E-4</v>
      </c>
      <c r="F32" s="3">
        <f>Calculator!AU28</f>
        <v>5.4388624255413348E-3</v>
      </c>
      <c r="G32" s="3">
        <f>Calculator!AY28</f>
        <v>5.6033375839447171E-3</v>
      </c>
      <c r="H32" s="3">
        <f>Calculator!AZ28</f>
        <v>2.4637232857460147E-4</v>
      </c>
      <c r="I32" s="3">
        <f>Calculator!BA28</f>
        <v>5.8497099125193186E-3</v>
      </c>
      <c r="K32" s="20">
        <f>Calculator!AC28</f>
        <v>61</v>
      </c>
      <c r="M32" s="20">
        <f>Calculator!Q28</f>
        <v>2064382940.71</v>
      </c>
      <c r="N32" s="20">
        <f>Calculator!R28</f>
        <v>2114880266.9199998</v>
      </c>
      <c r="O32" s="20">
        <f>Calculator!M28</f>
        <v>2082606142.71</v>
      </c>
      <c r="P32" s="20">
        <f>Calculator!N28</f>
        <v>2133103468.9199998</v>
      </c>
      <c r="Q32" s="20">
        <f>Calculator!O28</f>
        <v>2119760846.7499998</v>
      </c>
      <c r="R32" s="20">
        <f>Calculator!P28</f>
        <v>2169745051.0599999</v>
      </c>
      <c r="S32" s="20"/>
      <c r="T32" s="20"/>
      <c r="U32" s="20"/>
      <c r="V32" s="20"/>
      <c r="W32" s="20"/>
    </row>
    <row r="33" spans="2:23" x14ac:dyDescent="0.25">
      <c r="B33" s="28">
        <f>Calculator!B29</f>
        <v>41486</v>
      </c>
      <c r="D33" s="3">
        <f>Calculator!AS29</f>
        <v>5.9758043379482791E-3</v>
      </c>
      <c r="E33" s="3">
        <f>Calculator!AT29</f>
        <v>3.1597581914633423E-4</v>
      </c>
      <c r="F33" s="3">
        <f>Calculator!AU29</f>
        <v>6.2917801570946136E-3</v>
      </c>
      <c r="G33" s="3">
        <f>Calculator!AY29</f>
        <v>7.1021655175471776E-3</v>
      </c>
      <c r="H33" s="3">
        <f>Calculator!AZ29</f>
        <v>-5.2245925016638009E-4</v>
      </c>
      <c r="I33" s="3">
        <f>Calculator!BA29</f>
        <v>6.5797062673807975E-3</v>
      </c>
      <c r="K33" s="20">
        <f>Calculator!AC29</f>
        <v>66</v>
      </c>
      <c r="M33" s="20">
        <f>Calculator!Q29</f>
        <v>2114880266.9199998</v>
      </c>
      <c r="N33" s="20">
        <f>Calculator!R29</f>
        <v>2157093578.5299993</v>
      </c>
      <c r="O33" s="20">
        <f>Calculator!M29</f>
        <v>2133103468.9199998</v>
      </c>
      <c r="P33" s="20">
        <f>Calculator!N29</f>
        <v>2175316780.5299997</v>
      </c>
      <c r="Q33" s="20">
        <f>Calculator!O29</f>
        <v>2169745051.0599999</v>
      </c>
      <c r="R33" s="20">
        <f>Calculator!P29</f>
        <v>2213070873.5999994</v>
      </c>
      <c r="S33" s="20"/>
      <c r="T33" s="20"/>
      <c r="U33" s="20"/>
      <c r="V33" s="20"/>
      <c r="W33" s="20"/>
    </row>
    <row r="34" spans="2:23" x14ac:dyDescent="0.25">
      <c r="B34" s="28">
        <f>Calculator!B30</f>
        <v>41517</v>
      </c>
      <c r="D34" s="3">
        <f>Calculator!AS30</f>
        <v>6.2281589750653454E-3</v>
      </c>
      <c r="E34" s="3">
        <f>Calculator!AT30</f>
        <v>2.165663267422719E-4</v>
      </c>
      <c r="F34" s="3">
        <f>Calculator!AU30</f>
        <v>6.4447253018076172E-3</v>
      </c>
      <c r="G34" s="3">
        <f>Calculator!AY30</f>
        <v>6.5967226692787003E-3</v>
      </c>
      <c r="H34" s="3">
        <f>Calculator!AZ30</f>
        <v>-1.2112803745290522E-4</v>
      </c>
      <c r="I34" s="3">
        <f>Calculator!BA30</f>
        <v>6.4755946318257951E-3</v>
      </c>
      <c r="K34" s="20">
        <f>Calculator!AC30</f>
        <v>65</v>
      </c>
      <c r="M34" s="20">
        <f>Calculator!Q30</f>
        <v>2157093578.5299993</v>
      </c>
      <c r="N34" s="20">
        <f>Calculator!R30</f>
        <v>2239856103.0899997</v>
      </c>
      <c r="O34" s="20">
        <f>Calculator!M30</f>
        <v>2175316780.5299997</v>
      </c>
      <c r="P34" s="20">
        <f>Calculator!N30</f>
        <v>2258079305.0899997</v>
      </c>
      <c r="Q34" s="20">
        <f>Calculator!O30</f>
        <v>2213070873.5999994</v>
      </c>
      <c r="R34" s="20">
        <f>Calculator!P30</f>
        <v>2296099039.7599993</v>
      </c>
      <c r="S34" s="20"/>
      <c r="T34" s="20"/>
      <c r="U34" s="20"/>
      <c r="V34" s="20"/>
      <c r="W34" s="20"/>
    </row>
    <row r="35" spans="2:23" x14ac:dyDescent="0.25">
      <c r="B35" s="28">
        <f>Calculator!B31</f>
        <v>41547</v>
      </c>
      <c r="D35" s="3">
        <f>Calculator!AS31</f>
        <v>5.3043694486992476E-3</v>
      </c>
      <c r="E35" s="3">
        <f>Calculator!AT31</f>
        <v>3.2687297783738943E-4</v>
      </c>
      <c r="F35" s="3">
        <f>Calculator!AU31</f>
        <v>5.6312424265366375E-3</v>
      </c>
      <c r="G35" s="3">
        <f>Calculator!AY31</f>
        <v>5.6292944396072048E-3</v>
      </c>
      <c r="H35" s="3">
        <f>Calculator!AZ31</f>
        <v>-7.1142932049166226E-4</v>
      </c>
      <c r="I35" s="3">
        <f>Calculator!BA31</f>
        <v>4.9178651191155425E-3</v>
      </c>
      <c r="K35" s="20">
        <f>Calculator!AC31</f>
        <v>68</v>
      </c>
      <c r="M35" s="20">
        <f>Calculator!Q31</f>
        <v>2239856103.0899997</v>
      </c>
      <c r="N35" s="20">
        <f>Calculator!R31</f>
        <v>2310401392.8200002</v>
      </c>
      <c r="O35" s="20">
        <f>Calculator!M31</f>
        <v>2258079305.0899997</v>
      </c>
      <c r="P35" s="20">
        <f>Calculator!N31</f>
        <v>2328624594.8200002</v>
      </c>
      <c r="Q35" s="20">
        <f>Calculator!O31</f>
        <v>2296099039.7599993</v>
      </c>
      <c r="R35" s="20">
        <f>Calculator!P31</f>
        <v>2368259156.5500002</v>
      </c>
      <c r="S35" s="20"/>
      <c r="T35" s="20"/>
      <c r="U35" s="20"/>
      <c r="V35" s="20"/>
      <c r="W35" s="20"/>
    </row>
    <row r="36" spans="2:23" x14ac:dyDescent="0.25">
      <c r="B36" s="28">
        <f>Calculator!B32</f>
        <v>41578</v>
      </c>
      <c r="D36" s="3">
        <f>Calculator!AS32</f>
        <v>5.3542208110527768E-3</v>
      </c>
      <c r="E36" s="3">
        <f>Calculator!AT32</f>
        <v>2.7158874858527663E-4</v>
      </c>
      <c r="F36" s="3">
        <f>Calculator!AU32</f>
        <v>5.6258095596380536E-3</v>
      </c>
      <c r="G36" s="3">
        <f>Calculator!AY32</f>
        <v>5.6610749328312978E-3</v>
      </c>
      <c r="H36" s="3">
        <f>Calculator!AZ32</f>
        <v>1.3553294901602056E-3</v>
      </c>
      <c r="I36" s="3">
        <f>Calculator!BA32</f>
        <v>7.0164044229915033E-3</v>
      </c>
      <c r="K36" s="20">
        <f>Calculator!AC32</f>
        <v>73</v>
      </c>
      <c r="M36" s="20">
        <f>Calculator!Q32</f>
        <v>2310401392.8200002</v>
      </c>
      <c r="N36" s="20">
        <f>Calculator!R32</f>
        <v>2568495437.059999</v>
      </c>
      <c r="O36" s="20">
        <f>Calculator!M32</f>
        <v>2328624594.8200002</v>
      </c>
      <c r="P36" s="20">
        <f>Calculator!N32</f>
        <v>2586718639.059999</v>
      </c>
      <c r="Q36" s="20">
        <f>Calculator!O32</f>
        <v>2368259156.5500002</v>
      </c>
      <c r="R36" s="20">
        <f>Calculator!P32</f>
        <v>2623058707.0099988</v>
      </c>
      <c r="S36" s="20"/>
      <c r="T36" s="20"/>
      <c r="U36" s="20"/>
      <c r="V36" s="20"/>
      <c r="W36" s="20"/>
    </row>
    <row r="37" spans="2:23" x14ac:dyDescent="0.25">
      <c r="B37" s="28">
        <f>Calculator!B33</f>
        <v>41608</v>
      </c>
      <c r="D37" s="3">
        <f>Calculator!AS33</f>
        <v>7.8175066649208581E-3</v>
      </c>
      <c r="E37" s="3">
        <f>Calculator!AT33</f>
        <v>3.3292570696548613E-4</v>
      </c>
      <c r="F37" s="3">
        <f>Calculator!AU33</f>
        <v>8.1504323718863438E-3</v>
      </c>
      <c r="G37" s="3">
        <f>Calculator!AY33</f>
        <v>8.2084796738417162E-3</v>
      </c>
      <c r="H37" s="3">
        <f>Calculator!AZ33</f>
        <v>-1.7792029429330603E-3</v>
      </c>
      <c r="I37" s="3">
        <f>Calculator!BA33</f>
        <v>6.4292767309086559E-3</v>
      </c>
      <c r="K37" s="20">
        <f>Calculator!AC33</f>
        <v>72</v>
      </c>
      <c r="M37" s="20">
        <f>Calculator!Q33</f>
        <v>2568495437.059999</v>
      </c>
      <c r="N37" s="20">
        <f>Calculator!R33</f>
        <v>2472932702.7799997</v>
      </c>
      <c r="O37" s="20">
        <f>Calculator!M33</f>
        <v>2586718639.059999</v>
      </c>
      <c r="P37" s="20">
        <f>Calculator!N33</f>
        <v>2491155904.7799997</v>
      </c>
      <c r="Q37" s="20">
        <f>Calculator!O33</f>
        <v>2623058707.0099988</v>
      </c>
      <c r="R37" s="20">
        <f>Calculator!P33</f>
        <v>2531966667.6900001</v>
      </c>
      <c r="S37" s="20"/>
      <c r="T37" s="20"/>
      <c r="U37" s="20"/>
      <c r="V37" s="20"/>
      <c r="W37" s="20"/>
    </row>
    <row r="38" spans="2:23" x14ac:dyDescent="0.25">
      <c r="B38" s="28">
        <f>Calculator!B34</f>
        <v>41639</v>
      </c>
      <c r="D38" s="3">
        <f>Calculator!AS34</f>
        <v>1.3023382378437049E-2</v>
      </c>
      <c r="E38" s="3">
        <f>Calculator!AT34</f>
        <v>3.9545081038743694E-4</v>
      </c>
      <c r="F38" s="3">
        <f>Calculator!AU34</f>
        <v>1.3418833188824485E-2</v>
      </c>
      <c r="G38" s="3">
        <f>Calculator!AY34</f>
        <v>1.3569658751287792E-2</v>
      </c>
      <c r="H38" s="3">
        <f>Calculator!AZ34</f>
        <v>7.7983618578027474E-3</v>
      </c>
      <c r="I38" s="3">
        <f>Calculator!BA34</f>
        <v>2.136802060909054E-2</v>
      </c>
      <c r="K38" s="20">
        <f>Calculator!AC34</f>
        <v>72</v>
      </c>
      <c r="M38" s="20">
        <f>Calculator!Q34</f>
        <v>2472932702.7799997</v>
      </c>
      <c r="N38" s="20">
        <f>Calculator!R34</f>
        <v>2339498880.3199997</v>
      </c>
      <c r="O38" s="20">
        <f>Calculator!M34</f>
        <v>2491155904.7799997</v>
      </c>
      <c r="P38" s="20">
        <f>Calculator!N34</f>
        <v>2357722082.3199997</v>
      </c>
      <c r="Q38" s="20">
        <f>Calculator!O34</f>
        <v>2531966667.6900001</v>
      </c>
      <c r="R38" s="20">
        <f>Calculator!P34</f>
        <v>2379966869.0799999</v>
      </c>
      <c r="S38" s="20"/>
      <c r="T38" s="20"/>
      <c r="U38" s="20"/>
      <c r="V38" s="20"/>
      <c r="W38" s="20"/>
    </row>
    <row r="39" spans="2:23" x14ac:dyDescent="0.25">
      <c r="B39" s="28">
        <f>Calculator!B35</f>
        <v>41670</v>
      </c>
      <c r="D39" s="3">
        <f>Calculator!AS35</f>
        <v>6.3467694523175622E-3</v>
      </c>
      <c r="E39" s="3">
        <f>Calculator!AT35</f>
        <v>3.9674584747767901E-4</v>
      </c>
      <c r="F39" s="3">
        <f>Calculator!AU35</f>
        <v>6.743515299795241E-3</v>
      </c>
      <c r="G39" s="3">
        <f>Calculator!AY35</f>
        <v>8.062560028906143E-3</v>
      </c>
      <c r="H39" s="3">
        <f>Calculator!AZ35</f>
        <v>1.1356363083198668E-3</v>
      </c>
      <c r="I39" s="3">
        <f>Calculator!BA35</f>
        <v>9.1981963372260098E-3</v>
      </c>
      <c r="K39" s="20">
        <f>Calculator!AC35</f>
        <v>71</v>
      </c>
      <c r="M39" s="20">
        <f>Calculator!Q35</f>
        <v>2339498880.3199997</v>
      </c>
      <c r="N39" s="20">
        <f>Calculator!R35</f>
        <v>2295073090.4100003</v>
      </c>
      <c r="O39" s="20">
        <f>Calculator!M35</f>
        <v>2357722082.3199997</v>
      </c>
      <c r="P39" s="20">
        <f>Calculator!N35</f>
        <v>2301630792.4100003</v>
      </c>
      <c r="Q39" s="20">
        <f>Calculator!O35</f>
        <v>2379966869.0799999</v>
      </c>
      <c r="R39" s="20">
        <f>Calculator!P35</f>
        <v>2321256849.5800004</v>
      </c>
      <c r="S39" s="20"/>
      <c r="T39" s="20"/>
      <c r="U39" s="20"/>
      <c r="V39" s="20"/>
      <c r="W39" s="20"/>
    </row>
    <row r="40" spans="2:23" x14ac:dyDescent="0.25">
      <c r="B40" s="28">
        <f>Calculator!B36</f>
        <v>41698</v>
      </c>
      <c r="D40" s="3">
        <f>Calculator!AS36</f>
        <v>5.6859401136257481E-3</v>
      </c>
      <c r="E40" s="3">
        <f>Calculator!AT36</f>
        <v>2.3359490980371454E-4</v>
      </c>
      <c r="F40" s="3">
        <f>Calculator!AU36</f>
        <v>5.9195350234294624E-3</v>
      </c>
      <c r="G40" s="3">
        <f>Calculator!AY36</f>
        <v>8.048480984580263E-3</v>
      </c>
      <c r="H40" s="3">
        <f>Calculator!AZ36</f>
        <v>-1.001814534337413E-3</v>
      </c>
      <c r="I40" s="3">
        <f>Calculator!BA36</f>
        <v>7.04666645024285E-3</v>
      </c>
      <c r="K40" s="20">
        <f>Calculator!AC36</f>
        <v>71</v>
      </c>
      <c r="M40" s="20">
        <f>Calculator!Q36</f>
        <v>2295073090.4100003</v>
      </c>
      <c r="N40" s="20">
        <f>Calculator!R36</f>
        <v>2320904212.7799997</v>
      </c>
      <c r="O40" s="20">
        <f>Calculator!M36</f>
        <v>2301630792.4100003</v>
      </c>
      <c r="P40" s="20">
        <f>Calculator!N36</f>
        <v>2326952720.2799997</v>
      </c>
      <c r="Q40" s="20">
        <f>Calculator!O36</f>
        <v>2321256849.5800004</v>
      </c>
      <c r="R40" s="20">
        <f>Calculator!P36</f>
        <v>2348882835.9899998</v>
      </c>
      <c r="S40" s="20"/>
      <c r="T40" s="20"/>
      <c r="U40" s="20"/>
      <c r="V40" s="20"/>
      <c r="W40" s="20"/>
    </row>
    <row r="41" spans="2:23" x14ac:dyDescent="0.25">
      <c r="B41" s="28">
        <f>Calculator!B37</f>
        <v>41729</v>
      </c>
      <c r="D41" s="3">
        <f>Calculator!AS37</f>
        <v>5.2810844522598538E-3</v>
      </c>
      <c r="E41" s="3">
        <f>Calculator!AT37</f>
        <v>2.9170937926983539E-4</v>
      </c>
      <c r="F41" s="3">
        <f>Calculator!AU37</f>
        <v>5.5727938315296892E-3</v>
      </c>
      <c r="G41" s="3">
        <f>Calculator!AY37</f>
        <v>5.6812502228087121E-3</v>
      </c>
      <c r="H41" s="3">
        <f>Calculator!AZ37</f>
        <v>1.6235528319452656E-3</v>
      </c>
      <c r="I41" s="3">
        <f>Calculator!BA37</f>
        <v>7.3048030547539777E-3</v>
      </c>
      <c r="K41" s="20">
        <f>Calculator!AC37</f>
        <v>71</v>
      </c>
      <c r="M41" s="20">
        <f>Calculator!Q37</f>
        <v>2320904212.7799997</v>
      </c>
      <c r="N41" s="20">
        <f>Calculator!R37</f>
        <v>2366425612.3000002</v>
      </c>
      <c r="O41" s="20">
        <f>Calculator!M37</f>
        <v>2326952720.2799997</v>
      </c>
      <c r="P41" s="20">
        <f>Calculator!N37</f>
        <v>2372474119.8000002</v>
      </c>
      <c r="Q41" s="20">
        <f>Calculator!O37</f>
        <v>2348882835.9899998</v>
      </c>
      <c r="R41" s="20">
        <f>Calculator!P37</f>
        <v>2390613018.7599998</v>
      </c>
      <c r="S41" s="20"/>
      <c r="T41" s="20"/>
      <c r="U41" s="20"/>
      <c r="V41" s="20"/>
      <c r="W41" s="20"/>
    </row>
    <row r="42" spans="2:23" x14ac:dyDescent="0.25">
      <c r="B42" s="28">
        <f>Calculator!B38</f>
        <v>41759</v>
      </c>
      <c r="D42" s="3">
        <f>Calculator!AS38</f>
        <v>6.4359742621494286E-3</v>
      </c>
      <c r="E42" s="3">
        <f>Calculator!AT38</f>
        <v>3.0548425105252238E-4</v>
      </c>
      <c r="F42" s="3">
        <f>Calculator!AU38</f>
        <v>6.7414585132019511E-3</v>
      </c>
      <c r="G42" s="3">
        <f>Calculator!AY38</f>
        <v>7.3130631015437455E-3</v>
      </c>
      <c r="H42" s="3">
        <f>Calculator!AZ38</f>
        <v>-3.7863575366940856E-4</v>
      </c>
      <c r="I42" s="3">
        <f>Calculator!BA38</f>
        <v>6.9344273478743369E-3</v>
      </c>
      <c r="K42" s="20">
        <f>Calculator!AC38</f>
        <v>72</v>
      </c>
      <c r="M42" s="20">
        <f>Calculator!Q38</f>
        <v>2366425612.3000002</v>
      </c>
      <c r="N42" s="20">
        <f>Calculator!R38</f>
        <v>2301757225.0100002</v>
      </c>
      <c r="O42" s="20">
        <f>Calculator!M38</f>
        <v>2372474119.8000002</v>
      </c>
      <c r="P42" s="20">
        <f>Calculator!N38</f>
        <v>2307805732.5100002</v>
      </c>
      <c r="Q42" s="20">
        <f>Calculator!O38</f>
        <v>2390613018.7599998</v>
      </c>
      <c r="R42" s="20">
        <f>Calculator!P38</f>
        <v>2326825348.29</v>
      </c>
      <c r="S42" s="20"/>
      <c r="T42" s="20"/>
      <c r="U42" s="20"/>
      <c r="V42" s="20"/>
      <c r="W42" s="20"/>
    </row>
    <row r="43" spans="2:23" x14ac:dyDescent="0.25">
      <c r="B43" s="28">
        <f>Calculator!B39</f>
        <v>41790</v>
      </c>
      <c r="D43" s="3">
        <f>Calculator!AS39</f>
        <v>6.7226456089691774E-3</v>
      </c>
      <c r="E43" s="3">
        <f>Calculator!AT39</f>
        <v>2.1321425357889436E-4</v>
      </c>
      <c r="F43" s="3">
        <f>Calculator!AU39</f>
        <v>6.935859862548072E-3</v>
      </c>
      <c r="G43" s="3">
        <f>Calculator!AY39</f>
        <v>7.0164882802375254E-3</v>
      </c>
      <c r="H43" s="3">
        <f>Calculator!AZ39</f>
        <v>-9.6026710789890845E-4</v>
      </c>
      <c r="I43" s="3">
        <f>Calculator!BA39</f>
        <v>6.056221172338617E-3</v>
      </c>
      <c r="K43" s="20">
        <f>Calculator!AC39</f>
        <v>70</v>
      </c>
      <c r="M43" s="20">
        <f>Calculator!Q39</f>
        <v>2301757225.0100002</v>
      </c>
      <c r="N43" s="20">
        <f>Calculator!R39</f>
        <v>2165662399.9100003</v>
      </c>
      <c r="O43" s="20">
        <f>Calculator!M39</f>
        <v>2307805732.5100002</v>
      </c>
      <c r="P43" s="20">
        <f>Calculator!N39</f>
        <v>2172059790.4100003</v>
      </c>
      <c r="Q43" s="20">
        <f>Calculator!O39</f>
        <v>2326825348.29</v>
      </c>
      <c r="R43" s="20">
        <f>Calculator!P39</f>
        <v>2173009471.2700005</v>
      </c>
      <c r="S43" s="20"/>
      <c r="T43" s="20"/>
      <c r="U43" s="20"/>
      <c r="V43" s="20"/>
      <c r="W43" s="20"/>
    </row>
    <row r="44" spans="2:23" x14ac:dyDescent="0.25">
      <c r="B44" s="28">
        <f>Calculator!B40</f>
        <v>41820</v>
      </c>
      <c r="D44" s="3">
        <f>Calculator!AS40</f>
        <v>5.5640397559881555E-3</v>
      </c>
      <c r="E44" s="3">
        <f>Calculator!AT40</f>
        <v>3.2004296658797642E-4</v>
      </c>
      <c r="F44" s="3">
        <f>Calculator!AU40</f>
        <v>5.8840827225761323E-3</v>
      </c>
      <c r="G44" s="3">
        <f>Calculator!AY40</f>
        <v>6.2871351315235387E-3</v>
      </c>
      <c r="H44" s="3">
        <f>Calculator!AZ40</f>
        <v>-3.0699332014285951E-3</v>
      </c>
      <c r="I44" s="3">
        <f>Calculator!BA40</f>
        <v>3.2172019300949436E-3</v>
      </c>
      <c r="K44" s="20">
        <f>Calculator!AC40</f>
        <v>73</v>
      </c>
      <c r="M44" s="20">
        <f>Calculator!Q40</f>
        <v>2165662399.9100003</v>
      </c>
      <c r="N44" s="20">
        <f>Calculator!R40</f>
        <v>2417702078.5800004</v>
      </c>
      <c r="O44" s="20">
        <f>Calculator!M40</f>
        <v>2172059790.4100003</v>
      </c>
      <c r="P44" s="20">
        <f>Calculator!N40</f>
        <v>2424099469.0800004</v>
      </c>
      <c r="Q44" s="20">
        <f>Calculator!O40</f>
        <v>2173009471.2700005</v>
      </c>
      <c r="R44" s="20">
        <f>Calculator!P40</f>
        <v>2432073162.5799999</v>
      </c>
      <c r="S44" s="20"/>
      <c r="T44" s="20"/>
      <c r="U44" s="20"/>
      <c r="V44" s="20"/>
      <c r="W44" s="20"/>
    </row>
    <row r="45" spans="2:23" x14ac:dyDescent="0.25">
      <c r="B45" s="28">
        <f>Calculator!B41</f>
        <v>41851</v>
      </c>
      <c r="D45" s="3">
        <f>Calculator!AS41</f>
        <v>2.1790913795405754E-2</v>
      </c>
      <c r="E45" s="3">
        <f>Calculator!AT41</f>
        <v>3.1841170776882299E-4</v>
      </c>
      <c r="F45" s="3">
        <f>Calculator!AU41</f>
        <v>2.2109325503174578E-2</v>
      </c>
      <c r="G45" s="3">
        <f>Calculator!AY41</f>
        <v>2.2260396229159339E-2</v>
      </c>
      <c r="H45" s="3">
        <f>Calculator!AZ41</f>
        <v>4.1635139895440758E-3</v>
      </c>
      <c r="I45" s="3">
        <f>Calculator!BA41</f>
        <v>2.6423910218703415E-2</v>
      </c>
      <c r="K45" s="20">
        <f>Calculator!AC41</f>
        <v>73</v>
      </c>
      <c r="M45" s="20">
        <f>Calculator!Q41</f>
        <v>2417702078.5800004</v>
      </c>
      <c r="N45" s="20">
        <f>Calculator!R41</f>
        <v>2210680740.5199995</v>
      </c>
      <c r="O45" s="20">
        <f>Calculator!M41</f>
        <v>2424099469.0800004</v>
      </c>
      <c r="P45" s="20">
        <f>Calculator!N41</f>
        <v>2217111852.0199995</v>
      </c>
      <c r="Q45" s="20">
        <f>Calculator!O41</f>
        <v>2432073162.5799999</v>
      </c>
      <c r="R45" s="20">
        <f>Calculator!P41</f>
        <v>2215576016.6100001</v>
      </c>
      <c r="S45" s="20"/>
      <c r="T45" s="20"/>
      <c r="U45" s="20"/>
      <c r="V45" s="20"/>
      <c r="W45" s="20"/>
    </row>
    <row r="46" spans="2:23" x14ac:dyDescent="0.25">
      <c r="B46" s="28">
        <f>Calculator!B42</f>
        <v>41882</v>
      </c>
      <c r="D46" s="3">
        <f>Calculator!AS42</f>
        <v>6.6637373979981235E-3</v>
      </c>
      <c r="E46" s="3">
        <f>Calculator!AT42</f>
        <v>2.6795780867375316E-4</v>
      </c>
      <c r="F46" s="3">
        <f>Calculator!AU42</f>
        <v>6.9316952066718765E-3</v>
      </c>
      <c r="G46" s="3">
        <f>Calculator!AY42</f>
        <v>6.9316213286463703E-3</v>
      </c>
      <c r="H46" s="3">
        <f>Calculator!AZ42</f>
        <v>-3.4063112587801904E-4</v>
      </c>
      <c r="I46" s="3">
        <f>Calculator!BA42</f>
        <v>6.5909902027683513E-3</v>
      </c>
      <c r="K46" s="20">
        <f>Calculator!AC42</f>
        <v>72</v>
      </c>
      <c r="M46" s="20">
        <f>Calculator!Q42</f>
        <v>2210680740.5199995</v>
      </c>
      <c r="N46" s="20">
        <f>Calculator!R42</f>
        <v>2174440723.5299997</v>
      </c>
      <c r="O46" s="20">
        <f>Calculator!M42</f>
        <v>2217111852.0199995</v>
      </c>
      <c r="P46" s="20">
        <f>Calculator!N42</f>
        <v>2180871835.0299997</v>
      </c>
      <c r="Q46" s="20">
        <f>Calculator!O42</f>
        <v>2215576016.6100001</v>
      </c>
      <c r="R46" s="20">
        <f>Calculator!P42</f>
        <v>2180080400.9099998</v>
      </c>
      <c r="S46" s="20"/>
      <c r="T46" s="20"/>
      <c r="U46" s="20"/>
      <c r="V46" s="20"/>
      <c r="W46" s="20"/>
    </row>
    <row r="47" spans="2:23" x14ac:dyDescent="0.25">
      <c r="B47" s="28">
        <f>Calculator!B43</f>
        <v>41912</v>
      </c>
      <c r="D47" s="3">
        <f>Calculator!AS43</f>
        <v>5.7900705064578423E-3</v>
      </c>
      <c r="E47" s="3">
        <f>Calculator!AT43</f>
        <v>2.8804245384575543E-4</v>
      </c>
      <c r="F47" s="3">
        <f>Calculator!AU43</f>
        <v>6.078112960303598E-3</v>
      </c>
      <c r="G47" s="3">
        <f>Calculator!AY43</f>
        <v>6.3439938841704825E-3</v>
      </c>
      <c r="H47" s="3">
        <f>Calculator!AZ43</f>
        <v>-4.5765745232383519E-3</v>
      </c>
      <c r="I47" s="3">
        <f>Calculator!BA43</f>
        <v>1.7674193609321302E-3</v>
      </c>
      <c r="K47" s="20">
        <f>Calculator!AC43</f>
        <v>75</v>
      </c>
      <c r="M47" s="20">
        <f>Calculator!Q43</f>
        <v>2174440723.5299997</v>
      </c>
      <c r="N47" s="20">
        <f>Calculator!R43</f>
        <v>2322888641.3600001</v>
      </c>
      <c r="O47" s="20">
        <f>Calculator!M43</f>
        <v>2180871835.0299997</v>
      </c>
      <c r="P47" s="20">
        <f>Calculator!N43</f>
        <v>2329319752.8600001</v>
      </c>
      <c r="Q47" s="20">
        <f>Calculator!O43</f>
        <v>2180080400.9099998</v>
      </c>
      <c r="R47" s="20">
        <f>Calculator!P43</f>
        <v>2338810413.8300004</v>
      </c>
      <c r="S47" s="20"/>
      <c r="T47" s="20"/>
      <c r="U47" s="20"/>
      <c r="V47" s="20"/>
      <c r="W47" s="20"/>
    </row>
    <row r="48" spans="2:23" x14ac:dyDescent="0.25">
      <c r="B48" s="28">
        <f>Calculator!B44</f>
        <v>41943</v>
      </c>
      <c r="D48" s="3">
        <f>Calculator!AS44</f>
        <v>5.9823649718387419E-3</v>
      </c>
      <c r="E48" s="3">
        <f>Calculator!AT44</f>
        <v>8.0760859996938539E-4</v>
      </c>
      <c r="F48" s="3">
        <f>Calculator!AU44</f>
        <v>6.7899735718081273E-3</v>
      </c>
      <c r="G48" s="3">
        <f>Calculator!AY44</f>
        <v>6.7361059871406349E-3</v>
      </c>
      <c r="H48" s="3">
        <f>Calculator!AZ44</f>
        <v>8.3291597422075619E-3</v>
      </c>
      <c r="I48" s="3">
        <f>Calculator!BA44</f>
        <v>1.5065265729348198E-2</v>
      </c>
      <c r="K48" s="20">
        <f>Calculator!AC44</f>
        <v>75</v>
      </c>
      <c r="M48" s="20">
        <f>Calculator!Q44</f>
        <v>2322888641.3600001</v>
      </c>
      <c r="N48" s="20">
        <f>Calculator!R44</f>
        <v>2399138320.5700002</v>
      </c>
      <c r="O48" s="20">
        <f>Calculator!M44</f>
        <v>2329319752.8600001</v>
      </c>
      <c r="P48" s="20">
        <f>Calculator!N44</f>
        <v>2405569432.0700002</v>
      </c>
      <c r="Q48" s="20">
        <f>Calculator!O44</f>
        <v>2338810413.8300004</v>
      </c>
      <c r="R48" s="20">
        <f>Calculator!P44</f>
        <v>2395541857.9000006</v>
      </c>
      <c r="S48" s="20"/>
      <c r="T48" s="20"/>
      <c r="U48" s="20"/>
      <c r="V48" s="20"/>
      <c r="W48" s="20"/>
    </row>
    <row r="49" spans="2:23" x14ac:dyDescent="0.25">
      <c r="B49" s="28">
        <f>Calculator!B45</f>
        <v>41973</v>
      </c>
      <c r="D49" s="3">
        <f>Calculator!AS45</f>
        <v>5.7980385245693933E-3</v>
      </c>
      <c r="E49" s="3">
        <f>Calculator!AT45</f>
        <v>8.0527749067187007E-4</v>
      </c>
      <c r="F49" s="3">
        <f>Calculator!AU45</f>
        <v>6.6033160152412637E-3</v>
      </c>
      <c r="G49" s="3">
        <f>Calculator!AY45</f>
        <v>7.0968731005782706E-3</v>
      </c>
      <c r="H49" s="3">
        <f>Calculator!AZ45</f>
        <v>1.4005383074834387E-3</v>
      </c>
      <c r="I49" s="3">
        <f>Calculator!BA45</f>
        <v>8.4974114080617093E-3</v>
      </c>
      <c r="K49" s="20">
        <f>Calculator!AC45</f>
        <v>81</v>
      </c>
      <c r="M49" s="20">
        <f>Calculator!Q45</f>
        <v>2399138320.5700002</v>
      </c>
      <c r="N49" s="20">
        <f>Calculator!R45</f>
        <v>2529609915.8900008</v>
      </c>
      <c r="O49" s="20">
        <f>Calculator!M45</f>
        <v>2405569432.0700002</v>
      </c>
      <c r="P49" s="20">
        <f>Calculator!N45</f>
        <v>2536090466.3900008</v>
      </c>
      <c r="Q49" s="20">
        <f>Calculator!O45</f>
        <v>2395541857.9000006</v>
      </c>
      <c r="R49" s="20">
        <f>Calculator!P45</f>
        <v>2522626044.0500007</v>
      </c>
      <c r="S49" s="20"/>
      <c r="T49" s="20"/>
      <c r="U49" s="20"/>
      <c r="V49" s="20"/>
      <c r="W49" s="20"/>
    </row>
    <row r="50" spans="2:23" x14ac:dyDescent="0.25">
      <c r="B50" s="28">
        <f>Calculator!B46</f>
        <v>42004</v>
      </c>
      <c r="D50" s="3">
        <f>Calculator!AS46</f>
        <v>5.8064103588896373E-3</v>
      </c>
      <c r="E50" s="3">
        <f>Calculator!AT46</f>
        <v>7.9149397390620079E-4</v>
      </c>
      <c r="F50" s="3">
        <f>Calculator!AU46</f>
        <v>6.5979043327958377E-3</v>
      </c>
      <c r="G50" s="3">
        <f>Calculator!AY46</f>
        <v>6.9526051258467433E-3</v>
      </c>
      <c r="H50" s="3">
        <f>Calculator!AZ46</f>
        <v>1.4980890309329361E-3</v>
      </c>
      <c r="I50" s="3">
        <f>Calculator!BA46</f>
        <v>8.4506941567796794E-3</v>
      </c>
      <c r="K50" s="20">
        <f>Calculator!AC46</f>
        <v>82</v>
      </c>
      <c r="M50" s="20">
        <f>Calculator!Q46</f>
        <v>2529609915.8900008</v>
      </c>
      <c r="N50" s="20">
        <f>Calculator!R46</f>
        <v>2507995972.6600003</v>
      </c>
      <c r="O50" s="20">
        <f>Calculator!M46</f>
        <v>2536090466.3900008</v>
      </c>
      <c r="P50" s="20">
        <f>Calculator!N46</f>
        <v>2514476523.1600003</v>
      </c>
      <c r="Q50" s="20">
        <f>Calculator!O46</f>
        <v>2522626044.0500007</v>
      </c>
      <c r="R50" s="20">
        <f>Calculator!P46</f>
        <v>2497254586.3200006</v>
      </c>
      <c r="S50" s="20"/>
      <c r="T50" s="20"/>
      <c r="U50" s="20"/>
      <c r="V50" s="20"/>
      <c r="W50" s="20"/>
    </row>
    <row r="51" spans="2:23" x14ac:dyDescent="0.25">
      <c r="B51" s="28">
        <f>Calculator!B47</f>
        <v>42035</v>
      </c>
      <c r="D51" s="3">
        <f>Calculator!AS47</f>
        <v>6.0353359765600361E-3</v>
      </c>
      <c r="E51" s="3">
        <f>Calculator!AT47</f>
        <v>7.7682562911452011E-4</v>
      </c>
      <c r="F51" s="3">
        <f>Calculator!AU47</f>
        <v>6.8121616056745563E-3</v>
      </c>
      <c r="G51" s="3">
        <f>Calculator!AY47</f>
        <v>6.8439854144697236E-3</v>
      </c>
      <c r="H51" s="3">
        <f>Calculator!AZ47</f>
        <v>4.7303620018274671E-4</v>
      </c>
      <c r="I51" s="3">
        <f>Calculator!BA47</f>
        <v>7.3170216146524704E-3</v>
      </c>
      <c r="K51" s="20">
        <f>Calculator!AC47</f>
        <v>79</v>
      </c>
      <c r="M51" s="20">
        <f>Calculator!Q47</f>
        <v>2507995972.6600003</v>
      </c>
      <c r="N51" s="20">
        <f>Calculator!R47</f>
        <v>2461838986.9700003</v>
      </c>
      <c r="O51" s="20">
        <f>Calculator!M47</f>
        <v>2514476523.1600003</v>
      </c>
      <c r="P51" s="20">
        <f>Calculator!N47</f>
        <v>2468319537.4700003</v>
      </c>
      <c r="Q51" s="20">
        <f>Calculator!O47</f>
        <v>2497254586.3200006</v>
      </c>
      <c r="R51" s="20">
        <f>Calculator!P47</f>
        <v>2449926429.3900003</v>
      </c>
      <c r="S51" s="20"/>
      <c r="T51" s="20"/>
      <c r="U51" s="20"/>
      <c r="V51" s="20"/>
      <c r="W51" s="20"/>
    </row>
    <row r="52" spans="2:23" x14ac:dyDescent="0.25">
      <c r="B52" s="28">
        <f>Calculator!B48</f>
        <v>42063</v>
      </c>
      <c r="D52" s="3">
        <f>Calculator!AS48</f>
        <v>5.689243570808666E-3</v>
      </c>
      <c r="E52" s="3">
        <f>Calculator!AT48</f>
        <v>6.2953345192996561E-4</v>
      </c>
      <c r="F52" s="3">
        <f>Calculator!AU48</f>
        <v>6.3187770227386315E-3</v>
      </c>
      <c r="G52" s="3">
        <f>Calculator!AY48</f>
        <v>6.5245650273016483E-3</v>
      </c>
      <c r="H52" s="3">
        <f>Calculator!AZ48</f>
        <v>-2.9200981446454201E-4</v>
      </c>
      <c r="I52" s="3">
        <f>Calculator!BA48</f>
        <v>6.2325552128371063E-3</v>
      </c>
      <c r="K52" s="20">
        <f>Calculator!AC48</f>
        <v>80</v>
      </c>
      <c r="M52" s="20">
        <f>Calculator!Q48</f>
        <v>2461838986.9700003</v>
      </c>
      <c r="N52" s="20">
        <f>Calculator!R48</f>
        <v>2904076844.79</v>
      </c>
      <c r="O52" s="20">
        <f>Calculator!M48</f>
        <v>2468319537.4700003</v>
      </c>
      <c r="P52" s="20">
        <f>Calculator!N48</f>
        <v>2910557395.29</v>
      </c>
      <c r="Q52" s="20">
        <f>Calculator!O48</f>
        <v>2449926429.3900003</v>
      </c>
      <c r="R52" s="20">
        <f>Calculator!P48</f>
        <v>2892013882.52</v>
      </c>
      <c r="S52" s="20"/>
      <c r="T52" s="20"/>
      <c r="U52" s="20"/>
      <c r="V52" s="20"/>
      <c r="W52" s="20"/>
    </row>
    <row r="53" spans="2:23" x14ac:dyDescent="0.25">
      <c r="B53" s="28">
        <f>Calculator!B49</f>
        <v>42094</v>
      </c>
      <c r="D53" s="3">
        <f>Calculator!AS49</f>
        <v>5.1762785636316928E-3</v>
      </c>
      <c r="E53" s="3">
        <f>Calculator!AT49</f>
        <v>6.575779782938549E-4</v>
      </c>
      <c r="F53" s="3">
        <f>Calculator!AU49</f>
        <v>5.833856541925548E-3</v>
      </c>
      <c r="G53" s="3">
        <f>Calculator!AY49</f>
        <v>5.8361769464429971E-3</v>
      </c>
      <c r="H53" s="3">
        <f>Calculator!AZ49</f>
        <v>-5.367791927712251E-3</v>
      </c>
      <c r="I53" s="3">
        <f>Calculator!BA49</f>
        <v>4.6838501873074578E-4</v>
      </c>
      <c r="K53" s="20">
        <f>Calculator!AC49</f>
        <v>76</v>
      </c>
      <c r="M53" s="20">
        <f>Calculator!Q49</f>
        <v>2904076844.79</v>
      </c>
      <c r="N53" s="20">
        <f>Calculator!R49</f>
        <v>2798997057.6299992</v>
      </c>
      <c r="O53" s="20">
        <f>Calculator!M49</f>
        <v>2910557395.29</v>
      </c>
      <c r="P53" s="20">
        <f>Calculator!N49</f>
        <v>2805477608.1299992</v>
      </c>
      <c r="Q53" s="20">
        <f>Calculator!O49</f>
        <v>2892013882.52</v>
      </c>
      <c r="R53" s="20">
        <f>Calculator!P49</f>
        <v>2802236968.5</v>
      </c>
      <c r="S53" s="20"/>
      <c r="T53" s="20"/>
      <c r="U53" s="20"/>
      <c r="V53" s="20"/>
      <c r="W53" s="20"/>
    </row>
    <row r="54" spans="2:23" x14ac:dyDescent="0.25">
      <c r="B54" s="28">
        <f>Calculator!B50</f>
        <v>42124</v>
      </c>
      <c r="D54" s="3">
        <f>Calculator!AS50</f>
        <v>4.6721138612860558E-3</v>
      </c>
      <c r="E54" s="3">
        <f>Calculator!AT50</f>
        <v>6.8498647079788207E-4</v>
      </c>
      <c r="F54" s="3">
        <f>Calculator!AU50</f>
        <v>5.3571003320839377E-3</v>
      </c>
      <c r="G54" s="3">
        <f>Calculator!AY50</f>
        <v>5.4317019324338477E-3</v>
      </c>
      <c r="H54" s="3">
        <f>Calculator!AZ50</f>
        <v>-2.0329817389473943E-3</v>
      </c>
      <c r="I54" s="3">
        <f>Calculator!BA50</f>
        <v>3.3987201934864535E-3</v>
      </c>
      <c r="K54" s="20">
        <f>Calculator!AC50</f>
        <v>74</v>
      </c>
      <c r="M54" s="20">
        <f>Calculator!Q50</f>
        <v>2798997057.6299992</v>
      </c>
      <c r="N54" s="20">
        <f>Calculator!R50</f>
        <v>2786767213.9100003</v>
      </c>
      <c r="O54" s="20">
        <f>Calculator!M50</f>
        <v>2805477608.1299992</v>
      </c>
      <c r="P54" s="20">
        <f>Calculator!N50</f>
        <v>2793247764.4100003</v>
      </c>
      <c r="Q54" s="20">
        <f>Calculator!O50</f>
        <v>2802236968.5</v>
      </c>
      <c r="R54" s="20">
        <f>Calculator!P50</f>
        <v>2795675370.79</v>
      </c>
      <c r="S54" s="20"/>
      <c r="T54" s="20"/>
      <c r="U54" s="20"/>
      <c r="V54" s="20"/>
      <c r="W54" s="20"/>
    </row>
    <row r="55" spans="2:23" x14ac:dyDescent="0.25">
      <c r="B55" s="28">
        <f>Calculator!B51</f>
        <v>42155</v>
      </c>
      <c r="D55" s="3">
        <f>Calculator!AS51</f>
        <v>5.5768442456163893E-3</v>
      </c>
      <c r="E55" s="3">
        <f>Calculator!AT51</f>
        <v>6.6024052057737698E-4</v>
      </c>
      <c r="F55" s="3">
        <f>Calculator!AU51</f>
        <v>6.2370847661937659E-3</v>
      </c>
      <c r="G55" s="3">
        <f>Calculator!AY51</f>
        <v>6.4951671961695819E-3</v>
      </c>
      <c r="H55" s="3">
        <f>Calculator!AZ51</f>
        <v>1.8437690138168907E-3</v>
      </c>
      <c r="I55" s="3">
        <f>Calculator!BA51</f>
        <v>8.3389362099864726E-3</v>
      </c>
      <c r="K55" s="20">
        <f>Calculator!AC51</f>
        <v>77</v>
      </c>
      <c r="M55" s="20">
        <f>Calculator!Q51</f>
        <v>2786767213.9100003</v>
      </c>
      <c r="N55" s="20">
        <f>Calculator!R51</f>
        <v>2847189890.0999999</v>
      </c>
      <c r="O55" s="20">
        <f>Calculator!M51</f>
        <v>2793247764.4100003</v>
      </c>
      <c r="P55" s="20">
        <f>Calculator!N51</f>
        <v>2853670440.5999999</v>
      </c>
      <c r="Q55" s="20">
        <f>Calculator!O51</f>
        <v>2795675370.79</v>
      </c>
      <c r="R55" s="20">
        <f>Calculator!P51</f>
        <v>2850925754.9700003</v>
      </c>
      <c r="S55" s="20"/>
      <c r="T55" s="20"/>
      <c r="U55" s="20"/>
      <c r="V55" s="20"/>
      <c r="W55" s="20"/>
    </row>
    <row r="56" spans="2:23" x14ac:dyDescent="0.25">
      <c r="B56" s="28">
        <f>Calculator!B52</f>
        <v>42185</v>
      </c>
      <c r="D56" s="3">
        <f>Calculator!AS52</f>
        <v>6.0660501376733535E-3</v>
      </c>
      <c r="E56" s="3">
        <f>Calculator!AT52</f>
        <v>7.6214768461048518E-4</v>
      </c>
      <c r="F56" s="3">
        <f>Calculator!AU52</f>
        <v>6.8281978222838385E-3</v>
      </c>
      <c r="G56" s="3">
        <f>Calculator!AY52</f>
        <v>6.9785721002309179E-3</v>
      </c>
      <c r="H56" s="3">
        <f>Calculator!AZ52</f>
        <v>-1.9606874165142901E-3</v>
      </c>
      <c r="I56" s="3">
        <f>Calculator!BA52</f>
        <v>5.0178846837166278E-3</v>
      </c>
      <c r="K56" s="20">
        <f>Calculator!AC52</f>
        <v>77</v>
      </c>
      <c r="M56" s="20">
        <f>Calculator!Q52</f>
        <v>2847189890.0999999</v>
      </c>
      <c r="N56" s="20">
        <f>Calculator!R52</f>
        <v>2842214844.3100004</v>
      </c>
      <c r="O56" s="20">
        <f>Calculator!M52</f>
        <v>2853670440.5999999</v>
      </c>
      <c r="P56" s="20">
        <f>Calculator!N52</f>
        <v>2848730296.8100004</v>
      </c>
      <c r="Q56" s="20">
        <f>Calculator!O52</f>
        <v>2850925754.9700003</v>
      </c>
      <c r="R56" s="20">
        <f>Calculator!P52</f>
        <v>2851549224.4700003</v>
      </c>
      <c r="S56" s="20"/>
      <c r="T56" s="20"/>
      <c r="U56" s="20"/>
      <c r="V56" s="20"/>
      <c r="W56" s="20"/>
    </row>
    <row r="57" spans="2:23" x14ac:dyDescent="0.25">
      <c r="B57" s="28">
        <f>Calculator!B53</f>
        <v>42216</v>
      </c>
      <c r="D57" s="3">
        <f>Calculator!AS53</f>
        <v>5.5417605769975051E-3</v>
      </c>
      <c r="E57" s="3">
        <f>Calculator!AT53</f>
        <v>8.4130001053735626E-4</v>
      </c>
      <c r="F57" s="3">
        <f>Calculator!AU53</f>
        <v>6.3830605875348613E-3</v>
      </c>
      <c r="G57" s="3">
        <f>Calculator!AY53</f>
        <v>6.3830605982201447E-3</v>
      </c>
      <c r="H57" s="3">
        <f>Calculator!AZ53</f>
        <v>-4.1364285829978073E-4</v>
      </c>
      <c r="I57" s="3">
        <f>Calculator!BA53</f>
        <v>5.969417739920364E-3</v>
      </c>
      <c r="K57" s="20">
        <f>Calculator!AC53</f>
        <v>77</v>
      </c>
      <c r="M57" s="20">
        <f>Calculator!Q53</f>
        <v>2842214844.3100004</v>
      </c>
      <c r="N57" s="20">
        <f>Calculator!R53</f>
        <v>2789744655.4900007</v>
      </c>
      <c r="O57" s="20">
        <f>Calculator!M53</f>
        <v>2848730296.8100004</v>
      </c>
      <c r="P57" s="20">
        <f>Calculator!N53</f>
        <v>2796260107.9900007</v>
      </c>
      <c r="Q57" s="20">
        <f>Calculator!O53</f>
        <v>2851549224.4700003</v>
      </c>
      <c r="R57" s="20">
        <f>Calculator!P53</f>
        <v>2800240379.2800016</v>
      </c>
      <c r="S57" s="20"/>
      <c r="T57" s="20"/>
      <c r="U57" s="20"/>
      <c r="V57" s="20"/>
      <c r="W57" s="20"/>
    </row>
    <row r="58" spans="2:23" x14ac:dyDescent="0.25">
      <c r="B58" s="28">
        <f>Calculator!B54</f>
        <v>42247</v>
      </c>
      <c r="D58" s="3">
        <f>Calculator!AS54</f>
        <v>4.6158955840292747E-3</v>
      </c>
      <c r="E58" s="3">
        <f>Calculator!AT54</f>
        <v>8.6209741612223154E-4</v>
      </c>
      <c r="F58" s="3">
        <f>Calculator!AU54</f>
        <v>5.477993000151506E-3</v>
      </c>
      <c r="G58" s="3">
        <f>Calculator!AY54</f>
        <v>5.5387191709558633E-3</v>
      </c>
      <c r="H58" s="3">
        <f>Calculator!AZ54</f>
        <v>-1.6843779617203578E-3</v>
      </c>
      <c r="I58" s="3">
        <f>Calculator!BA54</f>
        <v>3.8543412092355055E-3</v>
      </c>
      <c r="K58" s="20">
        <f>Calculator!AC54</f>
        <v>75</v>
      </c>
      <c r="M58" s="20">
        <f>Calculator!Q54</f>
        <v>2789744655.4900007</v>
      </c>
      <c r="N58" s="20">
        <f>Calculator!R54</f>
        <v>2763852767.1199999</v>
      </c>
      <c r="O58" s="20">
        <f>Calculator!M54</f>
        <v>2796260107.9900007</v>
      </c>
      <c r="P58" s="20">
        <f>Calculator!N54</f>
        <v>2770368219.6199999</v>
      </c>
      <c r="Q58" s="20">
        <f>Calculator!O54</f>
        <v>2800240379.2800016</v>
      </c>
      <c r="R58" s="20">
        <f>Calculator!P54</f>
        <v>2779016672.8000002</v>
      </c>
      <c r="S58" s="20"/>
      <c r="T58" s="20"/>
      <c r="U58" s="20"/>
      <c r="V58" s="20"/>
      <c r="W58" s="20"/>
    </row>
    <row r="59" spans="2:23" x14ac:dyDescent="0.25">
      <c r="B59" s="28">
        <f>Calculator!B55</f>
        <v>42277</v>
      </c>
      <c r="D59" s="3">
        <f>Calculator!AS55</f>
        <v>6.0816007651264097E-3</v>
      </c>
      <c r="E59" s="3">
        <f>Calculator!AT55</f>
        <v>8.3469822694068926E-4</v>
      </c>
      <c r="F59" s="3">
        <f>Calculator!AU55</f>
        <v>6.916298992067099E-3</v>
      </c>
      <c r="G59" s="3">
        <f>Calculator!AY55</f>
        <v>7.2511733249793339E-3</v>
      </c>
      <c r="H59" s="3">
        <f>Calculator!AZ55</f>
        <v>-1.0723895899483887E-3</v>
      </c>
      <c r="I59" s="3">
        <f>Calculator!BA55</f>
        <v>6.1787837350309452E-3</v>
      </c>
      <c r="K59" s="20">
        <f>Calculator!AC55</f>
        <v>76</v>
      </c>
      <c r="M59" s="20">
        <f>Calculator!Q55</f>
        <v>2763852767.1199999</v>
      </c>
      <c r="N59" s="20">
        <f>Calculator!R55</f>
        <v>2860048822.2600007</v>
      </c>
      <c r="O59" s="20">
        <f>Calculator!M55</f>
        <v>2770368219.6199999</v>
      </c>
      <c r="P59" s="20">
        <f>Calculator!N55</f>
        <v>2866564274.7600007</v>
      </c>
      <c r="Q59" s="20">
        <f>Calculator!O55</f>
        <v>2779016672.8000002</v>
      </c>
      <c r="R59" s="20">
        <f>Calculator!P55</f>
        <v>2878218947.5300007</v>
      </c>
      <c r="S59" s="20"/>
      <c r="T59" s="20"/>
      <c r="U59" s="20"/>
      <c r="V59" s="20"/>
      <c r="W59" s="20"/>
    </row>
    <row r="60" spans="2:23" x14ac:dyDescent="0.25">
      <c r="B60" s="28">
        <f>Calculator!B56</f>
        <v>42308</v>
      </c>
      <c r="D60" s="3">
        <f>Calculator!AS56</f>
        <v>5.1233458829359323E-3</v>
      </c>
      <c r="E60" s="3">
        <f>Calculator!AT56</f>
        <v>8.3214848073242533E-4</v>
      </c>
      <c r="F60" s="3">
        <f>Calculator!AU56</f>
        <v>5.955494363668358E-3</v>
      </c>
      <c r="G60" s="3">
        <f>Calculator!AY56</f>
        <v>6.1997379766367154E-3</v>
      </c>
      <c r="H60" s="3">
        <f>Calculator!AZ56</f>
        <v>6.0215908727782614E-4</v>
      </c>
      <c r="I60" s="3">
        <f>Calculator!BA56</f>
        <v>6.8018970639145415E-3</v>
      </c>
      <c r="K60" s="20">
        <f>Calculator!AC56</f>
        <v>77</v>
      </c>
      <c r="M60" s="20">
        <f>Calculator!Q56</f>
        <v>2860048822.2600007</v>
      </c>
      <c r="N60" s="20">
        <f>Calculator!R56</f>
        <v>2838430404.1700001</v>
      </c>
      <c r="O60" s="20">
        <f>Calculator!M56</f>
        <v>2866564274.7600007</v>
      </c>
      <c r="P60" s="20">
        <f>Calculator!N56</f>
        <v>2844945856.6700001</v>
      </c>
      <c r="Q60" s="20">
        <f>Calculator!O56</f>
        <v>2878218947.5300007</v>
      </c>
      <c r="R60" s="20">
        <f>Calculator!P56</f>
        <v>2854890649.2300005</v>
      </c>
      <c r="S60" s="20"/>
      <c r="T60" s="20"/>
      <c r="U60" s="20"/>
      <c r="V60" s="20"/>
      <c r="W60" s="20"/>
    </row>
    <row r="61" spans="2:23" x14ac:dyDescent="0.25">
      <c r="B61" s="28">
        <f>Calculator!B57</f>
        <v>42338</v>
      </c>
      <c r="D61" s="3">
        <f>Calculator!AS57</f>
        <v>4.352753313633953E-3</v>
      </c>
      <c r="E61" s="3">
        <f>Calculator!AT57</f>
        <v>8.3908801049217135E-4</v>
      </c>
      <c r="F61" s="3">
        <f>Calculator!AU57</f>
        <v>5.1918413241261244E-3</v>
      </c>
      <c r="G61" s="3">
        <f>Calculator!AY57</f>
        <v>5.7852841293263881E-3</v>
      </c>
      <c r="H61" s="3">
        <f>Calculator!AZ57</f>
        <v>-2.7807302028974752E-4</v>
      </c>
      <c r="I61" s="3">
        <f>Calculator!BA57</f>
        <v>5.5072111090366405E-3</v>
      </c>
      <c r="K61" s="20">
        <f>Calculator!AC57</f>
        <v>81</v>
      </c>
      <c r="M61" s="20">
        <f>Calculator!Q57</f>
        <v>2838430404.1700001</v>
      </c>
      <c r="N61" s="20">
        <f>Calculator!R57</f>
        <v>2899719142.5900006</v>
      </c>
      <c r="O61" s="20">
        <f>Calculator!M57</f>
        <v>2844945856.6700001</v>
      </c>
      <c r="P61" s="20">
        <f>Calculator!N57</f>
        <v>2906234595.0900006</v>
      </c>
      <c r="Q61" s="20">
        <f>Calculator!O57</f>
        <v>2854890649.2300005</v>
      </c>
      <c r="R61" s="20">
        <f>Calculator!P57</f>
        <v>2916975009.0200005</v>
      </c>
      <c r="S61" s="20"/>
      <c r="T61" s="20"/>
      <c r="U61" s="20"/>
      <c r="V61" s="20"/>
      <c r="W61" s="20"/>
    </row>
    <row r="62" spans="2:23" x14ac:dyDescent="0.25">
      <c r="B62" s="28">
        <f>Calculator!B58</f>
        <v>42369</v>
      </c>
      <c r="D62" s="3">
        <f>Calculator!AS58</f>
        <v>4.4602281925648687E-3</v>
      </c>
      <c r="E62" s="3">
        <f>Calculator!AT58</f>
        <v>9.074391031833976E-4</v>
      </c>
      <c r="F62" s="3">
        <f>Calculator!AU58</f>
        <v>5.3676672957482666E-3</v>
      </c>
      <c r="G62" s="3">
        <f>Calculator!AY58</f>
        <v>5.1589241163700703E-3</v>
      </c>
      <c r="H62" s="3">
        <f>Calculator!AZ58</f>
        <v>-9.9554681843737093E-3</v>
      </c>
      <c r="I62" s="3">
        <f>Calculator!BA58</f>
        <v>-4.7965440680036381E-3</v>
      </c>
      <c r="K62" s="20">
        <f>Calculator!AC58</f>
        <v>79</v>
      </c>
      <c r="M62" s="20">
        <f>Calculator!Q58</f>
        <v>2899719142.5900006</v>
      </c>
      <c r="N62" s="20">
        <f>Calculator!R58</f>
        <v>2743819231.7200003</v>
      </c>
      <c r="O62" s="20">
        <f>Calculator!M58</f>
        <v>2906234595.0900006</v>
      </c>
      <c r="P62" s="20">
        <f>Calculator!N58</f>
        <v>2750334684.2200003</v>
      </c>
      <c r="Q62" s="20">
        <f>Calculator!O58</f>
        <v>2916975009.0200005</v>
      </c>
      <c r="R62" s="20">
        <f>Calculator!P58</f>
        <v>2789234665.8800006</v>
      </c>
      <c r="S62" s="20"/>
      <c r="T62" s="20"/>
      <c r="U62" s="20"/>
      <c r="V62" s="20"/>
      <c r="W62" s="20"/>
    </row>
    <row r="63" spans="2:23" x14ac:dyDescent="0.25">
      <c r="B63" s="28">
        <f>Calculator!B59</f>
        <v>42400</v>
      </c>
      <c r="D63" s="3">
        <f>Calculator!AS59</f>
        <v>1.1273772933846286E-2</v>
      </c>
      <c r="E63" s="3">
        <f>Calculator!AT59</f>
        <v>9.4403882536181559E-4</v>
      </c>
      <c r="F63" s="3">
        <f>Calculator!AU59</f>
        <v>1.2217811759208101E-2</v>
      </c>
      <c r="G63" s="3">
        <f>Calculator!AY59</f>
        <v>1.2449767858388337E-2</v>
      </c>
      <c r="H63" s="3">
        <f>Calculator!AZ59</f>
        <v>9.3214294886459839E-4</v>
      </c>
      <c r="I63" s="3">
        <f>Calculator!BA59</f>
        <v>1.3381910807252935E-2</v>
      </c>
      <c r="K63" s="20">
        <f>Calculator!AC59</f>
        <v>79</v>
      </c>
      <c r="M63" s="20">
        <f>Calculator!Q59</f>
        <v>2743819231.7200003</v>
      </c>
      <c r="N63" s="20">
        <f>Calculator!R59</f>
        <v>2822912894.9200001</v>
      </c>
      <c r="O63" s="20">
        <f>Calculator!M59</f>
        <v>2750334684.2200003</v>
      </c>
      <c r="P63" s="20">
        <f>Calculator!N59</f>
        <v>2829428347.4200001</v>
      </c>
      <c r="Q63" s="20">
        <f>Calculator!O59</f>
        <v>2789234665.8800006</v>
      </c>
      <c r="R63" s="20">
        <f>Calculator!P59</f>
        <v>2865655726.3599997</v>
      </c>
      <c r="S63" s="20"/>
      <c r="T63" s="20"/>
      <c r="U63" s="20"/>
      <c r="V63" s="20"/>
      <c r="W63" s="20"/>
    </row>
    <row r="64" spans="2:23" x14ac:dyDescent="0.25">
      <c r="B64" s="28">
        <f>Calculator!B60</f>
        <v>42429</v>
      </c>
      <c r="D64" s="3">
        <f>Calculator!AS60</f>
        <v>5.8417126011725646E-3</v>
      </c>
      <c r="E64" s="3">
        <f>Calculator!AT60</f>
        <v>8.6740940463461984E-4</v>
      </c>
      <c r="F64" s="3">
        <f>Calculator!AU60</f>
        <v>6.7091220058071842E-3</v>
      </c>
      <c r="G64" s="3">
        <f>Calculator!AY60</f>
        <v>6.7891375712831811E-3</v>
      </c>
      <c r="H64" s="3">
        <f>Calculator!AZ60</f>
        <v>-1.0407566195423622E-3</v>
      </c>
      <c r="I64" s="3">
        <f>Calculator!BA60</f>
        <v>5.748380951740819E-3</v>
      </c>
      <c r="K64" s="20">
        <f>Calculator!AC60</f>
        <v>82</v>
      </c>
      <c r="M64" s="20">
        <f>Calculator!Q60</f>
        <v>2822912894.9200001</v>
      </c>
      <c r="N64" s="20">
        <f>Calculator!R60</f>
        <v>2829690535.5999999</v>
      </c>
      <c r="O64" s="20">
        <f>Calculator!M60</f>
        <v>2829428347.4200001</v>
      </c>
      <c r="P64" s="20">
        <f>Calculator!N60</f>
        <v>2836205988.0999999</v>
      </c>
      <c r="Q64" s="20">
        <f>Calculator!O60</f>
        <v>2865655726.3599997</v>
      </c>
      <c r="R64" s="20">
        <f>Calculator!P60</f>
        <v>2875366429.1300001</v>
      </c>
      <c r="S64" s="20"/>
      <c r="T64" s="20"/>
      <c r="U64" s="20"/>
      <c r="V64" s="20"/>
      <c r="W64" s="20"/>
    </row>
    <row r="65" spans="2:23" x14ac:dyDescent="0.25">
      <c r="B65" s="28">
        <f>Calculator!B61</f>
        <v>42460</v>
      </c>
      <c r="D65" s="3">
        <f>Calculator!AS61</f>
        <v>6.8444249310922432E-3</v>
      </c>
      <c r="E65" s="3">
        <f>Calculator!AT61</f>
        <v>8.9842422850835491E-4</v>
      </c>
      <c r="F65" s="3">
        <f>Calculator!AU61</f>
        <v>7.7428491596005979E-3</v>
      </c>
      <c r="G65" s="3">
        <f>Calculator!AY61</f>
        <v>7.7210074093907836E-3</v>
      </c>
      <c r="H65" s="3">
        <f>Calculator!AZ61</f>
        <v>2.2054726602078814E-3</v>
      </c>
      <c r="I65" s="3">
        <f>Calculator!BA61</f>
        <v>9.9264800695986651E-3</v>
      </c>
      <c r="K65" s="20">
        <f>Calculator!AC61</f>
        <v>82</v>
      </c>
      <c r="M65" s="20">
        <f>Calculator!Q61</f>
        <v>2829690535.5999999</v>
      </c>
      <c r="N65" s="20">
        <f>Calculator!R61</f>
        <v>2806670823.7999997</v>
      </c>
      <c r="O65" s="20">
        <f>Calculator!M61</f>
        <v>2836205988.0999999</v>
      </c>
      <c r="P65" s="20">
        <f>Calculator!N61</f>
        <v>2813186276.2999997</v>
      </c>
      <c r="Q65" s="20">
        <f>Calculator!O61</f>
        <v>2875366429.1300001</v>
      </c>
      <c r="R65" s="20">
        <f>Calculator!P61</f>
        <v>2846161993.1600003</v>
      </c>
      <c r="S65" s="20"/>
      <c r="T65" s="20"/>
      <c r="U65" s="20"/>
      <c r="V65" s="20"/>
      <c r="W65" s="20"/>
    </row>
    <row r="66" spans="2:23" x14ac:dyDescent="0.25">
      <c r="B66" s="28">
        <f>Calculator!B62</f>
        <v>42490</v>
      </c>
      <c r="D66" s="3">
        <f>Calculator!AS62</f>
        <v>4.7993575737101928E-3</v>
      </c>
      <c r="E66" s="3">
        <f>Calculator!AT62</f>
        <v>8.4653592436128374E-4</v>
      </c>
      <c r="F66" s="3">
        <f>Calculator!AU62</f>
        <v>5.6458934980714763E-3</v>
      </c>
      <c r="G66" s="3">
        <f>Calculator!AY62</f>
        <v>6.0230029425149961E-3</v>
      </c>
      <c r="H66" s="3">
        <f>Calculator!AZ62</f>
        <v>1.0909858314696163E-3</v>
      </c>
      <c r="I66" s="3">
        <f>Calculator!BA62</f>
        <v>7.1139887739846124E-3</v>
      </c>
      <c r="K66" s="20">
        <f>Calculator!AC62</f>
        <v>85</v>
      </c>
      <c r="M66" s="20">
        <f>Calculator!Q62</f>
        <v>2806670823.7999997</v>
      </c>
      <c r="N66" s="20">
        <f>Calculator!R62</f>
        <v>2901432239.7199988</v>
      </c>
      <c r="O66" s="20">
        <f>Calculator!M62</f>
        <v>2813186276.2999997</v>
      </c>
      <c r="P66" s="20">
        <f>Calculator!N62</f>
        <v>2907947692.2199988</v>
      </c>
      <c r="Q66" s="20">
        <f>Calculator!O62</f>
        <v>2846161993.1600003</v>
      </c>
      <c r="R66" s="20">
        <f>Calculator!P62</f>
        <v>2937820715.4299994</v>
      </c>
      <c r="S66" s="20"/>
      <c r="T66" s="20"/>
      <c r="U66" s="20"/>
      <c r="V66" s="20"/>
      <c r="W66" s="20"/>
    </row>
    <row r="67" spans="2:23" x14ac:dyDescent="0.25">
      <c r="B67" s="28">
        <f>Calculator!B63</f>
        <v>42521</v>
      </c>
      <c r="D67" s="3">
        <f>Calculator!AS63</f>
        <v>5.8273555925452015E-3</v>
      </c>
      <c r="E67" s="3">
        <f>Calculator!AT63</f>
        <v>9.0276971003129124E-4</v>
      </c>
      <c r="F67" s="3">
        <f>Calculator!AU63</f>
        <v>6.7301253025764925E-3</v>
      </c>
      <c r="G67" s="3">
        <f>Calculator!AY63</f>
        <v>6.8266806790178913E-3</v>
      </c>
      <c r="H67" s="3">
        <f>Calculator!AZ63</f>
        <v>1.8048545756721782E-4</v>
      </c>
      <c r="I67" s="3">
        <f>Calculator!BA63</f>
        <v>7.0071661365851091E-3</v>
      </c>
      <c r="K67" s="20">
        <f>Calculator!AC63</f>
        <v>87</v>
      </c>
      <c r="M67" s="20">
        <f>Calculator!Q63</f>
        <v>2901432239.7199988</v>
      </c>
      <c r="N67" s="20">
        <f>Calculator!R63</f>
        <v>2929061419.46</v>
      </c>
      <c r="O67" s="20">
        <f>Calculator!M63</f>
        <v>2907947692.2199988</v>
      </c>
      <c r="P67" s="20">
        <f>Calculator!N63</f>
        <v>2935576871.96</v>
      </c>
      <c r="Q67" s="20">
        <f>Calculator!O63</f>
        <v>2937820715.4299994</v>
      </c>
      <c r="R67" s="20">
        <f>Calculator!P63</f>
        <v>2964925572.5900002</v>
      </c>
      <c r="S67" s="20"/>
      <c r="T67" s="20"/>
      <c r="U67" s="20"/>
      <c r="V67" s="20"/>
      <c r="W67" s="20"/>
    </row>
    <row r="68" spans="2:23" x14ac:dyDescent="0.25">
      <c r="B68" s="28">
        <f>Calculator!B64</f>
        <v>42551</v>
      </c>
      <c r="D68" s="3">
        <f>Calculator!AS64</f>
        <v>7.1754368037012196E-3</v>
      </c>
      <c r="E68" s="3">
        <f>Calculator!AT64</f>
        <v>9.31280633748975E-4</v>
      </c>
      <c r="F68" s="3">
        <f>Calculator!AU64</f>
        <v>8.1067174374501953E-3</v>
      </c>
      <c r="G68" s="3">
        <f>Calculator!AY64</f>
        <v>8.3614346700518326E-3</v>
      </c>
      <c r="H68" s="3">
        <f>Calculator!AZ64</f>
        <v>1.4669821313496988E-3</v>
      </c>
      <c r="I68" s="3">
        <f>Calculator!BA64</f>
        <v>9.8284168014015315E-3</v>
      </c>
      <c r="K68" s="20">
        <f>Calculator!AC64</f>
        <v>90</v>
      </c>
      <c r="M68" s="20">
        <f>Calculator!Q64</f>
        <v>2929061419.46</v>
      </c>
      <c r="N68" s="20">
        <f>Calculator!R64</f>
        <v>2712595814.8600001</v>
      </c>
      <c r="O68" s="20">
        <f>Calculator!M64</f>
        <v>2935576871.96</v>
      </c>
      <c r="P68" s="20">
        <f>Calculator!N64</f>
        <v>2719111267.3600001</v>
      </c>
      <c r="Q68" s="20">
        <f>Calculator!O64</f>
        <v>2964925572.5900002</v>
      </c>
      <c r="R68" s="20">
        <f>Calculator!P64</f>
        <v>2744342098.8800006</v>
      </c>
      <c r="S68" s="20"/>
      <c r="T68" s="20"/>
      <c r="U68" s="20"/>
      <c r="V68" s="20"/>
      <c r="W68" s="20"/>
    </row>
    <row r="69" spans="2:23" x14ac:dyDescent="0.25">
      <c r="B69" s="28">
        <f>Calculator!B65</f>
        <v>42582</v>
      </c>
      <c r="D69" s="3">
        <f>Calculator!AS65</f>
        <v>4.6627059493579391E-3</v>
      </c>
      <c r="E69" s="3">
        <f>Calculator!AT65</f>
        <v>8.7001397149525923E-4</v>
      </c>
      <c r="F69" s="3">
        <f>Calculator!AU65</f>
        <v>5.5327199208531986E-3</v>
      </c>
      <c r="G69" s="3">
        <f>Calculator!AY65</f>
        <v>5.545800196522321E-3</v>
      </c>
      <c r="H69" s="3">
        <f>Calculator!AZ65</f>
        <v>1.5083264759328634E-3</v>
      </c>
      <c r="I69" s="3">
        <f>Calculator!BA65</f>
        <v>7.0541266724551844E-3</v>
      </c>
      <c r="K69" s="20">
        <f>Calculator!AC65</f>
        <v>88</v>
      </c>
      <c r="M69" s="20">
        <f>Calculator!Q65</f>
        <v>2712595814.8600001</v>
      </c>
      <c r="N69" s="20">
        <f>Calculator!R65</f>
        <v>2722600894.5500002</v>
      </c>
      <c r="O69" s="20">
        <f>Calculator!M65</f>
        <v>2719111267.3600001</v>
      </c>
      <c r="P69" s="20">
        <f>Calculator!N65</f>
        <v>2729116347.0500002</v>
      </c>
      <c r="Q69" s="20">
        <f>Calculator!O65</f>
        <v>2744342098.8800006</v>
      </c>
      <c r="R69" s="20">
        <f>Calculator!P65</f>
        <v>2750262559.7500005</v>
      </c>
      <c r="S69" s="20"/>
      <c r="T69" s="20"/>
      <c r="U69" s="20"/>
      <c r="V69" s="20"/>
      <c r="W69" s="20"/>
    </row>
    <row r="70" spans="2:23" x14ac:dyDescent="0.25">
      <c r="B70" s="28">
        <f>Calculator!B66</f>
        <v>42613</v>
      </c>
      <c r="D70" s="3">
        <f>Calculator!AS66</f>
        <v>9.0242950849600146E-3</v>
      </c>
      <c r="E70" s="3">
        <f>Calculator!AT66</f>
        <v>8.6609518871002677E-4</v>
      </c>
      <c r="F70" s="3">
        <f>Calculator!AU66</f>
        <v>9.8903902736700421E-3</v>
      </c>
      <c r="G70" s="3">
        <f>Calculator!AY66</f>
        <v>9.8895455097403589E-3</v>
      </c>
      <c r="H70" s="3">
        <f>Calculator!AZ66</f>
        <v>3.8759245063164395E-4</v>
      </c>
      <c r="I70" s="3">
        <f>Calculator!BA66</f>
        <v>1.0277137960372003E-2</v>
      </c>
      <c r="K70" s="20">
        <f>Calculator!AC66</f>
        <v>88</v>
      </c>
      <c r="M70" s="20">
        <f>Calculator!Q66</f>
        <v>2722600894.5500002</v>
      </c>
      <c r="N70" s="20">
        <f>Calculator!R66</f>
        <v>2656500282.1499996</v>
      </c>
      <c r="O70" s="20">
        <f>Calculator!M66</f>
        <v>2729116347.0500002</v>
      </c>
      <c r="P70" s="20">
        <f>Calculator!N66</f>
        <v>2674253717.6300001</v>
      </c>
      <c r="Q70" s="20">
        <f>Calculator!O66</f>
        <v>2750262559.7500005</v>
      </c>
      <c r="R70" s="20">
        <f>Calculator!P66</f>
        <v>2694362810.1100001</v>
      </c>
      <c r="S70" s="20"/>
      <c r="T70" s="20"/>
      <c r="U70" s="20"/>
      <c r="V70" s="20"/>
      <c r="W70" s="20"/>
    </row>
    <row r="71" spans="2:23" x14ac:dyDescent="0.25">
      <c r="B71" s="28">
        <f>Calculator!B67</f>
        <v>42643</v>
      </c>
      <c r="D71" s="3">
        <f>Calculator!AS67</f>
        <v>6.3688835487889185E-3</v>
      </c>
      <c r="E71" s="3">
        <f>Calculator!AT67</f>
        <v>8.4255942310758824E-4</v>
      </c>
      <c r="F71" s="3">
        <f>Calculator!AU67</f>
        <v>7.211442971896507E-3</v>
      </c>
      <c r="G71" s="3">
        <f>Calculator!AY67</f>
        <v>7.4572705956218377E-3</v>
      </c>
      <c r="H71" s="3">
        <f>Calculator!AZ67</f>
        <v>1.3620654637149301E-4</v>
      </c>
      <c r="I71" s="3">
        <f>Calculator!BA67</f>
        <v>7.5934771419933307E-3</v>
      </c>
      <c r="K71" s="20">
        <f>Calculator!AC67</f>
        <v>92</v>
      </c>
      <c r="M71" s="20">
        <f>Calculator!Q67</f>
        <v>2656500282.1499996</v>
      </c>
      <c r="N71" s="20">
        <f>Calculator!R67</f>
        <v>2679109521.54</v>
      </c>
      <c r="O71" s="20">
        <f>Calculator!M67</f>
        <v>2674253717.6300001</v>
      </c>
      <c r="P71" s="20">
        <f>Calculator!N67</f>
        <v>2698050922.5300002</v>
      </c>
      <c r="Q71" s="20">
        <f>Calculator!O67</f>
        <v>2694362810.1100001</v>
      </c>
      <c r="R71" s="20">
        <f>Calculator!P67</f>
        <v>2717798016.9100003</v>
      </c>
      <c r="S71" s="20"/>
      <c r="T71" s="20"/>
      <c r="U71" s="20"/>
      <c r="V71" s="20"/>
      <c r="W71" s="20"/>
    </row>
    <row r="72" spans="2:23" x14ac:dyDescent="0.25">
      <c r="B72" s="28">
        <f>Calculator!B68</f>
        <v>42674</v>
      </c>
      <c r="D72" s="3">
        <f>Calculator!AS68</f>
        <v>6.8077661560389403E-3</v>
      </c>
      <c r="E72" s="3">
        <f>Calculator!AT68</f>
        <v>8.5906092770707623E-4</v>
      </c>
      <c r="F72" s="3">
        <f>Calculator!AU68</f>
        <v>7.6668270837460164E-3</v>
      </c>
      <c r="G72" s="3">
        <f>Calculator!AY68</f>
        <v>8.4139846301071741E-3</v>
      </c>
      <c r="H72" s="3">
        <f>Calculator!AZ68</f>
        <v>1.0304079598526597E-3</v>
      </c>
      <c r="I72" s="3">
        <f>Calculator!BA68</f>
        <v>9.4443925899598338E-3</v>
      </c>
      <c r="K72" s="20">
        <f>Calculator!AC68</f>
        <v>89</v>
      </c>
      <c r="M72" s="20">
        <f>Calculator!Q68</f>
        <v>2679109521.54</v>
      </c>
      <c r="N72" s="20">
        <f>Calculator!R68</f>
        <v>2675913771.5299997</v>
      </c>
      <c r="O72" s="20">
        <f>Calculator!M68</f>
        <v>2698050922.5300002</v>
      </c>
      <c r="P72" s="20">
        <f>Calculator!N68</f>
        <v>2697326080.6500001</v>
      </c>
      <c r="Q72" s="20">
        <f>Calculator!O68</f>
        <v>2717798016.9100003</v>
      </c>
      <c r="R72" s="20">
        <f>Calculator!P68</f>
        <v>2714327212.7200003</v>
      </c>
      <c r="S72" s="20"/>
      <c r="T72" s="20"/>
      <c r="U72" s="20"/>
      <c r="V72" s="20"/>
      <c r="W72" s="20"/>
    </row>
    <row r="73" spans="2:23" x14ac:dyDescent="0.25">
      <c r="B73" s="28">
        <f>Calculator!B69</f>
        <v>42704</v>
      </c>
      <c r="D73" s="3">
        <f>Calculator!AS69</f>
        <v>6.0495970566584621E-3</v>
      </c>
      <c r="E73" s="3">
        <f>Calculator!AT69</f>
        <v>8.6080015434424756E-4</v>
      </c>
      <c r="F73" s="3">
        <f>Calculator!AU69</f>
        <v>6.9103972110027096E-3</v>
      </c>
      <c r="G73" s="3">
        <f>Calculator!AY69</f>
        <v>6.8080531629593584E-3</v>
      </c>
      <c r="H73" s="3">
        <f>Calculator!AZ69</f>
        <v>-3.1578328217448091E-3</v>
      </c>
      <c r="I73" s="3">
        <f>Calculator!BA69</f>
        <v>3.6502203412145493E-3</v>
      </c>
      <c r="K73" s="20">
        <f>Calculator!AC69</f>
        <v>88</v>
      </c>
      <c r="M73" s="20">
        <f>Calculator!Q69</f>
        <v>2675913771.5299997</v>
      </c>
      <c r="N73" s="20">
        <f>Calculator!R69</f>
        <v>2648906353.6400003</v>
      </c>
      <c r="O73" s="20">
        <f>Calculator!M69</f>
        <v>2697326080.6500001</v>
      </c>
      <c r="P73" s="20">
        <f>Calculator!N69</f>
        <v>2672429534</v>
      </c>
      <c r="Q73" s="20">
        <f>Calculator!O69</f>
        <v>2714327212.7200003</v>
      </c>
      <c r="R73" s="20">
        <f>Calculator!P69</f>
        <v>2697822795.2600002</v>
      </c>
      <c r="S73" s="20"/>
      <c r="T73" s="20"/>
      <c r="U73" s="20"/>
      <c r="V73" s="20"/>
      <c r="W73" s="20"/>
    </row>
    <row r="74" spans="2:23" x14ac:dyDescent="0.25">
      <c r="B74" s="28">
        <f>Calculator!B70</f>
        <v>42735</v>
      </c>
      <c r="D74" s="3">
        <f>Calculator!AS70</f>
        <v>4.9851264843956038E-3</v>
      </c>
      <c r="E74" s="3">
        <f>Calculator!AT70</f>
        <v>8.7495548089685442E-4</v>
      </c>
      <c r="F74" s="3">
        <f>Calculator!AU70</f>
        <v>5.8600819652924584E-3</v>
      </c>
      <c r="G74" s="3">
        <f>Calculator!AY70</f>
        <v>6.1606921780318642E-3</v>
      </c>
      <c r="H74" s="3">
        <f>Calculator!AZ70</f>
        <v>3.2617340092510744E-3</v>
      </c>
      <c r="I74" s="3">
        <f>Calculator!BA70</f>
        <v>9.4224261872829385E-3</v>
      </c>
      <c r="K74" s="20">
        <f>Calculator!AC70</f>
        <v>92</v>
      </c>
      <c r="M74" s="20">
        <f>Calculator!Q70</f>
        <v>2648906353.6400003</v>
      </c>
      <c r="N74" s="20">
        <f>Calculator!R70</f>
        <v>2746219590.9400005</v>
      </c>
      <c r="O74" s="20">
        <f>Calculator!M70</f>
        <v>2672429534</v>
      </c>
      <c r="P74" s="20">
        <f>Calculator!N70</f>
        <v>2770532150.2900004</v>
      </c>
      <c r="Q74" s="20">
        <f>Calculator!O70</f>
        <v>2697822795.2600002</v>
      </c>
      <c r="R74" s="20">
        <f>Calculator!P70</f>
        <v>2792117932.1500001</v>
      </c>
      <c r="S74" s="20"/>
      <c r="T74" s="20"/>
      <c r="U74" s="20"/>
      <c r="V74" s="20"/>
      <c r="W74" s="20"/>
    </row>
    <row r="75" spans="2:23" x14ac:dyDescent="0.25">
      <c r="B75" s="28">
        <f>Calculator!B71</f>
        <v>42766</v>
      </c>
      <c r="D75" s="3">
        <f>Calculator!AS71</f>
        <v>6.0858086361709812E-3</v>
      </c>
      <c r="E75" s="3">
        <f>Calculator!AT71</f>
        <v>1.2970161994597849E-3</v>
      </c>
      <c r="F75" s="3">
        <f>Calculator!AU71</f>
        <v>7.3828248356307656E-3</v>
      </c>
      <c r="G75" s="3">
        <f>Calculator!AY71</f>
        <v>7.2644862576652916E-3</v>
      </c>
      <c r="H75" s="3">
        <f>Calculator!AZ71</f>
        <v>1.0632624711269609E-4</v>
      </c>
      <c r="I75" s="3">
        <f>Calculator!BA71</f>
        <v>7.3708125047779877E-3</v>
      </c>
      <c r="K75" s="20">
        <f>Calculator!AC71</f>
        <v>88</v>
      </c>
      <c r="M75" s="20">
        <f>Calculator!Q71</f>
        <v>2049137315.24</v>
      </c>
      <c r="N75" s="20">
        <f>Calculator!R71</f>
        <v>2000942604</v>
      </c>
      <c r="O75" s="20">
        <f>Calculator!M71</f>
        <v>2073449874.5900002</v>
      </c>
      <c r="P75" s="20">
        <f>Calculator!N71</f>
        <v>2052995491.9699998</v>
      </c>
      <c r="Q75" s="20">
        <f>Calculator!O71</f>
        <v>2069619084.5500002</v>
      </c>
      <c r="R75" s="20">
        <f>Calculator!P71</f>
        <v>2049001671.1500001</v>
      </c>
      <c r="S75" s="20"/>
      <c r="T75" s="20"/>
      <c r="U75" s="20"/>
      <c r="V75" s="20"/>
      <c r="W75" s="20"/>
    </row>
    <row r="76" spans="2:23" x14ac:dyDescent="0.25">
      <c r="B76" s="28">
        <f>Calculator!B72</f>
        <v>42794</v>
      </c>
      <c r="D76" s="3">
        <f>Calculator!AS72</f>
        <v>6.6948191729049788E-3</v>
      </c>
      <c r="E76" s="3">
        <f>Calculator!AT72</f>
        <v>1.3153112742604008E-3</v>
      </c>
      <c r="F76" s="3">
        <f>Calculator!AU72</f>
        <v>8.0101304471653801E-3</v>
      </c>
      <c r="G76" s="3">
        <f>Calculator!AY72</f>
        <v>9.1196877379471387E-3</v>
      </c>
      <c r="H76" s="3">
        <f>Calculator!AZ72</f>
        <v>3.2670997699750862E-4</v>
      </c>
      <c r="I76" s="3">
        <f>Calculator!BA72</f>
        <v>9.4463977149446474E-3</v>
      </c>
      <c r="K76" s="20">
        <f>Calculator!AC72</f>
        <v>90</v>
      </c>
      <c r="M76" s="20">
        <f>Calculator!Q72</f>
        <v>2000942604</v>
      </c>
      <c r="N76" s="20">
        <f>Calculator!R72</f>
        <v>2006404844.4400003</v>
      </c>
      <c r="O76" s="20">
        <f>Calculator!M72</f>
        <v>2052995491.9699998</v>
      </c>
      <c r="P76" s="20">
        <f>Calculator!N72</f>
        <v>2059161242.7300003</v>
      </c>
      <c r="Q76" s="20">
        <f>Calculator!O72</f>
        <v>2049001671.1500001</v>
      </c>
      <c r="R76" s="20">
        <f>Calculator!P72</f>
        <v>2054515879.0500007</v>
      </c>
      <c r="S76" s="20"/>
      <c r="T76" s="20"/>
      <c r="U76" s="20"/>
      <c r="V76" s="20"/>
      <c r="W76" s="20"/>
    </row>
    <row r="77" spans="2:23" x14ac:dyDescent="0.25">
      <c r="B77" s="28">
        <f>Calculator!B73</f>
        <v>42825</v>
      </c>
      <c r="D77" s="3">
        <f>Calculator!AS73</f>
        <v>6.3102773931924738E-3</v>
      </c>
      <c r="E77" s="3">
        <f>Calculator!AT73</f>
        <v>1.3746331535056697E-3</v>
      </c>
      <c r="F77" s="3">
        <f>Calculator!AU73</f>
        <v>7.684910546698143E-3</v>
      </c>
      <c r="G77" s="3">
        <f>Calculator!AY73</f>
        <v>7.7128352168248978E-3</v>
      </c>
      <c r="H77" s="3">
        <f>Calculator!AZ73</f>
        <v>-2.0443198474757833E-4</v>
      </c>
      <c r="I77" s="3">
        <f>Calculator!BA73</f>
        <v>7.5084032320773195E-3</v>
      </c>
      <c r="K77" s="20">
        <f>Calculator!AC73</f>
        <v>92</v>
      </c>
      <c r="M77" s="20">
        <f>Calculator!Q73</f>
        <v>2006404844.4400003</v>
      </c>
      <c r="N77" s="20">
        <f>Calculator!R73</f>
        <v>2013584584.6800001</v>
      </c>
      <c r="O77" s="20">
        <f>Calculator!M73</f>
        <v>2059161242.7300003</v>
      </c>
      <c r="P77" s="20">
        <f>Calculator!N73</f>
        <v>2068539953.9100001</v>
      </c>
      <c r="Q77" s="20">
        <f>Calculator!O73</f>
        <v>2054529803.7000008</v>
      </c>
      <c r="R77" s="20">
        <f>Calculator!P73</f>
        <v>2064317885.26</v>
      </c>
      <c r="S77" s="20"/>
      <c r="T77" s="20"/>
      <c r="U77" s="20"/>
      <c r="V77" s="20"/>
      <c r="W77" s="20"/>
    </row>
    <row r="78" spans="2:23" x14ac:dyDescent="0.25">
      <c r="B78" s="28">
        <f>Calculator!B74</f>
        <v>42855</v>
      </c>
      <c r="D78" s="3">
        <f>Calculator!AS74</f>
        <v>6.0718786053042539E-3</v>
      </c>
      <c r="E78" s="3">
        <f>Calculator!AT74</f>
        <v>1.3737032594743491E-3</v>
      </c>
      <c r="F78" s="3">
        <f>Calculator!AU74</f>
        <v>7.4455818647786026E-3</v>
      </c>
      <c r="G78" s="3">
        <f>Calculator!AY74</f>
        <v>7.563369878956238E-3</v>
      </c>
      <c r="H78" s="3">
        <f>Calculator!AZ74</f>
        <v>1.2442041659136496E-3</v>
      </c>
      <c r="I78" s="3">
        <f>Calculator!BA74</f>
        <v>8.8075740448698876E-3</v>
      </c>
      <c r="K78" s="20">
        <f>Calculator!AC74</f>
        <v>94</v>
      </c>
      <c r="M78" s="20">
        <f>Calculator!Q74</f>
        <v>2013584584.6800001</v>
      </c>
      <c r="N78" s="20">
        <f>Calculator!R74</f>
        <v>2040928705.9000001</v>
      </c>
      <c r="O78" s="20">
        <f>Calculator!M74</f>
        <v>2068539953.9100001</v>
      </c>
      <c r="P78" s="20">
        <f>Calculator!N74</f>
        <v>2108528801.6300001</v>
      </c>
      <c r="Q78" s="20">
        <f>Calculator!O74</f>
        <v>2064317885.26</v>
      </c>
      <c r="R78" s="20">
        <f>Calculator!P74</f>
        <v>2101795470.8600004</v>
      </c>
      <c r="S78" s="20"/>
      <c r="T78" s="20"/>
      <c r="U78" s="20"/>
      <c r="V78" s="20"/>
      <c r="W78" s="20"/>
    </row>
    <row r="79" spans="2:23" x14ac:dyDescent="0.25">
      <c r="B79" s="28">
        <f>Calculator!B75</f>
        <v>42886</v>
      </c>
      <c r="D79" s="3">
        <f>Calculator!AS75</f>
        <v>6.2494860130510449E-3</v>
      </c>
      <c r="E79" s="3">
        <f>Calculator!AT75</f>
        <v>1.4178352048753603E-3</v>
      </c>
      <c r="F79" s="3">
        <f>Calculator!AU75</f>
        <v>7.6673212179264056E-3</v>
      </c>
      <c r="G79" s="3">
        <f>Calculator!AY75</f>
        <v>8.3190306878496694E-3</v>
      </c>
      <c r="H79" s="3">
        <f>Calculator!AZ75</f>
        <v>5.4579707426965704E-4</v>
      </c>
      <c r="I79" s="3">
        <f>Calculator!BA75</f>
        <v>8.8648277621193265E-3</v>
      </c>
      <c r="K79" s="20">
        <f>Calculator!AC75</f>
        <v>96</v>
      </c>
      <c r="M79" s="20">
        <f>Calculator!Q75</f>
        <v>2040928705.9000001</v>
      </c>
      <c r="N79" s="20">
        <f>Calculator!R75</f>
        <v>2036118472.6799998</v>
      </c>
      <c r="O79" s="20">
        <f>Calculator!M75</f>
        <v>2108528801.6300001</v>
      </c>
      <c r="P79" s="20">
        <f>Calculator!N75</f>
        <v>2141709758.2199998</v>
      </c>
      <c r="Q79" s="20">
        <f>Calculator!O75</f>
        <v>2101795470.8600004</v>
      </c>
      <c r="R79" s="20">
        <f>Calculator!P75</f>
        <v>2133868717.0800002</v>
      </c>
      <c r="S79" s="20"/>
      <c r="T79" s="20"/>
      <c r="U79" s="20"/>
      <c r="V79" s="20"/>
      <c r="W79" s="20"/>
    </row>
    <row r="80" spans="2:23" x14ac:dyDescent="0.25">
      <c r="B80" s="28">
        <f>Calculator!B76</f>
        <v>42916</v>
      </c>
      <c r="D80" s="3">
        <f>Calculator!AS76</f>
        <v>6.6685395396997573E-3</v>
      </c>
      <c r="E80" s="3">
        <f>Calculator!AT76</f>
        <v>1.3734060288782843E-3</v>
      </c>
      <c r="F80" s="3">
        <f>Calculator!AU76</f>
        <v>8.0419455685780423E-3</v>
      </c>
      <c r="G80" s="3">
        <f>Calculator!AY76</f>
        <v>8.497812218342192E-3</v>
      </c>
      <c r="H80" s="3">
        <f>Calculator!AZ76</f>
        <v>2.8535402475566608E-4</v>
      </c>
      <c r="I80" s="3">
        <f>Calculator!BA76</f>
        <v>8.7831662430978581E-3</v>
      </c>
      <c r="K80" s="20">
        <f>Calculator!AC76</f>
        <v>99</v>
      </c>
      <c r="M80" s="20">
        <f>Calculator!Q76</f>
        <v>2036118472.6799998</v>
      </c>
      <c r="N80" s="20">
        <f>Calculator!R76</f>
        <v>2111553650.1999998</v>
      </c>
      <c r="O80" s="20">
        <f>Calculator!M76</f>
        <v>2141709758.2199998</v>
      </c>
      <c r="P80" s="20">
        <f>Calculator!N76</f>
        <v>2258388427.9900002</v>
      </c>
      <c r="Q80" s="20">
        <f>Calculator!O76</f>
        <v>2133868717.0800002</v>
      </c>
      <c r="R80" s="20">
        <f>Calculator!P76</f>
        <v>2249987682.3799996</v>
      </c>
      <c r="S80" s="20"/>
      <c r="T80" s="20"/>
      <c r="U80" s="20"/>
      <c r="V80" s="20"/>
      <c r="W80" s="20"/>
    </row>
    <row r="81" spans="2:23" x14ac:dyDescent="0.25">
      <c r="B81" s="28">
        <f>Calculator!B77</f>
        <v>42947</v>
      </c>
      <c r="D81" s="3">
        <f>Calculator!AS77</f>
        <v>6.0756227810163498E-3</v>
      </c>
      <c r="E81" s="3">
        <f>Calculator!AT77</f>
        <v>1.3567344017092389E-3</v>
      </c>
      <c r="F81" s="3">
        <f>Calculator!AU77</f>
        <v>7.4323571827255887E-3</v>
      </c>
      <c r="G81" s="3">
        <f>Calculator!AY77</f>
        <v>7.9934067555088254E-3</v>
      </c>
      <c r="H81" s="3">
        <f>Calculator!AZ77</f>
        <v>-1.3384090321327813E-4</v>
      </c>
      <c r="I81" s="3">
        <f>Calculator!BA77</f>
        <v>7.8595658522955473E-3</v>
      </c>
      <c r="K81" s="20">
        <f>Calculator!AC77</f>
        <v>99</v>
      </c>
      <c r="M81" s="20">
        <f>Calculator!Q77</f>
        <v>2111553650.1999998</v>
      </c>
      <c r="N81" s="20">
        <f>Calculator!R77</f>
        <v>2178868093.6799998</v>
      </c>
      <c r="O81" s="20">
        <f>Calculator!M77</f>
        <v>2258388427.9900002</v>
      </c>
      <c r="P81" s="20">
        <f>Calculator!N77</f>
        <v>2357210615.8200002</v>
      </c>
      <c r="Q81" s="20">
        <f>Calculator!O77</f>
        <v>2249987682.3799996</v>
      </c>
      <c r="R81" s="20">
        <f>Calculator!P77</f>
        <v>2349095863.3400002</v>
      </c>
      <c r="S81" s="20"/>
      <c r="T81" s="20"/>
      <c r="U81" s="20"/>
      <c r="V81" s="20"/>
      <c r="W81" s="20"/>
    </row>
    <row r="82" spans="2:23" x14ac:dyDescent="0.25">
      <c r="B82" s="28">
        <f>Calculator!B78</f>
        <v>42978</v>
      </c>
      <c r="D82" s="3">
        <f>Calculator!AS78</f>
        <v>9.7151206538533159E-3</v>
      </c>
      <c r="E82" s="3">
        <f>Calculator!AT78</f>
        <v>5.1934206369593102E-4</v>
      </c>
      <c r="F82" s="3">
        <f>Calculator!AU78</f>
        <v>1.0234462717549247E-2</v>
      </c>
      <c r="G82" s="3">
        <f>Calculator!AY78</f>
        <v>1.1129316772640084E-2</v>
      </c>
      <c r="H82" s="3">
        <f>Calculator!AZ78</f>
        <v>-4.5023938011428529E-3</v>
      </c>
      <c r="I82" s="3">
        <f>Calculator!BA78</f>
        <v>6.6269229714972311E-3</v>
      </c>
      <c r="K82" s="20">
        <f>Calculator!AC78</f>
        <v>103</v>
      </c>
      <c r="M82" s="20">
        <f>Calculator!Q78</f>
        <v>2178868093.6799998</v>
      </c>
      <c r="N82" s="20">
        <f>Calculator!R78</f>
        <v>2225806512.5100002</v>
      </c>
      <c r="O82" s="20">
        <f>Calculator!M78</f>
        <v>2357210615.8200002</v>
      </c>
      <c r="P82" s="20">
        <f>Calculator!N78</f>
        <v>2397864084.2400007</v>
      </c>
      <c r="Q82" s="20">
        <f>Calculator!O78</f>
        <v>2349095863.3400002</v>
      </c>
      <c r="R82" s="20">
        <f>Calculator!P78</f>
        <v>2399632374.5</v>
      </c>
      <c r="S82" s="20"/>
      <c r="T82" s="20"/>
      <c r="U82" s="20"/>
      <c r="V82" s="20"/>
      <c r="W82" s="20"/>
    </row>
    <row r="83" spans="2:23" x14ac:dyDescent="0.25">
      <c r="B83" s="28">
        <f>Calculator!B79</f>
        <v>43008</v>
      </c>
      <c r="D83" s="3">
        <f>Calculator!AS79</f>
        <v>6.4416511129563106E-3</v>
      </c>
      <c r="E83" s="3">
        <f>Calculator!AT79</f>
        <v>6.7986924558342701E-4</v>
      </c>
      <c r="F83" s="3">
        <f>Calculator!AU79</f>
        <v>7.1215203585397379E-3</v>
      </c>
      <c r="G83" s="3">
        <f>Calculator!AY79</f>
        <v>8.3810497836486787E-3</v>
      </c>
      <c r="H83" s="3">
        <f>Calculator!AZ79</f>
        <v>-1.1381039932800777E-3</v>
      </c>
      <c r="I83" s="3">
        <f>Calculator!BA79</f>
        <v>7.2429457903686011E-3</v>
      </c>
      <c r="K83" s="20">
        <f>Calculator!AC79</f>
        <v>102</v>
      </c>
      <c r="M83" s="20">
        <f>Calculator!Q79</f>
        <v>2225806512.5100002</v>
      </c>
      <c r="N83" s="20">
        <f>Calculator!R79</f>
        <v>2334715399.2299995</v>
      </c>
      <c r="O83" s="20">
        <f>Calculator!M79</f>
        <v>2397864084.2400007</v>
      </c>
      <c r="P83" s="20">
        <f>Calculator!N79</f>
        <v>2590789085.3199992</v>
      </c>
      <c r="Q83" s="20">
        <f>Calculator!O79</f>
        <v>2399632374.5</v>
      </c>
      <c r="R83" s="20">
        <f>Calculator!P79</f>
        <v>2595143185.2199993</v>
      </c>
      <c r="S83" s="20"/>
      <c r="T83" s="20"/>
      <c r="U83" s="20"/>
      <c r="V83" s="20"/>
      <c r="W83" s="20"/>
    </row>
    <row r="84" spans="2:23" x14ac:dyDescent="0.25">
      <c r="B84" s="28">
        <f>Calculator!B80</f>
        <v>43039</v>
      </c>
      <c r="D84" s="3">
        <f>Calculator!AS80</f>
        <v>6.3379999749881679E-3</v>
      </c>
      <c r="E84" s="3">
        <f>Calculator!AT80</f>
        <v>6.6637270063078845E-4</v>
      </c>
      <c r="F84" s="3">
        <f>Calculator!AU80</f>
        <v>7.0043726756189566E-3</v>
      </c>
      <c r="G84" s="3">
        <f>Calculator!AY80</f>
        <v>7.7572743036099919E-3</v>
      </c>
      <c r="H84" s="3">
        <f>Calculator!AZ80</f>
        <v>6.7076894141366965E-5</v>
      </c>
      <c r="I84" s="3">
        <f>Calculator!BA80</f>
        <v>7.8243511977513589E-3</v>
      </c>
      <c r="K84" s="20">
        <f>Calculator!AC80</f>
        <v>104</v>
      </c>
      <c r="M84" s="20">
        <f>Calculator!Q80</f>
        <v>2313503288.7799993</v>
      </c>
      <c r="N84" s="20">
        <f>Calculator!R80</f>
        <v>2377026291.8600001</v>
      </c>
      <c r="O84" s="20">
        <f>Calculator!M80</f>
        <v>2569576974.8699994</v>
      </c>
      <c r="P84" s="20">
        <f>Calculator!N80</f>
        <v>2732699977.9499998</v>
      </c>
      <c r="Q84" s="20">
        <f>Calculator!O80</f>
        <v>2575143185.2199993</v>
      </c>
      <c r="R84" s="20">
        <f>Calculator!P80</f>
        <v>2738157960.8599997</v>
      </c>
      <c r="S84" s="20"/>
      <c r="T84" s="20"/>
      <c r="U84" s="20"/>
      <c r="V84" s="20"/>
      <c r="W84" s="20"/>
    </row>
    <row r="85" spans="2:23" x14ac:dyDescent="0.25">
      <c r="B85" s="28">
        <f>Calculator!B81</f>
        <v>43069</v>
      </c>
      <c r="D85" s="3">
        <f>Calculator!AS81</f>
        <v>6.7623442247137537E-3</v>
      </c>
      <c r="E85" s="3">
        <f>Calculator!AT81</f>
        <v>5.1663138005673937E-4</v>
      </c>
      <c r="F85" s="3">
        <f>Calculator!AU81</f>
        <v>7.2789756047704933E-3</v>
      </c>
      <c r="G85" s="3">
        <f>Calculator!AY81</f>
        <v>9.2246712213093756E-3</v>
      </c>
      <c r="H85" s="3">
        <f>Calculator!AZ81</f>
        <v>-2.2062227471909834E-4</v>
      </c>
      <c r="I85" s="3">
        <f>Calculator!BA81</f>
        <v>9.0040489465902773E-3</v>
      </c>
      <c r="K85" s="20">
        <f>Calculator!AC81</f>
        <v>110</v>
      </c>
      <c r="M85" s="20">
        <f>Calculator!Q81</f>
        <v>2376914376.1999998</v>
      </c>
      <c r="N85" s="20">
        <f>Calculator!R81</f>
        <v>2520463122.1700006</v>
      </c>
      <c r="O85" s="20">
        <f>Calculator!M81</f>
        <v>2732588062.2899995</v>
      </c>
      <c r="P85" s="20">
        <f>Calculator!N81</f>
        <v>2955621808.2600007</v>
      </c>
      <c r="Q85" s="20">
        <f>Calculator!O81</f>
        <v>2738157960.8599997</v>
      </c>
      <c r="R85" s="20">
        <f>Calculator!P81</f>
        <v>2961725332.210001</v>
      </c>
      <c r="S85" s="20"/>
      <c r="T85" s="20"/>
      <c r="U85" s="20"/>
      <c r="V85" s="20"/>
      <c r="W85" s="20"/>
    </row>
    <row r="86" spans="2:23" x14ac:dyDescent="0.25">
      <c r="B86" s="28">
        <f>Calculator!B82</f>
        <v>43100</v>
      </c>
      <c r="D86" s="3">
        <f>Calculator!AS82</f>
        <v>6.6225432736620581E-3</v>
      </c>
      <c r="E86" s="3">
        <f>Calculator!AT82</f>
        <v>5.2941677718726984E-4</v>
      </c>
      <c r="F86" s="3">
        <f>Calculator!AU82</f>
        <v>7.151960050849328E-3</v>
      </c>
      <c r="G86" s="3">
        <f>Calculator!AY82</f>
        <v>8.1551363193565103E-3</v>
      </c>
      <c r="H86" s="3">
        <f>Calculator!AZ82</f>
        <v>-1.0588253718607776E-3</v>
      </c>
      <c r="I86" s="3">
        <f>Calculator!BA82</f>
        <v>7.0963109474957327E-3</v>
      </c>
      <c r="K86" s="20">
        <f>Calculator!AC82</f>
        <v>116</v>
      </c>
      <c r="M86" s="20">
        <f>Calculator!Q82</f>
        <v>2520463122.1700006</v>
      </c>
      <c r="N86" s="20">
        <f>Calculator!R82</f>
        <v>2738573890.3199997</v>
      </c>
      <c r="O86" s="20">
        <f>Calculator!M82</f>
        <v>2955621808.2600007</v>
      </c>
      <c r="P86" s="20">
        <f>Calculator!N82</f>
        <v>3315181408.749999</v>
      </c>
      <c r="Q86" s="20">
        <f>Calculator!O82</f>
        <v>2961725332.210001</v>
      </c>
      <c r="R86" s="20">
        <f>Calculator!P82</f>
        <v>3324054459.3500004</v>
      </c>
      <c r="S86" s="20"/>
      <c r="T86" s="20"/>
      <c r="U86" s="20"/>
      <c r="V86" s="20"/>
      <c r="W86" s="20"/>
    </row>
    <row r="87" spans="2:23" x14ac:dyDescent="0.25">
      <c r="B87" s="28">
        <f>Calculator!B83</f>
        <v>43131</v>
      </c>
      <c r="D87" s="3">
        <f>Calculator!AS83</f>
        <v>6.5493089413865523E-3</v>
      </c>
      <c r="E87" s="3">
        <f>Calculator!AT83</f>
        <v>5.7424254274030006E-4</v>
      </c>
      <c r="F87" s="3">
        <f>Calculator!AU83</f>
        <v>7.123551484126852E-3</v>
      </c>
      <c r="G87" s="3">
        <f>Calculator!AY83</f>
        <v>7.712317419831945E-3</v>
      </c>
      <c r="H87" s="3">
        <f>Calculator!AZ83</f>
        <v>-9.9910815156922794E-5</v>
      </c>
      <c r="I87" s="3">
        <f>Calculator!BA83</f>
        <v>7.6124066046750222E-3</v>
      </c>
      <c r="K87" s="20">
        <f>Calculator!AC83</f>
        <v>121</v>
      </c>
      <c r="M87" s="20">
        <f>Calculator!Q83</f>
        <v>2743872251.8499994</v>
      </c>
      <c r="N87" s="20">
        <f>Calculator!R83</f>
        <v>2803858246.0999999</v>
      </c>
      <c r="O87" s="20">
        <f>Calculator!M83</f>
        <v>3320479770.2799993</v>
      </c>
      <c r="P87" s="20">
        <f>Calculator!N83</f>
        <v>3456214832.1899996</v>
      </c>
      <c r="Q87" s="20">
        <f>Calculator!O83</f>
        <v>3329052370.3600001</v>
      </c>
      <c r="R87" s="20">
        <f>Calculator!P83</f>
        <v>3465059802.6099997</v>
      </c>
      <c r="T87" s="20"/>
      <c r="U87" s="20"/>
      <c r="V87" s="20"/>
      <c r="W87" s="20"/>
    </row>
    <row r="88" spans="2:23" x14ac:dyDescent="0.25">
      <c r="B88" s="28">
        <f>Calculator!B84</f>
        <v>43159</v>
      </c>
      <c r="D88" s="3">
        <f>Calculator!AS84</f>
        <v>7.2998293973089799E-3</v>
      </c>
      <c r="E88" s="3">
        <f>Calculator!AT84</f>
        <v>4.9993755029595138E-4</v>
      </c>
      <c r="F88" s="3">
        <f>Calculator!AU84</f>
        <v>7.7997669476049317E-3</v>
      </c>
      <c r="G88" s="3">
        <f>Calculator!AY84</f>
        <v>8.277909862479128E-3</v>
      </c>
      <c r="H88" s="3">
        <f>Calculator!AZ84</f>
        <v>-6.4008346369227951E-4</v>
      </c>
      <c r="I88" s="3">
        <f>Calculator!BA84</f>
        <v>7.6378263987868485E-3</v>
      </c>
      <c r="K88" s="20">
        <f>Calculator!AC84</f>
        <v>125</v>
      </c>
      <c r="M88" s="20">
        <f>Calculator!Q84</f>
        <v>2803858246.0999999</v>
      </c>
      <c r="N88" s="20">
        <f>Calculator!R84</f>
        <v>2847707756.2999997</v>
      </c>
      <c r="O88" s="20">
        <f>Calculator!M84</f>
        <v>3456214832.1899996</v>
      </c>
      <c r="P88" s="20">
        <f>Calculator!N84</f>
        <v>3508744578.5600004</v>
      </c>
      <c r="Q88" s="20">
        <f>Calculator!O84</f>
        <v>3465059802.6099997</v>
      </c>
      <c r="R88" s="20">
        <f>Calculator!P84</f>
        <v>3519381878.9100008</v>
      </c>
      <c r="T88" s="20"/>
      <c r="U88" s="20"/>
      <c r="V88" s="20"/>
      <c r="W88" s="20"/>
    </row>
    <row r="89" spans="2:23" x14ac:dyDescent="0.25">
      <c r="B89" s="28">
        <f>Calculator!B85</f>
        <v>43190</v>
      </c>
      <c r="D89" s="3">
        <f>Calculator!AS85</f>
        <v>6.6178042924644204E-3</v>
      </c>
      <c r="E89" s="3">
        <f>Calculator!AT85</f>
        <v>5.5369492031868636E-4</v>
      </c>
      <c r="F89" s="3">
        <f>Calculator!AU85</f>
        <v>7.1714992127831067E-3</v>
      </c>
      <c r="G89" s="3">
        <f>Calculator!AY85</f>
        <v>7.6738684747167307E-3</v>
      </c>
      <c r="H89" s="3">
        <f>Calculator!AZ85</f>
        <v>-3.7733055184319651E-5</v>
      </c>
      <c r="I89" s="3">
        <f>Calculator!BA85</f>
        <v>7.636135419532411E-3</v>
      </c>
      <c r="K89" s="20">
        <f>Calculator!AC85</f>
        <v>130</v>
      </c>
      <c r="M89" s="20">
        <f>Calculator!Q85</f>
        <v>2847707756.2999997</v>
      </c>
      <c r="N89" s="20">
        <f>Calculator!R85</f>
        <v>3022032195.3599997</v>
      </c>
      <c r="O89" s="20">
        <f>Calculator!M85</f>
        <v>3508744578.5600004</v>
      </c>
      <c r="P89" s="20">
        <f>Calculator!N85</f>
        <v>3783419906.3900003</v>
      </c>
      <c r="Q89" s="20">
        <f>Calculator!O85</f>
        <v>3519381878.9100008</v>
      </c>
      <c r="R89" s="20">
        <f>Calculator!P85</f>
        <v>3794109860.750001</v>
      </c>
      <c r="T89" s="20"/>
      <c r="U89" s="20"/>
      <c r="V89" s="20"/>
      <c r="W89" s="20"/>
    </row>
    <row r="90" spans="2:23" x14ac:dyDescent="0.25">
      <c r="B90" s="28">
        <f>Calculator!B86</f>
        <v>43220</v>
      </c>
      <c r="D90" s="3">
        <f>Calculator!AS86</f>
        <v>6.7019529909137622E-3</v>
      </c>
      <c r="E90" s="3">
        <f>Calculator!AT86</f>
        <v>5.9563195485644435E-4</v>
      </c>
      <c r="F90" s="3">
        <f>Calculator!AU86</f>
        <v>7.2975849457702063E-3</v>
      </c>
      <c r="G90" s="3">
        <f>Calculator!AY86</f>
        <v>7.5286341228223749E-3</v>
      </c>
      <c r="H90" s="3">
        <f>Calculator!AZ86</f>
        <v>-1.1011351371713945E-3</v>
      </c>
      <c r="I90" s="3">
        <f>Calculator!BA86</f>
        <v>6.4274989856509803E-3</v>
      </c>
      <c r="K90" s="20">
        <f>Calculator!AC86</f>
        <v>131</v>
      </c>
      <c r="M90" s="20">
        <f>Calculator!Q86</f>
        <v>3022032195.3599997</v>
      </c>
      <c r="N90" s="20">
        <f>Calculator!R86</f>
        <v>3055991195.0099993</v>
      </c>
      <c r="O90" s="20">
        <f>Calculator!M86</f>
        <v>3783419906.3900003</v>
      </c>
      <c r="P90" s="20">
        <f>Calculator!N86</f>
        <v>3839645203.4299998</v>
      </c>
      <c r="Q90" s="20">
        <f>Calculator!O86</f>
        <v>3794109860.750001</v>
      </c>
      <c r="R90" s="20">
        <f>Calculator!P86</f>
        <v>3853651951.5400004</v>
      </c>
      <c r="T90" s="20"/>
      <c r="U90" s="20"/>
      <c r="V90" s="20"/>
      <c r="W90" s="20"/>
    </row>
    <row r="91" spans="2:23" x14ac:dyDescent="0.25">
      <c r="B91" s="28">
        <f>Calculator!B87</f>
        <v>43251</v>
      </c>
      <c r="D91" s="3">
        <f>Calculator!AS87</f>
        <v>7.3538328484679697E-3</v>
      </c>
      <c r="E91" s="3">
        <f>Calculator!AT87</f>
        <v>-4.5415489827213219E-5</v>
      </c>
      <c r="F91" s="3">
        <f>Calculator!AU87</f>
        <v>7.3084173586407562E-3</v>
      </c>
      <c r="G91" s="3">
        <f>Calculator!AY87</f>
        <v>8.9190132753414631E-3</v>
      </c>
      <c r="H91" s="3">
        <f>Calculator!AZ87</f>
        <v>1.0802196060997124E-3</v>
      </c>
      <c r="I91" s="3">
        <f>Calculator!BA87</f>
        <v>9.9992328814411755E-3</v>
      </c>
      <c r="K91" s="20">
        <f>Calculator!AC87</f>
        <v>133</v>
      </c>
      <c r="M91" s="20">
        <f>Calculator!Q87</f>
        <v>3055991195.0099993</v>
      </c>
      <c r="N91" s="20">
        <f>Calculator!R87</f>
        <v>3191420020.7199998</v>
      </c>
      <c r="O91" s="20">
        <f>Calculator!M87</f>
        <v>3839645203.4299998</v>
      </c>
      <c r="P91" s="20">
        <f>Calculator!N87</f>
        <v>4156822622.0300007</v>
      </c>
      <c r="Q91" s="20">
        <f>Calculator!O87</f>
        <v>3853651951.5400004</v>
      </c>
      <c r="R91" s="20">
        <f>Calculator!P87</f>
        <v>4167450336.3200002</v>
      </c>
      <c r="T91" s="20"/>
      <c r="U91" s="20"/>
      <c r="V91" s="20"/>
      <c r="W91" s="20"/>
    </row>
    <row r="92" spans="2:23" x14ac:dyDescent="0.25">
      <c r="B92" s="28">
        <f>Calculator!B88</f>
        <v>43281</v>
      </c>
      <c r="D92" s="3">
        <f>Calculator!AS88</f>
        <v>6.9046764211287909E-3</v>
      </c>
      <c r="E92" s="3">
        <f>Calculator!AT88</f>
        <v>4.2964867224282757E-4</v>
      </c>
      <c r="F92" s="3">
        <f>Calculator!AU88</f>
        <v>7.3343250933716186E-3</v>
      </c>
      <c r="G92" s="3">
        <f>Calculator!AY88</f>
        <v>8.8583067286033979E-3</v>
      </c>
      <c r="H92" s="3">
        <f>Calculator!AZ88</f>
        <v>-1.3087678485541529E-4</v>
      </c>
      <c r="I92" s="3">
        <f>Calculator!BA88</f>
        <v>8.7274299437479826E-3</v>
      </c>
      <c r="K92" s="20">
        <f>Calculator!AC88</f>
        <v>136</v>
      </c>
      <c r="M92" s="20">
        <f>Calculator!Q88</f>
        <v>3191420020.7199998</v>
      </c>
      <c r="N92" s="20">
        <f>Calculator!R88</f>
        <v>3487969502.6299992</v>
      </c>
      <c r="O92" s="20">
        <f>Calculator!M88</f>
        <v>4156822622.0300007</v>
      </c>
      <c r="P92" s="20">
        <f>Calculator!N88</f>
        <v>4453763464.8899994</v>
      </c>
      <c r="Q92" s="20">
        <f>Calculator!O88</f>
        <v>4167450335.8200002</v>
      </c>
      <c r="R92" s="20">
        <f>Calculator!P88</f>
        <v>4464796795.25</v>
      </c>
      <c r="T92" s="20"/>
      <c r="U92" s="20"/>
      <c r="V92" s="20"/>
      <c r="W92" s="20"/>
    </row>
    <row r="93" spans="2:23" x14ac:dyDescent="0.25">
      <c r="B93" s="28">
        <f>Calculator!B89</f>
        <v>43312</v>
      </c>
      <c r="D93" s="3">
        <f>Calculator!AS89</f>
        <v>6.3950595171709717E-3</v>
      </c>
      <c r="E93" s="3">
        <f>Calculator!AT89</f>
        <v>7.2380237297658924E-4</v>
      </c>
      <c r="F93" s="3">
        <f>Calculator!AU89</f>
        <v>7.1188618901475605E-3</v>
      </c>
      <c r="G93" s="3">
        <f>Calculator!AY89</f>
        <v>6.9647942593080306E-3</v>
      </c>
      <c r="H93" s="3">
        <f>Calculator!AZ89</f>
        <v>-1.7663741333062959E-4</v>
      </c>
      <c r="I93" s="3">
        <f>Calculator!BA89</f>
        <v>6.788156845977401E-3</v>
      </c>
      <c r="K93" s="20">
        <f>Calculator!AC89</f>
        <v>135</v>
      </c>
      <c r="M93" s="20">
        <f>Calculator!Q89</f>
        <v>3487969502.6299992</v>
      </c>
      <c r="N93" s="20">
        <f>Calculator!R89</f>
        <v>3388110535.0699987</v>
      </c>
      <c r="O93" s="20">
        <f>Calculator!M89</f>
        <v>4453763464.8899994</v>
      </c>
      <c r="P93" s="20">
        <f>Calculator!N89</f>
        <v>4356792994.4099998</v>
      </c>
      <c r="Q93" s="20">
        <f>Calculator!O89</f>
        <v>4464796795.25</v>
      </c>
      <c r="R93" s="20">
        <f>Calculator!P89</f>
        <v>4368431557.04</v>
      </c>
      <c r="T93" s="20"/>
      <c r="U93" s="20"/>
      <c r="V93" s="20"/>
      <c r="W93" s="20"/>
    </row>
    <row r="94" spans="2:23" x14ac:dyDescent="0.25">
      <c r="B94" s="28">
        <f>Calculator!B90</f>
        <v>43343</v>
      </c>
      <c r="D94" s="3">
        <f>Calculator!AS90</f>
        <v>7.060801687802592E-3</v>
      </c>
      <c r="E94" s="3">
        <f>Calculator!AT90</f>
        <v>4.5431627659417694E-4</v>
      </c>
      <c r="F94" s="3">
        <f>Calculator!AU90</f>
        <v>7.515117964396769E-3</v>
      </c>
      <c r="G94" s="3">
        <f>Calculator!AY90</f>
        <v>8.8196794114899068E-3</v>
      </c>
      <c r="H94" s="3">
        <f>Calculator!AZ90</f>
        <v>1.8035673659654201E-4</v>
      </c>
      <c r="I94" s="3">
        <f>Calculator!BA90</f>
        <v>9.0000361480864488E-3</v>
      </c>
      <c r="K94" s="20">
        <f>Calculator!AC90</f>
        <v>142</v>
      </c>
      <c r="M94" s="20">
        <f>Calculator!Q90</f>
        <v>3388110535.0699987</v>
      </c>
      <c r="N94" s="20">
        <f>Calculator!R90</f>
        <v>3570723448.329999</v>
      </c>
      <c r="O94" s="20">
        <f>Calculator!M90</f>
        <v>4356792994.4099998</v>
      </c>
      <c r="P94" s="20">
        <f>Calculator!N90</f>
        <v>4709094085.7199993</v>
      </c>
      <c r="Q94" s="20">
        <f>Calculator!O90</f>
        <v>4368431557.04</v>
      </c>
      <c r="R94" s="20">
        <f>Calculator!P90</f>
        <v>4719849187.5499992</v>
      </c>
      <c r="T94" s="20"/>
      <c r="U94" s="20"/>
      <c r="V94" s="20"/>
      <c r="W94" s="20"/>
    </row>
    <row r="95" spans="2:23" x14ac:dyDescent="0.25">
      <c r="B95" s="28">
        <f>Calculator!B91</f>
        <v>43373</v>
      </c>
      <c r="D95" s="3">
        <f>Calculator!AS91</f>
        <v>6.8054968614209817E-3</v>
      </c>
      <c r="E95" s="3">
        <f>Calculator!AT91</f>
        <v>3.4201926287504947E-4</v>
      </c>
      <c r="F95" s="3">
        <f>Calculator!AU91</f>
        <v>7.1475161242960314E-3</v>
      </c>
      <c r="G95" s="3">
        <f>Calculator!AY91</f>
        <v>1.1114203388128295E-2</v>
      </c>
      <c r="H95" s="3">
        <f>Calculator!AZ91</f>
        <v>4.8654080663339955E-4</v>
      </c>
      <c r="I95" s="3">
        <f>Calculator!BA91</f>
        <v>1.1600744194761694E-2</v>
      </c>
      <c r="K95" s="20">
        <f>Calculator!AC91</f>
        <v>144</v>
      </c>
      <c r="M95" s="20">
        <f>Calculator!Q91</f>
        <v>3570723448.329999</v>
      </c>
      <c r="N95" s="20">
        <f>Calculator!R91</f>
        <v>3666968225.1399984</v>
      </c>
      <c r="O95" s="20">
        <f>Calculator!M91</f>
        <v>4709094085.7199993</v>
      </c>
      <c r="P95" s="20">
        <f>Calculator!N91</f>
        <v>4908438862.5299997</v>
      </c>
      <c r="Q95" s="20">
        <f>Calculator!O91</f>
        <v>4719849187.5499992</v>
      </c>
      <c r="R95" s="20">
        <f>Calculator!P91</f>
        <v>4917443402.0900002</v>
      </c>
      <c r="T95" s="20"/>
      <c r="U95" s="20"/>
      <c r="V95" s="20"/>
      <c r="W95" s="20"/>
    </row>
    <row r="96" spans="2:23" x14ac:dyDescent="0.25">
      <c r="B96" s="28">
        <f>Calculator!B92</f>
        <v>43404</v>
      </c>
      <c r="D96" s="3">
        <f>Calculator!AS92</f>
        <v>7.2039859755681579E-3</v>
      </c>
      <c r="E96" s="3">
        <f>Calculator!AT92</f>
        <v>6.051478250682585E-4</v>
      </c>
      <c r="F96" s="3">
        <f>Calculator!AU92</f>
        <v>7.8091338006364168E-3</v>
      </c>
      <c r="G96" s="3">
        <f>Calculator!AY92</f>
        <v>8.2878512556996756E-3</v>
      </c>
      <c r="H96" s="3">
        <f>Calculator!AZ92</f>
        <v>-1.9678996108285661E-3</v>
      </c>
      <c r="I96" s="3">
        <f>Calculator!BA92</f>
        <v>6.3199516448711095E-3</v>
      </c>
      <c r="K96" s="20">
        <f>Calculator!AC92</f>
        <v>149</v>
      </c>
      <c r="M96" s="20">
        <f>Calculator!Q92</f>
        <v>3716974376.9599991</v>
      </c>
      <c r="N96" s="20">
        <f>Calculator!R92</f>
        <v>3748453982.5899997</v>
      </c>
      <c r="O96" s="20">
        <f>Calculator!M92</f>
        <v>4890824103.7399998</v>
      </c>
      <c r="P96" s="20">
        <f>Calculator!N92</f>
        <v>4991203709.3699999</v>
      </c>
      <c r="Q96" s="20">
        <f>Calculator!O92</f>
        <v>4899121915.170001</v>
      </c>
      <c r="R96" s="20">
        <f>Calculator!P92</f>
        <v>5006823988.8200006</v>
      </c>
      <c r="T96" s="20"/>
      <c r="U96" s="20"/>
      <c r="V96" s="20"/>
      <c r="W96" s="20"/>
    </row>
    <row r="97" spans="2:23" x14ac:dyDescent="0.25">
      <c r="B97" s="28">
        <f>Calculator!B93</f>
        <v>43434</v>
      </c>
      <c r="D97" s="3">
        <f>Calculator!AS93</f>
        <v>6.9615926989911757E-3</v>
      </c>
      <c r="E97" s="3">
        <f>Calculator!AT93</f>
        <v>3.5769482357790762E-4</v>
      </c>
      <c r="F97" s="3">
        <f>Calculator!AU93</f>
        <v>7.3192875225690833E-3</v>
      </c>
      <c r="G97" s="3">
        <f>Calculator!AY93</f>
        <v>7.7723867258232436E-3</v>
      </c>
      <c r="H97" s="3">
        <f>Calculator!AZ93</f>
        <v>3.7426862437042307E-4</v>
      </c>
      <c r="I97" s="3">
        <f>Calculator!BA93</f>
        <v>8.1466553501936666E-3</v>
      </c>
      <c r="K97" s="20">
        <f>Calculator!AC93</f>
        <v>158</v>
      </c>
      <c r="M97" s="20">
        <f>Calculator!Q93</f>
        <v>3748453982.5899997</v>
      </c>
      <c r="N97" s="20">
        <f>Calculator!R93</f>
        <v>4094303531.2099986</v>
      </c>
      <c r="O97" s="20">
        <f>Calculator!M93</f>
        <v>4991203709.3699999</v>
      </c>
      <c r="P97" s="20">
        <f>Calculator!N93</f>
        <v>5527063507.9899998</v>
      </c>
      <c r="Q97" s="20">
        <f>Calculator!O93</f>
        <v>5006823988.8200006</v>
      </c>
      <c r="R97" s="20">
        <f>Calculator!P93</f>
        <v>5541222092.2799997</v>
      </c>
      <c r="T97" s="20"/>
      <c r="U97" s="20"/>
      <c r="V97" s="20"/>
      <c r="W97" s="20"/>
    </row>
    <row r="98" spans="2:23" x14ac:dyDescent="0.25">
      <c r="B98" s="28">
        <f>Calculator!B94</f>
        <v>43465</v>
      </c>
      <c r="D98" s="3">
        <f>Calculator!AS94</f>
        <v>6.5206850046792726E-3</v>
      </c>
      <c r="E98" s="3">
        <f>Calculator!AT94</f>
        <v>2.9253154502092234E-4</v>
      </c>
      <c r="F98" s="3">
        <f>Calculator!AU94</f>
        <v>6.8132165497001946E-3</v>
      </c>
      <c r="G98" s="3">
        <f>Calculator!AY94</f>
        <v>7.5343355398847962E-3</v>
      </c>
      <c r="H98" s="3">
        <f>Calculator!AZ94</f>
        <v>1.3124700354615656E-3</v>
      </c>
      <c r="I98" s="3">
        <f>Calculator!BA94</f>
        <v>8.8468055753463618E-3</v>
      </c>
      <c r="K98" s="20">
        <f>Calculator!AC94</f>
        <v>169</v>
      </c>
      <c r="M98" s="20">
        <f>Calculator!Q94</f>
        <v>4196803531.2099986</v>
      </c>
      <c r="N98" s="20">
        <f>Calculator!R94</f>
        <v>4317844362.8000002</v>
      </c>
      <c r="O98" s="20">
        <f>Calculator!M94</f>
        <v>5629563507.9899998</v>
      </c>
      <c r="P98" s="20">
        <f>Calculator!N94</f>
        <v>5933101881.5800028</v>
      </c>
      <c r="Q98" s="20">
        <f>Calculator!O94</f>
        <v>5643722092.2799997</v>
      </c>
      <c r="R98" s="20">
        <f>Calculator!P94</f>
        <v>5941697463.2200012</v>
      </c>
      <c r="T98" s="20"/>
      <c r="U98" s="20"/>
      <c r="V98" s="20"/>
      <c r="W98" s="20"/>
    </row>
    <row r="99" spans="2:23" x14ac:dyDescent="0.25">
      <c r="B99" s="28">
        <f>Calculator!B95</f>
        <v>43496</v>
      </c>
      <c r="D99" s="3">
        <f>Calculator!AS95</f>
        <v>5.9163230262825562E-3</v>
      </c>
      <c r="E99" s="3">
        <f>Calculator!AT95</f>
        <v>4.247015475055327E-4</v>
      </c>
      <c r="F99" s="3">
        <f>Calculator!AU95</f>
        <v>6.3410245737880889E-3</v>
      </c>
      <c r="G99" s="3">
        <f>Calculator!AY95</f>
        <v>6.4337053107770053E-3</v>
      </c>
      <c r="H99" s="3">
        <f>Calculator!AZ95</f>
        <v>-2.8490807958481308E-4</v>
      </c>
      <c r="I99" s="3">
        <f>Calculator!BA95</f>
        <v>6.1487972311921922E-3</v>
      </c>
      <c r="K99" s="20">
        <f>Calculator!AC95</f>
        <v>182</v>
      </c>
      <c r="M99" s="20">
        <f>Calculator!Q95</f>
        <v>5156867803.8300018</v>
      </c>
      <c r="N99" s="20">
        <f>Calculator!R95</f>
        <v>5239742929.380002</v>
      </c>
      <c r="O99" s="20">
        <f>Calculator!M95</f>
        <v>6772125322.6100016</v>
      </c>
      <c r="P99" s="20">
        <f>Calculator!N95</f>
        <v>6969054540.1600008</v>
      </c>
      <c r="Q99" s="20">
        <f>Calculator!O95</f>
        <v>6780720904.250001</v>
      </c>
      <c r="R99" s="20">
        <f>Calculator!P95</f>
        <v>6979126621.7300014</v>
      </c>
      <c r="T99" s="20"/>
      <c r="U99" s="20"/>
      <c r="V99" s="20"/>
      <c r="W99" s="20"/>
    </row>
    <row r="100" spans="2:23" x14ac:dyDescent="0.25">
      <c r="B100" s="28">
        <f>Calculator!B96</f>
        <v>43524</v>
      </c>
      <c r="D100" s="3">
        <f>Calculator!AS96</f>
        <v>6.2933476516379618E-3</v>
      </c>
      <c r="E100" s="3">
        <f>Calculator!AT96</f>
        <v>2.2400216422155904E-4</v>
      </c>
      <c r="F100" s="3">
        <f>Calculator!AU96</f>
        <v>6.517349815859521E-3</v>
      </c>
      <c r="G100" s="3">
        <f>Calculator!AY96</f>
        <v>7.3715200347715826E-3</v>
      </c>
      <c r="H100" s="3">
        <f>Calculator!AZ96</f>
        <v>3.7355960439220282E-4</v>
      </c>
      <c r="I100" s="3">
        <f>Calculator!BA96</f>
        <v>7.7450796391637855E-3</v>
      </c>
      <c r="K100" s="20">
        <f>Calculator!AC96</f>
        <v>188</v>
      </c>
      <c r="M100" s="20">
        <f>Calculator!Q96</f>
        <v>5239737084.7400026</v>
      </c>
      <c r="N100" s="20">
        <f>Calculator!R96</f>
        <v>5391309147.460001</v>
      </c>
      <c r="O100" s="20">
        <f>Calculator!M96</f>
        <v>6969048695.5200005</v>
      </c>
      <c r="P100" s="20">
        <f>Calculator!N96</f>
        <v>7345646209.29</v>
      </c>
      <c r="Q100" s="20">
        <f>Calculator!O96</f>
        <v>6979120777.0900021</v>
      </c>
      <c r="R100" s="20">
        <f>Calculator!P96</f>
        <v>7353746130.6600018</v>
      </c>
      <c r="T100" s="20"/>
      <c r="U100" s="20"/>
      <c r="V100" s="20"/>
      <c r="W100" s="20"/>
    </row>
    <row r="101" spans="2:23" x14ac:dyDescent="0.25">
      <c r="B101" s="28">
        <f>Calculator!B97</f>
        <v>43555</v>
      </c>
      <c r="D101" s="3">
        <f>Calculator!AS97</f>
        <v>5.8136715622554959E-3</v>
      </c>
      <c r="E101" s="3">
        <f>Calculator!AT97</f>
        <v>2.9433538348459473E-4</v>
      </c>
      <c r="F101" s="3">
        <f>Calculator!AU97</f>
        <v>6.1080069457400904E-3</v>
      </c>
      <c r="G101" s="3">
        <f>Calculator!AY97</f>
        <v>6.2775509706797811E-3</v>
      </c>
      <c r="H101" s="3">
        <f>Calculator!AZ97</f>
        <v>-7.7075849041589387E-3</v>
      </c>
      <c r="I101" s="3">
        <f>Calculator!BA97</f>
        <v>-1.4300339334791573E-3</v>
      </c>
      <c r="K101" s="20">
        <f>Calculator!AC97</f>
        <v>189</v>
      </c>
      <c r="M101" s="20">
        <f>Calculator!Q97</f>
        <v>5391309147.460001</v>
      </c>
      <c r="N101" s="20">
        <f>Calculator!R97</f>
        <v>5548926000.2900009</v>
      </c>
      <c r="O101" s="20">
        <f>Calculator!M97</f>
        <v>7345646209.29</v>
      </c>
      <c r="P101" s="20">
        <f>Calculator!N97</f>
        <v>7533237140.5700006</v>
      </c>
      <c r="Q101" s="20">
        <f>Calculator!O97</f>
        <v>7353746130.6600018</v>
      </c>
      <c r="R101" s="20">
        <f>Calculator!P97</f>
        <v>7583528625.3200006</v>
      </c>
      <c r="T101" s="20"/>
      <c r="U101" s="20"/>
      <c r="V101" s="20"/>
      <c r="W101" s="20"/>
    </row>
    <row r="102" spans="2:23" x14ac:dyDescent="0.25">
      <c r="B102" s="28">
        <f>Calculator!B98</f>
        <v>43585</v>
      </c>
      <c r="D102" s="3">
        <f>Calculator!AS98</f>
        <v>6.1220934081129266E-3</v>
      </c>
      <c r="E102" s="3">
        <f>Calculator!AT98</f>
        <v>4.2587140213344132E-4</v>
      </c>
      <c r="F102" s="3">
        <f>Calculator!AU98</f>
        <v>6.5479648102463681E-3</v>
      </c>
      <c r="G102" s="3">
        <f>Calculator!AY98</f>
        <v>6.8820354308355017E-3</v>
      </c>
      <c r="H102" s="3">
        <f>Calculator!AZ98</f>
        <v>-2.7186294737676503E-4</v>
      </c>
      <c r="I102" s="3">
        <f>Calculator!BA98</f>
        <v>6.6101724834587367E-3</v>
      </c>
      <c r="K102" s="20">
        <f>Calculator!AC98</f>
        <v>203</v>
      </c>
      <c r="M102" s="20">
        <f>Calculator!Q98</f>
        <v>5672957261.6000004</v>
      </c>
      <c r="N102" s="20">
        <f>Calculator!R98</f>
        <v>5634578191.0900002</v>
      </c>
      <c r="O102" s="20">
        <f>Calculator!M98</f>
        <v>7657268401.8800001</v>
      </c>
      <c r="P102" s="20">
        <f>Calculator!N98</f>
        <v>7689389331.3700008</v>
      </c>
      <c r="Q102" s="20">
        <f>Calculator!O98</f>
        <v>7796859660.5099993</v>
      </c>
      <c r="R102" s="20">
        <f>Calculator!P98</f>
        <v>7830780800.4299994</v>
      </c>
      <c r="T102" s="20"/>
      <c r="U102" s="20"/>
      <c r="V102" s="20"/>
      <c r="W102" s="20"/>
    </row>
    <row r="103" spans="2:23" x14ac:dyDescent="0.25">
      <c r="B103" s="28">
        <f>Calculator!B99</f>
        <v>43616</v>
      </c>
      <c r="D103" s="3">
        <f>Calculator!AS99</f>
        <v>6.2294557624882427E-3</v>
      </c>
      <c r="E103" s="3">
        <f>Calculator!AT99</f>
        <v>2.353966459148539E-4</v>
      </c>
      <c r="F103" s="3">
        <f>Calculator!AU99</f>
        <v>6.464852408403097E-3</v>
      </c>
      <c r="G103" s="3">
        <f>Calculator!AY99</f>
        <v>6.6589676514160557E-3</v>
      </c>
      <c r="H103" s="3">
        <f>Calculator!AZ99</f>
        <v>2.236310055771934E-6</v>
      </c>
      <c r="I103" s="3">
        <f>Calculator!BA99</f>
        <v>6.6612039614718276E-3</v>
      </c>
      <c r="K103" s="20">
        <f>Calculator!AC99</f>
        <v>203</v>
      </c>
      <c r="M103" s="20">
        <f>Calculator!Q99</f>
        <v>5634570712.4700003</v>
      </c>
      <c r="N103" s="20">
        <f>Calculator!R99</f>
        <v>5764771402.8199997</v>
      </c>
      <c r="O103" s="20">
        <f>Calculator!M99</f>
        <v>7689381852.7500019</v>
      </c>
      <c r="P103" s="20">
        <f>Calculator!N99</f>
        <v>7893068856.3800011</v>
      </c>
      <c r="Q103" s="20">
        <f>Calculator!O99</f>
        <v>7830773321.8100004</v>
      </c>
      <c r="R103" s="20">
        <f>Calculator!P99</f>
        <v>8034612528.7100048</v>
      </c>
      <c r="T103" s="20"/>
      <c r="U103" s="20"/>
      <c r="V103" s="20"/>
      <c r="W103" s="20"/>
    </row>
    <row r="104" spans="2:23" x14ac:dyDescent="0.25">
      <c r="B104" s="28">
        <f>Calculator!B100</f>
        <v>43646</v>
      </c>
      <c r="D104" s="3">
        <f>Calculator!AS100</f>
        <v>5.9382889410329051E-3</v>
      </c>
      <c r="E104" s="3">
        <f>Calculator!AT100</f>
        <v>2.7715754412348508E-4</v>
      </c>
      <c r="F104" s="3">
        <f>Calculator!AU100</f>
        <v>6.2154464851563902E-3</v>
      </c>
      <c r="G104" s="3">
        <f>Calculator!AY100</f>
        <v>6.7445122682423947E-3</v>
      </c>
      <c r="H104" s="3">
        <f>Calculator!AZ100</f>
        <v>-4.8636298392760492E-5</v>
      </c>
      <c r="I104" s="3">
        <f>Calculator!BA100</f>
        <v>6.6958759698496342E-3</v>
      </c>
      <c r="K104" s="20">
        <f>Calculator!AC100</f>
        <v>206</v>
      </c>
      <c r="M104" s="20">
        <f>Calculator!Q100</f>
        <v>5764771402.8199997</v>
      </c>
      <c r="N104" s="20">
        <f>Calculator!R100</f>
        <v>5858268968.9899988</v>
      </c>
      <c r="O104" s="20">
        <f>Calculator!M100</f>
        <v>7893068856.3800011</v>
      </c>
      <c r="P104" s="20">
        <f>Calculator!N100</f>
        <v>8140251334.8499975</v>
      </c>
      <c r="Q104" s="20">
        <f>Calculator!O100</f>
        <v>8034612528.7100048</v>
      </c>
      <c r="R104" s="20">
        <f>Calculator!P100</f>
        <v>8282688362.6499996</v>
      </c>
      <c r="T104" s="20"/>
      <c r="U104" s="20"/>
      <c r="V104" s="20"/>
      <c r="W104" s="20"/>
    </row>
    <row r="105" spans="2:23" x14ac:dyDescent="0.25">
      <c r="B105" s="28">
        <f>Calculator!B101</f>
        <v>43677</v>
      </c>
      <c r="D105" s="3">
        <f>Calculator!AS101</f>
        <v>5.6121210300738422E-3</v>
      </c>
      <c r="E105" s="3">
        <f>Calculator!AT101</f>
        <v>5.8160769902138119E-4</v>
      </c>
      <c r="F105" s="3">
        <f>Calculator!AU101</f>
        <v>6.1937287290952233E-3</v>
      </c>
      <c r="G105" s="3">
        <f>Calculator!AY101</f>
        <v>6.2950712382485357E-3</v>
      </c>
      <c r="H105" s="3">
        <f>Calculator!AZ101</f>
        <v>-1.4422470567431768E-4</v>
      </c>
      <c r="I105" s="3">
        <f>Calculator!BA101</f>
        <v>6.150846532574218E-3</v>
      </c>
      <c r="K105" s="20">
        <f>Calculator!AC101</f>
        <v>160</v>
      </c>
      <c r="M105" s="20">
        <f>Calculator!Q101</f>
        <v>5160990739.9899998</v>
      </c>
      <c r="N105" s="20">
        <f>Calculator!R101</f>
        <v>5203817628.0699978</v>
      </c>
      <c r="O105" s="20">
        <f>Calculator!M101</f>
        <v>7442973105.8499975</v>
      </c>
      <c r="P105" s="20">
        <f>Calculator!N101</f>
        <v>7573645520.4799976</v>
      </c>
      <c r="Q105" s="20">
        <f>Calculator!O101</f>
        <v>7630499882.1700001</v>
      </c>
      <c r="R105" s="20">
        <f>Calculator!P101</f>
        <v>7762847888.1699991</v>
      </c>
      <c r="T105" s="20"/>
      <c r="U105" s="20"/>
      <c r="V105" s="20"/>
      <c r="W105" s="20"/>
    </row>
    <row r="106" spans="2:23" x14ac:dyDescent="0.25">
      <c r="B106" s="28">
        <f>Calculator!B102</f>
        <v>43708</v>
      </c>
      <c r="D106" s="3">
        <f>Calculator!AS102</f>
        <v>5.324571700313821E-3</v>
      </c>
      <c r="E106" s="3">
        <f>Calculator!AT102</f>
        <v>4.6921573860853212E-4</v>
      </c>
      <c r="F106" s="3">
        <f>Calculator!AU102</f>
        <v>5.7937874389223532E-3</v>
      </c>
      <c r="G106" s="3">
        <f>Calculator!AY102</f>
        <v>6.1325308137278548E-3</v>
      </c>
      <c r="H106" s="3">
        <f>Calculator!AZ102</f>
        <v>6.080859354413411E-4</v>
      </c>
      <c r="I106" s="3">
        <f>Calculator!BA102</f>
        <v>6.7406167491691959E-3</v>
      </c>
      <c r="K106" s="20">
        <f>Calculator!AC102</f>
        <v>158</v>
      </c>
      <c r="M106" s="20">
        <f>Calculator!Q102</f>
        <v>5203817628.0699978</v>
      </c>
      <c r="N106" s="20">
        <f>Calculator!R102</f>
        <v>5394358751.7299995</v>
      </c>
      <c r="O106" s="20">
        <f>Calculator!M102</f>
        <v>7573645520.4799976</v>
      </c>
      <c r="P106" s="20">
        <f>Calculator!N102</f>
        <v>7737443095.71</v>
      </c>
      <c r="Q106" s="20">
        <f>Calculator!O102</f>
        <v>7762847888.1699991</v>
      </c>
      <c r="R106" s="20">
        <f>Calculator!P102</f>
        <v>7924070692.0500002</v>
      </c>
      <c r="T106" s="20"/>
      <c r="U106" s="20"/>
      <c r="V106" s="20"/>
      <c r="W106" s="20"/>
    </row>
    <row r="107" spans="2:23" x14ac:dyDescent="0.25">
      <c r="B107" s="28">
        <f>Calculator!B103</f>
        <v>43738</v>
      </c>
      <c r="D107" s="3">
        <f>Calculator!AS103</f>
        <v>5.4246238391862933E-3</v>
      </c>
      <c r="E107" s="3">
        <f>Calculator!AT103</f>
        <v>3.4514106935573397E-4</v>
      </c>
      <c r="F107" s="3">
        <f>Calculator!AU103</f>
        <v>5.7697649085420273E-3</v>
      </c>
      <c r="G107" s="3">
        <f>Calculator!AY103</f>
        <v>6.1145744309397581E-3</v>
      </c>
      <c r="H107" s="3">
        <f>Calculator!AZ103</f>
        <v>-1.8619671864120169E-4</v>
      </c>
      <c r="I107" s="3">
        <f>Calculator!BA103</f>
        <v>5.9283777122985564E-3</v>
      </c>
      <c r="K107" s="20">
        <f>Calculator!AC103</f>
        <v>162</v>
      </c>
      <c r="M107" s="20">
        <f>Calculator!Q103</f>
        <v>5394358751.7299995</v>
      </c>
      <c r="N107" s="20">
        <f>Calculator!R103</f>
        <v>5511324414.4100008</v>
      </c>
      <c r="O107" s="20">
        <f>Calculator!M103</f>
        <v>7737443095.71</v>
      </c>
      <c r="P107" s="20">
        <f>Calculator!N103</f>
        <v>8047845781.8999996</v>
      </c>
      <c r="Q107" s="20">
        <f>Calculator!O103</f>
        <v>7924070692.0500002</v>
      </c>
      <c r="R107" s="20">
        <f>Calculator!P103</f>
        <v>8236124773.920001</v>
      </c>
      <c r="T107" s="20"/>
      <c r="U107" s="20"/>
      <c r="V107" s="20"/>
      <c r="W107" s="20"/>
    </row>
    <row r="108" spans="2:23" x14ac:dyDescent="0.25">
      <c r="B108" s="28">
        <f>Calculator!B104</f>
        <v>43769</v>
      </c>
      <c r="D108" s="3">
        <f>Calculator!AS104</f>
        <v>4.9027281419102599E-3</v>
      </c>
      <c r="E108" s="3">
        <f>Calculator!AT104</f>
        <v>6.761560589892393E-4</v>
      </c>
      <c r="F108" s="3">
        <f>Calculator!AU104</f>
        <v>5.5788842008994994E-3</v>
      </c>
      <c r="G108" s="3">
        <f>Calculator!AY104</f>
        <v>5.915917647687524E-3</v>
      </c>
      <c r="H108" s="3">
        <f>Calculator!AZ104</f>
        <v>-8.8666885622225994E-6</v>
      </c>
      <c r="I108" s="3">
        <f>Calculator!BA104</f>
        <v>5.9070509591253014E-3</v>
      </c>
      <c r="K108" s="20">
        <f>Calculator!AC104</f>
        <v>145</v>
      </c>
      <c r="M108" s="20">
        <f>Calculator!Q104</f>
        <v>5311174361.1599989</v>
      </c>
      <c r="N108" s="20">
        <f>Calculator!R104</f>
        <v>5459309574.3299999</v>
      </c>
      <c r="O108" s="20">
        <f>Calculator!M104</f>
        <v>7847695728.6500015</v>
      </c>
      <c r="P108" s="20">
        <f>Calculator!N104</f>
        <v>7995688745.2800007</v>
      </c>
      <c r="Q108" s="20">
        <f>Calculator!O104</f>
        <v>7903193689.3700018</v>
      </c>
      <c r="R108" s="20">
        <f>Calculator!P104</f>
        <v>8051599809.579999</v>
      </c>
      <c r="T108" s="20"/>
      <c r="U108" s="20"/>
      <c r="V108" s="20"/>
      <c r="W108" s="20"/>
    </row>
    <row r="109" spans="2:23" x14ac:dyDescent="0.25">
      <c r="B109" s="28">
        <f>Calculator!B105</f>
        <v>43799</v>
      </c>
      <c r="D109" s="3">
        <f>Calculator!AS105</f>
        <v>5.4735344694399985E-3</v>
      </c>
      <c r="E109" s="3">
        <f>Calculator!AT105</f>
        <v>4.0744122278294197E-4</v>
      </c>
      <c r="F109" s="3">
        <f>Calculator!AU105</f>
        <v>5.8809756922229405E-3</v>
      </c>
      <c r="G109" s="3">
        <f>Calculator!AY105</f>
        <v>6.3690814857384533E-3</v>
      </c>
      <c r="H109" s="3">
        <f>Calculator!AZ105</f>
        <v>-2.4469736128693992E-4</v>
      </c>
      <c r="I109" s="3">
        <f>Calculator!BA105</f>
        <v>6.1243841244515134E-3</v>
      </c>
      <c r="K109" s="20">
        <f>Calculator!AC105</f>
        <v>151</v>
      </c>
      <c r="M109" s="20">
        <f>Calculator!Q105</f>
        <v>5459309574.3299999</v>
      </c>
      <c r="N109" s="20">
        <f>Calculator!R105</f>
        <v>5568149114.9299974</v>
      </c>
      <c r="O109" s="20">
        <f>Calculator!M105</f>
        <v>7995688745.2800007</v>
      </c>
      <c r="P109" s="20">
        <f>Calculator!N105</f>
        <v>8320051542.7899981</v>
      </c>
      <c r="Q109" s="20">
        <f>Calculator!O105</f>
        <v>8051599809.579999</v>
      </c>
      <c r="R109" s="20">
        <f>Calculator!P105</f>
        <v>8377307683.3399982</v>
      </c>
      <c r="T109" s="20"/>
      <c r="U109" s="20"/>
      <c r="V109" s="20"/>
      <c r="W109" s="20"/>
    </row>
    <row r="110" spans="2:23" x14ac:dyDescent="0.25">
      <c r="B110" s="28">
        <f>Calculator!B106</f>
        <v>43830</v>
      </c>
      <c r="D110" s="3">
        <f>Calculator!AS106</f>
        <v>5.1788625236130091E-3</v>
      </c>
      <c r="E110" s="3">
        <f>Calculator!AT106</f>
        <v>3.4115127967612518E-4</v>
      </c>
      <c r="F110" s="3">
        <f>Calculator!AU106</f>
        <v>5.5200138032891338E-3</v>
      </c>
      <c r="G110" s="3">
        <f>Calculator!AY106</f>
        <v>6.4889788006059178E-3</v>
      </c>
      <c r="H110" s="3">
        <f>Calculator!AZ106</f>
        <v>-3.5321085463667218E-3</v>
      </c>
      <c r="I110" s="3">
        <f>Calculator!BA106</f>
        <v>2.956870254239196E-3</v>
      </c>
      <c r="K110" s="20">
        <f>Calculator!AC106</f>
        <v>159</v>
      </c>
      <c r="M110" s="20">
        <f>Calculator!Q106</f>
        <v>5568149114.9299974</v>
      </c>
      <c r="N110" s="20">
        <f>Calculator!R106</f>
        <v>5998331649.6100016</v>
      </c>
      <c r="O110" s="20">
        <f>Calculator!M106</f>
        <v>8320051542.7899981</v>
      </c>
      <c r="P110" s="20">
        <f>Calculator!N106</f>
        <v>9032847979.7900028</v>
      </c>
      <c r="Q110" s="20">
        <f>Calculator!O106</f>
        <v>8377307683.3399982</v>
      </c>
      <c r="R110" s="20">
        <f>Calculator!P106</f>
        <v>9110873609.2700024</v>
      </c>
      <c r="T110" s="20"/>
      <c r="U110" s="20"/>
      <c r="V110" s="20"/>
      <c r="W110" s="20"/>
    </row>
    <row r="111" spans="2:23" x14ac:dyDescent="0.25">
      <c r="B111" s="28">
        <f>Calculator!B107</f>
        <v>43861</v>
      </c>
      <c r="D111" s="3">
        <f>Calculator!AS107</f>
        <v>5.082706485856286E-3</v>
      </c>
      <c r="E111" s="3">
        <f>Calculator!AT107</f>
        <v>5.7689399934326914E-4</v>
      </c>
      <c r="F111" s="3">
        <f>Calculator!AU107</f>
        <v>5.6596004851995549E-3</v>
      </c>
      <c r="G111" s="3">
        <f>Calculator!AY107</f>
        <v>5.7032559802021945E-3</v>
      </c>
      <c r="H111" s="3">
        <f>Calculator!AZ107</f>
        <v>-3.4070866459632969E-4</v>
      </c>
      <c r="I111" s="3">
        <f>Calculator!BA107</f>
        <v>5.3625473156058649E-3</v>
      </c>
      <c r="K111" s="20">
        <f>Calculator!AC107</f>
        <v>167</v>
      </c>
      <c r="M111" s="20">
        <f>Calculator!Q107</f>
        <v>6463152496.8500013</v>
      </c>
      <c r="N111" s="20">
        <f>Calculator!R107</f>
        <v>6542441050.8999987</v>
      </c>
      <c r="O111" s="20">
        <f>Calculator!M107</f>
        <v>9497668827.0300026</v>
      </c>
      <c r="P111" s="20">
        <f>Calculator!N107</f>
        <v>9503721829.2200012</v>
      </c>
      <c r="Q111" s="20">
        <f>Calculator!O107</f>
        <v>9575694456.5100021</v>
      </c>
      <c r="R111" s="20">
        <f>Calculator!P107</f>
        <v>9584345795.2300014</v>
      </c>
      <c r="T111" s="20"/>
      <c r="U111" s="20"/>
      <c r="V111" s="20"/>
      <c r="W111" s="20"/>
    </row>
    <row r="112" spans="2:23" x14ac:dyDescent="0.25">
      <c r="B112" s="28">
        <f>Calculator!B108</f>
        <v>43890</v>
      </c>
      <c r="D112" s="3">
        <f>Calculator!AS108</f>
        <v>5.095045427423445E-3</v>
      </c>
      <c r="E112" s="3">
        <f>Calculator!AT108</f>
        <v>2.6917799179568941E-4</v>
      </c>
      <c r="F112" s="3">
        <f>Calculator!AU108</f>
        <v>5.3642234192191347E-3</v>
      </c>
      <c r="G112" s="3">
        <f>Calculator!AY108</f>
        <v>6.6411202247010507E-3</v>
      </c>
      <c r="H112" s="3">
        <f>Calculator!AZ108</f>
        <v>-6.2549004781577155E-4</v>
      </c>
      <c r="I112" s="3">
        <f>Calculator!BA108</f>
        <v>6.0156301768852791E-3</v>
      </c>
      <c r="K112" s="20">
        <f>Calculator!AC108</f>
        <v>168</v>
      </c>
      <c r="M112" s="20">
        <f>Calculator!Q108</f>
        <v>6542441050.8999987</v>
      </c>
      <c r="N112" s="20">
        <f>Calculator!R108</f>
        <v>6539819813.7999992</v>
      </c>
      <c r="O112" s="20">
        <f>Calculator!M108</f>
        <v>9503721829.2200012</v>
      </c>
      <c r="P112" s="20">
        <f>Calculator!N108</f>
        <v>9341034763.7000008</v>
      </c>
      <c r="Q112" s="20">
        <f>Calculator!O108</f>
        <v>9584345795.2300014</v>
      </c>
      <c r="R112" s="20">
        <f>Calculator!P108</f>
        <v>9426130403.9100018</v>
      </c>
      <c r="T112" s="20"/>
      <c r="U112" s="20"/>
      <c r="V112" s="20"/>
      <c r="W112" s="20"/>
    </row>
    <row r="113" spans="2:23" x14ac:dyDescent="0.25">
      <c r="B113" s="28">
        <f>Calculator!B109</f>
        <v>43921</v>
      </c>
      <c r="D113" s="3">
        <f>Calculator!AS109</f>
        <v>5.0465975564327348E-3</v>
      </c>
      <c r="E113" s="3">
        <f>Calculator!AT109</f>
        <v>3.334969078296968E-4</v>
      </c>
      <c r="F113" s="3">
        <f>Calculator!AU109</f>
        <v>5.3800944642624316E-3</v>
      </c>
      <c r="G113" s="3">
        <f>Calculator!AY109</f>
        <v>5.3743080774405231E-3</v>
      </c>
      <c r="H113" s="3">
        <f>Calculator!AZ109</f>
        <v>-1.0168883633290146E-2</v>
      </c>
      <c r="I113" s="3">
        <f>Calculator!BA109</f>
        <v>-4.794575555849623E-3</v>
      </c>
      <c r="K113" s="20">
        <f>Calculator!AC109</f>
        <v>164</v>
      </c>
      <c r="M113" s="20">
        <f>Calculator!Q109</f>
        <v>6539819813.7999992</v>
      </c>
      <c r="N113" s="20">
        <f>Calculator!R109</f>
        <v>6376782092.7400007</v>
      </c>
      <c r="O113" s="20">
        <f>Calculator!M109</f>
        <v>9341034763.7000008</v>
      </c>
      <c r="P113" s="20">
        <f>Calculator!N109</f>
        <v>9223759738.3500004</v>
      </c>
      <c r="Q113" s="20">
        <f>Calculator!O109</f>
        <v>9426130403.9100018</v>
      </c>
      <c r="R113" s="20">
        <f>Calculator!P109</f>
        <v>9343093926.1600018</v>
      </c>
      <c r="T113" s="20"/>
      <c r="U113" s="20"/>
      <c r="V113" s="20"/>
      <c r="W113" s="20"/>
    </row>
    <row r="114" spans="2:23" x14ac:dyDescent="0.25">
      <c r="B114" s="28">
        <f>Calculator!B110</f>
        <v>43951</v>
      </c>
      <c r="D114" s="3">
        <f>Calculator!AS110</f>
        <v>5.1242162420064973E-3</v>
      </c>
      <c r="E114" s="3">
        <f>Calculator!AT110</f>
        <v>5.0446585250139733E-4</v>
      </c>
      <c r="F114" s="3">
        <f>Calculator!AU110</f>
        <v>5.6286820945078949E-3</v>
      </c>
      <c r="G114" s="3">
        <f>Calculator!AY110</f>
        <v>5.8681945642063442E-3</v>
      </c>
      <c r="H114" s="3">
        <f>Calculator!AZ110</f>
        <v>2.8000105891252611E-5</v>
      </c>
      <c r="I114" s="3">
        <f>Calculator!BA110</f>
        <v>5.8961946700975968E-3</v>
      </c>
      <c r="K114" s="20">
        <f>Calculator!AC110</f>
        <v>165</v>
      </c>
      <c r="M114" s="20">
        <f>Calculator!Q110</f>
        <v>6376782092.7400007</v>
      </c>
      <c r="N114" s="20">
        <f>Calculator!R110</f>
        <v>6587212943.1599979</v>
      </c>
      <c r="O114" s="20">
        <f>Calculator!M110</f>
        <v>9223759738.3500004</v>
      </c>
      <c r="P114" s="20">
        <f>Calculator!N110</f>
        <v>9473462213.8800011</v>
      </c>
      <c r="Q114" s="20">
        <f>Calculator!O110</f>
        <v>9343093926.1600018</v>
      </c>
      <c r="R114" s="20">
        <f>Calculator!P110</f>
        <v>9595315897.6599979</v>
      </c>
      <c r="T114" s="20"/>
      <c r="U114" s="20"/>
      <c r="V114" s="20"/>
      <c r="W114" s="20"/>
    </row>
    <row r="115" spans="2:23" x14ac:dyDescent="0.25">
      <c r="B115" s="28">
        <f>Calculator!B111</f>
        <v>43982</v>
      </c>
      <c r="D115" s="3">
        <f>Calculator!AS111</f>
        <v>5.1317685147177008E-3</v>
      </c>
      <c r="E115" s="3">
        <f>Calculator!AT111</f>
        <v>4.2506684134233953E-4</v>
      </c>
      <c r="F115" s="3">
        <f>Calculator!AU111</f>
        <v>5.5568353560600404E-3</v>
      </c>
      <c r="G115" s="3">
        <f>Calculator!AY111</f>
        <v>5.5513185985551694E-3</v>
      </c>
      <c r="H115" s="3">
        <f>Calculator!AZ111</f>
        <v>8.27080777462374E-4</v>
      </c>
      <c r="I115" s="3">
        <f>Calculator!BA111</f>
        <v>6.3783993760175434E-3</v>
      </c>
      <c r="K115" s="20">
        <f>Calculator!AC111</f>
        <v>163</v>
      </c>
      <c r="M115" s="20">
        <f>Calculator!Q111</f>
        <v>6587212943.1599979</v>
      </c>
      <c r="N115" s="20">
        <f>Calculator!R111</f>
        <v>6621007127.4299984</v>
      </c>
      <c r="O115" s="20">
        <f>Calculator!M111</f>
        <v>9473462213.8800011</v>
      </c>
      <c r="P115" s="20">
        <f>Calculator!N111</f>
        <v>9506634590.7799969</v>
      </c>
      <c r="Q115" s="20">
        <f>Calculator!O111</f>
        <v>9595315897.6599979</v>
      </c>
      <c r="R115" s="20">
        <f>Calculator!P111</f>
        <v>9623564018.329998</v>
      </c>
      <c r="T115" s="20"/>
      <c r="U115" s="20"/>
      <c r="V115" s="20"/>
      <c r="W115" s="20"/>
    </row>
    <row r="116" spans="2:23" x14ac:dyDescent="0.25">
      <c r="B116" s="28">
        <f>Calculator!B112</f>
        <v>44012</v>
      </c>
      <c r="D116" s="3">
        <f>Calculator!AS112</f>
        <v>5.0503173385620945E-3</v>
      </c>
      <c r="E116" s="3">
        <f>Calculator!AT112</f>
        <v>4.1559353371178328E-4</v>
      </c>
      <c r="F116" s="3">
        <f>Calculator!AU112</f>
        <v>5.4659108722738782E-3</v>
      </c>
      <c r="G116" s="3">
        <f>Calculator!AY112</f>
        <v>5.4596849382252226E-3</v>
      </c>
      <c r="H116" s="3">
        <f>Calculator!AZ112</f>
        <v>-6.6642304998072114E-4</v>
      </c>
      <c r="I116" s="3">
        <f>Calculator!BA112</f>
        <v>4.7932618882445014E-3</v>
      </c>
      <c r="K116" s="20">
        <f>Calculator!AC112</f>
        <v>163</v>
      </c>
      <c r="M116" s="20">
        <f>Calculator!Q112</f>
        <v>6621007127.4299984</v>
      </c>
      <c r="N116" s="20">
        <f>Calculator!R112</f>
        <v>6700524746.4800034</v>
      </c>
      <c r="O116" s="20">
        <f>Calculator!M112</f>
        <v>9506634590.7799969</v>
      </c>
      <c r="P116" s="20">
        <f>Calculator!N112</f>
        <v>9506830421.9199982</v>
      </c>
      <c r="Q116" s="20">
        <f>Calculator!O112</f>
        <v>9623564018.329998</v>
      </c>
      <c r="R116" s="20">
        <f>Calculator!P112</f>
        <v>9586331115.0000019</v>
      </c>
      <c r="T116" s="20"/>
      <c r="U116" s="20"/>
      <c r="V116" s="20"/>
      <c r="W116" s="20"/>
    </row>
    <row r="117" spans="2:23" x14ac:dyDescent="0.25">
      <c r="B117" s="28">
        <f>Calculator!B113</f>
        <v>44043</v>
      </c>
      <c r="D117" s="3">
        <f>Calculator!AS113</f>
        <v>5.1163034584229359E-3</v>
      </c>
      <c r="E117" s="3">
        <f>Calculator!AT113</f>
        <v>4.999370659046911E-4</v>
      </c>
      <c r="F117" s="3">
        <f>Calculator!AU113</f>
        <v>5.6162405243276271E-3</v>
      </c>
      <c r="G117" s="3">
        <f>Calculator!AY113</f>
        <v>5.6102376132213102E-3</v>
      </c>
      <c r="H117" s="3">
        <f>Calculator!AZ113</f>
        <v>5.6032448277247311E-4</v>
      </c>
      <c r="I117" s="3">
        <f>Calculator!BA113</f>
        <v>6.1705620959937833E-3</v>
      </c>
      <c r="K117" s="20">
        <f>Calculator!AC113</f>
        <v>163</v>
      </c>
      <c r="M117" s="20">
        <f>Calculator!Q113</f>
        <v>6700524746.4800034</v>
      </c>
      <c r="N117" s="20">
        <f>Calculator!R113</f>
        <v>6747934996.6999998</v>
      </c>
      <c r="O117" s="20">
        <f>Calculator!M113</f>
        <v>9506830421.9199982</v>
      </c>
      <c r="P117" s="20">
        <f>Calculator!N113</f>
        <v>9553843890.5699997</v>
      </c>
      <c r="Q117" s="20">
        <f>Calculator!O113</f>
        <v>9586331115.0000019</v>
      </c>
      <c r="R117" s="20">
        <f>Calculator!P113</f>
        <v>9629811914.9400024</v>
      </c>
      <c r="T117" s="20"/>
      <c r="U117" s="20"/>
      <c r="V117" s="20"/>
      <c r="W117" s="20"/>
    </row>
    <row r="118" spans="2:23" x14ac:dyDescent="0.25">
      <c r="B118" s="28">
        <f>Calculator!B114</f>
        <v>44074</v>
      </c>
      <c r="D118" s="3">
        <f>Calculator!AS114</f>
        <v>5.1063708957961229E-3</v>
      </c>
      <c r="E118" s="3">
        <f>Calculator!AT114</f>
        <v>3.8823989865820679E-4</v>
      </c>
      <c r="F118" s="3">
        <f>Calculator!AU114</f>
        <v>5.49461079445433E-3</v>
      </c>
      <c r="G118" s="3">
        <f>Calculator!AY114</f>
        <v>5.5692187658930546E-3</v>
      </c>
      <c r="H118" s="3">
        <f>Calculator!AZ114</f>
        <v>8.8181208157470103E-5</v>
      </c>
      <c r="I118" s="3">
        <f>Calculator!BA114</f>
        <v>5.6573999740505247E-3</v>
      </c>
      <c r="K118" s="20">
        <f>Calculator!AC114</f>
        <v>164</v>
      </c>
      <c r="M118" s="20">
        <f>Calculator!Q114</f>
        <v>6747934996.6999998</v>
      </c>
      <c r="N118" s="20">
        <f>Calculator!R114</f>
        <v>6764260802.5900011</v>
      </c>
      <c r="O118" s="20">
        <f>Calculator!M114</f>
        <v>9553843890.5699997</v>
      </c>
      <c r="P118" s="20">
        <f>Calculator!N114</f>
        <v>9561890390.7199993</v>
      </c>
      <c r="Q118" s="20">
        <f>Calculator!O114</f>
        <v>9629811914.9400024</v>
      </c>
      <c r="R118" s="20">
        <f>Calculator!P114</f>
        <v>9637489222.8600044</v>
      </c>
      <c r="T118" s="20"/>
      <c r="U118" s="20"/>
      <c r="V118" s="20"/>
      <c r="W118" s="20"/>
    </row>
    <row r="119" spans="2:23" x14ac:dyDescent="0.25">
      <c r="B119" s="28">
        <f>Calculator!B115</f>
        <v>44104</v>
      </c>
      <c r="D119" s="3">
        <f>Calculator!AS115</f>
        <v>5.0013858544994605E-3</v>
      </c>
      <c r="E119" s="3">
        <f>Calculator!AT115</f>
        <v>4.1348036013284692E-4</v>
      </c>
      <c r="F119" s="3">
        <f>Calculator!AU115</f>
        <v>5.4148662146323075E-3</v>
      </c>
      <c r="G119" s="3">
        <f>Calculator!AY115</f>
        <v>5.4576397817131198E-3</v>
      </c>
      <c r="H119" s="3">
        <f>Calculator!AZ115</f>
        <v>-1.1910423088374297E-2</v>
      </c>
      <c r="I119" s="3">
        <f>Calculator!BA115</f>
        <v>-6.4527833066611775E-3</v>
      </c>
      <c r="K119" s="20">
        <f>Calculator!AC115</f>
        <v>164</v>
      </c>
      <c r="M119" s="20">
        <f>Calculator!Q115</f>
        <v>6764260802.5900011</v>
      </c>
      <c r="N119" s="20">
        <f>Calculator!R115</f>
        <v>6766174406.0099974</v>
      </c>
      <c r="O119" s="20">
        <f>Calculator!M115</f>
        <v>9561890390.7199993</v>
      </c>
      <c r="P119" s="20">
        <f>Calculator!N115</f>
        <v>9568692597.7200012</v>
      </c>
      <c r="Q119" s="20">
        <f>Calculator!O115</f>
        <v>9637489222.8600044</v>
      </c>
      <c r="R119" s="20">
        <f>Calculator!P115</f>
        <v>9688881804.3400002</v>
      </c>
      <c r="T119" s="20"/>
      <c r="U119" s="20"/>
      <c r="V119" s="20"/>
      <c r="W119" s="20"/>
    </row>
    <row r="120" spans="2:23" x14ac:dyDescent="0.25">
      <c r="B120" s="28"/>
      <c r="D120" s="3"/>
      <c r="E120" s="3"/>
      <c r="F120" s="3"/>
      <c r="G120" s="3"/>
      <c r="H120" s="3"/>
      <c r="I120" s="3"/>
      <c r="M120" s="20"/>
      <c r="N120" s="20"/>
      <c r="O120" s="20"/>
      <c r="P120" s="20"/>
      <c r="Q120" s="20"/>
      <c r="R120" s="20"/>
      <c r="T120" s="20"/>
      <c r="U120" s="20"/>
      <c r="V120" s="20"/>
      <c r="W120" s="20"/>
    </row>
    <row r="121" spans="2:23" x14ac:dyDescent="0.25">
      <c r="B121" s="28"/>
    </row>
    <row r="122" spans="2:23" x14ac:dyDescent="0.25">
      <c r="D122" s="28" t="s">
        <v>169</v>
      </c>
      <c r="E122" s="28"/>
      <c r="F122" s="28"/>
    </row>
    <row r="123" spans="2:23" x14ac:dyDescent="0.25">
      <c r="B123" s="28"/>
    </row>
    <row r="124" spans="2:23" x14ac:dyDescent="0.25">
      <c r="B124" s="28"/>
    </row>
    <row r="125" spans="2:23" x14ac:dyDescent="0.25">
      <c r="B125" s="28"/>
    </row>
    <row r="126" spans="2:23" x14ac:dyDescent="0.25">
      <c r="B126" s="28"/>
    </row>
    <row r="127" spans="2:23" x14ac:dyDescent="0.25">
      <c r="B127" s="28"/>
    </row>
    <row r="128" spans="2:23" x14ac:dyDescent="0.25">
      <c r="B128" s="28"/>
    </row>
    <row r="129" spans="2:2" x14ac:dyDescent="0.25">
      <c r="B129" s="28"/>
    </row>
    <row r="130" spans="2:2" x14ac:dyDescent="0.25">
      <c r="B130" s="28"/>
    </row>
    <row r="131" spans="2:2" x14ac:dyDescent="0.25">
      <c r="B131" s="28"/>
    </row>
    <row r="132" spans="2:2" x14ac:dyDescent="0.25">
      <c r="B132" s="28"/>
    </row>
    <row r="133" spans="2:2" x14ac:dyDescent="0.25">
      <c r="B133" s="28"/>
    </row>
    <row r="134" spans="2:2" x14ac:dyDescent="0.25">
      <c r="B134" s="28"/>
    </row>
    <row r="135" spans="2:2" x14ac:dyDescent="0.25">
      <c r="B135" s="28"/>
    </row>
    <row r="136" spans="2:2" x14ac:dyDescent="0.25">
      <c r="B136" s="28"/>
    </row>
    <row r="137" spans="2:2" x14ac:dyDescent="0.25">
      <c r="B137" s="28"/>
    </row>
    <row r="138" spans="2:2" x14ac:dyDescent="0.25">
      <c r="B138" s="28"/>
    </row>
    <row r="139" spans="2:2" x14ac:dyDescent="0.25">
      <c r="B139" s="28"/>
    </row>
    <row r="140" spans="2:2" x14ac:dyDescent="0.25">
      <c r="B140" s="28"/>
    </row>
    <row r="141" spans="2:2" x14ac:dyDescent="0.25">
      <c r="B141" s="28"/>
    </row>
    <row r="142" spans="2:2" x14ac:dyDescent="0.25">
      <c r="B142" s="28"/>
    </row>
    <row r="143" spans="2:2" x14ac:dyDescent="0.25">
      <c r="B143" s="28"/>
    </row>
    <row r="144" spans="2:2" x14ac:dyDescent="0.25">
      <c r="B144" s="28"/>
    </row>
    <row r="145" spans="2:2" x14ac:dyDescent="0.25">
      <c r="B145" s="28"/>
    </row>
    <row r="146" spans="2:2" x14ac:dyDescent="0.25">
      <c r="B146" s="28"/>
    </row>
    <row r="147" spans="2:2" x14ac:dyDescent="0.25">
      <c r="B147" s="28"/>
    </row>
    <row r="148" spans="2:2" x14ac:dyDescent="0.25">
      <c r="B148" s="28"/>
    </row>
    <row r="149" spans="2:2" x14ac:dyDescent="0.25">
      <c r="B149" s="28"/>
    </row>
    <row r="150" spans="2:2" x14ac:dyDescent="0.25">
      <c r="B150" s="28"/>
    </row>
    <row r="151" spans="2:2" x14ac:dyDescent="0.25">
      <c r="B151" s="28"/>
    </row>
    <row r="152" spans="2:2" x14ac:dyDescent="0.25">
      <c r="B152" s="28"/>
    </row>
    <row r="153" spans="2:2" x14ac:dyDescent="0.25">
      <c r="B153" s="28"/>
    </row>
    <row r="154" spans="2:2" x14ac:dyDescent="0.25">
      <c r="B154" s="28"/>
    </row>
    <row r="155" spans="2:2" x14ac:dyDescent="0.25">
      <c r="B155" s="28"/>
    </row>
    <row r="156" spans="2:2" x14ac:dyDescent="0.25">
      <c r="B156" s="28"/>
    </row>
    <row r="157" spans="2:2" x14ac:dyDescent="0.25">
      <c r="B157" s="28"/>
    </row>
    <row r="158" spans="2:2" x14ac:dyDescent="0.25">
      <c r="B158" s="28"/>
    </row>
    <row r="159" spans="2:2" x14ac:dyDescent="0.25">
      <c r="B159" s="28"/>
    </row>
    <row r="160" spans="2:2" x14ac:dyDescent="0.25">
      <c r="B160" s="28"/>
    </row>
    <row r="161" spans="2:2" x14ac:dyDescent="0.25">
      <c r="B161" s="28"/>
    </row>
    <row r="162" spans="2:2" x14ac:dyDescent="0.25">
      <c r="B162" s="28"/>
    </row>
    <row r="163" spans="2:2" x14ac:dyDescent="0.25">
      <c r="B163" s="28"/>
    </row>
    <row r="164" spans="2:2" x14ac:dyDescent="0.25">
      <c r="B164" s="28"/>
    </row>
  </sheetData>
  <mergeCells count="11">
    <mergeCell ref="A1:R1"/>
    <mergeCell ref="B2:G2"/>
    <mergeCell ref="D12:I12"/>
    <mergeCell ref="M12:R12"/>
    <mergeCell ref="B4:I4"/>
    <mergeCell ref="B5:I5"/>
    <mergeCell ref="B6:I6"/>
    <mergeCell ref="B7:I7"/>
    <mergeCell ref="B8:I8"/>
    <mergeCell ref="B9:I9"/>
    <mergeCell ref="B10:I10"/>
  </mergeCells>
  <hyperlinks>
    <hyperlink ref="B2" location="PT!A1" display="Back to selection criteria" xr:uid="{E9874C41-1D81-4429-82AD-6285100F61AA}"/>
    <hyperlink ref="B2:G2" location="Selector!A1" display="Back to selection criteria" xr:uid="{D5B80BA8-C911-4981-B957-9286CD42876E}"/>
  </hyperlinks>
  <pageMargins left="0.7" right="0.7" top="0.75" bottom="0.75" header="0.3" footer="0.3"/>
  <ignoredErrors>
    <ignoredError xmlns:x16r3="http://schemas.microsoft.com/office/spreadsheetml/2018/08/main" sqref="B15:B114 B115:B116 B117:B119" x16r3:misleadingFormat="1"/>
    <ignoredError sqref="D15:R79"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B1187-4D75-42C8-B8FD-EB328B15A0DE}">
  <sheetPr codeName="Sheet5"/>
  <dimension ref="A1:S93"/>
  <sheetViews>
    <sheetView workbookViewId="0">
      <selection activeCell="B2" sqref="B2:G2"/>
    </sheetView>
  </sheetViews>
  <sheetFormatPr defaultRowHeight="15" x14ac:dyDescent="0.25"/>
  <cols>
    <col min="1" max="1" width="18.85546875" customWidth="1"/>
    <col min="2" max="2" width="22.42578125" customWidth="1"/>
    <col min="3" max="3" width="3.7109375" customWidth="1"/>
    <col min="4" max="7" width="9.140625" style="3"/>
    <col min="8" max="8" width="11.42578125" style="3" customWidth="1"/>
    <col min="9" max="9" width="11.7109375" style="3" customWidth="1"/>
    <col min="10" max="10" width="3.5703125" customWidth="1"/>
    <col min="12" max="12" width="2.42578125" customWidth="1"/>
    <col min="13" max="18" width="15" customWidth="1"/>
    <col min="19" max="19" width="2.7109375" customWidth="1"/>
    <col min="20" max="20" width="13.5703125" customWidth="1"/>
    <col min="21" max="21" width="14.42578125" customWidth="1"/>
    <col min="22" max="22" width="15.28515625" customWidth="1"/>
    <col min="23" max="23" width="15.85546875" customWidth="1"/>
    <col min="31" max="34" width="12.7109375" bestFit="1" customWidth="1"/>
    <col min="36" max="39" width="12.7109375" bestFit="1" customWidth="1"/>
  </cols>
  <sheetData>
    <row r="1" spans="1:19" ht="23.25" x14ac:dyDescent="0.35">
      <c r="A1" s="54" t="s">
        <v>175</v>
      </c>
      <c r="B1" s="55"/>
      <c r="C1" s="55"/>
      <c r="D1" s="55"/>
      <c r="E1" s="55"/>
      <c r="F1" s="55"/>
      <c r="G1" s="55"/>
      <c r="H1" s="55"/>
      <c r="I1" s="55"/>
      <c r="J1" s="55"/>
      <c r="K1" s="55"/>
      <c r="L1" s="55"/>
      <c r="M1" s="55"/>
      <c r="N1" s="55"/>
      <c r="O1" s="55"/>
      <c r="P1" s="55"/>
      <c r="Q1" s="55"/>
      <c r="R1" s="55"/>
    </row>
    <row r="2" spans="1:19" x14ac:dyDescent="0.25">
      <c r="B2" s="60" t="s">
        <v>165</v>
      </c>
      <c r="C2" s="60"/>
      <c r="D2" s="60"/>
      <c r="E2" s="60"/>
      <c r="F2" s="60"/>
      <c r="G2" s="60"/>
    </row>
    <row r="3" spans="1:19" x14ac:dyDescent="0.25">
      <c r="B3" s="50"/>
      <c r="C3" s="50"/>
      <c r="D3" s="50"/>
      <c r="E3" s="50"/>
      <c r="F3" s="50"/>
      <c r="G3" s="50"/>
    </row>
    <row r="4" spans="1:19" x14ac:dyDescent="0.25">
      <c r="A4" s="26" t="s">
        <v>164</v>
      </c>
      <c r="B4" s="57"/>
      <c r="C4" s="58"/>
      <c r="D4" s="58"/>
      <c r="E4" s="58"/>
      <c r="F4" s="58"/>
      <c r="G4" s="58"/>
      <c r="H4" s="58"/>
      <c r="I4" s="59"/>
    </row>
    <row r="5" spans="1:19" x14ac:dyDescent="0.25">
      <c r="A5" s="27"/>
      <c r="B5" s="57"/>
      <c r="C5" s="58"/>
      <c r="D5" s="58"/>
      <c r="E5" s="58"/>
      <c r="F5" s="58"/>
      <c r="G5" s="58"/>
      <c r="H5" s="58"/>
      <c r="I5" s="59"/>
    </row>
    <row r="6" spans="1:19" x14ac:dyDescent="0.25">
      <c r="A6" s="27" t="str">
        <f>Calculator!F2</f>
        <v>Strategy</v>
      </c>
      <c r="B6" s="57" t="str">
        <f ca="1">Calculator!G2</f>
        <v>All</v>
      </c>
      <c r="C6" s="58"/>
      <c r="D6" s="58"/>
      <c r="E6" s="58"/>
      <c r="F6" s="58"/>
      <c r="G6" s="58"/>
      <c r="H6" s="58"/>
      <c r="I6" s="59"/>
    </row>
    <row r="7" spans="1:19" x14ac:dyDescent="0.25">
      <c r="A7" s="27" t="str">
        <f>Calculator!F3</f>
        <v>PmtType</v>
      </c>
      <c r="B7" s="57" t="str">
        <f ca="1">Calculator!G3</f>
        <v>All</v>
      </c>
      <c r="C7" s="58"/>
      <c r="D7" s="58"/>
      <c r="E7" s="58"/>
      <c r="F7" s="58"/>
      <c r="G7" s="58"/>
      <c r="H7" s="58"/>
      <c r="I7" s="59"/>
    </row>
    <row r="8" spans="1:19" x14ac:dyDescent="0.25">
      <c r="A8" s="27" t="str">
        <f>Calculator!F4</f>
        <v>LoanType</v>
      </c>
      <c r="B8" s="57" t="str">
        <f ca="1">Calculator!G4</f>
        <v>All</v>
      </c>
      <c r="C8" s="58"/>
      <c r="D8" s="58"/>
      <c r="E8" s="58"/>
      <c r="F8" s="58"/>
      <c r="G8" s="58"/>
      <c r="H8" s="58"/>
      <c r="I8" s="59"/>
    </row>
    <row r="9" spans="1:19" x14ac:dyDescent="0.25">
      <c r="A9" s="27" t="str">
        <f>Calculator!F5</f>
        <v>LowAttach</v>
      </c>
      <c r="B9" s="57" t="str">
        <f ca="1">Calculator!G5</f>
        <v>All</v>
      </c>
      <c r="C9" s="58"/>
      <c r="D9" s="58"/>
      <c r="E9" s="58"/>
      <c r="F9" s="58"/>
      <c r="G9" s="58"/>
      <c r="H9" s="58"/>
      <c r="I9" s="59"/>
    </row>
    <row r="10" spans="1:19" x14ac:dyDescent="0.25">
      <c r="A10" s="27" t="str">
        <f>Calculator!F6</f>
        <v>HighAttach</v>
      </c>
      <c r="B10" s="57" t="str">
        <f ca="1">Calculator!G6</f>
        <v>All</v>
      </c>
      <c r="C10" s="58"/>
      <c r="D10" s="58"/>
      <c r="E10" s="58"/>
      <c r="F10" s="58"/>
      <c r="G10" s="58"/>
      <c r="H10" s="58"/>
      <c r="I10" s="59"/>
    </row>
    <row r="11" spans="1:19" x14ac:dyDescent="0.25">
      <c r="D11"/>
      <c r="E11"/>
      <c r="F11"/>
      <c r="G11"/>
      <c r="H11"/>
      <c r="I11"/>
    </row>
    <row r="12" spans="1:19" x14ac:dyDescent="0.25">
      <c r="D12" s="61" t="s">
        <v>166</v>
      </c>
      <c r="E12" s="61"/>
      <c r="F12" s="61"/>
      <c r="G12" s="61"/>
      <c r="H12" s="61"/>
      <c r="I12" s="61"/>
      <c r="M12" s="56" t="s">
        <v>167</v>
      </c>
      <c r="N12" s="56"/>
      <c r="O12" s="56"/>
      <c r="P12" s="56"/>
      <c r="Q12" s="56"/>
      <c r="R12" s="56"/>
    </row>
    <row r="13" spans="1:19" x14ac:dyDescent="0.25">
      <c r="D13" s="21" t="s">
        <v>1</v>
      </c>
      <c r="E13" s="21" t="s">
        <v>9</v>
      </c>
      <c r="F13" s="21" t="s">
        <v>3</v>
      </c>
      <c r="G13" s="21" t="s">
        <v>168</v>
      </c>
      <c r="H13" s="29"/>
      <c r="I13" s="29"/>
      <c r="K13" s="21" t="s">
        <v>137</v>
      </c>
      <c r="M13" s="21" t="s">
        <v>141</v>
      </c>
      <c r="N13" s="21" t="s">
        <v>142</v>
      </c>
      <c r="O13" s="21" t="s">
        <v>141</v>
      </c>
      <c r="P13" s="21" t="s">
        <v>142</v>
      </c>
      <c r="Q13" s="21" t="s">
        <v>141</v>
      </c>
      <c r="R13" s="21" t="s">
        <v>142</v>
      </c>
      <c r="S13" s="21"/>
    </row>
    <row r="14" spans="1:19" x14ac:dyDescent="0.25">
      <c r="B14" s="21" t="s">
        <v>176</v>
      </c>
      <c r="D14" s="21" t="s">
        <v>3</v>
      </c>
      <c r="E14" s="21" t="s">
        <v>3</v>
      </c>
      <c r="F14" s="21" t="s">
        <v>7</v>
      </c>
      <c r="G14" s="21" t="s">
        <v>7</v>
      </c>
      <c r="H14" s="29" t="s">
        <v>149</v>
      </c>
      <c r="I14" s="29" t="s">
        <v>147</v>
      </c>
      <c r="K14" s="21" t="s">
        <v>144</v>
      </c>
      <c r="M14" s="21" t="s">
        <v>158</v>
      </c>
      <c r="N14" s="21" t="s">
        <v>158</v>
      </c>
      <c r="O14" s="21" t="s">
        <v>157</v>
      </c>
      <c r="P14" s="21" t="s">
        <v>157</v>
      </c>
      <c r="Q14" s="21" t="s">
        <v>4</v>
      </c>
      <c r="R14" s="21" t="s">
        <v>4</v>
      </c>
      <c r="S14" s="21"/>
    </row>
    <row r="15" spans="1:19" x14ac:dyDescent="0.25">
      <c r="B15" s="28">
        <f>Calculator!B13</f>
        <v>40999</v>
      </c>
      <c r="D15" s="4">
        <f>Calculator!BF13</f>
        <v>1.0398717022951809E-2</v>
      </c>
      <c r="E15" s="4">
        <f>Calculator!BG13</f>
        <v>1.7293505457827152E-4</v>
      </c>
      <c r="F15" s="4">
        <f>Calculator!BH13</f>
        <v>1.0572847622490888E-2</v>
      </c>
      <c r="G15" s="4">
        <f>Calculator!BJ13</f>
        <v>1.0952799566811944E-2</v>
      </c>
      <c r="H15" s="4">
        <f>Calculator!BM13</f>
        <v>4.4194093650213873E-3</v>
      </c>
      <c r="I15" s="4">
        <f>Calculator!BN13</f>
        <v>1.5395062577086005E-2</v>
      </c>
      <c r="K15" s="14">
        <f>VLOOKUP($B15,Months!$B$15:$R$113,10)</f>
        <v>41</v>
      </c>
      <c r="M15" s="8">
        <f>VLOOKUP(EOMONTH($B15,-2),Months!$B$15:$R$113,12)</f>
        <v>1541327174.8499999</v>
      </c>
      <c r="N15" s="8">
        <f>VLOOKUP($B15,Months!$B$15:$R$113,13)</f>
        <v>1637939996.3699996</v>
      </c>
      <c r="O15" s="8">
        <f>VLOOKUP(EOMONTH($B15,-2),Months!$B$15:$R$113,14)</f>
        <v>1541327174.8499999</v>
      </c>
      <c r="P15" s="8">
        <f>VLOOKUP($B15,Months!$B$15:$R$113,15)</f>
        <v>1637939996.3699996</v>
      </c>
      <c r="Q15" s="8">
        <f>VLOOKUP(EOMONTH($B15,-2),Months!$B$15:$R$113,16)</f>
        <v>1620125593.6500001</v>
      </c>
      <c r="R15" s="8">
        <f>VLOOKUP($B15,Months!$B$15:$R$113,17)</f>
        <v>1709853859.1500001</v>
      </c>
    </row>
    <row r="16" spans="1:19" x14ac:dyDescent="0.25">
      <c r="B16" s="28">
        <f>Calculator!B16</f>
        <v>41090</v>
      </c>
      <c r="D16" s="4">
        <f>Calculator!BF16</f>
        <v>1.2987349733561748E-2</v>
      </c>
      <c r="E16" s="4">
        <f>Calculator!BG16</f>
        <v>2.9959160114789718E-4</v>
      </c>
      <c r="F16" s="4">
        <f>Calculator!BH16</f>
        <v>1.3289525833197091E-2</v>
      </c>
      <c r="G16" s="4">
        <f>Calculator!BJ16</f>
        <v>1.3289525833197091E-2</v>
      </c>
      <c r="H16" s="4">
        <f>Calculator!BM16</f>
        <v>9.2287085760089926E-3</v>
      </c>
      <c r="I16" s="4">
        <f>Calculator!BN16</f>
        <v>2.2595471400692402E-2</v>
      </c>
      <c r="K16" s="14">
        <f>VLOOKUP($B16,Months!$B$15:$R$113,10)</f>
        <v>43</v>
      </c>
      <c r="M16" s="8">
        <f>VLOOKUP(EOMONTH($B16,-2),Months!$B$15:$R$113,12)</f>
        <v>1637939996.3699996</v>
      </c>
      <c r="N16" s="8">
        <f>VLOOKUP($B16,Months!$B$15:$R$113,13)</f>
        <v>1641086594.97</v>
      </c>
      <c r="O16" s="8">
        <f>VLOOKUP(EOMONTH($B16,-2),Months!$B$15:$R$113,14)</f>
        <v>1637939996.3699996</v>
      </c>
      <c r="P16" s="8">
        <f>VLOOKUP($B16,Months!$B$15:$R$113,15)</f>
        <v>1641086594.97</v>
      </c>
      <c r="Q16" s="8">
        <f>VLOOKUP(EOMONTH($B16,-2),Months!$B$15:$R$113,16)</f>
        <v>1709853859.1500001</v>
      </c>
      <c r="R16" s="8">
        <f>VLOOKUP($B16,Months!$B$15:$R$113,17)</f>
        <v>1697679930.7899995</v>
      </c>
    </row>
    <row r="17" spans="2:18" x14ac:dyDescent="0.25">
      <c r="B17" s="28">
        <f>Calculator!B19</f>
        <v>41182</v>
      </c>
      <c r="D17" s="4">
        <f>Calculator!BF19</f>
        <v>1.5005889817481632E-2</v>
      </c>
      <c r="E17" s="4">
        <f>Calculator!BG19</f>
        <v>2.7722885309988676E-4</v>
      </c>
      <c r="F17" s="4">
        <f>Calculator!BH19</f>
        <v>1.5285900603775326E-2</v>
      </c>
      <c r="G17" s="4">
        <f>Calculator!BJ19</f>
        <v>1.6125315032262222E-2</v>
      </c>
      <c r="H17" s="4">
        <f>Calculator!BM19</f>
        <v>2.4824773009379797E-4</v>
      </c>
      <c r="I17" s="4">
        <f>Calculator!BN19</f>
        <v>1.6367733301949849E-2</v>
      </c>
      <c r="K17" s="14">
        <f>VLOOKUP($B17,Months!$B$15:$R$113,10)</f>
        <v>48</v>
      </c>
      <c r="M17" s="8">
        <f>VLOOKUP(EOMONTH($B17,-2),Months!$B$15:$R$113,12)</f>
        <v>1641086594.97</v>
      </c>
      <c r="N17" s="8">
        <f>VLOOKUP($B17,Months!$B$15:$R$113,13)</f>
        <v>1830593798.27</v>
      </c>
      <c r="O17" s="8">
        <f>VLOOKUP(EOMONTH($B17,-2),Months!$B$15:$R$113,14)</f>
        <v>1641086594.97</v>
      </c>
      <c r="P17" s="8">
        <f>VLOOKUP($B17,Months!$B$15:$R$113,15)</f>
        <v>1830593798.27</v>
      </c>
      <c r="Q17" s="8">
        <f>VLOOKUP(EOMONTH($B17,-2),Months!$B$15:$R$113,16)</f>
        <v>1697679930.7899995</v>
      </c>
      <c r="R17" s="8">
        <f>VLOOKUP($B17,Months!$B$15:$R$113,17)</f>
        <v>1887051759.4699996</v>
      </c>
    </row>
    <row r="18" spans="2:18" x14ac:dyDescent="0.25">
      <c r="B18" s="28">
        <f>Calculator!B22</f>
        <v>41274</v>
      </c>
      <c r="D18" s="4">
        <f>Calculator!BF22</f>
        <v>1.8395609815016201E-2</v>
      </c>
      <c r="E18" s="4">
        <f>Calculator!BG22</f>
        <v>5.0849312949585723E-4</v>
      </c>
      <c r="F18" s="4">
        <f>Calculator!BH22</f>
        <v>1.8910151917128637E-2</v>
      </c>
      <c r="G18" s="4">
        <f>Calculator!BJ22</f>
        <v>2.1579473629907087E-2</v>
      </c>
      <c r="H18" s="4">
        <f>Calculator!BM22</f>
        <v>3.9282583319590891E-3</v>
      </c>
      <c r="I18" s="4">
        <f>Calculator!BN22</f>
        <v>2.5554847238398626E-2</v>
      </c>
      <c r="K18" s="14">
        <f>VLOOKUP($B18,Months!$B$15:$R$113,10)</f>
        <v>60</v>
      </c>
      <c r="M18" s="8">
        <f>VLOOKUP(EOMONTH($B18,-2),Months!$B$15:$R$113,12)</f>
        <v>1830593798.27</v>
      </c>
      <c r="N18" s="8">
        <f>VLOOKUP($B18,Months!$B$15:$R$113,13)</f>
        <v>2076898838.9499998</v>
      </c>
      <c r="O18" s="8">
        <f>VLOOKUP(EOMONTH($B18,-2),Months!$B$15:$R$113,14)</f>
        <v>1830593798.27</v>
      </c>
      <c r="P18" s="8">
        <f>VLOOKUP($B18,Months!$B$15:$R$113,15)</f>
        <v>2076898838.9499998</v>
      </c>
      <c r="Q18" s="8">
        <f>VLOOKUP(EOMONTH($B18,-2),Months!$B$15:$R$113,16)</f>
        <v>1887051759.4699996</v>
      </c>
      <c r="R18" s="8">
        <f>VLOOKUP($B18,Months!$B$15:$R$113,17)</f>
        <v>2125744114.4999998</v>
      </c>
    </row>
    <row r="19" spans="2:18" x14ac:dyDescent="0.25">
      <c r="B19" s="28">
        <f>Calculator!B25</f>
        <v>41364</v>
      </c>
      <c r="D19" s="4">
        <f>Calculator!BF25</f>
        <v>1.5243941154192253E-2</v>
      </c>
      <c r="E19" s="4">
        <f>Calculator!BG25</f>
        <v>6.7891200975234156E-4</v>
      </c>
      <c r="F19" s="4">
        <f>Calculator!BH25</f>
        <v>1.5929698360034328E-2</v>
      </c>
      <c r="G19" s="4">
        <f>Calculator!BJ25</f>
        <v>1.6864557191828444E-2</v>
      </c>
      <c r="H19" s="4">
        <f>Calculator!BM25</f>
        <v>7.7886626944927428E-3</v>
      </c>
      <c r="I19" s="4">
        <f>Calculator!BN25</f>
        <v>2.4670760368887601E-2</v>
      </c>
      <c r="K19" s="14">
        <f>VLOOKUP($B19,Months!$B$15:$R$113,10)</f>
        <v>63</v>
      </c>
      <c r="M19" s="8">
        <f>VLOOKUP(EOMONTH($B19,-2),Months!$B$15:$R$113,12)</f>
        <v>2076898838.9499998</v>
      </c>
      <c r="N19" s="8">
        <f>VLOOKUP($B19,Months!$B$15:$R$113,13)</f>
        <v>2130136282.6000001</v>
      </c>
      <c r="O19" s="8">
        <f>VLOOKUP(EOMONTH($B19,-2),Months!$B$15:$R$113,14)</f>
        <v>2076898838.9499998</v>
      </c>
      <c r="P19" s="8">
        <f>VLOOKUP($B19,Months!$B$15:$R$113,15)</f>
        <v>2130136282.6000001</v>
      </c>
      <c r="Q19" s="8">
        <f>VLOOKUP(EOMONTH($B19,-2),Months!$B$15:$R$113,16)</f>
        <v>2125744114.4999998</v>
      </c>
      <c r="R19" s="8">
        <f>VLOOKUP($B19,Months!$B$15:$R$113,17)</f>
        <v>2162875301.5599995</v>
      </c>
    </row>
    <row r="20" spans="2:18" x14ac:dyDescent="0.25">
      <c r="B20" s="28">
        <f>Calculator!B28</f>
        <v>41455</v>
      </c>
      <c r="D20" s="4">
        <f>Calculator!BF28</f>
        <v>1.8852920322637745E-2</v>
      </c>
      <c r="E20" s="4">
        <f>Calculator!BG28</f>
        <v>7.2146111142123992E-4</v>
      </c>
      <c r="F20" s="4">
        <f>Calculator!BH28</f>
        <v>1.9583307857272914E-2</v>
      </c>
      <c r="G20" s="4">
        <f>Calculator!BJ28</f>
        <v>1.9898801342399519E-2</v>
      </c>
      <c r="H20" s="4">
        <f>Calculator!BM28</f>
        <v>-1.8950008861251533E-3</v>
      </c>
      <c r="I20" s="4">
        <f>Calculator!BN28</f>
        <v>1.7977287073375869E-2</v>
      </c>
      <c r="K20" s="14">
        <f>VLOOKUP($B20,Months!$B$15:$R$113,10)</f>
        <v>61</v>
      </c>
      <c r="M20" s="8">
        <f>VLOOKUP(EOMONTH($B20,-2),Months!$B$15:$R$113,12)</f>
        <v>2130136282.6000001</v>
      </c>
      <c r="N20" s="8">
        <f>VLOOKUP($B20,Months!$B$15:$R$113,13)</f>
        <v>2114880266.9199998</v>
      </c>
      <c r="O20" s="8">
        <f>VLOOKUP(EOMONTH($B20,-2),Months!$B$15:$R$113,14)</f>
        <v>2130136282.6000001</v>
      </c>
      <c r="P20" s="8">
        <f>VLOOKUP($B20,Months!$B$15:$R$113,15)</f>
        <v>2133103468.9199998</v>
      </c>
      <c r="Q20" s="8">
        <f>VLOOKUP(EOMONTH($B20,-2),Months!$B$15:$R$113,16)</f>
        <v>2162875301.5599995</v>
      </c>
      <c r="R20" s="8">
        <f>VLOOKUP($B20,Months!$B$15:$R$113,17)</f>
        <v>2169745051.0599999</v>
      </c>
    </row>
    <row r="21" spans="2:18" x14ac:dyDescent="0.25">
      <c r="B21" s="28">
        <f>Calculator!B31</f>
        <v>41547</v>
      </c>
      <c r="D21" s="4">
        <f>Calculator!BF31</f>
        <v>1.7610482770682001E-2</v>
      </c>
      <c r="E21" s="4">
        <f>Calculator!BG31</f>
        <v>8.5965764945350465E-4</v>
      </c>
      <c r="F21" s="4">
        <f>Calculator!BH31</f>
        <v>1.8480247370210146E-2</v>
      </c>
      <c r="G21" s="4">
        <f>Calculator!BJ31</f>
        <v>1.9480507613056641E-2</v>
      </c>
      <c r="H21" s="4">
        <f>Calculator!BM31</f>
        <v>-1.3544955018028881E-3</v>
      </c>
      <c r="I21" s="4">
        <f>Calculator!BN31</f>
        <v>1.8080187275807846E-2</v>
      </c>
      <c r="K21" s="14">
        <f>VLOOKUP($B21,Months!$B$15:$R$113,10)</f>
        <v>68</v>
      </c>
      <c r="M21" s="8">
        <f>VLOOKUP(EOMONTH($B21,-2),Months!$B$15:$R$113,12)</f>
        <v>2114880266.9199998</v>
      </c>
      <c r="N21" s="8">
        <f>VLOOKUP($B21,Months!$B$15:$R$113,13)</f>
        <v>2310401392.8200002</v>
      </c>
      <c r="O21" s="8">
        <f>VLOOKUP(EOMONTH($B21,-2),Months!$B$15:$R$113,14)</f>
        <v>2133103468.9199998</v>
      </c>
      <c r="P21" s="8">
        <f>VLOOKUP($B21,Months!$B$15:$R$113,15)</f>
        <v>2328624594.8200002</v>
      </c>
      <c r="Q21" s="8">
        <f>VLOOKUP(EOMONTH($B21,-2),Months!$B$15:$R$113,16)</f>
        <v>2169745051.0599999</v>
      </c>
      <c r="R21" s="8">
        <f>VLOOKUP($B21,Months!$B$15:$R$113,17)</f>
        <v>2368259156.5500002</v>
      </c>
    </row>
    <row r="22" spans="2:18" x14ac:dyDescent="0.25">
      <c r="B22" s="28">
        <f>Calculator!B34</f>
        <v>41639</v>
      </c>
      <c r="D22" s="4">
        <f>Calculator!BF34</f>
        <v>2.6409052070038408E-2</v>
      </c>
      <c r="E22" s="4">
        <f>Calculator!BG34</f>
        <v>1.0002947763019243E-3</v>
      </c>
      <c r="F22" s="4">
        <f>Calculator!BH34</f>
        <v>2.7426404283960482E-2</v>
      </c>
      <c r="G22" s="4">
        <f>Calculator!BJ34</f>
        <v>2.7679705619031436E-2</v>
      </c>
      <c r="H22" s="4">
        <f>Calculator!BM34</f>
        <v>7.368752675227519E-3</v>
      </c>
      <c r="I22" s="4">
        <f>Calculator!BN34</f>
        <v>3.5147083680760138E-2</v>
      </c>
      <c r="K22" s="14">
        <f>VLOOKUP($B22,Months!$B$15:$R$113,10)</f>
        <v>72</v>
      </c>
      <c r="M22" s="8">
        <f>VLOOKUP(EOMONTH($B22,-2),Months!$B$15:$R$113,12)</f>
        <v>2310401392.8200002</v>
      </c>
      <c r="N22" s="8">
        <f>VLOOKUP($B22,Months!$B$15:$R$113,13)</f>
        <v>2339498880.3199997</v>
      </c>
      <c r="O22" s="8">
        <f>VLOOKUP(EOMONTH($B22,-2),Months!$B$15:$R$113,14)</f>
        <v>2328624594.8200002</v>
      </c>
      <c r="P22" s="8">
        <f>VLOOKUP($B22,Months!$B$15:$R$113,15)</f>
        <v>2357722082.3199997</v>
      </c>
      <c r="Q22" s="8">
        <f>VLOOKUP(EOMONTH($B22,-2),Months!$B$15:$R$113,16)</f>
        <v>2368259156.5500002</v>
      </c>
      <c r="R22" s="8">
        <f>VLOOKUP($B22,Months!$B$15:$R$113,17)</f>
        <v>2379966869.0799999</v>
      </c>
    </row>
    <row r="23" spans="2:18" x14ac:dyDescent="0.25">
      <c r="B23" s="28">
        <f>Calculator!B37</f>
        <v>41729</v>
      </c>
      <c r="D23" s="4">
        <f>Calculator!BF37</f>
        <v>1.7413617704979734E-2</v>
      </c>
      <c r="E23" s="4">
        <f>Calculator!BG37</f>
        <v>9.2232671770786645E-4</v>
      </c>
      <c r="F23" s="4">
        <f>Calculator!BH37</f>
        <v>1.8346553655913533E-2</v>
      </c>
      <c r="G23" s="4">
        <f>Calculator!BJ37</f>
        <v>2.1968282094776637E-2</v>
      </c>
      <c r="H23" s="4">
        <f>Calculator!BM37</f>
        <v>1.7564523285773515E-3</v>
      </c>
      <c r="I23" s="4">
        <f>Calculator!BN37</f>
        <v>2.373362145972413E-2</v>
      </c>
      <c r="K23" s="14">
        <f>VLOOKUP($B23,Months!$B$15:$R$113,10)</f>
        <v>71</v>
      </c>
      <c r="M23" s="8">
        <f>VLOOKUP(EOMONTH($B23,-2),Months!$B$15:$R$113,12)</f>
        <v>2339498880.3199997</v>
      </c>
      <c r="N23" s="8">
        <f>VLOOKUP($B23,Months!$B$15:$R$113,13)</f>
        <v>2366425612.3000002</v>
      </c>
      <c r="O23" s="8">
        <f>VLOOKUP(EOMONTH($B23,-2),Months!$B$15:$R$113,14)</f>
        <v>2357722082.3199997</v>
      </c>
      <c r="P23" s="8">
        <f>VLOOKUP($B23,Months!$B$15:$R$113,15)</f>
        <v>2372474119.8000002</v>
      </c>
      <c r="Q23" s="8">
        <f>VLOOKUP(EOMONTH($B23,-2),Months!$B$15:$R$113,16)</f>
        <v>2379966869.0799999</v>
      </c>
      <c r="R23" s="8">
        <f>VLOOKUP($B23,Months!$B$15:$R$113,17)</f>
        <v>2390613018.7599998</v>
      </c>
    </row>
    <row r="24" spans="2:18" x14ac:dyDescent="0.25">
      <c r="B24" s="28">
        <f>Calculator!B40</f>
        <v>41820</v>
      </c>
      <c r="D24" s="4">
        <f>Calculator!BF40</f>
        <v>1.8839382223367451E-2</v>
      </c>
      <c r="E24" s="4">
        <f>Calculator!BG40</f>
        <v>8.3897263146970324E-4</v>
      </c>
      <c r="F24" s="4">
        <f>Calculator!BH40</f>
        <v>1.9688912509419509E-2</v>
      </c>
      <c r="G24" s="4">
        <f>Calculator!BJ40</f>
        <v>2.0829390889316235E-2</v>
      </c>
      <c r="H24" s="4">
        <f>Calculator!BM40</f>
        <v>-4.4043632453899528E-3</v>
      </c>
      <c r="I24" s="4">
        <f>Calculator!BN40</f>
        <v>1.6291775526504626E-2</v>
      </c>
      <c r="K24" s="14">
        <f>VLOOKUP($B24,Months!$B$15:$R$113,10)</f>
        <v>73</v>
      </c>
      <c r="M24" s="8">
        <f>VLOOKUP(EOMONTH($B24,-2),Months!$B$15:$R$113,12)</f>
        <v>2366425612.3000002</v>
      </c>
      <c r="N24" s="8">
        <f>VLOOKUP($B24,Months!$B$15:$R$113,13)</f>
        <v>2417702078.5800004</v>
      </c>
      <c r="O24" s="8">
        <f>VLOOKUP(EOMONTH($B24,-2),Months!$B$15:$R$113,14)</f>
        <v>2372474119.8000002</v>
      </c>
      <c r="P24" s="8">
        <f>VLOOKUP($B24,Months!$B$15:$R$113,15)</f>
        <v>2424099469.0800004</v>
      </c>
      <c r="Q24" s="8">
        <f>VLOOKUP(EOMONTH($B24,-2),Months!$B$15:$R$113,16)</f>
        <v>2390613018.7599998</v>
      </c>
      <c r="R24" s="8">
        <f>VLOOKUP($B24,Months!$B$15:$R$113,17)</f>
        <v>2432073162.5799999</v>
      </c>
    </row>
    <row r="25" spans="2:18" x14ac:dyDescent="0.25">
      <c r="B25" s="28">
        <f>Calculator!B43</f>
        <v>41912</v>
      </c>
      <c r="D25" s="4">
        <f>Calculator!BF43</f>
        <v>3.4555525833629641E-2</v>
      </c>
      <c r="E25" s="4">
        <f>Calculator!BG43</f>
        <v>8.7466621508225373E-4</v>
      </c>
      <c r="F25" s="4">
        <f>Calculator!BH43</f>
        <v>3.5449834881963627E-2</v>
      </c>
      <c r="G25" s="4">
        <f>Calculator!BJ43</f>
        <v>3.5921272690599082E-2</v>
      </c>
      <c r="H25" s="4">
        <f>Calculator!BM43</f>
        <v>-7.7259909974847218E-4</v>
      </c>
      <c r="I25" s="4">
        <f>Calculator!BN43</f>
        <v>3.5015138503262877E-2</v>
      </c>
      <c r="K25" s="14">
        <f>VLOOKUP($B25,Months!$B$15:$R$113,10)</f>
        <v>75</v>
      </c>
      <c r="M25" s="8">
        <f>VLOOKUP(EOMONTH($B25,-2),Months!$B$15:$R$113,12)</f>
        <v>2417702078.5800004</v>
      </c>
      <c r="N25" s="8">
        <f>VLOOKUP($B25,Months!$B$15:$R$113,13)</f>
        <v>2322888641.3600001</v>
      </c>
      <c r="O25" s="8">
        <f>VLOOKUP(EOMONTH($B25,-2),Months!$B$15:$R$113,14)</f>
        <v>2424099469.0800004</v>
      </c>
      <c r="P25" s="8">
        <f>VLOOKUP($B25,Months!$B$15:$R$113,15)</f>
        <v>2329319752.8600001</v>
      </c>
      <c r="Q25" s="8">
        <f>VLOOKUP(EOMONTH($B25,-2),Months!$B$15:$R$113,16)</f>
        <v>2432073162.5799999</v>
      </c>
      <c r="R25" s="8">
        <f>VLOOKUP($B25,Months!$B$15:$R$113,17)</f>
        <v>2338810413.8300004</v>
      </c>
    </row>
    <row r="26" spans="2:18" x14ac:dyDescent="0.25">
      <c r="B26" s="28">
        <f>Calculator!B46</f>
        <v>42004</v>
      </c>
      <c r="D26" s="4">
        <f>Calculator!BF46</f>
        <v>1.7690103095814536E-2</v>
      </c>
      <c r="E26" s="4">
        <f>Calculator!BG46</f>
        <v>2.4063075179430182E-3</v>
      </c>
      <c r="F26" s="4">
        <f>Calculator!BH46</f>
        <v>2.0124693730362075E-2</v>
      </c>
      <c r="G26" s="4">
        <f>Calculator!BJ46</f>
        <v>2.098673583173305E-2</v>
      </c>
      <c r="H26" s="4">
        <f>Calculator!BM46</f>
        <v>1.1254045817503444E-2</v>
      </c>
      <c r="I26" s="4">
        <f>Calculator!BN46</f>
        <v>3.2341589855109376E-2</v>
      </c>
      <c r="K26" s="14">
        <f>VLOOKUP($B26,Months!$B$15:$R$113,10)</f>
        <v>82</v>
      </c>
      <c r="M26" s="8">
        <f>VLOOKUP(EOMONTH($B26,-2),Months!$B$15:$R$113,12)</f>
        <v>2322888641.3600001</v>
      </c>
      <c r="N26" s="8">
        <f>VLOOKUP($B26,Months!$B$15:$R$113,13)</f>
        <v>2507995972.6600003</v>
      </c>
      <c r="O26" s="8">
        <f>VLOOKUP(EOMONTH($B26,-2),Months!$B$15:$R$113,14)</f>
        <v>2329319752.8600001</v>
      </c>
      <c r="P26" s="8">
        <f>VLOOKUP($B26,Months!$B$15:$R$113,15)</f>
        <v>2514476523.1600003</v>
      </c>
      <c r="Q26" s="8">
        <f>VLOOKUP(EOMONTH($B26,-2),Months!$B$15:$R$113,16)</f>
        <v>2338810413.8300004</v>
      </c>
      <c r="R26" s="8">
        <f>VLOOKUP($B26,Months!$B$15:$R$113,17)</f>
        <v>2497254586.3200006</v>
      </c>
    </row>
    <row r="27" spans="2:18" x14ac:dyDescent="0.25">
      <c r="B27" s="28">
        <f>Calculator!B49</f>
        <v>42094</v>
      </c>
      <c r="D27" s="4">
        <f>Calculator!BF49</f>
        <v>1.6996062032451853E-2</v>
      </c>
      <c r="E27" s="4">
        <f>Calculator!BG49</f>
        <v>2.0653512093997684E-3</v>
      </c>
      <c r="F27" s="4">
        <f>Calculator!BH49</f>
        <v>1.9084694828401139E-2</v>
      </c>
      <c r="G27" s="4">
        <f>Calculator!BJ49</f>
        <v>1.9328312972997308E-2</v>
      </c>
      <c r="H27" s="4">
        <f>Calculator!BM49</f>
        <v>-5.1878746437193923E-3</v>
      </c>
      <c r="I27" s="4">
        <f>Calculator!BN49</f>
        <v>1.4069933366332554E-2</v>
      </c>
      <c r="K27" s="14">
        <f>VLOOKUP($B27,Months!$B$15:$R$113,10)</f>
        <v>76</v>
      </c>
      <c r="M27" s="8">
        <f>VLOOKUP(EOMONTH($B27,-2),Months!$B$15:$R$113,12)</f>
        <v>2507995972.6600003</v>
      </c>
      <c r="N27" s="8">
        <f>VLOOKUP($B27,Months!$B$15:$R$113,13)</f>
        <v>2798997057.6299992</v>
      </c>
      <c r="O27" s="8">
        <f>VLOOKUP(EOMONTH($B27,-2),Months!$B$15:$R$113,14)</f>
        <v>2514476523.1600003</v>
      </c>
      <c r="P27" s="8">
        <f>VLOOKUP($B27,Months!$B$15:$R$113,15)</f>
        <v>2805477608.1299992</v>
      </c>
      <c r="Q27" s="8">
        <f>VLOOKUP(EOMONTH($B27,-2),Months!$B$15:$R$113,16)</f>
        <v>2497254586.3200006</v>
      </c>
      <c r="R27" s="8">
        <f>VLOOKUP($B27,Months!$B$15:$R$113,17)</f>
        <v>2802236968.5</v>
      </c>
    </row>
    <row r="28" spans="2:18" x14ac:dyDescent="0.25">
      <c r="B28" s="28">
        <f>Calculator!B52</f>
        <v>42185</v>
      </c>
      <c r="D28" s="4">
        <f>Calculator!BF52</f>
        <v>1.6403392644500192E-2</v>
      </c>
      <c r="E28" s="4">
        <f>Calculator!BG52</f>
        <v>2.1088525381323109E-3</v>
      </c>
      <c r="F28" s="4">
        <f>Calculator!BH52</f>
        <v>1.8535191147322383E-2</v>
      </c>
      <c r="G28" s="4">
        <f>Calculator!BJ52</f>
        <v>1.9024199756267235E-2</v>
      </c>
      <c r="H28" s="4">
        <f>Calculator!BM52</f>
        <v>-2.1532701540314392E-3</v>
      </c>
      <c r="I28" s="4">
        <f>Calculator!BN52</f>
        <v>1.6842923219805073E-2</v>
      </c>
      <c r="K28" s="14">
        <f>VLOOKUP($B28,Months!$B$15:$R$113,10)</f>
        <v>77</v>
      </c>
      <c r="M28" s="8">
        <f>VLOOKUP(EOMONTH($B28,-2),Months!$B$15:$R$113,12)</f>
        <v>2798997057.6299992</v>
      </c>
      <c r="N28" s="8">
        <f>VLOOKUP($B28,Months!$B$15:$R$113,13)</f>
        <v>2842214844.3100004</v>
      </c>
      <c r="O28" s="8">
        <f>VLOOKUP(EOMONTH($B28,-2),Months!$B$15:$R$113,14)</f>
        <v>2805477608.1299992</v>
      </c>
      <c r="P28" s="8">
        <f>VLOOKUP($B28,Months!$B$15:$R$113,15)</f>
        <v>2848730296.8100004</v>
      </c>
      <c r="Q28" s="8">
        <f>VLOOKUP(EOMONTH($B28,-2),Months!$B$15:$R$113,16)</f>
        <v>2802236968.5</v>
      </c>
      <c r="R28" s="8">
        <f>VLOOKUP($B28,Months!$B$15:$R$113,17)</f>
        <v>2851549224.4700003</v>
      </c>
    </row>
    <row r="29" spans="2:18" x14ac:dyDescent="0.25">
      <c r="B29" s="28">
        <f>Calculator!B55</f>
        <v>42277</v>
      </c>
      <c r="D29" s="4">
        <f>Calculator!BF55</f>
        <v>1.6326767492300664E-2</v>
      </c>
      <c r="E29" s="4">
        <f>Calculator!BG55</f>
        <v>2.5402433643695321E-3</v>
      </c>
      <c r="F29" s="4">
        <f>Calculator!BH55</f>
        <v>1.8894595371753642E-2</v>
      </c>
      <c r="G29" s="4">
        <f>Calculator!BJ55</f>
        <v>1.9295010316285888E-2</v>
      </c>
      <c r="H29" s="4">
        <f>Calculator!BM55</f>
        <v>-3.1674645305341809E-3</v>
      </c>
      <c r="I29" s="4">
        <f>Calculator!BN55</f>
        <v>1.608639190151262E-2</v>
      </c>
      <c r="K29" s="14">
        <f>VLOOKUP($B29,Months!$B$15:$R$113,10)</f>
        <v>76</v>
      </c>
      <c r="M29" s="8">
        <f>VLOOKUP(EOMONTH($B29,-2),Months!$B$15:$R$113,12)</f>
        <v>2842214844.3100004</v>
      </c>
      <c r="N29" s="8">
        <f>VLOOKUP($B29,Months!$B$15:$R$113,13)</f>
        <v>2860048822.2600007</v>
      </c>
      <c r="O29" s="8">
        <f>VLOOKUP(EOMONTH($B29,-2),Months!$B$15:$R$113,14)</f>
        <v>2848730296.8100004</v>
      </c>
      <c r="P29" s="8">
        <f>VLOOKUP($B29,Months!$B$15:$R$113,15)</f>
        <v>2866564274.7600007</v>
      </c>
      <c r="Q29" s="8">
        <f>VLOOKUP(EOMONTH($B29,-2),Months!$B$15:$R$113,16)</f>
        <v>2851549224.4700003</v>
      </c>
      <c r="R29" s="8">
        <f>VLOOKUP($B29,Months!$B$15:$R$113,17)</f>
        <v>2878218947.5300007</v>
      </c>
    </row>
    <row r="30" spans="2:18" x14ac:dyDescent="0.25">
      <c r="B30" s="28">
        <f>Calculator!B58</f>
        <v>42369</v>
      </c>
      <c r="D30" s="4">
        <f>Calculator!BF58</f>
        <v>1.4000993080731661E-2</v>
      </c>
      <c r="E30" s="4">
        <f>Calculator!BG58</f>
        <v>2.5808910191795764E-3</v>
      </c>
      <c r="F30" s="4">
        <f>Calculator!BH58</f>
        <v>1.6605924122666593E-2</v>
      </c>
      <c r="G30" s="4">
        <f>Calculator!BJ58</f>
        <v>1.7241828331170161E-2</v>
      </c>
      <c r="H30" s="4">
        <f>Calculator!BM58</f>
        <v>-9.6347743231254279E-3</v>
      </c>
      <c r="I30" s="4">
        <f>Calculator!BN58</f>
        <v>7.4908027321698434E-3</v>
      </c>
      <c r="K30" s="14">
        <f>VLOOKUP($B30,Months!$B$15:$R$113,10)</f>
        <v>79</v>
      </c>
      <c r="M30" s="8">
        <f>VLOOKUP(EOMONTH($B30,-2),Months!$B$15:$R$113,12)</f>
        <v>2860048822.2600007</v>
      </c>
      <c r="N30" s="8">
        <f>VLOOKUP($B30,Months!$B$15:$R$113,13)</f>
        <v>2743819231.7200003</v>
      </c>
      <c r="O30" s="8">
        <f>VLOOKUP(EOMONTH($B30,-2),Months!$B$15:$R$113,14)</f>
        <v>2866564274.7600007</v>
      </c>
      <c r="P30" s="8">
        <f>VLOOKUP($B30,Months!$B$15:$R$113,15)</f>
        <v>2750334684.2200003</v>
      </c>
      <c r="Q30" s="8">
        <f>VLOOKUP(EOMONTH($B30,-2),Months!$B$15:$R$113,16)</f>
        <v>2878218947.5300007</v>
      </c>
      <c r="R30" s="8">
        <f>VLOOKUP($B30,Months!$B$15:$R$113,17)</f>
        <v>2789234665.8800006</v>
      </c>
    </row>
    <row r="31" spans="2:18" x14ac:dyDescent="0.25">
      <c r="B31" s="28">
        <f>Calculator!B61</f>
        <v>42460</v>
      </c>
      <c r="D31" s="4">
        <f>Calculator!BF61</f>
        <v>2.4143365024529961E-2</v>
      </c>
      <c r="E31" s="4">
        <f>Calculator!BG61</f>
        <v>2.7123195113298859E-3</v>
      </c>
      <c r="F31" s="4">
        <f>Calculator!BH61</f>
        <v>2.6898936795008987E-2</v>
      </c>
      <c r="G31" s="4">
        <f>Calculator!BJ61</f>
        <v>2.7193632361305342E-2</v>
      </c>
      <c r="H31" s="4">
        <f>Calculator!BM61</f>
        <v>2.0956471715005698E-3</v>
      </c>
      <c r="I31" s="4">
        <f>Calculator!BN61</f>
        <v>2.9324356197387047E-2</v>
      </c>
      <c r="K31" s="14">
        <f>VLOOKUP($B31,Months!$B$15:$R$113,10)</f>
        <v>82</v>
      </c>
      <c r="M31" s="8">
        <f>VLOOKUP(EOMONTH($B31,-2),Months!$B$15:$R$113,12)</f>
        <v>2743819231.7200003</v>
      </c>
      <c r="N31" s="8">
        <f>VLOOKUP($B31,Months!$B$15:$R$113,13)</f>
        <v>2806670823.7999997</v>
      </c>
      <c r="O31" s="8">
        <f>VLOOKUP(EOMONTH($B31,-2),Months!$B$15:$R$113,14)</f>
        <v>2750334684.2200003</v>
      </c>
      <c r="P31" s="8">
        <f>VLOOKUP($B31,Months!$B$15:$R$113,15)</f>
        <v>2813186276.2999997</v>
      </c>
      <c r="Q31" s="8">
        <f>VLOOKUP(EOMONTH($B31,-2),Months!$B$15:$R$113,16)</f>
        <v>2789234665.8800006</v>
      </c>
      <c r="R31" s="8">
        <f>VLOOKUP($B31,Months!$B$15:$R$113,17)</f>
        <v>2846161993.1600003</v>
      </c>
    </row>
    <row r="32" spans="2:18" x14ac:dyDescent="0.25">
      <c r="B32" s="28">
        <f>Calculator!B64</f>
        <v>42551</v>
      </c>
      <c r="D32" s="4">
        <f>Calculator!BF64</f>
        <v>1.7906569521392246E-2</v>
      </c>
      <c r="E32" s="4">
        <f>Calculator!BG64</f>
        <v>2.6829803013019848E-3</v>
      </c>
      <c r="F32" s="4">
        <f>Calculator!BH64</f>
        <v>2.0621370731771504E-2</v>
      </c>
      <c r="G32" s="4">
        <f>Calculator!BJ64</f>
        <v>2.1360020997628792E-2</v>
      </c>
      <c r="H32" s="4">
        <f>Calculator!BM64</f>
        <v>2.7405158419844255E-3</v>
      </c>
      <c r="I32" s="4">
        <f>Calculator!BN64</f>
        <v>2.4138699145161091E-2</v>
      </c>
      <c r="K32" s="14">
        <f>VLOOKUP($B32,Months!$B$15:$R$113,10)</f>
        <v>90</v>
      </c>
      <c r="M32" s="8">
        <f>VLOOKUP(EOMONTH($B32,-2),Months!$B$15:$R$113,12)</f>
        <v>2806670823.7999997</v>
      </c>
      <c r="N32" s="8">
        <f>VLOOKUP($B32,Months!$B$15:$R$113,13)</f>
        <v>2712595814.8600001</v>
      </c>
      <c r="O32" s="8">
        <f>VLOOKUP(EOMONTH($B32,-2),Months!$B$15:$R$113,14)</f>
        <v>2813186276.2999997</v>
      </c>
      <c r="P32" s="8">
        <f>VLOOKUP($B32,Months!$B$15:$R$113,15)</f>
        <v>2719111267.3600001</v>
      </c>
      <c r="Q32" s="8">
        <f>VLOOKUP(EOMONTH($B32,-2),Months!$B$15:$R$113,16)</f>
        <v>2846161993.1600003</v>
      </c>
      <c r="R32" s="8">
        <f>VLOOKUP($B32,Months!$B$15:$R$113,17)</f>
        <v>2744342098.8800006</v>
      </c>
    </row>
    <row r="33" spans="2:18" x14ac:dyDescent="0.25">
      <c r="B33" s="28">
        <f>Calculator!B67</f>
        <v>42643</v>
      </c>
      <c r="D33" s="4">
        <f>Calculator!BF67</f>
        <v>2.0185401120761393E-2</v>
      </c>
      <c r="E33" s="4">
        <f>Calculator!BG67</f>
        <v>2.5808855082414262E-3</v>
      </c>
      <c r="F33" s="4">
        <f>Calculator!BH67</f>
        <v>2.2800891420964087E-2</v>
      </c>
      <c r="G33" s="4">
        <f>Calculator!BJ67</f>
        <v>2.3066574280536489E-2</v>
      </c>
      <c r="H33" s="4">
        <f>Calculator!BM67</f>
        <v>2.0329684050888197E-3</v>
      </c>
      <c r="I33" s="4">
        <f>Calculator!BN67</f>
        <v>2.512939306814288E-2</v>
      </c>
      <c r="K33" s="14">
        <f>VLOOKUP($B33,Months!$B$15:$R$113,10)</f>
        <v>92</v>
      </c>
      <c r="M33" s="8">
        <f>VLOOKUP(EOMONTH($B33,-2),Months!$B$15:$R$113,12)</f>
        <v>2712595814.8600001</v>
      </c>
      <c r="N33" s="8">
        <f>VLOOKUP($B33,Months!$B$15:$R$113,13)</f>
        <v>2679109521.54</v>
      </c>
      <c r="O33" s="8">
        <f>VLOOKUP(EOMONTH($B33,-2),Months!$B$15:$R$113,14)</f>
        <v>2719111267.3600001</v>
      </c>
      <c r="P33" s="8">
        <f>VLOOKUP($B33,Months!$B$15:$R$113,15)</f>
        <v>2698050922.5300002</v>
      </c>
      <c r="Q33" s="8">
        <f>VLOOKUP(EOMONTH($B33,-2),Months!$B$15:$R$113,16)</f>
        <v>2744342098.8800006</v>
      </c>
      <c r="R33" s="8">
        <f>VLOOKUP($B33,Months!$B$15:$R$113,17)</f>
        <v>2717798016.9100003</v>
      </c>
    </row>
    <row r="34" spans="2:18" x14ac:dyDescent="0.25">
      <c r="B34" s="28">
        <f>Calculator!B70</f>
        <v>42735</v>
      </c>
      <c r="D34" s="4">
        <f>Calculator!BF70</f>
        <v>1.7947974829720215E-2</v>
      </c>
      <c r="E34" s="4">
        <f>Calculator!BG70</f>
        <v>2.5970614916193124E-3</v>
      </c>
      <c r="F34" s="4">
        <f>Calculator!BH70</f>
        <v>2.0576021281682566E-2</v>
      </c>
      <c r="G34" s="4">
        <f>Calculator!BJ70</f>
        <v>2.1536665735918614E-2</v>
      </c>
      <c r="H34" s="4">
        <f>Calculator!BM70</f>
        <v>1.1241055840465197E-3</v>
      </c>
      <c r="I34" s="4">
        <f>Calculator!BN70</f>
        <v>2.2675221085988406E-2</v>
      </c>
      <c r="K34" s="14">
        <f>VLOOKUP($B34,Months!$B$15:$R$113,10)</f>
        <v>92</v>
      </c>
      <c r="M34" s="8">
        <f>VLOOKUP(EOMONTH($B34,-2),Months!$B$15:$R$113,12)</f>
        <v>2679109521.54</v>
      </c>
      <c r="N34" s="8">
        <f>VLOOKUP($B34,Months!$B$15:$R$113,13)</f>
        <v>2746219590.9400005</v>
      </c>
      <c r="O34" s="8">
        <f>VLOOKUP(EOMONTH($B34,-2),Months!$B$15:$R$113,14)</f>
        <v>2698050922.5300002</v>
      </c>
      <c r="P34" s="8">
        <f>VLOOKUP($B34,Months!$B$15:$R$113,15)</f>
        <v>2770532150.2900004</v>
      </c>
      <c r="Q34" s="8">
        <f>VLOOKUP(EOMONTH($B34,-2),Months!$B$15:$R$113,16)</f>
        <v>2717798016.9100003</v>
      </c>
      <c r="R34" s="8">
        <f>VLOOKUP($B34,Months!$B$15:$R$113,17)</f>
        <v>2792117932.1500001</v>
      </c>
    </row>
    <row r="35" spans="2:18" x14ac:dyDescent="0.25">
      <c r="B35" s="28">
        <f>Calculator!B73</f>
        <v>42825</v>
      </c>
      <c r="D35" s="4">
        <f>Calculator!BF73</f>
        <v>1.9212554999425313E-2</v>
      </c>
      <c r="E35" s="4">
        <f>Calculator!BG73</f>
        <v>3.9922599443058537E-3</v>
      </c>
      <c r="F35" s="4">
        <f>Calculator!BH73</f>
        <v>2.3255751169446004E-2</v>
      </c>
      <c r="G35" s="4">
        <f>Calculator!BJ73</f>
        <v>2.4293464606887971E-2</v>
      </c>
      <c r="H35" s="4">
        <f>Calculator!BM73</f>
        <v>2.2855044365188704E-4</v>
      </c>
      <c r="I35" s="4">
        <f>Calculator!BN73</f>
        <v>2.4522034266065917E-2</v>
      </c>
      <c r="K35" s="14">
        <f>VLOOKUP($B35,Months!$B$15:$R$113,10)</f>
        <v>92</v>
      </c>
      <c r="M35" s="8">
        <f>VLOOKUP(EOMONTH($B35,-2),Months!$B$15:$R$113,12)</f>
        <v>2049137315.24</v>
      </c>
      <c r="N35" s="8">
        <f>VLOOKUP($B35,Months!$B$15:$R$113,13)</f>
        <v>2013584584.6800001</v>
      </c>
      <c r="O35" s="8">
        <f>VLOOKUP(EOMONTH($B35,-2),Months!$B$15:$R$113,14)</f>
        <v>2073449874.5900002</v>
      </c>
      <c r="P35" s="8">
        <f>VLOOKUP($B35,Months!$B$15:$R$113,15)</f>
        <v>2068539953.9100001</v>
      </c>
      <c r="Q35" s="8">
        <f>VLOOKUP(EOMONTH($B35,-2),Months!$B$15:$R$113,16)</f>
        <v>2069619084.5500002</v>
      </c>
      <c r="R35" s="8">
        <f>VLOOKUP($B35,Months!$B$15:$R$113,17)</f>
        <v>2064317885.26</v>
      </c>
    </row>
    <row r="36" spans="2:18" x14ac:dyDescent="0.25">
      <c r="B36" s="28">
        <f>Calculator!B76</f>
        <v>42916</v>
      </c>
      <c r="D36" s="4">
        <f>Calculator!BF76</f>
        <v>1.9110268830816679E-2</v>
      </c>
      <c r="E36" s="4">
        <f>Calculator!BG76</f>
        <v>4.1707287687891004E-3</v>
      </c>
      <c r="F36" s="4">
        <f>Calculator!BH76</f>
        <v>2.3333932558986081E-2</v>
      </c>
      <c r="G36" s="4">
        <f>Calculator!BJ76</f>
        <v>2.4581979302211288E-2</v>
      </c>
      <c r="H36" s="4">
        <f>Calculator!BM76</f>
        <v>2.0765453257700628E-3</v>
      </c>
      <c r="I36" s="4">
        <f>Calculator!BN76</f>
        <v>2.6689551088759478E-2</v>
      </c>
      <c r="K36" s="14">
        <f>VLOOKUP($B36,Months!$B$15:$R$113,10)</f>
        <v>99</v>
      </c>
      <c r="M36" s="8">
        <f>VLOOKUP(EOMONTH($B36,-2),Months!$B$15:$R$113,12)</f>
        <v>2013584584.6800001</v>
      </c>
      <c r="N36" s="8">
        <f>VLOOKUP($B36,Months!$B$15:$R$113,13)</f>
        <v>2111553650.1999998</v>
      </c>
      <c r="O36" s="8">
        <f>VLOOKUP(EOMONTH($B36,-2),Months!$B$15:$R$113,14)</f>
        <v>2068539953.9100001</v>
      </c>
      <c r="P36" s="8">
        <f>VLOOKUP($B36,Months!$B$15:$R$113,15)</f>
        <v>2258388427.9900002</v>
      </c>
      <c r="Q36" s="8">
        <f>VLOOKUP(EOMONTH($B36,-2),Months!$B$15:$R$113,16)</f>
        <v>2064317885.26</v>
      </c>
      <c r="R36" s="8">
        <f>VLOOKUP($B36,Months!$B$15:$R$113,17)</f>
        <v>2249987682.3799996</v>
      </c>
    </row>
    <row r="37" spans="2:18" x14ac:dyDescent="0.25">
      <c r="B37" s="28">
        <f>Calculator!B79</f>
        <v>43008</v>
      </c>
      <c r="D37" s="4">
        <f>Calculator!BF79</f>
        <v>2.2393518637299881E-2</v>
      </c>
      <c r="E37" s="4">
        <f>Calculator!BG79</f>
        <v>2.5579262859658503E-3</v>
      </c>
      <c r="F37" s="4">
        <f>Calculator!BH79</f>
        <v>2.4990762765762176E-2</v>
      </c>
      <c r="G37" s="4">
        <f>Calculator!BJ79</f>
        <v>2.7756853053044761E-2</v>
      </c>
      <c r="H37" s="4">
        <f>Calculator!BM79</f>
        <v>-5.7684602617787961E-3</v>
      </c>
      <c r="I37" s="4">
        <f>Calculator!BN79</f>
        <v>2.1886821451827743E-2</v>
      </c>
      <c r="K37" s="14">
        <f>VLOOKUP($B37,Months!$B$15:$R$113,10)</f>
        <v>102</v>
      </c>
      <c r="M37" s="8">
        <f>VLOOKUP(EOMONTH($B37,-2),Months!$B$15:$R$113,12)</f>
        <v>2111553650.1999998</v>
      </c>
      <c r="N37" s="8">
        <f>VLOOKUP($B37,Months!$B$15:$R$113,13)</f>
        <v>2334715399.2299995</v>
      </c>
      <c r="O37" s="8">
        <f>VLOOKUP(EOMONTH($B37,-2),Months!$B$15:$R$113,14)</f>
        <v>2258388427.9900002</v>
      </c>
      <c r="P37" s="8">
        <f>VLOOKUP($B37,Months!$B$15:$R$113,15)</f>
        <v>2590789085.3199992</v>
      </c>
      <c r="Q37" s="8">
        <f>VLOOKUP(EOMONTH($B37,-2),Months!$B$15:$R$113,16)</f>
        <v>2249987682.3799996</v>
      </c>
      <c r="R37" s="8">
        <f>VLOOKUP($B37,Months!$B$15:$R$113,17)</f>
        <v>2595143185.2199993</v>
      </c>
    </row>
    <row r="38" spans="2:18" x14ac:dyDescent="0.25">
      <c r="B38" s="28">
        <f>Calculator!B82</f>
        <v>43100</v>
      </c>
      <c r="D38" s="4">
        <f>Calculator!BF82</f>
        <v>1.9852788647719777E-2</v>
      </c>
      <c r="E38" s="4">
        <f>Calculator!BG82</f>
        <v>1.7133916113922787E-3</v>
      </c>
      <c r="F38" s="4">
        <f>Calculator!BH82</f>
        <v>2.1588811565601107E-2</v>
      </c>
      <c r="G38" s="4">
        <f>Calculator!BJ82</f>
        <v>2.535719899578126E-2</v>
      </c>
      <c r="H38" s="4">
        <f>Calculator!BM82</f>
        <v>-1.2122229576816412E-3</v>
      </c>
      <c r="I38" s="4">
        <f>Calculator!BN82</f>
        <v>2.41150814342459E-2</v>
      </c>
      <c r="K38" s="14">
        <f>VLOOKUP($B38,Months!$B$15:$R$113,10)</f>
        <v>116</v>
      </c>
      <c r="M38" s="8">
        <f>VLOOKUP(EOMONTH($B38,-2),Months!$B$15:$R$113,12)</f>
        <v>2313503288.7799993</v>
      </c>
      <c r="N38" s="8">
        <f>VLOOKUP($B38,Months!$B$15:$R$113,13)</f>
        <v>2738573890.3199997</v>
      </c>
      <c r="O38" s="8">
        <f>VLOOKUP(EOMONTH($B38,-2),Months!$B$15:$R$113,14)</f>
        <v>2569576974.8699994</v>
      </c>
      <c r="P38" s="8">
        <f>VLOOKUP($B38,Months!$B$15:$R$113,15)</f>
        <v>3315181408.749999</v>
      </c>
      <c r="Q38" s="8">
        <f>VLOOKUP(EOMONTH($B38,-2),Months!$B$15:$R$113,16)</f>
        <v>2575143185.2199993</v>
      </c>
      <c r="R38" s="8">
        <f>VLOOKUP($B38,Months!$B$15:$R$113,17)</f>
        <v>3324054459.3500004</v>
      </c>
    </row>
    <row r="39" spans="2:18" x14ac:dyDescent="0.25">
      <c r="B39" s="28">
        <f>Calculator!B85</f>
        <v>43190</v>
      </c>
      <c r="D39" s="4">
        <f>Calculator!BF85</f>
        <v>2.0606718745780128E-2</v>
      </c>
      <c r="E39" s="4">
        <f>Calculator!BG85</f>
        <v>1.6287570257838002E-3</v>
      </c>
      <c r="F39" s="4">
        <f>Calculator!BH85</f>
        <v>2.2257800715451914E-2</v>
      </c>
      <c r="G39" s="4">
        <f>Calculator!BJ85</f>
        <v>2.3894076623070637E-2</v>
      </c>
      <c r="H39" s="4">
        <f>Calculator!BM85</f>
        <v>-7.7763546294096209E-4</v>
      </c>
      <c r="I39" s="4">
        <f>Calculator!BN85</f>
        <v>2.3061407489531005E-2</v>
      </c>
      <c r="K39" s="14">
        <f>VLOOKUP($B39,Months!$B$15:$R$113,10)</f>
        <v>130</v>
      </c>
      <c r="M39" s="8">
        <f>VLOOKUP(EOMONTH($B39,-2),Months!$B$15:$R$113,12)</f>
        <v>2743872251.8499994</v>
      </c>
      <c r="N39" s="8">
        <f>VLOOKUP($B39,Months!$B$15:$R$113,13)</f>
        <v>3022032195.3599997</v>
      </c>
      <c r="O39" s="8">
        <f>VLOOKUP(EOMONTH($B39,-2),Months!$B$15:$R$113,14)</f>
        <v>3320479770.2799993</v>
      </c>
      <c r="P39" s="8">
        <f>VLOOKUP($B39,Months!$B$15:$R$113,15)</f>
        <v>3783419906.3900003</v>
      </c>
      <c r="Q39" s="8">
        <f>VLOOKUP(EOMONTH($B39,-2),Months!$B$15:$R$113,16)</f>
        <v>3329052370.3600001</v>
      </c>
      <c r="R39" s="8">
        <f>VLOOKUP($B39,Months!$B$15:$R$113,17)</f>
        <v>3794109860.750001</v>
      </c>
    </row>
    <row r="40" spans="2:18" x14ac:dyDescent="0.25">
      <c r="B40" s="28">
        <f>Calculator!B88</f>
        <v>43281</v>
      </c>
      <c r="D40" s="4">
        <f>Calculator!BF88</f>
        <v>2.1107138252897339E-2</v>
      </c>
      <c r="E40" s="4">
        <f>Calculator!BG88</f>
        <v>9.8007447450632057E-4</v>
      </c>
      <c r="F40" s="4">
        <f>Calculator!BH88</f>
        <v>2.2101177530893468E-2</v>
      </c>
      <c r="G40" s="4">
        <f>Calculator!BJ88</f>
        <v>2.5541593428684006E-2</v>
      </c>
      <c r="H40" s="4">
        <f>Calculator!BM88</f>
        <v>-1.5297889066012704E-4</v>
      </c>
      <c r="I40" s="4">
        <f>Calculator!BN88</f>
        <v>2.5362355934057002E-2</v>
      </c>
      <c r="K40" s="14">
        <f>VLOOKUP($B40,Months!$B$15:$R$113,10)</f>
        <v>136</v>
      </c>
      <c r="M40" s="8">
        <f>VLOOKUP(EOMONTH($B40,-2),Months!$B$15:$R$113,12)</f>
        <v>3022032195.3599997</v>
      </c>
      <c r="N40" s="8">
        <f>VLOOKUP($B40,Months!$B$15:$R$113,13)</f>
        <v>3487969502.6299992</v>
      </c>
      <c r="O40" s="8">
        <f>VLOOKUP(EOMONTH($B40,-2),Months!$B$15:$R$113,14)</f>
        <v>3783419906.3900003</v>
      </c>
      <c r="P40" s="8">
        <f>VLOOKUP($B40,Months!$B$15:$R$113,15)</f>
        <v>4453763464.8899994</v>
      </c>
      <c r="Q40" s="8">
        <f>VLOOKUP(EOMONTH($B40,-2),Months!$B$15:$R$113,16)</f>
        <v>3794109860.750001</v>
      </c>
      <c r="R40" s="8">
        <f>VLOOKUP($B40,Months!$B$15:$R$113,17)</f>
        <v>4464796795.25</v>
      </c>
    </row>
    <row r="41" spans="2:18" x14ac:dyDescent="0.25">
      <c r="B41" s="28">
        <f>Calculator!B91</f>
        <v>43373</v>
      </c>
      <c r="D41" s="4">
        <f>Calculator!BF91</f>
        <v>2.039839343171157E-2</v>
      </c>
      <c r="E41" s="4">
        <f>Calculator!BG91</f>
        <v>1.5208697993849274E-3</v>
      </c>
      <c r="F41" s="4">
        <f>Calculator!BH91</f>
        <v>2.1939974058276412E-2</v>
      </c>
      <c r="G41" s="4">
        <f>Calculator!BJ91</f>
        <v>2.7148809167167443E-2</v>
      </c>
      <c r="H41" s="4">
        <f>Calculator!BM91</f>
        <v>4.9023006625437127E-4</v>
      </c>
      <c r="I41" s="4">
        <f>Calculator!BN91</f>
        <v>2.7633894365926448E-2</v>
      </c>
      <c r="K41" s="14">
        <f>VLOOKUP($B41,Months!$B$15:$R$113,10)</f>
        <v>144</v>
      </c>
      <c r="M41" s="8">
        <f>VLOOKUP(EOMONTH($B41,-2),Months!$B$15:$R$113,12)</f>
        <v>3487969502.6299992</v>
      </c>
      <c r="N41" s="8">
        <f>VLOOKUP($B41,Months!$B$15:$R$113,13)</f>
        <v>3666968225.1399984</v>
      </c>
      <c r="O41" s="8">
        <f>VLOOKUP(EOMONTH($B41,-2),Months!$B$15:$R$113,14)</f>
        <v>4453763464.8899994</v>
      </c>
      <c r="P41" s="8">
        <f>VLOOKUP($B41,Months!$B$15:$R$113,15)</f>
        <v>4908438862.5299997</v>
      </c>
      <c r="Q41" s="8">
        <f>VLOOKUP(EOMONTH($B41,-2),Months!$B$15:$R$113,16)</f>
        <v>4464796795.25</v>
      </c>
      <c r="R41" s="8">
        <f>VLOOKUP($B41,Months!$B$15:$R$113,17)</f>
        <v>4917443402.0900002</v>
      </c>
    </row>
    <row r="42" spans="2:18" x14ac:dyDescent="0.25">
      <c r="B42" s="28">
        <f>Calculator!B94</f>
        <v>43465</v>
      </c>
      <c r="D42" s="4">
        <f>Calculator!BF94</f>
        <v>2.0829111192139038E-2</v>
      </c>
      <c r="E42" s="4">
        <f>Calculator!BG94</f>
        <v>1.2558723770799141E-3</v>
      </c>
      <c r="F42" s="4">
        <f>Calculator!BH94</f>
        <v>2.2102257804057057E-2</v>
      </c>
      <c r="G42" s="4">
        <f>Calculator!BJ94</f>
        <v>2.3791203544189843E-2</v>
      </c>
      <c r="H42" s="4">
        <f>Calculator!BM94</f>
        <v>-2.8399003365853215E-4</v>
      </c>
      <c r="I42" s="4">
        <f>Calculator!BN94</f>
        <v>2.3493337788483171E-2</v>
      </c>
      <c r="K42" s="14">
        <f>VLOOKUP($B42,Months!$B$15:$R$113,10)</f>
        <v>169</v>
      </c>
      <c r="M42" s="8">
        <f>VLOOKUP(EOMONTH($B42,-2),Months!$B$15:$R$113,12)</f>
        <v>3716974376.9599991</v>
      </c>
      <c r="N42" s="8">
        <f>VLOOKUP($B42,Months!$B$15:$R$113,13)</f>
        <v>4317844362.8000002</v>
      </c>
      <c r="O42" s="8">
        <f>VLOOKUP(EOMONTH($B42,-2),Months!$B$15:$R$113,14)</f>
        <v>4890824103.7399998</v>
      </c>
      <c r="P42" s="8">
        <f>VLOOKUP($B42,Months!$B$15:$R$113,15)</f>
        <v>5933101881.5800028</v>
      </c>
      <c r="Q42" s="8">
        <f>VLOOKUP(EOMONTH($B42,-2),Months!$B$15:$R$113,16)</f>
        <v>4899121915.170001</v>
      </c>
      <c r="R42" s="8">
        <f>VLOOKUP($B42,Months!$B$15:$R$113,17)</f>
        <v>5941697463.2200012</v>
      </c>
    </row>
    <row r="43" spans="2:18" x14ac:dyDescent="0.25">
      <c r="B43" s="28">
        <f>Calculator!B97</f>
        <v>43555</v>
      </c>
      <c r="D43" s="4">
        <f>Calculator!BF97</f>
        <v>1.8131775196214672E-2</v>
      </c>
      <c r="E43" s="4">
        <f>Calculator!BG97</f>
        <v>9.4332519373452328E-4</v>
      </c>
      <c r="F43" s="4">
        <f>Calculator!BH97</f>
        <v>1.9086499474428642E-2</v>
      </c>
      <c r="G43" s="4">
        <f>Calculator!BJ97</f>
        <v>2.0225277936025909E-2</v>
      </c>
      <c r="H43" s="4">
        <f>Calculator!BM97</f>
        <v>-7.6197222783360719E-3</v>
      </c>
      <c r="I43" s="4">
        <f>Calculator!BN97</f>
        <v>1.2491529043327843E-2</v>
      </c>
      <c r="K43" s="14">
        <f>VLOOKUP($B43,Months!$B$15:$R$113,10)</f>
        <v>189</v>
      </c>
      <c r="M43" s="8">
        <f>VLOOKUP(EOMONTH($B43,-2),Months!$B$15:$R$113,12)</f>
        <v>5156867803.8300018</v>
      </c>
      <c r="N43" s="8">
        <f>VLOOKUP($B43,Months!$B$15:$R$113,13)</f>
        <v>5548926000.2900009</v>
      </c>
      <c r="O43" s="8">
        <f>VLOOKUP(EOMONTH($B43,-2),Months!$B$15:$R$113,14)</f>
        <v>6772125322.6100016</v>
      </c>
      <c r="P43" s="8">
        <f>VLOOKUP($B43,Months!$B$15:$R$113,15)</f>
        <v>7533237140.5700006</v>
      </c>
      <c r="Q43" s="8">
        <f>VLOOKUP(EOMONTH($B43,-2),Months!$B$15:$R$113,16)</f>
        <v>6780720904.250001</v>
      </c>
      <c r="R43" s="8">
        <f>VLOOKUP($B43,Months!$B$15:$R$113,17)</f>
        <v>7583528625.3200006</v>
      </c>
    </row>
    <row r="44" spans="2:18" x14ac:dyDescent="0.25">
      <c r="B44" s="28">
        <f>Calculator!B100</f>
        <v>43646</v>
      </c>
      <c r="D44" s="4">
        <f>Calculator!BF100</f>
        <v>1.8401548959904757E-2</v>
      </c>
      <c r="E44" s="4">
        <f>Calculator!BG100</f>
        <v>9.3870914408400452E-4</v>
      </c>
      <c r="F44" s="4">
        <f>Calculator!BH100</f>
        <v>1.9351738908879534E-2</v>
      </c>
      <c r="G44" s="4">
        <f>Calculator!BJ100</f>
        <v>2.0430908874258025E-2</v>
      </c>
      <c r="H44" s="4">
        <f>Calculator!BM100</f>
        <v>-3.1825043001254549E-4</v>
      </c>
      <c r="I44" s="4">
        <f>Calculator!BN100</f>
        <v>2.0100442443387045E-2</v>
      </c>
      <c r="K44" s="14">
        <f>VLOOKUP($B44,Months!$B$15:$R$113,10)</f>
        <v>206</v>
      </c>
      <c r="M44" s="8">
        <f>VLOOKUP(EOMONTH($B44,-2),Months!$B$15:$R$113,12)</f>
        <v>5672957261.6000004</v>
      </c>
      <c r="N44" s="8">
        <f>VLOOKUP($B44,Months!$B$15:$R$113,13)</f>
        <v>5858268968.9899988</v>
      </c>
      <c r="O44" s="8">
        <f>VLOOKUP(EOMONTH($B44,-2),Months!$B$15:$R$113,14)</f>
        <v>7657268401.8800001</v>
      </c>
      <c r="P44" s="8">
        <f>VLOOKUP($B44,Months!$B$15:$R$113,15)</f>
        <v>8140251334.8499975</v>
      </c>
      <c r="Q44" s="8">
        <f>VLOOKUP(EOMONTH($B44,-2),Months!$B$15:$R$113,16)</f>
        <v>7796859660.5099993</v>
      </c>
      <c r="R44" s="8">
        <f>VLOOKUP($B44,Months!$B$15:$R$113,17)</f>
        <v>8282688362.6499996</v>
      </c>
    </row>
    <row r="45" spans="2:18" x14ac:dyDescent="0.25">
      <c r="B45" s="28">
        <f>Calculator!B103</f>
        <v>43738</v>
      </c>
      <c r="D45" s="4">
        <f>Calculator!BF103</f>
        <v>1.6450688253869972E-2</v>
      </c>
      <c r="E45" s="4">
        <f>Calculator!BG103</f>
        <v>1.3966001829857078E-3</v>
      </c>
      <c r="F45" s="4">
        <f>Calculator!BH103</f>
        <v>1.786253842326313E-2</v>
      </c>
      <c r="G45" s="4">
        <f>Calculator!BJ103</f>
        <v>1.8675786111881143E-2</v>
      </c>
      <c r="H45" s="4">
        <f>Calculator!BM103</f>
        <v>2.7749045700153907E-4</v>
      </c>
      <c r="I45" s="4">
        <f>Calculator!BN103</f>
        <v>1.8937972750298515E-2</v>
      </c>
      <c r="K45" s="14">
        <f>VLOOKUP($B45,Months!$B$15:$R$113,10)</f>
        <v>162</v>
      </c>
      <c r="M45" s="8">
        <f>VLOOKUP(EOMONTH($B45,-2),Months!$B$15:$R$113,12)</f>
        <v>5160990739.9899998</v>
      </c>
      <c r="N45" s="8">
        <f>VLOOKUP($B45,Months!$B$15:$R$113,13)</f>
        <v>5511324414.4100008</v>
      </c>
      <c r="O45" s="8">
        <f>VLOOKUP(EOMONTH($B45,-2),Months!$B$15:$R$113,14)</f>
        <v>7442973105.8499975</v>
      </c>
      <c r="P45" s="8">
        <f>VLOOKUP($B45,Months!$B$15:$R$113,15)</f>
        <v>8047845781.8999996</v>
      </c>
      <c r="Q45" s="8">
        <f>VLOOKUP(EOMONTH($B45,-2),Months!$B$15:$R$113,16)</f>
        <v>7630499882.1700001</v>
      </c>
      <c r="R45" s="8">
        <f>VLOOKUP($B45,Months!$B$15:$R$113,17)</f>
        <v>8236124773.920001</v>
      </c>
    </row>
    <row r="46" spans="2:18" x14ac:dyDescent="0.25">
      <c r="B46" s="28">
        <f>Calculator!B106</f>
        <v>43830</v>
      </c>
      <c r="D46" s="4">
        <f>Calculator!BF106</f>
        <v>1.5635836600093711E-2</v>
      </c>
      <c r="E46" s="4">
        <f>Calculator!BG106</f>
        <v>1.4253938198842686E-3</v>
      </c>
      <c r="F46" s="4">
        <f>Calculator!BH106</f>
        <v>1.707612267127212E-2</v>
      </c>
      <c r="G46" s="4">
        <f>Calculator!BJ106</f>
        <v>1.8911108168654156E-2</v>
      </c>
      <c r="H46" s="4">
        <f>Calculator!BM106</f>
        <v>-3.7847748184766106E-3</v>
      </c>
      <c r="I46" s="4">
        <f>Calculator!BN106</f>
        <v>1.5060164750287486E-2</v>
      </c>
      <c r="K46" s="14">
        <f>VLOOKUP($B46,Months!$B$15:$R$113,10)</f>
        <v>159</v>
      </c>
      <c r="M46" s="8">
        <f>VLOOKUP(EOMONTH($B46,-2),Months!$B$15:$R$113,12)</f>
        <v>5311174361.1599989</v>
      </c>
      <c r="N46" s="8">
        <f>VLOOKUP($B46,Months!$B$15:$R$113,13)</f>
        <v>5998331649.6100016</v>
      </c>
      <c r="O46" s="8">
        <f>VLOOKUP(EOMONTH($B46,-2),Months!$B$15:$R$113,14)</f>
        <v>7847695728.6500015</v>
      </c>
      <c r="P46" s="8">
        <f>VLOOKUP($B46,Months!$B$15:$R$113,15)</f>
        <v>9032847979.7900028</v>
      </c>
      <c r="Q46" s="8">
        <f>VLOOKUP(EOMONTH($B46,-2),Months!$B$15:$R$113,16)</f>
        <v>7903193689.3700018</v>
      </c>
      <c r="R46" s="8">
        <f>VLOOKUP($B46,Months!$B$15:$R$113,17)</f>
        <v>9110873609.2700024</v>
      </c>
    </row>
    <row r="47" spans="2:18" x14ac:dyDescent="0.25">
      <c r="B47" s="28">
        <f>Calculator!B109</f>
        <v>43921</v>
      </c>
      <c r="D47" s="4">
        <f>Calculator!BF109</f>
        <v>1.5301739797908942E-2</v>
      </c>
      <c r="E47" s="4">
        <f>Calculator!BG109</f>
        <v>1.1800064003175681E-3</v>
      </c>
      <c r="F47" s="4">
        <f>Calculator!BH109</f>
        <v>1.6493750280342834E-2</v>
      </c>
      <c r="G47" s="4">
        <f>Calculator!BJ109</f>
        <v>1.7839939290425821E-2</v>
      </c>
      <c r="H47" s="4">
        <f>Calculator!BM109</f>
        <v>-1.1125046240639813E-2</v>
      </c>
      <c r="I47" s="4">
        <f>Calculator!BN109</f>
        <v>6.5611528377231831E-3</v>
      </c>
      <c r="K47" s="14">
        <f>VLOOKUP($B47,Months!$B$15:$R$113,10)</f>
        <v>164</v>
      </c>
      <c r="M47" s="8">
        <f>VLOOKUP(EOMONTH($B47,-2),Months!$B$15:$R$113,12)</f>
        <v>6463152496.8500013</v>
      </c>
      <c r="N47" s="8">
        <f>VLOOKUP($B47,Months!$B$15:$R$113,13)</f>
        <v>6376782092.7400007</v>
      </c>
      <c r="O47" s="8">
        <f>VLOOKUP(EOMONTH($B47,-2),Months!$B$15:$R$113,14)</f>
        <v>9497668827.0300026</v>
      </c>
      <c r="P47" s="8">
        <f>VLOOKUP($B47,Months!$B$15:$R$113,15)</f>
        <v>9223759738.3500004</v>
      </c>
      <c r="Q47" s="8">
        <f>VLOOKUP(EOMONTH($B47,-2),Months!$B$15:$R$113,16)</f>
        <v>9575694456.5100021</v>
      </c>
      <c r="R47" s="8">
        <f>VLOOKUP($B47,Months!$B$15:$R$113,17)</f>
        <v>9343093926.1600018</v>
      </c>
    </row>
    <row r="48" spans="2:18" x14ac:dyDescent="0.25">
      <c r="B48" s="28">
        <f>Calculator!B112</f>
        <v>44012</v>
      </c>
      <c r="D48" s="4">
        <f>Calculator!BF112</f>
        <v>1.5384527169117757E-2</v>
      </c>
      <c r="E48" s="4">
        <f>Calculator!BG112</f>
        <v>1.3457270561552104E-3</v>
      </c>
      <c r="F48" s="4">
        <f>Calculator!BH112</f>
        <v>1.6744015984857752E-2</v>
      </c>
      <c r="G48" s="4">
        <f>Calculator!BJ112</f>
        <v>1.6993237414360207E-2</v>
      </c>
      <c r="H48" s="4">
        <f>Calculator!BM112</f>
        <v>1.8811113067873642E-4</v>
      </c>
      <c r="I48" s="4">
        <f>Calculator!BN112</f>
        <v>1.7164479828955415E-2</v>
      </c>
      <c r="K48" s="14">
        <f>VLOOKUP($B48,Months!$B$15:$R$116,10)</f>
        <v>163</v>
      </c>
      <c r="M48" s="8">
        <f>VLOOKUP(EOMONTH($B48,-2),Months!$B$15:$R$116,12)</f>
        <v>6376782092.7400007</v>
      </c>
      <c r="N48" s="8">
        <f>VLOOKUP($B48,Months!$B$15:$R$116,13)</f>
        <v>6700524746.4800034</v>
      </c>
      <c r="O48" s="8">
        <f>VLOOKUP(EOMONTH($B48,-2),Months!$B$15:$R$116,14)</f>
        <v>9223759738.3500004</v>
      </c>
      <c r="P48" s="8">
        <f>VLOOKUP($B48,Months!$B$15:$R$116,15)</f>
        <v>9506830421.9199982</v>
      </c>
      <c r="Q48" s="8">
        <f>VLOOKUP(EOMONTH($B48,-2),Months!$B$15:$R$116,16)</f>
        <v>9343093926.1600018</v>
      </c>
      <c r="R48" s="8">
        <f>VLOOKUP($B48,Months!$B$15:$R$116,17)</f>
        <v>9586331115.0000019</v>
      </c>
    </row>
    <row r="49" spans="2:18" x14ac:dyDescent="0.25">
      <c r="B49" s="28">
        <f>Calculator!B115</f>
        <v>44104</v>
      </c>
      <c r="D49" s="4">
        <f>Calculator!BF115</f>
        <v>1.5301444155624955E-2</v>
      </c>
      <c r="E49" s="4">
        <f>Calculator!BG115</f>
        <v>1.3022187441973365E-3</v>
      </c>
      <c r="F49" s="4">
        <f>Calculator!BH115</f>
        <v>1.6616907460303754E-2</v>
      </c>
      <c r="G49" s="4">
        <f>Calculator!BJ115</f>
        <v>1.6748049966264889E-2</v>
      </c>
      <c r="H49" s="4">
        <f>Calculator!BM115</f>
        <v>-1.1269592553003749E-2</v>
      </c>
      <c r="I49" s="4">
        <f>Calculator!BN115</f>
        <v>5.3335395626350479E-3</v>
      </c>
      <c r="K49" s="14">
        <f>VLOOKUP($B49,Months!$B$15:$R$119,10)</f>
        <v>164</v>
      </c>
      <c r="M49" s="8">
        <f>VLOOKUP(EOMONTH($B49,-2),Months!$B$15:$R$119,12)</f>
        <v>6700524746.4800034</v>
      </c>
      <c r="N49" s="8">
        <f>VLOOKUP($B49,Months!$B$15:$R$119,13)</f>
        <v>6766174406.0099974</v>
      </c>
      <c r="O49" s="8">
        <f>VLOOKUP(EOMONTH($B49,-2),Months!$B$15:$R$119,14)</f>
        <v>9506830421.9199982</v>
      </c>
      <c r="P49" s="8">
        <f>VLOOKUP($B49,Months!$B$15:$R$119,15)</f>
        <v>9568692597.7200012</v>
      </c>
      <c r="Q49" s="8">
        <f>VLOOKUP(EOMONTH($B49,-2),Months!$B$15:$R$119,16)</f>
        <v>9586331115.0000019</v>
      </c>
      <c r="R49" s="8">
        <f>VLOOKUP($B49,Months!$B$15:$R$119,17)</f>
        <v>9688881804.3400002</v>
      </c>
    </row>
    <row r="50" spans="2:18" x14ac:dyDescent="0.25">
      <c r="B50" s="28"/>
    </row>
    <row r="51" spans="2:18" x14ac:dyDescent="0.25">
      <c r="B51" s="28"/>
      <c r="D51" s="28" t="s">
        <v>169</v>
      </c>
      <c r="E51" s="28"/>
      <c r="F51" s="28"/>
    </row>
    <row r="52" spans="2:18" x14ac:dyDescent="0.25">
      <c r="B52" s="28"/>
    </row>
    <row r="53" spans="2:18" x14ac:dyDescent="0.25">
      <c r="B53" s="28"/>
    </row>
    <row r="54" spans="2:18" x14ac:dyDescent="0.25">
      <c r="B54" s="28"/>
    </row>
    <row r="55" spans="2:18" x14ac:dyDescent="0.25">
      <c r="B55" s="28"/>
    </row>
    <row r="56" spans="2:18" x14ac:dyDescent="0.25">
      <c r="B56" s="28"/>
    </row>
    <row r="57" spans="2:18" x14ac:dyDescent="0.25">
      <c r="B57" s="28"/>
    </row>
    <row r="58" spans="2:18" x14ac:dyDescent="0.25">
      <c r="B58" s="28"/>
    </row>
    <row r="59" spans="2:18" x14ac:dyDescent="0.25">
      <c r="B59" s="28"/>
    </row>
    <row r="60" spans="2:18" x14ac:dyDescent="0.25">
      <c r="B60" s="28"/>
    </row>
    <row r="61" spans="2:18" x14ac:dyDescent="0.25">
      <c r="B61" s="28"/>
    </row>
    <row r="62" spans="2:18" x14ac:dyDescent="0.25">
      <c r="B62" s="28"/>
    </row>
    <row r="63" spans="2:18" x14ac:dyDescent="0.25">
      <c r="B63" s="28"/>
    </row>
    <row r="64" spans="2:18" x14ac:dyDescent="0.25">
      <c r="B64" s="28"/>
    </row>
    <row r="65" spans="2:2" x14ac:dyDescent="0.25">
      <c r="B65" s="28"/>
    </row>
    <row r="66" spans="2:2" x14ac:dyDescent="0.25">
      <c r="B66" s="28"/>
    </row>
    <row r="67" spans="2:2" x14ac:dyDescent="0.25">
      <c r="B67" s="28"/>
    </row>
    <row r="68" spans="2:2" x14ac:dyDescent="0.25">
      <c r="B68" s="28"/>
    </row>
    <row r="69" spans="2:2" x14ac:dyDescent="0.25">
      <c r="B69" s="28"/>
    </row>
    <row r="70" spans="2:2" x14ac:dyDescent="0.25">
      <c r="B70" s="28"/>
    </row>
    <row r="71" spans="2:2" x14ac:dyDescent="0.25">
      <c r="B71" s="28"/>
    </row>
    <row r="72" spans="2:2" x14ac:dyDescent="0.25">
      <c r="B72" s="28"/>
    </row>
    <row r="73" spans="2:2" x14ac:dyDescent="0.25">
      <c r="B73" s="28"/>
    </row>
    <row r="74" spans="2:2" x14ac:dyDescent="0.25">
      <c r="B74" s="28"/>
    </row>
    <row r="75" spans="2:2" x14ac:dyDescent="0.25">
      <c r="B75" s="28"/>
    </row>
    <row r="76" spans="2:2" x14ac:dyDescent="0.25">
      <c r="B76" s="28"/>
    </row>
    <row r="77" spans="2:2" x14ac:dyDescent="0.25">
      <c r="B77" s="28"/>
    </row>
    <row r="78" spans="2:2" x14ac:dyDescent="0.25">
      <c r="B78" s="28"/>
    </row>
    <row r="79" spans="2:2" x14ac:dyDescent="0.25">
      <c r="B79" s="28"/>
    </row>
    <row r="80" spans="2:2" x14ac:dyDescent="0.25">
      <c r="B80" s="28"/>
    </row>
    <row r="81" spans="2:2" x14ac:dyDescent="0.25">
      <c r="B81" s="28"/>
    </row>
    <row r="82" spans="2:2" x14ac:dyDescent="0.25">
      <c r="B82" s="28"/>
    </row>
    <row r="83" spans="2:2" x14ac:dyDescent="0.25">
      <c r="B83" s="28"/>
    </row>
    <row r="84" spans="2:2" x14ac:dyDescent="0.25">
      <c r="B84" s="28"/>
    </row>
    <row r="85" spans="2:2" x14ac:dyDescent="0.25">
      <c r="B85" s="28"/>
    </row>
    <row r="86" spans="2:2" x14ac:dyDescent="0.25">
      <c r="B86" s="28"/>
    </row>
    <row r="87" spans="2:2" x14ac:dyDescent="0.25">
      <c r="B87" s="28"/>
    </row>
    <row r="88" spans="2:2" x14ac:dyDescent="0.25">
      <c r="B88" s="28"/>
    </row>
    <row r="89" spans="2:2" x14ac:dyDescent="0.25">
      <c r="B89" s="28"/>
    </row>
    <row r="90" spans="2:2" x14ac:dyDescent="0.25">
      <c r="B90" s="28"/>
    </row>
    <row r="91" spans="2:2" x14ac:dyDescent="0.25">
      <c r="B91" s="28"/>
    </row>
    <row r="92" spans="2:2" x14ac:dyDescent="0.25">
      <c r="B92" s="28"/>
    </row>
    <row r="93" spans="2:2" x14ac:dyDescent="0.25">
      <c r="B93" s="28"/>
    </row>
  </sheetData>
  <mergeCells count="11">
    <mergeCell ref="A1:R1"/>
    <mergeCell ref="B2:G2"/>
    <mergeCell ref="D12:I12"/>
    <mergeCell ref="M12:R12"/>
    <mergeCell ref="B4:I4"/>
    <mergeCell ref="B5:I5"/>
    <mergeCell ref="B6:I6"/>
    <mergeCell ref="B7:I7"/>
    <mergeCell ref="B8:I8"/>
    <mergeCell ref="B9:I9"/>
    <mergeCell ref="B10:I10"/>
  </mergeCells>
  <hyperlinks>
    <hyperlink ref="B2" location="PT!A1" display="Back to selection criteria" xr:uid="{1F1E0108-CB4D-46BD-B0E2-38B1A5657D29}"/>
    <hyperlink ref="B2:G2" location="Selector!A1" display="Back to selection criteria" xr:uid="{6093249E-977E-4989-A1DA-8E05FB2114F4}"/>
  </hyperlinks>
  <pageMargins left="0.7" right="0.7" top="0.75" bottom="0.75" header="0.3" footer="0.3"/>
  <ignoredErrors>
    <ignoredError xmlns:x16r3="http://schemas.microsoft.com/office/spreadsheetml/2018/08/main" sqref="B15:B47 B48:B49" x16r3:misleadingFormat="1"/>
    <ignoredError sqref="D15:R36"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67E5E-080A-4542-A6E7-41A5CABE46BD}">
  <sheetPr codeName="Sheet8"/>
  <dimension ref="B2:N139"/>
  <sheetViews>
    <sheetView workbookViewId="0">
      <selection activeCell="C21" sqref="C21"/>
    </sheetView>
  </sheetViews>
  <sheetFormatPr defaultRowHeight="15" x14ac:dyDescent="0.25"/>
  <cols>
    <col min="2" max="2" width="17" bestFit="1" customWidth="1"/>
    <col min="3" max="3" width="19" bestFit="1" customWidth="1"/>
    <col min="4" max="4" width="18.5703125" bestFit="1" customWidth="1"/>
    <col min="5" max="5" width="19.5703125" bestFit="1" customWidth="1"/>
    <col min="6" max="6" width="16" bestFit="1" customWidth="1"/>
    <col min="7" max="7" width="22.42578125" bestFit="1" customWidth="1"/>
    <col min="8" max="8" width="21.85546875" bestFit="1" customWidth="1"/>
    <col min="9" max="9" width="17" bestFit="1" customWidth="1"/>
    <col min="10" max="10" width="16.140625" style="4" bestFit="1" customWidth="1"/>
    <col min="11" max="11" width="19.7109375" bestFit="1" customWidth="1"/>
    <col min="12" max="12" width="18.85546875" bestFit="1" customWidth="1"/>
    <col min="13" max="13" width="15.85546875" bestFit="1" customWidth="1"/>
    <col min="14" max="17" width="15" bestFit="1" customWidth="1"/>
  </cols>
  <sheetData>
    <row r="2" spans="2:14" x14ac:dyDescent="0.25">
      <c r="B2" s="9" t="s">
        <v>43</v>
      </c>
      <c r="C2" t="s" vm="2">
        <v>132</v>
      </c>
    </row>
    <row r="3" spans="2:14" x14ac:dyDescent="0.25">
      <c r="B3" s="9" t="s">
        <v>34</v>
      </c>
      <c r="C3" t="s" vm="1">
        <v>132</v>
      </c>
    </row>
    <row r="4" spans="2:14" x14ac:dyDescent="0.25">
      <c r="B4" s="9" t="s">
        <v>61</v>
      </c>
      <c r="C4" t="s" vm="5">
        <v>132</v>
      </c>
    </row>
    <row r="5" spans="2:14" x14ac:dyDescent="0.25">
      <c r="B5" s="9" t="s">
        <v>62</v>
      </c>
      <c r="C5" t="s" vm="3">
        <v>132</v>
      </c>
    </row>
    <row r="6" spans="2:14" x14ac:dyDescent="0.25">
      <c r="B6" s="9" t="s">
        <v>63</v>
      </c>
      <c r="C6" t="s" vm="4">
        <v>132</v>
      </c>
    </row>
    <row r="8" spans="2:14" x14ac:dyDescent="0.25">
      <c r="B8" s="9" t="s">
        <v>15</v>
      </c>
      <c r="C8" t="s">
        <v>128</v>
      </c>
      <c r="D8" t="s">
        <v>129</v>
      </c>
      <c r="E8" t="s">
        <v>130</v>
      </c>
      <c r="F8" t="s">
        <v>16</v>
      </c>
      <c r="G8" t="s">
        <v>244</v>
      </c>
      <c r="H8" t="s">
        <v>131</v>
      </c>
      <c r="I8" t="s">
        <v>153</v>
      </c>
      <c r="J8" t="s">
        <v>154</v>
      </c>
      <c r="K8" t="s">
        <v>155</v>
      </c>
      <c r="L8" t="s">
        <v>156</v>
      </c>
      <c r="M8" t="s">
        <v>161</v>
      </c>
      <c r="N8" t="s">
        <v>162</v>
      </c>
    </row>
    <row r="9" spans="2:14" x14ac:dyDescent="0.25">
      <c r="B9" s="10">
        <v>20100131</v>
      </c>
      <c r="C9" s="13">
        <v>6376141.3199999994</v>
      </c>
      <c r="D9" s="13">
        <v>0</v>
      </c>
      <c r="E9" s="13">
        <v>768529.55</v>
      </c>
      <c r="F9" s="13">
        <v>-5473.4899999999989</v>
      </c>
      <c r="G9" s="13">
        <v>-33505518.010000002</v>
      </c>
      <c r="H9" s="13">
        <v>34769778.909999996</v>
      </c>
      <c r="I9" s="13">
        <v>1989920150.4499998</v>
      </c>
      <c r="J9" s="13">
        <v>2018152011.6200001</v>
      </c>
      <c r="K9" s="13">
        <v>2223271757.8499999</v>
      </c>
      <c r="L9" s="13">
        <v>2222046316.0799994</v>
      </c>
      <c r="M9" s="13">
        <v>1989920150.4499998</v>
      </c>
      <c r="N9" s="13">
        <v>2018152011.6200001</v>
      </c>
    </row>
    <row r="10" spans="2:14" x14ac:dyDescent="0.25">
      <c r="B10" s="10">
        <v>20100228</v>
      </c>
      <c r="C10" s="13">
        <v>7062002.5999999996</v>
      </c>
      <c r="D10" s="13">
        <v>0</v>
      </c>
      <c r="E10" s="13">
        <v>504924.39</v>
      </c>
      <c r="F10" s="13">
        <v>-5446.2800000000007</v>
      </c>
      <c r="G10" s="13">
        <v>-55112069.270000003</v>
      </c>
      <c r="H10" s="13">
        <v>664907.41999999993</v>
      </c>
      <c r="I10" s="13">
        <v>2018152011.6200001</v>
      </c>
      <c r="J10" s="13">
        <v>2086161794.6199994</v>
      </c>
      <c r="K10" s="13">
        <v>2222046316.0799994</v>
      </c>
      <c r="L10" s="13">
        <v>2276532312.04</v>
      </c>
      <c r="M10" s="13">
        <v>2018152011.6200001</v>
      </c>
      <c r="N10" s="13">
        <v>2086161794.6199994</v>
      </c>
    </row>
    <row r="11" spans="2:14" x14ac:dyDescent="0.25">
      <c r="B11" s="10">
        <v>20100331</v>
      </c>
      <c r="C11" s="13">
        <v>10839053.410000002</v>
      </c>
      <c r="D11" s="13">
        <v>0</v>
      </c>
      <c r="E11" s="13">
        <v>298603.67</v>
      </c>
      <c r="F11" s="13">
        <v>-5045.96</v>
      </c>
      <c r="G11" s="13">
        <v>-14602872.720000001</v>
      </c>
      <c r="H11" s="13">
        <v>99575104.610000029</v>
      </c>
      <c r="I11" s="13">
        <v>2086161794.6199994</v>
      </c>
      <c r="J11" s="13">
        <v>2044426890.1899991</v>
      </c>
      <c r="K11" s="13">
        <v>2276532312.04</v>
      </c>
      <c r="L11" s="13">
        <v>2191593040.54</v>
      </c>
      <c r="M11" s="13">
        <v>2086161794.6199994</v>
      </c>
      <c r="N11" s="13">
        <v>2044426890.1899991</v>
      </c>
    </row>
    <row r="12" spans="2:14" x14ac:dyDescent="0.25">
      <c r="B12" s="10">
        <v>20100430</v>
      </c>
      <c r="C12" s="13">
        <v>6531263.6600000011</v>
      </c>
      <c r="D12" s="13">
        <v>0</v>
      </c>
      <c r="E12" s="13">
        <v>0</v>
      </c>
      <c r="F12" s="13">
        <v>-5454.4899999999989</v>
      </c>
      <c r="G12" s="13">
        <v>0</v>
      </c>
      <c r="H12" s="13">
        <v>1026897.6900000002</v>
      </c>
      <c r="I12" s="13">
        <v>2044426890.1899991</v>
      </c>
      <c r="J12" s="13">
        <v>2081119757.76</v>
      </c>
      <c r="K12" s="13">
        <v>2191593040.54</v>
      </c>
      <c r="L12" s="13">
        <v>2190599118.4200001</v>
      </c>
      <c r="M12" s="13">
        <v>2044426890.1899991</v>
      </c>
      <c r="N12" s="13">
        <v>2081119757.76</v>
      </c>
    </row>
    <row r="13" spans="2:14" x14ac:dyDescent="0.25">
      <c r="B13" s="10">
        <v>20100531</v>
      </c>
      <c r="C13" s="13">
        <v>6053523.1399999987</v>
      </c>
      <c r="D13" s="13">
        <v>0</v>
      </c>
      <c r="E13" s="13">
        <v>0</v>
      </c>
      <c r="F13" s="13">
        <v>-5303.1500000000015</v>
      </c>
      <c r="G13" s="13">
        <v>0</v>
      </c>
      <c r="H13" s="13">
        <v>55772175.379999995</v>
      </c>
      <c r="I13" s="13">
        <v>2081119757.76</v>
      </c>
      <c r="J13" s="13">
        <v>2049597583.4300003</v>
      </c>
      <c r="K13" s="13">
        <v>2190599118.4200001</v>
      </c>
      <c r="L13" s="13">
        <v>2134859942.6399996</v>
      </c>
      <c r="M13" s="13">
        <v>2081119757.76</v>
      </c>
      <c r="N13" s="13">
        <v>2049597583.4300003</v>
      </c>
    </row>
    <row r="14" spans="2:14" x14ac:dyDescent="0.25">
      <c r="B14" s="10">
        <v>20100630</v>
      </c>
      <c r="C14" s="13">
        <v>6227541.2300000004</v>
      </c>
      <c r="D14" s="13">
        <v>0</v>
      </c>
      <c r="E14" s="13">
        <v>0</v>
      </c>
      <c r="F14" s="13">
        <v>-5619.9299999999994</v>
      </c>
      <c r="G14" s="13">
        <v>0</v>
      </c>
      <c r="H14" s="13">
        <v>986127.3600000001</v>
      </c>
      <c r="I14" s="13">
        <v>2049597583.4300003</v>
      </c>
      <c r="J14" s="13">
        <v>2055480126.9899995</v>
      </c>
      <c r="K14" s="13">
        <v>2134859942.6399996</v>
      </c>
      <c r="L14" s="13">
        <v>2133906830.1799998</v>
      </c>
      <c r="M14" s="13">
        <v>2049597583.4300003</v>
      </c>
      <c r="N14" s="13">
        <v>2055480126.9899995</v>
      </c>
    </row>
    <row r="15" spans="2:14" x14ac:dyDescent="0.25">
      <c r="B15" s="10">
        <v>20100731</v>
      </c>
      <c r="C15" s="13">
        <v>5748436.5899999989</v>
      </c>
      <c r="D15" s="13">
        <v>0</v>
      </c>
      <c r="E15" s="13">
        <v>499927.08</v>
      </c>
      <c r="F15" s="13">
        <v>-4065.7000000000007</v>
      </c>
      <c r="G15" s="13">
        <v>0</v>
      </c>
      <c r="H15" s="13">
        <v>806997.9800000001</v>
      </c>
      <c r="I15" s="13">
        <v>2055480126.9899995</v>
      </c>
      <c r="J15" s="13">
        <v>2024618737.5299997</v>
      </c>
      <c r="K15" s="13">
        <v>2133906830.1799998</v>
      </c>
      <c r="L15" s="13">
        <v>2133132871.3699996</v>
      </c>
      <c r="M15" s="13">
        <v>2055480126.9899995</v>
      </c>
      <c r="N15" s="13">
        <v>2024618737.5299997</v>
      </c>
    </row>
    <row r="16" spans="2:14" x14ac:dyDescent="0.25">
      <c r="B16" s="10">
        <v>20100831</v>
      </c>
      <c r="C16" s="13">
        <v>7608274.4800000014</v>
      </c>
      <c r="D16" s="13">
        <v>0</v>
      </c>
      <c r="E16" s="13">
        <v>13653.4</v>
      </c>
      <c r="F16" s="13">
        <v>-90928.430000000022</v>
      </c>
      <c r="G16" s="13">
        <v>-35000000</v>
      </c>
      <c r="H16" s="13">
        <v>840159.14999999991</v>
      </c>
      <c r="I16" s="13">
        <v>2024618737.5299997</v>
      </c>
      <c r="J16" s="13">
        <v>1991563536.3900003</v>
      </c>
      <c r="K16" s="13">
        <v>2133132871.3699996</v>
      </c>
      <c r="L16" s="13">
        <v>2167325766.71</v>
      </c>
      <c r="M16" s="13">
        <v>2024618737.5299997</v>
      </c>
      <c r="N16" s="13">
        <v>1991563536.3900003</v>
      </c>
    </row>
    <row r="17" spans="2:14" x14ac:dyDescent="0.25">
      <c r="B17" s="10">
        <v>20100930</v>
      </c>
      <c r="C17" s="13">
        <v>6761831.8099999996</v>
      </c>
      <c r="D17" s="13">
        <v>0</v>
      </c>
      <c r="E17" s="13">
        <v>0</v>
      </c>
      <c r="F17" s="13">
        <v>-14929.47</v>
      </c>
      <c r="G17" s="13">
        <v>0</v>
      </c>
      <c r="H17" s="13">
        <v>779235.9800000001</v>
      </c>
      <c r="I17" s="13">
        <v>1991563536.3900003</v>
      </c>
      <c r="J17" s="13">
        <v>2000889412.6000001</v>
      </c>
      <c r="K17" s="13">
        <v>2167325766.71</v>
      </c>
      <c r="L17" s="13">
        <v>2166667217.9799995</v>
      </c>
      <c r="M17" s="13">
        <v>1991563536.3900003</v>
      </c>
      <c r="N17" s="13">
        <v>2000889412.6000001</v>
      </c>
    </row>
    <row r="18" spans="2:14" x14ac:dyDescent="0.25">
      <c r="B18" s="10">
        <v>20101031</v>
      </c>
      <c r="C18" s="13">
        <v>6527445.3199999994</v>
      </c>
      <c r="D18" s="13">
        <v>1328.64</v>
      </c>
      <c r="E18" s="13">
        <v>150000</v>
      </c>
      <c r="F18" s="13">
        <v>-29630.12000000001</v>
      </c>
      <c r="G18" s="13">
        <v>-1062913.25</v>
      </c>
      <c r="H18" s="13">
        <v>865734.77000000014</v>
      </c>
      <c r="I18" s="13">
        <v>2000889412.6000001</v>
      </c>
      <c r="J18" s="13">
        <v>2015873042.4800003</v>
      </c>
      <c r="K18" s="13">
        <v>2166667217.9799995</v>
      </c>
      <c r="L18" s="13">
        <v>2166872342.2499995</v>
      </c>
      <c r="M18" s="13">
        <v>2000889412.6000001</v>
      </c>
      <c r="N18" s="13">
        <v>2015873042.4800003</v>
      </c>
    </row>
    <row r="19" spans="2:14" x14ac:dyDescent="0.25">
      <c r="B19" s="10">
        <v>20101130</v>
      </c>
      <c r="C19" s="13">
        <v>6298981.6099999994</v>
      </c>
      <c r="D19" s="13">
        <v>13303.02</v>
      </c>
      <c r="E19" s="13">
        <v>0</v>
      </c>
      <c r="F19" s="13">
        <v>-4149.16</v>
      </c>
      <c r="G19" s="13">
        <v>-6000000</v>
      </c>
      <c r="H19" s="13">
        <v>11943281.449999999</v>
      </c>
      <c r="I19" s="13">
        <v>2015873042.4800003</v>
      </c>
      <c r="J19" s="13">
        <v>2023374619.51</v>
      </c>
      <c r="K19" s="13">
        <v>2166872342.2499995</v>
      </c>
      <c r="L19" s="13">
        <v>2160948988.9100003</v>
      </c>
      <c r="M19" s="13">
        <v>2015873042.4800003</v>
      </c>
      <c r="N19" s="13">
        <v>2023374619.51</v>
      </c>
    </row>
    <row r="20" spans="2:14" x14ac:dyDescent="0.25">
      <c r="B20" s="10">
        <v>20101231</v>
      </c>
      <c r="C20" s="13">
        <v>6099538.1199999992</v>
      </c>
      <c r="D20" s="13">
        <v>18733.71</v>
      </c>
      <c r="E20" s="13">
        <v>222096.12</v>
      </c>
      <c r="F20" s="13">
        <v>-3951.2500000000005</v>
      </c>
      <c r="G20" s="13">
        <v>-259189307.58999997</v>
      </c>
      <c r="H20" s="13">
        <v>264782714</v>
      </c>
      <c r="I20" s="13">
        <v>2023374619.51</v>
      </c>
      <c r="J20" s="13">
        <v>2061797186.9399998</v>
      </c>
      <c r="K20" s="13">
        <v>2160948988.9100003</v>
      </c>
      <c r="L20" s="13">
        <v>2155380949.23</v>
      </c>
      <c r="M20" s="13">
        <v>2023374619.51</v>
      </c>
      <c r="N20" s="13">
        <v>2061797186.9399998</v>
      </c>
    </row>
    <row r="21" spans="2:14" x14ac:dyDescent="0.25">
      <c r="B21" s="10">
        <v>20110131</v>
      </c>
      <c r="C21" s="13">
        <v>6378676.9899999993</v>
      </c>
      <c r="D21" s="13">
        <v>25420.04</v>
      </c>
      <c r="E21" s="13">
        <v>3548</v>
      </c>
      <c r="F21" s="13">
        <v>-61392</v>
      </c>
      <c r="G21" s="13">
        <v>-1861213.62</v>
      </c>
      <c r="H21" s="13">
        <v>23383855.379999999</v>
      </c>
      <c r="I21" s="13">
        <v>2061797186.9399998</v>
      </c>
      <c r="J21" s="13">
        <v>2055898414.22</v>
      </c>
      <c r="K21" s="13">
        <v>2155380949.23</v>
      </c>
      <c r="L21" s="13">
        <v>2133888777.8699994</v>
      </c>
      <c r="M21" s="13">
        <v>2061797186.9399998</v>
      </c>
      <c r="N21" s="13">
        <v>2055898414.22</v>
      </c>
    </row>
    <row r="22" spans="2:14" x14ac:dyDescent="0.25">
      <c r="B22" s="10">
        <v>20110228</v>
      </c>
      <c r="C22" s="13">
        <v>6616743.5999999996</v>
      </c>
      <c r="D22" s="13">
        <v>38234.82</v>
      </c>
      <c r="E22" s="13">
        <v>0</v>
      </c>
      <c r="F22" s="13">
        <v>-3722</v>
      </c>
      <c r="G22" s="13">
        <v>-8077406.1200000001</v>
      </c>
      <c r="H22" s="13">
        <v>130722117.79000001</v>
      </c>
      <c r="I22" s="13">
        <v>2055898414.22</v>
      </c>
      <c r="J22" s="13">
        <v>1927775312.1600001</v>
      </c>
      <c r="K22" s="13">
        <v>2133888777.8699994</v>
      </c>
      <c r="L22" s="13">
        <v>2011345809.53</v>
      </c>
      <c r="M22" s="13">
        <v>2055898414.22</v>
      </c>
      <c r="N22" s="13">
        <v>1927775312.1600001</v>
      </c>
    </row>
    <row r="23" spans="2:14" x14ac:dyDescent="0.25">
      <c r="B23" s="10">
        <v>20110331</v>
      </c>
      <c r="C23" s="13">
        <v>5423464.4900000002</v>
      </c>
      <c r="D23" s="13">
        <v>38712.75</v>
      </c>
      <c r="E23" s="13">
        <v>0</v>
      </c>
      <c r="F23" s="13">
        <v>-3279</v>
      </c>
      <c r="G23" s="13">
        <v>-3386561.1500000004</v>
      </c>
      <c r="H23" s="13">
        <v>1330349.3400000001</v>
      </c>
      <c r="I23" s="13">
        <v>1927775312.1600001</v>
      </c>
      <c r="J23" s="13">
        <v>1931255108.0599999</v>
      </c>
      <c r="K23" s="13">
        <v>2011345809.53</v>
      </c>
      <c r="L23" s="13">
        <v>2013444143.8199997</v>
      </c>
      <c r="M23" s="13">
        <v>1927775312.1600001</v>
      </c>
      <c r="N23" s="13">
        <v>1931255108.0599999</v>
      </c>
    </row>
    <row r="24" spans="2:14" x14ac:dyDescent="0.25">
      <c r="B24" s="10">
        <v>20110430</v>
      </c>
      <c r="C24" s="13">
        <v>5899302.0899999999</v>
      </c>
      <c r="D24" s="13">
        <v>39196.660000000003</v>
      </c>
      <c r="E24" s="13">
        <v>0</v>
      </c>
      <c r="F24" s="13">
        <v>-72415</v>
      </c>
      <c r="G24" s="13">
        <v>-1303551.68</v>
      </c>
      <c r="H24" s="13">
        <v>33401340.710000005</v>
      </c>
      <c r="I24" s="13">
        <v>1931255108.0599999</v>
      </c>
      <c r="J24" s="13">
        <v>1901009443.4000001</v>
      </c>
      <c r="K24" s="13">
        <v>2013444143.8199997</v>
      </c>
      <c r="L24" s="13">
        <v>1981388962.0799999</v>
      </c>
      <c r="M24" s="13">
        <v>1931255108.0599999</v>
      </c>
      <c r="N24" s="13">
        <v>1901009443.4000001</v>
      </c>
    </row>
    <row r="25" spans="2:14" x14ac:dyDescent="0.25">
      <c r="B25" s="10">
        <v>20110531</v>
      </c>
      <c r="C25" s="13">
        <v>5597031.7299999995</v>
      </c>
      <c r="D25" s="13">
        <v>39686.620000000003</v>
      </c>
      <c r="E25" s="13">
        <v>0</v>
      </c>
      <c r="F25" s="13">
        <v>-1023444</v>
      </c>
      <c r="G25" s="13">
        <v>-3656389.68</v>
      </c>
      <c r="H25" s="13">
        <v>182212380.59999999</v>
      </c>
      <c r="I25" s="13">
        <v>1901009443.4000001</v>
      </c>
      <c r="J25" s="13">
        <v>1717371745.7</v>
      </c>
      <c r="K25" s="13">
        <v>1981388962.0799999</v>
      </c>
      <c r="L25" s="13">
        <v>1802876069.4400001</v>
      </c>
      <c r="M25" s="13">
        <v>1901009443.4000001</v>
      </c>
      <c r="N25" s="13">
        <v>1717371745.7</v>
      </c>
    </row>
    <row r="26" spans="2:14" x14ac:dyDescent="0.25">
      <c r="B26" s="10">
        <v>20110630</v>
      </c>
      <c r="C26" s="13">
        <v>6360133.7999999998</v>
      </c>
      <c r="D26" s="13">
        <v>40182.699999999997</v>
      </c>
      <c r="E26" s="13">
        <v>0</v>
      </c>
      <c r="F26" s="13">
        <v>-707678</v>
      </c>
      <c r="G26" s="13">
        <v>-5920521.1099999994</v>
      </c>
      <c r="H26" s="13">
        <v>16657946.91</v>
      </c>
      <c r="I26" s="13">
        <v>1717371745.7</v>
      </c>
      <c r="J26" s="13">
        <v>1715949569.51</v>
      </c>
      <c r="K26" s="13">
        <v>1802876069.4400001</v>
      </c>
      <c r="L26" s="13">
        <v>1792182238.8899999</v>
      </c>
      <c r="M26" s="13">
        <v>1717371745.7</v>
      </c>
      <c r="N26" s="13">
        <v>1715949569.51</v>
      </c>
    </row>
    <row r="27" spans="2:14" x14ac:dyDescent="0.25">
      <c r="B27" s="10">
        <v>20110731</v>
      </c>
      <c r="C27" s="13">
        <v>4877490.9399999995</v>
      </c>
      <c r="D27" s="13">
        <v>54584.99</v>
      </c>
      <c r="E27" s="13">
        <v>761927</v>
      </c>
      <c r="F27" s="13">
        <v>-5129</v>
      </c>
      <c r="G27" s="13">
        <v>-8035611.3700000001</v>
      </c>
      <c r="H27" s="13">
        <v>14362952.880000001</v>
      </c>
      <c r="I27" s="13">
        <v>1715949569.51</v>
      </c>
      <c r="J27" s="13">
        <v>1706051253.8699999</v>
      </c>
      <c r="K27" s="13">
        <v>1792182238.8899999</v>
      </c>
      <c r="L27" s="13">
        <v>1785912895.8899999</v>
      </c>
      <c r="M27" s="13">
        <v>1715949569.51</v>
      </c>
      <c r="N27" s="13">
        <v>1706051253.8699999</v>
      </c>
    </row>
    <row r="28" spans="2:14" x14ac:dyDescent="0.25">
      <c r="B28" s="10">
        <v>20110831</v>
      </c>
      <c r="C28" s="13">
        <v>5026134.75</v>
      </c>
      <c r="D28" s="13">
        <v>22958.5</v>
      </c>
      <c r="E28" s="13">
        <v>0</v>
      </c>
      <c r="F28" s="13">
        <v>-4957</v>
      </c>
      <c r="G28" s="13">
        <v>-103694212</v>
      </c>
      <c r="H28" s="13">
        <v>209841937.75</v>
      </c>
      <c r="I28" s="13">
        <v>1706051253.8699999</v>
      </c>
      <c r="J28" s="13">
        <v>1596688805.3699999</v>
      </c>
      <c r="K28" s="13">
        <v>1785912895.8899999</v>
      </c>
      <c r="L28" s="13">
        <v>1679773028.2099998</v>
      </c>
      <c r="M28" s="13">
        <v>1706051253.8699999</v>
      </c>
      <c r="N28" s="13">
        <v>1596688805.3699999</v>
      </c>
    </row>
    <row r="29" spans="2:14" x14ac:dyDescent="0.25">
      <c r="B29" s="10">
        <v>20110930</v>
      </c>
      <c r="C29" s="13">
        <v>12802745.42</v>
      </c>
      <c r="D29" s="13">
        <v>23302.880000000001</v>
      </c>
      <c r="E29" s="13">
        <v>157429.98000000001</v>
      </c>
      <c r="F29" s="13">
        <v>-5335</v>
      </c>
      <c r="G29" s="13">
        <v>-3713150.6399999997</v>
      </c>
      <c r="H29" s="13">
        <v>69807778.11999999</v>
      </c>
      <c r="I29" s="13">
        <v>1596688805.3699999</v>
      </c>
      <c r="J29" s="13">
        <v>1519788176.8900001</v>
      </c>
      <c r="K29" s="13">
        <v>1679773028.2099998</v>
      </c>
      <c r="L29" s="13">
        <v>1613706107.8400004</v>
      </c>
      <c r="M29" s="13">
        <v>1596688805.3699999</v>
      </c>
      <c r="N29" s="13">
        <v>1519788176.8900001</v>
      </c>
    </row>
    <row r="30" spans="2:14" x14ac:dyDescent="0.25">
      <c r="B30" s="10">
        <v>20111031</v>
      </c>
      <c r="C30" s="13">
        <v>5152121.2700000005</v>
      </c>
      <c r="D30" s="13">
        <v>28219.460000000003</v>
      </c>
      <c r="E30" s="13">
        <v>286740</v>
      </c>
      <c r="F30" s="13">
        <v>-5108</v>
      </c>
      <c r="G30" s="13">
        <v>-6554129.2299999995</v>
      </c>
      <c r="H30" s="13">
        <v>846359.48</v>
      </c>
      <c r="I30" s="13">
        <v>1519788176.8900001</v>
      </c>
      <c r="J30" s="13">
        <v>1533318885.5799999</v>
      </c>
      <c r="K30" s="13">
        <v>1613706107.8400004</v>
      </c>
      <c r="L30" s="13">
        <v>1619444338.1299999</v>
      </c>
      <c r="M30" s="13">
        <v>1519788176.8900001</v>
      </c>
      <c r="N30" s="13">
        <v>1533318885.5799999</v>
      </c>
    </row>
    <row r="31" spans="2:14" x14ac:dyDescent="0.25">
      <c r="B31" s="10">
        <v>20111130</v>
      </c>
      <c r="C31" s="13">
        <v>5311085.3</v>
      </c>
      <c r="D31" s="13">
        <v>748247.15</v>
      </c>
      <c r="E31" s="13">
        <v>0</v>
      </c>
      <c r="F31" s="13">
        <v>-5257</v>
      </c>
      <c r="G31" s="13">
        <v>-6748687.6899999995</v>
      </c>
      <c r="H31" s="13">
        <v>20213812.709999997</v>
      </c>
      <c r="I31" s="13">
        <v>1533318885.5799999</v>
      </c>
      <c r="J31" s="13">
        <v>1521495733.3499999</v>
      </c>
      <c r="K31" s="13">
        <v>1619444338.1299999</v>
      </c>
      <c r="L31" s="13">
        <v>1606018444.5899999</v>
      </c>
      <c r="M31" s="13">
        <v>1533318885.5799999</v>
      </c>
      <c r="N31" s="13">
        <v>1521495733.3499999</v>
      </c>
    </row>
    <row r="32" spans="2:14" x14ac:dyDescent="0.25">
      <c r="B32" s="10">
        <v>20111231</v>
      </c>
      <c r="C32" s="13">
        <v>8441458.2300000004</v>
      </c>
      <c r="D32" s="13">
        <v>41015.120000000003</v>
      </c>
      <c r="E32" s="13">
        <v>97500</v>
      </c>
      <c r="F32" s="13">
        <v>-5102</v>
      </c>
      <c r="G32" s="13">
        <v>-34550130.380000003</v>
      </c>
      <c r="H32" s="13">
        <v>964467.67999999982</v>
      </c>
      <c r="I32" s="13">
        <v>1521495733.3499999</v>
      </c>
      <c r="J32" s="13">
        <v>1562081630.8499999</v>
      </c>
      <c r="K32" s="13">
        <v>1606018444.5899999</v>
      </c>
      <c r="L32" s="13">
        <v>1639647365.3700001</v>
      </c>
      <c r="M32" s="13">
        <v>1521495733.3499999</v>
      </c>
      <c r="N32" s="13">
        <v>1562081630.8499999</v>
      </c>
    </row>
    <row r="33" spans="2:14" x14ac:dyDescent="0.25">
      <c r="B33" s="10">
        <v>20120131</v>
      </c>
      <c r="C33" s="13">
        <v>5119157.6500000004</v>
      </c>
      <c r="D33" s="13">
        <v>66275.33</v>
      </c>
      <c r="E33" s="13">
        <v>105000</v>
      </c>
      <c r="F33" s="13">
        <v>-5181.5399999999991</v>
      </c>
      <c r="G33" s="13">
        <v>-6953193.8699999992</v>
      </c>
      <c r="H33" s="13">
        <v>860732.72</v>
      </c>
      <c r="I33" s="13">
        <v>1541327174.8499999</v>
      </c>
      <c r="J33" s="13">
        <v>1550926291.2</v>
      </c>
      <c r="K33" s="13">
        <v>1620125593.6500001</v>
      </c>
      <c r="L33" s="13">
        <v>1626296317.4299996</v>
      </c>
      <c r="M33" s="13">
        <v>1541327174.8499999</v>
      </c>
      <c r="N33" s="13">
        <v>1550926291.2</v>
      </c>
    </row>
    <row r="34" spans="2:14" x14ac:dyDescent="0.25">
      <c r="B34" s="10">
        <v>20120229</v>
      </c>
      <c r="C34" s="13">
        <v>5761359.5899999999</v>
      </c>
      <c r="D34" s="13">
        <v>90719.37</v>
      </c>
      <c r="E34" s="13">
        <v>0</v>
      </c>
      <c r="F34" s="13">
        <v>-5176.96</v>
      </c>
      <c r="G34" s="13">
        <v>-76837873.850000024</v>
      </c>
      <c r="H34" s="13">
        <v>689151.23999999987</v>
      </c>
      <c r="I34" s="13">
        <v>1550926291.2</v>
      </c>
      <c r="J34" s="13">
        <v>1630859984.2899995</v>
      </c>
      <c r="K34" s="13">
        <v>1626296317.4299996</v>
      </c>
      <c r="L34" s="13">
        <v>1702535963.52</v>
      </c>
      <c r="M34" s="13">
        <v>1550926291.2</v>
      </c>
      <c r="N34" s="13">
        <v>1630859984.2899995</v>
      </c>
    </row>
    <row r="35" spans="2:14" x14ac:dyDescent="0.25">
      <c r="B35" s="10">
        <v>20120331</v>
      </c>
      <c r="C35" s="13">
        <v>5563536.870000001</v>
      </c>
      <c r="D35" s="13">
        <v>118674.84999999998</v>
      </c>
      <c r="E35" s="13">
        <v>504361.5</v>
      </c>
      <c r="F35" s="13">
        <v>-4866.1499999999996</v>
      </c>
      <c r="G35" s="13">
        <v>-10704196.789999999</v>
      </c>
      <c r="H35" s="13">
        <v>3505180.11</v>
      </c>
      <c r="I35" s="13">
        <v>1630859984.2899995</v>
      </c>
      <c r="J35" s="13">
        <v>1637939996.3699996</v>
      </c>
      <c r="K35" s="13">
        <v>1702535963.52</v>
      </c>
      <c r="L35" s="13">
        <v>1709853859.1500001</v>
      </c>
      <c r="M35" s="13">
        <v>1630859984.2899995</v>
      </c>
      <c r="N35" s="13">
        <v>1637939996.3699996</v>
      </c>
    </row>
    <row r="36" spans="2:14" x14ac:dyDescent="0.25">
      <c r="B36" s="10">
        <v>20120430</v>
      </c>
      <c r="C36" s="13">
        <v>7082048.5099999998</v>
      </c>
      <c r="D36" s="13">
        <v>149980.22</v>
      </c>
      <c r="E36" s="13">
        <v>0</v>
      </c>
      <c r="F36" s="13">
        <v>-5161.72</v>
      </c>
      <c r="G36" s="13">
        <v>-22068426.850000001</v>
      </c>
      <c r="H36" s="13">
        <v>3243609.4800000004</v>
      </c>
      <c r="I36" s="13">
        <v>1637939996.3699996</v>
      </c>
      <c r="J36" s="13">
        <v>1653440448.4999995</v>
      </c>
      <c r="K36" s="13">
        <v>1709853859.1500001</v>
      </c>
      <c r="L36" s="13">
        <v>1728828860.6699996</v>
      </c>
      <c r="M36" s="13">
        <v>1637939996.3699996</v>
      </c>
      <c r="N36" s="13">
        <v>1653440448.4999995</v>
      </c>
    </row>
    <row r="37" spans="2:14" x14ac:dyDescent="0.25">
      <c r="B37" s="10">
        <v>20120531</v>
      </c>
      <c r="C37" s="13">
        <v>6441860.5799999982</v>
      </c>
      <c r="D37" s="13">
        <v>164837.04999999999</v>
      </c>
      <c r="E37" s="13">
        <v>0</v>
      </c>
      <c r="F37" s="13">
        <v>-4996.68</v>
      </c>
      <c r="G37" s="13">
        <v>-206646907.94999999</v>
      </c>
      <c r="H37" s="13">
        <v>200703637.59000003</v>
      </c>
      <c r="I37" s="13">
        <v>1653440448.4999995</v>
      </c>
      <c r="J37" s="13">
        <v>1678828007.7299998</v>
      </c>
      <c r="K37" s="13">
        <v>1728828860.6699996</v>
      </c>
      <c r="L37" s="13">
        <v>1734937172.1999998</v>
      </c>
      <c r="M37" s="13">
        <v>1653440448.4999995</v>
      </c>
      <c r="N37" s="13">
        <v>1678828007.7299998</v>
      </c>
    </row>
    <row r="38" spans="2:14" x14ac:dyDescent="0.25">
      <c r="B38" s="10">
        <v>20120630</v>
      </c>
      <c r="C38" s="13">
        <v>7828483.6100000013</v>
      </c>
      <c r="D38" s="13">
        <v>179886.82</v>
      </c>
      <c r="E38" s="13">
        <v>0</v>
      </c>
      <c r="F38" s="13">
        <v>-5147.46</v>
      </c>
      <c r="G38" s="13">
        <v>-25111696.120000001</v>
      </c>
      <c r="H38" s="13">
        <v>62549028.369999997</v>
      </c>
      <c r="I38" s="13">
        <v>1678828007.7299998</v>
      </c>
      <c r="J38" s="13">
        <v>1641086594.97</v>
      </c>
      <c r="K38" s="13">
        <v>1734937172.1999998</v>
      </c>
      <c r="L38" s="13">
        <v>1697679930.7899995</v>
      </c>
      <c r="M38" s="13">
        <v>1678828007.7299998</v>
      </c>
      <c r="N38" s="13">
        <v>1641086594.97</v>
      </c>
    </row>
    <row r="39" spans="2:14" x14ac:dyDescent="0.25">
      <c r="B39" s="10">
        <v>20120731</v>
      </c>
      <c r="C39" s="13">
        <v>6813964.4200000009</v>
      </c>
      <c r="D39" s="13">
        <v>207170.31</v>
      </c>
      <c r="E39" s="13">
        <v>568819.49</v>
      </c>
      <c r="F39" s="13">
        <v>-4989.53</v>
      </c>
      <c r="G39" s="13">
        <v>-146786150.87</v>
      </c>
      <c r="H39" s="13">
        <v>738451.32</v>
      </c>
      <c r="I39" s="13">
        <v>1641086594.97</v>
      </c>
      <c r="J39" s="13">
        <v>1790792863.1500003</v>
      </c>
      <c r="K39" s="13">
        <v>1697679930.7899995</v>
      </c>
      <c r="L39" s="13">
        <v>1843935004.78</v>
      </c>
      <c r="M39" s="13">
        <v>1641086594.97</v>
      </c>
      <c r="N39" s="13">
        <v>1790792863.1500003</v>
      </c>
    </row>
    <row r="40" spans="2:14" x14ac:dyDescent="0.25">
      <c r="B40" s="10">
        <v>20120831</v>
      </c>
      <c r="C40" s="13">
        <v>10177381.159999998</v>
      </c>
      <c r="D40" s="13">
        <v>234826.66000000003</v>
      </c>
      <c r="E40" s="13">
        <v>222942.78</v>
      </c>
      <c r="F40" s="13">
        <v>-5108.8099999999995</v>
      </c>
      <c r="G40" s="13">
        <v>-4349435.78</v>
      </c>
      <c r="H40" s="13">
        <v>21881400.670000006</v>
      </c>
      <c r="I40" s="13">
        <v>1790792863.1500003</v>
      </c>
      <c r="J40" s="13">
        <v>1785285112.1799998</v>
      </c>
      <c r="K40" s="13">
        <v>1843935004.78</v>
      </c>
      <c r="L40" s="13">
        <v>1826633626.2099996</v>
      </c>
      <c r="M40" s="13">
        <v>1790792863.1500003</v>
      </c>
      <c r="N40" s="13">
        <v>1785285112.1799998</v>
      </c>
    </row>
    <row r="41" spans="2:14" x14ac:dyDescent="0.25">
      <c r="B41" s="10">
        <v>20120930</v>
      </c>
      <c r="C41" s="13">
        <v>9451484.0500000007</v>
      </c>
      <c r="D41" s="13">
        <v>43312.129999999983</v>
      </c>
      <c r="E41" s="13">
        <v>674500</v>
      </c>
      <c r="F41" s="13">
        <v>-5108.9699999999993</v>
      </c>
      <c r="G41" s="13">
        <v>-255979919.81</v>
      </c>
      <c r="H41" s="13">
        <v>195605302.75</v>
      </c>
      <c r="I41" s="13">
        <v>1785285112.1799998</v>
      </c>
      <c r="J41" s="13">
        <v>1830593798.27</v>
      </c>
      <c r="K41" s="13">
        <v>1826633626.2099996</v>
      </c>
      <c r="L41" s="13">
        <v>1887051759.4699996</v>
      </c>
      <c r="M41" s="13">
        <v>1785285112.1799998</v>
      </c>
      <c r="N41" s="13">
        <v>1830593798.27</v>
      </c>
    </row>
    <row r="42" spans="2:14" x14ac:dyDescent="0.25">
      <c r="B42" s="10">
        <v>20121031</v>
      </c>
      <c r="C42" s="13">
        <v>8966605.3100000005</v>
      </c>
      <c r="D42" s="13">
        <v>256429.26000000004</v>
      </c>
      <c r="E42" s="13">
        <v>970000</v>
      </c>
      <c r="F42" s="13">
        <v>-4954.51</v>
      </c>
      <c r="G42" s="13">
        <v>-82584476.920000002</v>
      </c>
      <c r="H42" s="13">
        <v>14158272.100000001</v>
      </c>
      <c r="I42" s="13">
        <v>1830593798.27</v>
      </c>
      <c r="J42" s="13">
        <v>1900434852.8</v>
      </c>
      <c r="K42" s="13">
        <v>1887051759.4699996</v>
      </c>
      <c r="L42" s="13">
        <v>1955734597.5999997</v>
      </c>
      <c r="M42" s="13">
        <v>1830593798.27</v>
      </c>
      <c r="N42" s="13">
        <v>1900434852.8</v>
      </c>
    </row>
    <row r="43" spans="2:14" x14ac:dyDescent="0.25">
      <c r="B43" s="10">
        <v>20121130</v>
      </c>
      <c r="C43" s="13">
        <v>9706435.9400000032</v>
      </c>
      <c r="D43" s="13">
        <v>292698.07</v>
      </c>
      <c r="E43" s="13">
        <v>2005397.79</v>
      </c>
      <c r="F43" s="13">
        <v>-5072.5600000000004</v>
      </c>
      <c r="G43" s="13">
        <v>-67390448.439999998</v>
      </c>
      <c r="H43" s="13">
        <v>30996492.66</v>
      </c>
      <c r="I43" s="13">
        <v>1900434852.8</v>
      </c>
      <c r="J43" s="13">
        <v>1940229425.4499998</v>
      </c>
      <c r="K43" s="13">
        <v>1955734597.5999997</v>
      </c>
      <c r="L43" s="13">
        <v>1992421455.5199995</v>
      </c>
      <c r="M43" s="13">
        <v>1900434852.8</v>
      </c>
      <c r="N43" s="13">
        <v>1940229425.4499998</v>
      </c>
    </row>
    <row r="44" spans="2:14" x14ac:dyDescent="0.25">
      <c r="B44" s="10">
        <v>20121231</v>
      </c>
      <c r="C44" s="13">
        <v>16761173.220000001</v>
      </c>
      <c r="D44" s="13">
        <v>434416.46</v>
      </c>
      <c r="E44" s="13">
        <v>2126519.9699999997</v>
      </c>
      <c r="F44" s="13">
        <v>-3829.7000000000003</v>
      </c>
      <c r="G44" s="13">
        <v>-161810686.23000002</v>
      </c>
      <c r="H44" s="13">
        <v>28922647.789999999</v>
      </c>
      <c r="I44" s="13">
        <v>1940229425.4499998</v>
      </c>
      <c r="J44" s="13">
        <v>2076898838.9499998</v>
      </c>
      <c r="K44" s="13">
        <v>1992421455.5199995</v>
      </c>
      <c r="L44" s="13">
        <v>2125744114.4999998</v>
      </c>
      <c r="M44" s="13">
        <v>1940229425.4499998</v>
      </c>
      <c r="N44" s="13">
        <v>2076898838.9499998</v>
      </c>
    </row>
    <row r="45" spans="2:14" x14ac:dyDescent="0.25">
      <c r="B45" s="10">
        <v>20130131</v>
      </c>
      <c r="C45" s="13">
        <v>8809807.9100000001</v>
      </c>
      <c r="D45" s="13">
        <v>483813.40999999992</v>
      </c>
      <c r="E45" s="13">
        <v>147175.6</v>
      </c>
      <c r="F45" s="13">
        <v>-3942.0200000000004</v>
      </c>
      <c r="G45" s="13">
        <v>-69902060.829999998</v>
      </c>
      <c r="H45" s="13">
        <v>2349983.2400000002</v>
      </c>
      <c r="I45" s="13">
        <v>2076898838.9499998</v>
      </c>
      <c r="J45" s="13">
        <v>2142527754.1699998</v>
      </c>
      <c r="K45" s="13">
        <v>2125744114.4999998</v>
      </c>
      <c r="L45" s="13">
        <v>2193780209.5899997</v>
      </c>
      <c r="M45" s="13">
        <v>2076898838.9499998</v>
      </c>
      <c r="N45" s="13">
        <v>2142527754.1699998</v>
      </c>
    </row>
    <row r="46" spans="2:14" x14ac:dyDescent="0.25">
      <c r="B46" s="10">
        <v>20130228</v>
      </c>
      <c r="C46" s="13">
        <v>12946852.889999999</v>
      </c>
      <c r="D46" s="13">
        <v>524777.55999999994</v>
      </c>
      <c r="E46" s="13">
        <v>1289994.4100000001</v>
      </c>
      <c r="F46" s="13">
        <v>-128533.42</v>
      </c>
      <c r="G46" s="13">
        <v>-9161698.7699999996</v>
      </c>
      <c r="H46" s="13">
        <v>120838054.18999998</v>
      </c>
      <c r="I46" s="13">
        <v>2142527754.1699998</v>
      </c>
      <c r="J46" s="13">
        <v>2037244407.1499999</v>
      </c>
      <c r="K46" s="13">
        <v>2193780209.5899997</v>
      </c>
      <c r="L46" s="13">
        <v>2082628835.78</v>
      </c>
      <c r="M46" s="13">
        <v>2142527754.1699998</v>
      </c>
      <c r="N46" s="13">
        <v>2037244407.1499999</v>
      </c>
    </row>
    <row r="47" spans="2:14" x14ac:dyDescent="0.25">
      <c r="B47" s="10">
        <v>20130331</v>
      </c>
      <c r="C47" s="13">
        <v>9862458.7000000011</v>
      </c>
      <c r="D47" s="13">
        <v>407578.79999999993</v>
      </c>
      <c r="E47" s="13">
        <v>487500</v>
      </c>
      <c r="F47" s="13">
        <v>-4070.0799999999995</v>
      </c>
      <c r="G47" s="13">
        <v>-98417637.169999987</v>
      </c>
      <c r="H47" s="13">
        <v>18578096.649999999</v>
      </c>
      <c r="I47" s="13">
        <v>2037244407.1499999</v>
      </c>
      <c r="J47" s="13">
        <v>2130136282.6000001</v>
      </c>
      <c r="K47" s="13">
        <v>2082628835.79</v>
      </c>
      <c r="L47" s="13">
        <v>2162875301.5599995</v>
      </c>
      <c r="M47" s="13">
        <v>2037244407.1499999</v>
      </c>
      <c r="N47" s="13">
        <v>2130136282.6000001</v>
      </c>
    </row>
    <row r="48" spans="2:14" x14ac:dyDescent="0.25">
      <c r="B48" s="10">
        <v>20130430</v>
      </c>
      <c r="C48" s="13">
        <v>11283519.640000001</v>
      </c>
      <c r="D48" s="13">
        <v>455918.66</v>
      </c>
      <c r="E48" s="13">
        <v>2500</v>
      </c>
      <c r="F48" s="13">
        <v>-3900.72</v>
      </c>
      <c r="G48" s="13">
        <v>-64244179.910000004</v>
      </c>
      <c r="H48" s="13">
        <v>68391763.090000004</v>
      </c>
      <c r="I48" s="13">
        <v>2130136282.6000001</v>
      </c>
      <c r="J48" s="13">
        <v>2144297787.04</v>
      </c>
      <c r="K48" s="13">
        <v>2162875301.5599995</v>
      </c>
      <c r="L48" s="13">
        <v>2177407901.0599999</v>
      </c>
      <c r="M48" s="13">
        <v>2130136282.6000001</v>
      </c>
      <c r="N48" s="13">
        <v>2126074585.04</v>
      </c>
    </row>
    <row r="49" spans="2:14" x14ac:dyDescent="0.25">
      <c r="B49" s="10">
        <v>20130531</v>
      </c>
      <c r="C49" s="13">
        <v>17147051.350000001</v>
      </c>
      <c r="D49" s="13">
        <v>581980.14</v>
      </c>
      <c r="E49" s="13">
        <v>301311.35999999999</v>
      </c>
      <c r="F49" s="13">
        <v>-4312.6900000000005</v>
      </c>
      <c r="G49" s="13">
        <v>-16766097.229999999</v>
      </c>
      <c r="H49" s="13">
        <v>74932421.719999999</v>
      </c>
      <c r="I49" s="13">
        <v>2144297787.04</v>
      </c>
      <c r="J49" s="13">
        <v>2082606142.71</v>
      </c>
      <c r="K49" s="13">
        <v>2177407901.0599999</v>
      </c>
      <c r="L49" s="13">
        <v>2119760846.7499998</v>
      </c>
      <c r="M49" s="13">
        <v>2126074585.04</v>
      </c>
      <c r="N49" s="13">
        <v>2064382940.71</v>
      </c>
    </row>
    <row r="50" spans="2:14" x14ac:dyDescent="0.25">
      <c r="B50" s="10">
        <v>20130630</v>
      </c>
      <c r="C50" s="13">
        <v>10857469.209999999</v>
      </c>
      <c r="D50" s="13">
        <v>474604.93</v>
      </c>
      <c r="E50" s="13">
        <v>346000</v>
      </c>
      <c r="F50" s="13">
        <v>-3309.8300000000004</v>
      </c>
      <c r="G50" s="13">
        <v>-57617451.620000005</v>
      </c>
      <c r="H50" s="13">
        <v>8108056.3400000008</v>
      </c>
      <c r="I50" s="13">
        <v>2082606142.71</v>
      </c>
      <c r="J50" s="13">
        <v>2133103468.9199998</v>
      </c>
      <c r="K50" s="13">
        <v>2119760846.7499998</v>
      </c>
      <c r="L50" s="13">
        <v>2169745051.0599999</v>
      </c>
      <c r="M50" s="13">
        <v>2064382940.71</v>
      </c>
      <c r="N50" s="13">
        <v>2114880266.9199998</v>
      </c>
    </row>
    <row r="51" spans="2:14" x14ac:dyDescent="0.25">
      <c r="B51" s="10">
        <v>20130731</v>
      </c>
      <c r="C51" s="13">
        <v>12722385.140000002</v>
      </c>
      <c r="D51" s="13">
        <v>672707.1100000001</v>
      </c>
      <c r="E51" s="13">
        <v>1775940.05</v>
      </c>
      <c r="F51" s="13">
        <v>-50643.49</v>
      </c>
      <c r="G51" s="13">
        <v>-79105335.639999986</v>
      </c>
      <c r="H51" s="13">
        <v>36452424.339999989</v>
      </c>
      <c r="I51" s="13">
        <v>2133103468.9199998</v>
      </c>
      <c r="J51" s="13">
        <v>2175316780.5299997</v>
      </c>
      <c r="K51" s="13">
        <v>2169745051.0599999</v>
      </c>
      <c r="L51" s="13">
        <v>2213070873.5999994</v>
      </c>
      <c r="M51" s="13">
        <v>2114880266.9199998</v>
      </c>
      <c r="N51" s="13">
        <v>2157093578.5299993</v>
      </c>
    </row>
    <row r="52" spans="2:14" x14ac:dyDescent="0.25">
      <c r="B52" s="10">
        <v>20130831</v>
      </c>
      <c r="C52" s="13">
        <v>13648260.509999998</v>
      </c>
      <c r="D52" s="13">
        <v>474579.03</v>
      </c>
      <c r="E52" s="13">
        <v>337500</v>
      </c>
      <c r="F52" s="13">
        <v>-4416.07</v>
      </c>
      <c r="G52" s="13">
        <v>-90764967.829999998</v>
      </c>
      <c r="H52" s="13">
        <v>8211584.7899999991</v>
      </c>
      <c r="I52" s="13">
        <v>2175316780.5299997</v>
      </c>
      <c r="J52" s="13">
        <v>2258079305.0899997</v>
      </c>
      <c r="K52" s="13">
        <v>2213070873.5999994</v>
      </c>
      <c r="L52" s="13">
        <v>2296099039.7599993</v>
      </c>
      <c r="M52" s="13">
        <v>2157093578.5299993</v>
      </c>
      <c r="N52" s="13">
        <v>2239856103.0899997</v>
      </c>
    </row>
    <row r="53" spans="2:14" x14ac:dyDescent="0.25">
      <c r="B53" s="10">
        <v>20130930</v>
      </c>
      <c r="C53" s="13">
        <v>12038521.509999996</v>
      </c>
      <c r="D53" s="13">
        <v>741853.94000000006</v>
      </c>
      <c r="E53" s="13">
        <v>0</v>
      </c>
      <c r="F53" s="13">
        <v>-4421.0499999999993</v>
      </c>
      <c r="G53" s="13">
        <v>-78020779.439999998</v>
      </c>
      <c r="H53" s="13">
        <v>6602720.6000000006</v>
      </c>
      <c r="I53" s="13">
        <v>2258079305.0899997</v>
      </c>
      <c r="J53" s="13">
        <v>2328624594.8200002</v>
      </c>
      <c r="K53" s="13">
        <v>2296099039.7599993</v>
      </c>
      <c r="L53" s="13">
        <v>2368259156.5500002</v>
      </c>
      <c r="M53" s="13">
        <v>2239856103.0899997</v>
      </c>
      <c r="N53" s="13">
        <v>2310401392.8200002</v>
      </c>
    </row>
    <row r="54" spans="2:14" x14ac:dyDescent="0.25">
      <c r="B54" s="10">
        <v>20131031</v>
      </c>
      <c r="C54" s="13">
        <v>13015683.82</v>
      </c>
      <c r="D54" s="13">
        <v>660210.59000000008</v>
      </c>
      <c r="E54" s="13">
        <v>90000</v>
      </c>
      <c r="F54" s="13">
        <v>-4272.6900000000005</v>
      </c>
      <c r="G54" s="13">
        <v>-295642841.34999996</v>
      </c>
      <c r="H54" s="13">
        <v>41503705.609999999</v>
      </c>
      <c r="I54" s="13">
        <v>2328624594.8200002</v>
      </c>
      <c r="J54" s="13">
        <v>2586718639.059999</v>
      </c>
      <c r="K54" s="13">
        <v>2368259156.5500002</v>
      </c>
      <c r="L54" s="13">
        <v>2623058707.0099988</v>
      </c>
      <c r="M54" s="13">
        <v>2310401392.8200002</v>
      </c>
      <c r="N54" s="13">
        <v>2568495437.059999</v>
      </c>
    </row>
    <row r="55" spans="2:14" x14ac:dyDescent="0.25">
      <c r="B55" s="10">
        <v>20131130</v>
      </c>
      <c r="C55" s="13">
        <v>19642555.329999998</v>
      </c>
      <c r="D55" s="13">
        <v>836521.4</v>
      </c>
      <c r="E55" s="13">
        <v>150000</v>
      </c>
      <c r="F55" s="13">
        <v>-4148.21</v>
      </c>
      <c r="G55" s="13">
        <v>-22053167.050000001</v>
      </c>
      <c r="H55" s="13">
        <v>113981931.85000001</v>
      </c>
      <c r="I55" s="13">
        <v>2586718639.059999</v>
      </c>
      <c r="J55" s="13">
        <v>2491155904.7799997</v>
      </c>
      <c r="K55" s="13">
        <v>2623058707.0099988</v>
      </c>
      <c r="L55" s="13">
        <v>2531966667.6900001</v>
      </c>
      <c r="M55" s="13">
        <v>2568495437.059999</v>
      </c>
      <c r="N55" s="13">
        <v>2472932702.7799997</v>
      </c>
    </row>
    <row r="56" spans="2:14" x14ac:dyDescent="0.25">
      <c r="B56" s="10">
        <v>20131231</v>
      </c>
      <c r="C56" s="13">
        <v>31005802.030000012</v>
      </c>
      <c r="D56" s="13">
        <v>941481.19</v>
      </c>
      <c r="E56" s="13">
        <v>363094.88</v>
      </c>
      <c r="F56" s="13">
        <v>-4012.4700000000003</v>
      </c>
      <c r="G56" s="13">
        <v>-105112821.86</v>
      </c>
      <c r="H56" s="13">
        <v>258054305.70000002</v>
      </c>
      <c r="I56" s="13">
        <v>2491155904.7799997</v>
      </c>
      <c r="J56" s="13">
        <v>2357722082.3199997</v>
      </c>
      <c r="K56" s="13">
        <v>2531966667.6900001</v>
      </c>
      <c r="L56" s="13">
        <v>2379966869.0799999</v>
      </c>
      <c r="M56" s="13">
        <v>2472932702.7799997</v>
      </c>
      <c r="N56" s="13">
        <v>2339498880.3199997</v>
      </c>
    </row>
    <row r="57" spans="2:14" x14ac:dyDescent="0.25">
      <c r="B57" s="10">
        <v>20140131</v>
      </c>
      <c r="C57" s="13">
        <v>14639949.340000002</v>
      </c>
      <c r="D57" s="13">
        <v>915164.66</v>
      </c>
      <c r="E57" s="13">
        <v>3046754.73</v>
      </c>
      <c r="F57" s="13">
        <v>-4144.13</v>
      </c>
      <c r="G57" s="13">
        <v>-3161345.540000001</v>
      </c>
      <c r="H57" s="13">
        <v>51121846.660000004</v>
      </c>
      <c r="I57" s="13">
        <v>2357722082.3199997</v>
      </c>
      <c r="J57" s="13">
        <v>2301630792.4100003</v>
      </c>
      <c r="K57" s="13">
        <v>2379966869.0799999</v>
      </c>
      <c r="L57" s="13">
        <v>2321256849.5800004</v>
      </c>
      <c r="M57" s="13">
        <v>2339498880.3199997</v>
      </c>
      <c r="N57" s="13">
        <v>2295073090.4100003</v>
      </c>
    </row>
    <row r="58" spans="2:14" x14ac:dyDescent="0.25">
      <c r="B58" s="10">
        <v>20140228</v>
      </c>
      <c r="C58" s="13">
        <v>13077010.59</v>
      </c>
      <c r="D58" s="13">
        <v>537241.52</v>
      </c>
      <c r="E58" s="13">
        <v>4900473.91</v>
      </c>
      <c r="F58" s="13">
        <v>-4142.2</v>
      </c>
      <c r="G58" s="13">
        <v>-76490620.11999999</v>
      </c>
      <c r="H58" s="13">
        <v>48892680.660000004</v>
      </c>
      <c r="I58" s="13">
        <v>2301630792.4100003</v>
      </c>
      <c r="J58" s="13">
        <v>2326952720.2799997</v>
      </c>
      <c r="K58" s="13">
        <v>2321256849.5800004</v>
      </c>
      <c r="L58" s="13">
        <v>2348882835.9899998</v>
      </c>
      <c r="M58" s="13">
        <v>2295073090.4100003</v>
      </c>
      <c r="N58" s="13">
        <v>2320904212.7799997</v>
      </c>
    </row>
    <row r="59" spans="2:14" x14ac:dyDescent="0.25">
      <c r="B59" s="10">
        <v>20140331</v>
      </c>
      <c r="C59" s="13">
        <v>12332050.73</v>
      </c>
      <c r="D59" s="13">
        <v>681181.09000000008</v>
      </c>
      <c r="E59" s="13">
        <v>289000</v>
      </c>
      <c r="F59" s="13">
        <v>-35739.57</v>
      </c>
      <c r="G59" s="13">
        <v>-41575253.689999998</v>
      </c>
      <c r="H59" s="13">
        <v>526252.0199999999</v>
      </c>
      <c r="I59" s="13">
        <v>2326952720.2799997</v>
      </c>
      <c r="J59" s="13">
        <v>2372474119.8000002</v>
      </c>
      <c r="K59" s="13">
        <v>2348882835.9899998</v>
      </c>
      <c r="L59" s="13">
        <v>2390613018.7599998</v>
      </c>
      <c r="M59" s="13">
        <v>2320904212.7799997</v>
      </c>
      <c r="N59" s="13">
        <v>2366425612.3000002</v>
      </c>
    </row>
    <row r="60" spans="2:14" x14ac:dyDescent="0.25">
      <c r="B60" s="10">
        <v>20140430</v>
      </c>
      <c r="C60" s="13">
        <v>14970247.250000007</v>
      </c>
      <c r="D60" s="13">
        <v>710564.49</v>
      </c>
      <c r="E60" s="13">
        <v>1333705.22</v>
      </c>
      <c r="F60" s="13">
        <v>-4137.75</v>
      </c>
      <c r="G60" s="13">
        <v>-14313991.66</v>
      </c>
      <c r="H60" s="13">
        <v>78812226.609999999</v>
      </c>
      <c r="I60" s="13">
        <v>2372474119.8000002</v>
      </c>
      <c r="J60" s="13">
        <v>2307805732.5100002</v>
      </c>
      <c r="K60" s="13">
        <v>2390613018.7599998</v>
      </c>
      <c r="L60" s="13">
        <v>2326825348.29</v>
      </c>
      <c r="M60" s="13">
        <v>2366425612.3000002</v>
      </c>
      <c r="N60" s="13">
        <v>2301757225.0100002</v>
      </c>
    </row>
    <row r="61" spans="2:14" x14ac:dyDescent="0.25">
      <c r="B61" s="10">
        <v>20140531</v>
      </c>
      <c r="C61" s="13">
        <v>14971105.300000001</v>
      </c>
      <c r="D61" s="13">
        <v>474820.95999999996</v>
      </c>
      <c r="E61" s="13">
        <v>181090.71</v>
      </c>
      <c r="F61" s="13">
        <v>-1533.94</v>
      </c>
      <c r="G61" s="13">
        <v>-183396187.39999998</v>
      </c>
      <c r="H61" s="13">
        <v>317827350.96000004</v>
      </c>
      <c r="I61" s="13">
        <v>2307805732.5100002</v>
      </c>
      <c r="J61" s="13">
        <v>2172059790.4100003</v>
      </c>
      <c r="K61" s="13">
        <v>2326825348.29</v>
      </c>
      <c r="L61" s="13">
        <v>2173009471.2700005</v>
      </c>
      <c r="M61" s="13">
        <v>2301757225.0100002</v>
      </c>
      <c r="N61" s="13">
        <v>2165662399.9100003</v>
      </c>
    </row>
    <row r="62" spans="2:14" x14ac:dyDescent="0.25">
      <c r="B62" s="10">
        <v>20140630</v>
      </c>
      <c r="C62" s="13">
        <v>12730532.74000001</v>
      </c>
      <c r="D62" s="13">
        <v>732258.87</v>
      </c>
      <c r="E62" s="13">
        <v>1076638.74</v>
      </c>
      <c r="F62" s="13">
        <v>-154454.12000000002</v>
      </c>
      <c r="G62" s="13">
        <v>-270307371.59000003</v>
      </c>
      <c r="H62" s="13">
        <v>11975939.23</v>
      </c>
      <c r="I62" s="13">
        <v>2172059790.4100003</v>
      </c>
      <c r="J62" s="13">
        <v>2424099469.0800004</v>
      </c>
      <c r="K62" s="13">
        <v>2173009471.2700005</v>
      </c>
      <c r="L62" s="13">
        <v>2432073162.5799999</v>
      </c>
      <c r="M62" s="13">
        <v>2165662399.9100003</v>
      </c>
      <c r="N62" s="13">
        <v>2417702078.5800004</v>
      </c>
    </row>
    <row r="63" spans="2:14" x14ac:dyDescent="0.25">
      <c r="B63" s="10">
        <v>20140731</v>
      </c>
      <c r="C63" s="13">
        <v>49770776.249999993</v>
      </c>
      <c r="D63" s="13">
        <v>727257.15</v>
      </c>
      <c r="E63" s="13">
        <v>385000</v>
      </c>
      <c r="F63" s="13">
        <v>-39952.18</v>
      </c>
      <c r="G63" s="13">
        <v>-33968872.18</v>
      </c>
      <c r="H63" s="13">
        <v>251226996.22999999</v>
      </c>
      <c r="I63" s="13">
        <v>2424099469.0800004</v>
      </c>
      <c r="J63" s="13">
        <v>2217111852.0199995</v>
      </c>
      <c r="K63" s="13">
        <v>2432073162.5799999</v>
      </c>
      <c r="L63" s="13">
        <v>2215576016.6100001</v>
      </c>
      <c r="M63" s="13">
        <v>2417702078.5800004</v>
      </c>
      <c r="N63" s="13">
        <v>2210680740.5199995</v>
      </c>
    </row>
    <row r="64" spans="2:14" x14ac:dyDescent="0.25">
      <c r="B64" s="10">
        <v>20140831</v>
      </c>
      <c r="C64" s="13">
        <v>14562657.780000007</v>
      </c>
      <c r="D64" s="13">
        <v>585583.98</v>
      </c>
      <c r="E64" s="13">
        <v>0</v>
      </c>
      <c r="F64" s="13">
        <v>-161.45000000000002</v>
      </c>
      <c r="G64" s="13">
        <v>-35436127.740000002</v>
      </c>
      <c r="H64" s="13">
        <v>71517327.449999988</v>
      </c>
      <c r="I64" s="13">
        <v>2217111852.0199995</v>
      </c>
      <c r="J64" s="13">
        <v>2180871835.0299997</v>
      </c>
      <c r="K64" s="13">
        <v>2215576016.6100001</v>
      </c>
      <c r="L64" s="13">
        <v>2180080400.9099998</v>
      </c>
      <c r="M64" s="13">
        <v>2210680740.5199995</v>
      </c>
      <c r="N64" s="13">
        <v>2174440723.5299997</v>
      </c>
    </row>
    <row r="65" spans="2:14" x14ac:dyDescent="0.25">
      <c r="B65" s="10">
        <v>20140930</v>
      </c>
      <c r="C65" s="13">
        <v>13008431.380000001</v>
      </c>
      <c r="D65" s="13">
        <v>647139.01</v>
      </c>
      <c r="E65" s="13">
        <v>656250</v>
      </c>
      <c r="F65" s="13">
        <v>-58900.84</v>
      </c>
      <c r="G65" s="13">
        <v>-239488286.93000001</v>
      </c>
      <c r="H65" s="13">
        <v>81405413</v>
      </c>
      <c r="I65" s="13">
        <v>2180871835.0299997</v>
      </c>
      <c r="J65" s="13">
        <v>2329319752.8600001</v>
      </c>
      <c r="K65" s="13">
        <v>2180080400.9099998</v>
      </c>
      <c r="L65" s="13">
        <v>2338810413.8300004</v>
      </c>
      <c r="M65" s="13">
        <v>2174440723.5299997</v>
      </c>
      <c r="N65" s="13">
        <v>2322888641.3600001</v>
      </c>
    </row>
    <row r="66" spans="2:14" x14ac:dyDescent="0.25">
      <c r="B66" s="10">
        <v>20141031</v>
      </c>
      <c r="C66" s="13">
        <v>14018845.530000005</v>
      </c>
      <c r="D66" s="13">
        <v>1892519.1400000001</v>
      </c>
      <c r="E66" s="13">
        <v>-126075</v>
      </c>
      <c r="F66" s="13">
        <v>-156.24</v>
      </c>
      <c r="G66" s="13">
        <v>-55227753.439999998</v>
      </c>
      <c r="H66" s="13">
        <v>388828.11000000004</v>
      </c>
      <c r="I66" s="13">
        <v>2329319752.8600001</v>
      </c>
      <c r="J66" s="13">
        <v>2405569432.0700002</v>
      </c>
      <c r="K66" s="13">
        <v>2338810413.8300004</v>
      </c>
      <c r="L66" s="13">
        <v>2395541857.9000006</v>
      </c>
      <c r="M66" s="13">
        <v>2322888641.3600001</v>
      </c>
      <c r="N66" s="13">
        <v>2399138320.5700002</v>
      </c>
    </row>
    <row r="67" spans="2:14" x14ac:dyDescent="0.25">
      <c r="B67" s="10">
        <v>20141130</v>
      </c>
      <c r="C67" s="13">
        <v>14228085.130000005</v>
      </c>
      <c r="D67" s="13">
        <v>1976109.0999999999</v>
      </c>
      <c r="E67" s="13">
        <v>1213448</v>
      </c>
      <c r="F67" s="13">
        <v>-2284.5700000000002</v>
      </c>
      <c r="G67" s="13">
        <v>-146866463.69</v>
      </c>
      <c r="H67" s="13">
        <v>21807825.670000002</v>
      </c>
      <c r="I67" s="13">
        <v>2405569432.0700002</v>
      </c>
      <c r="J67" s="13">
        <v>2536090466.3900008</v>
      </c>
      <c r="K67" s="13">
        <v>2395541857.9000006</v>
      </c>
      <c r="L67" s="13">
        <v>2522626044.0500007</v>
      </c>
      <c r="M67" s="13">
        <v>2399138320.5700002</v>
      </c>
      <c r="N67" s="13">
        <v>2529609915.8900008</v>
      </c>
    </row>
    <row r="68" spans="2:14" x14ac:dyDescent="0.25">
      <c r="B68" s="10">
        <v>20141231</v>
      </c>
      <c r="C68" s="13">
        <v>14563666.960000003</v>
      </c>
      <c r="D68" s="13">
        <v>1985229.0699999998</v>
      </c>
      <c r="E68" s="13">
        <v>1027771.47</v>
      </c>
      <c r="F68" s="13">
        <v>-138109.19999999998</v>
      </c>
      <c r="G68" s="13">
        <v>-27965009.510000005</v>
      </c>
      <c r="H68" s="13">
        <v>55321696.070000008</v>
      </c>
      <c r="I68" s="13">
        <v>2536090466.3900008</v>
      </c>
      <c r="J68" s="13">
        <v>2514476523.1600003</v>
      </c>
      <c r="K68" s="13">
        <v>2522626044.0500007</v>
      </c>
      <c r="L68" s="13">
        <v>2497254586.3200006</v>
      </c>
      <c r="M68" s="13">
        <v>2529609915.8900008</v>
      </c>
      <c r="N68" s="13">
        <v>2507995972.6600003</v>
      </c>
    </row>
    <row r="69" spans="2:14" x14ac:dyDescent="0.25">
      <c r="B69" s="10">
        <v>20150131</v>
      </c>
      <c r="C69" s="13">
        <v>14942644.040000001</v>
      </c>
      <c r="D69" s="13">
        <v>1923311.13</v>
      </c>
      <c r="E69" s="13">
        <v>78952.740000000005</v>
      </c>
      <c r="F69" s="13">
        <v>-161.46</v>
      </c>
      <c r="G69" s="13">
        <v>-17419229.009999998</v>
      </c>
      <c r="H69" s="13">
        <v>66670697.010000005</v>
      </c>
      <c r="I69" s="13">
        <v>2514476523.1600003</v>
      </c>
      <c r="J69" s="13">
        <v>2468319537.4700003</v>
      </c>
      <c r="K69" s="13">
        <v>2497254586.3200006</v>
      </c>
      <c r="L69" s="13">
        <v>2449926429.3900003</v>
      </c>
      <c r="M69" s="13">
        <v>2507995972.6600003</v>
      </c>
      <c r="N69" s="13">
        <v>2461838986.9700003</v>
      </c>
    </row>
    <row r="70" spans="2:14" x14ac:dyDescent="0.25">
      <c r="B70" s="10">
        <v>20150228</v>
      </c>
      <c r="C70" s="13">
        <v>15216581.980000002</v>
      </c>
      <c r="D70" s="13">
        <v>1683764.6800000002</v>
      </c>
      <c r="E70" s="13">
        <v>551810</v>
      </c>
      <c r="F70" s="13">
        <v>-1404.66</v>
      </c>
      <c r="G70" s="13">
        <v>-535654137.17000008</v>
      </c>
      <c r="H70" s="13">
        <v>94319027.850000009</v>
      </c>
      <c r="I70" s="13">
        <v>2468319537.4700003</v>
      </c>
      <c r="J70" s="13">
        <v>2910557395.29</v>
      </c>
      <c r="K70" s="13">
        <v>2449926429.3900003</v>
      </c>
      <c r="L70" s="13">
        <v>2892013882.52</v>
      </c>
      <c r="M70" s="13">
        <v>2461838986.9700003</v>
      </c>
      <c r="N70" s="13">
        <v>2904076844.79</v>
      </c>
    </row>
    <row r="71" spans="2:14" x14ac:dyDescent="0.25">
      <c r="B71" s="10">
        <v>20150331</v>
      </c>
      <c r="C71" s="13">
        <v>14756893.640000004</v>
      </c>
      <c r="D71" s="13">
        <v>1874668.8699999999</v>
      </c>
      <c r="E71" s="13">
        <v>6761</v>
      </c>
      <c r="F71" s="13">
        <v>-145.83000000000001</v>
      </c>
      <c r="G71" s="13">
        <v>-16841264.300000001</v>
      </c>
      <c r="H71" s="13">
        <v>108492847.12000002</v>
      </c>
      <c r="I71" s="13">
        <v>2910557395.29</v>
      </c>
      <c r="J71" s="13">
        <v>2805477608.1299992</v>
      </c>
      <c r="K71" s="13">
        <v>2892013882.52</v>
      </c>
      <c r="L71" s="13">
        <v>2802236968.5</v>
      </c>
      <c r="M71" s="13">
        <v>2904076844.79</v>
      </c>
      <c r="N71" s="13">
        <v>2798997057.6299992</v>
      </c>
    </row>
    <row r="72" spans="2:14" x14ac:dyDescent="0.25">
      <c r="B72" s="10">
        <v>20150430</v>
      </c>
      <c r="C72" s="13">
        <v>13026526.580000002</v>
      </c>
      <c r="D72" s="13">
        <v>1909840.9700000002</v>
      </c>
      <c r="E72" s="13">
        <v>208000</v>
      </c>
      <c r="F72" s="13">
        <v>0.01</v>
      </c>
      <c r="G72" s="13">
        <v>-37475420.659999996</v>
      </c>
      <c r="H72" s="13">
        <v>45946859.359999999</v>
      </c>
      <c r="I72" s="13">
        <v>2805477608.1299992</v>
      </c>
      <c r="J72" s="13">
        <v>2793247764.4100003</v>
      </c>
      <c r="K72" s="13">
        <v>2802236968.5</v>
      </c>
      <c r="L72" s="13">
        <v>2795675370.79</v>
      </c>
      <c r="M72" s="13">
        <v>2798997057.6299992</v>
      </c>
      <c r="N72" s="13">
        <v>2786767213.9100003</v>
      </c>
    </row>
    <row r="73" spans="2:14" x14ac:dyDescent="0.25">
      <c r="B73" s="10">
        <v>20150531</v>
      </c>
      <c r="C73" s="13">
        <v>15644620.880000005</v>
      </c>
      <c r="D73" s="13">
        <v>1852160.86</v>
      </c>
      <c r="E73" s="13">
        <v>723994</v>
      </c>
      <c r="F73" s="13">
        <v>0</v>
      </c>
      <c r="G73" s="13">
        <v>-89317814.780000001</v>
      </c>
      <c r="H73" s="13">
        <v>35919591.509999998</v>
      </c>
      <c r="I73" s="13">
        <v>2793247764.4100003</v>
      </c>
      <c r="J73" s="13">
        <v>2853670440.5999999</v>
      </c>
      <c r="K73" s="13">
        <v>2795675370.79</v>
      </c>
      <c r="L73" s="13">
        <v>2850925754.9700003</v>
      </c>
      <c r="M73" s="13">
        <v>2786767213.9100003</v>
      </c>
      <c r="N73" s="13">
        <v>2847189890.0999999</v>
      </c>
    </row>
    <row r="74" spans="2:14" x14ac:dyDescent="0.25">
      <c r="B74" s="10">
        <v>20150630</v>
      </c>
      <c r="C74" s="13">
        <v>17212920.960000001</v>
      </c>
      <c r="D74" s="13">
        <v>2162657.3400000003</v>
      </c>
      <c r="E74" s="13">
        <v>426699.5</v>
      </c>
      <c r="F74" s="13">
        <v>0</v>
      </c>
      <c r="G74" s="13">
        <v>845352.31999999844</v>
      </c>
      <c r="H74" s="13">
        <v>728737.46</v>
      </c>
      <c r="I74" s="13">
        <v>2853670440.5999999</v>
      </c>
      <c r="J74" s="13">
        <v>2848730296.8100004</v>
      </c>
      <c r="K74" s="13">
        <v>2850925754.9700003</v>
      </c>
      <c r="L74" s="13">
        <v>2851549224.4700003</v>
      </c>
      <c r="M74" s="13">
        <v>2847189890.0999999</v>
      </c>
      <c r="N74" s="13">
        <v>2842214844.3100004</v>
      </c>
    </row>
    <row r="75" spans="2:14" x14ac:dyDescent="0.25">
      <c r="B75" s="10">
        <v>20150731</v>
      </c>
      <c r="C75" s="13">
        <v>15559046.34</v>
      </c>
      <c r="D75" s="13">
        <v>2362033.8099999996</v>
      </c>
      <c r="E75" s="13">
        <v>0</v>
      </c>
      <c r="F75" s="13">
        <v>0.03</v>
      </c>
      <c r="G75" s="13">
        <v>-9132665.2300000004</v>
      </c>
      <c r="H75" s="13">
        <v>62803544.219999999</v>
      </c>
      <c r="I75" s="13">
        <v>2848730296.8100004</v>
      </c>
      <c r="J75" s="13">
        <v>2796260107.9900007</v>
      </c>
      <c r="K75" s="13">
        <v>2851549224.4700003</v>
      </c>
      <c r="L75" s="13">
        <v>2800240379.2800016</v>
      </c>
      <c r="M75" s="13">
        <v>2842214844.3100004</v>
      </c>
      <c r="N75" s="13">
        <v>2789744655.4900007</v>
      </c>
    </row>
    <row r="76" spans="2:14" x14ac:dyDescent="0.25">
      <c r="B76" s="10">
        <v>20150831</v>
      </c>
      <c r="C76" s="13">
        <v>12792759.079999998</v>
      </c>
      <c r="D76" s="13">
        <v>2389266.4700000002</v>
      </c>
      <c r="E76" s="13">
        <v>168300</v>
      </c>
      <c r="F76" s="13">
        <v>0.01</v>
      </c>
      <c r="G76" s="13">
        <v>-19953275.609999999</v>
      </c>
      <c r="H76" s="13">
        <v>43566248.280000009</v>
      </c>
      <c r="I76" s="13">
        <v>2796260107.9900007</v>
      </c>
      <c r="J76" s="13">
        <v>2770368219.6199999</v>
      </c>
      <c r="K76" s="13">
        <v>2800240379.2800016</v>
      </c>
      <c r="L76" s="13">
        <v>2779016672.8000002</v>
      </c>
      <c r="M76" s="13">
        <v>2789744655.4900007</v>
      </c>
      <c r="N76" s="13">
        <v>2763852767.1199999</v>
      </c>
    </row>
    <row r="77" spans="2:14" x14ac:dyDescent="0.25">
      <c r="B77" s="10">
        <v>20150930</v>
      </c>
      <c r="C77" s="13">
        <v>17048492.630000003</v>
      </c>
      <c r="D77" s="13">
        <v>2339901.4700000002</v>
      </c>
      <c r="E77" s="13">
        <v>938750</v>
      </c>
      <c r="F77" s="13">
        <v>-0.02</v>
      </c>
      <c r="G77" s="13">
        <v>-99877106.999999985</v>
      </c>
      <c r="H77" s="13">
        <v>3014733.96</v>
      </c>
      <c r="I77" s="13">
        <v>2770368219.6199999</v>
      </c>
      <c r="J77" s="13">
        <v>2866564274.7600007</v>
      </c>
      <c r="K77" s="13">
        <v>2779016672.8000002</v>
      </c>
      <c r="L77" s="13">
        <v>2878218947.5300007</v>
      </c>
      <c r="M77" s="13">
        <v>2763852767.1199999</v>
      </c>
      <c r="N77" s="13">
        <v>2860048822.2600007</v>
      </c>
    </row>
    <row r="78" spans="2:14" x14ac:dyDescent="0.25">
      <c r="B78" s="10">
        <v>20151031</v>
      </c>
      <c r="C78" s="13">
        <v>14548162.49</v>
      </c>
      <c r="D78" s="13">
        <v>2362954.13</v>
      </c>
      <c r="E78" s="13">
        <v>693549.85999999987</v>
      </c>
      <c r="F78" s="13">
        <v>-0.01</v>
      </c>
      <c r="G78" s="13">
        <v>13005180.179999998</v>
      </c>
      <c r="H78" s="13">
        <v>12686072.35</v>
      </c>
      <c r="I78" s="13">
        <v>2866564274.7600007</v>
      </c>
      <c r="J78" s="13">
        <v>2844945856.6700001</v>
      </c>
      <c r="K78" s="13">
        <v>2878218947.5300007</v>
      </c>
      <c r="L78" s="13">
        <v>2854890649.2300005</v>
      </c>
      <c r="M78" s="13">
        <v>2860048822.2600007</v>
      </c>
      <c r="N78" s="13">
        <v>2838430404.1700001</v>
      </c>
    </row>
    <row r="79" spans="2:14" x14ac:dyDescent="0.25">
      <c r="B79" s="10">
        <v>20151130</v>
      </c>
      <c r="C79" s="13">
        <v>12454081.1</v>
      </c>
      <c r="D79" s="13">
        <v>2400795.4</v>
      </c>
      <c r="E79" s="13">
        <v>1697956.28</v>
      </c>
      <c r="F79" s="13">
        <v>0</v>
      </c>
      <c r="G79" s="13">
        <v>-102078464.58</v>
      </c>
      <c r="H79" s="13">
        <v>42394900.100000001</v>
      </c>
      <c r="I79" s="13">
        <v>2844945856.6700001</v>
      </c>
      <c r="J79" s="13">
        <v>2906234595.0900006</v>
      </c>
      <c r="K79" s="13">
        <v>2854890649.2300005</v>
      </c>
      <c r="L79" s="13">
        <v>2916975009.0200005</v>
      </c>
      <c r="M79" s="13">
        <v>2838430404.1700001</v>
      </c>
      <c r="N79" s="13">
        <v>2899719142.5900006</v>
      </c>
    </row>
    <row r="80" spans="2:14" x14ac:dyDescent="0.25">
      <c r="B80" s="10">
        <v>20151231</v>
      </c>
      <c r="C80" s="13">
        <v>12615991.060000001</v>
      </c>
      <c r="D80" s="13">
        <v>2566739.44</v>
      </c>
      <c r="E80" s="13">
        <v>-590441.1</v>
      </c>
      <c r="F80" s="13">
        <v>-0.01</v>
      </c>
      <c r="G80" s="13">
        <v>42369818.869999997</v>
      </c>
      <c r="H80" s="13">
        <v>87937263.769999996</v>
      </c>
      <c r="I80" s="13">
        <v>2906234595.0900006</v>
      </c>
      <c r="J80" s="13">
        <v>2750334684.2200003</v>
      </c>
      <c r="K80" s="13">
        <v>2916975009.0200005</v>
      </c>
      <c r="L80" s="13">
        <v>2789234665.8800006</v>
      </c>
      <c r="M80" s="13">
        <v>2899719142.5900006</v>
      </c>
      <c r="N80" s="13">
        <v>2743819231.7200003</v>
      </c>
    </row>
    <row r="81" spans="2:14" x14ac:dyDescent="0.25">
      <c r="B81" s="10">
        <v>20160131</v>
      </c>
      <c r="C81" s="13">
        <v>31170476.720000014</v>
      </c>
      <c r="D81" s="13">
        <v>2610141.29</v>
      </c>
      <c r="E81" s="13">
        <v>641327.64</v>
      </c>
      <c r="F81" s="13">
        <v>0</v>
      </c>
      <c r="G81" s="13">
        <v>-74269904.039999992</v>
      </c>
      <c r="H81" s="13">
        <v>363632.91000000003</v>
      </c>
      <c r="I81" s="13">
        <v>2750334684.2200003</v>
      </c>
      <c r="J81" s="13">
        <v>2829428347.4200001</v>
      </c>
      <c r="K81" s="13">
        <v>2789234665.8800006</v>
      </c>
      <c r="L81" s="13">
        <v>2865655726.3599997</v>
      </c>
      <c r="M81" s="13">
        <v>2743819231.7200003</v>
      </c>
      <c r="N81" s="13">
        <v>2822912894.9200001</v>
      </c>
    </row>
    <row r="82" spans="2:14" x14ac:dyDescent="0.25">
      <c r="B82" s="10">
        <v>20160229</v>
      </c>
      <c r="C82" s="13">
        <v>16463124.190000005</v>
      </c>
      <c r="D82" s="13">
        <v>2444534.63</v>
      </c>
      <c r="E82" s="13">
        <v>225500</v>
      </c>
      <c r="F82" s="13">
        <v>0</v>
      </c>
      <c r="G82" s="13">
        <v>-27432785.07</v>
      </c>
      <c r="H82" s="13">
        <v>20166616.98</v>
      </c>
      <c r="I82" s="13">
        <v>2829428347.4200001</v>
      </c>
      <c r="J82" s="13">
        <v>2836205988.0999999</v>
      </c>
      <c r="K82" s="13">
        <v>2865655726.3599997</v>
      </c>
      <c r="L82" s="13">
        <v>2875366429.1300001</v>
      </c>
      <c r="M82" s="13">
        <v>2822912894.9200001</v>
      </c>
      <c r="N82" s="13">
        <v>2829690535.5999999</v>
      </c>
    </row>
    <row r="83" spans="2:14" x14ac:dyDescent="0.25">
      <c r="B83" s="10">
        <v>20160331</v>
      </c>
      <c r="C83" s="13">
        <v>19193563.839999996</v>
      </c>
      <c r="D83" s="13">
        <v>2519417.33</v>
      </c>
      <c r="E83" s="13">
        <v>-61250</v>
      </c>
      <c r="F83" s="13">
        <v>0</v>
      </c>
      <c r="G83" s="13">
        <v>2321164.7799999998</v>
      </c>
      <c r="H83" s="13">
        <v>29402688.52</v>
      </c>
      <c r="I83" s="13">
        <v>2836205988.0999999</v>
      </c>
      <c r="J83" s="13">
        <v>2813186276.2999997</v>
      </c>
      <c r="K83" s="13">
        <v>2875366429.1300001</v>
      </c>
      <c r="L83" s="13">
        <v>2846161993.1600003</v>
      </c>
      <c r="M83" s="13">
        <v>2829690535.5999999</v>
      </c>
      <c r="N83" s="13">
        <v>2806670823.7999997</v>
      </c>
    </row>
    <row r="84" spans="2:14" x14ac:dyDescent="0.25">
      <c r="B84" s="10">
        <v>20160430</v>
      </c>
      <c r="C84" s="13">
        <v>13649064.190000001</v>
      </c>
      <c r="D84" s="13">
        <v>2407493.7099999995</v>
      </c>
      <c r="E84" s="13">
        <v>1072475</v>
      </c>
      <c r="F84" s="13">
        <v>0</v>
      </c>
      <c r="G84" s="13">
        <v>-89619871.449999973</v>
      </c>
      <c r="H84" s="13">
        <v>368642.76</v>
      </c>
      <c r="I84" s="13">
        <v>2813186276.2999997</v>
      </c>
      <c r="J84" s="13">
        <v>2907947692.2199988</v>
      </c>
      <c r="K84" s="13">
        <v>2846161993.1600003</v>
      </c>
      <c r="L84" s="13">
        <v>2937820715.4299994</v>
      </c>
      <c r="M84" s="13">
        <v>2806670823.7999997</v>
      </c>
      <c r="N84" s="13">
        <v>2901432239.7199988</v>
      </c>
    </row>
    <row r="85" spans="2:14" x14ac:dyDescent="0.25">
      <c r="B85" s="10">
        <v>20160531</v>
      </c>
      <c r="C85" s="13">
        <v>16928868.220000003</v>
      </c>
      <c r="D85" s="13">
        <v>2622608.0100000002</v>
      </c>
      <c r="E85" s="13">
        <v>280500</v>
      </c>
      <c r="F85" s="13">
        <v>0</v>
      </c>
      <c r="G85" s="13">
        <v>-41838857.150000006</v>
      </c>
      <c r="H85" s="13">
        <v>17356608.07</v>
      </c>
      <c r="I85" s="13">
        <v>2907947692.2199988</v>
      </c>
      <c r="J85" s="13">
        <v>2935576871.96</v>
      </c>
      <c r="K85" s="13">
        <v>2937820715.4299994</v>
      </c>
      <c r="L85" s="13">
        <v>2964925572.5900002</v>
      </c>
      <c r="M85" s="13">
        <v>2901432239.7199988</v>
      </c>
      <c r="N85" s="13">
        <v>2929061419.46</v>
      </c>
    </row>
    <row r="86" spans="2:14" x14ac:dyDescent="0.25">
      <c r="B86" s="10">
        <v>20160630</v>
      </c>
      <c r="C86" s="13">
        <v>20141696.979999997</v>
      </c>
      <c r="D86" s="13">
        <v>2614136.65</v>
      </c>
      <c r="E86" s="13">
        <v>715000</v>
      </c>
      <c r="F86" s="13">
        <v>0</v>
      </c>
      <c r="G86" s="13">
        <v>-108530659.59</v>
      </c>
      <c r="H86" s="13">
        <v>331728269.94999999</v>
      </c>
      <c r="I86" s="13">
        <v>2935576871.96</v>
      </c>
      <c r="J86" s="13">
        <v>2719111267.3600001</v>
      </c>
      <c r="K86" s="13">
        <v>2964925572.5900002</v>
      </c>
      <c r="L86" s="13">
        <v>2744342098.8800006</v>
      </c>
      <c r="M86" s="13">
        <v>2929061419.46</v>
      </c>
      <c r="N86" s="13">
        <v>2712595814.8600001</v>
      </c>
    </row>
    <row r="87" spans="2:14" x14ac:dyDescent="0.25">
      <c r="B87" s="10">
        <v>20160731</v>
      </c>
      <c r="C87" s="13">
        <v>12626826.400000002</v>
      </c>
      <c r="D87" s="13">
        <v>2356038.64</v>
      </c>
      <c r="E87" s="13">
        <v>40422</v>
      </c>
      <c r="F87" s="13">
        <v>-5000</v>
      </c>
      <c r="G87" s="13">
        <v>-12571091.52</v>
      </c>
      <c r="H87" s="13">
        <v>9006669.3099999987</v>
      </c>
      <c r="I87" s="13">
        <v>2719111267.3600001</v>
      </c>
      <c r="J87" s="13">
        <v>2729116347.0500002</v>
      </c>
      <c r="K87" s="13">
        <v>2744342098.8800006</v>
      </c>
      <c r="L87" s="13">
        <v>2750262559.7500005</v>
      </c>
      <c r="M87" s="13">
        <v>2712595814.8600001</v>
      </c>
      <c r="N87" s="13">
        <v>2722600894.5500002</v>
      </c>
    </row>
    <row r="88" spans="2:14" x14ac:dyDescent="0.25">
      <c r="B88" s="10">
        <v>20160831</v>
      </c>
      <c r="C88" s="13">
        <v>24147216.019999996</v>
      </c>
      <c r="D88" s="13">
        <v>2317498.1999999997</v>
      </c>
      <c r="E88" s="13">
        <v>0</v>
      </c>
      <c r="F88" s="13">
        <v>-2260.42</v>
      </c>
      <c r="G88" s="13">
        <v>-32731465.450000003</v>
      </c>
      <c r="H88" s="13">
        <v>102186696.23999999</v>
      </c>
      <c r="I88" s="13">
        <v>2729116347.0500002</v>
      </c>
      <c r="J88" s="13">
        <v>2674253717.6300001</v>
      </c>
      <c r="K88" s="13">
        <v>2750262559.7500005</v>
      </c>
      <c r="L88" s="13">
        <v>2694362810.1100001</v>
      </c>
      <c r="M88" s="13">
        <v>2722600894.5500002</v>
      </c>
      <c r="N88" s="13">
        <v>2656500282.1499996</v>
      </c>
    </row>
    <row r="89" spans="2:14" x14ac:dyDescent="0.25">
      <c r="B89" s="10">
        <v>20160930</v>
      </c>
      <c r="C89" s="13">
        <v>16926672.600000001</v>
      </c>
      <c r="D89" s="13">
        <v>2239282.19</v>
      </c>
      <c r="E89" s="13">
        <v>655600</v>
      </c>
      <c r="F89" s="13">
        <v>-2260.42</v>
      </c>
      <c r="G89" s="13">
        <v>-148476273.22999999</v>
      </c>
      <c r="H89" s="13">
        <v>128468314.11000001</v>
      </c>
      <c r="I89" s="13">
        <v>2674253717.6300001</v>
      </c>
      <c r="J89" s="13">
        <v>2698050922.5300002</v>
      </c>
      <c r="K89" s="13">
        <v>2694362810.1100001</v>
      </c>
      <c r="L89" s="13">
        <v>2717798016.9100003</v>
      </c>
      <c r="M89" s="13">
        <v>2656500282.1499996</v>
      </c>
      <c r="N89" s="13">
        <v>2679109521.54</v>
      </c>
    </row>
    <row r="90" spans="2:14" x14ac:dyDescent="0.25">
      <c r="B90" s="10">
        <v>20161031</v>
      </c>
      <c r="C90" s="13">
        <v>18142202.130000006</v>
      </c>
      <c r="D90" s="13">
        <v>2289334.9500000002</v>
      </c>
      <c r="E90" s="13">
        <v>1993308.0700000003</v>
      </c>
      <c r="F90" s="13">
        <v>-2187.5</v>
      </c>
      <c r="G90" s="13">
        <v>-49443677.479999997</v>
      </c>
      <c r="H90" s="13">
        <v>57674724.780000009</v>
      </c>
      <c r="I90" s="13">
        <v>2698050922.5300002</v>
      </c>
      <c r="J90" s="13">
        <v>2697326080.6500001</v>
      </c>
      <c r="K90" s="13">
        <v>2717798016.9100003</v>
      </c>
      <c r="L90" s="13">
        <v>2714327212.7200003</v>
      </c>
      <c r="M90" s="13">
        <v>2679109521.54</v>
      </c>
      <c r="N90" s="13">
        <v>2675913771.5299997</v>
      </c>
    </row>
    <row r="91" spans="2:14" x14ac:dyDescent="0.25">
      <c r="B91" s="10">
        <v>20161130</v>
      </c>
      <c r="C91" s="13">
        <v>16077165.480000004</v>
      </c>
      <c r="D91" s="13">
        <v>2287627.8199999998</v>
      </c>
      <c r="E91" s="13">
        <v>-269725</v>
      </c>
      <c r="F91" s="13">
        <v>-2260.42</v>
      </c>
      <c r="G91" s="13">
        <v>18434890.080000002</v>
      </c>
      <c r="H91" s="13">
        <v>2468026.31</v>
      </c>
      <c r="I91" s="13">
        <v>2697326080.6500001</v>
      </c>
      <c r="J91" s="13">
        <v>2672429534</v>
      </c>
      <c r="K91" s="13">
        <v>2714327212.7200003</v>
      </c>
      <c r="L91" s="13">
        <v>2697822795.2600002</v>
      </c>
      <c r="M91" s="13">
        <v>2675913771.5299997</v>
      </c>
      <c r="N91" s="13">
        <v>2648906353.6400003</v>
      </c>
    </row>
    <row r="92" spans="2:14" x14ac:dyDescent="0.25">
      <c r="B92" s="10">
        <v>20161231</v>
      </c>
      <c r="C92" s="13">
        <v>13384634.749999998</v>
      </c>
      <c r="D92" s="13">
        <v>2349180.0200000005</v>
      </c>
      <c r="E92" s="13">
        <v>809300</v>
      </c>
      <c r="F92" s="13">
        <v>-2187.5</v>
      </c>
      <c r="G92" s="13">
        <v>-130730929.68000001</v>
      </c>
      <c r="H92" s="13">
        <v>44524346.960000001</v>
      </c>
      <c r="I92" s="13">
        <v>2672429534</v>
      </c>
      <c r="J92" s="13">
        <v>2770532150.2900004</v>
      </c>
      <c r="K92" s="13">
        <v>2697822795.2600002</v>
      </c>
      <c r="L92" s="13">
        <v>2792117932.1500001</v>
      </c>
      <c r="M92" s="13">
        <v>2648906353.6400003</v>
      </c>
      <c r="N92" s="13">
        <v>2746219590.9400005</v>
      </c>
    </row>
    <row r="93" spans="2:14" x14ac:dyDescent="0.25">
      <c r="B93" s="10">
        <v>20170131</v>
      </c>
      <c r="C93" s="13">
        <v>12278753.479999997</v>
      </c>
      <c r="D93" s="13">
        <v>2616865.4200000004</v>
      </c>
      <c r="E93" s="13">
        <v>-236500</v>
      </c>
      <c r="F93" s="13">
        <v>-2260.42</v>
      </c>
      <c r="G93" s="13">
        <v>23179954.149999999</v>
      </c>
      <c r="H93" s="13">
        <v>27846146.799999997</v>
      </c>
      <c r="I93" s="13">
        <v>2073449874.5900002</v>
      </c>
      <c r="J93" s="13">
        <v>2052995491.9699998</v>
      </c>
      <c r="K93" s="13">
        <v>2069619084.5500002</v>
      </c>
      <c r="L93" s="13">
        <v>2049001671.1500001</v>
      </c>
      <c r="M93" s="13">
        <v>2049137315.24</v>
      </c>
      <c r="N93" s="13">
        <v>2000942604</v>
      </c>
    </row>
    <row r="94" spans="2:14" x14ac:dyDescent="0.25">
      <c r="B94" s="10">
        <v>20170228</v>
      </c>
      <c r="C94" s="13">
        <v>13351173.020000001</v>
      </c>
      <c r="D94" s="13">
        <v>2623065.3800000004</v>
      </c>
      <c r="E94" s="13">
        <v>2215000</v>
      </c>
      <c r="F94" s="13">
        <v>-2260.42</v>
      </c>
      <c r="G94" s="13">
        <v>-49988184.079999998</v>
      </c>
      <c r="H94" s="13">
        <v>47800551.849999994</v>
      </c>
      <c r="I94" s="13">
        <v>2052995491.9699998</v>
      </c>
      <c r="J94" s="13">
        <v>2059161242.7300003</v>
      </c>
      <c r="K94" s="13">
        <v>2049001671.1500001</v>
      </c>
      <c r="L94" s="13">
        <v>2054515879.0500007</v>
      </c>
      <c r="M94" s="13">
        <v>2000942604</v>
      </c>
      <c r="N94" s="13">
        <v>2006404844.4400003</v>
      </c>
    </row>
    <row r="95" spans="2:14" x14ac:dyDescent="0.25">
      <c r="B95" s="10">
        <v>20170331</v>
      </c>
      <c r="C95" s="13">
        <v>12636185.42</v>
      </c>
      <c r="D95" s="13">
        <v>2752671.29</v>
      </c>
      <c r="E95" s="13">
        <v>57960.179999999986</v>
      </c>
      <c r="F95" s="13">
        <v>-2041.67</v>
      </c>
      <c r="G95" s="13">
        <v>-16502319.799999999</v>
      </c>
      <c r="H95" s="13">
        <v>11665880.500000002</v>
      </c>
      <c r="I95" s="13">
        <v>2059161242.7300003</v>
      </c>
      <c r="J95" s="13">
        <v>2068539953.9100001</v>
      </c>
      <c r="K95" s="13">
        <v>2054529803.7000008</v>
      </c>
      <c r="L95" s="13">
        <v>2064317885.26</v>
      </c>
      <c r="M95" s="13">
        <v>2006404844.4400003</v>
      </c>
      <c r="N95" s="13">
        <v>2013584584.6800001</v>
      </c>
    </row>
    <row r="96" spans="2:14" x14ac:dyDescent="0.25">
      <c r="B96" s="10">
        <v>20170430</v>
      </c>
      <c r="C96" s="13">
        <v>12255286.580000002</v>
      </c>
      <c r="D96" s="13">
        <v>2772638.95</v>
      </c>
      <c r="E96" s="13">
        <v>240000</v>
      </c>
      <c r="F96" s="13">
        <v>-2260.42</v>
      </c>
      <c r="G96" s="13">
        <v>-55361137.170000002</v>
      </c>
      <c r="H96" s="13">
        <v>33300917</v>
      </c>
      <c r="I96" s="13">
        <v>2068539953.9100001</v>
      </c>
      <c r="J96" s="13">
        <v>2108528801.6300001</v>
      </c>
      <c r="K96" s="13">
        <v>2064317885.26</v>
      </c>
      <c r="L96" s="13">
        <v>2101795470.8600004</v>
      </c>
      <c r="M96" s="13">
        <v>2013584584.6800001</v>
      </c>
      <c r="N96" s="13">
        <v>2040928705.9000001</v>
      </c>
    </row>
    <row r="97" spans="2:14" x14ac:dyDescent="0.25">
      <c r="B97" s="10">
        <v>20170531</v>
      </c>
      <c r="C97" s="13">
        <v>12683506.109999999</v>
      </c>
      <c r="D97" s="13">
        <v>2877536.08</v>
      </c>
      <c r="E97" s="13">
        <v>1324850.04</v>
      </c>
      <c r="F97" s="13">
        <v>-2187.5</v>
      </c>
      <c r="G97" s="13">
        <v>-97069735.459999993</v>
      </c>
      <c r="H97" s="13">
        <v>105865215.14</v>
      </c>
      <c r="I97" s="13">
        <v>2108528801.6300001</v>
      </c>
      <c r="J97" s="13">
        <v>2141709758.2199998</v>
      </c>
      <c r="K97" s="13">
        <v>2101795470.8600004</v>
      </c>
      <c r="L97" s="13">
        <v>2133868717.0800002</v>
      </c>
      <c r="M97" s="13">
        <v>2040928705.9000001</v>
      </c>
      <c r="N97" s="13">
        <v>2036118472.6799998</v>
      </c>
    </row>
    <row r="98" spans="2:14" x14ac:dyDescent="0.25">
      <c r="B98" s="10">
        <v>20170630</v>
      </c>
      <c r="C98" s="13">
        <v>13768990.110000003</v>
      </c>
      <c r="D98" s="13">
        <v>2835765.45</v>
      </c>
      <c r="E98" s="13">
        <v>943519.5</v>
      </c>
      <c r="F98" s="13">
        <v>-2260.42</v>
      </c>
      <c r="G98" s="13">
        <v>-192097741.74000001</v>
      </c>
      <c r="H98" s="13">
        <v>120087519.66</v>
      </c>
      <c r="I98" s="13">
        <v>2141709758.2199998</v>
      </c>
      <c r="J98" s="13">
        <v>2258388427.9900002</v>
      </c>
      <c r="K98" s="13">
        <v>2133868717.0800002</v>
      </c>
      <c r="L98" s="13">
        <v>2249987682.3799996</v>
      </c>
      <c r="M98" s="13">
        <v>2036118472.6799998</v>
      </c>
      <c r="N98" s="13">
        <v>2111553650.1999998</v>
      </c>
    </row>
    <row r="99" spans="2:14" x14ac:dyDescent="0.25">
      <c r="B99" s="10">
        <v>20170731</v>
      </c>
      <c r="C99" s="13">
        <v>12982473.739999996</v>
      </c>
      <c r="D99" s="13">
        <v>2899088.6000000006</v>
      </c>
      <c r="E99" s="13">
        <v>1201045.8900000001</v>
      </c>
      <c r="F99" s="13">
        <v>-2187.5</v>
      </c>
      <c r="G99" s="13">
        <v>-111422311.54000001</v>
      </c>
      <c r="H99" s="13">
        <v>46720963.589999996</v>
      </c>
      <c r="I99" s="13">
        <v>2258388427.9900002</v>
      </c>
      <c r="J99" s="13">
        <v>2357210615.8200002</v>
      </c>
      <c r="K99" s="13">
        <v>2249987682.3799996</v>
      </c>
      <c r="L99" s="13">
        <v>2349095863.3400002</v>
      </c>
      <c r="M99" s="13">
        <v>2111553650.1999998</v>
      </c>
      <c r="N99" s="13">
        <v>2178868093.6799998</v>
      </c>
    </row>
    <row r="100" spans="2:14" x14ac:dyDescent="0.25">
      <c r="B100" s="10">
        <v>20170831</v>
      </c>
      <c r="C100" s="13">
        <v>21325312.020000003</v>
      </c>
      <c r="D100" s="13">
        <v>1139989.0899999999</v>
      </c>
      <c r="E100" s="13">
        <v>1966522.38</v>
      </c>
      <c r="F100" s="13">
        <v>-2260.42</v>
      </c>
      <c r="G100" s="13">
        <v>-372066392.84000003</v>
      </c>
      <c r="H100" s="13">
        <v>316384920.36000001</v>
      </c>
      <c r="I100" s="13">
        <v>2357210615.8200002</v>
      </c>
      <c r="J100" s="13">
        <v>2397864084.2400007</v>
      </c>
      <c r="K100" s="13">
        <v>2349095863.3400002</v>
      </c>
      <c r="L100" s="13">
        <v>2399632374.5</v>
      </c>
      <c r="M100" s="13">
        <v>2178868093.6799998</v>
      </c>
      <c r="N100" s="13">
        <v>2225806512.5100002</v>
      </c>
    </row>
    <row r="101" spans="2:14" x14ac:dyDescent="0.25">
      <c r="B101" s="10">
        <v>20170930</v>
      </c>
      <c r="C101" s="13">
        <v>14635642.939999999</v>
      </c>
      <c r="D101" s="13">
        <v>1544685.2600000002</v>
      </c>
      <c r="E101" s="13">
        <v>2863952.6500000004</v>
      </c>
      <c r="F101" s="13">
        <v>-2260.42</v>
      </c>
      <c r="G101" s="13">
        <v>-232159433.21000001</v>
      </c>
      <c r="H101" s="13">
        <v>122209422.09000002</v>
      </c>
      <c r="I101" s="13">
        <v>2397864084.2400007</v>
      </c>
      <c r="J101" s="13">
        <v>2590789085.3199992</v>
      </c>
      <c r="K101" s="13">
        <v>2399632374.5</v>
      </c>
      <c r="L101" s="13">
        <v>2595143185.2199993</v>
      </c>
      <c r="M101" s="13">
        <v>2225806512.5100002</v>
      </c>
      <c r="N101" s="13">
        <v>2334715399.2299995</v>
      </c>
    </row>
    <row r="102" spans="2:14" x14ac:dyDescent="0.25">
      <c r="B102" s="10">
        <v>20171031</v>
      </c>
      <c r="C102" s="13">
        <v>14806363.09</v>
      </c>
      <c r="D102" s="13">
        <v>1556730.23</v>
      </c>
      <c r="E102" s="13">
        <v>1770195.8599999999</v>
      </c>
      <c r="F102" s="13">
        <v>-11323.2</v>
      </c>
      <c r="G102" s="13">
        <v>-163134925.44999999</v>
      </c>
      <c r="H102" s="13">
        <v>101325352.64</v>
      </c>
      <c r="I102" s="13">
        <v>2569576974.8699994</v>
      </c>
      <c r="J102" s="13">
        <v>2732699977.9499998</v>
      </c>
      <c r="K102" s="13">
        <v>2575143185.2199993</v>
      </c>
      <c r="L102" s="13">
        <v>2738157960.8599997</v>
      </c>
      <c r="M102" s="13">
        <v>2313503288.7799993</v>
      </c>
      <c r="N102" s="13">
        <v>2377026291.8600001</v>
      </c>
    </row>
    <row r="103" spans="2:14" x14ac:dyDescent="0.25">
      <c r="B103" s="10">
        <v>20171130</v>
      </c>
      <c r="C103" s="13">
        <v>16484661.869999997</v>
      </c>
      <c r="D103" s="13">
        <v>1259399.5999999996</v>
      </c>
      <c r="E103" s="13">
        <v>4748846.58</v>
      </c>
      <c r="F103" s="13">
        <v>-5796.94</v>
      </c>
      <c r="G103" s="13">
        <v>-250879150.34000003</v>
      </c>
      <c r="H103" s="13">
        <v>108051989.94</v>
      </c>
      <c r="I103" s="13">
        <v>2732588062.2899995</v>
      </c>
      <c r="J103" s="13">
        <v>2955621808.2600007</v>
      </c>
      <c r="K103" s="13">
        <v>2738157960.8599997</v>
      </c>
      <c r="L103" s="13">
        <v>2961725332.210001</v>
      </c>
      <c r="M103" s="13">
        <v>2376914376.1999998</v>
      </c>
      <c r="N103" s="13">
        <v>2520463122.1700006</v>
      </c>
    </row>
    <row r="104" spans="2:14" x14ac:dyDescent="0.25">
      <c r="B104" s="10">
        <v>20171231</v>
      </c>
      <c r="C104" s="13">
        <v>17352530.619999997</v>
      </c>
      <c r="D104" s="13">
        <v>1387189.25</v>
      </c>
      <c r="E104" s="13">
        <v>2634051.0300000003</v>
      </c>
      <c r="F104" s="13">
        <v>-5506.95</v>
      </c>
      <c r="G104" s="13">
        <v>-364689390.89999998</v>
      </c>
      <c r="H104" s="13">
        <v>145191454.94</v>
      </c>
      <c r="I104" s="13">
        <v>2955621808.2600007</v>
      </c>
      <c r="J104" s="13">
        <v>3315181408.749999</v>
      </c>
      <c r="K104" s="13">
        <v>2961725332.210001</v>
      </c>
      <c r="L104" s="13">
        <v>3324054459.3500004</v>
      </c>
      <c r="M104" s="13">
        <v>2520463122.1700006</v>
      </c>
      <c r="N104" s="13">
        <v>2738573890.3199997</v>
      </c>
    </row>
    <row r="105" spans="2:14" x14ac:dyDescent="0.25">
      <c r="B105" s="10">
        <v>20180131</v>
      </c>
      <c r="C105" s="13">
        <v>18098015.749999996</v>
      </c>
      <c r="D105" s="13">
        <v>1586831.63</v>
      </c>
      <c r="E105" s="13">
        <v>1733315</v>
      </c>
      <c r="F105" s="13">
        <v>-106350.19</v>
      </c>
      <c r="G105" s="13">
        <v>-153618562.66999996</v>
      </c>
      <c r="H105" s="13">
        <v>94943311.75999999</v>
      </c>
      <c r="I105" s="13">
        <v>3320479770.2799993</v>
      </c>
      <c r="J105" s="13">
        <v>3456214832.1899996</v>
      </c>
      <c r="K105" s="13">
        <v>3329052370.3600001</v>
      </c>
      <c r="L105" s="13">
        <v>3465059802.6099997</v>
      </c>
      <c r="M105" s="13">
        <v>2743872251.8499994</v>
      </c>
      <c r="N105" s="13">
        <v>2803858246.0999999</v>
      </c>
    </row>
    <row r="106" spans="2:14" x14ac:dyDescent="0.25">
      <c r="B106" s="10">
        <v>20180228</v>
      </c>
      <c r="C106" s="13">
        <v>20549257.990000002</v>
      </c>
      <c r="D106" s="13">
        <v>1407340.52</v>
      </c>
      <c r="E106" s="13">
        <v>1351676.1</v>
      </c>
      <c r="F106" s="13">
        <v>-5688.19</v>
      </c>
      <c r="G106" s="13">
        <v>-108676368.68000001</v>
      </c>
      <c r="H106" s="13">
        <v>64432343.160000004</v>
      </c>
      <c r="I106" s="13">
        <v>3456214832.1899996</v>
      </c>
      <c r="J106" s="13">
        <v>3508744578.5600004</v>
      </c>
      <c r="K106" s="13">
        <v>3465059802.6099997</v>
      </c>
      <c r="L106" s="13">
        <v>3519381878.9100008</v>
      </c>
      <c r="M106" s="13">
        <v>2803858246.0999999</v>
      </c>
      <c r="N106" s="13">
        <v>2847707756.2999997</v>
      </c>
    </row>
    <row r="107" spans="2:14" x14ac:dyDescent="0.25">
      <c r="B107" s="10">
        <v>20180331</v>
      </c>
      <c r="C107" s="13">
        <v>19348521.159999996</v>
      </c>
      <c r="D107" s="13">
        <v>1618841.7500000002</v>
      </c>
      <c r="E107" s="13">
        <v>1473925</v>
      </c>
      <c r="F107" s="13">
        <v>-5144.4399999999996</v>
      </c>
      <c r="G107" s="13">
        <v>-298802025.84999996</v>
      </c>
      <c r="H107" s="13">
        <v>125986108.14000002</v>
      </c>
      <c r="I107" s="13">
        <v>3508744578.5600004</v>
      </c>
      <c r="J107" s="13">
        <v>3783419906.3900003</v>
      </c>
      <c r="K107" s="13">
        <v>3519381878.9100008</v>
      </c>
      <c r="L107" s="13">
        <v>3794109860.750001</v>
      </c>
      <c r="M107" s="13">
        <v>2847707756.2999997</v>
      </c>
      <c r="N107" s="13">
        <v>3022032195.3599997</v>
      </c>
    </row>
    <row r="108" spans="2:14" x14ac:dyDescent="0.25">
      <c r="B108" s="10">
        <v>20180430</v>
      </c>
      <c r="C108" s="13">
        <v>20302067.760000002</v>
      </c>
      <c r="D108" s="13">
        <v>1804333.8</v>
      </c>
      <c r="E108" s="13">
        <v>705600</v>
      </c>
      <c r="F108" s="13">
        <v>-5688.19</v>
      </c>
      <c r="G108" s="13">
        <v>-93407436.539999992</v>
      </c>
      <c r="H108" s="13">
        <v>57917128.049999997</v>
      </c>
      <c r="I108" s="13">
        <v>3783419906.3900003</v>
      </c>
      <c r="J108" s="13">
        <v>3839645203.4299998</v>
      </c>
      <c r="K108" s="13">
        <v>3794109860.750001</v>
      </c>
      <c r="L108" s="13">
        <v>3853651951.5400004</v>
      </c>
      <c r="M108" s="13">
        <v>3022032195.3599997</v>
      </c>
      <c r="N108" s="13">
        <v>3055991195.0099993</v>
      </c>
    </row>
    <row r="109" spans="2:14" x14ac:dyDescent="0.25">
      <c r="B109" s="10">
        <v>20180531</v>
      </c>
      <c r="C109" s="13">
        <v>22856933.009999994</v>
      </c>
      <c r="D109" s="13">
        <v>-141158.88000000006</v>
      </c>
      <c r="E109" s="13">
        <v>5062716.37</v>
      </c>
      <c r="F109" s="13">
        <v>-56716.95</v>
      </c>
      <c r="G109" s="13">
        <v>-405678662.09000003</v>
      </c>
      <c r="H109" s="13">
        <v>273466179.32000005</v>
      </c>
      <c r="I109" s="13">
        <v>3839645203.4299998</v>
      </c>
      <c r="J109" s="13">
        <v>4156822622.0300007</v>
      </c>
      <c r="K109" s="13">
        <v>3853651951.5400004</v>
      </c>
      <c r="L109" s="13">
        <v>4167450336.3200002</v>
      </c>
      <c r="M109" s="13">
        <v>3055991195.0099993</v>
      </c>
      <c r="N109" s="13">
        <v>3191420020.7199998</v>
      </c>
    </row>
    <row r="110" spans="2:14" x14ac:dyDescent="0.25">
      <c r="B110" s="10">
        <v>20180630</v>
      </c>
      <c r="C110" s="13">
        <v>22959323.730000004</v>
      </c>
      <c r="D110" s="13">
        <v>1428661.1500000004</v>
      </c>
      <c r="E110" s="13">
        <v>5073208.46</v>
      </c>
      <c r="F110" s="13">
        <v>-5688.19</v>
      </c>
      <c r="G110" s="13">
        <v>-427601014.62</v>
      </c>
      <c r="H110" s="13">
        <v>132045004.38999999</v>
      </c>
      <c r="I110" s="13">
        <v>4156822622.0300007</v>
      </c>
      <c r="J110" s="13">
        <v>4453763464.8899994</v>
      </c>
      <c r="K110" s="13">
        <v>4167450335.8200002</v>
      </c>
      <c r="L110" s="13">
        <v>4464796795.25</v>
      </c>
      <c r="M110" s="13">
        <v>3191420020.7199998</v>
      </c>
      <c r="N110" s="13">
        <v>3487969502.6299992</v>
      </c>
    </row>
    <row r="111" spans="2:14" x14ac:dyDescent="0.25">
      <c r="B111" s="10">
        <v>20180731</v>
      </c>
      <c r="C111" s="13">
        <v>21912099.160000008</v>
      </c>
      <c r="D111" s="13">
        <v>2480044.0599999996</v>
      </c>
      <c r="E111" s="13">
        <v>-513452</v>
      </c>
      <c r="F111" s="13">
        <v>-14446.95</v>
      </c>
      <c r="G111" s="13">
        <v>39871489.629999995</v>
      </c>
      <c r="H111" s="13">
        <v>61862289.700000003</v>
      </c>
      <c r="I111" s="13">
        <v>4453763464.8899994</v>
      </c>
      <c r="J111" s="13">
        <v>4356792994.4099998</v>
      </c>
      <c r="K111" s="13">
        <v>4464796795.25</v>
      </c>
      <c r="L111" s="13">
        <v>4368431557.04</v>
      </c>
      <c r="M111" s="13">
        <v>3487969502.6299992</v>
      </c>
      <c r="N111" s="13">
        <v>3388110535.0699987</v>
      </c>
    </row>
    <row r="112" spans="2:14" x14ac:dyDescent="0.25">
      <c r="B112" s="10">
        <v>20180831</v>
      </c>
      <c r="C112" s="13">
        <v>24457414.560000002</v>
      </c>
      <c r="D112" s="13">
        <v>1573674.21</v>
      </c>
      <c r="E112" s="13">
        <v>4533009.09</v>
      </c>
      <c r="F112" s="13">
        <v>-14230.41</v>
      </c>
      <c r="G112" s="13">
        <v>-499108819.29000002</v>
      </c>
      <c r="H112" s="13">
        <v>318694305.25999999</v>
      </c>
      <c r="I112" s="13">
        <v>4356792994.4099998</v>
      </c>
      <c r="J112" s="13">
        <v>4709094085.7199993</v>
      </c>
      <c r="K112" s="13">
        <v>4368431557.04</v>
      </c>
      <c r="L112" s="13">
        <v>4719849187.5499992</v>
      </c>
      <c r="M112" s="13">
        <v>3388110535.0699987</v>
      </c>
      <c r="N112" s="13">
        <v>3570723448.329999</v>
      </c>
    </row>
    <row r="113" spans="2:14" x14ac:dyDescent="0.25">
      <c r="B113" s="10">
        <v>20180930</v>
      </c>
      <c r="C113" s="13">
        <v>24486015.980000008</v>
      </c>
      <c r="D113" s="13">
        <v>1230577.1800000002</v>
      </c>
      <c r="E113" s="13">
        <v>14286591.290000001</v>
      </c>
      <c r="F113" s="13">
        <v>-14544.78</v>
      </c>
      <c r="G113" s="13">
        <v>-290429265.08999997</v>
      </c>
      <c r="H113" s="13">
        <v>197165627.72000003</v>
      </c>
      <c r="I113" s="13">
        <v>4709094085.7199993</v>
      </c>
      <c r="J113" s="13">
        <v>4908438862.5299997</v>
      </c>
      <c r="K113" s="13">
        <v>4719849187.5499992</v>
      </c>
      <c r="L113" s="13">
        <v>4917443402.0900002</v>
      </c>
      <c r="M113" s="13">
        <v>3570723448.329999</v>
      </c>
      <c r="N113" s="13">
        <v>3666968225.1399984</v>
      </c>
    </row>
    <row r="114" spans="2:14" x14ac:dyDescent="0.25">
      <c r="B114" s="10">
        <v>20181031</v>
      </c>
      <c r="C114" s="13">
        <v>26805715.190000001</v>
      </c>
      <c r="D114" s="13">
        <v>2251728.4599999995</v>
      </c>
      <c r="E114" s="13">
        <v>1794764.95</v>
      </c>
      <c r="F114" s="13">
        <v>-13478.34</v>
      </c>
      <c r="G114" s="13">
        <v>-183357595.18000001</v>
      </c>
      <c r="H114" s="13">
        <v>146807250.05000001</v>
      </c>
      <c r="I114" s="13">
        <v>4890824103.7399998</v>
      </c>
      <c r="J114" s="13">
        <v>4991203709.3699999</v>
      </c>
      <c r="K114" s="13">
        <v>4899121915.170001</v>
      </c>
      <c r="L114" s="13">
        <v>5006823988.8200006</v>
      </c>
      <c r="M114" s="13">
        <v>3716974376.9599991</v>
      </c>
      <c r="N114" s="13">
        <v>3748453982.5899997</v>
      </c>
    </row>
    <row r="115" spans="2:14" x14ac:dyDescent="0.25">
      <c r="B115" s="10">
        <v>20181130</v>
      </c>
      <c r="C115" s="13">
        <v>27188294.889999997</v>
      </c>
      <c r="D115" s="13">
        <v>1396966.5800000005</v>
      </c>
      <c r="E115" s="13">
        <v>1783812.45</v>
      </c>
      <c r="F115" s="13">
        <v>-14246.88</v>
      </c>
      <c r="G115" s="13">
        <v>-654584080.16999996</v>
      </c>
      <c r="H115" s="13">
        <v>311593193.19999999</v>
      </c>
      <c r="I115" s="13">
        <v>4991203709.3699999</v>
      </c>
      <c r="J115" s="13">
        <v>5527063507.9899998</v>
      </c>
      <c r="K115" s="13">
        <v>5006823988.8200006</v>
      </c>
      <c r="L115" s="13">
        <v>5541222092.2799997</v>
      </c>
      <c r="M115" s="13">
        <v>3748453982.5899997</v>
      </c>
      <c r="N115" s="13">
        <v>4094303531.2099986</v>
      </c>
    </row>
    <row r="116" spans="2:14" x14ac:dyDescent="0.25">
      <c r="B116" s="10">
        <v>20181231</v>
      </c>
      <c r="C116" s="13">
        <v>27638412.590000007</v>
      </c>
      <c r="D116" s="13">
        <v>1239916.9000000006</v>
      </c>
      <c r="E116" s="13">
        <v>3070454.27</v>
      </c>
      <c r="F116" s="13">
        <v>-13937.330000000002</v>
      </c>
      <c r="G116" s="13">
        <v>-445731237.38999999</v>
      </c>
      <c r="H116" s="13">
        <v>331493325.41000003</v>
      </c>
      <c r="I116" s="13">
        <v>5629563507.9899998</v>
      </c>
      <c r="J116" s="13">
        <v>5933101881.5800028</v>
      </c>
      <c r="K116" s="13">
        <v>5643722092.2799997</v>
      </c>
      <c r="L116" s="13">
        <v>5941697463.2200012</v>
      </c>
      <c r="M116" s="13">
        <v>4196803531.2099986</v>
      </c>
      <c r="N116" s="13">
        <v>4317844362.8000002</v>
      </c>
    </row>
    <row r="117" spans="2:14" x14ac:dyDescent="0.25">
      <c r="B117" s="10">
        <v>20190131</v>
      </c>
      <c r="C117" s="13">
        <v>30660590.860000014</v>
      </c>
      <c r="D117" s="13">
        <v>2200961.6999999997</v>
      </c>
      <c r="E117" s="13">
        <v>494778.69999999995</v>
      </c>
      <c r="F117" s="13">
        <v>-14472.58</v>
      </c>
      <c r="G117" s="13">
        <v>-374092794.37999988</v>
      </c>
      <c r="H117" s="13">
        <v>291942130.68000001</v>
      </c>
      <c r="I117" s="13">
        <v>6772125322.6100016</v>
      </c>
      <c r="J117" s="13">
        <v>6969054540.1600008</v>
      </c>
      <c r="K117" s="13">
        <v>6780720904.250001</v>
      </c>
      <c r="L117" s="13">
        <v>6979126621.7300014</v>
      </c>
      <c r="M117" s="13">
        <v>5156867803.8300018</v>
      </c>
      <c r="N117" s="13">
        <v>5239742929.380002</v>
      </c>
    </row>
    <row r="118" spans="2:14" x14ac:dyDescent="0.25">
      <c r="B118" s="10">
        <v>20190228</v>
      </c>
      <c r="C118" s="13">
        <v>33323388.770000014</v>
      </c>
      <c r="D118" s="13">
        <v>1186095.4799999997</v>
      </c>
      <c r="E118" s="13">
        <v>4537493.96</v>
      </c>
      <c r="F118" s="13">
        <v>-14647.320000000002</v>
      </c>
      <c r="G118" s="13">
        <v>-420990343.80000001</v>
      </c>
      <c r="H118" s="13">
        <v>272582381.37</v>
      </c>
      <c r="I118" s="13">
        <v>6969048695.5200005</v>
      </c>
      <c r="J118" s="13">
        <v>7345646209.29</v>
      </c>
      <c r="K118" s="13">
        <v>6979120777.0900021</v>
      </c>
      <c r="L118" s="13">
        <v>7353746130.6600018</v>
      </c>
      <c r="M118" s="13">
        <v>5239737084.7400026</v>
      </c>
      <c r="N118" s="13">
        <v>5391309147.460001</v>
      </c>
    </row>
    <row r="119" spans="2:14" x14ac:dyDescent="0.25">
      <c r="B119" s="10">
        <v>20190331</v>
      </c>
      <c r="C119" s="13">
        <v>31824221.840000004</v>
      </c>
      <c r="D119" s="13">
        <v>1611201.1900000004</v>
      </c>
      <c r="E119" s="13">
        <v>941491.68</v>
      </c>
      <c r="F119" s="13">
        <v>-13402.330000000002</v>
      </c>
      <c r="G119" s="13">
        <v>-272827013.30000007</v>
      </c>
      <c r="H119" s="13">
        <v>74629798.340000004</v>
      </c>
      <c r="I119" s="13">
        <v>7345646209.29</v>
      </c>
      <c r="J119" s="13">
        <v>7533237140.5700006</v>
      </c>
      <c r="K119" s="13">
        <v>7353746130.6600018</v>
      </c>
      <c r="L119" s="13">
        <v>7583528625.3200006</v>
      </c>
      <c r="M119" s="13">
        <v>5391309147.460001</v>
      </c>
      <c r="N119" s="13">
        <v>5548926000.2900009</v>
      </c>
    </row>
    <row r="120" spans="2:14" x14ac:dyDescent="0.25">
      <c r="B120" s="10">
        <v>20190430</v>
      </c>
      <c r="C120" s="13">
        <v>34498872.380000018</v>
      </c>
      <c r="D120" s="13">
        <v>2399846.2899999996</v>
      </c>
      <c r="E120" s="13">
        <v>1898220.14</v>
      </c>
      <c r="F120" s="13">
        <v>-15684.39</v>
      </c>
      <c r="G120" s="13">
        <v>-158899295.11000001</v>
      </c>
      <c r="H120" s="13">
        <v>198146225.30000004</v>
      </c>
      <c r="I120" s="13">
        <v>7657268401.8800001</v>
      </c>
      <c r="J120" s="13">
        <v>7689389331.3700008</v>
      </c>
      <c r="K120" s="13">
        <v>7796859660.5099993</v>
      </c>
      <c r="L120" s="13">
        <v>7830780800.4299994</v>
      </c>
      <c r="M120" s="13">
        <v>5672957261.6000004</v>
      </c>
      <c r="N120" s="13">
        <v>5634578191.0900002</v>
      </c>
    </row>
    <row r="121" spans="2:14" x14ac:dyDescent="0.25">
      <c r="B121" s="10">
        <v>20190531</v>
      </c>
      <c r="C121" s="13">
        <v>35387985.420000002</v>
      </c>
      <c r="D121" s="13">
        <v>1337229.6700000002</v>
      </c>
      <c r="E121" s="13">
        <v>1116545.32</v>
      </c>
      <c r="F121" s="13">
        <v>-13825.010000000002</v>
      </c>
      <c r="G121" s="13">
        <v>-216805966.74999997</v>
      </c>
      <c r="H121" s="13">
        <v>87955209.99000001</v>
      </c>
      <c r="I121" s="13">
        <v>7689381852.7500019</v>
      </c>
      <c r="J121" s="13">
        <v>7893068856.3800011</v>
      </c>
      <c r="K121" s="13">
        <v>7830773321.8100004</v>
      </c>
      <c r="L121" s="13">
        <v>8034612528.7100048</v>
      </c>
      <c r="M121" s="13">
        <v>5634570712.4700003</v>
      </c>
      <c r="N121" s="13">
        <v>5764771402.8199997</v>
      </c>
    </row>
    <row r="122" spans="2:14" x14ac:dyDescent="0.25">
      <c r="B122" s="10">
        <v>20190630</v>
      </c>
      <c r="C122" s="13">
        <v>34395332.610000007</v>
      </c>
      <c r="D122" s="13">
        <v>1605332.1100000003</v>
      </c>
      <c r="E122" s="13">
        <v>3079514.82</v>
      </c>
      <c r="F122" s="13">
        <v>-15097.82</v>
      </c>
      <c r="G122" s="13">
        <v>-326333189.88</v>
      </c>
      <c r="H122" s="13">
        <v>234159248.13000003</v>
      </c>
      <c r="I122" s="13">
        <v>7893068856.3800011</v>
      </c>
      <c r="J122" s="13">
        <v>8140251334.8499975</v>
      </c>
      <c r="K122" s="13">
        <v>8034612528.7100048</v>
      </c>
      <c r="L122" s="13">
        <v>8282688362.6499996</v>
      </c>
      <c r="M122" s="13">
        <v>5764771402.8199997</v>
      </c>
      <c r="N122" s="13">
        <v>5858268968.9899988</v>
      </c>
    </row>
    <row r="123" spans="2:14" x14ac:dyDescent="0.25">
      <c r="B123" s="10">
        <v>20190731</v>
      </c>
      <c r="C123" s="13">
        <v>28995107.280000024</v>
      </c>
      <c r="D123" s="13">
        <v>3004884.88</v>
      </c>
      <c r="E123" s="13">
        <v>542702.32000000007</v>
      </c>
      <c r="F123" s="13">
        <v>-19114.73</v>
      </c>
      <c r="G123" s="13">
        <v>-216404362.68000001</v>
      </c>
      <c r="H123" s="13">
        <v>175837220.38</v>
      </c>
      <c r="I123" s="13">
        <v>7442973105.8499975</v>
      </c>
      <c r="J123" s="13">
        <v>7573645520.4799976</v>
      </c>
      <c r="K123" s="13">
        <v>7630499882.1700001</v>
      </c>
      <c r="L123" s="13">
        <v>7762847888.1699991</v>
      </c>
      <c r="M123" s="13">
        <v>5160990739.9899998</v>
      </c>
      <c r="N123" s="13">
        <v>5203817628.0699978</v>
      </c>
    </row>
    <row r="124" spans="2:14" x14ac:dyDescent="0.25">
      <c r="B124" s="10">
        <v>20190831</v>
      </c>
      <c r="C124" s="13">
        <v>28120599.920000002</v>
      </c>
      <c r="D124" s="13">
        <v>2478063.7400000007</v>
      </c>
      <c r="E124" s="13">
        <v>1843780</v>
      </c>
      <c r="F124" s="13">
        <v>-54778.469999999994</v>
      </c>
      <c r="G124" s="13">
        <v>-330747114.11000001</v>
      </c>
      <c r="H124" s="13">
        <v>145895531.52000001</v>
      </c>
      <c r="I124" s="13">
        <v>7573645520.4799976</v>
      </c>
      <c r="J124" s="13">
        <v>7737443095.71</v>
      </c>
      <c r="K124" s="13">
        <v>7762847888.1699991</v>
      </c>
      <c r="L124" s="13">
        <v>7924070692.0500002</v>
      </c>
      <c r="M124" s="13">
        <v>5203817628.0699978</v>
      </c>
      <c r="N124" s="13">
        <v>5394358751.7299995</v>
      </c>
    </row>
    <row r="125" spans="2:14" x14ac:dyDescent="0.25">
      <c r="B125" s="10">
        <v>20190930</v>
      </c>
      <c r="C125" s="13">
        <v>29492194.010000017</v>
      </c>
      <c r="D125" s="13">
        <v>1876437.46</v>
      </c>
      <c r="E125" s="13">
        <v>1898975</v>
      </c>
      <c r="F125" s="13">
        <v>-24340.069999999996</v>
      </c>
      <c r="G125" s="13">
        <v>-383903260.11999995</v>
      </c>
      <c r="H125" s="13">
        <v>267801734.34</v>
      </c>
      <c r="I125" s="13">
        <v>7737443095.71</v>
      </c>
      <c r="J125" s="13">
        <v>8047845781.8999996</v>
      </c>
      <c r="K125" s="13">
        <v>7924070692.0500002</v>
      </c>
      <c r="L125" s="13">
        <v>8236124773.920001</v>
      </c>
      <c r="M125" s="13">
        <v>5394358751.7299995</v>
      </c>
      <c r="N125" s="13">
        <v>5511324414.4100008</v>
      </c>
    </row>
    <row r="126" spans="2:14" x14ac:dyDescent="0.25">
      <c r="B126" s="10">
        <v>20191031</v>
      </c>
      <c r="C126" s="13">
        <v>26324626.889999993</v>
      </c>
      <c r="D126" s="13">
        <v>3630541.0900000003</v>
      </c>
      <c r="E126" s="13">
        <v>1850694.21</v>
      </c>
      <c r="F126" s="13">
        <v>-41032.43</v>
      </c>
      <c r="G126" s="13">
        <v>-204614996.60999998</v>
      </c>
      <c r="H126" s="13">
        <v>60062715.880000003</v>
      </c>
      <c r="I126" s="13">
        <v>7847695728.6500015</v>
      </c>
      <c r="J126" s="13">
        <v>7995688745.2800007</v>
      </c>
      <c r="K126" s="13">
        <v>7903193689.3700018</v>
      </c>
      <c r="L126" s="13">
        <v>8051599809.579999</v>
      </c>
      <c r="M126" s="13">
        <v>5311174361.1599989</v>
      </c>
      <c r="N126" s="13">
        <v>5459309574.3299999</v>
      </c>
    </row>
    <row r="127" spans="2:14" x14ac:dyDescent="0.25">
      <c r="B127" s="10">
        <v>20191130</v>
      </c>
      <c r="C127" s="13">
        <v>30087454.059999995</v>
      </c>
      <c r="D127" s="13">
        <v>2239662.35</v>
      </c>
      <c r="E127" s="13">
        <v>2715910</v>
      </c>
      <c r="F127" s="13">
        <v>-32842.83</v>
      </c>
      <c r="G127" s="13">
        <v>-373924855.53000003</v>
      </c>
      <c r="H127" s="13">
        <v>265979901.13999999</v>
      </c>
      <c r="I127" s="13">
        <v>7995688745.2800007</v>
      </c>
      <c r="J127" s="13">
        <v>8320051542.7899981</v>
      </c>
      <c r="K127" s="13">
        <v>8051599809.579999</v>
      </c>
      <c r="L127" s="13">
        <v>8377307683.3399982</v>
      </c>
      <c r="M127" s="13">
        <v>5459309574.3299999</v>
      </c>
      <c r="N127" s="13">
        <v>5568149114.9299974</v>
      </c>
    </row>
    <row r="128" spans="2:14" x14ac:dyDescent="0.25">
      <c r="B128" s="10">
        <v>20191231</v>
      </c>
      <c r="C128" s="13">
        <v>29906392.22000001</v>
      </c>
      <c r="D128" s="13">
        <v>1970047.2699999996</v>
      </c>
      <c r="E128" s="13">
        <v>5627999.5599999996</v>
      </c>
      <c r="F128" s="13">
        <v>-32514.62</v>
      </c>
      <c r="G128" s="13">
        <v>-771368233.82999992</v>
      </c>
      <c r="H128" s="13">
        <v>322758869.10000002</v>
      </c>
      <c r="I128" s="13">
        <v>8320051542.7899981</v>
      </c>
      <c r="J128" s="13">
        <v>9032847979.7900028</v>
      </c>
      <c r="K128" s="13">
        <v>8377307683.3399982</v>
      </c>
      <c r="L128" s="13">
        <v>9110873609.2700024</v>
      </c>
      <c r="M128" s="13">
        <v>5568149114.9299974</v>
      </c>
      <c r="N128" s="13">
        <v>5998331649.6100016</v>
      </c>
    </row>
    <row r="129" spans="2:14" x14ac:dyDescent="0.25">
      <c r="B129" s="10">
        <v>20200131</v>
      </c>
      <c r="C129" s="13">
        <v>32963423.379999995</v>
      </c>
      <c r="D129" s="13">
        <v>3741392.7399999998</v>
      </c>
      <c r="E129" s="13">
        <v>315000</v>
      </c>
      <c r="F129" s="13">
        <v>-31876.320000000003</v>
      </c>
      <c r="G129" s="13">
        <v>-96911506.410000011</v>
      </c>
      <c r="H129" s="13">
        <v>19154710.530000005</v>
      </c>
      <c r="I129" s="13">
        <v>9497668827.0300026</v>
      </c>
      <c r="J129" s="13">
        <v>9503721829.2200012</v>
      </c>
      <c r="K129" s="13">
        <v>9575694456.5100021</v>
      </c>
      <c r="L129" s="13">
        <v>9584345795.2300014</v>
      </c>
      <c r="M129" s="13">
        <v>6463152496.8500013</v>
      </c>
      <c r="N129" s="13">
        <v>6542441050.8999987</v>
      </c>
    </row>
    <row r="130" spans="2:14" x14ac:dyDescent="0.25">
      <c r="B130" s="10">
        <v>20200229</v>
      </c>
      <c r="C130" s="13">
        <v>33227414.779999983</v>
      </c>
      <c r="D130" s="13">
        <v>1755448.2899999998</v>
      </c>
      <c r="E130" s="13">
        <v>8366004.1200000001</v>
      </c>
      <c r="F130" s="13">
        <v>-38702.550000000003</v>
      </c>
      <c r="G130" s="13">
        <v>-114952403.58999999</v>
      </c>
      <c r="H130" s="13">
        <v>115249946.3</v>
      </c>
      <c r="I130" s="13">
        <v>9503721829.2200012</v>
      </c>
      <c r="J130" s="13">
        <v>9341034763.7000008</v>
      </c>
      <c r="K130" s="13">
        <v>9584345795.2300014</v>
      </c>
      <c r="L130" s="13">
        <v>9426130403.9100018</v>
      </c>
      <c r="M130" s="13">
        <v>6542441050.8999987</v>
      </c>
      <c r="N130" s="13">
        <v>6539819813.7999992</v>
      </c>
    </row>
    <row r="131" spans="2:14" x14ac:dyDescent="0.25">
      <c r="B131" s="10">
        <v>20200331</v>
      </c>
      <c r="C131" s="13">
        <v>32670767.040000007</v>
      </c>
      <c r="D131" s="13">
        <v>2158999.1400000006</v>
      </c>
      <c r="E131" s="13">
        <v>0</v>
      </c>
      <c r="F131" s="13">
        <v>-37460.03</v>
      </c>
      <c r="G131" s="13">
        <v>-41197390.140000001</v>
      </c>
      <c r="H131" s="13">
        <v>140562582.36000001</v>
      </c>
      <c r="I131" s="13">
        <v>9341034763.7000008</v>
      </c>
      <c r="J131" s="13">
        <v>9223759738.3500004</v>
      </c>
      <c r="K131" s="13">
        <v>9426130403.9100018</v>
      </c>
      <c r="L131" s="13">
        <v>9343093926.1600018</v>
      </c>
      <c r="M131" s="13">
        <v>6539819813.7999992</v>
      </c>
      <c r="N131" s="13">
        <v>6376782092.7400007</v>
      </c>
    </row>
    <row r="132" spans="2:14" x14ac:dyDescent="0.25">
      <c r="B132" s="10">
        <v>20200430</v>
      </c>
      <c r="C132" s="13">
        <v>33117523.280000005</v>
      </c>
      <c r="D132" s="13">
        <v>3260334.6199999992</v>
      </c>
      <c r="E132" s="13">
        <v>1593095.5</v>
      </c>
      <c r="F132" s="13">
        <v>-45139.790000000008</v>
      </c>
      <c r="G132" s="13">
        <v>-286819159.96000004</v>
      </c>
      <c r="H132" s="13">
        <v>79829607.280000001</v>
      </c>
      <c r="I132" s="13">
        <v>9223759738.3500004</v>
      </c>
      <c r="J132" s="13">
        <v>9473462213.8800011</v>
      </c>
      <c r="K132" s="13">
        <v>9343093926.1600018</v>
      </c>
      <c r="L132" s="13">
        <v>9595315897.6599979</v>
      </c>
      <c r="M132" s="13">
        <v>6376782092.7400007</v>
      </c>
      <c r="N132" s="13">
        <v>6587212943.1599979</v>
      </c>
    </row>
    <row r="133" spans="2:14" x14ac:dyDescent="0.25">
      <c r="B133" s="10">
        <v>20200531</v>
      </c>
      <c r="C133" s="13">
        <v>33783023.139999993</v>
      </c>
      <c r="D133" s="13">
        <v>2798263.9700000011</v>
      </c>
      <c r="E133" s="13">
        <v>0</v>
      </c>
      <c r="F133" s="13">
        <v>-36317.449999999997</v>
      </c>
      <c r="G133" s="13">
        <v>-25625503.080000002</v>
      </c>
      <c r="H133" s="13">
        <v>74350.789999999994</v>
      </c>
      <c r="I133" s="13">
        <v>9473462213.8800011</v>
      </c>
      <c r="J133" s="13">
        <v>9506634590.7799969</v>
      </c>
      <c r="K133" s="13">
        <v>9595315897.6599979</v>
      </c>
      <c r="L133" s="13">
        <v>9623564018.329998</v>
      </c>
      <c r="M133" s="13">
        <v>6587212943.1599979</v>
      </c>
      <c r="N133" s="13">
        <v>6621007127.4299984</v>
      </c>
    </row>
    <row r="134" spans="2:14" x14ac:dyDescent="0.25">
      <c r="B134" s="10">
        <v>20200630</v>
      </c>
      <c r="C134" s="13">
        <v>33558554.230000012</v>
      </c>
      <c r="D134" s="13">
        <v>2761552.8299999996</v>
      </c>
      <c r="E134" s="13">
        <v>0</v>
      </c>
      <c r="F134" s="13">
        <v>-41370.340000000004</v>
      </c>
      <c r="G134" s="13">
        <v>-32115075.34</v>
      </c>
      <c r="H134" s="13">
        <v>-49069265.890000008</v>
      </c>
      <c r="I134" s="13">
        <v>9506634590.7799969</v>
      </c>
      <c r="J134" s="13">
        <v>9506830421.9199982</v>
      </c>
      <c r="K134" s="13">
        <v>9623564018.329998</v>
      </c>
      <c r="L134" s="13">
        <v>9586331115.0000019</v>
      </c>
      <c r="M134" s="13">
        <v>6621007127.4299984</v>
      </c>
      <c r="N134" s="13">
        <v>6700524746.4800034</v>
      </c>
    </row>
    <row r="135" spans="2:14" x14ac:dyDescent="0.25">
      <c r="B135" s="10">
        <v>20200731</v>
      </c>
      <c r="C135" s="13">
        <v>34297383.480000012</v>
      </c>
      <c r="D135" s="13">
        <v>3351351.8899999978</v>
      </c>
      <c r="E135" s="13">
        <v>0</v>
      </c>
      <c r="F135" s="13">
        <v>-40240.799999999996</v>
      </c>
      <c r="G135" s="13">
        <v>-40206834.780000001</v>
      </c>
      <c r="H135" s="13">
        <v>-95901.740000001751</v>
      </c>
      <c r="I135" s="13">
        <v>9506830421.9199982</v>
      </c>
      <c r="J135" s="13">
        <v>9553843890.5699997</v>
      </c>
      <c r="K135" s="13">
        <v>9586331115.0000019</v>
      </c>
      <c r="L135" s="13">
        <v>9629811914.9400024</v>
      </c>
      <c r="M135" s="13">
        <v>6700524746.4800034</v>
      </c>
      <c r="N135" s="13">
        <v>6747934996.6999998</v>
      </c>
    </row>
    <row r="136" spans="2:14" x14ac:dyDescent="0.25">
      <c r="B136" s="10">
        <v>20200831</v>
      </c>
      <c r="C136" s="13">
        <v>34401829.229999997</v>
      </c>
      <c r="D136" s="13">
        <v>2615588.0500000003</v>
      </c>
      <c r="E136" s="13">
        <v>544270</v>
      </c>
      <c r="F136" s="13">
        <v>-41633.050000000003</v>
      </c>
      <c r="G136" s="13">
        <v>-29221333.41</v>
      </c>
      <c r="H136" s="13">
        <v>16105195.970000001</v>
      </c>
      <c r="I136" s="13">
        <v>9553843890.5699997</v>
      </c>
      <c r="J136" s="13">
        <v>9561890390.7199993</v>
      </c>
      <c r="K136" s="13">
        <v>9629811914.9400024</v>
      </c>
      <c r="L136" s="13">
        <v>9637489222.8600044</v>
      </c>
      <c r="M136" s="13">
        <v>6747934996.6999998</v>
      </c>
      <c r="N136" s="13">
        <v>6764260802.5900011</v>
      </c>
    </row>
    <row r="137" spans="2:14" x14ac:dyDescent="0.25">
      <c r="B137" s="10">
        <v>20200930</v>
      </c>
      <c r="C137" s="13">
        <v>33944983.440000005</v>
      </c>
      <c r="D137" s="13">
        <v>2806338.96</v>
      </c>
      <c r="E137" s="13">
        <v>331973</v>
      </c>
      <c r="F137" s="13">
        <v>-41663.86</v>
      </c>
      <c r="G137" s="13">
        <v>-84953279.789999992</v>
      </c>
      <c r="H137" s="13">
        <v>5008598.21</v>
      </c>
      <c r="I137" s="13">
        <v>9561890390.7199993</v>
      </c>
      <c r="J137" s="13">
        <v>9568692597.7200012</v>
      </c>
      <c r="K137" s="13">
        <v>9637489222.8600044</v>
      </c>
      <c r="L137" s="13">
        <v>9688881804.3400002</v>
      </c>
      <c r="M137" s="13">
        <v>6764260802.5900011</v>
      </c>
      <c r="N137" s="13">
        <v>6766174406.0099974</v>
      </c>
    </row>
    <row r="138" spans="2:14" x14ac:dyDescent="0.25">
      <c r="J138"/>
    </row>
    <row r="139" spans="2:14" x14ac:dyDescent="0.25">
      <c r="J13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EDA3C-CFEE-4E10-83AD-EB2BBE65F53E}">
  <dimension ref="B3:D133"/>
  <sheetViews>
    <sheetView workbookViewId="0"/>
  </sheetViews>
  <sheetFormatPr defaultRowHeight="15" x14ac:dyDescent="0.25"/>
  <cols>
    <col min="2" max="2" width="13.42578125" bestFit="1" customWidth="1"/>
    <col min="3" max="3" width="22.5703125" bestFit="1" customWidth="1"/>
    <col min="4" max="4" width="29" bestFit="1" customWidth="1"/>
  </cols>
  <sheetData>
    <row r="3" spans="2:4" x14ac:dyDescent="0.25">
      <c r="B3" s="9" t="s">
        <v>121</v>
      </c>
      <c r="C3" t="s">
        <v>250</v>
      </c>
      <c r="D3" t="s">
        <v>251</v>
      </c>
    </row>
    <row r="4" spans="2:4" x14ac:dyDescent="0.25">
      <c r="B4" t="s">
        <v>274</v>
      </c>
      <c r="C4" s="13">
        <v>1</v>
      </c>
      <c r="D4" s="13">
        <v>1</v>
      </c>
    </row>
    <row r="5" spans="2:4" x14ac:dyDescent="0.25">
      <c r="B5">
        <v>20100131</v>
      </c>
      <c r="C5" s="13">
        <v>47</v>
      </c>
      <c r="D5" s="13">
        <v>1</v>
      </c>
    </row>
    <row r="6" spans="2:4" x14ac:dyDescent="0.25">
      <c r="B6">
        <v>20100228</v>
      </c>
      <c r="C6" s="13">
        <v>47</v>
      </c>
      <c r="D6" s="13">
        <v>1</v>
      </c>
    </row>
    <row r="7" spans="2:4" x14ac:dyDescent="0.25">
      <c r="B7">
        <v>20100331</v>
      </c>
      <c r="C7" s="13">
        <v>48</v>
      </c>
      <c r="D7" s="13">
        <v>1</v>
      </c>
    </row>
    <row r="8" spans="2:4" x14ac:dyDescent="0.25">
      <c r="B8">
        <v>20100430</v>
      </c>
      <c r="C8" s="13">
        <v>46</v>
      </c>
      <c r="D8" s="13">
        <v>1</v>
      </c>
    </row>
    <row r="9" spans="2:4" x14ac:dyDescent="0.25">
      <c r="B9">
        <v>20100531</v>
      </c>
      <c r="C9" s="13">
        <v>46</v>
      </c>
      <c r="D9" s="13">
        <v>1</v>
      </c>
    </row>
    <row r="10" spans="2:4" x14ac:dyDescent="0.25">
      <c r="B10">
        <v>20100630</v>
      </c>
      <c r="C10" s="13">
        <v>42</v>
      </c>
      <c r="D10" s="13">
        <v>1</v>
      </c>
    </row>
    <row r="11" spans="2:4" x14ac:dyDescent="0.25">
      <c r="B11">
        <v>20100731</v>
      </c>
      <c r="C11" s="13">
        <v>42</v>
      </c>
      <c r="D11" s="13">
        <v>1</v>
      </c>
    </row>
    <row r="12" spans="2:4" x14ac:dyDescent="0.25">
      <c r="B12">
        <v>20100831</v>
      </c>
      <c r="C12" s="13">
        <v>43</v>
      </c>
      <c r="D12" s="13">
        <v>1</v>
      </c>
    </row>
    <row r="13" spans="2:4" x14ac:dyDescent="0.25">
      <c r="B13">
        <v>20100930</v>
      </c>
      <c r="C13" s="13">
        <v>43</v>
      </c>
      <c r="D13" s="13">
        <v>1</v>
      </c>
    </row>
    <row r="14" spans="2:4" x14ac:dyDescent="0.25">
      <c r="B14">
        <v>20101031</v>
      </c>
      <c r="C14" s="13">
        <v>44</v>
      </c>
      <c r="D14" s="13">
        <v>2</v>
      </c>
    </row>
    <row r="15" spans="2:4" x14ac:dyDescent="0.25">
      <c r="B15">
        <v>20101130</v>
      </c>
      <c r="C15" s="13">
        <v>45</v>
      </c>
      <c r="D15" s="13">
        <v>2</v>
      </c>
    </row>
    <row r="16" spans="2:4" x14ac:dyDescent="0.25">
      <c r="B16">
        <v>20101231</v>
      </c>
      <c r="C16" s="13">
        <v>50</v>
      </c>
      <c r="D16" s="13">
        <v>2</v>
      </c>
    </row>
    <row r="17" spans="2:4" x14ac:dyDescent="0.25">
      <c r="B17">
        <v>20110131</v>
      </c>
      <c r="C17" s="13">
        <v>46</v>
      </c>
      <c r="D17" s="13">
        <v>2</v>
      </c>
    </row>
    <row r="18" spans="2:4" x14ac:dyDescent="0.25">
      <c r="B18">
        <v>20110228</v>
      </c>
      <c r="C18" s="13">
        <v>46</v>
      </c>
      <c r="D18" s="13">
        <v>2</v>
      </c>
    </row>
    <row r="19" spans="2:4" x14ac:dyDescent="0.25">
      <c r="B19">
        <v>20110331</v>
      </c>
      <c r="C19" s="13">
        <v>42</v>
      </c>
      <c r="D19" s="13">
        <v>2</v>
      </c>
    </row>
    <row r="20" spans="2:4" x14ac:dyDescent="0.25">
      <c r="B20">
        <v>20110430</v>
      </c>
      <c r="C20" s="13">
        <v>42</v>
      </c>
      <c r="D20" s="13">
        <v>2</v>
      </c>
    </row>
    <row r="21" spans="2:4" x14ac:dyDescent="0.25">
      <c r="B21">
        <v>20110531</v>
      </c>
      <c r="C21" s="13">
        <v>42</v>
      </c>
      <c r="D21" s="13">
        <v>2</v>
      </c>
    </row>
    <row r="22" spans="2:4" x14ac:dyDescent="0.25">
      <c r="B22">
        <v>20110630</v>
      </c>
      <c r="C22" s="13">
        <v>40</v>
      </c>
      <c r="D22" s="13">
        <v>2</v>
      </c>
    </row>
    <row r="23" spans="2:4" x14ac:dyDescent="0.25">
      <c r="B23">
        <v>20110731</v>
      </c>
      <c r="C23" s="13">
        <v>40</v>
      </c>
      <c r="D23" s="13">
        <v>2</v>
      </c>
    </row>
    <row r="24" spans="2:4" x14ac:dyDescent="0.25">
      <c r="B24">
        <v>20110831</v>
      </c>
      <c r="C24" s="13">
        <v>42</v>
      </c>
      <c r="D24" s="13">
        <v>2</v>
      </c>
    </row>
    <row r="25" spans="2:4" x14ac:dyDescent="0.25">
      <c r="B25">
        <v>20110930</v>
      </c>
      <c r="C25" s="13">
        <v>40</v>
      </c>
      <c r="D25" s="13">
        <v>2</v>
      </c>
    </row>
    <row r="26" spans="2:4" x14ac:dyDescent="0.25">
      <c r="B26">
        <v>20111031</v>
      </c>
      <c r="C26" s="13">
        <v>38</v>
      </c>
      <c r="D26" s="13">
        <v>2</v>
      </c>
    </row>
    <row r="27" spans="2:4" x14ac:dyDescent="0.25">
      <c r="B27">
        <v>20111130</v>
      </c>
      <c r="C27" s="13">
        <v>38</v>
      </c>
      <c r="D27" s="13">
        <v>2</v>
      </c>
    </row>
    <row r="28" spans="2:4" x14ac:dyDescent="0.25">
      <c r="B28">
        <v>20111231</v>
      </c>
      <c r="C28" s="13">
        <v>39</v>
      </c>
      <c r="D28" s="13">
        <v>3</v>
      </c>
    </row>
    <row r="29" spans="2:4" x14ac:dyDescent="0.25">
      <c r="B29">
        <v>20120131</v>
      </c>
      <c r="C29" s="13">
        <v>39</v>
      </c>
      <c r="D29" s="13">
        <v>3</v>
      </c>
    </row>
    <row r="30" spans="2:4" x14ac:dyDescent="0.25">
      <c r="B30">
        <v>20120229</v>
      </c>
      <c r="C30" s="13">
        <v>41</v>
      </c>
      <c r="D30" s="13">
        <v>3</v>
      </c>
    </row>
    <row r="31" spans="2:4" x14ac:dyDescent="0.25">
      <c r="B31">
        <v>20120331</v>
      </c>
      <c r="C31" s="13">
        <v>41</v>
      </c>
      <c r="D31" s="13">
        <v>3</v>
      </c>
    </row>
    <row r="32" spans="2:4" x14ac:dyDescent="0.25">
      <c r="B32">
        <v>20120430</v>
      </c>
      <c r="C32" s="13">
        <v>42</v>
      </c>
      <c r="D32" s="13">
        <v>3</v>
      </c>
    </row>
    <row r="33" spans="2:4" x14ac:dyDescent="0.25">
      <c r="B33">
        <v>20120531</v>
      </c>
      <c r="C33" s="13">
        <v>43</v>
      </c>
      <c r="D33" s="13">
        <v>3</v>
      </c>
    </row>
    <row r="34" spans="2:4" x14ac:dyDescent="0.25">
      <c r="B34">
        <v>20120630</v>
      </c>
      <c r="C34" s="13">
        <v>43</v>
      </c>
      <c r="D34" s="13">
        <v>3</v>
      </c>
    </row>
    <row r="35" spans="2:4" x14ac:dyDescent="0.25">
      <c r="B35">
        <v>20120731</v>
      </c>
      <c r="C35" s="13">
        <v>46</v>
      </c>
      <c r="D35" s="13">
        <v>3</v>
      </c>
    </row>
    <row r="36" spans="2:4" x14ac:dyDescent="0.25">
      <c r="B36">
        <v>20120831</v>
      </c>
      <c r="C36" s="13">
        <v>46</v>
      </c>
      <c r="D36" s="13">
        <v>3</v>
      </c>
    </row>
    <row r="37" spans="2:4" x14ac:dyDescent="0.25">
      <c r="B37">
        <v>20120930</v>
      </c>
      <c r="C37" s="13">
        <v>48</v>
      </c>
      <c r="D37" s="13">
        <v>3</v>
      </c>
    </row>
    <row r="38" spans="2:4" x14ac:dyDescent="0.25">
      <c r="B38">
        <v>20121031</v>
      </c>
      <c r="C38" s="13">
        <v>50</v>
      </c>
      <c r="D38" s="13">
        <v>4</v>
      </c>
    </row>
    <row r="39" spans="2:4" x14ac:dyDescent="0.25">
      <c r="B39">
        <v>20121130</v>
      </c>
      <c r="C39" s="13">
        <v>52</v>
      </c>
      <c r="D39" s="13">
        <v>4</v>
      </c>
    </row>
    <row r="40" spans="2:4" x14ac:dyDescent="0.25">
      <c r="B40">
        <v>20121231</v>
      </c>
      <c r="C40" s="13">
        <v>60</v>
      </c>
      <c r="D40" s="13">
        <v>4</v>
      </c>
    </row>
    <row r="41" spans="2:4" x14ac:dyDescent="0.25">
      <c r="B41">
        <v>20130131</v>
      </c>
      <c r="C41" s="13">
        <v>61</v>
      </c>
      <c r="D41" s="13">
        <v>4</v>
      </c>
    </row>
    <row r="42" spans="2:4" x14ac:dyDescent="0.25">
      <c r="B42">
        <v>20130228</v>
      </c>
      <c r="C42" s="13">
        <v>61</v>
      </c>
      <c r="D42" s="13">
        <v>4</v>
      </c>
    </row>
    <row r="43" spans="2:4" x14ac:dyDescent="0.25">
      <c r="B43">
        <v>20130331</v>
      </c>
      <c r="C43" s="13">
        <v>63</v>
      </c>
      <c r="D43" s="13">
        <v>4</v>
      </c>
    </row>
    <row r="44" spans="2:4" x14ac:dyDescent="0.25">
      <c r="B44">
        <v>20130430</v>
      </c>
      <c r="C44" s="13">
        <v>64</v>
      </c>
      <c r="D44" s="13">
        <v>4</v>
      </c>
    </row>
    <row r="45" spans="2:4" x14ac:dyDescent="0.25">
      <c r="B45">
        <v>20130531</v>
      </c>
      <c r="C45" s="13">
        <v>63</v>
      </c>
      <c r="D45" s="13">
        <v>4</v>
      </c>
    </row>
    <row r="46" spans="2:4" x14ac:dyDescent="0.25">
      <c r="B46">
        <v>20130630</v>
      </c>
      <c r="C46" s="13">
        <v>61</v>
      </c>
      <c r="D46" s="13">
        <v>4</v>
      </c>
    </row>
    <row r="47" spans="2:4" x14ac:dyDescent="0.25">
      <c r="B47">
        <v>20130731</v>
      </c>
      <c r="C47" s="13">
        <v>66</v>
      </c>
      <c r="D47" s="13">
        <v>5</v>
      </c>
    </row>
    <row r="48" spans="2:4" x14ac:dyDescent="0.25">
      <c r="B48">
        <v>20130831</v>
      </c>
      <c r="C48" s="13">
        <v>65</v>
      </c>
      <c r="D48" s="13">
        <v>5</v>
      </c>
    </row>
    <row r="49" spans="2:4" x14ac:dyDescent="0.25">
      <c r="B49">
        <v>20130930</v>
      </c>
      <c r="C49" s="13">
        <v>68</v>
      </c>
      <c r="D49" s="13">
        <v>5</v>
      </c>
    </row>
    <row r="50" spans="2:4" x14ac:dyDescent="0.25">
      <c r="B50">
        <v>20131031</v>
      </c>
      <c r="C50" s="13">
        <v>73</v>
      </c>
      <c r="D50" s="13">
        <v>5</v>
      </c>
    </row>
    <row r="51" spans="2:4" x14ac:dyDescent="0.25">
      <c r="B51">
        <v>20131130</v>
      </c>
      <c r="C51" s="13">
        <v>72</v>
      </c>
      <c r="D51" s="13">
        <v>5</v>
      </c>
    </row>
    <row r="52" spans="2:4" x14ac:dyDescent="0.25">
      <c r="B52">
        <v>20131231</v>
      </c>
      <c r="C52" s="13">
        <v>72</v>
      </c>
      <c r="D52" s="13">
        <v>5</v>
      </c>
    </row>
    <row r="53" spans="2:4" x14ac:dyDescent="0.25">
      <c r="B53">
        <v>20140131</v>
      </c>
      <c r="C53" s="13">
        <v>71</v>
      </c>
      <c r="D53" s="13">
        <v>5</v>
      </c>
    </row>
    <row r="54" spans="2:4" x14ac:dyDescent="0.25">
      <c r="B54">
        <v>20140228</v>
      </c>
      <c r="C54" s="13">
        <v>71</v>
      </c>
      <c r="D54" s="13">
        <v>5</v>
      </c>
    </row>
    <row r="55" spans="2:4" x14ac:dyDescent="0.25">
      <c r="B55">
        <v>20140331</v>
      </c>
      <c r="C55" s="13">
        <v>71</v>
      </c>
      <c r="D55" s="13">
        <v>5</v>
      </c>
    </row>
    <row r="56" spans="2:4" x14ac:dyDescent="0.25">
      <c r="B56">
        <v>20140430</v>
      </c>
      <c r="C56" s="13">
        <v>72</v>
      </c>
      <c r="D56" s="13">
        <v>5</v>
      </c>
    </row>
    <row r="57" spans="2:4" x14ac:dyDescent="0.25">
      <c r="B57">
        <v>20140531</v>
      </c>
      <c r="C57" s="13">
        <v>70</v>
      </c>
      <c r="D57" s="13">
        <v>5</v>
      </c>
    </row>
    <row r="58" spans="2:4" x14ac:dyDescent="0.25">
      <c r="B58">
        <v>20140630</v>
      </c>
      <c r="C58" s="13">
        <v>73</v>
      </c>
      <c r="D58" s="13">
        <v>6</v>
      </c>
    </row>
    <row r="59" spans="2:4" x14ac:dyDescent="0.25">
      <c r="B59">
        <v>20140731</v>
      </c>
      <c r="C59" s="13">
        <v>73</v>
      </c>
      <c r="D59" s="13">
        <v>6</v>
      </c>
    </row>
    <row r="60" spans="2:4" x14ac:dyDescent="0.25">
      <c r="B60">
        <v>20140831</v>
      </c>
      <c r="C60" s="13">
        <v>72</v>
      </c>
      <c r="D60" s="13">
        <v>6</v>
      </c>
    </row>
    <row r="61" spans="2:4" x14ac:dyDescent="0.25">
      <c r="B61">
        <v>20140930</v>
      </c>
      <c r="C61" s="13">
        <v>75</v>
      </c>
      <c r="D61" s="13">
        <v>6</v>
      </c>
    </row>
    <row r="62" spans="2:4" x14ac:dyDescent="0.25">
      <c r="B62">
        <v>20141031</v>
      </c>
      <c r="C62" s="13">
        <v>75</v>
      </c>
      <c r="D62" s="13">
        <v>6</v>
      </c>
    </row>
    <row r="63" spans="2:4" x14ac:dyDescent="0.25">
      <c r="B63">
        <v>20141130</v>
      </c>
      <c r="C63" s="13">
        <v>81</v>
      </c>
      <c r="D63" s="13">
        <v>6</v>
      </c>
    </row>
    <row r="64" spans="2:4" x14ac:dyDescent="0.25">
      <c r="B64">
        <v>20141231</v>
      </c>
      <c r="C64" s="13">
        <v>82</v>
      </c>
      <c r="D64" s="13">
        <v>6</v>
      </c>
    </row>
    <row r="65" spans="2:4" x14ac:dyDescent="0.25">
      <c r="B65">
        <v>20150131</v>
      </c>
      <c r="C65" s="13">
        <v>79</v>
      </c>
      <c r="D65" s="13">
        <v>6</v>
      </c>
    </row>
    <row r="66" spans="2:4" x14ac:dyDescent="0.25">
      <c r="B66">
        <v>20150228</v>
      </c>
      <c r="C66" s="13">
        <v>80</v>
      </c>
      <c r="D66" s="13">
        <v>6</v>
      </c>
    </row>
    <row r="67" spans="2:4" x14ac:dyDescent="0.25">
      <c r="B67">
        <v>20150331</v>
      </c>
      <c r="C67" s="13">
        <v>76</v>
      </c>
      <c r="D67" s="13">
        <v>6</v>
      </c>
    </row>
    <row r="68" spans="2:4" x14ac:dyDescent="0.25">
      <c r="B68">
        <v>20150430</v>
      </c>
      <c r="C68" s="13">
        <v>74</v>
      </c>
      <c r="D68" s="13">
        <v>6</v>
      </c>
    </row>
    <row r="69" spans="2:4" x14ac:dyDescent="0.25">
      <c r="B69">
        <v>20150531</v>
      </c>
      <c r="C69" s="13">
        <v>77</v>
      </c>
      <c r="D69" s="13">
        <v>6</v>
      </c>
    </row>
    <row r="70" spans="2:4" x14ac:dyDescent="0.25">
      <c r="B70">
        <v>20150630</v>
      </c>
      <c r="C70" s="13">
        <v>77</v>
      </c>
      <c r="D70" s="13">
        <v>6</v>
      </c>
    </row>
    <row r="71" spans="2:4" x14ac:dyDescent="0.25">
      <c r="B71">
        <v>20150731</v>
      </c>
      <c r="C71" s="13">
        <v>77</v>
      </c>
      <c r="D71" s="13">
        <v>6</v>
      </c>
    </row>
    <row r="72" spans="2:4" x14ac:dyDescent="0.25">
      <c r="B72">
        <v>20150831</v>
      </c>
      <c r="C72" s="13">
        <v>75</v>
      </c>
      <c r="D72" s="13">
        <v>6</v>
      </c>
    </row>
    <row r="73" spans="2:4" x14ac:dyDescent="0.25">
      <c r="B73">
        <v>20150930</v>
      </c>
      <c r="C73" s="13">
        <v>76</v>
      </c>
      <c r="D73" s="13">
        <v>6</v>
      </c>
    </row>
    <row r="74" spans="2:4" x14ac:dyDescent="0.25">
      <c r="B74">
        <v>20151031</v>
      </c>
      <c r="C74" s="13">
        <v>77</v>
      </c>
      <c r="D74" s="13">
        <v>6</v>
      </c>
    </row>
    <row r="75" spans="2:4" x14ac:dyDescent="0.25">
      <c r="B75">
        <v>20151130</v>
      </c>
      <c r="C75" s="13">
        <v>81</v>
      </c>
      <c r="D75" s="13">
        <v>6</v>
      </c>
    </row>
    <row r="76" spans="2:4" x14ac:dyDescent="0.25">
      <c r="B76">
        <v>20151231</v>
      </c>
      <c r="C76" s="13">
        <v>79</v>
      </c>
      <c r="D76" s="13">
        <v>6</v>
      </c>
    </row>
    <row r="77" spans="2:4" x14ac:dyDescent="0.25">
      <c r="B77">
        <v>20160131</v>
      </c>
      <c r="C77" s="13">
        <v>79</v>
      </c>
      <c r="D77" s="13">
        <v>6</v>
      </c>
    </row>
    <row r="78" spans="2:4" x14ac:dyDescent="0.25">
      <c r="B78">
        <v>20160229</v>
      </c>
      <c r="C78" s="13">
        <v>82</v>
      </c>
      <c r="D78" s="13">
        <v>6</v>
      </c>
    </row>
    <row r="79" spans="2:4" x14ac:dyDescent="0.25">
      <c r="B79">
        <v>20160331</v>
      </c>
      <c r="C79" s="13">
        <v>82</v>
      </c>
      <c r="D79" s="13">
        <v>6</v>
      </c>
    </row>
    <row r="80" spans="2:4" x14ac:dyDescent="0.25">
      <c r="B80">
        <v>20160430</v>
      </c>
      <c r="C80" s="13">
        <v>85</v>
      </c>
      <c r="D80" s="13">
        <v>6</v>
      </c>
    </row>
    <row r="81" spans="2:4" x14ac:dyDescent="0.25">
      <c r="B81">
        <v>20160531</v>
      </c>
      <c r="C81" s="13">
        <v>87</v>
      </c>
      <c r="D81" s="13">
        <v>6</v>
      </c>
    </row>
    <row r="82" spans="2:4" x14ac:dyDescent="0.25">
      <c r="B82">
        <v>20160630</v>
      </c>
      <c r="C82" s="13">
        <v>90</v>
      </c>
      <c r="D82" s="13">
        <v>6</v>
      </c>
    </row>
    <row r="83" spans="2:4" x14ac:dyDescent="0.25">
      <c r="B83">
        <v>20160731</v>
      </c>
      <c r="C83" s="13">
        <v>88</v>
      </c>
      <c r="D83" s="13">
        <v>6</v>
      </c>
    </row>
    <row r="84" spans="2:4" x14ac:dyDescent="0.25">
      <c r="B84">
        <v>20160831</v>
      </c>
      <c r="C84" s="13">
        <v>88</v>
      </c>
      <c r="D84" s="13">
        <v>6</v>
      </c>
    </row>
    <row r="85" spans="2:4" x14ac:dyDescent="0.25">
      <c r="B85">
        <v>20160930</v>
      </c>
      <c r="C85" s="13">
        <v>92</v>
      </c>
      <c r="D85" s="13">
        <v>6</v>
      </c>
    </row>
    <row r="86" spans="2:4" x14ac:dyDescent="0.25">
      <c r="B86">
        <v>20161031</v>
      </c>
      <c r="C86" s="13">
        <v>89</v>
      </c>
      <c r="D86" s="13">
        <v>6</v>
      </c>
    </row>
    <row r="87" spans="2:4" x14ac:dyDescent="0.25">
      <c r="B87">
        <v>20161130</v>
      </c>
      <c r="C87" s="13">
        <v>88</v>
      </c>
      <c r="D87" s="13">
        <v>6</v>
      </c>
    </row>
    <row r="88" spans="2:4" x14ac:dyDescent="0.25">
      <c r="B88">
        <v>20161231</v>
      </c>
      <c r="C88" s="13">
        <v>92</v>
      </c>
      <c r="D88" s="13">
        <v>6</v>
      </c>
    </row>
    <row r="89" spans="2:4" x14ac:dyDescent="0.25">
      <c r="B89">
        <v>20170131</v>
      </c>
      <c r="C89" s="13">
        <v>88</v>
      </c>
      <c r="D89" s="13">
        <v>6</v>
      </c>
    </row>
    <row r="90" spans="2:4" x14ac:dyDescent="0.25">
      <c r="B90">
        <v>20170228</v>
      </c>
      <c r="C90" s="13">
        <v>90</v>
      </c>
      <c r="D90" s="13">
        <v>6</v>
      </c>
    </row>
    <row r="91" spans="2:4" x14ac:dyDescent="0.25">
      <c r="B91">
        <v>20170331</v>
      </c>
      <c r="C91" s="13">
        <v>92</v>
      </c>
      <c r="D91" s="13">
        <v>6</v>
      </c>
    </row>
    <row r="92" spans="2:4" x14ac:dyDescent="0.25">
      <c r="B92">
        <v>20170430</v>
      </c>
      <c r="C92" s="13">
        <v>94</v>
      </c>
      <c r="D92" s="13">
        <v>6</v>
      </c>
    </row>
    <row r="93" spans="2:4" x14ac:dyDescent="0.25">
      <c r="B93">
        <v>20170531</v>
      </c>
      <c r="C93" s="13">
        <v>96</v>
      </c>
      <c r="D93" s="13">
        <v>6</v>
      </c>
    </row>
    <row r="94" spans="2:4" x14ac:dyDescent="0.25">
      <c r="B94">
        <v>20170630</v>
      </c>
      <c r="C94" s="13">
        <v>99</v>
      </c>
      <c r="D94" s="13">
        <v>6</v>
      </c>
    </row>
    <row r="95" spans="2:4" x14ac:dyDescent="0.25">
      <c r="B95">
        <v>20170731</v>
      </c>
      <c r="C95" s="13">
        <v>99</v>
      </c>
      <c r="D95" s="13">
        <v>7</v>
      </c>
    </row>
    <row r="96" spans="2:4" x14ac:dyDescent="0.25">
      <c r="B96">
        <v>20170831</v>
      </c>
      <c r="C96" s="13">
        <v>103</v>
      </c>
      <c r="D96" s="13">
        <v>7</v>
      </c>
    </row>
    <row r="97" spans="2:4" x14ac:dyDescent="0.25">
      <c r="B97">
        <v>20170930</v>
      </c>
      <c r="C97" s="13">
        <v>102</v>
      </c>
      <c r="D97" s="13">
        <v>7</v>
      </c>
    </row>
    <row r="98" spans="2:4" x14ac:dyDescent="0.25">
      <c r="B98">
        <v>20171031</v>
      </c>
      <c r="C98" s="13">
        <v>104</v>
      </c>
      <c r="D98" s="13">
        <v>7</v>
      </c>
    </row>
    <row r="99" spans="2:4" x14ac:dyDescent="0.25">
      <c r="B99">
        <v>20171130</v>
      </c>
      <c r="C99" s="13">
        <v>110</v>
      </c>
      <c r="D99" s="13">
        <v>7</v>
      </c>
    </row>
    <row r="100" spans="2:4" x14ac:dyDescent="0.25">
      <c r="B100">
        <v>20171231</v>
      </c>
      <c r="C100" s="13">
        <v>116</v>
      </c>
      <c r="D100" s="13">
        <v>7</v>
      </c>
    </row>
    <row r="101" spans="2:4" x14ac:dyDescent="0.25">
      <c r="B101">
        <v>20180131</v>
      </c>
      <c r="C101" s="13">
        <v>121</v>
      </c>
      <c r="D101" s="13">
        <v>7</v>
      </c>
    </row>
    <row r="102" spans="2:4" x14ac:dyDescent="0.25">
      <c r="B102">
        <v>20180228</v>
      </c>
      <c r="C102" s="13">
        <v>125</v>
      </c>
      <c r="D102" s="13">
        <v>7</v>
      </c>
    </row>
    <row r="103" spans="2:4" x14ac:dyDescent="0.25">
      <c r="B103">
        <v>20180331</v>
      </c>
      <c r="C103" s="13">
        <v>130</v>
      </c>
      <c r="D103" s="13">
        <v>7</v>
      </c>
    </row>
    <row r="104" spans="2:4" x14ac:dyDescent="0.25">
      <c r="B104">
        <v>20180430</v>
      </c>
      <c r="C104" s="13">
        <v>131</v>
      </c>
      <c r="D104" s="13">
        <v>7</v>
      </c>
    </row>
    <row r="105" spans="2:4" x14ac:dyDescent="0.25">
      <c r="B105">
        <v>20180531</v>
      </c>
      <c r="C105" s="13">
        <v>133</v>
      </c>
      <c r="D105" s="13">
        <v>7</v>
      </c>
    </row>
    <row r="106" spans="2:4" x14ac:dyDescent="0.25">
      <c r="B106">
        <v>20180630</v>
      </c>
      <c r="C106" s="13">
        <v>136</v>
      </c>
      <c r="D106" s="13">
        <v>7</v>
      </c>
    </row>
    <row r="107" spans="2:4" x14ac:dyDescent="0.25">
      <c r="B107">
        <v>20180731</v>
      </c>
      <c r="C107" s="13">
        <v>135</v>
      </c>
      <c r="D107" s="13">
        <v>7</v>
      </c>
    </row>
    <row r="108" spans="2:4" x14ac:dyDescent="0.25">
      <c r="B108">
        <v>20180831</v>
      </c>
      <c r="C108" s="13">
        <v>142</v>
      </c>
      <c r="D108" s="13">
        <v>7</v>
      </c>
    </row>
    <row r="109" spans="2:4" x14ac:dyDescent="0.25">
      <c r="B109">
        <v>20180930</v>
      </c>
      <c r="C109" s="13">
        <v>144</v>
      </c>
      <c r="D109" s="13">
        <v>7</v>
      </c>
    </row>
    <row r="110" spans="2:4" x14ac:dyDescent="0.25">
      <c r="B110">
        <v>20181031</v>
      </c>
      <c r="C110" s="13">
        <v>149</v>
      </c>
      <c r="D110" s="13">
        <v>7</v>
      </c>
    </row>
    <row r="111" spans="2:4" x14ac:dyDescent="0.25">
      <c r="B111">
        <v>20181130</v>
      </c>
      <c r="C111" s="13">
        <v>158</v>
      </c>
      <c r="D111" s="13">
        <v>7</v>
      </c>
    </row>
    <row r="112" spans="2:4" x14ac:dyDescent="0.25">
      <c r="B112">
        <v>20181231</v>
      </c>
      <c r="C112" s="13">
        <v>169</v>
      </c>
      <c r="D112" s="13">
        <v>8</v>
      </c>
    </row>
    <row r="113" spans="2:4" x14ac:dyDescent="0.25">
      <c r="B113">
        <v>20190131</v>
      </c>
      <c r="C113" s="13">
        <v>182</v>
      </c>
      <c r="D113" s="13">
        <v>8</v>
      </c>
    </row>
    <row r="114" spans="2:4" x14ac:dyDescent="0.25">
      <c r="B114">
        <v>20190228</v>
      </c>
      <c r="C114" s="13">
        <v>188</v>
      </c>
      <c r="D114" s="13">
        <v>8</v>
      </c>
    </row>
    <row r="115" spans="2:4" x14ac:dyDescent="0.25">
      <c r="B115">
        <v>20190331</v>
      </c>
      <c r="C115" s="13">
        <v>189</v>
      </c>
      <c r="D115" s="13">
        <v>8</v>
      </c>
    </row>
    <row r="116" spans="2:4" x14ac:dyDescent="0.25">
      <c r="B116">
        <v>20190430</v>
      </c>
      <c r="C116" s="13">
        <v>203</v>
      </c>
      <c r="D116" s="13">
        <v>9</v>
      </c>
    </row>
    <row r="117" spans="2:4" x14ac:dyDescent="0.25">
      <c r="B117">
        <v>20190531</v>
      </c>
      <c r="C117" s="13">
        <v>203</v>
      </c>
      <c r="D117" s="13">
        <v>9</v>
      </c>
    </row>
    <row r="118" spans="2:4" x14ac:dyDescent="0.25">
      <c r="B118">
        <v>20190630</v>
      </c>
      <c r="C118" s="13">
        <v>206</v>
      </c>
      <c r="D118" s="13">
        <v>9</v>
      </c>
    </row>
    <row r="119" spans="2:4" x14ac:dyDescent="0.25">
      <c r="B119">
        <v>20190731</v>
      </c>
      <c r="C119" s="13">
        <v>160</v>
      </c>
      <c r="D119" s="13">
        <v>8</v>
      </c>
    </row>
    <row r="120" spans="2:4" x14ac:dyDescent="0.25">
      <c r="B120">
        <v>20190831</v>
      </c>
      <c r="C120" s="13">
        <v>158</v>
      </c>
      <c r="D120" s="13">
        <v>8</v>
      </c>
    </row>
    <row r="121" spans="2:4" x14ac:dyDescent="0.25">
      <c r="B121">
        <v>20190930</v>
      </c>
      <c r="C121" s="13">
        <v>162</v>
      </c>
      <c r="D121" s="13">
        <v>8</v>
      </c>
    </row>
    <row r="122" spans="2:4" x14ac:dyDescent="0.25">
      <c r="B122">
        <v>20191031</v>
      </c>
      <c r="C122" s="13">
        <v>145</v>
      </c>
      <c r="D122" s="13">
        <v>7</v>
      </c>
    </row>
    <row r="123" spans="2:4" x14ac:dyDescent="0.25">
      <c r="B123">
        <v>20191130</v>
      </c>
      <c r="C123" s="13">
        <v>151</v>
      </c>
      <c r="D123" s="13">
        <v>7</v>
      </c>
    </row>
    <row r="124" spans="2:4" x14ac:dyDescent="0.25">
      <c r="B124">
        <v>20191231</v>
      </c>
      <c r="C124" s="13">
        <v>159</v>
      </c>
      <c r="D124" s="13">
        <v>7</v>
      </c>
    </row>
    <row r="125" spans="2:4" x14ac:dyDescent="0.25">
      <c r="B125">
        <v>20200131</v>
      </c>
      <c r="C125" s="13">
        <v>167</v>
      </c>
      <c r="D125" s="13">
        <v>8</v>
      </c>
    </row>
    <row r="126" spans="2:4" x14ac:dyDescent="0.25">
      <c r="B126">
        <v>20200229</v>
      </c>
      <c r="C126" s="13">
        <v>168</v>
      </c>
      <c r="D126" s="13">
        <v>8</v>
      </c>
    </row>
    <row r="127" spans="2:4" x14ac:dyDescent="0.25">
      <c r="B127">
        <v>20200331</v>
      </c>
      <c r="C127" s="13">
        <v>164</v>
      </c>
      <c r="D127" s="13">
        <v>8</v>
      </c>
    </row>
    <row r="128" spans="2:4" x14ac:dyDescent="0.25">
      <c r="B128">
        <v>20200430</v>
      </c>
      <c r="C128" s="13">
        <v>165</v>
      </c>
      <c r="D128" s="13">
        <v>8</v>
      </c>
    </row>
    <row r="129" spans="2:4" x14ac:dyDescent="0.25">
      <c r="B129">
        <v>20200531</v>
      </c>
      <c r="C129" s="13">
        <v>163</v>
      </c>
      <c r="D129" s="13">
        <v>8</v>
      </c>
    </row>
    <row r="130" spans="2:4" x14ac:dyDescent="0.25">
      <c r="B130">
        <v>20200630</v>
      </c>
      <c r="C130" s="13">
        <v>163</v>
      </c>
      <c r="D130" s="13">
        <v>8</v>
      </c>
    </row>
    <row r="131" spans="2:4" x14ac:dyDescent="0.25">
      <c r="B131">
        <v>20200731</v>
      </c>
      <c r="C131" s="13">
        <v>163</v>
      </c>
      <c r="D131" s="13">
        <v>8</v>
      </c>
    </row>
    <row r="132" spans="2:4" x14ac:dyDescent="0.25">
      <c r="B132">
        <v>20200831</v>
      </c>
      <c r="C132" s="13">
        <v>164</v>
      </c>
      <c r="D132" s="13">
        <v>8</v>
      </c>
    </row>
    <row r="133" spans="2:4" x14ac:dyDescent="0.25">
      <c r="B133">
        <v>20200930</v>
      </c>
      <c r="C133" s="13">
        <v>164</v>
      </c>
      <c r="D133" s="13">
        <v>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8BD56-373D-4B00-BDA4-7C6EC996A763}">
  <sheetPr codeName="Sheet9"/>
  <dimension ref="A2:T11690"/>
  <sheetViews>
    <sheetView workbookViewId="0"/>
  </sheetViews>
  <sheetFormatPr defaultRowHeight="15" x14ac:dyDescent="0.25"/>
  <cols>
    <col min="1" max="3" width="11" customWidth="1"/>
    <col min="4" max="4" width="12.5703125" customWidth="1"/>
    <col min="6" max="7" width="14.85546875" style="8" customWidth="1"/>
    <col min="8" max="8" width="16" style="8" customWidth="1"/>
    <col min="9" max="9" width="12.7109375" style="8" customWidth="1"/>
    <col min="10" max="10" width="16.42578125" style="8" customWidth="1"/>
    <col min="11" max="11" width="17.42578125" style="8" customWidth="1"/>
    <col min="12" max="12" width="16.140625" style="8" customWidth="1"/>
    <col min="13" max="16" width="17.85546875" style="8" customWidth="1"/>
    <col min="17" max="17" width="16.28515625" customWidth="1"/>
    <col min="18" max="18" width="18.28515625" customWidth="1"/>
    <col min="19" max="19" width="17.28515625" customWidth="1"/>
    <col min="20" max="20" width="12.140625" style="11" bestFit="1" customWidth="1"/>
  </cols>
  <sheetData>
    <row r="2" spans="1:20" x14ac:dyDescent="0.25">
      <c r="A2" t="s">
        <v>121</v>
      </c>
      <c r="B2" t="s">
        <v>13</v>
      </c>
      <c r="C2" t="s">
        <v>14</v>
      </c>
      <c r="D2" t="s">
        <v>120</v>
      </c>
      <c r="E2" t="s">
        <v>10</v>
      </c>
      <c r="F2" s="8" t="s">
        <v>122</v>
      </c>
      <c r="G2" s="8" t="s">
        <v>11</v>
      </c>
      <c r="H2" s="8" t="s">
        <v>12</v>
      </c>
      <c r="I2" s="8" t="s">
        <v>8</v>
      </c>
      <c r="J2" s="8" t="s">
        <v>243</v>
      </c>
      <c r="K2" s="8" t="s">
        <v>123</v>
      </c>
      <c r="L2" s="8" t="s">
        <v>124</v>
      </c>
      <c r="M2" s="8" t="s">
        <v>125</v>
      </c>
      <c r="N2" s="8" t="s">
        <v>159</v>
      </c>
      <c r="O2" s="8" t="s">
        <v>160</v>
      </c>
      <c r="P2" s="8" t="s">
        <v>126</v>
      </c>
      <c r="Q2" s="8" t="s">
        <v>127</v>
      </c>
      <c r="R2" s="11" t="s">
        <v>249</v>
      </c>
      <c r="T2"/>
    </row>
    <row r="3" spans="1:20" x14ac:dyDescent="0.25">
      <c r="A3">
        <v>20100131</v>
      </c>
      <c r="B3">
        <v>2010</v>
      </c>
      <c r="C3">
        <v>1</v>
      </c>
      <c r="D3">
        <v>1</v>
      </c>
      <c r="E3">
        <v>10050</v>
      </c>
      <c r="F3">
        <v>153981.01999999999</v>
      </c>
      <c r="G3">
        <v>0</v>
      </c>
      <c r="H3">
        <v>0</v>
      </c>
      <c r="I3">
        <v>-69.44</v>
      </c>
      <c r="J3">
        <v>0</v>
      </c>
      <c r="K3">
        <v>0</v>
      </c>
      <c r="L3">
        <v>14317126.949999999</v>
      </c>
      <c r="M3">
        <v>17015659.16</v>
      </c>
      <c r="N3">
        <v>14317126.949999999</v>
      </c>
      <c r="O3">
        <v>17015659.16</v>
      </c>
      <c r="P3">
        <v>33333334</v>
      </c>
      <c r="Q3">
        <v>33333334</v>
      </c>
      <c r="R3" s="14">
        <f>_xlfn.XLOOKUP(Table2[[#This Row],[LoanID]],Table1[G-L ID],Table1[ManagerCode],-99)</f>
        <v>103</v>
      </c>
      <c r="S3" s="8"/>
      <c r="T3"/>
    </row>
    <row r="4" spans="1:20" x14ac:dyDescent="0.25">
      <c r="A4">
        <v>20100131</v>
      </c>
      <c r="B4">
        <v>2010</v>
      </c>
      <c r="C4">
        <v>1</v>
      </c>
      <c r="D4">
        <v>1</v>
      </c>
      <c r="E4">
        <v>10080</v>
      </c>
      <c r="F4">
        <v>351042.71</v>
      </c>
      <c r="G4">
        <v>0</v>
      </c>
      <c r="H4">
        <v>0</v>
      </c>
      <c r="I4">
        <v>-161.46</v>
      </c>
      <c r="J4">
        <v>0</v>
      </c>
      <c r="K4">
        <v>0</v>
      </c>
      <c r="L4">
        <v>64869296.630000003</v>
      </c>
      <c r="M4">
        <v>66853958.469999999</v>
      </c>
      <c r="N4">
        <v>64869296.630000003</v>
      </c>
      <c r="O4">
        <v>66853958.469999999</v>
      </c>
      <c r="P4">
        <v>75000000</v>
      </c>
      <c r="Q4">
        <v>75000000</v>
      </c>
      <c r="R4" s="14">
        <f>_xlfn.XLOOKUP(Table2[[#This Row],[LoanID]],Table1[G-L ID],Table1[ManagerCode],-99)</f>
        <v>103</v>
      </c>
      <c r="S4" s="8"/>
      <c r="T4" s="8"/>
    </row>
    <row r="5" spans="1:20" x14ac:dyDescent="0.25">
      <c r="A5">
        <v>20100131</v>
      </c>
      <c r="B5">
        <v>2010</v>
      </c>
      <c r="C5">
        <v>1</v>
      </c>
      <c r="D5">
        <v>1</v>
      </c>
      <c r="E5">
        <v>10130</v>
      </c>
      <c r="F5">
        <v>38983.78</v>
      </c>
      <c r="G5">
        <v>0</v>
      </c>
      <c r="H5">
        <v>0</v>
      </c>
      <c r="I5">
        <v>0</v>
      </c>
      <c r="J5">
        <v>0</v>
      </c>
      <c r="K5">
        <v>28706.91</v>
      </c>
      <c r="L5">
        <v>8397280.4499999993</v>
      </c>
      <c r="M5">
        <v>8538743.7100000009</v>
      </c>
      <c r="N5">
        <v>8397280.4499999993</v>
      </c>
      <c r="O5">
        <v>8538743.7100000009</v>
      </c>
      <c r="P5">
        <v>8615199.5600000005</v>
      </c>
      <c r="Q5">
        <v>8586492.6500000004</v>
      </c>
      <c r="R5" s="14">
        <f>_xlfn.XLOOKUP(Table2[[#This Row],[LoanID]],Table1[G-L ID],Table1[ManagerCode],-99)</f>
        <v>103</v>
      </c>
      <c r="S5" s="4"/>
      <c r="T5" s="7"/>
    </row>
    <row r="6" spans="1:20" x14ac:dyDescent="0.25">
      <c r="A6">
        <v>20100131</v>
      </c>
      <c r="B6">
        <v>2010</v>
      </c>
      <c r="C6">
        <v>1</v>
      </c>
      <c r="D6">
        <v>1</v>
      </c>
      <c r="E6">
        <v>10140</v>
      </c>
      <c r="F6">
        <v>102750.6</v>
      </c>
      <c r="G6">
        <v>0</v>
      </c>
      <c r="H6">
        <v>0</v>
      </c>
      <c r="I6">
        <v>0</v>
      </c>
      <c r="J6">
        <v>0</v>
      </c>
      <c r="K6">
        <v>75073.73</v>
      </c>
      <c r="L6">
        <v>22132597.98</v>
      </c>
      <c r="M6">
        <v>22506328.07</v>
      </c>
      <c r="N6">
        <v>22132597.98</v>
      </c>
      <c r="O6">
        <v>22506328.07</v>
      </c>
      <c r="P6">
        <v>22707314.789999999</v>
      </c>
      <c r="Q6">
        <v>22632241.059999999</v>
      </c>
      <c r="R6" s="14">
        <f>_xlfn.XLOOKUP(Table2[[#This Row],[LoanID]],Table1[G-L ID],Table1[ManagerCode],-99)</f>
        <v>103</v>
      </c>
      <c r="S6" s="4"/>
      <c r="T6" s="7"/>
    </row>
    <row r="7" spans="1:20" x14ac:dyDescent="0.25">
      <c r="A7">
        <v>20100131</v>
      </c>
      <c r="B7">
        <v>2010</v>
      </c>
      <c r="C7">
        <v>1</v>
      </c>
      <c r="D7">
        <v>1</v>
      </c>
      <c r="E7">
        <v>10150</v>
      </c>
      <c r="F7">
        <v>249184.21</v>
      </c>
      <c r="G7">
        <v>0</v>
      </c>
      <c r="H7">
        <v>0</v>
      </c>
      <c r="I7">
        <v>0</v>
      </c>
      <c r="J7">
        <v>0</v>
      </c>
      <c r="K7">
        <v>64135.79</v>
      </c>
      <c r="L7">
        <v>45518331.93</v>
      </c>
      <c r="M7">
        <v>48352151.090000004</v>
      </c>
      <c r="N7">
        <v>45518331.93</v>
      </c>
      <c r="O7">
        <v>48352151.090000004</v>
      </c>
      <c r="P7">
        <v>53952386.119999997</v>
      </c>
      <c r="Q7">
        <v>53891819.149999999</v>
      </c>
      <c r="R7" s="14">
        <f>_xlfn.XLOOKUP(Table2[[#This Row],[LoanID]],Table1[G-L ID],Table1[ManagerCode],-99)</f>
        <v>103</v>
      </c>
      <c r="S7" s="4"/>
      <c r="T7" s="7"/>
    </row>
    <row r="8" spans="1:20" x14ac:dyDescent="0.25">
      <c r="A8">
        <v>20100131</v>
      </c>
      <c r="B8">
        <v>2010</v>
      </c>
      <c r="C8">
        <v>1</v>
      </c>
      <c r="D8">
        <v>1</v>
      </c>
      <c r="E8">
        <v>10170</v>
      </c>
      <c r="F8">
        <v>257263.55</v>
      </c>
      <c r="G8">
        <v>0</v>
      </c>
      <c r="H8">
        <v>0</v>
      </c>
      <c r="I8">
        <v>-1232.8900000000001</v>
      </c>
      <c r="J8">
        <v>0</v>
      </c>
      <c r="K8">
        <v>59740.95</v>
      </c>
      <c r="L8">
        <v>43712295.700000003</v>
      </c>
      <c r="M8">
        <v>44811579.299999997</v>
      </c>
      <c r="N8">
        <v>43712295.700000003</v>
      </c>
      <c r="O8">
        <v>44811579.299999997</v>
      </c>
      <c r="P8">
        <v>47724867.619999997</v>
      </c>
      <c r="Q8">
        <v>47665126.670000002</v>
      </c>
      <c r="R8" s="14">
        <f>_xlfn.XLOOKUP(Table2[[#This Row],[LoanID]],Table1[G-L ID],Table1[ManagerCode],-99)</f>
        <v>103</v>
      </c>
      <c r="S8" s="4"/>
      <c r="T8" s="7"/>
    </row>
    <row r="9" spans="1:20" x14ac:dyDescent="0.25">
      <c r="A9">
        <v>20100131</v>
      </c>
      <c r="B9">
        <v>2010</v>
      </c>
      <c r="C9">
        <v>1</v>
      </c>
      <c r="D9">
        <v>1</v>
      </c>
      <c r="E9">
        <v>10230</v>
      </c>
      <c r="F9">
        <v>189817.57</v>
      </c>
      <c r="G9">
        <v>0</v>
      </c>
      <c r="H9">
        <v>0</v>
      </c>
      <c r="I9">
        <v>0</v>
      </c>
      <c r="J9">
        <v>0</v>
      </c>
      <c r="K9">
        <v>51780.5</v>
      </c>
      <c r="L9">
        <v>18191369.129999999</v>
      </c>
      <c r="M9">
        <v>18531997.43</v>
      </c>
      <c r="N9">
        <v>18191369.129999999</v>
      </c>
      <c r="O9">
        <v>18531997.43</v>
      </c>
      <c r="P9">
        <v>33795412.259999998</v>
      </c>
      <c r="Q9">
        <v>33743631.759999998</v>
      </c>
      <c r="R9" s="14">
        <f>_xlfn.XLOOKUP(Table2[[#This Row],[LoanID]],Table1[G-L ID],Table1[ManagerCode],-99)</f>
        <v>103</v>
      </c>
      <c r="S9" s="4"/>
      <c r="T9" s="7"/>
    </row>
    <row r="10" spans="1:20" x14ac:dyDescent="0.25">
      <c r="A10">
        <v>20100131</v>
      </c>
      <c r="B10">
        <v>2010</v>
      </c>
      <c r="C10">
        <v>1</v>
      </c>
      <c r="D10">
        <v>1</v>
      </c>
      <c r="E10">
        <v>10280</v>
      </c>
      <c r="F10">
        <v>181412</v>
      </c>
      <c r="G10">
        <v>0</v>
      </c>
      <c r="H10">
        <v>0</v>
      </c>
      <c r="I10">
        <v>-602.79</v>
      </c>
      <c r="J10">
        <v>0</v>
      </c>
      <c r="K10">
        <v>0</v>
      </c>
      <c r="L10">
        <v>26004255.859999999</v>
      </c>
      <c r="M10">
        <v>28667894.780000001</v>
      </c>
      <c r="N10">
        <v>26004255.859999999</v>
      </c>
      <c r="O10">
        <v>28667894.780000001</v>
      </c>
      <c r="P10">
        <v>35000000</v>
      </c>
      <c r="Q10">
        <v>35000000</v>
      </c>
      <c r="R10" s="14">
        <f>_xlfn.XLOOKUP(Table2[[#This Row],[LoanID]],Table1[G-L ID],Table1[ManagerCode],-99)</f>
        <v>103</v>
      </c>
      <c r="S10" s="4"/>
      <c r="T10" s="7"/>
    </row>
    <row r="11" spans="1:20" x14ac:dyDescent="0.25">
      <c r="A11">
        <v>20100131</v>
      </c>
      <c r="B11">
        <v>2010</v>
      </c>
      <c r="C11">
        <v>1</v>
      </c>
      <c r="D11">
        <v>1</v>
      </c>
      <c r="E11">
        <v>10290</v>
      </c>
      <c r="F11">
        <v>171300.83</v>
      </c>
      <c r="G11">
        <v>0</v>
      </c>
      <c r="H11">
        <v>0</v>
      </c>
      <c r="I11">
        <v>-430.56</v>
      </c>
      <c r="J11">
        <v>0</v>
      </c>
      <c r="K11">
        <v>0</v>
      </c>
      <c r="L11">
        <v>20246336.780000001</v>
      </c>
      <c r="M11">
        <v>22212511.41</v>
      </c>
      <c r="N11">
        <v>20246336.780000001</v>
      </c>
      <c r="O11">
        <v>22212511.41</v>
      </c>
      <c r="P11">
        <v>25000000</v>
      </c>
      <c r="Q11">
        <v>25000000</v>
      </c>
      <c r="R11" s="14">
        <f>_xlfn.XLOOKUP(Table2[[#This Row],[LoanID]],Table1[G-L ID],Table1[ManagerCode],-99)</f>
        <v>103</v>
      </c>
      <c r="S11" s="4"/>
      <c r="T11" s="7"/>
    </row>
    <row r="12" spans="1:20" x14ac:dyDescent="0.25">
      <c r="A12">
        <v>20100131</v>
      </c>
      <c r="B12">
        <v>2010</v>
      </c>
      <c r="C12">
        <v>1</v>
      </c>
      <c r="D12">
        <v>1</v>
      </c>
      <c r="E12">
        <v>10370</v>
      </c>
      <c r="F12">
        <v>6413.69</v>
      </c>
      <c r="G12">
        <v>0</v>
      </c>
      <c r="H12">
        <v>0</v>
      </c>
      <c r="I12">
        <v>0</v>
      </c>
      <c r="J12">
        <v>0</v>
      </c>
      <c r="K12">
        <v>30954.65</v>
      </c>
      <c r="L12">
        <v>2347781.09</v>
      </c>
      <c r="M12">
        <v>2345430.06</v>
      </c>
      <c r="N12">
        <v>2347781.09</v>
      </c>
      <c r="O12">
        <v>2345430.06</v>
      </c>
      <c r="P12">
        <v>3742794.74</v>
      </c>
      <c r="Q12">
        <v>3711840.09</v>
      </c>
      <c r="R12" s="14">
        <f>_xlfn.XLOOKUP(Table2[[#This Row],[LoanID]],Table1[G-L ID],Table1[ManagerCode],-99)</f>
        <v>103</v>
      </c>
      <c r="S12" s="4"/>
      <c r="T12" s="7"/>
    </row>
    <row r="13" spans="1:20" x14ac:dyDescent="0.25">
      <c r="A13">
        <v>20100131</v>
      </c>
      <c r="B13">
        <v>2010</v>
      </c>
      <c r="C13">
        <v>1</v>
      </c>
      <c r="D13">
        <v>1</v>
      </c>
      <c r="E13">
        <v>10380</v>
      </c>
      <c r="F13">
        <v>58884.11</v>
      </c>
      <c r="G13">
        <v>0</v>
      </c>
      <c r="H13">
        <v>0</v>
      </c>
      <c r="I13">
        <v>-92.5</v>
      </c>
      <c r="J13">
        <v>0</v>
      </c>
      <c r="K13">
        <v>656.77</v>
      </c>
      <c r="L13">
        <v>9695490.8900000006</v>
      </c>
      <c r="M13">
        <v>9809122.5999999996</v>
      </c>
      <c r="N13">
        <v>9695490.8900000006</v>
      </c>
      <c r="O13">
        <v>9809122.5999999996</v>
      </c>
      <c r="P13">
        <v>11109851.619999999</v>
      </c>
      <c r="Q13">
        <v>11109194.85</v>
      </c>
      <c r="R13" s="14">
        <f>_xlfn.XLOOKUP(Table2[[#This Row],[LoanID]],Table1[G-L ID],Table1[ManagerCode],-99)</f>
        <v>103</v>
      </c>
      <c r="S13" s="4"/>
      <c r="T13" s="7"/>
    </row>
    <row r="14" spans="1:20" x14ac:dyDescent="0.25">
      <c r="A14">
        <v>20100131</v>
      </c>
      <c r="B14">
        <v>2010</v>
      </c>
      <c r="C14">
        <v>1</v>
      </c>
      <c r="D14">
        <v>1</v>
      </c>
      <c r="E14">
        <v>10390</v>
      </c>
      <c r="F14">
        <v>118750</v>
      </c>
      <c r="G14">
        <v>0</v>
      </c>
      <c r="H14">
        <v>0</v>
      </c>
      <c r="I14">
        <v>0</v>
      </c>
      <c r="J14">
        <v>0</v>
      </c>
      <c r="K14">
        <v>0</v>
      </c>
      <c r="L14">
        <v>18651276.940000001</v>
      </c>
      <c r="M14">
        <v>20491436</v>
      </c>
      <c r="N14">
        <v>18651276.940000001</v>
      </c>
      <c r="O14">
        <v>20491436</v>
      </c>
      <c r="P14">
        <v>24989387.68</v>
      </c>
      <c r="Q14">
        <v>24989591.760000002</v>
      </c>
      <c r="R14" s="14">
        <f>_xlfn.XLOOKUP(Table2[[#This Row],[LoanID]],Table1[G-L ID],Table1[ManagerCode],-99)</f>
        <v>103</v>
      </c>
      <c r="S14" s="4"/>
      <c r="T14" s="7"/>
    </row>
    <row r="15" spans="1:20" x14ac:dyDescent="0.25">
      <c r="A15">
        <v>20100131</v>
      </c>
      <c r="B15">
        <v>2010</v>
      </c>
      <c r="C15">
        <v>1</v>
      </c>
      <c r="D15">
        <v>1</v>
      </c>
      <c r="E15">
        <v>10450</v>
      </c>
      <c r="F15">
        <v>121999.92</v>
      </c>
      <c r="G15">
        <v>0</v>
      </c>
      <c r="H15">
        <v>0</v>
      </c>
      <c r="I15">
        <v>0</v>
      </c>
      <c r="J15">
        <v>0</v>
      </c>
      <c r="K15">
        <v>19815.330000000002</v>
      </c>
      <c r="L15">
        <v>17609795.829999998</v>
      </c>
      <c r="M15">
        <v>19104405.940000001</v>
      </c>
      <c r="N15">
        <v>17609795.829999998</v>
      </c>
      <c r="O15">
        <v>19104405.940000001</v>
      </c>
      <c r="P15">
        <v>21804749.629999999</v>
      </c>
      <c r="Q15">
        <v>21786441.98</v>
      </c>
      <c r="R15" s="14">
        <f>_xlfn.XLOOKUP(Table2[[#This Row],[LoanID]],Table1[G-L ID],Table1[ManagerCode],-99)</f>
        <v>103</v>
      </c>
      <c r="S15" s="4"/>
      <c r="T15" s="7"/>
    </row>
    <row r="16" spans="1:20" x14ac:dyDescent="0.25">
      <c r="A16">
        <v>20100131</v>
      </c>
      <c r="B16">
        <v>2010</v>
      </c>
      <c r="C16">
        <v>1</v>
      </c>
      <c r="D16">
        <v>1</v>
      </c>
      <c r="E16">
        <v>10520</v>
      </c>
      <c r="F16">
        <v>4956.46</v>
      </c>
      <c r="G16">
        <v>0</v>
      </c>
      <c r="H16">
        <v>0</v>
      </c>
      <c r="I16">
        <v>-12.13</v>
      </c>
      <c r="J16">
        <v>0</v>
      </c>
      <c r="K16">
        <v>0</v>
      </c>
      <c r="L16">
        <v>3916455.55</v>
      </c>
      <c r="M16">
        <v>3985747.25</v>
      </c>
      <c r="N16">
        <v>3916455.55</v>
      </c>
      <c r="O16">
        <v>3985747.25</v>
      </c>
      <c r="P16">
        <v>4158887.64</v>
      </c>
      <c r="Q16">
        <v>4158887.64</v>
      </c>
      <c r="R16" s="14">
        <f>_xlfn.XLOOKUP(Table2[[#This Row],[LoanID]],Table1[G-L ID],Table1[ManagerCode],-99)</f>
        <v>103</v>
      </c>
      <c r="S16" s="4"/>
      <c r="T16" s="7"/>
    </row>
    <row r="17" spans="1:20" x14ac:dyDescent="0.25">
      <c r="A17">
        <v>20100131</v>
      </c>
      <c r="B17">
        <v>2010</v>
      </c>
      <c r="C17">
        <v>1</v>
      </c>
      <c r="D17">
        <v>1</v>
      </c>
      <c r="E17">
        <v>10530</v>
      </c>
      <c r="F17">
        <v>107390.18</v>
      </c>
      <c r="G17">
        <v>0</v>
      </c>
      <c r="H17">
        <v>0</v>
      </c>
      <c r="I17">
        <v>-271.58</v>
      </c>
      <c r="J17">
        <v>0</v>
      </c>
      <c r="K17">
        <v>0</v>
      </c>
      <c r="L17">
        <v>84856452.120000005</v>
      </c>
      <c r="M17">
        <v>86357771.109999999</v>
      </c>
      <c r="N17">
        <v>84856452.120000005</v>
      </c>
      <c r="O17">
        <v>86357771.109999999</v>
      </c>
      <c r="P17">
        <v>90109231.989999995</v>
      </c>
      <c r="Q17">
        <v>90109231.989999995</v>
      </c>
      <c r="R17" s="14">
        <f>_xlfn.XLOOKUP(Table2[[#This Row],[LoanID]],Table1[G-L ID],Table1[ManagerCode],-99)</f>
        <v>103</v>
      </c>
      <c r="S17" s="4"/>
      <c r="T17" s="7"/>
    </row>
    <row r="18" spans="1:20" x14ac:dyDescent="0.25">
      <c r="A18">
        <v>20100131</v>
      </c>
      <c r="B18">
        <v>2010</v>
      </c>
      <c r="C18">
        <v>1</v>
      </c>
      <c r="D18">
        <v>1</v>
      </c>
      <c r="E18">
        <v>10540</v>
      </c>
      <c r="F18">
        <v>14869.41</v>
      </c>
      <c r="G18">
        <v>0</v>
      </c>
      <c r="H18">
        <v>0</v>
      </c>
      <c r="I18">
        <v>-37.6</v>
      </c>
      <c r="J18">
        <v>0</v>
      </c>
      <c r="K18">
        <v>0</v>
      </c>
      <c r="L18">
        <v>11749366.689999999</v>
      </c>
      <c r="M18">
        <v>11957241.810000001</v>
      </c>
      <c r="N18">
        <v>11749366.689999999</v>
      </c>
      <c r="O18">
        <v>11957241.810000001</v>
      </c>
      <c r="P18">
        <v>12476662.9</v>
      </c>
      <c r="Q18">
        <v>12476662.9</v>
      </c>
      <c r="R18" s="14">
        <f>_xlfn.XLOOKUP(Table2[[#This Row],[LoanID]],Table1[G-L ID],Table1[ManagerCode],-99)</f>
        <v>103</v>
      </c>
      <c r="S18" s="4"/>
      <c r="T18" s="7"/>
    </row>
    <row r="19" spans="1:20" x14ac:dyDescent="0.25">
      <c r="A19">
        <v>20100131</v>
      </c>
      <c r="B19">
        <v>2010</v>
      </c>
      <c r="C19">
        <v>1</v>
      </c>
      <c r="D19">
        <v>1</v>
      </c>
      <c r="E19">
        <v>10630</v>
      </c>
      <c r="F19">
        <v>50608.81</v>
      </c>
      <c r="G19">
        <v>0</v>
      </c>
      <c r="H19">
        <v>0</v>
      </c>
      <c r="I19">
        <v>-0.02</v>
      </c>
      <c r="J19">
        <v>0</v>
      </c>
      <c r="K19">
        <v>12007.27</v>
      </c>
      <c r="L19">
        <v>7480720.1399999997</v>
      </c>
      <c r="M19">
        <v>8132133.8200000003</v>
      </c>
      <c r="N19">
        <v>7480720.1399999997</v>
      </c>
      <c r="O19">
        <v>8132133.8200000003</v>
      </c>
      <c r="P19">
        <v>9474348.3300000001</v>
      </c>
      <c r="Q19">
        <v>9462341.0600000005</v>
      </c>
      <c r="R19" s="14">
        <f>_xlfn.XLOOKUP(Table2[[#This Row],[LoanID]],Table1[G-L ID],Table1[ManagerCode],-99)</f>
        <v>103</v>
      </c>
      <c r="S19" s="4"/>
      <c r="T19" s="7"/>
    </row>
    <row r="20" spans="1:20" x14ac:dyDescent="0.25">
      <c r="A20">
        <v>20100131</v>
      </c>
      <c r="B20">
        <v>2010</v>
      </c>
      <c r="C20">
        <v>1</v>
      </c>
      <c r="D20">
        <v>1</v>
      </c>
      <c r="E20">
        <v>10770</v>
      </c>
      <c r="F20">
        <v>172308.33</v>
      </c>
      <c r="G20">
        <v>0</v>
      </c>
      <c r="H20">
        <v>0</v>
      </c>
      <c r="I20">
        <v>0</v>
      </c>
      <c r="J20">
        <v>0</v>
      </c>
      <c r="K20">
        <v>0</v>
      </c>
      <c r="L20">
        <v>96090528.629999995</v>
      </c>
      <c r="M20">
        <v>97306287.879999995</v>
      </c>
      <c r="N20">
        <v>96090528.629999995</v>
      </c>
      <c r="O20">
        <v>97306287.879999995</v>
      </c>
      <c r="P20">
        <v>115000000</v>
      </c>
      <c r="Q20">
        <v>115000000</v>
      </c>
      <c r="R20" s="14">
        <f>_xlfn.XLOOKUP(Table2[[#This Row],[LoanID]],Table1[G-L ID],Table1[ManagerCode],-99)</f>
        <v>103</v>
      </c>
      <c r="S20" s="4"/>
      <c r="T20" s="7"/>
    </row>
    <row r="21" spans="1:20" x14ac:dyDescent="0.25">
      <c r="A21">
        <v>20100131</v>
      </c>
      <c r="B21">
        <v>2010</v>
      </c>
      <c r="C21">
        <v>1</v>
      </c>
      <c r="D21">
        <v>1</v>
      </c>
      <c r="E21">
        <v>10870</v>
      </c>
      <c r="F21">
        <v>292014.59999999998</v>
      </c>
      <c r="G21">
        <v>0</v>
      </c>
      <c r="H21">
        <v>0</v>
      </c>
      <c r="I21">
        <v>0</v>
      </c>
      <c r="J21">
        <v>0</v>
      </c>
      <c r="K21">
        <v>0</v>
      </c>
      <c r="L21">
        <v>168748888.5</v>
      </c>
      <c r="M21">
        <v>170903202.59999999</v>
      </c>
      <c r="N21">
        <v>168748888.5</v>
      </c>
      <c r="O21">
        <v>170903202.59999999</v>
      </c>
      <c r="P21">
        <v>201969754.09999999</v>
      </c>
      <c r="Q21">
        <v>201969754.09999999</v>
      </c>
      <c r="R21" s="14">
        <f>_xlfn.XLOOKUP(Table2[[#This Row],[LoanID]],Table1[G-L ID],Table1[ManagerCode],-99)</f>
        <v>103</v>
      </c>
      <c r="S21" s="4"/>
      <c r="T21" s="7"/>
    </row>
    <row r="22" spans="1:20" x14ac:dyDescent="0.25">
      <c r="A22">
        <v>20100131</v>
      </c>
      <c r="B22">
        <v>2010</v>
      </c>
      <c r="C22">
        <v>1</v>
      </c>
      <c r="D22">
        <v>1</v>
      </c>
      <c r="E22">
        <v>10950</v>
      </c>
      <c r="F22">
        <v>55990.74</v>
      </c>
      <c r="G22">
        <v>0</v>
      </c>
      <c r="H22">
        <v>0</v>
      </c>
      <c r="I22">
        <v>0</v>
      </c>
      <c r="J22">
        <v>0</v>
      </c>
      <c r="K22">
        <v>21032.28</v>
      </c>
      <c r="L22">
        <v>7024727.6500000004</v>
      </c>
      <c r="M22">
        <v>7153685.2000000002</v>
      </c>
      <c r="N22">
        <v>7024727.6500000004</v>
      </c>
      <c r="O22">
        <v>7153685.2000000002</v>
      </c>
      <c r="P22">
        <v>11273302.890000001</v>
      </c>
      <c r="Q22">
        <v>11252270.609999999</v>
      </c>
      <c r="R22" s="14">
        <f>_xlfn.XLOOKUP(Table2[[#This Row],[LoanID]],Table1[G-L ID],Table1[ManagerCode],-99)</f>
        <v>103</v>
      </c>
      <c r="S22" s="4"/>
      <c r="T22" s="7"/>
    </row>
    <row r="23" spans="1:20" x14ac:dyDescent="0.25">
      <c r="A23">
        <v>20100131</v>
      </c>
      <c r="B23">
        <v>2010</v>
      </c>
      <c r="C23">
        <v>1</v>
      </c>
      <c r="D23">
        <v>1</v>
      </c>
      <c r="E23">
        <v>11180</v>
      </c>
      <c r="F23">
        <v>212694.44</v>
      </c>
      <c r="G23">
        <v>0</v>
      </c>
      <c r="H23">
        <v>0</v>
      </c>
      <c r="I23">
        <v>0</v>
      </c>
      <c r="J23">
        <v>0</v>
      </c>
      <c r="K23">
        <v>0</v>
      </c>
      <c r="L23">
        <v>182105243.30000001</v>
      </c>
      <c r="M23">
        <v>184549223.80000001</v>
      </c>
      <c r="N23">
        <v>182105243.30000001</v>
      </c>
      <c r="O23">
        <v>184549223.80000001</v>
      </c>
      <c r="P23">
        <v>200000000</v>
      </c>
      <c r="Q23">
        <v>200000000</v>
      </c>
      <c r="R23" s="14">
        <f>_xlfn.XLOOKUP(Table2[[#This Row],[LoanID]],Table1[G-L ID],Table1[ManagerCode],-99)</f>
        <v>103</v>
      </c>
      <c r="S23" s="4"/>
      <c r="T23" s="7"/>
    </row>
    <row r="24" spans="1:20" x14ac:dyDescent="0.25">
      <c r="A24">
        <v>20100131</v>
      </c>
      <c r="B24">
        <v>2010</v>
      </c>
      <c r="C24">
        <v>1</v>
      </c>
      <c r="D24">
        <v>1</v>
      </c>
      <c r="E24">
        <v>11200</v>
      </c>
      <c r="F24">
        <v>69880</v>
      </c>
      <c r="G24">
        <v>0</v>
      </c>
      <c r="H24">
        <v>0</v>
      </c>
      <c r="I24">
        <v>0</v>
      </c>
      <c r="J24">
        <v>0</v>
      </c>
      <c r="K24">
        <v>0</v>
      </c>
      <c r="L24">
        <v>11808772.49</v>
      </c>
      <c r="M24">
        <v>12588249.720000001</v>
      </c>
      <c r="N24">
        <v>11808772.49</v>
      </c>
      <c r="O24">
        <v>12588249.720000001</v>
      </c>
      <c r="P24">
        <v>13976000</v>
      </c>
      <c r="Q24">
        <v>13976000</v>
      </c>
      <c r="R24" s="14">
        <f>_xlfn.XLOOKUP(Table2[[#This Row],[LoanID]],Table1[G-L ID],Table1[ManagerCode],-99)</f>
        <v>103</v>
      </c>
      <c r="S24" s="4"/>
      <c r="T24" s="7"/>
    </row>
    <row r="25" spans="1:20" x14ac:dyDescent="0.25">
      <c r="A25">
        <v>20100131</v>
      </c>
      <c r="B25">
        <v>2010</v>
      </c>
      <c r="C25">
        <v>1</v>
      </c>
      <c r="D25">
        <v>1</v>
      </c>
      <c r="E25">
        <v>11240</v>
      </c>
      <c r="F25">
        <v>252455.53</v>
      </c>
      <c r="G25">
        <v>0</v>
      </c>
      <c r="H25">
        <v>0</v>
      </c>
      <c r="I25">
        <v>0</v>
      </c>
      <c r="J25">
        <v>0</v>
      </c>
      <c r="K25">
        <v>0</v>
      </c>
      <c r="L25">
        <v>187870203.09999999</v>
      </c>
      <c r="M25">
        <v>190349920.40000001</v>
      </c>
      <c r="N25">
        <v>187870203.09999999</v>
      </c>
      <c r="O25">
        <v>190349920.40000001</v>
      </c>
      <c r="P25">
        <v>194929626.59999999</v>
      </c>
      <c r="Q25">
        <v>194929626.59999999</v>
      </c>
      <c r="R25" s="14">
        <f>_xlfn.XLOOKUP(Table2[[#This Row],[LoanID]],Table1[G-L ID],Table1[ManagerCode],-99)</f>
        <v>103</v>
      </c>
      <c r="S25" s="4"/>
      <c r="T25" s="7"/>
    </row>
    <row r="26" spans="1:20" x14ac:dyDescent="0.25">
      <c r="A26">
        <v>20100131</v>
      </c>
      <c r="B26">
        <v>2010</v>
      </c>
      <c r="C26">
        <v>1</v>
      </c>
      <c r="D26">
        <v>1</v>
      </c>
      <c r="E26">
        <v>11260</v>
      </c>
      <c r="F26">
        <v>14407.78</v>
      </c>
      <c r="G26">
        <v>0</v>
      </c>
      <c r="H26">
        <v>0</v>
      </c>
      <c r="I26">
        <v>-93.96</v>
      </c>
      <c r="J26">
        <v>0</v>
      </c>
      <c r="K26">
        <v>0</v>
      </c>
      <c r="L26">
        <v>10557196.609999999</v>
      </c>
      <c r="M26">
        <v>10696572</v>
      </c>
      <c r="N26">
        <v>10557196.609999999</v>
      </c>
      <c r="O26">
        <v>10696572</v>
      </c>
      <c r="P26">
        <v>11274673.789999999</v>
      </c>
      <c r="Q26">
        <v>11274673.789999999</v>
      </c>
      <c r="R26" s="14">
        <f>_xlfn.XLOOKUP(Table2[[#This Row],[LoanID]],Table1[G-L ID],Table1[ManagerCode],-99)</f>
        <v>103</v>
      </c>
      <c r="S26" s="4"/>
      <c r="T26" s="7"/>
    </row>
    <row r="27" spans="1:20" x14ac:dyDescent="0.25">
      <c r="A27">
        <v>20100131</v>
      </c>
      <c r="B27">
        <v>2010</v>
      </c>
      <c r="C27">
        <v>1</v>
      </c>
      <c r="D27">
        <v>1</v>
      </c>
      <c r="E27">
        <v>11270</v>
      </c>
      <c r="F27">
        <v>24012.97</v>
      </c>
      <c r="G27">
        <v>0</v>
      </c>
      <c r="H27">
        <v>0</v>
      </c>
      <c r="I27">
        <v>-156.59</v>
      </c>
      <c r="J27">
        <v>0</v>
      </c>
      <c r="K27">
        <v>0</v>
      </c>
      <c r="L27">
        <v>17595327.75</v>
      </c>
      <c r="M27">
        <v>17827620.050000001</v>
      </c>
      <c r="N27">
        <v>17595327.75</v>
      </c>
      <c r="O27">
        <v>17827620.050000001</v>
      </c>
      <c r="P27">
        <v>18791123.030000001</v>
      </c>
      <c r="Q27">
        <v>18791123.030000001</v>
      </c>
      <c r="R27" s="14">
        <f>_xlfn.XLOOKUP(Table2[[#This Row],[LoanID]],Table1[G-L ID],Table1[ManagerCode],-99)</f>
        <v>103</v>
      </c>
      <c r="S27" s="4"/>
      <c r="T27" s="7"/>
    </row>
    <row r="28" spans="1:20" x14ac:dyDescent="0.25">
      <c r="A28">
        <v>20100131</v>
      </c>
      <c r="B28">
        <v>2010</v>
      </c>
      <c r="C28">
        <v>1</v>
      </c>
      <c r="D28">
        <v>1</v>
      </c>
      <c r="E28">
        <v>11290</v>
      </c>
      <c r="F28">
        <v>21611.67</v>
      </c>
      <c r="G28">
        <v>0</v>
      </c>
      <c r="H28">
        <v>0</v>
      </c>
      <c r="I28">
        <v>-140.93</v>
      </c>
      <c r="J28">
        <v>0</v>
      </c>
      <c r="K28">
        <v>0</v>
      </c>
      <c r="L28">
        <v>15835794.949999999</v>
      </c>
      <c r="M28">
        <v>16044858.029999999</v>
      </c>
      <c r="N28">
        <v>15835794.949999999</v>
      </c>
      <c r="O28">
        <v>16044858.029999999</v>
      </c>
      <c r="P28">
        <v>16912010.73</v>
      </c>
      <c r="Q28">
        <v>16912010.73</v>
      </c>
      <c r="R28" s="14">
        <f>_xlfn.XLOOKUP(Table2[[#This Row],[LoanID]],Table1[G-L ID],Table1[ManagerCode],-99)</f>
        <v>103</v>
      </c>
      <c r="S28" s="4"/>
      <c r="T28" s="7"/>
    </row>
    <row r="29" spans="1:20" x14ac:dyDescent="0.25">
      <c r="A29">
        <v>20100131</v>
      </c>
      <c r="B29">
        <v>2010</v>
      </c>
      <c r="C29">
        <v>1</v>
      </c>
      <c r="D29">
        <v>1</v>
      </c>
      <c r="E29">
        <v>11380</v>
      </c>
      <c r="F29">
        <v>42504.94</v>
      </c>
      <c r="G29">
        <v>0</v>
      </c>
      <c r="H29">
        <v>0</v>
      </c>
      <c r="I29">
        <v>0.01</v>
      </c>
      <c r="J29">
        <v>0</v>
      </c>
      <c r="K29">
        <v>48195.06</v>
      </c>
      <c r="L29">
        <v>6749013.0099999998</v>
      </c>
      <c r="M29">
        <v>6898673.1500000004</v>
      </c>
      <c r="N29">
        <v>6749013.0099999998</v>
      </c>
      <c r="O29">
        <v>6898673.1500000004</v>
      </c>
      <c r="P29">
        <v>6432020.9699999997</v>
      </c>
      <c r="Q29">
        <v>6383825.9100000001</v>
      </c>
      <c r="R29" s="14">
        <f>_xlfn.XLOOKUP(Table2[[#This Row],[LoanID]],Table1[G-L ID],Table1[ManagerCode],-99)</f>
        <v>103</v>
      </c>
      <c r="S29" s="4"/>
      <c r="T29" s="7"/>
    </row>
    <row r="30" spans="1:20" x14ac:dyDescent="0.25">
      <c r="A30">
        <v>20100131</v>
      </c>
      <c r="B30">
        <v>2010</v>
      </c>
      <c r="C30">
        <v>1</v>
      </c>
      <c r="D30">
        <v>1</v>
      </c>
      <c r="E30">
        <v>11420</v>
      </c>
      <c r="F30">
        <v>514856.61</v>
      </c>
      <c r="G30">
        <v>0</v>
      </c>
      <c r="H30">
        <v>0</v>
      </c>
      <c r="I30">
        <v>0</v>
      </c>
      <c r="J30">
        <v>0</v>
      </c>
      <c r="K30">
        <v>0</v>
      </c>
      <c r="L30">
        <v>89513220.620000005</v>
      </c>
      <c r="M30">
        <v>93051297.260000005</v>
      </c>
      <c r="N30">
        <v>89513220.620000005</v>
      </c>
      <c r="O30">
        <v>93051297.260000005</v>
      </c>
      <c r="P30">
        <v>98000000</v>
      </c>
      <c r="Q30">
        <v>98000000</v>
      </c>
      <c r="R30" s="14">
        <f>_xlfn.XLOOKUP(Table2[[#This Row],[LoanID]],Table1[G-L ID],Table1[ManagerCode],-99)</f>
        <v>103</v>
      </c>
      <c r="S30" s="4"/>
      <c r="T30" s="7"/>
    </row>
    <row r="31" spans="1:20" x14ac:dyDescent="0.25">
      <c r="A31">
        <v>20100131</v>
      </c>
      <c r="B31">
        <v>2010</v>
      </c>
      <c r="C31">
        <v>1</v>
      </c>
      <c r="D31">
        <v>1</v>
      </c>
      <c r="E31">
        <v>11601</v>
      </c>
      <c r="F31">
        <v>0</v>
      </c>
      <c r="G31">
        <v>0</v>
      </c>
      <c r="H31">
        <v>0</v>
      </c>
      <c r="I31">
        <v>0</v>
      </c>
      <c r="J31">
        <v>0</v>
      </c>
      <c r="K31">
        <v>0</v>
      </c>
      <c r="L31">
        <v>37895750.189999998</v>
      </c>
      <c r="M31">
        <v>38274545.299999997</v>
      </c>
      <c r="N31">
        <v>37895750.189999998</v>
      </c>
      <c r="O31">
        <v>38274545.299999997</v>
      </c>
      <c r="P31">
        <v>39043587.07</v>
      </c>
      <c r="Q31">
        <v>39043587.07</v>
      </c>
      <c r="R31" s="14">
        <f>_xlfn.XLOOKUP(Table2[[#This Row],[LoanID]],Table1[G-L ID],Table1[ManagerCode],-99)</f>
        <v>103</v>
      </c>
      <c r="S31" s="4"/>
      <c r="T31" s="7"/>
    </row>
    <row r="32" spans="1:20" x14ac:dyDescent="0.25">
      <c r="A32">
        <v>20100131</v>
      </c>
      <c r="B32">
        <v>2010</v>
      </c>
      <c r="C32">
        <v>1</v>
      </c>
      <c r="D32">
        <v>1</v>
      </c>
      <c r="E32">
        <v>11602</v>
      </c>
      <c r="F32">
        <v>0</v>
      </c>
      <c r="G32">
        <v>0</v>
      </c>
      <c r="H32">
        <v>0</v>
      </c>
      <c r="I32">
        <v>0</v>
      </c>
      <c r="J32">
        <v>0</v>
      </c>
      <c r="K32">
        <v>0</v>
      </c>
      <c r="L32">
        <v>57663619.07</v>
      </c>
      <c r="M32">
        <v>58278033.68</v>
      </c>
      <c r="N32">
        <v>57663619.07</v>
      </c>
      <c r="O32">
        <v>58278033.68</v>
      </c>
      <c r="P32">
        <v>59517092.299999997</v>
      </c>
      <c r="Q32">
        <v>59522990.009999998</v>
      </c>
      <c r="R32" s="14">
        <f>_xlfn.XLOOKUP(Table2[[#This Row],[LoanID]],Table1[G-L ID],Table1[ManagerCode],-99)</f>
        <v>103</v>
      </c>
      <c r="S32" s="4"/>
      <c r="T32" s="7"/>
    </row>
    <row r="33" spans="1:20" x14ac:dyDescent="0.25">
      <c r="A33">
        <v>20100131</v>
      </c>
      <c r="B33">
        <v>2010</v>
      </c>
      <c r="C33">
        <v>1</v>
      </c>
      <c r="D33">
        <v>1</v>
      </c>
      <c r="E33">
        <v>11700</v>
      </c>
      <c r="F33">
        <v>0.03</v>
      </c>
      <c r="G33">
        <v>0</v>
      </c>
      <c r="H33">
        <v>593529.55000000005</v>
      </c>
      <c r="I33">
        <v>-0.06</v>
      </c>
      <c r="J33">
        <v>0</v>
      </c>
      <c r="K33">
        <v>33509543.949999999</v>
      </c>
      <c r="L33">
        <v>31260049.5</v>
      </c>
      <c r="M33">
        <v>0</v>
      </c>
      <c r="N33">
        <v>31260049.5</v>
      </c>
      <c r="O33">
        <v>0</v>
      </c>
      <c r="P33">
        <v>33509543.949999999</v>
      </c>
      <c r="Q33">
        <v>0</v>
      </c>
      <c r="R33" s="14">
        <f>_xlfn.XLOOKUP(Table2[[#This Row],[LoanID]],Table1[G-L ID],Table1[ManagerCode],-99)</f>
        <v>103</v>
      </c>
      <c r="S33" s="4"/>
      <c r="T33" s="7"/>
    </row>
    <row r="34" spans="1:20" x14ac:dyDescent="0.25">
      <c r="A34">
        <v>20100131</v>
      </c>
      <c r="B34">
        <v>2010</v>
      </c>
      <c r="C34">
        <v>1</v>
      </c>
      <c r="D34">
        <v>1</v>
      </c>
      <c r="E34">
        <v>11780</v>
      </c>
      <c r="F34">
        <v>192942.96</v>
      </c>
      <c r="G34">
        <v>0</v>
      </c>
      <c r="H34">
        <v>175000</v>
      </c>
      <c r="I34">
        <v>-1187.3399999999999</v>
      </c>
      <c r="J34">
        <v>0</v>
      </c>
      <c r="K34">
        <v>603988.11</v>
      </c>
      <c r="L34">
        <v>55561035.630000003</v>
      </c>
      <c r="M34">
        <v>55685274.649999999</v>
      </c>
      <c r="N34">
        <v>55561035.630000003</v>
      </c>
      <c r="O34">
        <v>55685274.649999999</v>
      </c>
      <c r="P34">
        <v>68942399.280000001</v>
      </c>
      <c r="Q34">
        <v>68338411.170000002</v>
      </c>
      <c r="R34" s="14">
        <f>_xlfn.XLOOKUP(Table2[[#This Row],[LoanID]],Table1[G-L ID],Table1[ManagerCode],-99)</f>
        <v>103</v>
      </c>
      <c r="S34" s="4"/>
      <c r="T34" s="7"/>
    </row>
    <row r="35" spans="1:20" x14ac:dyDescent="0.25">
      <c r="A35">
        <v>20100131</v>
      </c>
      <c r="B35">
        <v>2010</v>
      </c>
      <c r="C35">
        <v>1</v>
      </c>
      <c r="D35">
        <v>1</v>
      </c>
      <c r="E35">
        <v>11800</v>
      </c>
      <c r="F35">
        <v>171467.28</v>
      </c>
      <c r="G35">
        <v>0</v>
      </c>
      <c r="H35">
        <v>0</v>
      </c>
      <c r="I35">
        <v>-288.52</v>
      </c>
      <c r="J35">
        <v>-33505518.010000002</v>
      </c>
      <c r="K35">
        <v>50001.85</v>
      </c>
      <c r="L35">
        <v>0</v>
      </c>
      <c r="M35">
        <v>16285639.08</v>
      </c>
      <c r="N35">
        <v>0</v>
      </c>
      <c r="O35">
        <v>16285639.08</v>
      </c>
      <c r="P35">
        <v>0</v>
      </c>
      <c r="Q35">
        <v>33455516.16</v>
      </c>
      <c r="R35" s="14">
        <f>_xlfn.XLOOKUP(Table2[[#This Row],[LoanID]],Table1[G-L ID],Table1[ManagerCode],-99)</f>
        <v>103</v>
      </c>
      <c r="S35" s="4"/>
      <c r="T35" s="7"/>
    </row>
    <row r="36" spans="1:20" x14ac:dyDescent="0.25">
      <c r="A36">
        <v>20100131</v>
      </c>
      <c r="B36">
        <v>2010</v>
      </c>
      <c r="C36">
        <v>1</v>
      </c>
      <c r="D36">
        <v>1</v>
      </c>
      <c r="E36">
        <v>11810</v>
      </c>
      <c r="F36">
        <v>51166.67</v>
      </c>
      <c r="G36">
        <v>0</v>
      </c>
      <c r="H36">
        <v>0</v>
      </c>
      <c r="I36">
        <v>0</v>
      </c>
      <c r="J36">
        <v>0</v>
      </c>
      <c r="K36">
        <v>0</v>
      </c>
      <c r="L36">
        <v>6278906.3600000003</v>
      </c>
      <c r="M36">
        <v>7165818.54</v>
      </c>
      <c r="N36">
        <v>6278906.3600000003</v>
      </c>
      <c r="O36">
        <v>7165818.54</v>
      </c>
      <c r="P36">
        <v>10000000</v>
      </c>
      <c r="Q36">
        <v>10000000</v>
      </c>
      <c r="R36" s="14">
        <f>_xlfn.XLOOKUP(Table2[[#This Row],[LoanID]],Table1[G-L ID],Table1[ManagerCode],-99)</f>
        <v>103</v>
      </c>
      <c r="S36" s="4"/>
      <c r="T36" s="7"/>
    </row>
    <row r="37" spans="1:20" x14ac:dyDescent="0.25">
      <c r="A37">
        <v>20100131</v>
      </c>
      <c r="B37">
        <v>2010</v>
      </c>
      <c r="C37">
        <v>1</v>
      </c>
      <c r="D37">
        <v>1</v>
      </c>
      <c r="E37">
        <v>11860</v>
      </c>
      <c r="F37">
        <v>243177.78</v>
      </c>
      <c r="G37">
        <v>0</v>
      </c>
      <c r="H37">
        <v>0</v>
      </c>
      <c r="I37">
        <v>0</v>
      </c>
      <c r="J37">
        <v>0</v>
      </c>
      <c r="K37">
        <v>0</v>
      </c>
      <c r="L37">
        <v>45207986.57</v>
      </c>
      <c r="M37">
        <v>45698702.149999999</v>
      </c>
      <c r="N37">
        <v>45207986.57</v>
      </c>
      <c r="O37">
        <v>45698702.149999999</v>
      </c>
      <c r="P37">
        <v>49867832.93</v>
      </c>
      <c r="Q37">
        <v>49882518.159999996</v>
      </c>
      <c r="R37" s="14">
        <f>_xlfn.XLOOKUP(Table2[[#This Row],[LoanID]],Table1[G-L ID],Table1[ManagerCode],-99)</f>
        <v>103</v>
      </c>
      <c r="S37" s="4"/>
      <c r="T37" s="7"/>
    </row>
    <row r="38" spans="1:20" x14ac:dyDescent="0.25">
      <c r="A38">
        <v>20100131</v>
      </c>
      <c r="B38">
        <v>2010</v>
      </c>
      <c r="C38">
        <v>1</v>
      </c>
      <c r="D38">
        <v>1</v>
      </c>
      <c r="E38">
        <v>11870</v>
      </c>
      <c r="F38">
        <v>121588.89</v>
      </c>
      <c r="G38">
        <v>0</v>
      </c>
      <c r="H38">
        <v>0</v>
      </c>
      <c r="I38">
        <v>0</v>
      </c>
      <c r="J38">
        <v>0</v>
      </c>
      <c r="K38">
        <v>0</v>
      </c>
      <c r="L38">
        <v>22603993.289999999</v>
      </c>
      <c r="M38">
        <v>22849351.09</v>
      </c>
      <c r="N38">
        <v>22603993.289999999</v>
      </c>
      <c r="O38">
        <v>22849351.09</v>
      </c>
      <c r="P38">
        <v>24926916.18</v>
      </c>
      <c r="Q38">
        <v>24935036.600000001</v>
      </c>
      <c r="R38" s="14">
        <f>_xlfn.XLOOKUP(Table2[[#This Row],[LoanID]],Table1[G-L ID],Table1[ManagerCode],-99)</f>
        <v>103</v>
      </c>
      <c r="S38" s="4"/>
      <c r="T38" s="7"/>
    </row>
    <row r="39" spans="1:20" x14ac:dyDescent="0.25">
      <c r="A39">
        <v>20100131</v>
      </c>
      <c r="B39">
        <v>2010</v>
      </c>
      <c r="C39">
        <v>1</v>
      </c>
      <c r="D39">
        <v>1</v>
      </c>
      <c r="E39">
        <v>11930</v>
      </c>
      <c r="F39">
        <v>191179.64</v>
      </c>
      <c r="G39">
        <v>0</v>
      </c>
      <c r="H39">
        <v>0</v>
      </c>
      <c r="I39">
        <v>0</v>
      </c>
      <c r="J39">
        <v>0</v>
      </c>
      <c r="K39">
        <v>0</v>
      </c>
      <c r="L39">
        <v>188475311.59999999</v>
      </c>
      <c r="M39">
        <v>189542319.19999999</v>
      </c>
      <c r="N39">
        <v>188475311.59999999</v>
      </c>
      <c r="O39">
        <v>189542319.19999999</v>
      </c>
      <c r="P39">
        <v>195780481.30000001</v>
      </c>
      <c r="Q39">
        <v>195780481.30000001</v>
      </c>
      <c r="R39" s="14">
        <f>_xlfn.XLOOKUP(Table2[[#This Row],[LoanID]],Table1[G-L ID],Table1[ManagerCode],-99)</f>
        <v>103</v>
      </c>
      <c r="S39" s="4"/>
      <c r="T39" s="7"/>
    </row>
    <row r="40" spans="1:20" x14ac:dyDescent="0.25">
      <c r="A40">
        <v>20100131</v>
      </c>
      <c r="B40">
        <v>2010</v>
      </c>
      <c r="C40">
        <v>1</v>
      </c>
      <c r="D40">
        <v>1</v>
      </c>
      <c r="E40">
        <v>11940</v>
      </c>
      <c r="F40">
        <v>62615.93</v>
      </c>
      <c r="G40">
        <v>0</v>
      </c>
      <c r="H40">
        <v>0</v>
      </c>
      <c r="I40">
        <v>0</v>
      </c>
      <c r="J40">
        <v>0</v>
      </c>
      <c r="K40">
        <v>0</v>
      </c>
      <c r="L40">
        <v>59047603.710000001</v>
      </c>
      <c r="M40">
        <v>59522948.280000001</v>
      </c>
      <c r="N40">
        <v>59047603.710000001</v>
      </c>
      <c r="O40">
        <v>59522948.280000001</v>
      </c>
      <c r="P40">
        <v>64077333.710000001</v>
      </c>
      <c r="Q40">
        <v>64079499.57</v>
      </c>
      <c r="R40" s="14">
        <f>_xlfn.XLOOKUP(Table2[[#This Row],[LoanID]],Table1[G-L ID],Table1[ManagerCode],-99)</f>
        <v>103</v>
      </c>
      <c r="S40" s="4"/>
      <c r="T40" s="7"/>
    </row>
    <row r="41" spans="1:20" x14ac:dyDescent="0.25">
      <c r="A41">
        <v>20100131</v>
      </c>
      <c r="B41">
        <v>2010</v>
      </c>
      <c r="C41">
        <v>1</v>
      </c>
      <c r="D41">
        <v>1</v>
      </c>
      <c r="E41">
        <v>11951</v>
      </c>
      <c r="F41">
        <v>166619.82999999999</v>
      </c>
      <c r="G41">
        <v>0</v>
      </c>
      <c r="H41">
        <v>0</v>
      </c>
      <c r="I41">
        <v>-283.33</v>
      </c>
      <c r="J41">
        <v>0</v>
      </c>
      <c r="K41">
        <v>0</v>
      </c>
      <c r="L41">
        <v>34432632.689999998</v>
      </c>
      <c r="M41">
        <v>34575198.810000002</v>
      </c>
      <c r="N41">
        <v>34432632.689999998</v>
      </c>
      <c r="O41">
        <v>34575198.810000002</v>
      </c>
      <c r="P41">
        <v>33978647.57</v>
      </c>
      <c r="Q41">
        <v>33980290.060000002</v>
      </c>
      <c r="R41" s="14">
        <f>_xlfn.XLOOKUP(Table2[[#This Row],[LoanID]],Table1[G-L ID],Table1[ManagerCode],-99)</f>
        <v>103</v>
      </c>
      <c r="S41" s="4"/>
      <c r="T41" s="7"/>
    </row>
    <row r="42" spans="1:20" x14ac:dyDescent="0.25">
      <c r="A42">
        <v>20100131</v>
      </c>
      <c r="B42">
        <v>2010</v>
      </c>
      <c r="C42">
        <v>1</v>
      </c>
      <c r="D42">
        <v>1</v>
      </c>
      <c r="E42">
        <v>11952</v>
      </c>
      <c r="F42">
        <v>119241.5</v>
      </c>
      <c r="G42">
        <v>0</v>
      </c>
      <c r="H42">
        <v>0</v>
      </c>
      <c r="I42">
        <v>-175</v>
      </c>
      <c r="J42">
        <v>0</v>
      </c>
      <c r="K42">
        <v>0</v>
      </c>
      <c r="L42">
        <v>21072056.440000001</v>
      </c>
      <c r="M42">
        <v>21172175.600000001</v>
      </c>
      <c r="N42">
        <v>21072056.440000001</v>
      </c>
      <c r="O42">
        <v>21172175.600000001</v>
      </c>
      <c r="P42">
        <v>21000000</v>
      </c>
      <c r="Q42">
        <v>21000000</v>
      </c>
      <c r="R42" s="14">
        <f>_xlfn.XLOOKUP(Table2[[#This Row],[LoanID]],Table1[G-L ID],Table1[ManagerCode],-99)</f>
        <v>103</v>
      </c>
      <c r="S42" s="4"/>
      <c r="T42" s="7"/>
    </row>
    <row r="43" spans="1:20" x14ac:dyDescent="0.25">
      <c r="A43">
        <v>20100131</v>
      </c>
      <c r="B43">
        <v>2010</v>
      </c>
      <c r="C43">
        <v>1</v>
      </c>
      <c r="D43">
        <v>1</v>
      </c>
      <c r="E43">
        <v>12000</v>
      </c>
      <c r="F43">
        <v>129709.44</v>
      </c>
      <c r="G43">
        <v>0</v>
      </c>
      <c r="H43">
        <v>0</v>
      </c>
      <c r="I43">
        <v>0</v>
      </c>
      <c r="J43">
        <v>0</v>
      </c>
      <c r="K43">
        <v>0</v>
      </c>
      <c r="L43">
        <v>17866931.41</v>
      </c>
      <c r="M43">
        <v>18194854.199999999</v>
      </c>
      <c r="N43">
        <v>17866931.41</v>
      </c>
      <c r="O43">
        <v>18194854.199999999</v>
      </c>
      <c r="P43">
        <v>25082135.32</v>
      </c>
      <c r="Q43">
        <v>25082829.760000002</v>
      </c>
      <c r="R43" s="14">
        <f>_xlfn.XLOOKUP(Table2[[#This Row],[LoanID]],Table1[G-L ID],Table1[ManagerCode],-99)</f>
        <v>103</v>
      </c>
      <c r="S43" s="4"/>
      <c r="T43" s="7"/>
    </row>
    <row r="44" spans="1:20" x14ac:dyDescent="0.25">
      <c r="A44">
        <v>20100131</v>
      </c>
      <c r="B44">
        <v>2010</v>
      </c>
      <c r="C44">
        <v>1</v>
      </c>
      <c r="D44">
        <v>1</v>
      </c>
      <c r="E44">
        <v>12040</v>
      </c>
      <c r="F44">
        <v>62904.17</v>
      </c>
      <c r="G44">
        <v>0</v>
      </c>
      <c r="H44">
        <v>0</v>
      </c>
      <c r="I44">
        <v>-64.58</v>
      </c>
      <c r="J44">
        <v>0</v>
      </c>
      <c r="K44">
        <v>1282.29</v>
      </c>
      <c r="L44">
        <v>14905454.039999999</v>
      </c>
      <c r="M44">
        <v>14939430.859999999</v>
      </c>
      <c r="N44">
        <v>14905454.039999999</v>
      </c>
      <c r="O44">
        <v>14939430.859999999</v>
      </c>
      <c r="P44">
        <v>15007673.869999999</v>
      </c>
      <c r="Q44">
        <v>15006391.58</v>
      </c>
      <c r="R44" s="14">
        <f>_xlfn.XLOOKUP(Table2[[#This Row],[LoanID]],Table1[G-L ID],Table1[ManagerCode],-99)</f>
        <v>103</v>
      </c>
      <c r="S44" s="4"/>
      <c r="T44" s="7"/>
    </row>
    <row r="45" spans="1:20" x14ac:dyDescent="0.25">
      <c r="A45">
        <v>20100131</v>
      </c>
      <c r="B45">
        <v>2010</v>
      </c>
      <c r="C45">
        <v>1</v>
      </c>
      <c r="D45">
        <v>1</v>
      </c>
      <c r="E45">
        <v>12050</v>
      </c>
      <c r="F45">
        <v>43658.33</v>
      </c>
      <c r="G45">
        <v>0</v>
      </c>
      <c r="H45">
        <v>0</v>
      </c>
      <c r="I45">
        <v>-43.06</v>
      </c>
      <c r="J45">
        <v>0</v>
      </c>
      <c r="K45">
        <v>850.69</v>
      </c>
      <c r="L45">
        <v>9705487.8599999994</v>
      </c>
      <c r="M45">
        <v>9835702.4399999995</v>
      </c>
      <c r="N45">
        <v>9705487.8599999994</v>
      </c>
      <c r="O45">
        <v>9835702.4399999995</v>
      </c>
      <c r="P45">
        <v>10005090.92</v>
      </c>
      <c r="Q45">
        <v>10004240.23</v>
      </c>
      <c r="R45" s="14">
        <f>_xlfn.XLOOKUP(Table2[[#This Row],[LoanID]],Table1[G-L ID],Table1[ManagerCode],-99)</f>
        <v>103</v>
      </c>
      <c r="S45" s="4"/>
      <c r="T45" s="7"/>
    </row>
    <row r="46" spans="1:20" x14ac:dyDescent="0.25">
      <c r="A46">
        <v>20100131</v>
      </c>
      <c r="B46">
        <v>2010</v>
      </c>
      <c r="C46">
        <v>1</v>
      </c>
      <c r="D46">
        <v>1</v>
      </c>
      <c r="E46">
        <v>12060</v>
      </c>
      <c r="F46">
        <v>62904.17</v>
      </c>
      <c r="G46">
        <v>0</v>
      </c>
      <c r="H46">
        <v>0</v>
      </c>
      <c r="I46">
        <v>-64.58</v>
      </c>
      <c r="J46">
        <v>0</v>
      </c>
      <c r="K46">
        <v>1282.29</v>
      </c>
      <c r="L46">
        <v>14905454.039999999</v>
      </c>
      <c r="M46">
        <v>14939430.85</v>
      </c>
      <c r="N46">
        <v>14905454.039999999</v>
      </c>
      <c r="O46">
        <v>14939430.85</v>
      </c>
      <c r="P46">
        <v>15008956.16</v>
      </c>
      <c r="Q46">
        <v>15007673.869999999</v>
      </c>
      <c r="R46" s="14">
        <f>_xlfn.XLOOKUP(Table2[[#This Row],[LoanID]],Table1[G-L ID],Table1[ManagerCode],-99)</f>
        <v>103</v>
      </c>
      <c r="S46" s="4"/>
      <c r="T46" s="7"/>
    </row>
    <row r="47" spans="1:20" x14ac:dyDescent="0.25">
      <c r="A47">
        <v>20100131</v>
      </c>
      <c r="B47">
        <v>2010</v>
      </c>
      <c r="C47">
        <v>1</v>
      </c>
      <c r="D47">
        <v>1</v>
      </c>
      <c r="E47">
        <v>12070</v>
      </c>
      <c r="F47">
        <v>65487.5</v>
      </c>
      <c r="G47">
        <v>0</v>
      </c>
      <c r="H47">
        <v>0</v>
      </c>
      <c r="I47">
        <v>-64.58</v>
      </c>
      <c r="J47">
        <v>0</v>
      </c>
      <c r="K47">
        <v>1276.04</v>
      </c>
      <c r="L47">
        <v>14558231.789999999</v>
      </c>
      <c r="M47">
        <v>14753553.640000001</v>
      </c>
      <c r="N47">
        <v>14558231.789999999</v>
      </c>
      <c r="O47">
        <v>14753553.640000001</v>
      </c>
      <c r="P47">
        <v>15007636.369999999</v>
      </c>
      <c r="Q47">
        <v>15006360.33</v>
      </c>
      <c r="R47" s="14">
        <f>_xlfn.XLOOKUP(Table2[[#This Row],[LoanID]],Table1[G-L ID],Table1[ManagerCode],-99)</f>
        <v>103</v>
      </c>
      <c r="S47" s="4"/>
      <c r="T47" s="7"/>
    </row>
    <row r="48" spans="1:20" x14ac:dyDescent="0.25">
      <c r="A48">
        <v>20100131</v>
      </c>
      <c r="B48">
        <v>2010</v>
      </c>
      <c r="C48">
        <v>1</v>
      </c>
      <c r="D48">
        <v>1</v>
      </c>
      <c r="E48">
        <v>12200</v>
      </c>
      <c r="F48">
        <v>93077.63</v>
      </c>
      <c r="G48">
        <v>0</v>
      </c>
      <c r="H48">
        <v>0</v>
      </c>
      <c r="I48">
        <v>0</v>
      </c>
      <c r="J48">
        <v>0</v>
      </c>
      <c r="K48">
        <v>29131.93</v>
      </c>
      <c r="L48">
        <v>20069622.390000001</v>
      </c>
      <c r="M48">
        <v>20766103.050000001</v>
      </c>
      <c r="N48">
        <v>20069622.390000001</v>
      </c>
      <c r="O48">
        <v>20766103.050000001</v>
      </c>
      <c r="P48">
        <v>20250892.329999998</v>
      </c>
      <c r="Q48">
        <v>20222092.780000001</v>
      </c>
      <c r="R48" s="14">
        <f>_xlfn.XLOOKUP(Table2[[#This Row],[LoanID]],Table1[G-L ID],Table1[ManagerCode],-99)</f>
        <v>103</v>
      </c>
      <c r="S48" s="4"/>
      <c r="T48" s="7"/>
    </row>
    <row r="49" spans="1:20" x14ac:dyDescent="0.25">
      <c r="A49">
        <v>20100131</v>
      </c>
      <c r="B49">
        <v>2010</v>
      </c>
      <c r="C49">
        <v>1</v>
      </c>
      <c r="D49">
        <v>1</v>
      </c>
      <c r="E49">
        <v>12210</v>
      </c>
      <c r="F49">
        <v>746053.11</v>
      </c>
      <c r="G49">
        <v>0</v>
      </c>
      <c r="H49">
        <v>0</v>
      </c>
      <c r="I49">
        <v>0</v>
      </c>
      <c r="J49">
        <v>0</v>
      </c>
      <c r="K49">
        <v>160322.51999999999</v>
      </c>
      <c r="L49">
        <v>124814876.59999999</v>
      </c>
      <c r="M49">
        <v>128629228.09999999</v>
      </c>
      <c r="N49">
        <v>124814876.59999999</v>
      </c>
      <c r="O49">
        <v>128629228.09999999</v>
      </c>
      <c r="P49">
        <v>120712597.59999999</v>
      </c>
      <c r="Q49">
        <v>120552275.09999999</v>
      </c>
      <c r="R49" s="14">
        <f>_xlfn.XLOOKUP(Table2[[#This Row],[LoanID]],Table1[G-L ID],Table1[ManagerCode],-99)</f>
        <v>103</v>
      </c>
      <c r="S49" s="4"/>
      <c r="T49" s="7"/>
    </row>
    <row r="50" spans="1:20" x14ac:dyDescent="0.25">
      <c r="A50">
        <v>20100228</v>
      </c>
      <c r="B50">
        <v>2010</v>
      </c>
      <c r="C50">
        <v>2</v>
      </c>
      <c r="D50">
        <v>1</v>
      </c>
      <c r="E50">
        <v>10050</v>
      </c>
      <c r="F50">
        <v>153981.01999999999</v>
      </c>
      <c r="G50">
        <v>0</v>
      </c>
      <c r="H50">
        <v>0</v>
      </c>
      <c r="I50">
        <v>-69.44</v>
      </c>
      <c r="J50">
        <v>0</v>
      </c>
      <c r="K50">
        <v>0</v>
      </c>
      <c r="L50">
        <v>17015659.16</v>
      </c>
      <c r="M50">
        <v>17006875.050000001</v>
      </c>
      <c r="N50">
        <v>17015659.16</v>
      </c>
      <c r="O50">
        <v>17006875.050000001</v>
      </c>
      <c r="P50">
        <v>33333334</v>
      </c>
      <c r="Q50">
        <v>33333334</v>
      </c>
      <c r="R50" s="14">
        <f>_xlfn.XLOOKUP(Table2[[#This Row],[LoanID]],Table1[G-L ID],Table1[ManagerCode],-99)</f>
        <v>103</v>
      </c>
      <c r="S50" s="4"/>
      <c r="T50" s="7"/>
    </row>
    <row r="51" spans="1:20" x14ac:dyDescent="0.25">
      <c r="A51">
        <v>20100228</v>
      </c>
      <c r="B51">
        <v>2010</v>
      </c>
      <c r="C51">
        <v>2</v>
      </c>
      <c r="D51">
        <v>1</v>
      </c>
      <c r="E51">
        <v>10080</v>
      </c>
      <c r="F51">
        <v>351047.01</v>
      </c>
      <c r="G51">
        <v>0</v>
      </c>
      <c r="H51">
        <v>0</v>
      </c>
      <c r="I51">
        <v>-146.27000000000001</v>
      </c>
      <c r="J51">
        <v>0</v>
      </c>
      <c r="K51">
        <v>0</v>
      </c>
      <c r="L51">
        <v>66853958.469999999</v>
      </c>
      <c r="M51">
        <v>67046549.939999998</v>
      </c>
      <c r="N51">
        <v>66853958.469999999</v>
      </c>
      <c r="O51">
        <v>67046549.939999998</v>
      </c>
      <c r="P51">
        <v>75000000</v>
      </c>
      <c r="Q51">
        <v>75000000</v>
      </c>
      <c r="R51" s="14">
        <f>_xlfn.XLOOKUP(Table2[[#This Row],[LoanID]],Table1[G-L ID],Table1[ManagerCode],-99)</f>
        <v>103</v>
      </c>
      <c r="S51" s="4"/>
      <c r="T51" s="7"/>
    </row>
    <row r="52" spans="1:20" x14ac:dyDescent="0.25">
      <c r="A52">
        <v>20100228</v>
      </c>
      <c r="B52">
        <v>2010</v>
      </c>
      <c r="C52">
        <v>2</v>
      </c>
      <c r="D52">
        <v>1</v>
      </c>
      <c r="E52">
        <v>10130</v>
      </c>
      <c r="F52">
        <v>38853.879999999997</v>
      </c>
      <c r="G52">
        <v>0</v>
      </c>
      <c r="H52">
        <v>0</v>
      </c>
      <c r="I52">
        <v>0</v>
      </c>
      <c r="J52">
        <v>0</v>
      </c>
      <c r="K52">
        <v>28836.81</v>
      </c>
      <c r="L52">
        <v>8538743.7100000009</v>
      </c>
      <c r="M52">
        <v>8524230.2400000002</v>
      </c>
      <c r="N52">
        <v>8538743.7100000009</v>
      </c>
      <c r="O52">
        <v>8524230.2400000002</v>
      </c>
      <c r="P52">
        <v>8586492.6500000004</v>
      </c>
      <c r="Q52">
        <v>8557655.8399999999</v>
      </c>
      <c r="R52" s="14">
        <f>_xlfn.XLOOKUP(Table2[[#This Row],[LoanID]],Table1[G-L ID],Table1[ManagerCode],-99)</f>
        <v>103</v>
      </c>
      <c r="S52" s="4"/>
      <c r="T52" s="7"/>
    </row>
    <row r="53" spans="1:20" x14ac:dyDescent="0.25">
      <c r="A53">
        <v>20100228</v>
      </c>
      <c r="B53">
        <v>2010</v>
      </c>
      <c r="C53">
        <v>2</v>
      </c>
      <c r="D53">
        <v>1</v>
      </c>
      <c r="E53">
        <v>10140</v>
      </c>
      <c r="F53">
        <v>102410.89</v>
      </c>
      <c r="G53">
        <v>0</v>
      </c>
      <c r="H53">
        <v>0</v>
      </c>
      <c r="I53">
        <v>0</v>
      </c>
      <c r="J53">
        <v>0</v>
      </c>
      <c r="K53">
        <v>75413.440000000002</v>
      </c>
      <c r="L53">
        <v>22506328.07</v>
      </c>
      <c r="M53">
        <v>22468690.030000001</v>
      </c>
      <c r="N53">
        <v>22506328.07</v>
      </c>
      <c r="O53">
        <v>22468690.030000001</v>
      </c>
      <c r="P53">
        <v>22632241.059999999</v>
      </c>
      <c r="Q53">
        <v>22556827.620000001</v>
      </c>
      <c r="R53" s="14">
        <f>_xlfn.XLOOKUP(Table2[[#This Row],[LoanID]],Table1[G-L ID],Table1[ManagerCode],-99)</f>
        <v>103</v>
      </c>
      <c r="S53" s="4"/>
      <c r="T53" s="7"/>
    </row>
    <row r="54" spans="1:20" x14ac:dyDescent="0.25">
      <c r="A54">
        <v>20100228</v>
      </c>
      <c r="B54">
        <v>2010</v>
      </c>
      <c r="C54">
        <v>2</v>
      </c>
      <c r="D54">
        <v>1</v>
      </c>
      <c r="E54">
        <v>10150</v>
      </c>
      <c r="F54">
        <v>248888.65</v>
      </c>
      <c r="G54">
        <v>0</v>
      </c>
      <c r="H54">
        <v>0</v>
      </c>
      <c r="I54">
        <v>0</v>
      </c>
      <c r="J54">
        <v>0</v>
      </c>
      <c r="K54">
        <v>64431.35</v>
      </c>
      <c r="L54">
        <v>48352151.090000004</v>
      </c>
      <c r="M54">
        <v>48504727.600000001</v>
      </c>
      <c r="N54">
        <v>48352151.090000004</v>
      </c>
      <c r="O54">
        <v>48504727.600000001</v>
      </c>
      <c r="P54">
        <v>53891819.149999999</v>
      </c>
      <c r="Q54">
        <v>53830963.93</v>
      </c>
      <c r="R54" s="14">
        <f>_xlfn.XLOOKUP(Table2[[#This Row],[LoanID]],Table1[G-L ID],Table1[ManagerCode],-99)</f>
        <v>103</v>
      </c>
      <c r="S54" s="4"/>
      <c r="T54" s="7"/>
    </row>
    <row r="55" spans="1:20" x14ac:dyDescent="0.25">
      <c r="A55">
        <v>20100228</v>
      </c>
      <c r="B55">
        <v>2010</v>
      </c>
      <c r="C55">
        <v>2</v>
      </c>
      <c r="D55">
        <v>1</v>
      </c>
      <c r="E55">
        <v>10170</v>
      </c>
      <c r="F55">
        <v>256941.51</v>
      </c>
      <c r="G55">
        <v>0</v>
      </c>
      <c r="H55">
        <v>0</v>
      </c>
      <c r="I55">
        <v>-1231.3499999999999</v>
      </c>
      <c r="J55">
        <v>0</v>
      </c>
      <c r="K55">
        <v>60014.12</v>
      </c>
      <c r="L55">
        <v>44811579.299999997</v>
      </c>
      <c r="M55">
        <v>44877190.299999997</v>
      </c>
      <c r="N55">
        <v>44811579.299999997</v>
      </c>
      <c r="O55">
        <v>44877190.299999997</v>
      </c>
      <c r="P55">
        <v>47665126.670000002</v>
      </c>
      <c r="Q55">
        <v>47605112.549999997</v>
      </c>
      <c r="R55" s="14">
        <f>_xlfn.XLOOKUP(Table2[[#This Row],[LoanID]],Table1[G-L ID],Table1[ManagerCode],-99)</f>
        <v>103</v>
      </c>
      <c r="S55" s="4"/>
      <c r="T55" s="7"/>
    </row>
    <row r="56" spans="1:20" x14ac:dyDescent="0.25">
      <c r="A56">
        <v>20100228</v>
      </c>
      <c r="B56">
        <v>2010</v>
      </c>
      <c r="C56">
        <v>2</v>
      </c>
      <c r="D56">
        <v>1</v>
      </c>
      <c r="E56">
        <v>10230</v>
      </c>
      <c r="F56">
        <v>189526.73</v>
      </c>
      <c r="G56">
        <v>0</v>
      </c>
      <c r="H56">
        <v>0</v>
      </c>
      <c r="I56">
        <v>0</v>
      </c>
      <c r="J56">
        <v>0</v>
      </c>
      <c r="K56">
        <v>52071.34</v>
      </c>
      <c r="L56">
        <v>18531997.43</v>
      </c>
      <c r="M56">
        <v>18627249.289999999</v>
      </c>
      <c r="N56">
        <v>18531997.43</v>
      </c>
      <c r="O56">
        <v>18627249.289999999</v>
      </c>
      <c r="P56">
        <v>33743631.759999998</v>
      </c>
      <c r="Q56">
        <v>33691560.420000002</v>
      </c>
      <c r="R56" s="14">
        <f>_xlfn.XLOOKUP(Table2[[#This Row],[LoanID]],Table1[G-L ID],Table1[ManagerCode],-99)</f>
        <v>103</v>
      </c>
      <c r="S56" s="4"/>
      <c r="T56" s="7"/>
    </row>
    <row r="57" spans="1:20" x14ac:dyDescent="0.25">
      <c r="A57">
        <v>20100228</v>
      </c>
      <c r="B57">
        <v>2010</v>
      </c>
      <c r="C57">
        <v>2</v>
      </c>
      <c r="D57">
        <v>1</v>
      </c>
      <c r="E57">
        <v>10280</v>
      </c>
      <c r="F57">
        <v>181412</v>
      </c>
      <c r="G57">
        <v>0</v>
      </c>
      <c r="H57">
        <v>0</v>
      </c>
      <c r="I57">
        <v>-602.78</v>
      </c>
      <c r="J57">
        <v>0</v>
      </c>
      <c r="K57">
        <v>0</v>
      </c>
      <c r="L57">
        <v>28667894.780000001</v>
      </c>
      <c r="M57">
        <v>28813992.07</v>
      </c>
      <c r="N57">
        <v>28667894.780000001</v>
      </c>
      <c r="O57">
        <v>28813992.07</v>
      </c>
      <c r="P57">
        <v>35000000</v>
      </c>
      <c r="Q57">
        <v>35000000</v>
      </c>
      <c r="R57" s="14">
        <f>_xlfn.XLOOKUP(Table2[[#This Row],[LoanID]],Table1[G-L ID],Table1[ManagerCode],-99)</f>
        <v>103</v>
      </c>
      <c r="S57" s="4"/>
      <c r="T57" s="7"/>
    </row>
    <row r="58" spans="1:20" x14ac:dyDescent="0.25">
      <c r="A58">
        <v>20100228</v>
      </c>
      <c r="B58">
        <v>2010</v>
      </c>
      <c r="C58">
        <v>2</v>
      </c>
      <c r="D58">
        <v>1</v>
      </c>
      <c r="E58">
        <v>10290</v>
      </c>
      <c r="F58">
        <v>171300.83</v>
      </c>
      <c r="G58">
        <v>0</v>
      </c>
      <c r="H58">
        <v>0</v>
      </c>
      <c r="I58">
        <v>-430.56</v>
      </c>
      <c r="J58">
        <v>0</v>
      </c>
      <c r="K58">
        <v>0</v>
      </c>
      <c r="L58">
        <v>22212511.41</v>
      </c>
      <c r="M58">
        <v>22294347.899999999</v>
      </c>
      <c r="N58">
        <v>22212511.41</v>
      </c>
      <c r="O58">
        <v>22294347.899999999</v>
      </c>
      <c r="P58">
        <v>25000000</v>
      </c>
      <c r="Q58">
        <v>25000000</v>
      </c>
      <c r="R58" s="14">
        <f>_xlfn.XLOOKUP(Table2[[#This Row],[LoanID]],Table1[G-L ID],Table1[ManagerCode],-99)</f>
        <v>103</v>
      </c>
      <c r="S58" s="4"/>
      <c r="T58" s="7"/>
    </row>
    <row r="59" spans="1:20" x14ac:dyDescent="0.25">
      <c r="A59">
        <v>20100228</v>
      </c>
      <c r="B59">
        <v>2010</v>
      </c>
      <c r="C59">
        <v>2</v>
      </c>
      <c r="D59">
        <v>1</v>
      </c>
      <c r="E59">
        <v>10370</v>
      </c>
      <c r="F59">
        <v>5716.23</v>
      </c>
      <c r="G59">
        <v>0</v>
      </c>
      <c r="H59">
        <v>0</v>
      </c>
      <c r="I59">
        <v>0</v>
      </c>
      <c r="J59">
        <v>0</v>
      </c>
      <c r="K59">
        <v>36825.879999999997</v>
      </c>
      <c r="L59">
        <v>2345430.06</v>
      </c>
      <c r="M59">
        <v>2388061.11</v>
      </c>
      <c r="N59">
        <v>2345430.06</v>
      </c>
      <c r="O59">
        <v>2388061.11</v>
      </c>
      <c r="P59">
        <v>3711840.09</v>
      </c>
      <c r="Q59">
        <v>3675014.21</v>
      </c>
      <c r="R59" s="14">
        <f>_xlfn.XLOOKUP(Table2[[#This Row],[LoanID]],Table1[G-L ID],Table1[ManagerCode],-99)</f>
        <v>103</v>
      </c>
      <c r="S59" s="4"/>
      <c r="T59" s="7"/>
    </row>
    <row r="60" spans="1:20" x14ac:dyDescent="0.25">
      <c r="A60">
        <v>20100228</v>
      </c>
      <c r="B60">
        <v>2010</v>
      </c>
      <c r="C60">
        <v>2</v>
      </c>
      <c r="D60">
        <v>1</v>
      </c>
      <c r="E60">
        <v>10380</v>
      </c>
      <c r="F60">
        <v>58884.11</v>
      </c>
      <c r="G60">
        <v>0</v>
      </c>
      <c r="H60">
        <v>0</v>
      </c>
      <c r="I60">
        <v>-92.5</v>
      </c>
      <c r="J60">
        <v>0</v>
      </c>
      <c r="K60">
        <v>656.78</v>
      </c>
      <c r="L60">
        <v>9809122.5999999996</v>
      </c>
      <c r="M60">
        <v>9899506.4900000002</v>
      </c>
      <c r="N60">
        <v>9809122.5999999996</v>
      </c>
      <c r="O60">
        <v>9899506.4900000002</v>
      </c>
      <c r="P60">
        <v>11109194.85</v>
      </c>
      <c r="Q60">
        <v>11108538.07</v>
      </c>
      <c r="R60" s="14">
        <f>_xlfn.XLOOKUP(Table2[[#This Row],[LoanID]],Table1[G-L ID],Table1[ManagerCode],-99)</f>
        <v>103</v>
      </c>
      <c r="S60" s="4"/>
      <c r="T60" s="7"/>
    </row>
    <row r="61" spans="1:20" x14ac:dyDescent="0.25">
      <c r="A61">
        <v>20100228</v>
      </c>
      <c r="B61">
        <v>2010</v>
      </c>
      <c r="C61">
        <v>2</v>
      </c>
      <c r="D61">
        <v>1</v>
      </c>
      <c r="E61">
        <v>10390</v>
      </c>
      <c r="F61">
        <v>118750</v>
      </c>
      <c r="G61">
        <v>0</v>
      </c>
      <c r="H61">
        <v>0</v>
      </c>
      <c r="I61">
        <v>0</v>
      </c>
      <c r="J61">
        <v>0</v>
      </c>
      <c r="K61">
        <v>0</v>
      </c>
      <c r="L61">
        <v>20491436</v>
      </c>
      <c r="M61">
        <v>20598812.530000001</v>
      </c>
      <c r="N61">
        <v>20491436</v>
      </c>
      <c r="O61">
        <v>20598812.530000001</v>
      </c>
      <c r="P61">
        <v>24989591.760000002</v>
      </c>
      <c r="Q61">
        <v>24989795.84</v>
      </c>
      <c r="R61" s="14">
        <f>_xlfn.XLOOKUP(Table2[[#This Row],[LoanID]],Table1[G-L ID],Table1[ManagerCode],-99)</f>
        <v>103</v>
      </c>
      <c r="S61" s="4"/>
      <c r="T61" s="7"/>
    </row>
    <row r="62" spans="1:20" x14ac:dyDescent="0.25">
      <c r="A62">
        <v>20100228</v>
      </c>
      <c r="B62">
        <v>2010</v>
      </c>
      <c r="C62">
        <v>2</v>
      </c>
      <c r="D62">
        <v>1</v>
      </c>
      <c r="E62">
        <v>10450</v>
      </c>
      <c r="F62">
        <v>121889.45</v>
      </c>
      <c r="G62">
        <v>0</v>
      </c>
      <c r="H62">
        <v>0</v>
      </c>
      <c r="I62">
        <v>0</v>
      </c>
      <c r="J62">
        <v>0</v>
      </c>
      <c r="K62">
        <v>19925.8</v>
      </c>
      <c r="L62">
        <v>19104405.940000001</v>
      </c>
      <c r="M62">
        <v>19165639.649999999</v>
      </c>
      <c r="N62">
        <v>19104405.940000001</v>
      </c>
      <c r="O62">
        <v>19165639.649999999</v>
      </c>
      <c r="P62">
        <v>21786441.98</v>
      </c>
      <c r="Q62">
        <v>21768030.620000001</v>
      </c>
      <c r="R62" s="14">
        <f>_xlfn.XLOOKUP(Table2[[#This Row],[LoanID]],Table1[G-L ID],Table1[ManagerCode],-99)</f>
        <v>103</v>
      </c>
      <c r="S62" s="4"/>
      <c r="T62" s="7"/>
    </row>
    <row r="63" spans="1:20" x14ac:dyDescent="0.25">
      <c r="A63">
        <v>20100228</v>
      </c>
      <c r="B63">
        <v>2010</v>
      </c>
      <c r="C63">
        <v>2</v>
      </c>
      <c r="D63">
        <v>1</v>
      </c>
      <c r="E63">
        <v>10520</v>
      </c>
      <c r="F63">
        <v>4956.47</v>
      </c>
      <c r="G63">
        <v>0</v>
      </c>
      <c r="H63">
        <v>0</v>
      </c>
      <c r="I63">
        <v>-12.53</v>
      </c>
      <c r="J63">
        <v>0</v>
      </c>
      <c r="K63">
        <v>0</v>
      </c>
      <c r="L63">
        <v>3985747.25</v>
      </c>
      <c r="M63">
        <v>4009966.82</v>
      </c>
      <c r="N63">
        <v>3985747.25</v>
      </c>
      <c r="O63">
        <v>4009966.82</v>
      </c>
      <c r="P63">
        <v>4158887.64</v>
      </c>
      <c r="Q63">
        <v>4158887.64</v>
      </c>
      <c r="R63" s="14">
        <f>_xlfn.XLOOKUP(Table2[[#This Row],[LoanID]],Table1[G-L ID],Table1[ManagerCode],-99)</f>
        <v>103</v>
      </c>
      <c r="S63" s="4"/>
      <c r="T63" s="7"/>
    </row>
    <row r="64" spans="1:20" x14ac:dyDescent="0.25">
      <c r="A64">
        <v>20100228</v>
      </c>
      <c r="B64">
        <v>2010</v>
      </c>
      <c r="C64">
        <v>2</v>
      </c>
      <c r="D64">
        <v>1</v>
      </c>
      <c r="E64">
        <v>10530</v>
      </c>
      <c r="F64">
        <v>107390.18</v>
      </c>
      <c r="G64">
        <v>0</v>
      </c>
      <c r="H64">
        <v>0</v>
      </c>
      <c r="I64">
        <v>-271.58</v>
      </c>
      <c r="J64">
        <v>0</v>
      </c>
      <c r="K64">
        <v>0</v>
      </c>
      <c r="L64">
        <v>86357771.109999999</v>
      </c>
      <c r="M64">
        <v>86882527.829999998</v>
      </c>
      <c r="N64">
        <v>86357771.109999999</v>
      </c>
      <c r="O64">
        <v>86882527.829999998</v>
      </c>
      <c r="P64">
        <v>90109231.989999995</v>
      </c>
      <c r="Q64">
        <v>90109231.989999995</v>
      </c>
      <c r="R64" s="14">
        <f>_xlfn.XLOOKUP(Table2[[#This Row],[LoanID]],Table1[G-L ID],Table1[ManagerCode],-99)</f>
        <v>103</v>
      </c>
      <c r="S64" s="4"/>
      <c r="T64" s="7"/>
    </row>
    <row r="65" spans="1:20" x14ac:dyDescent="0.25">
      <c r="A65">
        <v>20100228</v>
      </c>
      <c r="B65">
        <v>2010</v>
      </c>
      <c r="C65">
        <v>2</v>
      </c>
      <c r="D65">
        <v>1</v>
      </c>
      <c r="E65">
        <v>10540</v>
      </c>
      <c r="F65">
        <v>14869.41</v>
      </c>
      <c r="G65">
        <v>0</v>
      </c>
      <c r="H65">
        <v>0</v>
      </c>
      <c r="I65">
        <v>-37.6</v>
      </c>
      <c r="J65">
        <v>0</v>
      </c>
      <c r="K65">
        <v>0</v>
      </c>
      <c r="L65">
        <v>11957241.810000001</v>
      </c>
      <c r="M65">
        <v>12029900.5</v>
      </c>
      <c r="N65">
        <v>11957241.810000001</v>
      </c>
      <c r="O65">
        <v>12029900.5</v>
      </c>
      <c r="P65">
        <v>12476662.9</v>
      </c>
      <c r="Q65">
        <v>12476662.9</v>
      </c>
      <c r="R65" s="14">
        <f>_xlfn.XLOOKUP(Table2[[#This Row],[LoanID]],Table1[G-L ID],Table1[ManagerCode],-99)</f>
        <v>103</v>
      </c>
      <c r="S65" s="4"/>
      <c r="T65" s="7"/>
    </row>
    <row r="66" spans="1:20" x14ac:dyDescent="0.25">
      <c r="A66">
        <v>20100228</v>
      </c>
      <c r="B66">
        <v>2010</v>
      </c>
      <c r="C66">
        <v>2</v>
      </c>
      <c r="D66">
        <v>1</v>
      </c>
      <c r="E66">
        <v>10630</v>
      </c>
      <c r="F66">
        <v>50544.67</v>
      </c>
      <c r="G66">
        <v>0</v>
      </c>
      <c r="H66">
        <v>0</v>
      </c>
      <c r="I66">
        <v>0</v>
      </c>
      <c r="J66">
        <v>0</v>
      </c>
      <c r="K66">
        <v>12071.41</v>
      </c>
      <c r="L66">
        <v>8132133.8200000003</v>
      </c>
      <c r="M66">
        <v>8156918.8799999999</v>
      </c>
      <c r="N66">
        <v>8132133.8200000003</v>
      </c>
      <c r="O66">
        <v>8156918.8799999999</v>
      </c>
      <c r="P66">
        <v>9462341.0600000005</v>
      </c>
      <c r="Q66">
        <v>9450269.6500000004</v>
      </c>
      <c r="R66" s="14">
        <f>_xlfn.XLOOKUP(Table2[[#This Row],[LoanID]],Table1[G-L ID],Table1[ManagerCode],-99)</f>
        <v>103</v>
      </c>
      <c r="S66" s="4"/>
      <c r="T66" s="7"/>
    </row>
    <row r="67" spans="1:20" x14ac:dyDescent="0.25">
      <c r="A67">
        <v>20100228</v>
      </c>
      <c r="B67">
        <v>2010</v>
      </c>
      <c r="C67">
        <v>2</v>
      </c>
      <c r="D67">
        <v>1</v>
      </c>
      <c r="E67">
        <v>10770</v>
      </c>
      <c r="F67">
        <v>172308.33</v>
      </c>
      <c r="G67">
        <v>0</v>
      </c>
      <c r="H67">
        <v>0</v>
      </c>
      <c r="I67">
        <v>-0.01</v>
      </c>
      <c r="J67">
        <v>0</v>
      </c>
      <c r="K67">
        <v>0</v>
      </c>
      <c r="L67">
        <v>97306287.879999995</v>
      </c>
      <c r="M67">
        <v>98553361.530000001</v>
      </c>
      <c r="N67">
        <v>97306287.879999995</v>
      </c>
      <c r="O67">
        <v>98553361.530000001</v>
      </c>
      <c r="P67">
        <v>115000000</v>
      </c>
      <c r="Q67">
        <v>115000000</v>
      </c>
      <c r="R67" s="14">
        <f>_xlfn.XLOOKUP(Table2[[#This Row],[LoanID]],Table1[G-L ID],Table1[ManagerCode],-99)</f>
        <v>103</v>
      </c>
      <c r="S67" s="4"/>
      <c r="T67" s="7"/>
    </row>
    <row r="68" spans="1:20" x14ac:dyDescent="0.25">
      <c r="A68">
        <v>20100228</v>
      </c>
      <c r="B68">
        <v>2010</v>
      </c>
      <c r="C68">
        <v>2</v>
      </c>
      <c r="D68">
        <v>1</v>
      </c>
      <c r="E68">
        <v>10870</v>
      </c>
      <c r="F68">
        <v>321030.92</v>
      </c>
      <c r="G68">
        <v>0</v>
      </c>
      <c r="H68">
        <v>504924.39</v>
      </c>
      <c r="I68">
        <v>0</v>
      </c>
      <c r="J68">
        <v>0</v>
      </c>
      <c r="K68">
        <v>0</v>
      </c>
      <c r="L68">
        <v>170903202.59999999</v>
      </c>
      <c r="M68">
        <v>173083299.40000001</v>
      </c>
      <c r="N68">
        <v>170903202.59999999</v>
      </c>
      <c r="O68">
        <v>173083299.40000001</v>
      </c>
      <c r="P68">
        <v>201969754.09999999</v>
      </c>
      <c r="Q68">
        <v>201969754.09999999</v>
      </c>
      <c r="R68" s="14">
        <f>_xlfn.XLOOKUP(Table2[[#This Row],[LoanID]],Table1[G-L ID],Table1[ManagerCode],-99)</f>
        <v>103</v>
      </c>
      <c r="S68" s="4"/>
      <c r="T68" s="7"/>
    </row>
    <row r="69" spans="1:20" x14ac:dyDescent="0.25">
      <c r="A69">
        <v>20100228</v>
      </c>
      <c r="B69">
        <v>2010</v>
      </c>
      <c r="C69">
        <v>2</v>
      </c>
      <c r="D69">
        <v>1</v>
      </c>
      <c r="E69">
        <v>10950</v>
      </c>
      <c r="F69">
        <v>55886.28</v>
      </c>
      <c r="G69">
        <v>0</v>
      </c>
      <c r="H69">
        <v>0</v>
      </c>
      <c r="I69">
        <v>0</v>
      </c>
      <c r="J69">
        <v>0</v>
      </c>
      <c r="K69">
        <v>21136.74</v>
      </c>
      <c r="L69">
        <v>7153685.2000000002</v>
      </c>
      <c r="M69">
        <v>7206145.1500000004</v>
      </c>
      <c r="N69">
        <v>7153685.2000000002</v>
      </c>
      <c r="O69">
        <v>7206145.1500000004</v>
      </c>
      <c r="P69">
        <v>11252270.609999999</v>
      </c>
      <c r="Q69">
        <v>11231133.869999999</v>
      </c>
      <c r="R69" s="14">
        <f>_xlfn.XLOOKUP(Table2[[#This Row],[LoanID]],Table1[G-L ID],Table1[ManagerCode],-99)</f>
        <v>103</v>
      </c>
      <c r="S69" s="4"/>
      <c r="T69" s="7"/>
    </row>
    <row r="70" spans="1:20" x14ac:dyDescent="0.25">
      <c r="A70">
        <v>20100228</v>
      </c>
      <c r="B70">
        <v>2010</v>
      </c>
      <c r="C70">
        <v>2</v>
      </c>
      <c r="D70">
        <v>1</v>
      </c>
      <c r="E70">
        <v>11180</v>
      </c>
      <c r="F70">
        <v>212177.78</v>
      </c>
      <c r="G70">
        <v>0</v>
      </c>
      <c r="H70">
        <v>0</v>
      </c>
      <c r="I70">
        <v>0</v>
      </c>
      <c r="J70">
        <v>0</v>
      </c>
      <c r="K70">
        <v>0</v>
      </c>
      <c r="L70">
        <v>184549223.80000001</v>
      </c>
      <c r="M70">
        <v>187030530.19999999</v>
      </c>
      <c r="N70">
        <v>184549223.80000001</v>
      </c>
      <c r="O70">
        <v>187030530.19999999</v>
      </c>
      <c r="P70">
        <v>200000000</v>
      </c>
      <c r="Q70">
        <v>200000000</v>
      </c>
      <c r="R70" s="14">
        <f>_xlfn.XLOOKUP(Table2[[#This Row],[LoanID]],Table1[G-L ID],Table1[ManagerCode],-99)</f>
        <v>103</v>
      </c>
      <c r="S70" s="4"/>
      <c r="T70" s="7"/>
    </row>
    <row r="71" spans="1:20" x14ac:dyDescent="0.25">
      <c r="A71">
        <v>20100228</v>
      </c>
      <c r="B71">
        <v>2010</v>
      </c>
      <c r="C71">
        <v>2</v>
      </c>
      <c r="D71">
        <v>1</v>
      </c>
      <c r="E71">
        <v>11200</v>
      </c>
      <c r="F71">
        <v>69880</v>
      </c>
      <c r="G71">
        <v>0</v>
      </c>
      <c r="H71">
        <v>0</v>
      </c>
      <c r="I71">
        <v>0</v>
      </c>
      <c r="J71">
        <v>0</v>
      </c>
      <c r="K71">
        <v>0</v>
      </c>
      <c r="L71">
        <v>12588249.720000001</v>
      </c>
      <c r="M71">
        <v>12640788</v>
      </c>
      <c r="N71">
        <v>12588249.720000001</v>
      </c>
      <c r="O71">
        <v>12640788</v>
      </c>
      <c r="P71">
        <v>13976000</v>
      </c>
      <c r="Q71">
        <v>13976000</v>
      </c>
      <c r="R71" s="14">
        <f>_xlfn.XLOOKUP(Table2[[#This Row],[LoanID]],Table1[G-L ID],Table1[ManagerCode],-99)</f>
        <v>103</v>
      </c>
      <c r="S71" s="4"/>
      <c r="T71" s="7"/>
    </row>
    <row r="72" spans="1:20" x14ac:dyDescent="0.25">
      <c r="A72">
        <v>20100228</v>
      </c>
      <c r="B72">
        <v>2010</v>
      </c>
      <c r="C72">
        <v>2</v>
      </c>
      <c r="D72">
        <v>1</v>
      </c>
      <c r="E72">
        <v>11240</v>
      </c>
      <c r="F72">
        <v>252455.53</v>
      </c>
      <c r="G72">
        <v>0</v>
      </c>
      <c r="H72">
        <v>0</v>
      </c>
      <c r="I72">
        <v>0</v>
      </c>
      <c r="J72">
        <v>0</v>
      </c>
      <c r="K72">
        <v>0</v>
      </c>
      <c r="L72">
        <v>190349920.40000001</v>
      </c>
      <c r="M72">
        <v>191482903</v>
      </c>
      <c r="N72">
        <v>190349920.40000001</v>
      </c>
      <c r="O72">
        <v>191482903</v>
      </c>
      <c r="P72">
        <v>194929626.59999999</v>
      </c>
      <c r="Q72">
        <v>194929626.59999999</v>
      </c>
      <c r="R72" s="14">
        <f>_xlfn.XLOOKUP(Table2[[#This Row],[LoanID]],Table1[G-L ID],Table1[ManagerCode],-99)</f>
        <v>103</v>
      </c>
      <c r="S72" s="4"/>
      <c r="T72" s="7"/>
    </row>
    <row r="73" spans="1:20" x14ac:dyDescent="0.25">
      <c r="A73">
        <v>20100228</v>
      </c>
      <c r="B73">
        <v>2010</v>
      </c>
      <c r="C73">
        <v>2</v>
      </c>
      <c r="D73">
        <v>1</v>
      </c>
      <c r="E73">
        <v>11260</v>
      </c>
      <c r="F73">
        <v>14407.78</v>
      </c>
      <c r="G73">
        <v>0</v>
      </c>
      <c r="H73">
        <v>0</v>
      </c>
      <c r="I73">
        <v>-93.96</v>
      </c>
      <c r="J73">
        <v>0</v>
      </c>
      <c r="K73">
        <v>0</v>
      </c>
      <c r="L73">
        <v>10696572</v>
      </c>
      <c r="M73">
        <v>10837919.4</v>
      </c>
      <c r="N73">
        <v>10696572</v>
      </c>
      <c r="O73">
        <v>10837919.4</v>
      </c>
      <c r="P73">
        <v>11274673.789999999</v>
      </c>
      <c r="Q73">
        <v>11274673.789999999</v>
      </c>
      <c r="R73" s="14">
        <f>_xlfn.XLOOKUP(Table2[[#This Row],[LoanID]],Table1[G-L ID],Table1[ManagerCode],-99)</f>
        <v>103</v>
      </c>
      <c r="S73" s="4"/>
      <c r="T73" s="7"/>
    </row>
    <row r="74" spans="1:20" x14ac:dyDescent="0.25">
      <c r="A74">
        <v>20100228</v>
      </c>
      <c r="B74">
        <v>2010</v>
      </c>
      <c r="C74">
        <v>2</v>
      </c>
      <c r="D74">
        <v>1</v>
      </c>
      <c r="E74">
        <v>11270</v>
      </c>
      <c r="F74">
        <v>24012.97</v>
      </c>
      <c r="G74">
        <v>0</v>
      </c>
      <c r="H74">
        <v>0</v>
      </c>
      <c r="I74">
        <v>-156.59</v>
      </c>
      <c r="J74">
        <v>0</v>
      </c>
      <c r="K74">
        <v>0</v>
      </c>
      <c r="L74">
        <v>17827620.050000001</v>
      </c>
      <c r="M74">
        <v>18063199.059999999</v>
      </c>
      <c r="N74">
        <v>17827620.050000001</v>
      </c>
      <c r="O74">
        <v>18063199.059999999</v>
      </c>
      <c r="P74">
        <v>18791123.030000001</v>
      </c>
      <c r="Q74">
        <v>18791123.030000001</v>
      </c>
      <c r="R74" s="14">
        <f>_xlfn.XLOOKUP(Table2[[#This Row],[LoanID]],Table1[G-L ID],Table1[ManagerCode],-99)</f>
        <v>103</v>
      </c>
      <c r="S74" s="4"/>
      <c r="T74" s="7"/>
    </row>
    <row r="75" spans="1:20" x14ac:dyDescent="0.25">
      <c r="A75">
        <v>20100228</v>
      </c>
      <c r="B75">
        <v>2010</v>
      </c>
      <c r="C75">
        <v>2</v>
      </c>
      <c r="D75">
        <v>1</v>
      </c>
      <c r="E75">
        <v>11290</v>
      </c>
      <c r="F75">
        <v>21611.67</v>
      </c>
      <c r="G75">
        <v>0</v>
      </c>
      <c r="H75">
        <v>0</v>
      </c>
      <c r="I75">
        <v>-140.93</v>
      </c>
      <c r="J75">
        <v>0</v>
      </c>
      <c r="K75">
        <v>0</v>
      </c>
      <c r="L75">
        <v>16044858.029999999</v>
      </c>
      <c r="M75">
        <v>16256879.15</v>
      </c>
      <c r="N75">
        <v>16044858.029999999</v>
      </c>
      <c r="O75">
        <v>16256879.15</v>
      </c>
      <c r="P75">
        <v>16912010.73</v>
      </c>
      <c r="Q75">
        <v>16912010.73</v>
      </c>
      <c r="R75" s="14">
        <f>_xlfn.XLOOKUP(Table2[[#This Row],[LoanID]],Table1[G-L ID],Table1[ManagerCode],-99)</f>
        <v>103</v>
      </c>
      <c r="S75" s="4"/>
      <c r="T75" s="7"/>
    </row>
    <row r="76" spans="1:20" x14ac:dyDescent="0.25">
      <c r="A76">
        <v>20100228</v>
      </c>
      <c r="B76">
        <v>2010</v>
      </c>
      <c r="C76">
        <v>2</v>
      </c>
      <c r="D76">
        <v>1</v>
      </c>
      <c r="E76">
        <v>11380</v>
      </c>
      <c r="F76">
        <v>42186.45</v>
      </c>
      <c r="G76">
        <v>0</v>
      </c>
      <c r="H76">
        <v>0</v>
      </c>
      <c r="I76">
        <v>0</v>
      </c>
      <c r="J76">
        <v>0</v>
      </c>
      <c r="K76">
        <v>48513.55</v>
      </c>
      <c r="L76">
        <v>6898673.1500000004</v>
      </c>
      <c r="M76">
        <v>6844917.6900000004</v>
      </c>
      <c r="N76">
        <v>6898673.1500000004</v>
      </c>
      <c r="O76">
        <v>6844917.6900000004</v>
      </c>
      <c r="P76">
        <v>6383825.9100000001</v>
      </c>
      <c r="Q76">
        <v>6335312.3600000003</v>
      </c>
      <c r="R76" s="14">
        <f>_xlfn.XLOOKUP(Table2[[#This Row],[LoanID]],Table1[G-L ID],Table1[ManagerCode],-99)</f>
        <v>103</v>
      </c>
      <c r="S76" s="4"/>
      <c r="T76" s="7"/>
    </row>
    <row r="77" spans="1:20" x14ac:dyDescent="0.25">
      <c r="A77">
        <v>20100228</v>
      </c>
      <c r="B77">
        <v>2010</v>
      </c>
      <c r="C77">
        <v>2</v>
      </c>
      <c r="D77">
        <v>1</v>
      </c>
      <c r="E77">
        <v>11420</v>
      </c>
      <c r="F77">
        <v>514856.61</v>
      </c>
      <c r="G77">
        <v>0</v>
      </c>
      <c r="H77">
        <v>0</v>
      </c>
      <c r="I77">
        <v>0</v>
      </c>
      <c r="J77">
        <v>0</v>
      </c>
      <c r="K77">
        <v>0</v>
      </c>
      <c r="L77">
        <v>93051297.260000005</v>
      </c>
      <c r="M77">
        <v>93343411.959999993</v>
      </c>
      <c r="N77">
        <v>93051297.260000005</v>
      </c>
      <c r="O77">
        <v>93343411.959999993</v>
      </c>
      <c r="P77">
        <v>98000000</v>
      </c>
      <c r="Q77">
        <v>98000000</v>
      </c>
      <c r="R77" s="14">
        <f>_xlfn.XLOOKUP(Table2[[#This Row],[LoanID]],Table1[G-L ID],Table1[ManagerCode],-99)</f>
        <v>103</v>
      </c>
      <c r="S77" s="4"/>
      <c r="T77" s="7"/>
    </row>
    <row r="78" spans="1:20" x14ac:dyDescent="0.25">
      <c r="A78">
        <v>20100228</v>
      </c>
      <c r="B78">
        <v>2010</v>
      </c>
      <c r="C78">
        <v>2</v>
      </c>
      <c r="D78">
        <v>1</v>
      </c>
      <c r="E78">
        <v>11601</v>
      </c>
      <c r="F78">
        <v>0</v>
      </c>
      <c r="G78">
        <v>0</v>
      </c>
      <c r="H78">
        <v>0</v>
      </c>
      <c r="I78">
        <v>0</v>
      </c>
      <c r="J78">
        <v>0</v>
      </c>
      <c r="K78">
        <v>0</v>
      </c>
      <c r="L78">
        <v>38274545.299999997</v>
      </c>
      <c r="M78">
        <v>38654296.479999997</v>
      </c>
      <c r="N78">
        <v>38274545.299999997</v>
      </c>
      <c r="O78">
        <v>38654296.479999997</v>
      </c>
      <c r="P78">
        <v>39043587.07</v>
      </c>
      <c r="Q78">
        <v>39043587.07</v>
      </c>
      <c r="R78" s="14">
        <f>_xlfn.XLOOKUP(Table2[[#This Row],[LoanID]],Table1[G-L ID],Table1[ManagerCode],-99)</f>
        <v>103</v>
      </c>
      <c r="S78" s="4"/>
      <c r="T78" s="7"/>
    </row>
    <row r="79" spans="1:20" x14ac:dyDescent="0.25">
      <c r="A79">
        <v>20100228</v>
      </c>
      <c r="B79">
        <v>2010</v>
      </c>
      <c r="C79">
        <v>2</v>
      </c>
      <c r="D79">
        <v>1</v>
      </c>
      <c r="E79">
        <v>11602</v>
      </c>
      <c r="F79">
        <v>0</v>
      </c>
      <c r="G79">
        <v>0</v>
      </c>
      <c r="H79">
        <v>0</v>
      </c>
      <c r="I79">
        <v>0</v>
      </c>
      <c r="J79">
        <v>0</v>
      </c>
      <c r="K79">
        <v>0</v>
      </c>
      <c r="L79">
        <v>58278033.68</v>
      </c>
      <c r="M79">
        <v>58895422.659999996</v>
      </c>
      <c r="N79">
        <v>58278033.68</v>
      </c>
      <c r="O79">
        <v>58895422.659999996</v>
      </c>
      <c r="P79">
        <v>59522990.009999998</v>
      </c>
      <c r="Q79">
        <v>59528887.710000001</v>
      </c>
      <c r="R79" s="14">
        <f>_xlfn.XLOOKUP(Table2[[#This Row],[LoanID]],Table1[G-L ID],Table1[ManagerCode],-99)</f>
        <v>103</v>
      </c>
      <c r="S79" s="4"/>
      <c r="T79" s="7"/>
    </row>
    <row r="80" spans="1:20" x14ac:dyDescent="0.25">
      <c r="A80">
        <v>20100228</v>
      </c>
      <c r="B80">
        <v>2010</v>
      </c>
      <c r="C80">
        <v>2</v>
      </c>
      <c r="D80">
        <v>1</v>
      </c>
      <c r="E80">
        <v>11780</v>
      </c>
      <c r="F80">
        <v>191566.28</v>
      </c>
      <c r="G80">
        <v>0</v>
      </c>
      <c r="H80">
        <v>0</v>
      </c>
      <c r="I80">
        <v>-1176.94</v>
      </c>
      <c r="J80">
        <v>-112069.27</v>
      </c>
      <c r="K80">
        <v>0</v>
      </c>
      <c r="L80">
        <v>55685274.649999999</v>
      </c>
      <c r="M80">
        <v>56398275.100000001</v>
      </c>
      <c r="N80">
        <v>55685274.649999999</v>
      </c>
      <c r="O80">
        <v>56398275.100000001</v>
      </c>
      <c r="P80">
        <v>68338411.170000002</v>
      </c>
      <c r="Q80">
        <v>68450480.439999998</v>
      </c>
      <c r="R80" s="14">
        <f>_xlfn.XLOOKUP(Table2[[#This Row],[LoanID]],Table1[G-L ID],Table1[ManagerCode],-99)</f>
        <v>103</v>
      </c>
      <c r="S80" s="4"/>
      <c r="T80" s="7"/>
    </row>
    <row r="81" spans="1:20" x14ac:dyDescent="0.25">
      <c r="A81">
        <v>20100228</v>
      </c>
      <c r="B81">
        <v>2010</v>
      </c>
      <c r="C81">
        <v>2</v>
      </c>
      <c r="D81">
        <v>1</v>
      </c>
      <c r="E81">
        <v>11800</v>
      </c>
      <c r="F81">
        <v>171211.39</v>
      </c>
      <c r="G81">
        <v>0</v>
      </c>
      <c r="H81">
        <v>0</v>
      </c>
      <c r="I81">
        <v>-288.11</v>
      </c>
      <c r="J81">
        <v>0</v>
      </c>
      <c r="K81">
        <v>50210.89</v>
      </c>
      <c r="L81">
        <v>16285639.08</v>
      </c>
      <c r="M81">
        <v>16303715.49</v>
      </c>
      <c r="N81">
        <v>16285639.08</v>
      </c>
      <c r="O81">
        <v>16303715.49</v>
      </c>
      <c r="P81">
        <v>33455516.16</v>
      </c>
      <c r="Q81">
        <v>33405305.27</v>
      </c>
      <c r="R81" s="14">
        <f>_xlfn.XLOOKUP(Table2[[#This Row],[LoanID]],Table1[G-L ID],Table1[ManagerCode],-99)</f>
        <v>103</v>
      </c>
      <c r="S81" s="4"/>
      <c r="T81" s="7"/>
    </row>
    <row r="82" spans="1:20" x14ac:dyDescent="0.25">
      <c r="A82">
        <v>20100228</v>
      </c>
      <c r="B82">
        <v>2010</v>
      </c>
      <c r="C82">
        <v>2</v>
      </c>
      <c r="D82">
        <v>1</v>
      </c>
      <c r="E82">
        <v>11810</v>
      </c>
      <c r="F82">
        <v>51166.67</v>
      </c>
      <c r="G82">
        <v>0</v>
      </c>
      <c r="H82">
        <v>0</v>
      </c>
      <c r="I82">
        <v>0</v>
      </c>
      <c r="J82">
        <v>0</v>
      </c>
      <c r="K82">
        <v>0</v>
      </c>
      <c r="L82">
        <v>7165818.54</v>
      </c>
      <c r="M82">
        <v>7192838.3600000003</v>
      </c>
      <c r="N82">
        <v>7165818.54</v>
      </c>
      <c r="O82">
        <v>7192838.3600000003</v>
      </c>
      <c r="P82">
        <v>10000000</v>
      </c>
      <c r="Q82">
        <v>10000000</v>
      </c>
      <c r="R82" s="14">
        <f>_xlfn.XLOOKUP(Table2[[#This Row],[LoanID]],Table1[G-L ID],Table1[ManagerCode],-99)</f>
        <v>103</v>
      </c>
      <c r="S82" s="4"/>
      <c r="T82" s="7"/>
    </row>
    <row r="83" spans="1:20" x14ac:dyDescent="0.25">
      <c r="A83">
        <v>20100228</v>
      </c>
      <c r="B83">
        <v>2010</v>
      </c>
      <c r="C83">
        <v>2</v>
      </c>
      <c r="D83">
        <v>1</v>
      </c>
      <c r="E83">
        <v>11860</v>
      </c>
      <c r="F83">
        <v>243177.78</v>
      </c>
      <c r="G83">
        <v>0</v>
      </c>
      <c r="H83">
        <v>0</v>
      </c>
      <c r="I83">
        <v>0</v>
      </c>
      <c r="J83">
        <v>0</v>
      </c>
      <c r="K83">
        <v>0</v>
      </c>
      <c r="L83">
        <v>45698702.149999999</v>
      </c>
      <c r="M83">
        <v>46143901.990000002</v>
      </c>
      <c r="N83">
        <v>45698702.149999999</v>
      </c>
      <c r="O83">
        <v>46143901.990000002</v>
      </c>
      <c r="P83">
        <v>49882518.159999996</v>
      </c>
      <c r="Q83">
        <v>49897203.390000001</v>
      </c>
      <c r="R83" s="14">
        <f>_xlfn.XLOOKUP(Table2[[#This Row],[LoanID]],Table1[G-L ID],Table1[ManagerCode],-99)</f>
        <v>103</v>
      </c>
      <c r="S83" s="4"/>
      <c r="T83" s="7"/>
    </row>
    <row r="84" spans="1:20" x14ac:dyDescent="0.25">
      <c r="A84">
        <v>20100228</v>
      </c>
      <c r="B84">
        <v>2010</v>
      </c>
      <c r="C84">
        <v>2</v>
      </c>
      <c r="D84">
        <v>1</v>
      </c>
      <c r="E84">
        <v>11870</v>
      </c>
      <c r="F84">
        <v>121588.89</v>
      </c>
      <c r="G84">
        <v>0</v>
      </c>
      <c r="H84">
        <v>0</v>
      </c>
      <c r="I84">
        <v>0</v>
      </c>
      <c r="J84">
        <v>0</v>
      </c>
      <c r="K84">
        <v>0</v>
      </c>
      <c r="L84">
        <v>22849351.09</v>
      </c>
      <c r="M84">
        <v>23071950.989999998</v>
      </c>
      <c r="N84">
        <v>22849351.09</v>
      </c>
      <c r="O84">
        <v>23071950.989999998</v>
      </c>
      <c r="P84">
        <v>24935036.600000001</v>
      </c>
      <c r="Q84">
        <v>24943157.030000001</v>
      </c>
      <c r="R84" s="14">
        <f>_xlfn.XLOOKUP(Table2[[#This Row],[LoanID]],Table1[G-L ID],Table1[ManagerCode],-99)</f>
        <v>103</v>
      </c>
      <c r="S84" s="4"/>
      <c r="T84" s="7"/>
    </row>
    <row r="85" spans="1:20" x14ac:dyDescent="0.25">
      <c r="A85">
        <v>20100228</v>
      </c>
      <c r="B85">
        <v>2010</v>
      </c>
      <c r="C85">
        <v>2</v>
      </c>
      <c r="D85">
        <v>1</v>
      </c>
      <c r="E85">
        <v>11900</v>
      </c>
      <c r="F85">
        <v>662434.96</v>
      </c>
      <c r="G85">
        <v>0</v>
      </c>
      <c r="H85">
        <v>0</v>
      </c>
      <c r="I85">
        <v>0</v>
      </c>
      <c r="J85">
        <v>-55000000</v>
      </c>
      <c r="K85">
        <v>0</v>
      </c>
      <c r="L85">
        <v>0</v>
      </c>
      <c r="M85">
        <v>55000000</v>
      </c>
      <c r="N85">
        <v>0</v>
      </c>
      <c r="O85">
        <v>55000000</v>
      </c>
      <c r="P85">
        <v>0</v>
      </c>
      <c r="Q85">
        <v>55000000</v>
      </c>
      <c r="R85" s="14">
        <f>_xlfn.XLOOKUP(Table2[[#This Row],[LoanID]],Table1[G-L ID],Table1[ManagerCode],-99)</f>
        <v>103</v>
      </c>
      <c r="S85" s="4"/>
      <c r="T85" s="7"/>
    </row>
    <row r="86" spans="1:20" x14ac:dyDescent="0.25">
      <c r="A86">
        <v>20100228</v>
      </c>
      <c r="B86">
        <v>2010</v>
      </c>
      <c r="C86">
        <v>2</v>
      </c>
      <c r="D86">
        <v>1</v>
      </c>
      <c r="E86">
        <v>11930</v>
      </c>
      <c r="F86">
        <v>191179.64</v>
      </c>
      <c r="G86">
        <v>0</v>
      </c>
      <c r="H86">
        <v>0</v>
      </c>
      <c r="I86">
        <v>0</v>
      </c>
      <c r="J86">
        <v>0</v>
      </c>
      <c r="K86">
        <v>0</v>
      </c>
      <c r="L86">
        <v>189542319.19999999</v>
      </c>
      <c r="M86">
        <v>190220306.09999999</v>
      </c>
      <c r="N86">
        <v>189542319.19999999</v>
      </c>
      <c r="O86">
        <v>190220306.09999999</v>
      </c>
      <c r="P86">
        <v>195780481.30000001</v>
      </c>
      <c r="Q86">
        <v>195780481.30000001</v>
      </c>
      <c r="R86" s="14">
        <f>_xlfn.XLOOKUP(Table2[[#This Row],[LoanID]],Table1[G-L ID],Table1[ManagerCode],-99)</f>
        <v>103</v>
      </c>
      <c r="S86" s="4"/>
      <c r="T86" s="7"/>
    </row>
    <row r="87" spans="1:20" x14ac:dyDescent="0.25">
      <c r="A87">
        <v>20100228</v>
      </c>
      <c r="B87">
        <v>2010</v>
      </c>
      <c r="C87">
        <v>2</v>
      </c>
      <c r="D87">
        <v>1</v>
      </c>
      <c r="E87">
        <v>11940</v>
      </c>
      <c r="F87">
        <v>62615.93</v>
      </c>
      <c r="G87">
        <v>0</v>
      </c>
      <c r="H87">
        <v>0</v>
      </c>
      <c r="I87">
        <v>0</v>
      </c>
      <c r="J87">
        <v>0</v>
      </c>
      <c r="K87">
        <v>0</v>
      </c>
      <c r="L87">
        <v>59522948.280000001</v>
      </c>
      <c r="M87">
        <v>59729976.729999997</v>
      </c>
      <c r="N87">
        <v>59522948.280000001</v>
      </c>
      <c r="O87">
        <v>59729976.729999997</v>
      </c>
      <c r="P87">
        <v>64079499.57</v>
      </c>
      <c r="Q87">
        <v>64081665.43</v>
      </c>
      <c r="R87" s="14">
        <f>_xlfn.XLOOKUP(Table2[[#This Row],[LoanID]],Table1[G-L ID],Table1[ManagerCode],-99)</f>
        <v>103</v>
      </c>
      <c r="S87" s="4"/>
      <c r="T87" s="7"/>
    </row>
    <row r="88" spans="1:20" x14ac:dyDescent="0.25">
      <c r="A88">
        <v>20100228</v>
      </c>
      <c r="B88">
        <v>2010</v>
      </c>
      <c r="C88">
        <v>2</v>
      </c>
      <c r="D88">
        <v>1</v>
      </c>
      <c r="E88">
        <v>11951</v>
      </c>
      <c r="F88">
        <v>166619.82999999999</v>
      </c>
      <c r="G88">
        <v>0</v>
      </c>
      <c r="H88">
        <v>0</v>
      </c>
      <c r="I88">
        <v>-283.33</v>
      </c>
      <c r="J88">
        <v>0</v>
      </c>
      <c r="K88">
        <v>0</v>
      </c>
      <c r="L88">
        <v>34575198.810000002</v>
      </c>
      <c r="M88">
        <v>34531338.329999998</v>
      </c>
      <c r="N88">
        <v>34575198.810000002</v>
      </c>
      <c r="O88">
        <v>34531338.329999998</v>
      </c>
      <c r="P88">
        <v>33980290.060000002</v>
      </c>
      <c r="Q88">
        <v>33981932.560000002</v>
      </c>
      <c r="R88" s="14">
        <f>_xlfn.XLOOKUP(Table2[[#This Row],[LoanID]],Table1[G-L ID],Table1[ManagerCode],-99)</f>
        <v>103</v>
      </c>
      <c r="S88" s="4"/>
      <c r="T88" s="7"/>
    </row>
    <row r="89" spans="1:20" x14ac:dyDescent="0.25">
      <c r="A89">
        <v>20100228</v>
      </c>
      <c r="B89">
        <v>2010</v>
      </c>
      <c r="C89">
        <v>2</v>
      </c>
      <c r="D89">
        <v>1</v>
      </c>
      <c r="E89">
        <v>11952</v>
      </c>
      <c r="F89">
        <v>119241.5</v>
      </c>
      <c r="G89">
        <v>0</v>
      </c>
      <c r="H89">
        <v>0</v>
      </c>
      <c r="I89">
        <v>-175</v>
      </c>
      <c r="J89">
        <v>0</v>
      </c>
      <c r="K89">
        <v>0</v>
      </c>
      <c r="L89">
        <v>21172175.600000001</v>
      </c>
      <c r="M89">
        <v>21158984.109999999</v>
      </c>
      <c r="N89">
        <v>21172175.600000001</v>
      </c>
      <c r="O89">
        <v>21158984.109999999</v>
      </c>
      <c r="P89">
        <v>21000000</v>
      </c>
      <c r="Q89">
        <v>21000000</v>
      </c>
      <c r="R89" s="14">
        <f>_xlfn.XLOOKUP(Table2[[#This Row],[LoanID]],Table1[G-L ID],Table1[ManagerCode],-99)</f>
        <v>103</v>
      </c>
      <c r="S89" s="4"/>
      <c r="T89" s="7"/>
    </row>
    <row r="90" spans="1:20" x14ac:dyDescent="0.25">
      <c r="A90">
        <v>20100228</v>
      </c>
      <c r="B90">
        <v>2010</v>
      </c>
      <c r="C90">
        <v>2</v>
      </c>
      <c r="D90">
        <v>1</v>
      </c>
      <c r="E90">
        <v>12000</v>
      </c>
      <c r="F90">
        <v>129709.44</v>
      </c>
      <c r="G90">
        <v>0</v>
      </c>
      <c r="H90">
        <v>0</v>
      </c>
      <c r="I90">
        <v>0</v>
      </c>
      <c r="J90">
        <v>0</v>
      </c>
      <c r="K90">
        <v>0</v>
      </c>
      <c r="L90">
        <v>18194854.199999999</v>
      </c>
      <c r="M90">
        <v>18378156.280000001</v>
      </c>
      <c r="N90">
        <v>18194854.199999999</v>
      </c>
      <c r="O90">
        <v>18378156.280000001</v>
      </c>
      <c r="P90">
        <v>25082829.760000002</v>
      </c>
      <c r="Q90">
        <v>25083524.210000001</v>
      </c>
      <c r="R90" s="14">
        <f>_xlfn.XLOOKUP(Table2[[#This Row],[LoanID]],Table1[G-L ID],Table1[ManagerCode],-99)</f>
        <v>103</v>
      </c>
      <c r="S90" s="4"/>
      <c r="T90" s="7"/>
    </row>
    <row r="91" spans="1:20" x14ac:dyDescent="0.25">
      <c r="A91">
        <v>20100228</v>
      </c>
      <c r="B91">
        <v>2010</v>
      </c>
      <c r="C91">
        <v>2</v>
      </c>
      <c r="D91">
        <v>1</v>
      </c>
      <c r="E91">
        <v>12040</v>
      </c>
      <c r="F91">
        <v>62904.17</v>
      </c>
      <c r="G91">
        <v>0</v>
      </c>
      <c r="H91">
        <v>0</v>
      </c>
      <c r="I91">
        <v>-64.58</v>
      </c>
      <c r="J91">
        <v>0</v>
      </c>
      <c r="K91">
        <v>1282.29</v>
      </c>
      <c r="L91">
        <v>14939430.859999999</v>
      </c>
      <c r="M91">
        <v>14950605.52</v>
      </c>
      <c r="N91">
        <v>14939430.859999999</v>
      </c>
      <c r="O91">
        <v>14950605.52</v>
      </c>
      <c r="P91">
        <v>15006391.58</v>
      </c>
      <c r="Q91">
        <v>15005109.289999999</v>
      </c>
      <c r="R91" s="14">
        <f>_xlfn.XLOOKUP(Table2[[#This Row],[LoanID]],Table1[G-L ID],Table1[ManagerCode],-99)</f>
        <v>103</v>
      </c>
      <c r="S91" s="4"/>
      <c r="T91" s="7"/>
    </row>
    <row r="92" spans="1:20" x14ac:dyDescent="0.25">
      <c r="A92">
        <v>20100228</v>
      </c>
      <c r="B92">
        <v>2010</v>
      </c>
      <c r="C92">
        <v>2</v>
      </c>
      <c r="D92">
        <v>1</v>
      </c>
      <c r="E92">
        <v>12050</v>
      </c>
      <c r="F92">
        <v>43658.33</v>
      </c>
      <c r="G92">
        <v>0</v>
      </c>
      <c r="H92">
        <v>0</v>
      </c>
      <c r="I92">
        <v>-43.06</v>
      </c>
      <c r="J92">
        <v>0</v>
      </c>
      <c r="K92">
        <v>850.7</v>
      </c>
      <c r="L92">
        <v>9835702.4399999995</v>
      </c>
      <c r="M92">
        <v>9867526.5399999991</v>
      </c>
      <c r="N92">
        <v>9835702.4399999995</v>
      </c>
      <c r="O92">
        <v>9867526.5399999991</v>
      </c>
      <c r="P92">
        <v>10004240.23</v>
      </c>
      <c r="Q92">
        <v>10003389.529999999</v>
      </c>
      <c r="R92" s="14">
        <f>_xlfn.XLOOKUP(Table2[[#This Row],[LoanID]],Table1[G-L ID],Table1[ManagerCode],-99)</f>
        <v>103</v>
      </c>
      <c r="S92" s="4"/>
      <c r="T92" s="7"/>
    </row>
    <row r="93" spans="1:20" x14ac:dyDescent="0.25">
      <c r="A93">
        <v>20100228</v>
      </c>
      <c r="B93">
        <v>2010</v>
      </c>
      <c r="C93">
        <v>2</v>
      </c>
      <c r="D93">
        <v>1</v>
      </c>
      <c r="E93">
        <v>12060</v>
      </c>
      <c r="F93">
        <v>62904.17</v>
      </c>
      <c r="G93">
        <v>0</v>
      </c>
      <c r="H93">
        <v>0</v>
      </c>
      <c r="I93">
        <v>-64.58</v>
      </c>
      <c r="J93">
        <v>0</v>
      </c>
      <c r="K93">
        <v>1282.29</v>
      </c>
      <c r="L93">
        <v>14939430.85</v>
      </c>
      <c r="M93">
        <v>14950605.51</v>
      </c>
      <c r="N93">
        <v>14939430.85</v>
      </c>
      <c r="O93">
        <v>14950605.51</v>
      </c>
      <c r="P93">
        <v>15007673.869999999</v>
      </c>
      <c r="Q93">
        <v>15006391.58</v>
      </c>
      <c r="R93" s="14">
        <f>_xlfn.XLOOKUP(Table2[[#This Row],[LoanID]],Table1[G-L ID],Table1[ManagerCode],-99)</f>
        <v>103</v>
      </c>
      <c r="S93" s="4"/>
      <c r="T93" s="7"/>
    </row>
    <row r="94" spans="1:20" x14ac:dyDescent="0.25">
      <c r="A94">
        <v>20100228</v>
      </c>
      <c r="B94">
        <v>2010</v>
      </c>
      <c r="C94">
        <v>2</v>
      </c>
      <c r="D94">
        <v>1</v>
      </c>
      <c r="E94">
        <v>12070</v>
      </c>
      <c r="F94">
        <v>65487.5</v>
      </c>
      <c r="G94">
        <v>0</v>
      </c>
      <c r="H94">
        <v>0</v>
      </c>
      <c r="I94">
        <v>-64.58</v>
      </c>
      <c r="J94">
        <v>0</v>
      </c>
      <c r="K94">
        <v>1276.04</v>
      </c>
      <c r="L94">
        <v>14753553.640000001</v>
      </c>
      <c r="M94">
        <v>14801289.789999999</v>
      </c>
      <c r="N94">
        <v>14753553.640000001</v>
      </c>
      <c r="O94">
        <v>14801289.789999999</v>
      </c>
      <c r="P94">
        <v>15006360.33</v>
      </c>
      <c r="Q94">
        <v>15005084.289999999</v>
      </c>
      <c r="R94" s="14">
        <f>_xlfn.XLOOKUP(Table2[[#This Row],[LoanID]],Table1[G-L ID],Table1[ManagerCode],-99)</f>
        <v>103</v>
      </c>
      <c r="S94" s="4"/>
      <c r="T94" s="7"/>
    </row>
    <row r="95" spans="1:20" x14ac:dyDescent="0.25">
      <c r="A95">
        <v>20100228</v>
      </c>
      <c r="B95">
        <v>2010</v>
      </c>
      <c r="C95">
        <v>2</v>
      </c>
      <c r="D95">
        <v>1</v>
      </c>
      <c r="E95">
        <v>12200</v>
      </c>
      <c r="F95">
        <v>92943.86</v>
      </c>
      <c r="G95">
        <v>0</v>
      </c>
      <c r="H95">
        <v>0</v>
      </c>
      <c r="I95">
        <v>0</v>
      </c>
      <c r="J95">
        <v>0</v>
      </c>
      <c r="K95">
        <v>29265.7</v>
      </c>
      <c r="L95">
        <v>20766103.050000001</v>
      </c>
      <c r="M95">
        <v>20769733.57</v>
      </c>
      <c r="N95">
        <v>20766103.050000001</v>
      </c>
      <c r="O95">
        <v>20769733.57</v>
      </c>
      <c r="P95">
        <v>20222092.780000001</v>
      </c>
      <c r="Q95">
        <v>20193160.379999999</v>
      </c>
      <c r="R95" s="14">
        <f>_xlfn.XLOOKUP(Table2[[#This Row],[LoanID]],Table1[G-L ID],Table1[ManagerCode],-99)</f>
        <v>103</v>
      </c>
      <c r="S95" s="4"/>
      <c r="T95" s="7"/>
    </row>
    <row r="96" spans="1:20" x14ac:dyDescent="0.25">
      <c r="A96">
        <v>20100228</v>
      </c>
      <c r="B96">
        <v>2010</v>
      </c>
      <c r="C96">
        <v>2</v>
      </c>
      <c r="D96">
        <v>1</v>
      </c>
      <c r="E96">
        <v>12210</v>
      </c>
      <c r="F96">
        <v>745414.9</v>
      </c>
      <c r="G96">
        <v>0</v>
      </c>
      <c r="H96">
        <v>0</v>
      </c>
      <c r="I96">
        <v>0</v>
      </c>
      <c r="J96">
        <v>0</v>
      </c>
      <c r="K96">
        <v>160842.29</v>
      </c>
      <c r="L96">
        <v>128629228.09999999</v>
      </c>
      <c r="M96">
        <v>128504330.3</v>
      </c>
      <c r="N96">
        <v>128629228.09999999</v>
      </c>
      <c r="O96">
        <v>128504330.3</v>
      </c>
      <c r="P96">
        <v>120552275.09999999</v>
      </c>
      <c r="Q96">
        <v>120391432.8</v>
      </c>
      <c r="R96" s="14">
        <f>_xlfn.XLOOKUP(Table2[[#This Row],[LoanID]],Table1[G-L ID],Table1[ManagerCode],-99)</f>
        <v>103</v>
      </c>
      <c r="S96" s="4"/>
      <c r="T96" s="7"/>
    </row>
    <row r="97" spans="1:20" x14ac:dyDescent="0.25">
      <c r="A97">
        <v>20100331</v>
      </c>
      <c r="B97">
        <v>2010</v>
      </c>
      <c r="C97">
        <v>3</v>
      </c>
      <c r="D97">
        <v>1</v>
      </c>
      <c r="E97">
        <v>10050</v>
      </c>
      <c r="F97">
        <v>139079.63</v>
      </c>
      <c r="G97">
        <v>0</v>
      </c>
      <c r="H97">
        <v>0</v>
      </c>
      <c r="I97">
        <v>-69.44</v>
      </c>
      <c r="J97">
        <v>0</v>
      </c>
      <c r="K97">
        <v>0</v>
      </c>
      <c r="L97">
        <v>17006875.050000001</v>
      </c>
      <c r="M97">
        <v>19774402.210000001</v>
      </c>
      <c r="N97">
        <v>17006875.050000001</v>
      </c>
      <c r="O97">
        <v>19774402.210000001</v>
      </c>
      <c r="P97">
        <v>33333334</v>
      </c>
      <c r="Q97">
        <v>33333334</v>
      </c>
      <c r="R97" s="14">
        <f>_xlfn.XLOOKUP(Table2[[#This Row],[LoanID]],Table1[G-L ID],Table1[ManagerCode],-99)</f>
        <v>103</v>
      </c>
      <c r="S97" s="4"/>
      <c r="T97" s="7"/>
    </row>
    <row r="98" spans="1:20" x14ac:dyDescent="0.25">
      <c r="A98">
        <v>20100331</v>
      </c>
      <c r="B98">
        <v>2010</v>
      </c>
      <c r="C98">
        <v>3</v>
      </c>
      <c r="D98">
        <v>1</v>
      </c>
      <c r="E98">
        <v>10080</v>
      </c>
      <c r="F98">
        <v>317066.53000000003</v>
      </c>
      <c r="G98">
        <v>0</v>
      </c>
      <c r="H98">
        <v>0</v>
      </c>
      <c r="I98">
        <v>-161.02000000000001</v>
      </c>
      <c r="J98">
        <v>0</v>
      </c>
      <c r="K98">
        <v>0</v>
      </c>
      <c r="L98">
        <v>67046549.939999998</v>
      </c>
      <c r="M98">
        <v>68717618.709999993</v>
      </c>
      <c r="N98">
        <v>67046549.939999998</v>
      </c>
      <c r="O98">
        <v>68717618.709999993</v>
      </c>
      <c r="P98">
        <v>75000000</v>
      </c>
      <c r="Q98">
        <v>75000000</v>
      </c>
      <c r="R98" s="14">
        <f>_xlfn.XLOOKUP(Table2[[#This Row],[LoanID]],Table1[G-L ID],Table1[ManagerCode],-99)</f>
        <v>103</v>
      </c>
      <c r="S98" s="4"/>
      <c r="T98" s="7"/>
    </row>
    <row r="99" spans="1:20" x14ac:dyDescent="0.25">
      <c r="A99">
        <v>20100331</v>
      </c>
      <c r="B99">
        <v>2010</v>
      </c>
      <c r="C99">
        <v>3</v>
      </c>
      <c r="D99">
        <v>1</v>
      </c>
      <c r="E99">
        <v>10130</v>
      </c>
      <c r="F99">
        <v>38723.39</v>
      </c>
      <c r="G99">
        <v>0</v>
      </c>
      <c r="H99">
        <v>0</v>
      </c>
      <c r="I99">
        <v>0</v>
      </c>
      <c r="J99">
        <v>0</v>
      </c>
      <c r="K99">
        <v>28967.3</v>
      </c>
      <c r="L99">
        <v>8524230.2400000002</v>
      </c>
      <c r="M99">
        <v>8510463.9499999993</v>
      </c>
      <c r="N99">
        <v>8524230.2400000002</v>
      </c>
      <c r="O99">
        <v>8510463.9499999993</v>
      </c>
      <c r="P99">
        <v>8557655.8399999999</v>
      </c>
      <c r="Q99">
        <v>8528688.5399999991</v>
      </c>
      <c r="R99" s="14">
        <f>_xlfn.XLOOKUP(Table2[[#This Row],[LoanID]],Table1[G-L ID],Table1[ManagerCode],-99)</f>
        <v>103</v>
      </c>
      <c r="S99" s="4"/>
      <c r="T99" s="7"/>
    </row>
    <row r="100" spans="1:20" x14ac:dyDescent="0.25">
      <c r="A100">
        <v>20100331</v>
      </c>
      <c r="B100">
        <v>2010</v>
      </c>
      <c r="C100">
        <v>3</v>
      </c>
      <c r="D100">
        <v>1</v>
      </c>
      <c r="E100">
        <v>10140</v>
      </c>
      <c r="F100">
        <v>102069.64</v>
      </c>
      <c r="G100">
        <v>0</v>
      </c>
      <c r="H100">
        <v>0</v>
      </c>
      <c r="I100">
        <v>0</v>
      </c>
      <c r="J100">
        <v>0</v>
      </c>
      <c r="K100">
        <v>75754.69</v>
      </c>
      <c r="L100">
        <v>22468690.030000001</v>
      </c>
      <c r="M100">
        <v>22433027.199999999</v>
      </c>
      <c r="N100">
        <v>22468690.030000001</v>
      </c>
      <c r="O100">
        <v>22433027.199999999</v>
      </c>
      <c r="P100">
        <v>22556827.620000001</v>
      </c>
      <c r="Q100">
        <v>22481072.93</v>
      </c>
      <c r="R100" s="14">
        <f>_xlfn.XLOOKUP(Table2[[#This Row],[LoanID]],Table1[G-L ID],Table1[ManagerCode],-99)</f>
        <v>103</v>
      </c>
      <c r="S100" s="4"/>
      <c r="T100" s="7"/>
    </row>
    <row r="101" spans="1:20" x14ac:dyDescent="0.25">
      <c r="A101">
        <v>20100331</v>
      </c>
      <c r="B101">
        <v>2010</v>
      </c>
      <c r="C101">
        <v>3</v>
      </c>
      <c r="D101">
        <v>1</v>
      </c>
      <c r="E101">
        <v>10150</v>
      </c>
      <c r="F101">
        <v>248591.73</v>
      </c>
      <c r="G101">
        <v>0</v>
      </c>
      <c r="H101">
        <v>0</v>
      </c>
      <c r="I101">
        <v>0</v>
      </c>
      <c r="J101">
        <v>0</v>
      </c>
      <c r="K101">
        <v>64728.27</v>
      </c>
      <c r="L101">
        <v>48504727.600000001</v>
      </c>
      <c r="M101">
        <v>50652389.079999998</v>
      </c>
      <c r="N101">
        <v>48504727.600000001</v>
      </c>
      <c r="O101">
        <v>50652389.079999998</v>
      </c>
      <c r="P101">
        <v>53830963.93</v>
      </c>
      <c r="Q101">
        <v>53769828.07</v>
      </c>
      <c r="R101" s="14">
        <f>_xlfn.XLOOKUP(Table2[[#This Row],[LoanID]],Table1[G-L ID],Table1[ManagerCode],-99)</f>
        <v>103</v>
      </c>
      <c r="S101" s="4"/>
      <c r="T101" s="7"/>
    </row>
    <row r="102" spans="1:20" x14ac:dyDescent="0.25">
      <c r="A102">
        <v>20100331</v>
      </c>
      <c r="B102">
        <v>2010</v>
      </c>
      <c r="C102">
        <v>3</v>
      </c>
      <c r="D102">
        <v>1</v>
      </c>
      <c r="E102">
        <v>10170</v>
      </c>
      <c r="F102">
        <v>231784</v>
      </c>
      <c r="G102">
        <v>0</v>
      </c>
      <c r="H102">
        <v>0</v>
      </c>
      <c r="I102">
        <v>-1110.79</v>
      </c>
      <c r="J102">
        <v>0</v>
      </c>
      <c r="K102">
        <v>81353.789999999994</v>
      </c>
      <c r="L102">
        <v>44877190.299999997</v>
      </c>
      <c r="M102">
        <v>45772055.479999997</v>
      </c>
      <c r="N102">
        <v>44877190.299999997</v>
      </c>
      <c r="O102">
        <v>45772055.479999997</v>
      </c>
      <c r="P102">
        <v>47605112.549999997</v>
      </c>
      <c r="Q102">
        <v>47523758.759999998</v>
      </c>
      <c r="R102" s="14">
        <f>_xlfn.XLOOKUP(Table2[[#This Row],[LoanID]],Table1[G-L ID],Table1[ManagerCode],-99)</f>
        <v>103</v>
      </c>
      <c r="S102" s="4"/>
      <c r="T102" s="7"/>
    </row>
    <row r="103" spans="1:20" x14ac:dyDescent="0.25">
      <c r="A103">
        <v>20100331</v>
      </c>
      <c r="B103">
        <v>2010</v>
      </c>
      <c r="C103">
        <v>3</v>
      </c>
      <c r="D103">
        <v>1</v>
      </c>
      <c r="E103">
        <v>10230</v>
      </c>
      <c r="F103">
        <v>189234.26</v>
      </c>
      <c r="G103">
        <v>0</v>
      </c>
      <c r="H103">
        <v>0</v>
      </c>
      <c r="I103">
        <v>0</v>
      </c>
      <c r="J103">
        <v>0</v>
      </c>
      <c r="K103">
        <v>52363.81</v>
      </c>
      <c r="L103">
        <v>18627249.289999999</v>
      </c>
      <c r="M103">
        <v>20914467.879999999</v>
      </c>
      <c r="N103">
        <v>18627249.289999999</v>
      </c>
      <c r="O103">
        <v>20914467.879999999</v>
      </c>
      <c r="P103">
        <v>33691560.420000002</v>
      </c>
      <c r="Q103">
        <v>33639196.609999999</v>
      </c>
      <c r="R103" s="14">
        <f>_xlfn.XLOOKUP(Table2[[#This Row],[LoanID]],Table1[G-L ID],Table1[ManagerCode],-99)</f>
        <v>103</v>
      </c>
      <c r="S103" s="4"/>
      <c r="T103" s="7"/>
    </row>
    <row r="104" spans="1:20" x14ac:dyDescent="0.25">
      <c r="A104">
        <v>20100331</v>
      </c>
      <c r="B104">
        <v>2010</v>
      </c>
      <c r="C104">
        <v>3</v>
      </c>
      <c r="D104">
        <v>1</v>
      </c>
      <c r="E104">
        <v>10280</v>
      </c>
      <c r="F104">
        <v>163856</v>
      </c>
      <c r="G104">
        <v>0</v>
      </c>
      <c r="H104">
        <v>0</v>
      </c>
      <c r="I104">
        <v>-544.45000000000005</v>
      </c>
      <c r="J104">
        <v>0</v>
      </c>
      <c r="K104">
        <v>0</v>
      </c>
      <c r="L104">
        <v>28813992.07</v>
      </c>
      <c r="M104">
        <v>30948270.120000001</v>
      </c>
      <c r="N104">
        <v>28813992.07</v>
      </c>
      <c r="O104">
        <v>30948270.120000001</v>
      </c>
      <c r="P104">
        <v>35000000</v>
      </c>
      <c r="Q104">
        <v>35000000</v>
      </c>
      <c r="R104" s="14">
        <f>_xlfn.XLOOKUP(Table2[[#This Row],[LoanID]],Table1[G-L ID],Table1[ManagerCode],-99)</f>
        <v>103</v>
      </c>
      <c r="S104" s="4"/>
      <c r="T104" s="7"/>
    </row>
    <row r="105" spans="1:20" x14ac:dyDescent="0.25">
      <c r="A105">
        <v>20100331</v>
      </c>
      <c r="B105">
        <v>2010</v>
      </c>
      <c r="C105">
        <v>3</v>
      </c>
      <c r="D105">
        <v>1</v>
      </c>
      <c r="E105">
        <v>10290</v>
      </c>
      <c r="F105">
        <v>154723.32</v>
      </c>
      <c r="G105">
        <v>0</v>
      </c>
      <c r="H105">
        <v>0</v>
      </c>
      <c r="I105">
        <v>-388.88</v>
      </c>
      <c r="J105">
        <v>0</v>
      </c>
      <c r="K105">
        <v>0</v>
      </c>
      <c r="L105">
        <v>22294347.899999999</v>
      </c>
      <c r="M105">
        <v>23858195.629999999</v>
      </c>
      <c r="N105">
        <v>22294347.899999999</v>
      </c>
      <c r="O105">
        <v>23858195.629999999</v>
      </c>
      <c r="P105">
        <v>25000000</v>
      </c>
      <c r="Q105">
        <v>25000000</v>
      </c>
      <c r="R105" s="14">
        <f>_xlfn.XLOOKUP(Table2[[#This Row],[LoanID]],Table1[G-L ID],Table1[ManagerCode],-99)</f>
        <v>103</v>
      </c>
      <c r="S105" s="4"/>
      <c r="T105" s="7"/>
    </row>
    <row r="106" spans="1:20" x14ac:dyDescent="0.25">
      <c r="A106">
        <v>20100331</v>
      </c>
      <c r="B106">
        <v>2010</v>
      </c>
      <c r="C106">
        <v>3</v>
      </c>
      <c r="D106">
        <v>1</v>
      </c>
      <c r="E106">
        <v>10370</v>
      </c>
      <c r="F106">
        <v>6265.9</v>
      </c>
      <c r="G106">
        <v>0</v>
      </c>
      <c r="H106">
        <v>0</v>
      </c>
      <c r="I106">
        <v>0</v>
      </c>
      <c r="J106">
        <v>0</v>
      </c>
      <c r="K106">
        <v>31356.799999999999</v>
      </c>
      <c r="L106">
        <v>2388061.11</v>
      </c>
      <c r="M106">
        <v>2538663.9</v>
      </c>
      <c r="N106">
        <v>2388061.11</v>
      </c>
      <c r="O106">
        <v>2538663.9</v>
      </c>
      <c r="P106">
        <v>3675014.21</v>
      </c>
      <c r="Q106">
        <v>3643657.41</v>
      </c>
      <c r="R106" s="14">
        <f>_xlfn.XLOOKUP(Table2[[#This Row],[LoanID]],Table1[G-L ID],Table1[ManagerCode],-99)</f>
        <v>103</v>
      </c>
      <c r="S106" s="4"/>
      <c r="T106" s="7"/>
    </row>
    <row r="107" spans="1:20" x14ac:dyDescent="0.25">
      <c r="A107">
        <v>20100331</v>
      </c>
      <c r="B107">
        <v>2010</v>
      </c>
      <c r="C107">
        <v>3</v>
      </c>
      <c r="D107">
        <v>1</v>
      </c>
      <c r="E107">
        <v>10380</v>
      </c>
      <c r="F107">
        <v>53185.65</v>
      </c>
      <c r="G107">
        <v>0</v>
      </c>
      <c r="H107">
        <v>0</v>
      </c>
      <c r="I107">
        <v>-92.5</v>
      </c>
      <c r="J107">
        <v>0</v>
      </c>
      <c r="K107">
        <v>656.77</v>
      </c>
      <c r="L107">
        <v>9899506.4900000002</v>
      </c>
      <c r="M107">
        <v>10253193.789999999</v>
      </c>
      <c r="N107">
        <v>9899506.4900000002</v>
      </c>
      <c r="O107">
        <v>10253193.789999999</v>
      </c>
      <c r="P107">
        <v>11108538.07</v>
      </c>
      <c r="Q107">
        <v>11107881.300000001</v>
      </c>
      <c r="R107" s="14">
        <f>_xlfn.XLOOKUP(Table2[[#This Row],[LoanID]],Table1[G-L ID],Table1[ManagerCode],-99)</f>
        <v>103</v>
      </c>
      <c r="S107" s="4"/>
      <c r="T107" s="7"/>
    </row>
    <row r="108" spans="1:20" x14ac:dyDescent="0.25">
      <c r="A108">
        <v>20100331</v>
      </c>
      <c r="B108">
        <v>2010</v>
      </c>
      <c r="C108">
        <v>3</v>
      </c>
      <c r="D108">
        <v>1</v>
      </c>
      <c r="E108">
        <v>10390</v>
      </c>
      <c r="F108">
        <v>118750</v>
      </c>
      <c r="G108">
        <v>0</v>
      </c>
      <c r="H108">
        <v>0</v>
      </c>
      <c r="I108">
        <v>0</v>
      </c>
      <c r="J108">
        <v>0</v>
      </c>
      <c r="K108">
        <v>0</v>
      </c>
      <c r="L108">
        <v>20598812.530000001</v>
      </c>
      <c r="M108">
        <v>22067580.850000001</v>
      </c>
      <c r="N108">
        <v>20598812.530000001</v>
      </c>
      <c r="O108">
        <v>22067580.850000001</v>
      </c>
      <c r="P108">
        <v>24989795.84</v>
      </c>
      <c r="Q108">
        <v>24989999.920000002</v>
      </c>
      <c r="R108" s="14">
        <f>_xlfn.XLOOKUP(Table2[[#This Row],[LoanID]],Table1[G-L ID],Table1[ManagerCode],-99)</f>
        <v>103</v>
      </c>
      <c r="S108" s="4"/>
      <c r="T108" s="7"/>
    </row>
    <row r="109" spans="1:20" x14ac:dyDescent="0.25">
      <c r="A109">
        <v>20100331</v>
      </c>
      <c r="B109">
        <v>2010</v>
      </c>
      <c r="C109">
        <v>3</v>
      </c>
      <c r="D109">
        <v>1</v>
      </c>
      <c r="E109">
        <v>10450</v>
      </c>
      <c r="F109">
        <v>121778.36</v>
      </c>
      <c r="G109">
        <v>0</v>
      </c>
      <c r="H109">
        <v>0</v>
      </c>
      <c r="I109">
        <v>0</v>
      </c>
      <c r="J109">
        <v>0</v>
      </c>
      <c r="K109">
        <v>20036.89</v>
      </c>
      <c r="L109">
        <v>19165639.649999999</v>
      </c>
      <c r="M109">
        <v>20335477.199999999</v>
      </c>
      <c r="N109">
        <v>19165639.649999999</v>
      </c>
      <c r="O109">
        <v>20335477.199999999</v>
      </c>
      <c r="P109">
        <v>21768030.620000001</v>
      </c>
      <c r="Q109">
        <v>21749514.960000001</v>
      </c>
      <c r="R109" s="14">
        <f>_xlfn.XLOOKUP(Table2[[#This Row],[LoanID]],Table1[G-L ID],Table1[ManagerCode],-99)</f>
        <v>103</v>
      </c>
      <c r="S109" s="4"/>
      <c r="T109" s="7"/>
    </row>
    <row r="110" spans="1:20" x14ac:dyDescent="0.25">
      <c r="A110">
        <v>20100331</v>
      </c>
      <c r="B110">
        <v>2010</v>
      </c>
      <c r="C110">
        <v>3</v>
      </c>
      <c r="D110">
        <v>1</v>
      </c>
      <c r="E110">
        <v>10520</v>
      </c>
      <c r="F110">
        <v>4467.1000000000004</v>
      </c>
      <c r="G110">
        <v>0</v>
      </c>
      <c r="H110">
        <v>0</v>
      </c>
      <c r="I110">
        <v>-11.32</v>
      </c>
      <c r="J110">
        <v>0</v>
      </c>
      <c r="K110">
        <v>0</v>
      </c>
      <c r="L110">
        <v>4009966.82</v>
      </c>
      <c r="M110">
        <v>4071605.49</v>
      </c>
      <c r="N110">
        <v>4009966.82</v>
      </c>
      <c r="O110">
        <v>4071605.49</v>
      </c>
      <c r="P110">
        <v>4158887.64</v>
      </c>
      <c r="Q110">
        <v>4158887.64</v>
      </c>
      <c r="R110" s="14">
        <f>_xlfn.XLOOKUP(Table2[[#This Row],[LoanID]],Table1[G-L ID],Table1[ManagerCode],-99)</f>
        <v>103</v>
      </c>
      <c r="S110" s="4"/>
      <c r="T110" s="7"/>
    </row>
    <row r="111" spans="1:20" x14ac:dyDescent="0.25">
      <c r="A111">
        <v>20100331</v>
      </c>
      <c r="B111">
        <v>2010</v>
      </c>
      <c r="C111">
        <v>3</v>
      </c>
      <c r="D111">
        <v>1</v>
      </c>
      <c r="E111">
        <v>10530</v>
      </c>
      <c r="F111">
        <v>96787.33</v>
      </c>
      <c r="G111">
        <v>0</v>
      </c>
      <c r="H111">
        <v>0</v>
      </c>
      <c r="I111">
        <v>-245.3</v>
      </c>
      <c r="J111">
        <v>0</v>
      </c>
      <c r="K111">
        <v>0</v>
      </c>
      <c r="L111">
        <v>86882527.829999998</v>
      </c>
      <c r="M111">
        <v>88218030.109999999</v>
      </c>
      <c r="N111">
        <v>86882527.829999998</v>
      </c>
      <c r="O111">
        <v>88218030.109999999</v>
      </c>
      <c r="P111">
        <v>90109231.989999995</v>
      </c>
      <c r="Q111">
        <v>90109231.989999995</v>
      </c>
      <c r="R111" s="14">
        <f>_xlfn.XLOOKUP(Table2[[#This Row],[LoanID]],Table1[G-L ID],Table1[ManagerCode],-99)</f>
        <v>103</v>
      </c>
      <c r="S111" s="4"/>
      <c r="T111" s="7"/>
    </row>
    <row r="112" spans="1:20" x14ac:dyDescent="0.25">
      <c r="A112">
        <v>20100331</v>
      </c>
      <c r="B112">
        <v>2010</v>
      </c>
      <c r="C112">
        <v>3</v>
      </c>
      <c r="D112">
        <v>1</v>
      </c>
      <c r="E112">
        <v>10540</v>
      </c>
      <c r="F112">
        <v>13401.32</v>
      </c>
      <c r="G112">
        <v>0</v>
      </c>
      <c r="H112">
        <v>0</v>
      </c>
      <c r="I112">
        <v>-33.96</v>
      </c>
      <c r="J112">
        <v>0</v>
      </c>
      <c r="K112">
        <v>0</v>
      </c>
      <c r="L112">
        <v>12029900.5</v>
      </c>
      <c r="M112">
        <v>12214816.390000001</v>
      </c>
      <c r="N112">
        <v>12029900.5</v>
      </c>
      <c r="O112">
        <v>12214816.390000001</v>
      </c>
      <c r="P112">
        <v>12476662.9</v>
      </c>
      <c r="Q112">
        <v>12476662.9</v>
      </c>
      <c r="R112" s="14">
        <f>_xlfn.XLOOKUP(Table2[[#This Row],[LoanID]],Table1[G-L ID],Table1[ManagerCode],-99)</f>
        <v>103</v>
      </c>
      <c r="S112" s="4"/>
      <c r="T112" s="7"/>
    </row>
    <row r="113" spans="1:20" x14ac:dyDescent="0.25">
      <c r="A113">
        <v>20100331</v>
      </c>
      <c r="B113">
        <v>2010</v>
      </c>
      <c r="C113">
        <v>3</v>
      </c>
      <c r="D113">
        <v>1</v>
      </c>
      <c r="E113">
        <v>10630</v>
      </c>
      <c r="F113">
        <v>50480.19</v>
      </c>
      <c r="G113">
        <v>0</v>
      </c>
      <c r="H113">
        <v>0</v>
      </c>
      <c r="I113">
        <v>-0.01</v>
      </c>
      <c r="J113">
        <v>0</v>
      </c>
      <c r="K113">
        <v>12135.89</v>
      </c>
      <c r="L113">
        <v>8156918.8799999999</v>
      </c>
      <c r="M113">
        <v>8668159.0099999998</v>
      </c>
      <c r="N113">
        <v>8156918.8799999999</v>
      </c>
      <c r="O113">
        <v>8668159.0099999998</v>
      </c>
      <c r="P113">
        <v>9450269.6500000004</v>
      </c>
      <c r="Q113">
        <v>9438133.7599999998</v>
      </c>
      <c r="R113" s="14">
        <f>_xlfn.XLOOKUP(Table2[[#This Row],[LoanID]],Table1[G-L ID],Table1[ManagerCode],-99)</f>
        <v>103</v>
      </c>
      <c r="S113" s="4"/>
      <c r="T113" s="7"/>
    </row>
    <row r="114" spans="1:20" x14ac:dyDescent="0.25">
      <c r="A114">
        <v>20100331</v>
      </c>
      <c r="B114">
        <v>2010</v>
      </c>
      <c r="C114">
        <v>3</v>
      </c>
      <c r="D114">
        <v>1</v>
      </c>
      <c r="E114">
        <v>10770</v>
      </c>
      <c r="F114">
        <v>154738.89000000001</v>
      </c>
      <c r="G114">
        <v>0</v>
      </c>
      <c r="H114">
        <v>0</v>
      </c>
      <c r="I114">
        <v>0</v>
      </c>
      <c r="J114">
        <v>0</v>
      </c>
      <c r="K114">
        <v>0</v>
      </c>
      <c r="L114">
        <v>98553361.530000001</v>
      </c>
      <c r="M114">
        <v>93767698.629999995</v>
      </c>
      <c r="N114">
        <v>98553361.530000001</v>
      </c>
      <c r="O114">
        <v>93767698.629999995</v>
      </c>
      <c r="P114">
        <v>115000000</v>
      </c>
      <c r="Q114">
        <v>115000000</v>
      </c>
      <c r="R114" s="14">
        <f>_xlfn.XLOOKUP(Table2[[#This Row],[LoanID]],Table1[G-L ID],Table1[ManagerCode],-99)</f>
        <v>103</v>
      </c>
      <c r="S114" s="4"/>
      <c r="T114" s="7"/>
    </row>
    <row r="115" spans="1:20" x14ac:dyDescent="0.25">
      <c r="A115">
        <v>20100331</v>
      </c>
      <c r="B115">
        <v>2010</v>
      </c>
      <c r="C115">
        <v>3</v>
      </c>
      <c r="D115">
        <v>1</v>
      </c>
      <c r="E115">
        <v>10870</v>
      </c>
      <c r="F115">
        <v>271604.44</v>
      </c>
      <c r="G115">
        <v>0</v>
      </c>
      <c r="H115">
        <v>0</v>
      </c>
      <c r="I115">
        <v>0</v>
      </c>
      <c r="J115">
        <v>0</v>
      </c>
      <c r="K115">
        <v>0</v>
      </c>
      <c r="L115">
        <v>173083299.40000001</v>
      </c>
      <c r="M115">
        <v>180053117.19999999</v>
      </c>
      <c r="N115">
        <v>173083299.40000001</v>
      </c>
      <c r="O115">
        <v>180053117.19999999</v>
      </c>
      <c r="P115">
        <v>201969754.09999999</v>
      </c>
      <c r="Q115">
        <v>201969754.09999999</v>
      </c>
      <c r="R115" s="14">
        <f>_xlfn.XLOOKUP(Table2[[#This Row],[LoanID]],Table1[G-L ID],Table1[ManagerCode],-99)</f>
        <v>103</v>
      </c>
      <c r="S115" s="4"/>
      <c r="T115" s="7"/>
    </row>
    <row r="116" spans="1:20" x14ac:dyDescent="0.25">
      <c r="A116">
        <v>20100331</v>
      </c>
      <c r="B116">
        <v>2010</v>
      </c>
      <c r="C116">
        <v>3</v>
      </c>
      <c r="D116">
        <v>1</v>
      </c>
      <c r="E116">
        <v>10950</v>
      </c>
      <c r="F116">
        <v>55781.3</v>
      </c>
      <c r="G116">
        <v>0</v>
      </c>
      <c r="H116">
        <v>0</v>
      </c>
      <c r="I116">
        <v>0</v>
      </c>
      <c r="J116">
        <v>0</v>
      </c>
      <c r="K116">
        <v>21241.72</v>
      </c>
      <c r="L116">
        <v>7206145.1500000004</v>
      </c>
      <c r="M116">
        <v>7902450.4199999999</v>
      </c>
      <c r="N116">
        <v>7206145.1500000004</v>
      </c>
      <c r="O116">
        <v>7902450.4199999999</v>
      </c>
      <c r="P116">
        <v>11231133.869999999</v>
      </c>
      <c r="Q116">
        <v>11209892.15</v>
      </c>
      <c r="R116" s="14">
        <f>_xlfn.XLOOKUP(Table2[[#This Row],[LoanID]],Table1[G-L ID],Table1[ManagerCode],-99)</f>
        <v>103</v>
      </c>
      <c r="S116" s="4"/>
      <c r="T116" s="7"/>
    </row>
    <row r="117" spans="1:20" x14ac:dyDescent="0.25">
      <c r="A117">
        <v>20100331</v>
      </c>
      <c r="B117">
        <v>2010</v>
      </c>
      <c r="C117">
        <v>3</v>
      </c>
      <c r="D117">
        <v>1</v>
      </c>
      <c r="E117">
        <v>11180</v>
      </c>
      <c r="F117">
        <v>191177.78</v>
      </c>
      <c r="G117">
        <v>0</v>
      </c>
      <c r="H117">
        <v>0</v>
      </c>
      <c r="I117">
        <v>0</v>
      </c>
      <c r="J117">
        <v>0</v>
      </c>
      <c r="K117">
        <v>29168.55</v>
      </c>
      <c r="L117">
        <v>187030530.19999999</v>
      </c>
      <c r="M117">
        <v>191386335.80000001</v>
      </c>
      <c r="N117">
        <v>187030530.19999999</v>
      </c>
      <c r="O117">
        <v>191386335.80000001</v>
      </c>
      <c r="P117">
        <v>200000000</v>
      </c>
      <c r="Q117">
        <v>199970831.5</v>
      </c>
      <c r="R117" s="14">
        <f>_xlfn.XLOOKUP(Table2[[#This Row],[LoanID]],Table1[G-L ID],Table1[ManagerCode],-99)</f>
        <v>103</v>
      </c>
      <c r="S117" s="4"/>
      <c r="T117" s="7"/>
    </row>
    <row r="118" spans="1:20" x14ac:dyDescent="0.25">
      <c r="A118">
        <v>20100331</v>
      </c>
      <c r="B118">
        <v>2010</v>
      </c>
      <c r="C118">
        <v>3</v>
      </c>
      <c r="D118">
        <v>1</v>
      </c>
      <c r="E118">
        <v>11200</v>
      </c>
      <c r="F118">
        <v>69880</v>
      </c>
      <c r="G118">
        <v>0</v>
      </c>
      <c r="H118">
        <v>0</v>
      </c>
      <c r="I118">
        <v>0</v>
      </c>
      <c r="J118">
        <v>0</v>
      </c>
      <c r="K118">
        <v>0</v>
      </c>
      <c r="L118">
        <v>12640788</v>
      </c>
      <c r="M118">
        <v>13237154.970000001</v>
      </c>
      <c r="N118">
        <v>12640788</v>
      </c>
      <c r="O118">
        <v>13237154.970000001</v>
      </c>
      <c r="P118">
        <v>13976000</v>
      </c>
      <c r="Q118">
        <v>13976000</v>
      </c>
      <c r="R118" s="14">
        <f>_xlfn.XLOOKUP(Table2[[#This Row],[LoanID]],Table1[G-L ID],Table1[ManagerCode],-99)</f>
        <v>103</v>
      </c>
      <c r="S118" s="4"/>
      <c r="T118" s="7"/>
    </row>
    <row r="119" spans="1:20" x14ac:dyDescent="0.25">
      <c r="A119">
        <v>20100331</v>
      </c>
      <c r="B119">
        <v>2010</v>
      </c>
      <c r="C119">
        <v>3</v>
      </c>
      <c r="D119">
        <v>1</v>
      </c>
      <c r="E119">
        <v>11240</v>
      </c>
      <c r="F119">
        <v>227569.51</v>
      </c>
      <c r="G119">
        <v>0</v>
      </c>
      <c r="H119">
        <v>0</v>
      </c>
      <c r="I119">
        <v>0</v>
      </c>
      <c r="J119">
        <v>0</v>
      </c>
      <c r="K119">
        <v>0</v>
      </c>
      <c r="L119">
        <v>191482903</v>
      </c>
      <c r="M119">
        <v>193334429.80000001</v>
      </c>
      <c r="N119">
        <v>191482903</v>
      </c>
      <c r="O119">
        <v>193334429.80000001</v>
      </c>
      <c r="P119">
        <v>194929626.59999999</v>
      </c>
      <c r="Q119">
        <v>194929626.59999999</v>
      </c>
      <c r="R119" s="14">
        <f>_xlfn.XLOOKUP(Table2[[#This Row],[LoanID]],Table1[G-L ID],Table1[ManagerCode],-99)</f>
        <v>103</v>
      </c>
      <c r="S119" s="4"/>
      <c r="T119" s="7"/>
    </row>
    <row r="120" spans="1:20" x14ac:dyDescent="0.25">
      <c r="A120">
        <v>20100331</v>
      </c>
      <c r="B120">
        <v>2010</v>
      </c>
      <c r="C120">
        <v>3</v>
      </c>
      <c r="D120">
        <v>1</v>
      </c>
      <c r="E120">
        <v>11260</v>
      </c>
      <c r="F120">
        <v>12987.17</v>
      </c>
      <c r="G120">
        <v>0</v>
      </c>
      <c r="H120">
        <v>0</v>
      </c>
      <c r="I120">
        <v>-93.96</v>
      </c>
      <c r="J120">
        <v>0</v>
      </c>
      <c r="K120">
        <v>0</v>
      </c>
      <c r="L120">
        <v>10837919.4</v>
      </c>
      <c r="M120">
        <v>11035289.800000001</v>
      </c>
      <c r="N120">
        <v>10837919.4</v>
      </c>
      <c r="O120">
        <v>11035289.800000001</v>
      </c>
      <c r="P120">
        <v>11274673.789999999</v>
      </c>
      <c r="Q120">
        <v>11274673.789999999</v>
      </c>
      <c r="R120" s="14">
        <f>_xlfn.XLOOKUP(Table2[[#This Row],[LoanID]],Table1[G-L ID],Table1[ManagerCode],-99)</f>
        <v>103</v>
      </c>
      <c r="S120" s="4"/>
      <c r="T120" s="7"/>
    </row>
    <row r="121" spans="1:20" x14ac:dyDescent="0.25">
      <c r="A121">
        <v>20100331</v>
      </c>
      <c r="B121">
        <v>2010</v>
      </c>
      <c r="C121">
        <v>3</v>
      </c>
      <c r="D121">
        <v>1</v>
      </c>
      <c r="E121">
        <v>11270</v>
      </c>
      <c r="F121">
        <v>21645.29</v>
      </c>
      <c r="G121">
        <v>0</v>
      </c>
      <c r="H121">
        <v>0</v>
      </c>
      <c r="I121">
        <v>-156.59</v>
      </c>
      <c r="J121">
        <v>0</v>
      </c>
      <c r="K121">
        <v>0</v>
      </c>
      <c r="L121">
        <v>18063199.059999999</v>
      </c>
      <c r="M121">
        <v>18392146.640000001</v>
      </c>
      <c r="N121">
        <v>18063199.059999999</v>
      </c>
      <c r="O121">
        <v>18392146.640000001</v>
      </c>
      <c r="P121">
        <v>18791123.030000001</v>
      </c>
      <c r="Q121">
        <v>18791123.030000001</v>
      </c>
      <c r="R121" s="14">
        <f>_xlfn.XLOOKUP(Table2[[#This Row],[LoanID]],Table1[G-L ID],Table1[ManagerCode],-99)</f>
        <v>103</v>
      </c>
      <c r="S121" s="4"/>
      <c r="T121" s="7"/>
    </row>
    <row r="122" spans="1:20" x14ac:dyDescent="0.25">
      <c r="A122">
        <v>20100331</v>
      </c>
      <c r="B122">
        <v>2010</v>
      </c>
      <c r="C122">
        <v>3</v>
      </c>
      <c r="D122">
        <v>1</v>
      </c>
      <c r="E122">
        <v>11290</v>
      </c>
      <c r="F122">
        <v>19480.759999999998</v>
      </c>
      <c r="G122">
        <v>0</v>
      </c>
      <c r="H122">
        <v>0</v>
      </c>
      <c r="I122">
        <v>-140.93</v>
      </c>
      <c r="J122">
        <v>0</v>
      </c>
      <c r="K122">
        <v>0</v>
      </c>
      <c r="L122">
        <v>16256879.15</v>
      </c>
      <c r="M122">
        <v>16552931.98</v>
      </c>
      <c r="N122">
        <v>16256879.15</v>
      </c>
      <c r="O122">
        <v>16552931.98</v>
      </c>
      <c r="P122">
        <v>16912010.73</v>
      </c>
      <c r="Q122">
        <v>16912010.73</v>
      </c>
      <c r="R122" s="14">
        <f>_xlfn.XLOOKUP(Table2[[#This Row],[LoanID]],Table1[G-L ID],Table1[ManagerCode],-99)</f>
        <v>103</v>
      </c>
      <c r="S122" s="4"/>
      <c r="T122" s="7"/>
    </row>
    <row r="123" spans="1:20" x14ac:dyDescent="0.25">
      <c r="A123">
        <v>20100331</v>
      </c>
      <c r="B123">
        <v>2010</v>
      </c>
      <c r="C123">
        <v>3</v>
      </c>
      <c r="D123">
        <v>1</v>
      </c>
      <c r="E123">
        <v>11380</v>
      </c>
      <c r="F123">
        <v>41865.85</v>
      </c>
      <c r="G123">
        <v>0</v>
      </c>
      <c r="H123">
        <v>0</v>
      </c>
      <c r="I123">
        <v>0</v>
      </c>
      <c r="J123">
        <v>0</v>
      </c>
      <c r="K123">
        <v>48834.14</v>
      </c>
      <c r="L123">
        <v>6844917.6900000004</v>
      </c>
      <c r="M123">
        <v>6796401.3200000003</v>
      </c>
      <c r="N123">
        <v>6844917.6900000004</v>
      </c>
      <c r="O123">
        <v>6796401.3200000003</v>
      </c>
      <c r="P123">
        <v>6335312.3600000003</v>
      </c>
      <c r="Q123">
        <v>6286478.2199999997</v>
      </c>
      <c r="R123" s="14">
        <f>_xlfn.XLOOKUP(Table2[[#This Row],[LoanID]],Table1[G-L ID],Table1[ManagerCode],-99)</f>
        <v>103</v>
      </c>
      <c r="S123" s="4"/>
      <c r="T123" s="7"/>
    </row>
    <row r="124" spans="1:20" x14ac:dyDescent="0.25">
      <c r="A124">
        <v>20100331</v>
      </c>
      <c r="B124">
        <v>2010</v>
      </c>
      <c r="C124">
        <v>3</v>
      </c>
      <c r="D124">
        <v>1</v>
      </c>
      <c r="E124">
        <v>11420</v>
      </c>
      <c r="F124">
        <v>465031.78</v>
      </c>
      <c r="G124">
        <v>0</v>
      </c>
      <c r="H124">
        <v>0</v>
      </c>
      <c r="I124">
        <v>0</v>
      </c>
      <c r="J124">
        <v>0</v>
      </c>
      <c r="K124">
        <v>0</v>
      </c>
      <c r="L124">
        <v>93343411.959999993</v>
      </c>
      <c r="M124">
        <v>96032708.719999999</v>
      </c>
      <c r="N124">
        <v>93343411.959999993</v>
      </c>
      <c r="O124">
        <v>96032708.719999999</v>
      </c>
      <c r="P124">
        <v>98000000</v>
      </c>
      <c r="Q124">
        <v>98000000</v>
      </c>
      <c r="R124" s="14">
        <f>_xlfn.XLOOKUP(Table2[[#This Row],[LoanID]],Table1[G-L ID],Table1[ManagerCode],-99)</f>
        <v>103</v>
      </c>
      <c r="S124" s="4"/>
      <c r="T124" s="7"/>
    </row>
    <row r="125" spans="1:20" x14ac:dyDescent="0.25">
      <c r="A125">
        <v>20100331</v>
      </c>
      <c r="B125">
        <v>2010</v>
      </c>
      <c r="C125">
        <v>3</v>
      </c>
      <c r="D125">
        <v>1</v>
      </c>
      <c r="E125">
        <v>11510</v>
      </c>
      <c r="F125">
        <v>0</v>
      </c>
      <c r="G125">
        <v>0</v>
      </c>
      <c r="H125">
        <v>0</v>
      </c>
      <c r="I125">
        <v>0</v>
      </c>
      <c r="J125">
        <v>-14602872.720000001</v>
      </c>
      <c r="K125">
        <v>0</v>
      </c>
      <c r="L125">
        <v>0</v>
      </c>
      <c r="M125">
        <v>15038368.1</v>
      </c>
      <c r="N125">
        <v>0</v>
      </c>
      <c r="O125">
        <v>15038368.1</v>
      </c>
      <c r="P125">
        <v>0</v>
      </c>
      <c r="Q125">
        <v>14602872.720000001</v>
      </c>
      <c r="R125" s="14">
        <f>_xlfn.XLOOKUP(Table2[[#This Row],[LoanID]],Table1[G-L ID],Table1[ManagerCode],-99)</f>
        <v>103</v>
      </c>
      <c r="S125" s="4"/>
      <c r="T125" s="7"/>
    </row>
    <row r="126" spans="1:20" x14ac:dyDescent="0.25">
      <c r="A126">
        <v>20100331</v>
      </c>
      <c r="B126">
        <v>2010</v>
      </c>
      <c r="C126">
        <v>3</v>
      </c>
      <c r="D126">
        <v>1</v>
      </c>
      <c r="E126">
        <v>11601</v>
      </c>
      <c r="F126">
        <v>2115318.85</v>
      </c>
      <c r="G126">
        <v>0</v>
      </c>
      <c r="H126">
        <v>126405.86</v>
      </c>
      <c r="I126">
        <v>-0.03</v>
      </c>
      <c r="J126">
        <v>0</v>
      </c>
      <c r="K126">
        <v>39043587.07</v>
      </c>
      <c r="L126">
        <v>38654296.479999997</v>
      </c>
      <c r="M126">
        <v>0</v>
      </c>
      <c r="N126">
        <v>38654296.479999997</v>
      </c>
      <c r="O126">
        <v>0</v>
      </c>
      <c r="P126">
        <v>39043587.07</v>
      </c>
      <c r="Q126">
        <v>0</v>
      </c>
      <c r="R126" s="14">
        <f>_xlfn.XLOOKUP(Table2[[#This Row],[LoanID]],Table1[G-L ID],Table1[ManagerCode],-99)</f>
        <v>103</v>
      </c>
      <c r="S126" s="4"/>
      <c r="T126" s="7"/>
    </row>
    <row r="127" spans="1:20" x14ac:dyDescent="0.25">
      <c r="A127">
        <v>20100331</v>
      </c>
      <c r="B127">
        <v>2010</v>
      </c>
      <c r="C127">
        <v>3</v>
      </c>
      <c r="D127">
        <v>1</v>
      </c>
      <c r="E127">
        <v>11602</v>
      </c>
      <c r="F127">
        <v>2781264.82</v>
      </c>
      <c r="G127">
        <v>0</v>
      </c>
      <c r="H127">
        <v>172197.81</v>
      </c>
      <c r="I127">
        <v>0.02</v>
      </c>
      <c r="J127">
        <v>0</v>
      </c>
      <c r="K127">
        <v>59528887.710000001</v>
      </c>
      <c r="L127">
        <v>58895422.659999996</v>
      </c>
      <c r="M127">
        <v>0</v>
      </c>
      <c r="N127">
        <v>58895422.659999996</v>
      </c>
      <c r="O127">
        <v>0</v>
      </c>
      <c r="P127">
        <v>59528887.710000001</v>
      </c>
      <c r="Q127">
        <v>0</v>
      </c>
      <c r="R127" s="14">
        <f>_xlfn.XLOOKUP(Table2[[#This Row],[LoanID]],Table1[G-L ID],Table1[ManagerCode],-99)</f>
        <v>103</v>
      </c>
      <c r="S127" s="4"/>
      <c r="T127" s="7"/>
    </row>
    <row r="128" spans="1:20" x14ac:dyDescent="0.25">
      <c r="A128">
        <v>20100331</v>
      </c>
      <c r="B128">
        <v>2010</v>
      </c>
      <c r="C128">
        <v>3</v>
      </c>
      <c r="D128">
        <v>1</v>
      </c>
      <c r="E128">
        <v>11780</v>
      </c>
      <c r="F128">
        <v>172696.81</v>
      </c>
      <c r="G128">
        <v>0</v>
      </c>
      <c r="H128">
        <v>0</v>
      </c>
      <c r="I128">
        <v>-1064.79</v>
      </c>
      <c r="J128">
        <v>0</v>
      </c>
      <c r="K128">
        <v>275579.03000000003</v>
      </c>
      <c r="L128">
        <v>56398275.100000001</v>
      </c>
      <c r="M128">
        <v>59016059.719999999</v>
      </c>
      <c r="N128">
        <v>56398275.100000001</v>
      </c>
      <c r="O128">
        <v>59016059.719999999</v>
      </c>
      <c r="P128">
        <v>68450480.439999998</v>
      </c>
      <c r="Q128">
        <v>68174901.409999996</v>
      </c>
      <c r="R128" s="14">
        <f>_xlfn.XLOOKUP(Table2[[#This Row],[LoanID]],Table1[G-L ID],Table1[ManagerCode],-99)</f>
        <v>103</v>
      </c>
      <c r="T128"/>
    </row>
    <row r="129" spans="1:20" x14ac:dyDescent="0.25">
      <c r="A129">
        <v>20100331</v>
      </c>
      <c r="B129">
        <v>2010</v>
      </c>
      <c r="C129">
        <v>3</v>
      </c>
      <c r="D129">
        <v>1</v>
      </c>
      <c r="E129">
        <v>11800</v>
      </c>
      <c r="F129">
        <v>154410.46</v>
      </c>
      <c r="G129">
        <v>0</v>
      </c>
      <c r="H129">
        <v>0</v>
      </c>
      <c r="I129">
        <v>-259.82</v>
      </c>
      <c r="J129">
        <v>0</v>
      </c>
      <c r="K129">
        <v>63936.03</v>
      </c>
      <c r="L129">
        <v>16303715.49</v>
      </c>
      <c r="M129">
        <v>18561710.100000001</v>
      </c>
      <c r="N129">
        <v>16303715.49</v>
      </c>
      <c r="O129">
        <v>18561710.100000001</v>
      </c>
      <c r="P129">
        <v>33405305.27</v>
      </c>
      <c r="Q129">
        <v>33341369.239999998</v>
      </c>
      <c r="R129" s="14">
        <f>_xlfn.XLOOKUP(Table2[[#This Row],[LoanID]],Table1[G-L ID],Table1[ManagerCode],-99)</f>
        <v>103</v>
      </c>
      <c r="T129"/>
    </row>
    <row r="130" spans="1:20" x14ac:dyDescent="0.25">
      <c r="A130">
        <v>20100331</v>
      </c>
      <c r="B130">
        <v>2010</v>
      </c>
      <c r="C130">
        <v>3</v>
      </c>
      <c r="D130">
        <v>1</v>
      </c>
      <c r="E130">
        <v>11810</v>
      </c>
      <c r="F130">
        <v>51166.67</v>
      </c>
      <c r="G130">
        <v>0</v>
      </c>
      <c r="H130">
        <v>0</v>
      </c>
      <c r="I130">
        <v>0</v>
      </c>
      <c r="J130">
        <v>0</v>
      </c>
      <c r="K130">
        <v>0</v>
      </c>
      <c r="L130">
        <v>7192838.3600000003</v>
      </c>
      <c r="M130">
        <v>5185938.3600000003</v>
      </c>
      <c r="N130">
        <v>7192838.3600000003</v>
      </c>
      <c r="O130">
        <v>5185938.3600000003</v>
      </c>
      <c r="P130">
        <v>10000000</v>
      </c>
      <c r="Q130">
        <v>10000000</v>
      </c>
      <c r="R130" s="14">
        <f>_xlfn.XLOOKUP(Table2[[#This Row],[LoanID]],Table1[G-L ID],Table1[ManagerCode],-99)</f>
        <v>103</v>
      </c>
      <c r="T130"/>
    </row>
    <row r="131" spans="1:20" x14ac:dyDescent="0.25">
      <c r="A131">
        <v>20100331</v>
      </c>
      <c r="B131">
        <v>2010</v>
      </c>
      <c r="C131">
        <v>3</v>
      </c>
      <c r="D131">
        <v>1</v>
      </c>
      <c r="E131">
        <v>11860</v>
      </c>
      <c r="F131">
        <v>219644.44</v>
      </c>
      <c r="G131">
        <v>0</v>
      </c>
      <c r="H131">
        <v>0</v>
      </c>
      <c r="I131">
        <v>0</v>
      </c>
      <c r="J131">
        <v>0</v>
      </c>
      <c r="K131">
        <v>0</v>
      </c>
      <c r="L131">
        <v>46143901.990000002</v>
      </c>
      <c r="M131">
        <v>47391431.829999998</v>
      </c>
      <c r="N131">
        <v>46143901.990000002</v>
      </c>
      <c r="O131">
        <v>47391431.829999998</v>
      </c>
      <c r="P131">
        <v>49897203.390000001</v>
      </c>
      <c r="Q131">
        <v>49911888.619999997</v>
      </c>
      <c r="R131" s="14">
        <f>_xlfn.XLOOKUP(Table2[[#This Row],[LoanID]],Table1[G-L ID],Table1[ManagerCode],-99)</f>
        <v>103</v>
      </c>
      <c r="T131"/>
    </row>
    <row r="132" spans="1:20" x14ac:dyDescent="0.25">
      <c r="A132">
        <v>20100331</v>
      </c>
      <c r="B132">
        <v>2010</v>
      </c>
      <c r="C132">
        <v>3</v>
      </c>
      <c r="D132">
        <v>1</v>
      </c>
      <c r="E132">
        <v>11870</v>
      </c>
      <c r="F132">
        <v>109822.22</v>
      </c>
      <c r="G132">
        <v>0</v>
      </c>
      <c r="H132">
        <v>0</v>
      </c>
      <c r="I132">
        <v>0</v>
      </c>
      <c r="J132">
        <v>0</v>
      </c>
      <c r="K132">
        <v>0</v>
      </c>
      <c r="L132">
        <v>23071950.989999998</v>
      </c>
      <c r="M132">
        <v>23695715.920000002</v>
      </c>
      <c r="N132">
        <v>23071950.989999998</v>
      </c>
      <c r="O132">
        <v>23695715.920000002</v>
      </c>
      <c r="P132">
        <v>24943157.030000001</v>
      </c>
      <c r="Q132">
        <v>24951277.449999999</v>
      </c>
      <c r="R132" s="14">
        <f>_xlfn.XLOOKUP(Table2[[#This Row],[LoanID]],Table1[G-L ID],Table1[ManagerCode],-99)</f>
        <v>103</v>
      </c>
      <c r="T132"/>
    </row>
    <row r="133" spans="1:20" x14ac:dyDescent="0.25">
      <c r="A133">
        <v>20100331</v>
      </c>
      <c r="B133">
        <v>2010</v>
      </c>
      <c r="C133">
        <v>3</v>
      </c>
      <c r="D133">
        <v>1</v>
      </c>
      <c r="E133">
        <v>11900</v>
      </c>
      <c r="F133">
        <v>0</v>
      </c>
      <c r="G133">
        <v>0</v>
      </c>
      <c r="H133">
        <v>0</v>
      </c>
      <c r="I133">
        <v>0</v>
      </c>
      <c r="J133">
        <v>0</v>
      </c>
      <c r="K133">
        <v>0</v>
      </c>
      <c r="L133">
        <v>55000000</v>
      </c>
      <c r="M133">
        <v>55000000</v>
      </c>
      <c r="N133">
        <v>55000000</v>
      </c>
      <c r="O133">
        <v>55000000</v>
      </c>
      <c r="P133">
        <v>55000000</v>
      </c>
      <c r="Q133">
        <v>55000000</v>
      </c>
      <c r="R133" s="14">
        <f>_xlfn.XLOOKUP(Table2[[#This Row],[LoanID]],Table1[G-L ID],Table1[ManagerCode],-99)</f>
        <v>103</v>
      </c>
      <c r="T133"/>
    </row>
    <row r="134" spans="1:20" x14ac:dyDescent="0.25">
      <c r="A134">
        <v>20100331</v>
      </c>
      <c r="B134">
        <v>2010</v>
      </c>
      <c r="C134">
        <v>3</v>
      </c>
      <c r="D134">
        <v>1</v>
      </c>
      <c r="E134">
        <v>11930</v>
      </c>
      <c r="F134">
        <v>172221.57</v>
      </c>
      <c r="G134">
        <v>0</v>
      </c>
      <c r="H134">
        <v>0</v>
      </c>
      <c r="I134">
        <v>0</v>
      </c>
      <c r="J134">
        <v>0</v>
      </c>
      <c r="K134">
        <v>0</v>
      </c>
      <c r="L134">
        <v>190220306.09999999</v>
      </c>
      <c r="M134">
        <v>191710939.5</v>
      </c>
      <c r="N134">
        <v>190220306.09999999</v>
      </c>
      <c r="O134">
        <v>191710939.5</v>
      </c>
      <c r="P134">
        <v>195780481.30000001</v>
      </c>
      <c r="Q134">
        <v>195780481.30000001</v>
      </c>
      <c r="R134" s="14">
        <f>_xlfn.XLOOKUP(Table2[[#This Row],[LoanID]],Table1[G-L ID],Table1[ManagerCode],-99)</f>
        <v>103</v>
      </c>
      <c r="T134"/>
    </row>
    <row r="135" spans="1:20" x14ac:dyDescent="0.25">
      <c r="A135">
        <v>20100331</v>
      </c>
      <c r="B135">
        <v>2010</v>
      </c>
      <c r="C135">
        <v>3</v>
      </c>
      <c r="D135">
        <v>1</v>
      </c>
      <c r="E135">
        <v>11940</v>
      </c>
      <c r="F135">
        <v>56406.71</v>
      </c>
      <c r="G135">
        <v>0</v>
      </c>
      <c r="H135">
        <v>0</v>
      </c>
      <c r="I135">
        <v>0</v>
      </c>
      <c r="J135">
        <v>0</v>
      </c>
      <c r="K135">
        <v>0</v>
      </c>
      <c r="L135">
        <v>59729976.729999997</v>
      </c>
      <c r="M135">
        <v>60625816.450000003</v>
      </c>
      <c r="N135">
        <v>59729976.729999997</v>
      </c>
      <c r="O135">
        <v>60625816.450000003</v>
      </c>
      <c r="P135">
        <v>64081665.43</v>
      </c>
      <c r="Q135">
        <v>64083831.289999999</v>
      </c>
      <c r="R135" s="14">
        <f>_xlfn.XLOOKUP(Table2[[#This Row],[LoanID]],Table1[G-L ID],Table1[ManagerCode],-99)</f>
        <v>103</v>
      </c>
      <c r="T135"/>
    </row>
    <row r="136" spans="1:20" x14ac:dyDescent="0.25">
      <c r="A136">
        <v>20100331</v>
      </c>
      <c r="B136">
        <v>2010</v>
      </c>
      <c r="C136">
        <v>3</v>
      </c>
      <c r="D136">
        <v>1</v>
      </c>
      <c r="E136">
        <v>11951</v>
      </c>
      <c r="F136">
        <v>150495.32999999999</v>
      </c>
      <c r="G136">
        <v>0</v>
      </c>
      <c r="H136">
        <v>0</v>
      </c>
      <c r="I136">
        <v>-283.33</v>
      </c>
      <c r="J136">
        <v>0</v>
      </c>
      <c r="K136">
        <v>0</v>
      </c>
      <c r="L136">
        <v>34531338.329999998</v>
      </c>
      <c r="M136">
        <v>34546924.100000001</v>
      </c>
      <c r="N136">
        <v>34531338.329999998</v>
      </c>
      <c r="O136">
        <v>34546924.100000001</v>
      </c>
      <c r="P136">
        <v>33981932.560000002</v>
      </c>
      <c r="Q136">
        <v>33983575.049999997</v>
      </c>
      <c r="R136" s="14">
        <f>_xlfn.XLOOKUP(Table2[[#This Row],[LoanID]],Table1[G-L ID],Table1[ManagerCode],-99)</f>
        <v>103</v>
      </c>
      <c r="T136"/>
    </row>
    <row r="137" spans="1:20" x14ac:dyDescent="0.25">
      <c r="A137">
        <v>20100331</v>
      </c>
      <c r="B137">
        <v>2010</v>
      </c>
      <c r="C137">
        <v>3</v>
      </c>
      <c r="D137">
        <v>1</v>
      </c>
      <c r="E137">
        <v>11952</v>
      </c>
      <c r="F137">
        <v>107702</v>
      </c>
      <c r="G137">
        <v>0</v>
      </c>
      <c r="H137">
        <v>0</v>
      </c>
      <c r="I137">
        <v>-174.98</v>
      </c>
      <c r="J137">
        <v>0</v>
      </c>
      <c r="K137">
        <v>0</v>
      </c>
      <c r="L137">
        <v>21158984.109999999</v>
      </c>
      <c r="M137">
        <v>21276254.09</v>
      </c>
      <c r="N137">
        <v>21158984.109999999</v>
      </c>
      <c r="O137">
        <v>21276254.09</v>
      </c>
      <c r="P137">
        <v>21000000</v>
      </c>
      <c r="Q137">
        <v>21000000</v>
      </c>
      <c r="R137" s="14">
        <f>_xlfn.XLOOKUP(Table2[[#This Row],[LoanID]],Table1[G-L ID],Table1[ManagerCode],-99)</f>
        <v>103</v>
      </c>
      <c r="T137"/>
    </row>
    <row r="138" spans="1:20" x14ac:dyDescent="0.25">
      <c r="A138">
        <v>20100331</v>
      </c>
      <c r="B138">
        <v>2010</v>
      </c>
      <c r="C138">
        <v>3</v>
      </c>
      <c r="D138">
        <v>1</v>
      </c>
      <c r="E138">
        <v>12000</v>
      </c>
      <c r="F138">
        <v>117156.91</v>
      </c>
      <c r="G138">
        <v>0</v>
      </c>
      <c r="H138">
        <v>0</v>
      </c>
      <c r="I138">
        <v>0</v>
      </c>
      <c r="J138">
        <v>0</v>
      </c>
      <c r="K138">
        <v>0</v>
      </c>
      <c r="L138">
        <v>18378156.280000001</v>
      </c>
      <c r="M138">
        <v>19797247.350000001</v>
      </c>
      <c r="N138">
        <v>18378156.280000001</v>
      </c>
      <c r="O138">
        <v>19797247.350000001</v>
      </c>
      <c r="P138">
        <v>25083524.210000001</v>
      </c>
      <c r="Q138">
        <v>25084218.649999999</v>
      </c>
      <c r="R138" s="14">
        <f>_xlfn.XLOOKUP(Table2[[#This Row],[LoanID]],Table1[G-L ID],Table1[ManagerCode],-99)</f>
        <v>103</v>
      </c>
      <c r="T138"/>
    </row>
    <row r="139" spans="1:20" x14ac:dyDescent="0.25">
      <c r="A139">
        <v>20100331</v>
      </c>
      <c r="B139">
        <v>2010</v>
      </c>
      <c r="C139">
        <v>3</v>
      </c>
      <c r="D139">
        <v>1</v>
      </c>
      <c r="E139">
        <v>12040</v>
      </c>
      <c r="F139">
        <v>56816.67</v>
      </c>
      <c r="G139">
        <v>0</v>
      </c>
      <c r="H139">
        <v>0</v>
      </c>
      <c r="I139">
        <v>-58.33</v>
      </c>
      <c r="J139">
        <v>0</v>
      </c>
      <c r="K139">
        <v>1282.29</v>
      </c>
      <c r="L139">
        <v>14950605.52</v>
      </c>
      <c r="M139">
        <v>14989217.859999999</v>
      </c>
      <c r="N139">
        <v>14950605.52</v>
      </c>
      <c r="O139">
        <v>14989217.859999999</v>
      </c>
      <c r="P139">
        <v>15005109.289999999</v>
      </c>
      <c r="Q139">
        <v>15003827</v>
      </c>
      <c r="R139" s="14">
        <f>_xlfn.XLOOKUP(Table2[[#This Row],[LoanID]],Table1[G-L ID],Table1[ManagerCode],-99)</f>
        <v>103</v>
      </c>
      <c r="T139"/>
    </row>
    <row r="140" spans="1:20" x14ac:dyDescent="0.25">
      <c r="A140">
        <v>20100331</v>
      </c>
      <c r="B140">
        <v>2010</v>
      </c>
      <c r="C140">
        <v>3</v>
      </c>
      <c r="D140">
        <v>1</v>
      </c>
      <c r="E140">
        <v>12050</v>
      </c>
      <c r="F140">
        <v>39433.33</v>
      </c>
      <c r="G140">
        <v>0</v>
      </c>
      <c r="H140">
        <v>0</v>
      </c>
      <c r="I140">
        <v>-38.89</v>
      </c>
      <c r="J140">
        <v>0</v>
      </c>
      <c r="K140">
        <v>850.69</v>
      </c>
      <c r="L140">
        <v>9867526.5399999991</v>
      </c>
      <c r="M140">
        <v>9948367.3599999994</v>
      </c>
      <c r="N140">
        <v>9867526.5399999991</v>
      </c>
      <c r="O140">
        <v>9948367.3599999994</v>
      </c>
      <c r="P140">
        <v>10003389.529999999</v>
      </c>
      <c r="Q140">
        <v>10002538.84</v>
      </c>
      <c r="R140" s="14">
        <f>_xlfn.XLOOKUP(Table2[[#This Row],[LoanID]],Table1[G-L ID],Table1[ManagerCode],-99)</f>
        <v>103</v>
      </c>
      <c r="T140"/>
    </row>
    <row r="141" spans="1:20" x14ac:dyDescent="0.25">
      <c r="A141">
        <v>20100331</v>
      </c>
      <c r="B141">
        <v>2010</v>
      </c>
      <c r="C141">
        <v>3</v>
      </c>
      <c r="D141">
        <v>1</v>
      </c>
      <c r="E141">
        <v>12060</v>
      </c>
      <c r="F141">
        <v>56816.67</v>
      </c>
      <c r="G141">
        <v>0</v>
      </c>
      <c r="H141">
        <v>0</v>
      </c>
      <c r="I141">
        <v>-58.33</v>
      </c>
      <c r="J141">
        <v>0</v>
      </c>
      <c r="K141">
        <v>1282.29</v>
      </c>
      <c r="L141">
        <v>14950605.51</v>
      </c>
      <c r="M141">
        <v>14989217.85</v>
      </c>
      <c r="N141">
        <v>14950605.51</v>
      </c>
      <c r="O141">
        <v>14989217.85</v>
      </c>
      <c r="P141">
        <v>15006391.58</v>
      </c>
      <c r="Q141">
        <v>15005109.289999999</v>
      </c>
      <c r="R141" s="14">
        <f>_xlfn.XLOOKUP(Table2[[#This Row],[LoanID]],Table1[G-L ID],Table1[ManagerCode],-99)</f>
        <v>103</v>
      </c>
      <c r="T141"/>
    </row>
    <row r="142" spans="1:20" x14ac:dyDescent="0.25">
      <c r="A142">
        <v>20100331</v>
      </c>
      <c r="B142">
        <v>2010</v>
      </c>
      <c r="C142">
        <v>3</v>
      </c>
      <c r="D142">
        <v>1</v>
      </c>
      <c r="E142">
        <v>12070</v>
      </c>
      <c r="F142">
        <v>59150</v>
      </c>
      <c r="G142">
        <v>0</v>
      </c>
      <c r="H142">
        <v>0</v>
      </c>
      <c r="I142">
        <v>-58.33</v>
      </c>
      <c r="J142">
        <v>0</v>
      </c>
      <c r="K142">
        <v>1276.04</v>
      </c>
      <c r="L142">
        <v>14801289.789999999</v>
      </c>
      <c r="M142">
        <v>14922551.039999999</v>
      </c>
      <c r="N142">
        <v>14801289.789999999</v>
      </c>
      <c r="O142">
        <v>14922551.039999999</v>
      </c>
      <c r="P142">
        <v>15005084.289999999</v>
      </c>
      <c r="Q142">
        <v>15003808.25</v>
      </c>
      <c r="R142" s="14">
        <f>_xlfn.XLOOKUP(Table2[[#This Row],[LoanID]],Table1[G-L ID],Table1[ManagerCode],-99)</f>
        <v>103</v>
      </c>
      <c r="T142"/>
    </row>
    <row r="143" spans="1:20" x14ac:dyDescent="0.25">
      <c r="A143">
        <v>20100331</v>
      </c>
      <c r="B143">
        <v>2010</v>
      </c>
      <c r="C143">
        <v>3</v>
      </c>
      <c r="D143">
        <v>1</v>
      </c>
      <c r="E143">
        <v>12200</v>
      </c>
      <c r="F143">
        <v>92809.48</v>
      </c>
      <c r="G143">
        <v>0</v>
      </c>
      <c r="H143">
        <v>0</v>
      </c>
      <c r="I143">
        <v>0</v>
      </c>
      <c r="J143">
        <v>0</v>
      </c>
      <c r="K143">
        <v>29400.080000000002</v>
      </c>
      <c r="L143">
        <v>20769733.57</v>
      </c>
      <c r="M143">
        <v>20768534.079999998</v>
      </c>
      <c r="N143">
        <v>20769733.57</v>
      </c>
      <c r="O143">
        <v>20768534.079999998</v>
      </c>
      <c r="P143">
        <v>20193160.379999999</v>
      </c>
      <c r="Q143">
        <v>20164094.52</v>
      </c>
      <c r="R143" s="14">
        <f>_xlfn.XLOOKUP(Table2[[#This Row],[LoanID]],Table1[G-L ID],Table1[ManagerCode],-99)</f>
        <v>103</v>
      </c>
      <c r="T143"/>
    </row>
    <row r="144" spans="1:20" x14ac:dyDescent="0.25">
      <c r="A144">
        <v>20100331</v>
      </c>
      <c r="B144">
        <v>2010</v>
      </c>
      <c r="C144">
        <v>3</v>
      </c>
      <c r="D144">
        <v>1</v>
      </c>
      <c r="E144">
        <v>12210</v>
      </c>
      <c r="F144">
        <v>743713.35</v>
      </c>
      <c r="G144">
        <v>0</v>
      </c>
      <c r="H144">
        <v>0</v>
      </c>
      <c r="I144">
        <v>0</v>
      </c>
      <c r="J144">
        <v>0</v>
      </c>
      <c r="K144">
        <v>162424.76</v>
      </c>
      <c r="L144">
        <v>128504330.3</v>
      </c>
      <c r="M144">
        <v>128523514.2</v>
      </c>
      <c r="N144">
        <v>128504330.3</v>
      </c>
      <c r="O144">
        <v>128523514.2</v>
      </c>
      <c r="P144">
        <v>120391432.8</v>
      </c>
      <c r="Q144">
        <v>120229008</v>
      </c>
      <c r="R144" s="14">
        <f>_xlfn.XLOOKUP(Table2[[#This Row],[LoanID]],Table1[G-L ID],Table1[ManagerCode],-99)</f>
        <v>103</v>
      </c>
      <c r="T144"/>
    </row>
    <row r="145" spans="1:20" x14ac:dyDescent="0.25">
      <c r="A145">
        <v>20100430</v>
      </c>
      <c r="B145">
        <v>2010</v>
      </c>
      <c r="C145">
        <v>4</v>
      </c>
      <c r="D145">
        <v>1</v>
      </c>
      <c r="E145">
        <v>10050</v>
      </c>
      <c r="F145">
        <v>153981.01999999999</v>
      </c>
      <c r="G145">
        <v>0</v>
      </c>
      <c r="H145">
        <v>0</v>
      </c>
      <c r="I145">
        <v>-69.44</v>
      </c>
      <c r="J145">
        <v>0</v>
      </c>
      <c r="K145">
        <v>0</v>
      </c>
      <c r="L145">
        <v>19774402.210000001</v>
      </c>
      <c r="M145">
        <v>21458415</v>
      </c>
      <c r="N145">
        <v>19774402.210000001</v>
      </c>
      <c r="O145">
        <v>21458415</v>
      </c>
      <c r="P145">
        <v>33333334</v>
      </c>
      <c r="Q145">
        <v>33333334</v>
      </c>
      <c r="R145" s="14">
        <f>_xlfn.XLOOKUP(Table2[[#This Row],[LoanID]],Table1[G-L ID],Table1[ManagerCode],-99)</f>
        <v>103</v>
      </c>
      <c r="T145"/>
    </row>
    <row r="146" spans="1:20" x14ac:dyDescent="0.25">
      <c r="A146">
        <v>20100430</v>
      </c>
      <c r="B146">
        <v>2010</v>
      </c>
      <c r="C146">
        <v>4</v>
      </c>
      <c r="D146">
        <v>1</v>
      </c>
      <c r="E146">
        <v>10080</v>
      </c>
      <c r="F146">
        <v>351042.71</v>
      </c>
      <c r="G146">
        <v>0</v>
      </c>
      <c r="H146">
        <v>0</v>
      </c>
      <c r="I146">
        <v>-161.46</v>
      </c>
      <c r="J146">
        <v>0</v>
      </c>
      <c r="K146">
        <v>0</v>
      </c>
      <c r="L146">
        <v>68717618.709999993</v>
      </c>
      <c r="M146">
        <v>70789918.489999995</v>
      </c>
      <c r="N146">
        <v>68717618.709999993</v>
      </c>
      <c r="O146">
        <v>70789918.489999995</v>
      </c>
      <c r="P146">
        <v>75000000</v>
      </c>
      <c r="Q146">
        <v>75000000</v>
      </c>
      <c r="R146" s="14">
        <f>_xlfn.XLOOKUP(Table2[[#This Row],[LoanID]],Table1[G-L ID],Table1[ManagerCode],-99)</f>
        <v>103</v>
      </c>
      <c r="T146"/>
    </row>
    <row r="147" spans="1:20" x14ac:dyDescent="0.25">
      <c r="A147">
        <v>20100430</v>
      </c>
      <c r="B147">
        <v>2010</v>
      </c>
      <c r="C147">
        <v>4</v>
      </c>
      <c r="D147">
        <v>1</v>
      </c>
      <c r="E147">
        <v>10130</v>
      </c>
      <c r="F147">
        <v>38592.32</v>
      </c>
      <c r="G147">
        <v>0</v>
      </c>
      <c r="H147">
        <v>0</v>
      </c>
      <c r="I147">
        <v>0</v>
      </c>
      <c r="J147">
        <v>0</v>
      </c>
      <c r="K147">
        <v>29098.37</v>
      </c>
      <c r="L147">
        <v>8510463.9499999993</v>
      </c>
      <c r="M147">
        <v>8638119.7799999993</v>
      </c>
      <c r="N147">
        <v>8510463.9499999993</v>
      </c>
      <c r="O147">
        <v>8638119.7799999993</v>
      </c>
      <c r="P147">
        <v>8528688.5399999991</v>
      </c>
      <c r="Q147">
        <v>8499590.1699999999</v>
      </c>
      <c r="R147" s="14">
        <f>_xlfn.XLOOKUP(Table2[[#This Row],[LoanID]],Table1[G-L ID],Table1[ManagerCode],-99)</f>
        <v>103</v>
      </c>
      <c r="T147"/>
    </row>
    <row r="148" spans="1:20" x14ac:dyDescent="0.25">
      <c r="A148">
        <v>20100430</v>
      </c>
      <c r="B148">
        <v>2010</v>
      </c>
      <c r="C148">
        <v>4</v>
      </c>
      <c r="D148">
        <v>1</v>
      </c>
      <c r="E148">
        <v>10140</v>
      </c>
      <c r="F148">
        <v>101726.86</v>
      </c>
      <c r="G148">
        <v>0</v>
      </c>
      <c r="H148">
        <v>0</v>
      </c>
      <c r="I148">
        <v>0</v>
      </c>
      <c r="J148">
        <v>0</v>
      </c>
      <c r="K148">
        <v>76097.47</v>
      </c>
      <c r="L148">
        <v>22433027.199999999</v>
      </c>
      <c r="M148">
        <v>22770383.309999999</v>
      </c>
      <c r="N148">
        <v>22433027.199999999</v>
      </c>
      <c r="O148">
        <v>22770383.309999999</v>
      </c>
      <c r="P148">
        <v>22481072.93</v>
      </c>
      <c r="Q148">
        <v>22404975.460000001</v>
      </c>
      <c r="R148" s="14">
        <f>_xlfn.XLOOKUP(Table2[[#This Row],[LoanID]],Table1[G-L ID],Table1[ManagerCode],-99)</f>
        <v>103</v>
      </c>
      <c r="T148"/>
    </row>
    <row r="149" spans="1:20" x14ac:dyDescent="0.25">
      <c r="A149">
        <v>20100430</v>
      </c>
      <c r="B149">
        <v>2010</v>
      </c>
      <c r="C149">
        <v>4</v>
      </c>
      <c r="D149">
        <v>1</v>
      </c>
      <c r="E149">
        <v>10150</v>
      </c>
      <c r="F149">
        <v>248293.44</v>
      </c>
      <c r="G149">
        <v>0</v>
      </c>
      <c r="H149">
        <v>0</v>
      </c>
      <c r="I149">
        <v>0</v>
      </c>
      <c r="J149">
        <v>0</v>
      </c>
      <c r="K149">
        <v>65026.559999999998</v>
      </c>
      <c r="L149">
        <v>50652389.079999998</v>
      </c>
      <c r="M149">
        <v>51643181.850000001</v>
      </c>
      <c r="N149">
        <v>50652389.079999998</v>
      </c>
      <c r="O149">
        <v>51643181.850000001</v>
      </c>
      <c r="P149">
        <v>53769828.07</v>
      </c>
      <c r="Q149">
        <v>53708401.299999997</v>
      </c>
      <c r="R149" s="14">
        <f>_xlfn.XLOOKUP(Table2[[#This Row],[LoanID]],Table1[G-L ID],Table1[ManagerCode],-99)</f>
        <v>103</v>
      </c>
      <c r="T149"/>
    </row>
    <row r="150" spans="1:20" x14ac:dyDescent="0.25">
      <c r="A150">
        <v>20100430</v>
      </c>
      <c r="B150">
        <v>2010</v>
      </c>
      <c r="C150">
        <v>4</v>
      </c>
      <c r="D150">
        <v>1</v>
      </c>
      <c r="E150">
        <v>10170</v>
      </c>
      <c r="F150">
        <v>256179.46</v>
      </c>
      <c r="G150">
        <v>0</v>
      </c>
      <c r="H150">
        <v>0</v>
      </c>
      <c r="I150">
        <v>-1227.7</v>
      </c>
      <c r="J150">
        <v>0</v>
      </c>
      <c r="K150">
        <v>60660.52</v>
      </c>
      <c r="L150">
        <v>45772055.479999997</v>
      </c>
      <c r="M150">
        <v>46858597.380000003</v>
      </c>
      <c r="N150">
        <v>45772055.479999997</v>
      </c>
      <c r="O150">
        <v>46858597.380000003</v>
      </c>
      <c r="P150">
        <v>47523758.759999998</v>
      </c>
      <c r="Q150">
        <v>47463098.240000002</v>
      </c>
      <c r="R150" s="14">
        <f>_xlfn.XLOOKUP(Table2[[#This Row],[LoanID]],Table1[G-L ID],Table1[ManagerCode],-99)</f>
        <v>103</v>
      </c>
      <c r="T150"/>
    </row>
    <row r="151" spans="1:20" x14ac:dyDescent="0.25">
      <c r="A151">
        <v>20100430</v>
      </c>
      <c r="B151">
        <v>2010</v>
      </c>
      <c r="C151">
        <v>4</v>
      </c>
      <c r="D151">
        <v>1</v>
      </c>
      <c r="E151">
        <v>10230</v>
      </c>
      <c r="F151">
        <v>377584.54</v>
      </c>
      <c r="G151">
        <v>0</v>
      </c>
      <c r="H151">
        <v>0</v>
      </c>
      <c r="I151">
        <v>0</v>
      </c>
      <c r="J151">
        <v>0</v>
      </c>
      <c r="K151">
        <v>105611.6</v>
      </c>
      <c r="L151">
        <v>20914467.879999999</v>
      </c>
      <c r="M151">
        <v>22885798.940000001</v>
      </c>
      <c r="N151">
        <v>20914467.879999999</v>
      </c>
      <c r="O151">
        <v>22885798.940000001</v>
      </c>
      <c r="P151">
        <v>33639196.609999999</v>
      </c>
      <c r="Q151">
        <v>33533585.010000002</v>
      </c>
      <c r="R151" s="14">
        <f>_xlfn.XLOOKUP(Table2[[#This Row],[LoanID]],Table1[G-L ID],Table1[ManagerCode],-99)</f>
        <v>103</v>
      </c>
      <c r="T151"/>
    </row>
    <row r="152" spans="1:20" x14ac:dyDescent="0.25">
      <c r="A152">
        <v>20100430</v>
      </c>
      <c r="B152">
        <v>2010</v>
      </c>
      <c r="C152">
        <v>4</v>
      </c>
      <c r="D152">
        <v>1</v>
      </c>
      <c r="E152">
        <v>10280</v>
      </c>
      <c r="F152">
        <v>181412</v>
      </c>
      <c r="G152">
        <v>0</v>
      </c>
      <c r="H152">
        <v>0</v>
      </c>
      <c r="I152">
        <v>-602.79</v>
      </c>
      <c r="J152">
        <v>0</v>
      </c>
      <c r="K152">
        <v>0</v>
      </c>
      <c r="L152">
        <v>30948270.120000001</v>
      </c>
      <c r="M152">
        <v>32083225.140000001</v>
      </c>
      <c r="N152">
        <v>30948270.120000001</v>
      </c>
      <c r="O152">
        <v>32083225.140000001</v>
      </c>
      <c r="P152">
        <v>35000000</v>
      </c>
      <c r="Q152">
        <v>35000000</v>
      </c>
      <c r="R152" s="14">
        <f>_xlfn.XLOOKUP(Table2[[#This Row],[LoanID]],Table1[G-L ID],Table1[ManagerCode],-99)</f>
        <v>103</v>
      </c>
      <c r="T152"/>
    </row>
    <row r="153" spans="1:20" x14ac:dyDescent="0.25">
      <c r="A153">
        <v>20100430</v>
      </c>
      <c r="B153">
        <v>2010</v>
      </c>
      <c r="C153">
        <v>4</v>
      </c>
      <c r="D153">
        <v>1</v>
      </c>
      <c r="E153">
        <v>10290</v>
      </c>
      <c r="F153">
        <v>171300.83</v>
      </c>
      <c r="G153">
        <v>0</v>
      </c>
      <c r="H153">
        <v>0</v>
      </c>
      <c r="I153">
        <v>-430.56</v>
      </c>
      <c r="J153">
        <v>0</v>
      </c>
      <c r="K153">
        <v>0</v>
      </c>
      <c r="L153">
        <v>23858195.629999999</v>
      </c>
      <c r="M153">
        <v>24674340.579999998</v>
      </c>
      <c r="N153">
        <v>23858195.629999999</v>
      </c>
      <c r="O153">
        <v>24674340.579999998</v>
      </c>
      <c r="P153">
        <v>25000000</v>
      </c>
      <c r="Q153">
        <v>25000000</v>
      </c>
      <c r="R153" s="14">
        <f>_xlfn.XLOOKUP(Table2[[#This Row],[LoanID]],Table1[G-L ID],Table1[ManagerCode],-99)</f>
        <v>103</v>
      </c>
      <c r="T153"/>
    </row>
    <row r="154" spans="1:20" x14ac:dyDescent="0.25">
      <c r="A154">
        <v>20100430</v>
      </c>
      <c r="B154">
        <v>2010</v>
      </c>
      <c r="C154">
        <v>4</v>
      </c>
      <c r="D154">
        <v>1</v>
      </c>
      <c r="E154">
        <v>10370</v>
      </c>
      <c r="F154">
        <v>0</v>
      </c>
      <c r="G154">
        <v>0</v>
      </c>
      <c r="H154">
        <v>0</v>
      </c>
      <c r="I154">
        <v>0</v>
      </c>
      <c r="J154">
        <v>0</v>
      </c>
      <c r="K154">
        <v>0</v>
      </c>
      <c r="L154">
        <v>2538663.9</v>
      </c>
      <c r="M154">
        <v>2695848.44</v>
      </c>
      <c r="N154">
        <v>2538663.9</v>
      </c>
      <c r="O154">
        <v>2695848.44</v>
      </c>
      <c r="P154">
        <v>3643657.41</v>
      </c>
      <c r="Q154">
        <v>3643657.41</v>
      </c>
      <c r="R154" s="14">
        <f>_xlfn.XLOOKUP(Table2[[#This Row],[LoanID]],Table1[G-L ID],Table1[ManagerCode],-99)</f>
        <v>103</v>
      </c>
      <c r="T154"/>
    </row>
    <row r="155" spans="1:20" x14ac:dyDescent="0.25">
      <c r="A155">
        <v>20100430</v>
      </c>
      <c r="B155">
        <v>2010</v>
      </c>
      <c r="C155">
        <v>4</v>
      </c>
      <c r="D155">
        <v>1</v>
      </c>
      <c r="E155">
        <v>10380</v>
      </c>
      <c r="F155">
        <v>58884.11</v>
      </c>
      <c r="G155">
        <v>0</v>
      </c>
      <c r="H155">
        <v>0</v>
      </c>
      <c r="I155">
        <v>-92.5</v>
      </c>
      <c r="J155">
        <v>0</v>
      </c>
      <c r="K155">
        <v>656.78</v>
      </c>
      <c r="L155">
        <v>10253193.789999999</v>
      </c>
      <c r="M155">
        <v>10494740.970000001</v>
      </c>
      <c r="N155">
        <v>10253193.789999999</v>
      </c>
      <c r="O155">
        <v>10494740.970000001</v>
      </c>
      <c r="P155">
        <v>11107881.300000001</v>
      </c>
      <c r="Q155">
        <v>11107224.52</v>
      </c>
      <c r="R155" s="14">
        <f>_xlfn.XLOOKUP(Table2[[#This Row],[LoanID]],Table1[G-L ID],Table1[ManagerCode],-99)</f>
        <v>103</v>
      </c>
      <c r="T155"/>
    </row>
    <row r="156" spans="1:20" x14ac:dyDescent="0.25">
      <c r="A156">
        <v>20100430</v>
      </c>
      <c r="B156">
        <v>2010</v>
      </c>
      <c r="C156">
        <v>4</v>
      </c>
      <c r="D156">
        <v>1</v>
      </c>
      <c r="E156">
        <v>10390</v>
      </c>
      <c r="F156">
        <v>118750</v>
      </c>
      <c r="G156">
        <v>0</v>
      </c>
      <c r="H156">
        <v>0</v>
      </c>
      <c r="I156">
        <v>0</v>
      </c>
      <c r="J156">
        <v>0</v>
      </c>
      <c r="K156">
        <v>0</v>
      </c>
      <c r="L156">
        <v>22067580.850000001</v>
      </c>
      <c r="M156">
        <v>22841556.940000001</v>
      </c>
      <c r="N156">
        <v>22067580.850000001</v>
      </c>
      <c r="O156">
        <v>22841556.940000001</v>
      </c>
      <c r="P156">
        <v>24989999.920000002</v>
      </c>
      <c r="Q156">
        <v>24990204</v>
      </c>
      <c r="R156" s="14">
        <f>_xlfn.XLOOKUP(Table2[[#This Row],[LoanID]],Table1[G-L ID],Table1[ManagerCode],-99)</f>
        <v>103</v>
      </c>
      <c r="T156"/>
    </row>
    <row r="157" spans="1:20" x14ac:dyDescent="0.25">
      <c r="A157">
        <v>20100430</v>
      </c>
      <c r="B157">
        <v>2010</v>
      </c>
      <c r="C157">
        <v>4</v>
      </c>
      <c r="D157">
        <v>1</v>
      </c>
      <c r="E157">
        <v>10450</v>
      </c>
      <c r="F157">
        <v>121666.66</v>
      </c>
      <c r="G157">
        <v>0</v>
      </c>
      <c r="H157">
        <v>0</v>
      </c>
      <c r="I157">
        <v>0</v>
      </c>
      <c r="J157">
        <v>0</v>
      </c>
      <c r="K157">
        <v>20148.59</v>
      </c>
      <c r="L157">
        <v>20335477.199999999</v>
      </c>
      <c r="M157">
        <v>20921641.129999999</v>
      </c>
      <c r="N157">
        <v>20335477.199999999</v>
      </c>
      <c r="O157">
        <v>20921641.129999999</v>
      </c>
      <c r="P157">
        <v>21749514.960000001</v>
      </c>
      <c r="Q157">
        <v>21730894.41</v>
      </c>
      <c r="R157" s="14">
        <f>_xlfn.XLOOKUP(Table2[[#This Row],[LoanID]],Table1[G-L ID],Table1[ManagerCode],-99)</f>
        <v>103</v>
      </c>
      <c r="T157"/>
    </row>
    <row r="158" spans="1:20" x14ac:dyDescent="0.25">
      <c r="A158">
        <v>20100430</v>
      </c>
      <c r="B158">
        <v>2010</v>
      </c>
      <c r="C158">
        <v>4</v>
      </c>
      <c r="D158">
        <v>1</v>
      </c>
      <c r="E158">
        <v>10520</v>
      </c>
      <c r="F158">
        <v>4942.1499999999996</v>
      </c>
      <c r="G158">
        <v>0</v>
      </c>
      <c r="H158">
        <v>0</v>
      </c>
      <c r="I158">
        <v>-12.52</v>
      </c>
      <c r="J158">
        <v>0</v>
      </c>
      <c r="K158">
        <v>0</v>
      </c>
      <c r="L158">
        <v>4071605.49</v>
      </c>
      <c r="M158">
        <v>4098618.1</v>
      </c>
      <c r="N158">
        <v>4071605.49</v>
      </c>
      <c r="O158">
        <v>4098618.1</v>
      </c>
      <c r="P158">
        <v>4158887.64</v>
      </c>
      <c r="Q158">
        <v>4158887.64</v>
      </c>
      <c r="R158" s="14">
        <f>_xlfn.XLOOKUP(Table2[[#This Row],[LoanID]],Table1[G-L ID],Table1[ManagerCode],-99)</f>
        <v>103</v>
      </c>
      <c r="T158"/>
    </row>
    <row r="159" spans="1:20" x14ac:dyDescent="0.25">
      <c r="A159">
        <v>20100430</v>
      </c>
      <c r="B159">
        <v>2010</v>
      </c>
      <c r="C159">
        <v>4</v>
      </c>
      <c r="D159">
        <v>1</v>
      </c>
      <c r="E159">
        <v>10530</v>
      </c>
      <c r="F159">
        <v>107079.8</v>
      </c>
      <c r="G159">
        <v>0</v>
      </c>
      <c r="H159">
        <v>0</v>
      </c>
      <c r="I159">
        <v>-271.58</v>
      </c>
      <c r="J159">
        <v>0</v>
      </c>
      <c r="K159">
        <v>0</v>
      </c>
      <c r="L159">
        <v>88218030.109999999</v>
      </c>
      <c r="M159">
        <v>88803303.290000007</v>
      </c>
      <c r="N159">
        <v>88218030.109999999</v>
      </c>
      <c r="O159">
        <v>88803303.290000007</v>
      </c>
      <c r="P159">
        <v>90109231.989999995</v>
      </c>
      <c r="Q159">
        <v>90109231.989999995</v>
      </c>
      <c r="R159" s="14">
        <f>_xlfn.XLOOKUP(Table2[[#This Row],[LoanID]],Table1[G-L ID],Table1[ManagerCode],-99)</f>
        <v>103</v>
      </c>
      <c r="T159"/>
    </row>
    <row r="160" spans="1:20" x14ac:dyDescent="0.25">
      <c r="A160">
        <v>20100430</v>
      </c>
      <c r="B160">
        <v>2010</v>
      </c>
      <c r="C160">
        <v>4</v>
      </c>
      <c r="D160">
        <v>1</v>
      </c>
      <c r="E160">
        <v>10540</v>
      </c>
      <c r="F160">
        <v>14826.43</v>
      </c>
      <c r="G160">
        <v>0</v>
      </c>
      <c r="H160">
        <v>0</v>
      </c>
      <c r="I160">
        <v>-37.6</v>
      </c>
      <c r="J160">
        <v>0</v>
      </c>
      <c r="K160">
        <v>0</v>
      </c>
      <c r="L160">
        <v>12214816.390000001</v>
      </c>
      <c r="M160">
        <v>12295854.289999999</v>
      </c>
      <c r="N160">
        <v>12214816.390000001</v>
      </c>
      <c r="O160">
        <v>12295854.289999999</v>
      </c>
      <c r="P160">
        <v>12476662.9</v>
      </c>
      <c r="Q160">
        <v>12476662.9</v>
      </c>
      <c r="R160" s="14">
        <f>_xlfn.XLOOKUP(Table2[[#This Row],[LoanID]],Table1[G-L ID],Table1[ManagerCode],-99)</f>
        <v>103</v>
      </c>
      <c r="T160"/>
    </row>
    <row r="161" spans="1:20" x14ac:dyDescent="0.25">
      <c r="A161">
        <v>20100430</v>
      </c>
      <c r="B161">
        <v>2010</v>
      </c>
      <c r="C161">
        <v>4</v>
      </c>
      <c r="D161">
        <v>1</v>
      </c>
      <c r="E161">
        <v>10630</v>
      </c>
      <c r="F161">
        <v>50415.360000000001</v>
      </c>
      <c r="G161">
        <v>0</v>
      </c>
      <c r="H161">
        <v>0</v>
      </c>
      <c r="I161">
        <v>0.02</v>
      </c>
      <c r="J161">
        <v>0</v>
      </c>
      <c r="K161">
        <v>12200.72</v>
      </c>
      <c r="L161">
        <v>8668159.0099999998</v>
      </c>
      <c r="M161">
        <v>8925840</v>
      </c>
      <c r="N161">
        <v>8668159.0099999998</v>
      </c>
      <c r="O161">
        <v>8925840</v>
      </c>
      <c r="P161">
        <v>9438133.7599999998</v>
      </c>
      <c r="Q161">
        <v>9425933.0399999991</v>
      </c>
      <c r="R161" s="14">
        <f>_xlfn.XLOOKUP(Table2[[#This Row],[LoanID]],Table1[G-L ID],Table1[ManagerCode],-99)</f>
        <v>103</v>
      </c>
      <c r="T161"/>
    </row>
    <row r="162" spans="1:20" x14ac:dyDescent="0.25">
      <c r="A162">
        <v>20100430</v>
      </c>
      <c r="B162">
        <v>2010</v>
      </c>
      <c r="C162">
        <v>4</v>
      </c>
      <c r="D162">
        <v>1</v>
      </c>
      <c r="E162">
        <v>10770</v>
      </c>
      <c r="F162">
        <v>171318.06</v>
      </c>
      <c r="G162">
        <v>0</v>
      </c>
      <c r="H162">
        <v>0</v>
      </c>
      <c r="I162">
        <v>0.01</v>
      </c>
      <c r="J162">
        <v>0</v>
      </c>
      <c r="K162">
        <v>0</v>
      </c>
      <c r="L162">
        <v>93767698.629999995</v>
      </c>
      <c r="M162">
        <v>97865656.450000003</v>
      </c>
      <c r="N162">
        <v>93767698.629999995</v>
      </c>
      <c r="O162">
        <v>97865656.450000003</v>
      </c>
      <c r="P162">
        <v>115000000</v>
      </c>
      <c r="Q162">
        <v>115000000</v>
      </c>
      <c r="R162" s="14">
        <f>_xlfn.XLOOKUP(Table2[[#This Row],[LoanID]],Table1[G-L ID],Table1[ManagerCode],-99)</f>
        <v>103</v>
      </c>
      <c r="T162"/>
    </row>
    <row r="163" spans="1:20" x14ac:dyDescent="0.25">
      <c r="A163">
        <v>20100430</v>
      </c>
      <c r="B163">
        <v>2010</v>
      </c>
      <c r="C163">
        <v>4</v>
      </c>
      <c r="D163">
        <v>1</v>
      </c>
      <c r="E163">
        <v>10870</v>
      </c>
      <c r="F163">
        <v>281304.59999999998</v>
      </c>
      <c r="G163">
        <v>0</v>
      </c>
      <c r="H163">
        <v>0</v>
      </c>
      <c r="I163">
        <v>0</v>
      </c>
      <c r="J163">
        <v>0</v>
      </c>
      <c r="K163">
        <v>0</v>
      </c>
      <c r="L163">
        <v>180053117.19999999</v>
      </c>
      <c r="M163">
        <v>184917150.80000001</v>
      </c>
      <c r="N163">
        <v>180053117.19999999</v>
      </c>
      <c r="O163">
        <v>184917150.80000001</v>
      </c>
      <c r="P163">
        <v>201969754.09999999</v>
      </c>
      <c r="Q163">
        <v>201969754.09999999</v>
      </c>
      <c r="R163" s="14">
        <f>_xlfn.XLOOKUP(Table2[[#This Row],[LoanID]],Table1[G-L ID],Table1[ManagerCode],-99)</f>
        <v>103</v>
      </c>
      <c r="T163"/>
    </row>
    <row r="164" spans="1:20" x14ac:dyDescent="0.25">
      <c r="A164">
        <v>20100430</v>
      </c>
      <c r="B164">
        <v>2010</v>
      </c>
      <c r="C164">
        <v>4</v>
      </c>
      <c r="D164">
        <v>1</v>
      </c>
      <c r="E164">
        <v>10950</v>
      </c>
      <c r="F164">
        <v>55675.8</v>
      </c>
      <c r="G164">
        <v>0</v>
      </c>
      <c r="H164">
        <v>0</v>
      </c>
      <c r="I164">
        <v>0</v>
      </c>
      <c r="J164">
        <v>0</v>
      </c>
      <c r="K164">
        <v>21347.22</v>
      </c>
      <c r="L164">
        <v>7902450.4199999999</v>
      </c>
      <c r="M164">
        <v>8475591.5999999996</v>
      </c>
      <c r="N164">
        <v>7902450.4199999999</v>
      </c>
      <c r="O164">
        <v>8475591.5999999996</v>
      </c>
      <c r="P164">
        <v>11209892.15</v>
      </c>
      <c r="Q164">
        <v>11188544.93</v>
      </c>
      <c r="R164" s="14">
        <f>_xlfn.XLOOKUP(Table2[[#This Row],[LoanID]],Table1[G-L ID],Table1[ManagerCode],-99)</f>
        <v>103</v>
      </c>
      <c r="T164"/>
    </row>
    <row r="165" spans="1:20" x14ac:dyDescent="0.25">
      <c r="A165">
        <v>20100430</v>
      </c>
      <c r="B165">
        <v>2010</v>
      </c>
      <c r="C165">
        <v>4</v>
      </c>
      <c r="D165">
        <v>1</v>
      </c>
      <c r="E165">
        <v>11180</v>
      </c>
      <c r="F165">
        <v>211833.33</v>
      </c>
      <c r="G165">
        <v>0</v>
      </c>
      <c r="H165">
        <v>0</v>
      </c>
      <c r="I165">
        <v>0</v>
      </c>
      <c r="J165">
        <v>0</v>
      </c>
      <c r="K165">
        <v>0</v>
      </c>
      <c r="L165">
        <v>191386335.80000001</v>
      </c>
      <c r="M165">
        <v>194448380.09999999</v>
      </c>
      <c r="N165">
        <v>191386335.80000001</v>
      </c>
      <c r="O165">
        <v>194448380.09999999</v>
      </c>
      <c r="P165">
        <v>199970831.5</v>
      </c>
      <c r="Q165">
        <v>199970831.5</v>
      </c>
      <c r="R165" s="14">
        <f>_xlfn.XLOOKUP(Table2[[#This Row],[LoanID]],Table1[G-L ID],Table1[ManagerCode],-99)</f>
        <v>103</v>
      </c>
      <c r="T165"/>
    </row>
    <row r="166" spans="1:20" x14ac:dyDescent="0.25">
      <c r="A166">
        <v>20100430</v>
      </c>
      <c r="B166">
        <v>2010</v>
      </c>
      <c r="C166">
        <v>4</v>
      </c>
      <c r="D166">
        <v>1</v>
      </c>
      <c r="E166">
        <v>11200</v>
      </c>
      <c r="F166">
        <v>69880</v>
      </c>
      <c r="G166">
        <v>0</v>
      </c>
      <c r="H166">
        <v>0</v>
      </c>
      <c r="I166">
        <v>0</v>
      </c>
      <c r="J166">
        <v>0</v>
      </c>
      <c r="K166">
        <v>0</v>
      </c>
      <c r="L166">
        <v>13237154.970000001</v>
      </c>
      <c r="M166">
        <v>13521270.17</v>
      </c>
      <c r="N166">
        <v>13237154.970000001</v>
      </c>
      <c r="O166">
        <v>13521270.17</v>
      </c>
      <c r="P166">
        <v>13976000</v>
      </c>
      <c r="Q166">
        <v>13976000</v>
      </c>
      <c r="R166" s="14">
        <f>_xlfn.XLOOKUP(Table2[[#This Row],[LoanID]],Table1[G-L ID],Table1[ManagerCode],-99)</f>
        <v>103</v>
      </c>
      <c r="T166"/>
    </row>
    <row r="167" spans="1:20" x14ac:dyDescent="0.25">
      <c r="A167">
        <v>20100430</v>
      </c>
      <c r="B167">
        <v>2010</v>
      </c>
      <c r="C167">
        <v>4</v>
      </c>
      <c r="D167">
        <v>1</v>
      </c>
      <c r="E167">
        <v>11240</v>
      </c>
      <c r="F167">
        <v>251784.1</v>
      </c>
      <c r="G167">
        <v>0</v>
      </c>
      <c r="H167">
        <v>0</v>
      </c>
      <c r="I167">
        <v>0</v>
      </c>
      <c r="J167">
        <v>0</v>
      </c>
      <c r="K167">
        <v>0</v>
      </c>
      <c r="L167">
        <v>193334429.80000001</v>
      </c>
      <c r="M167">
        <v>194245793.40000001</v>
      </c>
      <c r="N167">
        <v>193334429.80000001</v>
      </c>
      <c r="O167">
        <v>194245793.40000001</v>
      </c>
      <c r="P167">
        <v>194929626.59999999</v>
      </c>
      <c r="Q167">
        <v>194929626.59999999</v>
      </c>
      <c r="R167" s="14">
        <f>_xlfn.XLOOKUP(Table2[[#This Row],[LoanID]],Table1[G-L ID],Table1[ManagerCode],-99)</f>
        <v>103</v>
      </c>
      <c r="T167"/>
    </row>
    <row r="168" spans="1:20" x14ac:dyDescent="0.25">
      <c r="A168">
        <v>20100430</v>
      </c>
      <c r="B168">
        <v>2010</v>
      </c>
      <c r="C168">
        <v>4</v>
      </c>
      <c r="D168">
        <v>1</v>
      </c>
      <c r="E168">
        <v>11260</v>
      </c>
      <c r="F168">
        <v>14368.95</v>
      </c>
      <c r="G168">
        <v>0</v>
      </c>
      <c r="H168">
        <v>0</v>
      </c>
      <c r="I168">
        <v>-93.96</v>
      </c>
      <c r="J168">
        <v>0</v>
      </c>
      <c r="K168">
        <v>0</v>
      </c>
      <c r="L168">
        <v>11035289.800000001</v>
      </c>
      <c r="M168">
        <v>10027252.039999999</v>
      </c>
      <c r="N168">
        <v>11035289.800000001</v>
      </c>
      <c r="O168">
        <v>10027252.039999999</v>
      </c>
      <c r="P168">
        <v>11274673.789999999</v>
      </c>
      <c r="Q168">
        <v>11274673.789999999</v>
      </c>
      <c r="R168" s="14">
        <f>_xlfn.XLOOKUP(Table2[[#This Row],[LoanID]],Table1[G-L ID],Table1[ManagerCode],-99)</f>
        <v>103</v>
      </c>
      <c r="T168"/>
    </row>
    <row r="169" spans="1:20" x14ac:dyDescent="0.25">
      <c r="A169">
        <v>20100430</v>
      </c>
      <c r="B169">
        <v>2010</v>
      </c>
      <c r="C169">
        <v>4</v>
      </c>
      <c r="D169">
        <v>1</v>
      </c>
      <c r="E169">
        <v>11270</v>
      </c>
      <c r="F169">
        <v>23948.240000000002</v>
      </c>
      <c r="G169">
        <v>0</v>
      </c>
      <c r="H169">
        <v>0</v>
      </c>
      <c r="I169">
        <v>-156.59</v>
      </c>
      <c r="J169">
        <v>0</v>
      </c>
      <c r="K169">
        <v>0</v>
      </c>
      <c r="L169">
        <v>18392146.640000001</v>
      </c>
      <c r="M169">
        <v>16712086.83</v>
      </c>
      <c r="N169">
        <v>18392146.640000001</v>
      </c>
      <c r="O169">
        <v>16712086.83</v>
      </c>
      <c r="P169">
        <v>18791123.030000001</v>
      </c>
      <c r="Q169">
        <v>18791123.030000001</v>
      </c>
      <c r="R169" s="14">
        <f>_xlfn.XLOOKUP(Table2[[#This Row],[LoanID]],Table1[G-L ID],Table1[ManagerCode],-99)</f>
        <v>103</v>
      </c>
      <c r="T169"/>
    </row>
    <row r="170" spans="1:20" x14ac:dyDescent="0.25">
      <c r="A170">
        <v>20100430</v>
      </c>
      <c r="B170">
        <v>2010</v>
      </c>
      <c r="C170">
        <v>4</v>
      </c>
      <c r="D170">
        <v>1</v>
      </c>
      <c r="E170">
        <v>11290</v>
      </c>
      <c r="F170">
        <v>21553.42</v>
      </c>
      <c r="G170">
        <v>0</v>
      </c>
      <c r="H170">
        <v>0</v>
      </c>
      <c r="I170">
        <v>-140.93</v>
      </c>
      <c r="J170">
        <v>0</v>
      </c>
      <c r="K170">
        <v>0</v>
      </c>
      <c r="L170">
        <v>16552931.98</v>
      </c>
      <c r="M170">
        <v>15040878.24</v>
      </c>
      <c r="N170">
        <v>16552931.98</v>
      </c>
      <c r="O170">
        <v>15040878.24</v>
      </c>
      <c r="P170">
        <v>16912010.73</v>
      </c>
      <c r="Q170">
        <v>16912010.73</v>
      </c>
      <c r="R170" s="14">
        <f>_xlfn.XLOOKUP(Table2[[#This Row],[LoanID]],Table1[G-L ID],Table1[ManagerCode],-99)</f>
        <v>103</v>
      </c>
      <c r="T170"/>
    </row>
    <row r="171" spans="1:20" x14ac:dyDescent="0.25">
      <c r="A171">
        <v>20100430</v>
      </c>
      <c r="B171">
        <v>2010</v>
      </c>
      <c r="C171">
        <v>4</v>
      </c>
      <c r="D171">
        <v>1</v>
      </c>
      <c r="E171">
        <v>11380</v>
      </c>
      <c r="F171">
        <v>41543.14</v>
      </c>
      <c r="G171">
        <v>0</v>
      </c>
      <c r="H171">
        <v>0</v>
      </c>
      <c r="I171">
        <v>0</v>
      </c>
      <c r="J171">
        <v>0</v>
      </c>
      <c r="K171">
        <v>49156.86</v>
      </c>
      <c r="L171">
        <v>6796401.3200000003</v>
      </c>
      <c r="M171">
        <v>6839717.9800000004</v>
      </c>
      <c r="N171">
        <v>6796401.3200000003</v>
      </c>
      <c r="O171">
        <v>6839717.9800000004</v>
      </c>
      <c r="P171">
        <v>6286478.2199999997</v>
      </c>
      <c r="Q171">
        <v>6237321.3600000003</v>
      </c>
      <c r="R171" s="14">
        <f>_xlfn.XLOOKUP(Table2[[#This Row],[LoanID]],Table1[G-L ID],Table1[ManagerCode],-99)</f>
        <v>103</v>
      </c>
      <c r="T171"/>
    </row>
    <row r="172" spans="1:20" x14ac:dyDescent="0.25">
      <c r="A172">
        <v>20100430</v>
      </c>
      <c r="B172">
        <v>2010</v>
      </c>
      <c r="C172">
        <v>4</v>
      </c>
      <c r="D172">
        <v>1</v>
      </c>
      <c r="E172">
        <v>11420</v>
      </c>
      <c r="F172">
        <v>514856.61</v>
      </c>
      <c r="G172">
        <v>0</v>
      </c>
      <c r="H172">
        <v>0</v>
      </c>
      <c r="I172">
        <v>0</v>
      </c>
      <c r="J172">
        <v>0</v>
      </c>
      <c r="K172">
        <v>0</v>
      </c>
      <c r="L172">
        <v>96032708.719999999</v>
      </c>
      <c r="M172">
        <v>97144481.200000003</v>
      </c>
      <c r="N172">
        <v>96032708.719999999</v>
      </c>
      <c r="O172">
        <v>97144481.200000003</v>
      </c>
      <c r="P172">
        <v>98000000</v>
      </c>
      <c r="Q172">
        <v>98000000</v>
      </c>
      <c r="R172" s="14">
        <f>_xlfn.XLOOKUP(Table2[[#This Row],[LoanID]],Table1[G-L ID],Table1[ManagerCode],-99)</f>
        <v>103</v>
      </c>
      <c r="T172"/>
    </row>
    <row r="173" spans="1:20" x14ac:dyDescent="0.25">
      <c r="A173">
        <v>20100430</v>
      </c>
      <c r="B173">
        <v>2010</v>
      </c>
      <c r="C173">
        <v>4</v>
      </c>
      <c r="D173">
        <v>1</v>
      </c>
      <c r="E173">
        <v>11510</v>
      </c>
      <c r="F173">
        <v>0</v>
      </c>
      <c r="G173">
        <v>0</v>
      </c>
      <c r="H173">
        <v>0</v>
      </c>
      <c r="I173">
        <v>0</v>
      </c>
      <c r="J173">
        <v>0</v>
      </c>
      <c r="K173">
        <v>0</v>
      </c>
      <c r="L173">
        <v>15038368.1</v>
      </c>
      <c r="M173">
        <v>15375927.300000001</v>
      </c>
      <c r="N173">
        <v>15038368.1</v>
      </c>
      <c r="O173">
        <v>15375927.300000001</v>
      </c>
      <c r="P173">
        <v>14602872.720000001</v>
      </c>
      <c r="Q173">
        <v>14602872.720000001</v>
      </c>
      <c r="R173" s="14">
        <f>_xlfn.XLOOKUP(Table2[[#This Row],[LoanID]],Table1[G-L ID],Table1[ManagerCode],-99)</f>
        <v>103</v>
      </c>
      <c r="T173"/>
    </row>
    <row r="174" spans="1:20" x14ac:dyDescent="0.25">
      <c r="A174">
        <v>20100430</v>
      </c>
      <c r="B174">
        <v>2010</v>
      </c>
      <c r="C174">
        <v>4</v>
      </c>
      <c r="D174">
        <v>1</v>
      </c>
      <c r="E174">
        <v>11780</v>
      </c>
      <c r="F174">
        <v>190795.04</v>
      </c>
      <c r="G174">
        <v>0</v>
      </c>
      <c r="H174">
        <v>0</v>
      </c>
      <c r="I174">
        <v>-1174.1199999999999</v>
      </c>
      <c r="J174">
        <v>0</v>
      </c>
      <c r="K174">
        <v>339024.46</v>
      </c>
      <c r="L174">
        <v>59016059.719999999</v>
      </c>
      <c r="M174">
        <v>60722168.060000002</v>
      </c>
      <c r="N174">
        <v>59016059.719999999</v>
      </c>
      <c r="O174">
        <v>60722168.060000002</v>
      </c>
      <c r="P174">
        <v>68174901.409999996</v>
      </c>
      <c r="Q174">
        <v>67835876.950000003</v>
      </c>
      <c r="R174" s="14">
        <f>_xlfn.XLOOKUP(Table2[[#This Row],[LoanID]],Table1[G-L ID],Table1[ManagerCode],-99)</f>
        <v>103</v>
      </c>
      <c r="T174"/>
    </row>
    <row r="175" spans="1:20" x14ac:dyDescent="0.25">
      <c r="A175">
        <v>20100430</v>
      </c>
      <c r="B175">
        <v>2010</v>
      </c>
      <c r="C175">
        <v>4</v>
      </c>
      <c r="D175">
        <v>1</v>
      </c>
      <c r="E175">
        <v>11800</v>
      </c>
      <c r="F175">
        <v>170627.24</v>
      </c>
      <c r="G175">
        <v>0</v>
      </c>
      <c r="H175">
        <v>0</v>
      </c>
      <c r="I175">
        <v>-287.66000000000003</v>
      </c>
      <c r="J175">
        <v>0</v>
      </c>
      <c r="K175">
        <v>50688.1</v>
      </c>
      <c r="L175">
        <v>18561710.100000001</v>
      </c>
      <c r="M175">
        <v>20520839.890000001</v>
      </c>
      <c r="N175">
        <v>18561710.100000001</v>
      </c>
      <c r="O175">
        <v>20520839.890000001</v>
      </c>
      <c r="P175">
        <v>33341369.239999998</v>
      </c>
      <c r="Q175">
        <v>33290681.140000001</v>
      </c>
      <c r="R175" s="14">
        <f>_xlfn.XLOOKUP(Table2[[#This Row],[LoanID]],Table1[G-L ID],Table1[ManagerCode],-99)</f>
        <v>103</v>
      </c>
      <c r="T175"/>
    </row>
    <row r="176" spans="1:20" x14ac:dyDescent="0.25">
      <c r="A176">
        <v>20100430</v>
      </c>
      <c r="B176">
        <v>2010</v>
      </c>
      <c r="C176">
        <v>4</v>
      </c>
      <c r="D176">
        <v>1</v>
      </c>
      <c r="E176">
        <v>11810</v>
      </c>
      <c r="F176">
        <v>51166.67</v>
      </c>
      <c r="G176">
        <v>0</v>
      </c>
      <c r="H176">
        <v>0</v>
      </c>
      <c r="I176">
        <v>0</v>
      </c>
      <c r="J176">
        <v>0</v>
      </c>
      <c r="K176">
        <v>0</v>
      </c>
      <c r="L176">
        <v>5185938.3600000003</v>
      </c>
      <c r="M176">
        <v>5826345.6399999997</v>
      </c>
      <c r="N176">
        <v>5185938.3600000003</v>
      </c>
      <c r="O176">
        <v>5826345.6399999997</v>
      </c>
      <c r="P176">
        <v>10000000</v>
      </c>
      <c r="Q176">
        <v>10000000</v>
      </c>
      <c r="R176" s="14">
        <f>_xlfn.XLOOKUP(Table2[[#This Row],[LoanID]],Table1[G-L ID],Table1[ManagerCode],-99)</f>
        <v>103</v>
      </c>
      <c r="T176"/>
    </row>
    <row r="177" spans="1:20" x14ac:dyDescent="0.25">
      <c r="A177">
        <v>20100430</v>
      </c>
      <c r="B177">
        <v>2010</v>
      </c>
      <c r="C177">
        <v>4</v>
      </c>
      <c r="D177">
        <v>1</v>
      </c>
      <c r="E177">
        <v>11860</v>
      </c>
      <c r="F177">
        <v>243177.78</v>
      </c>
      <c r="G177">
        <v>0</v>
      </c>
      <c r="H177">
        <v>0</v>
      </c>
      <c r="I177">
        <v>0</v>
      </c>
      <c r="J177">
        <v>0</v>
      </c>
      <c r="K177">
        <v>0</v>
      </c>
      <c r="L177">
        <v>47391431.829999998</v>
      </c>
      <c r="M177">
        <v>48223987.670000002</v>
      </c>
      <c r="N177">
        <v>47391431.829999998</v>
      </c>
      <c r="O177">
        <v>48223987.670000002</v>
      </c>
      <c r="P177">
        <v>49911888.619999997</v>
      </c>
      <c r="Q177">
        <v>49926573.850000001</v>
      </c>
      <c r="R177" s="14">
        <f>_xlfn.XLOOKUP(Table2[[#This Row],[LoanID]],Table1[G-L ID],Table1[ManagerCode],-99)</f>
        <v>103</v>
      </c>
      <c r="T177"/>
    </row>
    <row r="178" spans="1:20" x14ac:dyDescent="0.25">
      <c r="A178">
        <v>20100430</v>
      </c>
      <c r="B178">
        <v>2010</v>
      </c>
      <c r="C178">
        <v>4</v>
      </c>
      <c r="D178">
        <v>1</v>
      </c>
      <c r="E178">
        <v>11870</v>
      </c>
      <c r="F178">
        <v>121588.89</v>
      </c>
      <c r="G178">
        <v>0</v>
      </c>
      <c r="H178">
        <v>0</v>
      </c>
      <c r="I178">
        <v>0</v>
      </c>
      <c r="J178">
        <v>0</v>
      </c>
      <c r="K178">
        <v>0</v>
      </c>
      <c r="L178">
        <v>23695715.920000002</v>
      </c>
      <c r="M178">
        <v>24111993.829999998</v>
      </c>
      <c r="N178">
        <v>23695715.920000002</v>
      </c>
      <c r="O178">
        <v>24111993.829999998</v>
      </c>
      <c r="P178">
        <v>24951277.449999999</v>
      </c>
      <c r="Q178">
        <v>24959397.879999999</v>
      </c>
      <c r="R178" s="14">
        <f>_xlfn.XLOOKUP(Table2[[#This Row],[LoanID]],Table1[G-L ID],Table1[ManagerCode],-99)</f>
        <v>103</v>
      </c>
      <c r="T178"/>
    </row>
    <row r="179" spans="1:20" x14ac:dyDescent="0.25">
      <c r="A179">
        <v>20100430</v>
      </c>
      <c r="B179">
        <v>2010</v>
      </c>
      <c r="C179">
        <v>4</v>
      </c>
      <c r="D179">
        <v>1</v>
      </c>
      <c r="E179">
        <v>11900</v>
      </c>
      <c r="F179">
        <v>0</v>
      </c>
      <c r="G179">
        <v>0</v>
      </c>
      <c r="H179">
        <v>0</v>
      </c>
      <c r="I179">
        <v>0</v>
      </c>
      <c r="J179">
        <v>0</v>
      </c>
      <c r="K179">
        <v>0</v>
      </c>
      <c r="L179">
        <v>55000000</v>
      </c>
      <c r="M179">
        <v>55000000</v>
      </c>
      <c r="N179">
        <v>55000000</v>
      </c>
      <c r="O179">
        <v>55000000</v>
      </c>
      <c r="P179">
        <v>55000000</v>
      </c>
      <c r="Q179">
        <v>55000000</v>
      </c>
      <c r="R179" s="14">
        <f>_xlfn.XLOOKUP(Table2[[#This Row],[LoanID]],Table1[G-L ID],Table1[ManagerCode],-99)</f>
        <v>103</v>
      </c>
      <c r="T179"/>
    </row>
    <row r="180" spans="1:20" x14ac:dyDescent="0.25">
      <c r="A180">
        <v>20100430</v>
      </c>
      <c r="B180">
        <v>2010</v>
      </c>
      <c r="C180">
        <v>4</v>
      </c>
      <c r="D180">
        <v>1</v>
      </c>
      <c r="E180">
        <v>11930</v>
      </c>
      <c r="F180">
        <v>190505.28</v>
      </c>
      <c r="G180">
        <v>0</v>
      </c>
      <c r="H180">
        <v>0</v>
      </c>
      <c r="I180">
        <v>0</v>
      </c>
      <c r="J180">
        <v>0</v>
      </c>
      <c r="K180">
        <v>0</v>
      </c>
      <c r="L180">
        <v>191710939.5</v>
      </c>
      <c r="M180">
        <v>192759237.90000001</v>
      </c>
      <c r="N180">
        <v>191710939.5</v>
      </c>
      <c r="O180">
        <v>192759237.90000001</v>
      </c>
      <c r="P180">
        <v>195780481.30000001</v>
      </c>
      <c r="Q180">
        <v>195780481.30000001</v>
      </c>
      <c r="R180" s="14">
        <f>_xlfn.XLOOKUP(Table2[[#This Row],[LoanID]],Table1[G-L ID],Table1[ManagerCode],-99)</f>
        <v>103</v>
      </c>
      <c r="T180"/>
    </row>
    <row r="181" spans="1:20" x14ac:dyDescent="0.25">
      <c r="A181">
        <v>20100430</v>
      </c>
      <c r="B181">
        <v>2010</v>
      </c>
      <c r="C181">
        <v>4</v>
      </c>
      <c r="D181">
        <v>1</v>
      </c>
      <c r="E181">
        <v>11940</v>
      </c>
      <c r="F181">
        <v>62395.06</v>
      </c>
      <c r="G181">
        <v>0</v>
      </c>
      <c r="H181">
        <v>0</v>
      </c>
      <c r="I181">
        <v>0</v>
      </c>
      <c r="J181">
        <v>0</v>
      </c>
      <c r="K181">
        <v>0</v>
      </c>
      <c r="L181">
        <v>60625816.450000003</v>
      </c>
      <c r="M181">
        <v>61252332.810000002</v>
      </c>
      <c r="N181">
        <v>60625816.450000003</v>
      </c>
      <c r="O181">
        <v>61252332.810000002</v>
      </c>
      <c r="P181">
        <v>64083831.289999999</v>
      </c>
      <c r="Q181">
        <v>64085997.149999999</v>
      </c>
      <c r="R181" s="14">
        <f>_xlfn.XLOOKUP(Table2[[#This Row],[LoanID]],Table1[G-L ID],Table1[ManagerCode],-99)</f>
        <v>103</v>
      </c>
      <c r="T181"/>
    </row>
    <row r="182" spans="1:20" x14ac:dyDescent="0.25">
      <c r="A182">
        <v>20100430</v>
      </c>
      <c r="B182">
        <v>2010</v>
      </c>
      <c r="C182">
        <v>4</v>
      </c>
      <c r="D182">
        <v>1</v>
      </c>
      <c r="E182">
        <v>11951</v>
      </c>
      <c r="F182">
        <v>166619.82999999999</v>
      </c>
      <c r="G182">
        <v>0</v>
      </c>
      <c r="H182">
        <v>0</v>
      </c>
      <c r="I182">
        <v>-283.33</v>
      </c>
      <c r="J182">
        <v>0</v>
      </c>
      <c r="K182">
        <v>0</v>
      </c>
      <c r="L182">
        <v>34546924.100000001</v>
      </c>
      <c r="M182">
        <v>34645589.880000003</v>
      </c>
      <c r="N182">
        <v>34546924.100000001</v>
      </c>
      <c r="O182">
        <v>34645589.880000003</v>
      </c>
      <c r="P182">
        <v>33983575.049999997</v>
      </c>
      <c r="Q182">
        <v>33985217.549999997</v>
      </c>
      <c r="R182" s="14">
        <f>_xlfn.XLOOKUP(Table2[[#This Row],[LoanID]],Table1[G-L ID],Table1[ManagerCode],-99)</f>
        <v>103</v>
      </c>
      <c r="T182"/>
    </row>
    <row r="183" spans="1:20" x14ac:dyDescent="0.25">
      <c r="A183">
        <v>20100430</v>
      </c>
      <c r="B183">
        <v>2010</v>
      </c>
      <c r="C183">
        <v>4</v>
      </c>
      <c r="D183">
        <v>1</v>
      </c>
      <c r="E183">
        <v>11952</v>
      </c>
      <c r="F183">
        <v>119241.5</v>
      </c>
      <c r="G183">
        <v>0</v>
      </c>
      <c r="H183">
        <v>0</v>
      </c>
      <c r="I183">
        <v>-174.99</v>
      </c>
      <c r="J183">
        <v>0</v>
      </c>
      <c r="K183">
        <v>0</v>
      </c>
      <c r="L183">
        <v>21276254.09</v>
      </c>
      <c r="M183">
        <v>21342171.550000001</v>
      </c>
      <c r="N183">
        <v>21276254.09</v>
      </c>
      <c r="O183">
        <v>21342171.550000001</v>
      </c>
      <c r="P183">
        <v>21000000</v>
      </c>
      <c r="Q183">
        <v>21000000</v>
      </c>
      <c r="R183" s="14">
        <f>_xlfn.XLOOKUP(Table2[[#This Row],[LoanID]],Table1[G-L ID],Table1[ManagerCode],-99)</f>
        <v>103</v>
      </c>
      <c r="T183"/>
    </row>
    <row r="184" spans="1:20" x14ac:dyDescent="0.25">
      <c r="A184">
        <v>20100430</v>
      </c>
      <c r="B184">
        <v>2010</v>
      </c>
      <c r="C184">
        <v>4</v>
      </c>
      <c r="D184">
        <v>1</v>
      </c>
      <c r="E184">
        <v>12000</v>
      </c>
      <c r="F184">
        <v>129709.44</v>
      </c>
      <c r="G184">
        <v>0</v>
      </c>
      <c r="H184">
        <v>0</v>
      </c>
      <c r="I184">
        <v>0</v>
      </c>
      <c r="J184">
        <v>0</v>
      </c>
      <c r="K184">
        <v>0</v>
      </c>
      <c r="L184">
        <v>19797247.350000001</v>
      </c>
      <c r="M184">
        <v>20908734.280000001</v>
      </c>
      <c r="N184">
        <v>19797247.350000001</v>
      </c>
      <c r="O184">
        <v>20908734.280000001</v>
      </c>
      <c r="P184">
        <v>25084218.649999999</v>
      </c>
      <c r="Q184">
        <v>25084913.100000001</v>
      </c>
      <c r="R184" s="14">
        <f>_xlfn.XLOOKUP(Table2[[#This Row],[LoanID]],Table1[G-L ID],Table1[ManagerCode],-99)</f>
        <v>103</v>
      </c>
      <c r="T184"/>
    </row>
    <row r="185" spans="1:20" x14ac:dyDescent="0.25">
      <c r="A185">
        <v>20100430</v>
      </c>
      <c r="B185">
        <v>2010</v>
      </c>
      <c r="C185">
        <v>4</v>
      </c>
      <c r="D185">
        <v>1</v>
      </c>
      <c r="E185">
        <v>12040</v>
      </c>
      <c r="F185">
        <v>62904.17</v>
      </c>
      <c r="G185">
        <v>0</v>
      </c>
      <c r="H185">
        <v>0</v>
      </c>
      <c r="I185">
        <v>-64.58</v>
      </c>
      <c r="J185">
        <v>0</v>
      </c>
      <c r="K185">
        <v>1282.29</v>
      </c>
      <c r="L185">
        <v>14989217.859999999</v>
      </c>
      <c r="M185">
        <v>15005716.82</v>
      </c>
      <c r="N185">
        <v>14989217.859999999</v>
      </c>
      <c r="O185">
        <v>15005716.82</v>
      </c>
      <c r="P185">
        <v>15003827</v>
      </c>
      <c r="Q185">
        <v>15002544.710000001</v>
      </c>
      <c r="R185" s="14">
        <f>_xlfn.XLOOKUP(Table2[[#This Row],[LoanID]],Table1[G-L ID],Table1[ManagerCode],-99)</f>
        <v>103</v>
      </c>
      <c r="T185"/>
    </row>
    <row r="186" spans="1:20" x14ac:dyDescent="0.25">
      <c r="A186">
        <v>20100430</v>
      </c>
      <c r="B186">
        <v>2010</v>
      </c>
      <c r="C186">
        <v>4</v>
      </c>
      <c r="D186">
        <v>1</v>
      </c>
      <c r="E186">
        <v>12050</v>
      </c>
      <c r="F186">
        <v>43658.33</v>
      </c>
      <c r="G186">
        <v>0</v>
      </c>
      <c r="H186">
        <v>0</v>
      </c>
      <c r="I186">
        <v>-43.06</v>
      </c>
      <c r="J186">
        <v>0</v>
      </c>
      <c r="K186">
        <v>850.7</v>
      </c>
      <c r="L186">
        <v>9948367.3599999994</v>
      </c>
      <c r="M186">
        <v>9978174.4800000004</v>
      </c>
      <c r="N186">
        <v>9948367.3599999994</v>
      </c>
      <c r="O186">
        <v>9978174.4800000004</v>
      </c>
      <c r="P186">
        <v>10002538.84</v>
      </c>
      <c r="Q186">
        <v>10001688.140000001</v>
      </c>
      <c r="R186" s="14">
        <f>_xlfn.XLOOKUP(Table2[[#This Row],[LoanID]],Table1[G-L ID],Table1[ManagerCode],-99)</f>
        <v>103</v>
      </c>
      <c r="T186"/>
    </row>
    <row r="187" spans="1:20" x14ac:dyDescent="0.25">
      <c r="A187">
        <v>20100430</v>
      </c>
      <c r="B187">
        <v>2010</v>
      </c>
      <c r="C187">
        <v>4</v>
      </c>
      <c r="D187">
        <v>1</v>
      </c>
      <c r="E187">
        <v>12060</v>
      </c>
      <c r="F187">
        <v>62904.17</v>
      </c>
      <c r="G187">
        <v>0</v>
      </c>
      <c r="H187">
        <v>0</v>
      </c>
      <c r="I187">
        <v>-64.58</v>
      </c>
      <c r="J187">
        <v>0</v>
      </c>
      <c r="K187">
        <v>1282.29</v>
      </c>
      <c r="L187">
        <v>14989217.85</v>
      </c>
      <c r="M187">
        <v>15005716.810000001</v>
      </c>
      <c r="N187">
        <v>14989217.85</v>
      </c>
      <c r="O187">
        <v>15005716.810000001</v>
      </c>
      <c r="P187">
        <v>15005109.289999999</v>
      </c>
      <c r="Q187">
        <v>15003827</v>
      </c>
      <c r="R187" s="14">
        <f>_xlfn.XLOOKUP(Table2[[#This Row],[LoanID]],Table1[G-L ID],Table1[ManagerCode],-99)</f>
        <v>103</v>
      </c>
      <c r="T187"/>
    </row>
    <row r="188" spans="1:20" x14ac:dyDescent="0.25">
      <c r="A188">
        <v>20100430</v>
      </c>
      <c r="B188">
        <v>2010</v>
      </c>
      <c r="C188">
        <v>4</v>
      </c>
      <c r="D188">
        <v>1</v>
      </c>
      <c r="E188">
        <v>12070</v>
      </c>
      <c r="F188">
        <v>65487.5</v>
      </c>
      <c r="G188">
        <v>0</v>
      </c>
      <c r="H188">
        <v>0</v>
      </c>
      <c r="I188">
        <v>-64.58</v>
      </c>
      <c r="J188">
        <v>0</v>
      </c>
      <c r="K188">
        <v>1276.04</v>
      </c>
      <c r="L188">
        <v>14922551.039999999</v>
      </c>
      <c r="M188">
        <v>14967261.73</v>
      </c>
      <c r="N188">
        <v>14922551.039999999</v>
      </c>
      <c r="O188">
        <v>14967261.73</v>
      </c>
      <c r="P188">
        <v>15003808.25</v>
      </c>
      <c r="Q188">
        <v>15002532.210000001</v>
      </c>
      <c r="R188" s="14">
        <f>_xlfn.XLOOKUP(Table2[[#This Row],[LoanID]],Table1[G-L ID],Table1[ManagerCode],-99)</f>
        <v>103</v>
      </c>
      <c r="T188"/>
    </row>
    <row r="189" spans="1:20" x14ac:dyDescent="0.25">
      <c r="A189">
        <v>20100430</v>
      </c>
      <c r="B189">
        <v>2010</v>
      </c>
      <c r="C189">
        <v>4</v>
      </c>
      <c r="D189">
        <v>1</v>
      </c>
      <c r="E189">
        <v>12200</v>
      </c>
      <c r="F189">
        <v>92674.49</v>
      </c>
      <c r="G189">
        <v>0</v>
      </c>
      <c r="H189">
        <v>0</v>
      </c>
      <c r="I189">
        <v>0.01</v>
      </c>
      <c r="J189">
        <v>0</v>
      </c>
      <c r="K189">
        <v>29535.07</v>
      </c>
      <c r="L189">
        <v>20768534.079999998</v>
      </c>
      <c r="M189">
        <v>21048687.57</v>
      </c>
      <c r="N189">
        <v>20768534.079999998</v>
      </c>
      <c r="O189">
        <v>21048687.57</v>
      </c>
      <c r="P189">
        <v>20164094.52</v>
      </c>
      <c r="Q189">
        <v>20134894.59</v>
      </c>
      <c r="R189" s="14">
        <f>_xlfn.XLOOKUP(Table2[[#This Row],[LoanID]],Table1[G-L ID],Table1[ManagerCode],-99)</f>
        <v>103</v>
      </c>
      <c r="T189"/>
    </row>
    <row r="190" spans="1:20" x14ac:dyDescent="0.25">
      <c r="A190">
        <v>20100430</v>
      </c>
      <c r="B190">
        <v>2010</v>
      </c>
      <c r="C190">
        <v>4</v>
      </c>
      <c r="D190">
        <v>1</v>
      </c>
      <c r="E190">
        <v>12210</v>
      </c>
      <c r="F190">
        <v>743064.33</v>
      </c>
      <c r="G190">
        <v>0</v>
      </c>
      <c r="H190">
        <v>0</v>
      </c>
      <c r="I190">
        <v>0</v>
      </c>
      <c r="J190">
        <v>0</v>
      </c>
      <c r="K190">
        <v>162954.04999999999</v>
      </c>
      <c r="L190">
        <v>128523514.2</v>
      </c>
      <c r="M190">
        <v>132307229.09999999</v>
      </c>
      <c r="N190">
        <v>128523514.2</v>
      </c>
      <c r="O190">
        <v>132307229.09999999</v>
      </c>
      <c r="P190">
        <v>120229008</v>
      </c>
      <c r="Q190">
        <v>120066054</v>
      </c>
      <c r="R190" s="14">
        <f>_xlfn.XLOOKUP(Table2[[#This Row],[LoanID]],Table1[G-L ID],Table1[ManagerCode],-99)</f>
        <v>103</v>
      </c>
      <c r="T190"/>
    </row>
    <row r="191" spans="1:20" x14ac:dyDescent="0.25">
      <c r="A191">
        <v>20100531</v>
      </c>
      <c r="B191">
        <v>2010</v>
      </c>
      <c r="C191">
        <v>5</v>
      </c>
      <c r="D191">
        <v>1</v>
      </c>
      <c r="E191">
        <v>10050</v>
      </c>
      <c r="F191">
        <v>149013.89000000001</v>
      </c>
      <c r="G191">
        <v>0</v>
      </c>
      <c r="H191">
        <v>0</v>
      </c>
      <c r="I191">
        <v>-69.44</v>
      </c>
      <c r="J191">
        <v>0</v>
      </c>
      <c r="K191">
        <v>0</v>
      </c>
      <c r="L191">
        <v>21458415</v>
      </c>
      <c r="M191">
        <v>22206691.870000001</v>
      </c>
      <c r="N191">
        <v>21458415</v>
      </c>
      <c r="O191">
        <v>22206691.870000001</v>
      </c>
      <c r="P191">
        <v>33333334</v>
      </c>
      <c r="Q191">
        <v>33333334</v>
      </c>
      <c r="R191" s="14">
        <f>_xlfn.XLOOKUP(Table2[[#This Row],[LoanID]],Table1[G-L ID],Table1[ManagerCode],-99)</f>
        <v>103</v>
      </c>
      <c r="T191"/>
    </row>
    <row r="192" spans="1:20" x14ac:dyDescent="0.25">
      <c r="A192">
        <v>20100531</v>
      </c>
      <c r="B192">
        <v>2010</v>
      </c>
      <c r="C192">
        <v>5</v>
      </c>
      <c r="D192">
        <v>1</v>
      </c>
      <c r="E192">
        <v>10080</v>
      </c>
      <c r="F192">
        <v>339718.75</v>
      </c>
      <c r="G192">
        <v>0</v>
      </c>
      <c r="H192">
        <v>0</v>
      </c>
      <c r="I192">
        <v>-156.25</v>
      </c>
      <c r="J192">
        <v>0</v>
      </c>
      <c r="K192">
        <v>0</v>
      </c>
      <c r="L192">
        <v>70789918.489999995</v>
      </c>
      <c r="M192">
        <v>76831152.099999994</v>
      </c>
      <c r="N192">
        <v>70789918.489999995</v>
      </c>
      <c r="O192">
        <v>76831152.099999994</v>
      </c>
      <c r="P192">
        <v>75000000</v>
      </c>
      <c r="Q192">
        <v>75000000</v>
      </c>
      <c r="R192" s="14">
        <f>_xlfn.XLOOKUP(Table2[[#This Row],[LoanID]],Table1[G-L ID],Table1[ManagerCode],-99)</f>
        <v>103</v>
      </c>
      <c r="T192"/>
    </row>
    <row r="193" spans="1:20" x14ac:dyDescent="0.25">
      <c r="A193">
        <v>20100531</v>
      </c>
      <c r="B193">
        <v>2010</v>
      </c>
      <c r="C193">
        <v>5</v>
      </c>
      <c r="D193">
        <v>1</v>
      </c>
      <c r="E193">
        <v>10130</v>
      </c>
      <c r="F193">
        <v>38460.65</v>
      </c>
      <c r="G193">
        <v>0</v>
      </c>
      <c r="H193">
        <v>0</v>
      </c>
      <c r="I193">
        <v>0</v>
      </c>
      <c r="J193">
        <v>0</v>
      </c>
      <c r="K193">
        <v>29230.04</v>
      </c>
      <c r="L193">
        <v>8638119.7799999993</v>
      </c>
      <c r="M193">
        <v>8803497.5399999991</v>
      </c>
      <c r="N193">
        <v>8638119.7799999993</v>
      </c>
      <c r="O193">
        <v>8803497.5399999991</v>
      </c>
      <c r="P193">
        <v>8499590.1699999999</v>
      </c>
      <c r="Q193">
        <v>8470360.1300000008</v>
      </c>
      <c r="R193" s="14">
        <f>_xlfn.XLOOKUP(Table2[[#This Row],[LoanID]],Table1[G-L ID],Table1[ManagerCode],-99)</f>
        <v>103</v>
      </c>
      <c r="T193"/>
    </row>
    <row r="194" spans="1:20" x14ac:dyDescent="0.25">
      <c r="A194">
        <v>20100531</v>
      </c>
      <c r="B194">
        <v>2010</v>
      </c>
      <c r="C194">
        <v>5</v>
      </c>
      <c r="D194">
        <v>1</v>
      </c>
      <c r="E194">
        <v>10140</v>
      </c>
      <c r="F194">
        <v>101382.51</v>
      </c>
      <c r="G194">
        <v>0</v>
      </c>
      <c r="H194">
        <v>0</v>
      </c>
      <c r="I194">
        <v>0</v>
      </c>
      <c r="J194">
        <v>0</v>
      </c>
      <c r="K194">
        <v>76441.820000000007</v>
      </c>
      <c r="L194">
        <v>22770383.309999999</v>
      </c>
      <c r="M194">
        <v>23207256.600000001</v>
      </c>
      <c r="N194">
        <v>22770383.309999999</v>
      </c>
      <c r="O194">
        <v>23207256.600000001</v>
      </c>
      <c r="P194">
        <v>22404975.460000001</v>
      </c>
      <c r="Q194">
        <v>22328533.640000001</v>
      </c>
      <c r="R194" s="14">
        <f>_xlfn.XLOOKUP(Table2[[#This Row],[LoanID]],Table1[G-L ID],Table1[ManagerCode],-99)</f>
        <v>103</v>
      </c>
      <c r="T194"/>
    </row>
    <row r="195" spans="1:20" x14ac:dyDescent="0.25">
      <c r="A195">
        <v>20100531</v>
      </c>
      <c r="B195">
        <v>2010</v>
      </c>
      <c r="C195">
        <v>5</v>
      </c>
      <c r="D195">
        <v>1</v>
      </c>
      <c r="E195">
        <v>10150</v>
      </c>
      <c r="F195">
        <v>247993.78</v>
      </c>
      <c r="G195">
        <v>0</v>
      </c>
      <c r="H195">
        <v>0</v>
      </c>
      <c r="I195">
        <v>0</v>
      </c>
      <c r="J195">
        <v>0</v>
      </c>
      <c r="K195">
        <v>65326.22</v>
      </c>
      <c r="L195">
        <v>51643181.850000001</v>
      </c>
      <c r="M195">
        <v>51936130.630000003</v>
      </c>
      <c r="N195">
        <v>51643181.850000001</v>
      </c>
      <c r="O195">
        <v>51936130.630000003</v>
      </c>
      <c r="P195">
        <v>53708401.299999997</v>
      </c>
      <c r="Q195">
        <v>53646691.219999999</v>
      </c>
      <c r="R195" s="14">
        <f>_xlfn.XLOOKUP(Table2[[#This Row],[LoanID]],Table1[G-L ID],Table1[ManagerCode],-99)</f>
        <v>103</v>
      </c>
      <c r="T195"/>
    </row>
    <row r="196" spans="1:20" x14ac:dyDescent="0.25">
      <c r="A196">
        <v>20100531</v>
      </c>
      <c r="B196">
        <v>2010</v>
      </c>
      <c r="C196">
        <v>5</v>
      </c>
      <c r="D196">
        <v>1</v>
      </c>
      <c r="E196">
        <v>10170</v>
      </c>
      <c r="F196">
        <v>247599.16</v>
      </c>
      <c r="G196">
        <v>0</v>
      </c>
      <c r="H196">
        <v>0</v>
      </c>
      <c r="I196">
        <v>-1186.58</v>
      </c>
      <c r="J196">
        <v>0</v>
      </c>
      <c r="K196">
        <v>67938.7</v>
      </c>
      <c r="L196">
        <v>46858597.380000003</v>
      </c>
      <c r="M196">
        <v>50053064.520000003</v>
      </c>
      <c r="N196">
        <v>46858597.380000003</v>
      </c>
      <c r="O196">
        <v>50053064.520000003</v>
      </c>
      <c r="P196">
        <v>47463098.240000002</v>
      </c>
      <c r="Q196">
        <v>47395159.539999999</v>
      </c>
      <c r="R196" s="14">
        <f>_xlfn.XLOOKUP(Table2[[#This Row],[LoanID]],Table1[G-L ID],Table1[ManagerCode],-99)</f>
        <v>103</v>
      </c>
      <c r="T196"/>
    </row>
    <row r="197" spans="1:20" x14ac:dyDescent="0.25">
      <c r="A197">
        <v>20100531</v>
      </c>
      <c r="B197">
        <v>2010</v>
      </c>
      <c r="C197">
        <v>5</v>
      </c>
      <c r="D197">
        <v>1</v>
      </c>
      <c r="E197">
        <v>10230</v>
      </c>
      <c r="F197">
        <v>0</v>
      </c>
      <c r="G197">
        <v>0</v>
      </c>
      <c r="H197">
        <v>0</v>
      </c>
      <c r="I197">
        <v>0</v>
      </c>
      <c r="J197">
        <v>0</v>
      </c>
      <c r="K197">
        <v>0</v>
      </c>
      <c r="L197">
        <v>22885798.940000001</v>
      </c>
      <c r="M197">
        <v>23312850.210000001</v>
      </c>
      <c r="N197">
        <v>22885798.940000001</v>
      </c>
      <c r="O197">
        <v>23312850.210000001</v>
      </c>
      <c r="P197">
        <v>33533585.010000002</v>
      </c>
      <c r="Q197">
        <v>33533585.010000002</v>
      </c>
      <c r="R197" s="14">
        <f>_xlfn.XLOOKUP(Table2[[#This Row],[LoanID]],Table1[G-L ID],Table1[ManagerCode],-99)</f>
        <v>103</v>
      </c>
      <c r="T197"/>
    </row>
    <row r="198" spans="1:20" x14ac:dyDescent="0.25">
      <c r="A198">
        <v>20100531</v>
      </c>
      <c r="B198">
        <v>2010</v>
      </c>
      <c r="C198">
        <v>5</v>
      </c>
      <c r="D198">
        <v>1</v>
      </c>
      <c r="E198">
        <v>10280</v>
      </c>
      <c r="F198">
        <v>175560.01</v>
      </c>
      <c r="G198">
        <v>0</v>
      </c>
      <c r="H198">
        <v>0</v>
      </c>
      <c r="I198">
        <v>-583.34</v>
      </c>
      <c r="J198">
        <v>0</v>
      </c>
      <c r="K198">
        <v>0</v>
      </c>
      <c r="L198">
        <v>32083225.140000001</v>
      </c>
      <c r="M198">
        <v>32534350.52</v>
      </c>
      <c r="N198">
        <v>32083225.140000001</v>
      </c>
      <c r="O198">
        <v>32534350.52</v>
      </c>
      <c r="P198">
        <v>35000000</v>
      </c>
      <c r="Q198">
        <v>35000000</v>
      </c>
      <c r="R198" s="14">
        <f>_xlfn.XLOOKUP(Table2[[#This Row],[LoanID]],Table1[G-L ID],Table1[ManagerCode],-99)</f>
        <v>103</v>
      </c>
      <c r="T198"/>
    </row>
    <row r="199" spans="1:20" x14ac:dyDescent="0.25">
      <c r="A199">
        <v>20100531</v>
      </c>
      <c r="B199">
        <v>2010</v>
      </c>
      <c r="C199">
        <v>5</v>
      </c>
      <c r="D199">
        <v>1</v>
      </c>
      <c r="E199">
        <v>10290</v>
      </c>
      <c r="F199">
        <v>165775</v>
      </c>
      <c r="G199">
        <v>0</v>
      </c>
      <c r="H199">
        <v>0</v>
      </c>
      <c r="I199">
        <v>-416.67</v>
      </c>
      <c r="J199">
        <v>0</v>
      </c>
      <c r="K199">
        <v>0</v>
      </c>
      <c r="L199">
        <v>24674340.579999998</v>
      </c>
      <c r="M199">
        <v>24980260.57</v>
      </c>
      <c r="N199">
        <v>24674340.579999998</v>
      </c>
      <c r="O199">
        <v>24980260.57</v>
      </c>
      <c r="P199">
        <v>25000000</v>
      </c>
      <c r="Q199">
        <v>25000000</v>
      </c>
      <c r="R199" s="14">
        <f>_xlfn.XLOOKUP(Table2[[#This Row],[LoanID]],Table1[G-L ID],Table1[ManagerCode],-99)</f>
        <v>103</v>
      </c>
      <c r="T199"/>
    </row>
    <row r="200" spans="1:20" x14ac:dyDescent="0.25">
      <c r="A200">
        <v>20100531</v>
      </c>
      <c r="B200">
        <v>2010</v>
      </c>
      <c r="C200">
        <v>5</v>
      </c>
      <c r="D200">
        <v>1</v>
      </c>
      <c r="E200">
        <v>10370</v>
      </c>
      <c r="F200">
        <v>6072.71</v>
      </c>
      <c r="G200">
        <v>0</v>
      </c>
      <c r="H200">
        <v>0</v>
      </c>
      <c r="I200">
        <v>0.02</v>
      </c>
      <c r="J200">
        <v>0</v>
      </c>
      <c r="K200">
        <v>33425.64</v>
      </c>
      <c r="L200">
        <v>2695848.44</v>
      </c>
      <c r="M200">
        <v>2688372.11</v>
      </c>
      <c r="N200">
        <v>2695848.44</v>
      </c>
      <c r="O200">
        <v>2688372.11</v>
      </c>
      <c r="P200">
        <v>3643657.41</v>
      </c>
      <c r="Q200">
        <v>3610231.77</v>
      </c>
      <c r="R200" s="14">
        <f>_xlfn.XLOOKUP(Table2[[#This Row],[LoanID]],Table1[G-L ID],Table1[ManagerCode],-99)</f>
        <v>103</v>
      </c>
      <c r="T200"/>
    </row>
    <row r="201" spans="1:20" x14ac:dyDescent="0.25">
      <c r="A201">
        <v>20100531</v>
      </c>
      <c r="B201">
        <v>2010</v>
      </c>
      <c r="C201">
        <v>5</v>
      </c>
      <c r="D201">
        <v>1</v>
      </c>
      <c r="E201">
        <v>10380</v>
      </c>
      <c r="F201">
        <v>56984.63</v>
      </c>
      <c r="G201">
        <v>0</v>
      </c>
      <c r="H201">
        <v>0</v>
      </c>
      <c r="I201">
        <v>-92.5</v>
      </c>
      <c r="J201">
        <v>0</v>
      </c>
      <c r="K201">
        <v>656.77</v>
      </c>
      <c r="L201">
        <v>10494740.970000001</v>
      </c>
      <c r="M201">
        <v>10556262.699999999</v>
      </c>
      <c r="N201">
        <v>10494740.970000001</v>
      </c>
      <c r="O201">
        <v>10556262.699999999</v>
      </c>
      <c r="P201">
        <v>11107224.52</v>
      </c>
      <c r="Q201">
        <v>11106567.75</v>
      </c>
      <c r="R201" s="14">
        <f>_xlfn.XLOOKUP(Table2[[#This Row],[LoanID]],Table1[G-L ID],Table1[ManagerCode],-99)</f>
        <v>103</v>
      </c>
      <c r="T201"/>
    </row>
    <row r="202" spans="1:20" x14ac:dyDescent="0.25">
      <c r="A202">
        <v>20100531</v>
      </c>
      <c r="B202">
        <v>2010</v>
      </c>
      <c r="C202">
        <v>5</v>
      </c>
      <c r="D202">
        <v>1</v>
      </c>
      <c r="E202">
        <v>10390</v>
      </c>
      <c r="F202">
        <v>118750</v>
      </c>
      <c r="G202">
        <v>0</v>
      </c>
      <c r="H202">
        <v>0</v>
      </c>
      <c r="I202">
        <v>0</v>
      </c>
      <c r="J202">
        <v>0</v>
      </c>
      <c r="K202">
        <v>0</v>
      </c>
      <c r="L202">
        <v>22841556.940000001</v>
      </c>
      <c r="M202">
        <v>23145250.469999999</v>
      </c>
      <c r="N202">
        <v>22841556.940000001</v>
      </c>
      <c r="O202">
        <v>23145250.469999999</v>
      </c>
      <c r="P202">
        <v>24990204</v>
      </c>
      <c r="Q202">
        <v>24990408.079999998</v>
      </c>
      <c r="R202" s="14">
        <f>_xlfn.XLOOKUP(Table2[[#This Row],[LoanID]],Table1[G-L ID],Table1[ManagerCode],-99)</f>
        <v>103</v>
      </c>
      <c r="T202"/>
    </row>
    <row r="203" spans="1:20" x14ac:dyDescent="0.25">
      <c r="A203">
        <v>20100531</v>
      </c>
      <c r="B203">
        <v>2010</v>
      </c>
      <c r="C203">
        <v>5</v>
      </c>
      <c r="D203">
        <v>1</v>
      </c>
      <c r="E203">
        <v>10450</v>
      </c>
      <c r="F203">
        <v>121554.33</v>
      </c>
      <c r="G203">
        <v>0</v>
      </c>
      <c r="H203">
        <v>0</v>
      </c>
      <c r="I203">
        <v>0</v>
      </c>
      <c r="J203">
        <v>0</v>
      </c>
      <c r="K203">
        <v>20260.919999999998</v>
      </c>
      <c r="L203">
        <v>20921641.129999999</v>
      </c>
      <c r="M203">
        <v>21121498.710000001</v>
      </c>
      <c r="N203">
        <v>20921641.129999999</v>
      </c>
      <c r="O203">
        <v>21121498.710000001</v>
      </c>
      <c r="P203">
        <v>21730894.41</v>
      </c>
      <c r="Q203">
        <v>21712168.379999999</v>
      </c>
      <c r="R203" s="14">
        <f>_xlfn.XLOOKUP(Table2[[#This Row],[LoanID]],Table1[G-L ID],Table1[ManagerCode],-99)</f>
        <v>103</v>
      </c>
      <c r="T203"/>
    </row>
    <row r="204" spans="1:20" x14ac:dyDescent="0.25">
      <c r="A204">
        <v>20100531</v>
      </c>
      <c r="B204">
        <v>2010</v>
      </c>
      <c r="C204">
        <v>5</v>
      </c>
      <c r="D204">
        <v>1</v>
      </c>
      <c r="E204">
        <v>10520</v>
      </c>
      <c r="F204">
        <v>4869.3599999999997</v>
      </c>
      <c r="G204">
        <v>0</v>
      </c>
      <c r="H204">
        <v>0</v>
      </c>
      <c r="I204">
        <v>-12.13</v>
      </c>
      <c r="J204">
        <v>0</v>
      </c>
      <c r="K204">
        <v>0</v>
      </c>
      <c r="L204">
        <v>4098618.1</v>
      </c>
      <c r="M204">
        <v>4113118.96</v>
      </c>
      <c r="N204">
        <v>4098618.1</v>
      </c>
      <c r="O204">
        <v>4113118.96</v>
      </c>
      <c r="P204">
        <v>4158887.64</v>
      </c>
      <c r="Q204">
        <v>4158887.64</v>
      </c>
      <c r="R204" s="14">
        <f>_xlfn.XLOOKUP(Table2[[#This Row],[LoanID]],Table1[G-L ID],Table1[ManagerCode],-99)</f>
        <v>103</v>
      </c>
      <c r="T204"/>
    </row>
    <row r="205" spans="1:20" x14ac:dyDescent="0.25">
      <c r="A205">
        <v>20100531</v>
      </c>
      <c r="B205">
        <v>2010</v>
      </c>
      <c r="C205">
        <v>5</v>
      </c>
      <c r="D205">
        <v>1</v>
      </c>
      <c r="E205">
        <v>10530</v>
      </c>
      <c r="F205">
        <v>105502.9</v>
      </c>
      <c r="G205">
        <v>0</v>
      </c>
      <c r="H205">
        <v>0</v>
      </c>
      <c r="I205">
        <v>-262.82</v>
      </c>
      <c r="J205">
        <v>0</v>
      </c>
      <c r="K205">
        <v>0</v>
      </c>
      <c r="L205">
        <v>88803303.290000007</v>
      </c>
      <c r="M205">
        <v>89117488.310000002</v>
      </c>
      <c r="N205">
        <v>88803303.290000007</v>
      </c>
      <c r="O205">
        <v>89117488.310000002</v>
      </c>
      <c r="P205">
        <v>90109231.989999995</v>
      </c>
      <c r="Q205">
        <v>90109231.989999995</v>
      </c>
      <c r="R205" s="14">
        <f>_xlfn.XLOOKUP(Table2[[#This Row],[LoanID]],Table1[G-L ID],Table1[ManagerCode],-99)</f>
        <v>103</v>
      </c>
      <c r="T205"/>
    </row>
    <row r="206" spans="1:20" x14ac:dyDescent="0.25">
      <c r="A206">
        <v>20100531</v>
      </c>
      <c r="B206">
        <v>2010</v>
      </c>
      <c r="C206">
        <v>5</v>
      </c>
      <c r="D206">
        <v>1</v>
      </c>
      <c r="E206">
        <v>10540</v>
      </c>
      <c r="F206">
        <v>14608.1</v>
      </c>
      <c r="G206">
        <v>0</v>
      </c>
      <c r="H206">
        <v>0</v>
      </c>
      <c r="I206">
        <v>-36.39</v>
      </c>
      <c r="J206">
        <v>0</v>
      </c>
      <c r="K206">
        <v>0</v>
      </c>
      <c r="L206">
        <v>12295854.289999999</v>
      </c>
      <c r="M206">
        <v>12339356.880000001</v>
      </c>
      <c r="N206">
        <v>12295854.289999999</v>
      </c>
      <c r="O206">
        <v>12339356.880000001</v>
      </c>
      <c r="P206">
        <v>12476662.9</v>
      </c>
      <c r="Q206">
        <v>12476662.9</v>
      </c>
      <c r="R206" s="14">
        <f>_xlfn.XLOOKUP(Table2[[#This Row],[LoanID]],Table1[G-L ID],Table1[ManagerCode],-99)</f>
        <v>103</v>
      </c>
      <c r="T206"/>
    </row>
    <row r="207" spans="1:20" x14ac:dyDescent="0.25">
      <c r="A207">
        <v>20100531</v>
      </c>
      <c r="B207">
        <v>2010</v>
      </c>
      <c r="C207">
        <v>5</v>
      </c>
      <c r="D207">
        <v>1</v>
      </c>
      <c r="E207">
        <v>10630</v>
      </c>
      <c r="F207">
        <v>50350.2</v>
      </c>
      <c r="G207">
        <v>0</v>
      </c>
      <c r="H207">
        <v>0</v>
      </c>
      <c r="I207">
        <v>-0.02</v>
      </c>
      <c r="J207">
        <v>0</v>
      </c>
      <c r="K207">
        <v>12265.89</v>
      </c>
      <c r="L207">
        <v>8925840</v>
      </c>
      <c r="M207">
        <v>9014477.0099999998</v>
      </c>
      <c r="N207">
        <v>8925840</v>
      </c>
      <c r="O207">
        <v>9014477.0099999998</v>
      </c>
      <c r="P207">
        <v>9425933.0399999991</v>
      </c>
      <c r="Q207">
        <v>9413667.1500000004</v>
      </c>
      <c r="R207" s="14">
        <f>_xlfn.XLOOKUP(Table2[[#This Row],[LoanID]],Table1[G-L ID],Table1[ManagerCode],-99)</f>
        <v>103</v>
      </c>
      <c r="T207"/>
    </row>
    <row r="208" spans="1:20" x14ac:dyDescent="0.25">
      <c r="A208">
        <v>20100531</v>
      </c>
      <c r="B208">
        <v>2010</v>
      </c>
      <c r="C208">
        <v>5</v>
      </c>
      <c r="D208">
        <v>1</v>
      </c>
      <c r="E208">
        <v>10770</v>
      </c>
      <c r="F208">
        <v>167708.32999999999</v>
      </c>
      <c r="G208">
        <v>0</v>
      </c>
      <c r="H208">
        <v>0</v>
      </c>
      <c r="I208">
        <v>-0.01</v>
      </c>
      <c r="J208">
        <v>0</v>
      </c>
      <c r="K208">
        <v>0</v>
      </c>
      <c r="L208">
        <v>97865656.450000003</v>
      </c>
      <c r="M208">
        <v>99459614</v>
      </c>
      <c r="N208">
        <v>97865656.450000003</v>
      </c>
      <c r="O208">
        <v>99459614</v>
      </c>
      <c r="P208">
        <v>115000000</v>
      </c>
      <c r="Q208">
        <v>115000000</v>
      </c>
      <c r="R208" s="14">
        <f>_xlfn.XLOOKUP(Table2[[#This Row],[LoanID]],Table1[G-L ID],Table1[ManagerCode],-99)</f>
        <v>103</v>
      </c>
      <c r="T208"/>
    </row>
    <row r="209" spans="1:20" x14ac:dyDescent="0.25">
      <c r="A209">
        <v>20100531</v>
      </c>
      <c r="B209">
        <v>2010</v>
      </c>
      <c r="C209">
        <v>5</v>
      </c>
      <c r="D209">
        <v>1</v>
      </c>
      <c r="E209">
        <v>10870</v>
      </c>
      <c r="F209">
        <v>294370.92</v>
      </c>
      <c r="G209">
        <v>0</v>
      </c>
      <c r="H209">
        <v>0</v>
      </c>
      <c r="I209">
        <v>0</v>
      </c>
      <c r="J209">
        <v>0</v>
      </c>
      <c r="K209">
        <v>0</v>
      </c>
      <c r="L209">
        <v>184917150.80000001</v>
      </c>
      <c r="M209">
        <v>186501028.09999999</v>
      </c>
      <c r="N209">
        <v>184917150.80000001</v>
      </c>
      <c r="O209">
        <v>186501028.09999999</v>
      </c>
      <c r="P209">
        <v>201969754.09999999</v>
      </c>
      <c r="Q209">
        <v>201969754.09999999</v>
      </c>
      <c r="R209" s="14">
        <f>_xlfn.XLOOKUP(Table2[[#This Row],[LoanID]],Table1[G-L ID],Table1[ManagerCode],-99)</f>
        <v>103</v>
      </c>
      <c r="T209"/>
    </row>
    <row r="210" spans="1:20" x14ac:dyDescent="0.25">
      <c r="A210">
        <v>20100531</v>
      </c>
      <c r="B210">
        <v>2010</v>
      </c>
      <c r="C210">
        <v>5</v>
      </c>
      <c r="D210">
        <v>1</v>
      </c>
      <c r="E210">
        <v>10950</v>
      </c>
      <c r="F210">
        <v>55569.77</v>
      </c>
      <c r="G210">
        <v>0</v>
      </c>
      <c r="H210">
        <v>0</v>
      </c>
      <c r="I210">
        <v>0</v>
      </c>
      <c r="J210">
        <v>0</v>
      </c>
      <c r="K210">
        <v>21453.25</v>
      </c>
      <c r="L210">
        <v>8475591.5999999996</v>
      </c>
      <c r="M210">
        <v>8584273.6500000004</v>
      </c>
      <c r="N210">
        <v>8475591.5999999996</v>
      </c>
      <c r="O210">
        <v>8584273.6500000004</v>
      </c>
      <c r="P210">
        <v>11188544.93</v>
      </c>
      <c r="Q210">
        <v>11167091.68</v>
      </c>
      <c r="R210" s="14">
        <f>_xlfn.XLOOKUP(Table2[[#This Row],[LoanID]],Table1[G-L ID],Table1[ManagerCode],-99)</f>
        <v>103</v>
      </c>
      <c r="T210"/>
    </row>
    <row r="211" spans="1:20" x14ac:dyDescent="0.25">
      <c r="A211">
        <v>20100531</v>
      </c>
      <c r="B211">
        <v>2010</v>
      </c>
      <c r="C211">
        <v>5</v>
      </c>
      <c r="D211">
        <v>1</v>
      </c>
      <c r="E211">
        <v>11180</v>
      </c>
      <c r="F211">
        <v>208636.23</v>
      </c>
      <c r="G211">
        <v>0</v>
      </c>
      <c r="H211">
        <v>0</v>
      </c>
      <c r="I211">
        <v>0</v>
      </c>
      <c r="J211">
        <v>0</v>
      </c>
      <c r="K211">
        <v>0</v>
      </c>
      <c r="L211">
        <v>194448380.09999999</v>
      </c>
      <c r="M211">
        <v>196262554.59999999</v>
      </c>
      <c r="N211">
        <v>194448380.09999999</v>
      </c>
      <c r="O211">
        <v>196262554.59999999</v>
      </c>
      <c r="P211">
        <v>199970831.5</v>
      </c>
      <c r="Q211">
        <v>199970831.5</v>
      </c>
      <c r="R211" s="14">
        <f>_xlfn.XLOOKUP(Table2[[#This Row],[LoanID]],Table1[G-L ID],Table1[ManagerCode],-99)</f>
        <v>103</v>
      </c>
      <c r="T211"/>
    </row>
    <row r="212" spans="1:20" x14ac:dyDescent="0.25">
      <c r="A212">
        <v>20100531</v>
      </c>
      <c r="B212">
        <v>2010</v>
      </c>
      <c r="C212">
        <v>5</v>
      </c>
      <c r="D212">
        <v>1</v>
      </c>
      <c r="E212">
        <v>11200</v>
      </c>
      <c r="F212">
        <v>69880</v>
      </c>
      <c r="G212">
        <v>0</v>
      </c>
      <c r="H212">
        <v>0</v>
      </c>
      <c r="I212">
        <v>0</v>
      </c>
      <c r="J212">
        <v>0</v>
      </c>
      <c r="K212">
        <v>0</v>
      </c>
      <c r="L212">
        <v>13521270.17</v>
      </c>
      <c r="M212">
        <v>13615148.51</v>
      </c>
      <c r="N212">
        <v>13521270.17</v>
      </c>
      <c r="O212">
        <v>13615148.51</v>
      </c>
      <c r="P212">
        <v>13976000</v>
      </c>
      <c r="Q212">
        <v>13976000</v>
      </c>
      <c r="R212" s="14">
        <f>_xlfn.XLOOKUP(Table2[[#This Row],[LoanID]],Table1[G-L ID],Table1[ManagerCode],-99)</f>
        <v>103</v>
      </c>
      <c r="T212"/>
    </row>
    <row r="213" spans="1:20" x14ac:dyDescent="0.25">
      <c r="A213">
        <v>20100531</v>
      </c>
      <c r="B213">
        <v>2010</v>
      </c>
      <c r="C213">
        <v>5</v>
      </c>
      <c r="D213">
        <v>1</v>
      </c>
      <c r="E213">
        <v>11240</v>
      </c>
      <c r="F213">
        <v>247723.07</v>
      </c>
      <c r="G213">
        <v>0</v>
      </c>
      <c r="H213">
        <v>0</v>
      </c>
      <c r="I213">
        <v>0</v>
      </c>
      <c r="J213">
        <v>0</v>
      </c>
      <c r="K213">
        <v>0</v>
      </c>
      <c r="L213">
        <v>194245793.40000001</v>
      </c>
      <c r="M213">
        <v>186854167.69999999</v>
      </c>
      <c r="N213">
        <v>194245793.40000001</v>
      </c>
      <c r="O213">
        <v>186854167.69999999</v>
      </c>
      <c r="P213">
        <v>194929626.59999999</v>
      </c>
      <c r="Q213">
        <v>194929626.59999999</v>
      </c>
      <c r="R213" s="14">
        <f>_xlfn.XLOOKUP(Table2[[#This Row],[LoanID]],Table1[G-L ID],Table1[ManagerCode],-99)</f>
        <v>103</v>
      </c>
      <c r="T213"/>
    </row>
    <row r="214" spans="1:20" x14ac:dyDescent="0.25">
      <c r="A214">
        <v>20100531</v>
      </c>
      <c r="B214">
        <v>2010</v>
      </c>
      <c r="C214">
        <v>5</v>
      </c>
      <c r="D214">
        <v>1</v>
      </c>
      <c r="E214">
        <v>11260</v>
      </c>
      <c r="F214">
        <v>14140.32</v>
      </c>
      <c r="G214">
        <v>0</v>
      </c>
      <c r="H214">
        <v>0</v>
      </c>
      <c r="I214">
        <v>-93.96</v>
      </c>
      <c r="J214">
        <v>0</v>
      </c>
      <c r="K214">
        <v>0</v>
      </c>
      <c r="L214">
        <v>10027252.039999999</v>
      </c>
      <c r="M214">
        <v>10119320.699999999</v>
      </c>
      <c r="N214">
        <v>10027252.039999999</v>
      </c>
      <c r="O214">
        <v>10119320.699999999</v>
      </c>
      <c r="P214">
        <v>11274673.789999999</v>
      </c>
      <c r="Q214">
        <v>11274673.789999999</v>
      </c>
      <c r="R214" s="14">
        <f>_xlfn.XLOOKUP(Table2[[#This Row],[LoanID]],Table1[G-L ID],Table1[ManagerCode],-99)</f>
        <v>103</v>
      </c>
      <c r="T214"/>
    </row>
    <row r="215" spans="1:20" x14ac:dyDescent="0.25">
      <c r="A215">
        <v>20100531</v>
      </c>
      <c r="B215">
        <v>2010</v>
      </c>
      <c r="C215">
        <v>5</v>
      </c>
      <c r="D215">
        <v>1</v>
      </c>
      <c r="E215">
        <v>11270</v>
      </c>
      <c r="F215">
        <v>23567.200000000001</v>
      </c>
      <c r="G215">
        <v>0</v>
      </c>
      <c r="H215">
        <v>0</v>
      </c>
      <c r="I215">
        <v>-156.59</v>
      </c>
      <c r="J215">
        <v>0</v>
      </c>
      <c r="K215">
        <v>0</v>
      </c>
      <c r="L215">
        <v>16712086.83</v>
      </c>
      <c r="M215">
        <v>16865534.629999999</v>
      </c>
      <c r="N215">
        <v>16712086.83</v>
      </c>
      <c r="O215">
        <v>16865534.629999999</v>
      </c>
      <c r="P215">
        <v>18791123.030000001</v>
      </c>
      <c r="Q215">
        <v>18791123.030000001</v>
      </c>
      <c r="R215" s="14">
        <f>_xlfn.XLOOKUP(Table2[[#This Row],[LoanID]],Table1[G-L ID],Table1[ManagerCode],-99)</f>
        <v>103</v>
      </c>
      <c r="T215"/>
    </row>
    <row r="216" spans="1:20" x14ac:dyDescent="0.25">
      <c r="A216">
        <v>20100531</v>
      </c>
      <c r="B216">
        <v>2010</v>
      </c>
      <c r="C216">
        <v>5</v>
      </c>
      <c r="D216">
        <v>1</v>
      </c>
      <c r="E216">
        <v>11290</v>
      </c>
      <c r="F216">
        <v>21210.48</v>
      </c>
      <c r="G216">
        <v>0</v>
      </c>
      <c r="H216">
        <v>0</v>
      </c>
      <c r="I216">
        <v>-140.93</v>
      </c>
      <c r="J216">
        <v>0</v>
      </c>
      <c r="K216">
        <v>0</v>
      </c>
      <c r="L216">
        <v>15040878.24</v>
      </c>
      <c r="M216">
        <v>15178981.1</v>
      </c>
      <c r="N216">
        <v>15040878.24</v>
      </c>
      <c r="O216">
        <v>15178981.1</v>
      </c>
      <c r="P216">
        <v>16912010.73</v>
      </c>
      <c r="Q216">
        <v>16912010.73</v>
      </c>
      <c r="R216" s="14">
        <f>_xlfn.XLOOKUP(Table2[[#This Row],[LoanID]],Table1[G-L ID],Table1[ManagerCode],-99)</f>
        <v>103</v>
      </c>
      <c r="T216"/>
    </row>
    <row r="217" spans="1:20" x14ac:dyDescent="0.25">
      <c r="A217">
        <v>20100531</v>
      </c>
      <c r="B217">
        <v>2010</v>
      </c>
      <c r="C217">
        <v>5</v>
      </c>
      <c r="D217">
        <v>1</v>
      </c>
      <c r="E217">
        <v>11380</v>
      </c>
      <c r="F217">
        <v>41218.300000000003</v>
      </c>
      <c r="G217">
        <v>0</v>
      </c>
      <c r="H217">
        <v>0</v>
      </c>
      <c r="I217">
        <v>-0.01</v>
      </c>
      <c r="J217">
        <v>0</v>
      </c>
      <c r="K217">
        <v>49481.7</v>
      </c>
      <c r="L217">
        <v>6839717.9800000004</v>
      </c>
      <c r="M217">
        <v>6920436.5800000001</v>
      </c>
      <c r="N217">
        <v>6839717.9800000004</v>
      </c>
      <c r="O217">
        <v>6920436.5800000001</v>
      </c>
      <c r="P217">
        <v>6237321.3600000003</v>
      </c>
      <c r="Q217">
        <v>6187839.6600000001</v>
      </c>
      <c r="R217" s="14">
        <f>_xlfn.XLOOKUP(Table2[[#This Row],[LoanID]],Table1[G-L ID],Table1[ManagerCode],-99)</f>
        <v>103</v>
      </c>
      <c r="T217"/>
    </row>
    <row r="218" spans="1:20" x14ac:dyDescent="0.25">
      <c r="A218">
        <v>20100531</v>
      </c>
      <c r="B218">
        <v>2010</v>
      </c>
      <c r="C218">
        <v>5</v>
      </c>
      <c r="D218">
        <v>1</v>
      </c>
      <c r="E218">
        <v>11420</v>
      </c>
      <c r="F218">
        <v>498248.33</v>
      </c>
      <c r="G218">
        <v>0</v>
      </c>
      <c r="H218">
        <v>0</v>
      </c>
      <c r="I218">
        <v>0</v>
      </c>
      <c r="J218">
        <v>0</v>
      </c>
      <c r="K218">
        <v>0</v>
      </c>
      <c r="L218">
        <v>97144481.200000003</v>
      </c>
      <c r="M218">
        <v>97352288.959999993</v>
      </c>
      <c r="N218">
        <v>97144481.200000003</v>
      </c>
      <c r="O218">
        <v>97352288.959999993</v>
      </c>
      <c r="P218">
        <v>98000000</v>
      </c>
      <c r="Q218">
        <v>98000000</v>
      </c>
      <c r="R218" s="14">
        <f>_xlfn.XLOOKUP(Table2[[#This Row],[LoanID]],Table1[G-L ID],Table1[ManagerCode],-99)</f>
        <v>103</v>
      </c>
      <c r="T218"/>
    </row>
    <row r="219" spans="1:20" x14ac:dyDescent="0.25">
      <c r="A219">
        <v>20100531</v>
      </c>
      <c r="B219">
        <v>2010</v>
      </c>
      <c r="C219">
        <v>5</v>
      </c>
      <c r="D219">
        <v>1</v>
      </c>
      <c r="E219">
        <v>11510</v>
      </c>
      <c r="F219">
        <v>0</v>
      </c>
      <c r="G219">
        <v>0</v>
      </c>
      <c r="H219">
        <v>0</v>
      </c>
      <c r="I219">
        <v>0</v>
      </c>
      <c r="J219">
        <v>0</v>
      </c>
      <c r="K219">
        <v>0</v>
      </c>
      <c r="L219">
        <v>15375927.300000001</v>
      </c>
      <c r="M219">
        <v>16054610</v>
      </c>
      <c r="N219">
        <v>15375927.300000001</v>
      </c>
      <c r="O219">
        <v>16054610</v>
      </c>
      <c r="P219">
        <v>14602872.720000001</v>
      </c>
      <c r="Q219">
        <v>14602872.720000001</v>
      </c>
      <c r="R219" s="14">
        <f>_xlfn.XLOOKUP(Table2[[#This Row],[LoanID]],Table1[G-L ID],Table1[ManagerCode],-99)</f>
        <v>103</v>
      </c>
      <c r="T219"/>
    </row>
    <row r="220" spans="1:20" x14ac:dyDescent="0.25">
      <c r="A220">
        <v>20100531</v>
      </c>
      <c r="B220">
        <v>2010</v>
      </c>
      <c r="C220">
        <v>5</v>
      </c>
      <c r="D220">
        <v>1</v>
      </c>
      <c r="E220">
        <v>11780</v>
      </c>
      <c r="F220">
        <v>183722.17</v>
      </c>
      <c r="G220">
        <v>0</v>
      </c>
      <c r="H220">
        <v>0</v>
      </c>
      <c r="I220">
        <v>-1130.5999999999999</v>
      </c>
      <c r="J220">
        <v>0</v>
      </c>
      <c r="K220">
        <v>136201.26</v>
      </c>
      <c r="L220">
        <v>60722168.060000002</v>
      </c>
      <c r="M220">
        <v>61038767.399999999</v>
      </c>
      <c r="N220">
        <v>60722168.060000002</v>
      </c>
      <c r="O220">
        <v>61038767.399999999</v>
      </c>
      <c r="P220">
        <v>67835876.950000003</v>
      </c>
      <c r="Q220">
        <v>67699675.689999998</v>
      </c>
      <c r="R220" s="14">
        <f>_xlfn.XLOOKUP(Table2[[#This Row],[LoanID]],Table1[G-L ID],Table1[ManagerCode],-99)</f>
        <v>103</v>
      </c>
      <c r="T220"/>
    </row>
    <row r="221" spans="1:20" x14ac:dyDescent="0.25">
      <c r="A221">
        <v>20100531</v>
      </c>
      <c r="B221">
        <v>2010</v>
      </c>
      <c r="C221">
        <v>5</v>
      </c>
      <c r="D221">
        <v>1</v>
      </c>
      <c r="E221">
        <v>11800</v>
      </c>
      <c r="F221">
        <v>164872.1</v>
      </c>
      <c r="G221">
        <v>0</v>
      </c>
      <c r="H221">
        <v>0</v>
      </c>
      <c r="I221">
        <v>-277.42</v>
      </c>
      <c r="J221">
        <v>0</v>
      </c>
      <c r="K221">
        <v>55389.63</v>
      </c>
      <c r="L221">
        <v>20520839.890000001</v>
      </c>
      <c r="M221">
        <v>20933721.390000001</v>
      </c>
      <c r="N221">
        <v>20520839.890000001</v>
      </c>
      <c r="O221">
        <v>20933721.390000001</v>
      </c>
      <c r="P221">
        <v>33290681.140000001</v>
      </c>
      <c r="Q221">
        <v>33235291.510000002</v>
      </c>
      <c r="R221" s="14">
        <f>_xlfn.XLOOKUP(Table2[[#This Row],[LoanID]],Table1[G-L ID],Table1[ManagerCode],-99)</f>
        <v>103</v>
      </c>
      <c r="T221"/>
    </row>
    <row r="222" spans="1:20" x14ac:dyDescent="0.25">
      <c r="A222">
        <v>20100531</v>
      </c>
      <c r="B222">
        <v>2010</v>
      </c>
      <c r="C222">
        <v>5</v>
      </c>
      <c r="D222">
        <v>1</v>
      </c>
      <c r="E222">
        <v>11810</v>
      </c>
      <c r="F222">
        <v>51166.67</v>
      </c>
      <c r="G222">
        <v>0</v>
      </c>
      <c r="H222">
        <v>0</v>
      </c>
      <c r="I222">
        <v>0</v>
      </c>
      <c r="J222">
        <v>0</v>
      </c>
      <c r="K222">
        <v>0</v>
      </c>
      <c r="L222">
        <v>5826345.6399999997</v>
      </c>
      <c r="M222">
        <v>5966183.3799999999</v>
      </c>
      <c r="N222">
        <v>5826345.6399999997</v>
      </c>
      <c r="O222">
        <v>5966183.3799999999</v>
      </c>
      <c r="P222">
        <v>10000000</v>
      </c>
      <c r="Q222">
        <v>10000000</v>
      </c>
      <c r="R222" s="14">
        <f>_xlfn.XLOOKUP(Table2[[#This Row],[LoanID]],Table1[G-L ID],Table1[ManagerCode],-99)</f>
        <v>103</v>
      </c>
      <c r="T222"/>
    </row>
    <row r="223" spans="1:20" x14ac:dyDescent="0.25">
      <c r="A223">
        <v>20100531</v>
      </c>
      <c r="B223">
        <v>2010</v>
      </c>
      <c r="C223">
        <v>5</v>
      </c>
      <c r="D223">
        <v>1</v>
      </c>
      <c r="E223">
        <v>11860</v>
      </c>
      <c r="F223">
        <v>235333.33</v>
      </c>
      <c r="G223">
        <v>0</v>
      </c>
      <c r="H223">
        <v>0</v>
      </c>
      <c r="I223">
        <v>0</v>
      </c>
      <c r="J223">
        <v>0</v>
      </c>
      <c r="K223">
        <v>0</v>
      </c>
      <c r="L223">
        <v>48223987.670000002</v>
      </c>
      <c r="M223">
        <v>48518543.140000001</v>
      </c>
      <c r="N223">
        <v>48223987.670000002</v>
      </c>
      <c r="O223">
        <v>48518543.140000001</v>
      </c>
      <c r="P223">
        <v>49926573.850000001</v>
      </c>
      <c r="Q223">
        <v>49941259.079999998</v>
      </c>
      <c r="R223" s="14">
        <f>_xlfn.XLOOKUP(Table2[[#This Row],[LoanID]],Table1[G-L ID],Table1[ManagerCode],-99)</f>
        <v>103</v>
      </c>
      <c r="T223"/>
    </row>
    <row r="224" spans="1:20" x14ac:dyDescent="0.25">
      <c r="A224">
        <v>20100531</v>
      </c>
      <c r="B224">
        <v>2010</v>
      </c>
      <c r="C224">
        <v>5</v>
      </c>
      <c r="D224">
        <v>1</v>
      </c>
      <c r="E224">
        <v>11870</v>
      </c>
      <c r="F224">
        <v>117666.67</v>
      </c>
      <c r="G224">
        <v>0</v>
      </c>
      <c r="H224">
        <v>0</v>
      </c>
      <c r="I224">
        <v>0</v>
      </c>
      <c r="J224">
        <v>0</v>
      </c>
      <c r="K224">
        <v>0</v>
      </c>
      <c r="L224">
        <v>24111993.829999998</v>
      </c>
      <c r="M224">
        <v>24259271.57</v>
      </c>
      <c r="N224">
        <v>24111993.829999998</v>
      </c>
      <c r="O224">
        <v>24259271.57</v>
      </c>
      <c r="P224">
        <v>24959397.879999999</v>
      </c>
      <c r="Q224">
        <v>24967518.300000001</v>
      </c>
      <c r="R224" s="14">
        <f>_xlfn.XLOOKUP(Table2[[#This Row],[LoanID]],Table1[G-L ID],Table1[ManagerCode],-99)</f>
        <v>103</v>
      </c>
      <c r="T224"/>
    </row>
    <row r="225" spans="1:20" x14ac:dyDescent="0.25">
      <c r="A225">
        <v>20100531</v>
      </c>
      <c r="B225">
        <v>2010</v>
      </c>
      <c r="C225">
        <v>5</v>
      </c>
      <c r="D225">
        <v>1</v>
      </c>
      <c r="E225">
        <v>11900</v>
      </c>
      <c r="F225">
        <v>0</v>
      </c>
      <c r="G225">
        <v>0</v>
      </c>
      <c r="H225">
        <v>0</v>
      </c>
      <c r="I225">
        <v>0</v>
      </c>
      <c r="J225">
        <v>0</v>
      </c>
      <c r="K225">
        <v>0</v>
      </c>
      <c r="L225">
        <v>55000000</v>
      </c>
      <c r="M225">
        <v>55000000</v>
      </c>
      <c r="N225">
        <v>55000000</v>
      </c>
      <c r="O225">
        <v>55000000</v>
      </c>
      <c r="P225">
        <v>55000000</v>
      </c>
      <c r="Q225">
        <v>55000000</v>
      </c>
      <c r="R225" s="14">
        <f>_xlfn.XLOOKUP(Table2[[#This Row],[LoanID]],Table1[G-L ID],Table1[ManagerCode],-99)</f>
        <v>103</v>
      </c>
      <c r="T225"/>
    </row>
    <row r="226" spans="1:20" x14ac:dyDescent="0.25">
      <c r="A226">
        <v>20100531</v>
      </c>
      <c r="B226">
        <v>2010</v>
      </c>
      <c r="C226">
        <v>5</v>
      </c>
      <c r="D226">
        <v>1</v>
      </c>
      <c r="E226">
        <v>11930</v>
      </c>
      <c r="F226">
        <v>188438.71</v>
      </c>
      <c r="G226">
        <v>0</v>
      </c>
      <c r="H226">
        <v>0</v>
      </c>
      <c r="I226">
        <v>0</v>
      </c>
      <c r="J226">
        <v>0</v>
      </c>
      <c r="K226">
        <v>0</v>
      </c>
      <c r="L226">
        <v>192759237.90000001</v>
      </c>
      <c r="M226">
        <v>194473996.80000001</v>
      </c>
      <c r="N226">
        <v>192759237.90000001</v>
      </c>
      <c r="O226">
        <v>194473996.80000001</v>
      </c>
      <c r="P226">
        <v>195780481.30000001</v>
      </c>
      <c r="Q226">
        <v>195780481.30000001</v>
      </c>
      <c r="R226" s="14">
        <f>_xlfn.XLOOKUP(Table2[[#This Row],[LoanID]],Table1[G-L ID],Table1[ManagerCode],-99)</f>
        <v>103</v>
      </c>
      <c r="T226"/>
    </row>
    <row r="227" spans="1:20" x14ac:dyDescent="0.25">
      <c r="A227">
        <v>20100531</v>
      </c>
      <c r="B227">
        <v>2010</v>
      </c>
      <c r="C227">
        <v>5</v>
      </c>
      <c r="D227">
        <v>1</v>
      </c>
      <c r="E227">
        <v>11940</v>
      </c>
      <c r="F227">
        <v>61718.21</v>
      </c>
      <c r="G227">
        <v>0</v>
      </c>
      <c r="H227">
        <v>0</v>
      </c>
      <c r="I227">
        <v>0</v>
      </c>
      <c r="J227">
        <v>0</v>
      </c>
      <c r="K227">
        <v>0</v>
      </c>
      <c r="L227">
        <v>61252332.810000002</v>
      </c>
      <c r="M227">
        <v>62725079.240000002</v>
      </c>
      <c r="N227">
        <v>61252332.810000002</v>
      </c>
      <c r="O227">
        <v>62725079.240000002</v>
      </c>
      <c r="P227">
        <v>64085997.149999999</v>
      </c>
      <c r="Q227">
        <v>64088163.009999998</v>
      </c>
      <c r="R227" s="14">
        <f>_xlfn.XLOOKUP(Table2[[#This Row],[LoanID]],Table1[G-L ID],Table1[ManagerCode],-99)</f>
        <v>103</v>
      </c>
      <c r="T227"/>
    </row>
    <row r="228" spans="1:20" x14ac:dyDescent="0.25">
      <c r="A228">
        <v>20100531</v>
      </c>
      <c r="B228">
        <v>2010</v>
      </c>
      <c r="C228">
        <v>5</v>
      </c>
      <c r="D228">
        <v>1</v>
      </c>
      <c r="E228">
        <v>11951</v>
      </c>
      <c r="F228">
        <v>161245</v>
      </c>
      <c r="G228">
        <v>0</v>
      </c>
      <c r="H228">
        <v>0</v>
      </c>
      <c r="I228">
        <v>-283.33</v>
      </c>
      <c r="J228">
        <v>0</v>
      </c>
      <c r="K228">
        <v>0</v>
      </c>
      <c r="L228">
        <v>34645589.880000003</v>
      </c>
      <c r="M228">
        <v>34722151.469999999</v>
      </c>
      <c r="N228">
        <v>34645589.880000003</v>
      </c>
      <c r="O228">
        <v>34722151.469999999</v>
      </c>
      <c r="P228">
        <v>33985217.549999997</v>
      </c>
      <c r="Q228">
        <v>33986860.039999999</v>
      </c>
      <c r="R228" s="14">
        <f>_xlfn.XLOOKUP(Table2[[#This Row],[LoanID]],Table1[G-L ID],Table1[ManagerCode],-99)</f>
        <v>103</v>
      </c>
      <c r="T228"/>
    </row>
    <row r="229" spans="1:20" x14ac:dyDescent="0.25">
      <c r="A229">
        <v>20100531</v>
      </c>
      <c r="B229">
        <v>2010</v>
      </c>
      <c r="C229">
        <v>5</v>
      </c>
      <c r="D229">
        <v>1</v>
      </c>
      <c r="E229">
        <v>11952</v>
      </c>
      <c r="F229">
        <v>115395.01</v>
      </c>
      <c r="G229">
        <v>0</v>
      </c>
      <c r="H229">
        <v>0</v>
      </c>
      <c r="I229">
        <v>-175.01</v>
      </c>
      <c r="J229">
        <v>0</v>
      </c>
      <c r="K229">
        <v>0</v>
      </c>
      <c r="L229">
        <v>21342171.550000001</v>
      </c>
      <c r="M229">
        <v>21551648.710000001</v>
      </c>
      <c r="N229">
        <v>21342171.550000001</v>
      </c>
      <c r="O229">
        <v>21551648.710000001</v>
      </c>
      <c r="P229">
        <v>21000000</v>
      </c>
      <c r="Q229">
        <v>21000000</v>
      </c>
      <c r="R229" s="14">
        <f>_xlfn.XLOOKUP(Table2[[#This Row],[LoanID]],Table1[G-L ID],Table1[ManagerCode],-99)</f>
        <v>103</v>
      </c>
      <c r="T229"/>
    </row>
    <row r="230" spans="1:20" x14ac:dyDescent="0.25">
      <c r="A230">
        <v>20100531</v>
      </c>
      <c r="B230">
        <v>2010</v>
      </c>
      <c r="C230">
        <v>5</v>
      </c>
      <c r="D230">
        <v>1</v>
      </c>
      <c r="E230">
        <v>12000</v>
      </c>
      <c r="F230">
        <v>125525.26</v>
      </c>
      <c r="G230">
        <v>0</v>
      </c>
      <c r="H230">
        <v>0</v>
      </c>
      <c r="I230">
        <v>0</v>
      </c>
      <c r="J230">
        <v>0</v>
      </c>
      <c r="K230">
        <v>0</v>
      </c>
      <c r="L230">
        <v>20908734.280000001</v>
      </c>
      <c r="M230">
        <v>21148542.050000001</v>
      </c>
      <c r="N230">
        <v>20908734.280000001</v>
      </c>
      <c r="O230">
        <v>21148542.050000001</v>
      </c>
      <c r="P230">
        <v>25084913.100000001</v>
      </c>
      <c r="Q230">
        <v>25085607.539999999</v>
      </c>
      <c r="R230" s="14">
        <f>_xlfn.XLOOKUP(Table2[[#This Row],[LoanID]],Table1[G-L ID],Table1[ManagerCode],-99)</f>
        <v>103</v>
      </c>
      <c r="T230"/>
    </row>
    <row r="231" spans="1:20" x14ac:dyDescent="0.25">
      <c r="A231">
        <v>20100531</v>
      </c>
      <c r="B231">
        <v>2010</v>
      </c>
      <c r="C231">
        <v>5</v>
      </c>
      <c r="D231">
        <v>1</v>
      </c>
      <c r="E231">
        <v>12040</v>
      </c>
      <c r="F231">
        <v>60875</v>
      </c>
      <c r="G231">
        <v>0</v>
      </c>
      <c r="H231">
        <v>0</v>
      </c>
      <c r="I231">
        <v>-62.5</v>
      </c>
      <c r="J231">
        <v>0</v>
      </c>
      <c r="K231">
        <v>15002544.710000001</v>
      </c>
      <c r="L231">
        <v>15005716.82</v>
      </c>
      <c r="M231">
        <v>0</v>
      </c>
      <c r="N231">
        <v>15005716.82</v>
      </c>
      <c r="O231">
        <v>0</v>
      </c>
      <c r="P231">
        <v>15002544.710000001</v>
      </c>
      <c r="Q231">
        <v>0</v>
      </c>
      <c r="R231" s="14">
        <f>_xlfn.XLOOKUP(Table2[[#This Row],[LoanID]],Table1[G-L ID],Table1[ManagerCode],-99)</f>
        <v>103</v>
      </c>
      <c r="T231"/>
    </row>
    <row r="232" spans="1:20" x14ac:dyDescent="0.25">
      <c r="A232">
        <v>20100531</v>
      </c>
      <c r="B232">
        <v>2010</v>
      </c>
      <c r="C232">
        <v>5</v>
      </c>
      <c r="D232">
        <v>1</v>
      </c>
      <c r="E232">
        <v>12050</v>
      </c>
      <c r="F232">
        <v>42250</v>
      </c>
      <c r="G232">
        <v>0</v>
      </c>
      <c r="H232">
        <v>0</v>
      </c>
      <c r="I232">
        <v>-41.67</v>
      </c>
      <c r="J232">
        <v>0</v>
      </c>
      <c r="K232">
        <v>10001688.140000001</v>
      </c>
      <c r="L232">
        <v>9978174.4800000004</v>
      </c>
      <c r="M232">
        <v>0</v>
      </c>
      <c r="N232">
        <v>9978174.4800000004</v>
      </c>
      <c r="O232">
        <v>0</v>
      </c>
      <c r="P232">
        <v>10001688.140000001</v>
      </c>
      <c r="Q232">
        <v>0</v>
      </c>
      <c r="R232" s="14">
        <f>_xlfn.XLOOKUP(Table2[[#This Row],[LoanID]],Table1[G-L ID],Table1[ManagerCode],-99)</f>
        <v>103</v>
      </c>
      <c r="T232"/>
    </row>
    <row r="233" spans="1:20" x14ac:dyDescent="0.25">
      <c r="A233">
        <v>20100531</v>
      </c>
      <c r="B233">
        <v>2010</v>
      </c>
      <c r="C233">
        <v>5</v>
      </c>
      <c r="D233">
        <v>1</v>
      </c>
      <c r="E233">
        <v>12060</v>
      </c>
      <c r="F233">
        <v>60875</v>
      </c>
      <c r="G233">
        <v>0</v>
      </c>
      <c r="H233">
        <v>0</v>
      </c>
      <c r="I233">
        <v>-62.5</v>
      </c>
      <c r="J233">
        <v>0</v>
      </c>
      <c r="K233">
        <v>15003827</v>
      </c>
      <c r="L233">
        <v>15005716.810000001</v>
      </c>
      <c r="M233">
        <v>0</v>
      </c>
      <c r="N233">
        <v>15005716.810000001</v>
      </c>
      <c r="O233">
        <v>0</v>
      </c>
      <c r="P233">
        <v>15003827</v>
      </c>
      <c r="Q233">
        <v>0</v>
      </c>
      <c r="R233" s="14">
        <f>_xlfn.XLOOKUP(Table2[[#This Row],[LoanID]],Table1[G-L ID],Table1[ManagerCode],-99)</f>
        <v>103</v>
      </c>
      <c r="T233"/>
    </row>
    <row r="234" spans="1:20" x14ac:dyDescent="0.25">
      <c r="A234">
        <v>20100531</v>
      </c>
      <c r="B234">
        <v>2010</v>
      </c>
      <c r="C234">
        <v>5</v>
      </c>
      <c r="D234">
        <v>1</v>
      </c>
      <c r="E234">
        <v>12070</v>
      </c>
      <c r="F234">
        <v>63375</v>
      </c>
      <c r="G234">
        <v>0</v>
      </c>
      <c r="H234">
        <v>0</v>
      </c>
      <c r="I234">
        <v>-62.5</v>
      </c>
      <c r="J234">
        <v>0</v>
      </c>
      <c r="K234">
        <v>15002532.210000001</v>
      </c>
      <c r="L234">
        <v>14967261.73</v>
      </c>
      <c r="M234">
        <v>0</v>
      </c>
      <c r="N234">
        <v>14967261.73</v>
      </c>
      <c r="O234">
        <v>0</v>
      </c>
      <c r="P234">
        <v>15002532.210000001</v>
      </c>
      <c r="Q234">
        <v>0</v>
      </c>
      <c r="R234" s="14">
        <f>_xlfn.XLOOKUP(Table2[[#This Row],[LoanID]],Table1[G-L ID],Table1[ManagerCode],-99)</f>
        <v>103</v>
      </c>
      <c r="T234"/>
    </row>
    <row r="235" spans="1:20" x14ac:dyDescent="0.25">
      <c r="A235">
        <v>20100531</v>
      </c>
      <c r="B235">
        <v>2010</v>
      </c>
      <c r="C235">
        <v>5</v>
      </c>
      <c r="D235">
        <v>1</v>
      </c>
      <c r="E235">
        <v>12200</v>
      </c>
      <c r="F235">
        <v>92538.87</v>
      </c>
      <c r="G235">
        <v>0</v>
      </c>
      <c r="H235">
        <v>0</v>
      </c>
      <c r="I235">
        <v>0</v>
      </c>
      <c r="J235">
        <v>0</v>
      </c>
      <c r="K235">
        <v>29670.69</v>
      </c>
      <c r="L235">
        <v>21048687.57</v>
      </c>
      <c r="M235">
        <v>21429484.84</v>
      </c>
      <c r="N235">
        <v>21048687.57</v>
      </c>
      <c r="O235">
        <v>21429484.84</v>
      </c>
      <c r="P235">
        <v>20134894.59</v>
      </c>
      <c r="Q235">
        <v>20105559.960000001</v>
      </c>
      <c r="R235" s="14">
        <f>_xlfn.XLOOKUP(Table2[[#This Row],[LoanID]],Table1[G-L ID],Table1[ManagerCode],-99)</f>
        <v>103</v>
      </c>
      <c r="T235"/>
    </row>
    <row r="236" spans="1:20" x14ac:dyDescent="0.25">
      <c r="A236">
        <v>20100531</v>
      </c>
      <c r="B236">
        <v>2010</v>
      </c>
      <c r="C236">
        <v>5</v>
      </c>
      <c r="D236">
        <v>1</v>
      </c>
      <c r="E236">
        <v>12210</v>
      </c>
      <c r="F236">
        <v>742057.21</v>
      </c>
      <c r="G236">
        <v>0</v>
      </c>
      <c r="H236">
        <v>0</v>
      </c>
      <c r="I236">
        <v>0</v>
      </c>
      <c r="J236">
        <v>0</v>
      </c>
      <c r="K236">
        <v>163840.79</v>
      </c>
      <c r="L236">
        <v>132307229.09999999</v>
      </c>
      <c r="M236">
        <v>138101155.19999999</v>
      </c>
      <c r="N236">
        <v>132307229.09999999</v>
      </c>
      <c r="O236">
        <v>138101155.19999999</v>
      </c>
      <c r="P236">
        <v>120066054</v>
      </c>
      <c r="Q236">
        <v>119902213.2</v>
      </c>
      <c r="R236" s="14">
        <f>_xlfn.XLOOKUP(Table2[[#This Row],[LoanID]],Table1[G-L ID],Table1[ManagerCode],-99)</f>
        <v>103</v>
      </c>
      <c r="T236"/>
    </row>
    <row r="237" spans="1:20" x14ac:dyDescent="0.25">
      <c r="A237">
        <v>20100630</v>
      </c>
      <c r="B237">
        <v>2010</v>
      </c>
      <c r="C237">
        <v>6</v>
      </c>
      <c r="D237">
        <v>1</v>
      </c>
      <c r="E237">
        <v>10050</v>
      </c>
      <c r="F237">
        <v>153981.01999999999</v>
      </c>
      <c r="G237">
        <v>0</v>
      </c>
      <c r="H237">
        <v>0</v>
      </c>
      <c r="I237">
        <v>-69.44</v>
      </c>
      <c r="J237">
        <v>0</v>
      </c>
      <c r="K237">
        <v>0</v>
      </c>
      <c r="L237">
        <v>22206691.870000001</v>
      </c>
      <c r="M237">
        <v>22905390.100000001</v>
      </c>
      <c r="N237">
        <v>22206691.870000001</v>
      </c>
      <c r="O237">
        <v>22905390.100000001</v>
      </c>
      <c r="P237">
        <v>33333334</v>
      </c>
      <c r="Q237">
        <v>33333334</v>
      </c>
      <c r="R237" s="14">
        <f>_xlfn.XLOOKUP(Table2[[#This Row],[LoanID]],Table1[G-L ID],Table1[ManagerCode],-99)</f>
        <v>103</v>
      </c>
      <c r="T237"/>
    </row>
    <row r="238" spans="1:20" x14ac:dyDescent="0.25">
      <c r="A238">
        <v>20100630</v>
      </c>
      <c r="B238">
        <v>2010</v>
      </c>
      <c r="C238">
        <v>6</v>
      </c>
      <c r="D238">
        <v>1</v>
      </c>
      <c r="E238">
        <v>10080</v>
      </c>
      <c r="F238">
        <v>351042.71</v>
      </c>
      <c r="G238">
        <v>0</v>
      </c>
      <c r="H238">
        <v>0</v>
      </c>
      <c r="I238">
        <v>-161.46</v>
      </c>
      <c r="J238">
        <v>0</v>
      </c>
      <c r="K238">
        <v>0</v>
      </c>
      <c r="L238">
        <v>76831152.099999994</v>
      </c>
      <c r="M238">
        <v>78738689.060000002</v>
      </c>
      <c r="N238">
        <v>76831152.099999994</v>
      </c>
      <c r="O238">
        <v>78738689.060000002</v>
      </c>
      <c r="P238">
        <v>75000000</v>
      </c>
      <c r="Q238">
        <v>75000000</v>
      </c>
      <c r="R238" s="14">
        <f>_xlfn.XLOOKUP(Table2[[#This Row],[LoanID]],Table1[G-L ID],Table1[ManagerCode],-99)</f>
        <v>103</v>
      </c>
      <c r="T238"/>
    </row>
    <row r="239" spans="1:20" x14ac:dyDescent="0.25">
      <c r="A239">
        <v>20100630</v>
      </c>
      <c r="B239">
        <v>2010</v>
      </c>
      <c r="C239">
        <v>6</v>
      </c>
      <c r="D239">
        <v>1</v>
      </c>
      <c r="E239">
        <v>10130</v>
      </c>
      <c r="F239">
        <v>38328.379999999997</v>
      </c>
      <c r="G239">
        <v>0</v>
      </c>
      <c r="H239">
        <v>0</v>
      </c>
      <c r="I239">
        <v>0</v>
      </c>
      <c r="J239">
        <v>0</v>
      </c>
      <c r="K239">
        <v>29362.31</v>
      </c>
      <c r="L239">
        <v>8803497.5399999991</v>
      </c>
      <c r="M239">
        <v>8930011.8200000003</v>
      </c>
      <c r="N239">
        <v>8803497.5399999991</v>
      </c>
      <c r="O239">
        <v>8930011.8200000003</v>
      </c>
      <c r="P239">
        <v>8470360.1300000008</v>
      </c>
      <c r="Q239">
        <v>8440997.8200000003</v>
      </c>
      <c r="R239" s="14">
        <f>_xlfn.XLOOKUP(Table2[[#This Row],[LoanID]],Table1[G-L ID],Table1[ManagerCode],-99)</f>
        <v>103</v>
      </c>
      <c r="T239"/>
    </row>
    <row r="240" spans="1:20" x14ac:dyDescent="0.25">
      <c r="A240">
        <v>20100630</v>
      </c>
      <c r="B240">
        <v>2010</v>
      </c>
      <c r="C240">
        <v>6</v>
      </c>
      <c r="D240">
        <v>1</v>
      </c>
      <c r="E240">
        <v>10140</v>
      </c>
      <c r="F240">
        <v>101036.61</v>
      </c>
      <c r="G240">
        <v>0</v>
      </c>
      <c r="H240">
        <v>0</v>
      </c>
      <c r="I240">
        <v>0</v>
      </c>
      <c r="J240">
        <v>0</v>
      </c>
      <c r="K240">
        <v>76787.72</v>
      </c>
      <c r="L240">
        <v>23207256.600000001</v>
      </c>
      <c r="M240">
        <v>23541642.960000001</v>
      </c>
      <c r="N240">
        <v>23207256.600000001</v>
      </c>
      <c r="O240">
        <v>23541642.960000001</v>
      </c>
      <c r="P240">
        <v>22328533.640000001</v>
      </c>
      <c r="Q240">
        <v>22251745.920000002</v>
      </c>
      <c r="R240" s="14">
        <f>_xlfn.XLOOKUP(Table2[[#This Row],[LoanID]],Table1[G-L ID],Table1[ManagerCode],-99)</f>
        <v>103</v>
      </c>
      <c r="T240"/>
    </row>
    <row r="241" spans="1:20" x14ac:dyDescent="0.25">
      <c r="A241">
        <v>20100630</v>
      </c>
      <c r="B241">
        <v>2010</v>
      </c>
      <c r="C241">
        <v>6</v>
      </c>
      <c r="D241">
        <v>1</v>
      </c>
      <c r="E241">
        <v>10150</v>
      </c>
      <c r="F241">
        <v>247692.73</v>
      </c>
      <c r="G241">
        <v>0</v>
      </c>
      <c r="H241">
        <v>0</v>
      </c>
      <c r="I241">
        <v>0</v>
      </c>
      <c r="J241">
        <v>0</v>
      </c>
      <c r="K241">
        <v>65627.27</v>
      </c>
      <c r="L241">
        <v>51936130.630000003</v>
      </c>
      <c r="M241">
        <v>52139741.5</v>
      </c>
      <c r="N241">
        <v>51936130.630000003</v>
      </c>
      <c r="O241">
        <v>52139741.5</v>
      </c>
      <c r="P241">
        <v>53646691.219999999</v>
      </c>
      <c r="Q241">
        <v>53584687.539999999</v>
      </c>
      <c r="R241" s="14">
        <f>_xlfn.XLOOKUP(Table2[[#This Row],[LoanID]],Table1[G-L ID],Table1[ManagerCode],-99)</f>
        <v>103</v>
      </c>
      <c r="T241"/>
    </row>
    <row r="242" spans="1:20" x14ac:dyDescent="0.25">
      <c r="A242">
        <v>20100630</v>
      </c>
      <c r="B242">
        <v>2010</v>
      </c>
      <c r="C242">
        <v>6</v>
      </c>
      <c r="D242">
        <v>1</v>
      </c>
      <c r="E242">
        <v>10170</v>
      </c>
      <c r="F242">
        <v>255486.24</v>
      </c>
      <c r="G242">
        <v>0</v>
      </c>
      <c r="H242">
        <v>0</v>
      </c>
      <c r="I242">
        <v>-1224.3800000000001</v>
      </c>
      <c r="J242">
        <v>0</v>
      </c>
      <c r="K242">
        <v>61248.54</v>
      </c>
      <c r="L242">
        <v>50053064.520000003</v>
      </c>
      <c r="M242">
        <v>50932210.200000003</v>
      </c>
      <c r="N242">
        <v>50053064.520000003</v>
      </c>
      <c r="O242">
        <v>50932210.200000003</v>
      </c>
      <c r="P242">
        <v>47395159.539999999</v>
      </c>
      <c r="Q242">
        <v>47333911</v>
      </c>
      <c r="R242" s="14">
        <f>_xlfn.XLOOKUP(Table2[[#This Row],[LoanID]],Table1[G-L ID],Table1[ManagerCode],-99)</f>
        <v>103</v>
      </c>
      <c r="T242"/>
    </row>
    <row r="243" spans="1:20" x14ac:dyDescent="0.25">
      <c r="A243">
        <v>20100630</v>
      </c>
      <c r="B243">
        <v>2010</v>
      </c>
      <c r="C243">
        <v>6</v>
      </c>
      <c r="D243">
        <v>1</v>
      </c>
      <c r="E243">
        <v>10230</v>
      </c>
      <c r="F243">
        <v>188346.97</v>
      </c>
      <c r="G243">
        <v>0</v>
      </c>
      <c r="H243">
        <v>0</v>
      </c>
      <c r="I243">
        <v>0</v>
      </c>
      <c r="J243">
        <v>0</v>
      </c>
      <c r="K243">
        <v>53251.1</v>
      </c>
      <c r="L243">
        <v>23312850.210000001</v>
      </c>
      <c r="M243">
        <v>23678058.890000001</v>
      </c>
      <c r="N243">
        <v>23312850.210000001</v>
      </c>
      <c r="O243">
        <v>23678058.890000001</v>
      </c>
      <c r="P243">
        <v>33533585.010000002</v>
      </c>
      <c r="Q243">
        <v>33480333.91</v>
      </c>
      <c r="R243" s="14">
        <f>_xlfn.XLOOKUP(Table2[[#This Row],[LoanID]],Table1[G-L ID],Table1[ManagerCode],-99)</f>
        <v>103</v>
      </c>
      <c r="T243"/>
    </row>
    <row r="244" spans="1:20" x14ac:dyDescent="0.25">
      <c r="A244">
        <v>20100630</v>
      </c>
      <c r="B244">
        <v>2010</v>
      </c>
      <c r="C244">
        <v>6</v>
      </c>
      <c r="D244">
        <v>1</v>
      </c>
      <c r="E244">
        <v>10280</v>
      </c>
      <c r="F244">
        <v>181412</v>
      </c>
      <c r="G244">
        <v>0</v>
      </c>
      <c r="H244">
        <v>0</v>
      </c>
      <c r="I244">
        <v>-845.84</v>
      </c>
      <c r="J244">
        <v>0</v>
      </c>
      <c r="K244">
        <v>0</v>
      </c>
      <c r="L244">
        <v>32534350.52</v>
      </c>
      <c r="M244">
        <v>32917892.84</v>
      </c>
      <c r="N244">
        <v>32534350.52</v>
      </c>
      <c r="O244">
        <v>32917892.84</v>
      </c>
      <c r="P244">
        <v>35000000</v>
      </c>
      <c r="Q244">
        <v>35000000</v>
      </c>
      <c r="R244" s="14">
        <f>_xlfn.XLOOKUP(Table2[[#This Row],[LoanID]],Table1[G-L ID],Table1[ManagerCode],-99)</f>
        <v>103</v>
      </c>
      <c r="T244"/>
    </row>
    <row r="245" spans="1:20" x14ac:dyDescent="0.25">
      <c r="A245">
        <v>20100630</v>
      </c>
      <c r="B245">
        <v>2010</v>
      </c>
      <c r="C245">
        <v>6</v>
      </c>
      <c r="D245">
        <v>1</v>
      </c>
      <c r="E245">
        <v>10290</v>
      </c>
      <c r="F245">
        <v>171300.83</v>
      </c>
      <c r="G245">
        <v>0</v>
      </c>
      <c r="H245">
        <v>0</v>
      </c>
      <c r="I245">
        <v>-604.16999999999996</v>
      </c>
      <c r="J245">
        <v>0</v>
      </c>
      <c r="K245">
        <v>0</v>
      </c>
      <c r="L245">
        <v>24980260.57</v>
      </c>
      <c r="M245">
        <v>25235267.16</v>
      </c>
      <c r="N245">
        <v>24980260.57</v>
      </c>
      <c r="O245">
        <v>25235267.16</v>
      </c>
      <c r="P245">
        <v>25000000</v>
      </c>
      <c r="Q245">
        <v>25000000</v>
      </c>
      <c r="R245" s="14">
        <f>_xlfn.XLOOKUP(Table2[[#This Row],[LoanID]],Table1[G-L ID],Table1[ManagerCode],-99)</f>
        <v>103</v>
      </c>
      <c r="T245"/>
    </row>
    <row r="246" spans="1:20" x14ac:dyDescent="0.25">
      <c r="A246">
        <v>20100630</v>
      </c>
      <c r="B246">
        <v>2010</v>
      </c>
      <c r="C246">
        <v>6</v>
      </c>
      <c r="D246">
        <v>1</v>
      </c>
      <c r="E246">
        <v>10370</v>
      </c>
      <c r="F246">
        <v>12603.07</v>
      </c>
      <c r="G246">
        <v>0</v>
      </c>
      <c r="H246">
        <v>0</v>
      </c>
      <c r="I246">
        <v>0</v>
      </c>
      <c r="J246">
        <v>0</v>
      </c>
      <c r="K246">
        <v>65540.960000000006</v>
      </c>
      <c r="L246">
        <v>2688372.11</v>
      </c>
      <c r="M246">
        <v>2667487.83</v>
      </c>
      <c r="N246">
        <v>2688372.11</v>
      </c>
      <c r="O246">
        <v>2667487.83</v>
      </c>
      <c r="P246">
        <v>3610231.77</v>
      </c>
      <c r="Q246">
        <v>3544690.81</v>
      </c>
      <c r="R246" s="14">
        <f>_xlfn.XLOOKUP(Table2[[#This Row],[LoanID]],Table1[G-L ID],Table1[ManagerCode],-99)</f>
        <v>103</v>
      </c>
      <c r="T246"/>
    </row>
    <row r="247" spans="1:20" x14ac:dyDescent="0.25">
      <c r="A247">
        <v>20100630</v>
      </c>
      <c r="B247">
        <v>2010</v>
      </c>
      <c r="C247">
        <v>6</v>
      </c>
      <c r="D247">
        <v>1</v>
      </c>
      <c r="E247">
        <v>10380</v>
      </c>
      <c r="F247">
        <v>58884.11</v>
      </c>
      <c r="G247">
        <v>0</v>
      </c>
      <c r="H247">
        <v>0</v>
      </c>
      <c r="I247">
        <v>-90.99</v>
      </c>
      <c r="J247">
        <v>0</v>
      </c>
      <c r="K247">
        <v>656.78</v>
      </c>
      <c r="L247">
        <v>10556262.699999999</v>
      </c>
      <c r="M247">
        <v>11090540.109999999</v>
      </c>
      <c r="N247">
        <v>10556262.699999999</v>
      </c>
      <c r="O247">
        <v>11090540.109999999</v>
      </c>
      <c r="P247">
        <v>11106567.75</v>
      </c>
      <c r="Q247">
        <v>11105910.970000001</v>
      </c>
      <c r="R247" s="14">
        <f>_xlfn.XLOOKUP(Table2[[#This Row],[LoanID]],Table1[G-L ID],Table1[ManagerCode],-99)</f>
        <v>103</v>
      </c>
      <c r="T247"/>
    </row>
    <row r="248" spans="1:20" x14ac:dyDescent="0.25">
      <c r="A248">
        <v>20100630</v>
      </c>
      <c r="B248">
        <v>2010</v>
      </c>
      <c r="C248">
        <v>6</v>
      </c>
      <c r="D248">
        <v>1</v>
      </c>
      <c r="E248">
        <v>10390</v>
      </c>
      <c r="F248">
        <v>118750</v>
      </c>
      <c r="G248">
        <v>0</v>
      </c>
      <c r="H248">
        <v>0</v>
      </c>
      <c r="I248">
        <v>0</v>
      </c>
      <c r="J248">
        <v>0</v>
      </c>
      <c r="K248">
        <v>0</v>
      </c>
      <c r="L248">
        <v>23145250.469999999</v>
      </c>
      <c r="M248">
        <v>23399359.600000001</v>
      </c>
      <c r="N248">
        <v>23145250.469999999</v>
      </c>
      <c r="O248">
        <v>23399359.600000001</v>
      </c>
      <c r="P248">
        <v>24990408.079999998</v>
      </c>
      <c r="Q248">
        <v>24990612.16</v>
      </c>
      <c r="R248" s="14">
        <f>_xlfn.XLOOKUP(Table2[[#This Row],[LoanID]],Table1[G-L ID],Table1[ManagerCode],-99)</f>
        <v>103</v>
      </c>
      <c r="T248"/>
    </row>
    <row r="249" spans="1:20" x14ac:dyDescent="0.25">
      <c r="A249">
        <v>20100630</v>
      </c>
      <c r="B249">
        <v>2010</v>
      </c>
      <c r="C249">
        <v>6</v>
      </c>
      <c r="D249">
        <v>1</v>
      </c>
      <c r="E249">
        <v>10450</v>
      </c>
      <c r="F249">
        <v>121441.38</v>
      </c>
      <c r="G249">
        <v>0</v>
      </c>
      <c r="H249">
        <v>0</v>
      </c>
      <c r="I249">
        <v>0</v>
      </c>
      <c r="J249">
        <v>0</v>
      </c>
      <c r="K249">
        <v>20373.87</v>
      </c>
      <c r="L249">
        <v>21121498.710000001</v>
      </c>
      <c r="M249">
        <v>21276057.07</v>
      </c>
      <c r="N249">
        <v>21121498.710000001</v>
      </c>
      <c r="O249">
        <v>21276057.07</v>
      </c>
      <c r="P249">
        <v>21712168.379999999</v>
      </c>
      <c r="Q249">
        <v>21693336.27</v>
      </c>
      <c r="R249" s="14">
        <f>_xlfn.XLOOKUP(Table2[[#This Row],[LoanID]],Table1[G-L ID],Table1[ManagerCode],-99)</f>
        <v>103</v>
      </c>
      <c r="T249"/>
    </row>
    <row r="250" spans="1:20" x14ac:dyDescent="0.25">
      <c r="A250">
        <v>20100630</v>
      </c>
      <c r="B250">
        <v>2010</v>
      </c>
      <c r="C250">
        <v>6</v>
      </c>
      <c r="D250">
        <v>1</v>
      </c>
      <c r="E250">
        <v>10520</v>
      </c>
      <c r="F250">
        <v>5325.34</v>
      </c>
      <c r="G250">
        <v>0</v>
      </c>
      <c r="H250">
        <v>0</v>
      </c>
      <c r="I250">
        <v>-12.53</v>
      </c>
      <c r="J250">
        <v>0</v>
      </c>
      <c r="K250">
        <v>0</v>
      </c>
      <c r="L250">
        <v>4113118.96</v>
      </c>
      <c r="M250">
        <v>4128954.77</v>
      </c>
      <c r="N250">
        <v>4113118.96</v>
      </c>
      <c r="O250">
        <v>4128954.77</v>
      </c>
      <c r="P250">
        <v>4158887.64</v>
      </c>
      <c r="Q250">
        <v>4158887.64</v>
      </c>
      <c r="R250" s="14">
        <f>_xlfn.XLOOKUP(Table2[[#This Row],[LoanID]],Table1[G-L ID],Table1[ManagerCode],-99)</f>
        <v>103</v>
      </c>
      <c r="T250"/>
    </row>
    <row r="251" spans="1:20" x14ac:dyDescent="0.25">
      <c r="A251">
        <v>20100630</v>
      </c>
      <c r="B251">
        <v>2010</v>
      </c>
      <c r="C251">
        <v>6</v>
      </c>
      <c r="D251">
        <v>1</v>
      </c>
      <c r="E251">
        <v>10530</v>
      </c>
      <c r="F251">
        <v>115382.37</v>
      </c>
      <c r="G251">
        <v>0</v>
      </c>
      <c r="H251">
        <v>0</v>
      </c>
      <c r="I251">
        <v>-271.58</v>
      </c>
      <c r="J251">
        <v>0</v>
      </c>
      <c r="K251">
        <v>0</v>
      </c>
      <c r="L251">
        <v>89117488.310000002</v>
      </c>
      <c r="M251">
        <v>89460596.900000006</v>
      </c>
      <c r="N251">
        <v>89117488.310000002</v>
      </c>
      <c r="O251">
        <v>89460596.900000006</v>
      </c>
      <c r="P251">
        <v>90109231.989999995</v>
      </c>
      <c r="Q251">
        <v>90109231.989999995</v>
      </c>
      <c r="R251" s="14">
        <f>_xlfn.XLOOKUP(Table2[[#This Row],[LoanID]],Table1[G-L ID],Table1[ManagerCode],-99)</f>
        <v>103</v>
      </c>
      <c r="T251"/>
    </row>
    <row r="252" spans="1:20" x14ac:dyDescent="0.25">
      <c r="A252">
        <v>20100630</v>
      </c>
      <c r="B252">
        <v>2010</v>
      </c>
      <c r="C252">
        <v>6</v>
      </c>
      <c r="D252">
        <v>1</v>
      </c>
      <c r="E252">
        <v>10540</v>
      </c>
      <c r="F252">
        <v>15976.02</v>
      </c>
      <c r="G252">
        <v>0</v>
      </c>
      <c r="H252">
        <v>0</v>
      </c>
      <c r="I252">
        <v>-37.6</v>
      </c>
      <c r="J252">
        <v>0</v>
      </c>
      <c r="K252">
        <v>0</v>
      </c>
      <c r="L252">
        <v>12339356.880000001</v>
      </c>
      <c r="M252">
        <v>12386864.279999999</v>
      </c>
      <c r="N252">
        <v>12339356.880000001</v>
      </c>
      <c r="O252">
        <v>12386864.279999999</v>
      </c>
      <c r="P252">
        <v>12476662.9</v>
      </c>
      <c r="Q252">
        <v>12476662.9</v>
      </c>
      <c r="R252" s="14">
        <f>_xlfn.XLOOKUP(Table2[[#This Row],[LoanID]],Table1[G-L ID],Table1[ManagerCode],-99)</f>
        <v>103</v>
      </c>
      <c r="T252"/>
    </row>
    <row r="253" spans="1:20" x14ac:dyDescent="0.25">
      <c r="A253">
        <v>20100630</v>
      </c>
      <c r="B253">
        <v>2010</v>
      </c>
      <c r="C253">
        <v>6</v>
      </c>
      <c r="D253">
        <v>1</v>
      </c>
      <c r="E253">
        <v>10630</v>
      </c>
      <c r="F253">
        <v>50284.67</v>
      </c>
      <c r="G253">
        <v>0</v>
      </c>
      <c r="H253">
        <v>0</v>
      </c>
      <c r="I253">
        <v>0</v>
      </c>
      <c r="J253">
        <v>0</v>
      </c>
      <c r="K253">
        <v>12331.41</v>
      </c>
      <c r="L253">
        <v>9014477.0099999998</v>
      </c>
      <c r="M253">
        <v>9083974.2100000009</v>
      </c>
      <c r="N253">
        <v>9014477.0099999998</v>
      </c>
      <c r="O253">
        <v>9083974.2100000009</v>
      </c>
      <c r="P253">
        <v>9413667.1500000004</v>
      </c>
      <c r="Q253">
        <v>9401335.7400000002</v>
      </c>
      <c r="R253" s="14">
        <f>_xlfn.XLOOKUP(Table2[[#This Row],[LoanID]],Table1[G-L ID],Table1[ManagerCode],-99)</f>
        <v>103</v>
      </c>
      <c r="T253"/>
    </row>
    <row r="254" spans="1:20" x14ac:dyDescent="0.25">
      <c r="A254">
        <v>20100630</v>
      </c>
      <c r="B254">
        <v>2010</v>
      </c>
      <c r="C254">
        <v>6</v>
      </c>
      <c r="D254">
        <v>1</v>
      </c>
      <c r="E254">
        <v>10770</v>
      </c>
      <c r="F254">
        <v>176269.44</v>
      </c>
      <c r="G254">
        <v>0</v>
      </c>
      <c r="H254">
        <v>0</v>
      </c>
      <c r="I254">
        <v>-0.01</v>
      </c>
      <c r="J254">
        <v>0</v>
      </c>
      <c r="K254">
        <v>0</v>
      </c>
      <c r="L254">
        <v>99459614</v>
      </c>
      <c r="M254">
        <v>101058378.2</v>
      </c>
      <c r="N254">
        <v>99459614</v>
      </c>
      <c r="O254">
        <v>101058378.2</v>
      </c>
      <c r="P254">
        <v>115000000</v>
      </c>
      <c r="Q254">
        <v>115000000</v>
      </c>
      <c r="R254" s="14">
        <f>_xlfn.XLOOKUP(Table2[[#This Row],[LoanID]],Table1[G-L ID],Table1[ManagerCode],-99)</f>
        <v>103</v>
      </c>
      <c r="T254"/>
    </row>
    <row r="255" spans="1:20" x14ac:dyDescent="0.25">
      <c r="A255">
        <v>20100630</v>
      </c>
      <c r="B255">
        <v>2010</v>
      </c>
      <c r="C255">
        <v>6</v>
      </c>
      <c r="D255">
        <v>1</v>
      </c>
      <c r="E255">
        <v>10870</v>
      </c>
      <c r="F255">
        <v>320458.67</v>
      </c>
      <c r="G255">
        <v>0</v>
      </c>
      <c r="H255">
        <v>0</v>
      </c>
      <c r="I255">
        <v>0</v>
      </c>
      <c r="J255">
        <v>0</v>
      </c>
      <c r="K255">
        <v>170903.15</v>
      </c>
      <c r="L255">
        <v>186501028.09999999</v>
      </c>
      <c r="M255">
        <v>188077199.80000001</v>
      </c>
      <c r="N255">
        <v>186501028.09999999</v>
      </c>
      <c r="O255">
        <v>188077199.80000001</v>
      </c>
      <c r="P255">
        <v>201969754.09999999</v>
      </c>
      <c r="Q255">
        <v>201798851</v>
      </c>
      <c r="R255" s="14">
        <f>_xlfn.XLOOKUP(Table2[[#This Row],[LoanID]],Table1[G-L ID],Table1[ManagerCode],-99)</f>
        <v>103</v>
      </c>
      <c r="T255"/>
    </row>
    <row r="256" spans="1:20" x14ac:dyDescent="0.25">
      <c r="A256">
        <v>20100630</v>
      </c>
      <c r="B256">
        <v>2010</v>
      </c>
      <c r="C256">
        <v>6</v>
      </c>
      <c r="D256">
        <v>1</v>
      </c>
      <c r="E256">
        <v>10950</v>
      </c>
      <c r="F256">
        <v>55463.22</v>
      </c>
      <c r="G256">
        <v>0</v>
      </c>
      <c r="H256">
        <v>0</v>
      </c>
      <c r="I256">
        <v>0</v>
      </c>
      <c r="J256">
        <v>0</v>
      </c>
      <c r="K256">
        <v>21559.8</v>
      </c>
      <c r="L256">
        <v>8584273.6500000004</v>
      </c>
      <c r="M256">
        <v>8676344.9700000007</v>
      </c>
      <c r="N256">
        <v>8584273.6500000004</v>
      </c>
      <c r="O256">
        <v>8676344.9700000007</v>
      </c>
      <c r="P256">
        <v>11167091.68</v>
      </c>
      <c r="Q256">
        <v>11145531.880000001</v>
      </c>
      <c r="R256" s="14">
        <f>_xlfn.XLOOKUP(Table2[[#This Row],[LoanID]],Table1[G-L ID],Table1[ManagerCode],-99)</f>
        <v>103</v>
      </c>
      <c r="T256"/>
    </row>
    <row r="257" spans="1:20" x14ac:dyDescent="0.25">
      <c r="A257">
        <v>20100630</v>
      </c>
      <c r="B257">
        <v>2010</v>
      </c>
      <c r="C257">
        <v>6</v>
      </c>
      <c r="D257">
        <v>1</v>
      </c>
      <c r="E257">
        <v>11180</v>
      </c>
      <c r="F257">
        <v>223511.85</v>
      </c>
      <c r="G257">
        <v>0</v>
      </c>
      <c r="H257">
        <v>0</v>
      </c>
      <c r="I257">
        <v>0</v>
      </c>
      <c r="J257">
        <v>0</v>
      </c>
      <c r="K257">
        <v>0</v>
      </c>
      <c r="L257">
        <v>196262554.59999999</v>
      </c>
      <c r="M257">
        <v>197892955.40000001</v>
      </c>
      <c r="N257">
        <v>196262554.59999999</v>
      </c>
      <c r="O257">
        <v>197892955.40000001</v>
      </c>
      <c r="P257">
        <v>199970831.5</v>
      </c>
      <c r="Q257">
        <v>199970831.5</v>
      </c>
      <c r="R257" s="14">
        <f>_xlfn.XLOOKUP(Table2[[#This Row],[LoanID]],Table1[G-L ID],Table1[ManagerCode],-99)</f>
        <v>103</v>
      </c>
      <c r="T257"/>
    </row>
    <row r="258" spans="1:20" x14ac:dyDescent="0.25">
      <c r="A258">
        <v>20100630</v>
      </c>
      <c r="B258">
        <v>2010</v>
      </c>
      <c r="C258">
        <v>6</v>
      </c>
      <c r="D258">
        <v>1</v>
      </c>
      <c r="E258">
        <v>11200</v>
      </c>
      <c r="F258">
        <v>69880</v>
      </c>
      <c r="G258">
        <v>0</v>
      </c>
      <c r="H258">
        <v>0</v>
      </c>
      <c r="I258">
        <v>0</v>
      </c>
      <c r="J258">
        <v>0</v>
      </c>
      <c r="K258">
        <v>0</v>
      </c>
      <c r="L258">
        <v>13615148.51</v>
      </c>
      <c r="M258">
        <v>13684810.029999999</v>
      </c>
      <c r="N258">
        <v>13615148.51</v>
      </c>
      <c r="O258">
        <v>13684810.029999999</v>
      </c>
      <c r="P258">
        <v>13976000</v>
      </c>
      <c r="Q258">
        <v>13976000</v>
      </c>
      <c r="R258" s="14">
        <f>_xlfn.XLOOKUP(Table2[[#This Row],[LoanID]],Table1[G-L ID],Table1[ManagerCode],-99)</f>
        <v>103</v>
      </c>
      <c r="T258"/>
    </row>
    <row r="259" spans="1:20" x14ac:dyDescent="0.25">
      <c r="A259">
        <v>20100630</v>
      </c>
      <c r="B259">
        <v>2010</v>
      </c>
      <c r="C259">
        <v>6</v>
      </c>
      <c r="D259">
        <v>1</v>
      </c>
      <c r="E259">
        <v>11240</v>
      </c>
      <c r="F259">
        <v>269744.7</v>
      </c>
      <c r="G259">
        <v>0</v>
      </c>
      <c r="H259">
        <v>0</v>
      </c>
      <c r="I259">
        <v>0</v>
      </c>
      <c r="J259">
        <v>0</v>
      </c>
      <c r="K259">
        <v>0</v>
      </c>
      <c r="L259">
        <v>186854167.69999999</v>
      </c>
      <c r="M259">
        <v>176559882.90000001</v>
      </c>
      <c r="N259">
        <v>186854167.69999999</v>
      </c>
      <c r="O259">
        <v>176559882.90000001</v>
      </c>
      <c r="P259">
        <v>194929626.59999999</v>
      </c>
      <c r="Q259">
        <v>194929626.59999999</v>
      </c>
      <c r="R259" s="14">
        <f>_xlfn.XLOOKUP(Table2[[#This Row],[LoanID]],Table1[G-L ID],Table1[ManagerCode],-99)</f>
        <v>103</v>
      </c>
      <c r="T259"/>
    </row>
    <row r="260" spans="1:20" x14ac:dyDescent="0.25">
      <c r="A260">
        <v>20100630</v>
      </c>
      <c r="B260">
        <v>2010</v>
      </c>
      <c r="C260">
        <v>6</v>
      </c>
      <c r="D260">
        <v>1</v>
      </c>
      <c r="E260">
        <v>11260</v>
      </c>
      <c r="F260">
        <v>15407.78</v>
      </c>
      <c r="G260">
        <v>0</v>
      </c>
      <c r="H260">
        <v>0</v>
      </c>
      <c r="I260">
        <v>-93.96</v>
      </c>
      <c r="J260">
        <v>0</v>
      </c>
      <c r="K260">
        <v>0</v>
      </c>
      <c r="L260">
        <v>10119320.699999999</v>
      </c>
      <c r="M260">
        <v>10211470.48</v>
      </c>
      <c r="N260">
        <v>10119320.699999999</v>
      </c>
      <c r="O260">
        <v>10211470.48</v>
      </c>
      <c r="P260">
        <v>11274673.789999999</v>
      </c>
      <c r="Q260">
        <v>11274673.789999999</v>
      </c>
      <c r="R260" s="14">
        <f>_xlfn.XLOOKUP(Table2[[#This Row],[LoanID]],Table1[G-L ID],Table1[ManagerCode],-99)</f>
        <v>103</v>
      </c>
      <c r="T260"/>
    </row>
    <row r="261" spans="1:20" x14ac:dyDescent="0.25">
      <c r="A261">
        <v>20100630</v>
      </c>
      <c r="B261">
        <v>2010</v>
      </c>
      <c r="C261">
        <v>6</v>
      </c>
      <c r="D261">
        <v>1</v>
      </c>
      <c r="E261">
        <v>11270</v>
      </c>
      <c r="F261">
        <v>25679.64</v>
      </c>
      <c r="G261">
        <v>0</v>
      </c>
      <c r="H261">
        <v>0</v>
      </c>
      <c r="I261">
        <v>-156.59</v>
      </c>
      <c r="J261">
        <v>0</v>
      </c>
      <c r="K261">
        <v>0</v>
      </c>
      <c r="L261">
        <v>16865534.629999999</v>
      </c>
      <c r="M261">
        <v>17019117.57</v>
      </c>
      <c r="N261">
        <v>16865534.629999999</v>
      </c>
      <c r="O261">
        <v>17019117.57</v>
      </c>
      <c r="P261">
        <v>18791123.030000001</v>
      </c>
      <c r="Q261">
        <v>18791123.030000001</v>
      </c>
      <c r="R261" s="14">
        <f>_xlfn.XLOOKUP(Table2[[#This Row],[LoanID]],Table1[G-L ID],Table1[ManagerCode],-99)</f>
        <v>103</v>
      </c>
      <c r="T261"/>
    </row>
    <row r="262" spans="1:20" x14ac:dyDescent="0.25">
      <c r="A262">
        <v>20100630</v>
      </c>
      <c r="B262">
        <v>2010</v>
      </c>
      <c r="C262">
        <v>6</v>
      </c>
      <c r="D262">
        <v>1</v>
      </c>
      <c r="E262">
        <v>11290</v>
      </c>
      <c r="F262">
        <v>23111.67</v>
      </c>
      <c r="G262">
        <v>0</v>
      </c>
      <c r="H262">
        <v>0</v>
      </c>
      <c r="I262">
        <v>-140.93</v>
      </c>
      <c r="J262">
        <v>0</v>
      </c>
      <c r="K262">
        <v>0</v>
      </c>
      <c r="L262">
        <v>15178981.1</v>
      </c>
      <c r="M262">
        <v>15317205.810000001</v>
      </c>
      <c r="N262">
        <v>15178981.1</v>
      </c>
      <c r="O262">
        <v>15317205.810000001</v>
      </c>
      <c r="P262">
        <v>16912010.73</v>
      </c>
      <c r="Q262">
        <v>16912010.73</v>
      </c>
      <c r="R262" s="14">
        <f>_xlfn.XLOOKUP(Table2[[#This Row],[LoanID]],Table1[G-L ID],Table1[ManagerCode],-99)</f>
        <v>103</v>
      </c>
      <c r="T262"/>
    </row>
    <row r="263" spans="1:20" x14ac:dyDescent="0.25">
      <c r="A263">
        <v>20100630</v>
      </c>
      <c r="B263">
        <v>2010</v>
      </c>
      <c r="C263">
        <v>6</v>
      </c>
      <c r="D263">
        <v>1</v>
      </c>
      <c r="E263">
        <v>11380</v>
      </c>
      <c r="F263">
        <v>40891.31</v>
      </c>
      <c r="G263">
        <v>0</v>
      </c>
      <c r="H263">
        <v>0</v>
      </c>
      <c r="I263">
        <v>0.01</v>
      </c>
      <c r="J263">
        <v>0</v>
      </c>
      <c r="K263">
        <v>49808.69</v>
      </c>
      <c r="L263">
        <v>6920436.5800000001</v>
      </c>
      <c r="M263">
        <v>6965359.5800000001</v>
      </c>
      <c r="N263">
        <v>6920436.5800000001</v>
      </c>
      <c r="O263">
        <v>6965359.5800000001</v>
      </c>
      <c r="P263">
        <v>6187839.6600000001</v>
      </c>
      <c r="Q263">
        <v>6138030.9699999997</v>
      </c>
      <c r="R263" s="14">
        <f>_xlfn.XLOOKUP(Table2[[#This Row],[LoanID]],Table1[G-L ID],Table1[ManagerCode],-99)</f>
        <v>103</v>
      </c>
      <c r="T263"/>
    </row>
    <row r="264" spans="1:20" x14ac:dyDescent="0.25">
      <c r="A264">
        <v>20100630</v>
      </c>
      <c r="B264">
        <v>2010</v>
      </c>
      <c r="C264">
        <v>6</v>
      </c>
      <c r="D264">
        <v>1</v>
      </c>
      <c r="E264">
        <v>11420</v>
      </c>
      <c r="F264">
        <v>514856.61</v>
      </c>
      <c r="G264">
        <v>0</v>
      </c>
      <c r="H264">
        <v>0</v>
      </c>
      <c r="I264">
        <v>0</v>
      </c>
      <c r="J264">
        <v>0</v>
      </c>
      <c r="K264">
        <v>0</v>
      </c>
      <c r="L264">
        <v>97352288.959999993</v>
      </c>
      <c r="M264">
        <v>97447581.430000007</v>
      </c>
      <c r="N264">
        <v>97352288.959999993</v>
      </c>
      <c r="O264">
        <v>97447581.430000007</v>
      </c>
      <c r="P264">
        <v>98000000</v>
      </c>
      <c r="Q264">
        <v>98000000</v>
      </c>
      <c r="R264" s="14">
        <f>_xlfn.XLOOKUP(Table2[[#This Row],[LoanID]],Table1[G-L ID],Table1[ManagerCode],-99)</f>
        <v>103</v>
      </c>
      <c r="T264"/>
    </row>
    <row r="265" spans="1:20" x14ac:dyDescent="0.25">
      <c r="A265">
        <v>20100630</v>
      </c>
      <c r="B265">
        <v>2010</v>
      </c>
      <c r="C265">
        <v>6</v>
      </c>
      <c r="D265">
        <v>1</v>
      </c>
      <c r="E265">
        <v>11510</v>
      </c>
      <c r="F265">
        <v>0</v>
      </c>
      <c r="G265">
        <v>0</v>
      </c>
      <c r="H265">
        <v>0</v>
      </c>
      <c r="I265">
        <v>0</v>
      </c>
      <c r="J265">
        <v>0</v>
      </c>
      <c r="K265">
        <v>0</v>
      </c>
      <c r="L265">
        <v>16054610</v>
      </c>
      <c r="M265">
        <v>14602872.720000001</v>
      </c>
      <c r="N265">
        <v>16054610</v>
      </c>
      <c r="O265">
        <v>14602872.720000001</v>
      </c>
      <c r="P265">
        <v>14602872.720000001</v>
      </c>
      <c r="Q265">
        <v>14602872.720000001</v>
      </c>
      <c r="R265" s="14">
        <f>_xlfn.XLOOKUP(Table2[[#This Row],[LoanID]],Table1[G-L ID],Table1[ManagerCode],-99)</f>
        <v>103</v>
      </c>
      <c r="T265"/>
    </row>
    <row r="266" spans="1:20" x14ac:dyDescent="0.25">
      <c r="A266">
        <v>20100630</v>
      </c>
      <c r="B266">
        <v>2010</v>
      </c>
      <c r="C266">
        <v>6</v>
      </c>
      <c r="D266">
        <v>1</v>
      </c>
      <c r="E266">
        <v>11780</v>
      </c>
      <c r="F266">
        <v>193108.62</v>
      </c>
      <c r="G266">
        <v>0</v>
      </c>
      <c r="H266">
        <v>0</v>
      </c>
      <c r="I266">
        <v>-1165.94</v>
      </c>
      <c r="J266">
        <v>0</v>
      </c>
      <c r="K266">
        <v>113004.89</v>
      </c>
      <c r="L266">
        <v>61038767.399999999</v>
      </c>
      <c r="M266">
        <v>61380294.420000002</v>
      </c>
      <c r="N266">
        <v>61038767.399999999</v>
      </c>
      <c r="O266">
        <v>61380294.420000002</v>
      </c>
      <c r="P266">
        <v>67699675.689999998</v>
      </c>
      <c r="Q266">
        <v>67586670.799999997</v>
      </c>
      <c r="R266" s="14">
        <f>_xlfn.XLOOKUP(Table2[[#This Row],[LoanID]],Table1[G-L ID],Table1[ManagerCode],-99)</f>
        <v>103</v>
      </c>
      <c r="T266"/>
    </row>
    <row r="267" spans="1:20" x14ac:dyDescent="0.25">
      <c r="A267">
        <v>20100630</v>
      </c>
      <c r="B267">
        <v>2010</v>
      </c>
      <c r="C267">
        <v>6</v>
      </c>
      <c r="D267">
        <v>1</v>
      </c>
      <c r="E267">
        <v>11800</v>
      </c>
      <c r="F267">
        <v>170084.37</v>
      </c>
      <c r="G267">
        <v>0</v>
      </c>
      <c r="H267">
        <v>0</v>
      </c>
      <c r="I267">
        <v>-286.19</v>
      </c>
      <c r="J267">
        <v>0</v>
      </c>
      <c r="K267">
        <v>51131.58</v>
      </c>
      <c r="L267">
        <v>20933721.390000001</v>
      </c>
      <c r="M267">
        <v>21290566.739999998</v>
      </c>
      <c r="N267">
        <v>20933721.390000001</v>
      </c>
      <c r="O267">
        <v>21290566.739999998</v>
      </c>
      <c r="P267">
        <v>33235291.510000002</v>
      </c>
      <c r="Q267">
        <v>33184159.93</v>
      </c>
      <c r="R267" s="14">
        <f>_xlfn.XLOOKUP(Table2[[#This Row],[LoanID]],Table1[G-L ID],Table1[ManagerCode],-99)</f>
        <v>103</v>
      </c>
      <c r="T267"/>
    </row>
    <row r="268" spans="1:20" x14ac:dyDescent="0.25">
      <c r="A268">
        <v>20100630</v>
      </c>
      <c r="B268">
        <v>2010</v>
      </c>
      <c r="C268">
        <v>6</v>
      </c>
      <c r="D268">
        <v>1</v>
      </c>
      <c r="E268">
        <v>11810</v>
      </c>
      <c r="F268">
        <v>51166.67</v>
      </c>
      <c r="G268">
        <v>0</v>
      </c>
      <c r="H268">
        <v>0</v>
      </c>
      <c r="I268">
        <v>0</v>
      </c>
      <c r="J268">
        <v>0</v>
      </c>
      <c r="K268">
        <v>0</v>
      </c>
      <c r="L268">
        <v>5966183.3799999999</v>
      </c>
      <c r="M268">
        <v>6097169.8600000003</v>
      </c>
      <c r="N268">
        <v>5966183.3799999999</v>
      </c>
      <c r="O268">
        <v>6097169.8600000003</v>
      </c>
      <c r="P268">
        <v>10000000</v>
      </c>
      <c r="Q268">
        <v>10000000</v>
      </c>
      <c r="R268" s="14">
        <f>_xlfn.XLOOKUP(Table2[[#This Row],[LoanID]],Table1[G-L ID],Table1[ManagerCode],-99)</f>
        <v>103</v>
      </c>
      <c r="T268"/>
    </row>
    <row r="269" spans="1:20" x14ac:dyDescent="0.25">
      <c r="A269">
        <v>20100630</v>
      </c>
      <c r="B269">
        <v>2010</v>
      </c>
      <c r="C269">
        <v>6</v>
      </c>
      <c r="D269">
        <v>1</v>
      </c>
      <c r="E269">
        <v>11860</v>
      </c>
      <c r="F269">
        <v>243177.78</v>
      </c>
      <c r="G269">
        <v>0</v>
      </c>
      <c r="H269">
        <v>0</v>
      </c>
      <c r="I269">
        <v>0</v>
      </c>
      <c r="J269">
        <v>0</v>
      </c>
      <c r="K269">
        <v>0</v>
      </c>
      <c r="L269">
        <v>48518543.140000001</v>
      </c>
      <c r="M269">
        <v>48808928</v>
      </c>
      <c r="N269">
        <v>48518543.140000001</v>
      </c>
      <c r="O269">
        <v>48808928</v>
      </c>
      <c r="P269">
        <v>49941259.079999998</v>
      </c>
      <c r="Q269">
        <v>49955944.310000002</v>
      </c>
      <c r="R269" s="14">
        <f>_xlfn.XLOOKUP(Table2[[#This Row],[LoanID]],Table1[G-L ID],Table1[ManagerCode],-99)</f>
        <v>103</v>
      </c>
      <c r="T269"/>
    </row>
    <row r="270" spans="1:20" x14ac:dyDescent="0.25">
      <c r="A270">
        <v>20100630</v>
      </c>
      <c r="B270">
        <v>2010</v>
      </c>
      <c r="C270">
        <v>6</v>
      </c>
      <c r="D270">
        <v>1</v>
      </c>
      <c r="E270">
        <v>11870</v>
      </c>
      <c r="F270">
        <v>121588.89</v>
      </c>
      <c r="G270">
        <v>0</v>
      </c>
      <c r="H270">
        <v>0</v>
      </c>
      <c r="I270">
        <v>0</v>
      </c>
      <c r="J270">
        <v>0</v>
      </c>
      <c r="K270">
        <v>0</v>
      </c>
      <c r="L270">
        <v>24259271.57</v>
      </c>
      <c r="M270">
        <v>24404464</v>
      </c>
      <c r="N270">
        <v>24259271.57</v>
      </c>
      <c r="O270">
        <v>24404464</v>
      </c>
      <c r="P270">
        <v>24967518.300000001</v>
      </c>
      <c r="Q270">
        <v>24975638.73</v>
      </c>
      <c r="R270" s="14">
        <f>_xlfn.XLOOKUP(Table2[[#This Row],[LoanID]],Table1[G-L ID],Table1[ManagerCode],-99)</f>
        <v>103</v>
      </c>
      <c r="T270"/>
    </row>
    <row r="271" spans="1:20" x14ac:dyDescent="0.25">
      <c r="A271">
        <v>20100630</v>
      </c>
      <c r="B271">
        <v>2010</v>
      </c>
      <c r="C271">
        <v>6</v>
      </c>
      <c r="D271">
        <v>1</v>
      </c>
      <c r="E271">
        <v>11900</v>
      </c>
      <c r="F271">
        <v>0</v>
      </c>
      <c r="G271">
        <v>0</v>
      </c>
      <c r="H271">
        <v>0</v>
      </c>
      <c r="I271">
        <v>0</v>
      </c>
      <c r="J271">
        <v>0</v>
      </c>
      <c r="K271">
        <v>0</v>
      </c>
      <c r="L271">
        <v>55000000</v>
      </c>
      <c r="M271">
        <v>55000000</v>
      </c>
      <c r="N271">
        <v>55000000</v>
      </c>
      <c r="O271">
        <v>55000000</v>
      </c>
      <c r="P271">
        <v>55000000</v>
      </c>
      <c r="Q271">
        <v>55000000</v>
      </c>
      <c r="R271" s="14">
        <f>_xlfn.XLOOKUP(Table2[[#This Row],[LoanID]],Table1[G-L ID],Table1[ManagerCode],-99)</f>
        <v>103</v>
      </c>
      <c r="T271"/>
    </row>
    <row r="272" spans="1:20" x14ac:dyDescent="0.25">
      <c r="A272">
        <v>20100630</v>
      </c>
      <c r="B272">
        <v>2010</v>
      </c>
      <c r="C272">
        <v>6</v>
      </c>
      <c r="D272">
        <v>1</v>
      </c>
      <c r="E272">
        <v>11930</v>
      </c>
      <c r="F272">
        <v>208544.28</v>
      </c>
      <c r="G272">
        <v>0</v>
      </c>
      <c r="H272">
        <v>0</v>
      </c>
      <c r="I272">
        <v>0</v>
      </c>
      <c r="J272">
        <v>0</v>
      </c>
      <c r="K272">
        <v>0</v>
      </c>
      <c r="L272">
        <v>194473996.80000001</v>
      </c>
      <c r="M272">
        <v>194904220.5</v>
      </c>
      <c r="N272">
        <v>194473996.80000001</v>
      </c>
      <c r="O272">
        <v>194904220.5</v>
      </c>
      <c r="P272">
        <v>195780481.30000001</v>
      </c>
      <c r="Q272">
        <v>195780481.30000001</v>
      </c>
      <c r="R272" s="14">
        <f>_xlfn.XLOOKUP(Table2[[#This Row],[LoanID]],Table1[G-L ID],Table1[ManagerCode],-99)</f>
        <v>103</v>
      </c>
      <c r="T272"/>
    </row>
    <row r="273" spans="1:20" x14ac:dyDescent="0.25">
      <c r="A273">
        <v>20100630</v>
      </c>
      <c r="B273">
        <v>2010</v>
      </c>
      <c r="C273">
        <v>6</v>
      </c>
      <c r="D273">
        <v>1</v>
      </c>
      <c r="E273">
        <v>11940</v>
      </c>
      <c r="F273">
        <v>68303.27</v>
      </c>
      <c r="G273">
        <v>0</v>
      </c>
      <c r="H273">
        <v>0</v>
      </c>
      <c r="I273">
        <v>0</v>
      </c>
      <c r="J273">
        <v>0</v>
      </c>
      <c r="K273">
        <v>0</v>
      </c>
      <c r="L273">
        <v>62725079.240000002</v>
      </c>
      <c r="M273">
        <v>63024565.100000001</v>
      </c>
      <c r="N273">
        <v>62725079.240000002</v>
      </c>
      <c r="O273">
        <v>63024565.100000001</v>
      </c>
      <c r="P273">
        <v>64088163.009999998</v>
      </c>
      <c r="Q273">
        <v>64090328.869999997</v>
      </c>
      <c r="R273" s="14">
        <f>_xlfn.XLOOKUP(Table2[[#This Row],[LoanID]],Table1[G-L ID],Table1[ManagerCode],-99)</f>
        <v>103</v>
      </c>
      <c r="T273"/>
    </row>
    <row r="274" spans="1:20" x14ac:dyDescent="0.25">
      <c r="A274">
        <v>20100630</v>
      </c>
      <c r="B274">
        <v>2010</v>
      </c>
      <c r="C274">
        <v>6</v>
      </c>
      <c r="D274">
        <v>1</v>
      </c>
      <c r="E274">
        <v>11951</v>
      </c>
      <c r="F274">
        <v>166619.82999999999</v>
      </c>
      <c r="G274">
        <v>0</v>
      </c>
      <c r="H274">
        <v>0</v>
      </c>
      <c r="I274">
        <v>-283.33</v>
      </c>
      <c r="J274">
        <v>0</v>
      </c>
      <c r="K274">
        <v>0</v>
      </c>
      <c r="L274">
        <v>34722151.469999999</v>
      </c>
      <c r="M274">
        <v>34744071.460000001</v>
      </c>
      <c r="N274">
        <v>34722151.469999999</v>
      </c>
      <c r="O274">
        <v>34744071.460000001</v>
      </c>
      <c r="P274">
        <v>33986860.039999999</v>
      </c>
      <c r="Q274">
        <v>33988502.539999999</v>
      </c>
      <c r="R274" s="14">
        <f>_xlfn.XLOOKUP(Table2[[#This Row],[LoanID]],Table1[G-L ID],Table1[ManagerCode],-99)</f>
        <v>103</v>
      </c>
      <c r="T274"/>
    </row>
    <row r="275" spans="1:20" x14ac:dyDescent="0.25">
      <c r="A275">
        <v>20100630</v>
      </c>
      <c r="B275">
        <v>2010</v>
      </c>
      <c r="C275">
        <v>6</v>
      </c>
      <c r="D275">
        <v>1</v>
      </c>
      <c r="E275">
        <v>11952</v>
      </c>
      <c r="F275">
        <v>119241.5</v>
      </c>
      <c r="G275">
        <v>0</v>
      </c>
      <c r="H275">
        <v>0</v>
      </c>
      <c r="I275">
        <v>-175</v>
      </c>
      <c r="J275">
        <v>0</v>
      </c>
      <c r="K275">
        <v>0</v>
      </c>
      <c r="L275">
        <v>21551648.710000001</v>
      </c>
      <c r="M275">
        <v>21528421.359999999</v>
      </c>
      <c r="N275">
        <v>21551648.710000001</v>
      </c>
      <c r="O275">
        <v>21528421.359999999</v>
      </c>
      <c r="P275">
        <v>21000000</v>
      </c>
      <c r="Q275">
        <v>21000000</v>
      </c>
      <c r="R275" s="14">
        <f>_xlfn.XLOOKUP(Table2[[#This Row],[LoanID]],Table1[G-L ID],Table1[ManagerCode],-99)</f>
        <v>103</v>
      </c>
      <c r="T275"/>
    </row>
    <row r="276" spans="1:20" x14ac:dyDescent="0.25">
      <c r="A276">
        <v>20100630</v>
      </c>
      <c r="B276">
        <v>2010</v>
      </c>
      <c r="C276">
        <v>6</v>
      </c>
      <c r="D276">
        <v>1</v>
      </c>
      <c r="E276">
        <v>12000</v>
      </c>
      <c r="F276">
        <v>129709.44</v>
      </c>
      <c r="G276">
        <v>0</v>
      </c>
      <c r="H276">
        <v>0</v>
      </c>
      <c r="I276">
        <v>0</v>
      </c>
      <c r="J276">
        <v>0</v>
      </c>
      <c r="K276">
        <v>0</v>
      </c>
      <c r="L276">
        <v>21148542.050000001</v>
      </c>
      <c r="M276">
        <v>21353637.289999999</v>
      </c>
      <c r="N276">
        <v>21148542.050000001</v>
      </c>
      <c r="O276">
        <v>21353637.289999999</v>
      </c>
      <c r="P276">
        <v>25085607.539999999</v>
      </c>
      <c r="Q276">
        <v>25086301.989999998</v>
      </c>
      <c r="R276" s="14">
        <f>_xlfn.XLOOKUP(Table2[[#This Row],[LoanID]],Table1[G-L ID],Table1[ManagerCode],-99)</f>
        <v>103</v>
      </c>
      <c r="T276"/>
    </row>
    <row r="277" spans="1:20" x14ac:dyDescent="0.25">
      <c r="A277">
        <v>20100630</v>
      </c>
      <c r="B277">
        <v>2010</v>
      </c>
      <c r="C277">
        <v>6</v>
      </c>
      <c r="D277">
        <v>1</v>
      </c>
      <c r="E277">
        <v>12200</v>
      </c>
      <c r="F277">
        <v>92402.63</v>
      </c>
      <c r="G277">
        <v>0</v>
      </c>
      <c r="H277">
        <v>0</v>
      </c>
      <c r="I277">
        <v>0</v>
      </c>
      <c r="J277">
        <v>0</v>
      </c>
      <c r="K277">
        <v>29806.93</v>
      </c>
      <c r="L277">
        <v>21429484.84</v>
      </c>
      <c r="M277">
        <v>21684237.969999999</v>
      </c>
      <c r="N277">
        <v>21429484.84</v>
      </c>
      <c r="O277">
        <v>21684237.969999999</v>
      </c>
      <c r="P277">
        <v>20105559.960000001</v>
      </c>
      <c r="Q277">
        <v>20076090.02</v>
      </c>
      <c r="R277" s="14">
        <f>_xlfn.XLOOKUP(Table2[[#This Row],[LoanID]],Table1[G-L ID],Table1[ManagerCode],-99)</f>
        <v>103</v>
      </c>
      <c r="T277"/>
    </row>
    <row r="278" spans="1:20" x14ac:dyDescent="0.25">
      <c r="A278">
        <v>20100630</v>
      </c>
      <c r="B278">
        <v>2010</v>
      </c>
      <c r="C278">
        <v>6</v>
      </c>
      <c r="D278">
        <v>1</v>
      </c>
      <c r="E278">
        <v>12210</v>
      </c>
      <c r="F278">
        <v>741044.61</v>
      </c>
      <c r="G278">
        <v>0</v>
      </c>
      <c r="H278">
        <v>0</v>
      </c>
      <c r="I278">
        <v>0</v>
      </c>
      <c r="J278">
        <v>0</v>
      </c>
      <c r="K278">
        <v>164732.35999999999</v>
      </c>
      <c r="L278">
        <v>138101155.19999999</v>
      </c>
      <c r="M278">
        <v>141233632.09999999</v>
      </c>
      <c r="N278">
        <v>138101155.19999999</v>
      </c>
      <c r="O278">
        <v>141233632.09999999</v>
      </c>
      <c r="P278">
        <v>119902213.2</v>
      </c>
      <c r="Q278">
        <v>119737480.8</v>
      </c>
      <c r="R278" s="14">
        <f>_xlfn.XLOOKUP(Table2[[#This Row],[LoanID]],Table1[G-L ID],Table1[ManagerCode],-99)</f>
        <v>103</v>
      </c>
      <c r="T278"/>
    </row>
    <row r="279" spans="1:20" x14ac:dyDescent="0.25">
      <c r="A279">
        <v>20100731</v>
      </c>
      <c r="B279">
        <v>2010</v>
      </c>
      <c r="C279">
        <v>7</v>
      </c>
      <c r="D279">
        <v>1</v>
      </c>
      <c r="E279">
        <v>10050</v>
      </c>
      <c r="F279">
        <v>149013.89000000001</v>
      </c>
      <c r="G279">
        <v>0</v>
      </c>
      <c r="H279">
        <v>0</v>
      </c>
      <c r="I279">
        <v>-69.44</v>
      </c>
      <c r="J279">
        <v>0</v>
      </c>
      <c r="K279">
        <v>0</v>
      </c>
      <c r="L279">
        <v>22905390.100000001</v>
      </c>
      <c r="M279">
        <v>22966692.039999999</v>
      </c>
      <c r="N279">
        <v>22905390.100000001</v>
      </c>
      <c r="O279">
        <v>22966692.039999999</v>
      </c>
      <c r="P279">
        <v>33333334</v>
      </c>
      <c r="Q279">
        <v>33333334</v>
      </c>
      <c r="R279" s="14">
        <f>_xlfn.XLOOKUP(Table2[[#This Row],[LoanID]],Table1[G-L ID],Table1[ManagerCode],-99)</f>
        <v>103</v>
      </c>
      <c r="T279"/>
    </row>
    <row r="280" spans="1:20" x14ac:dyDescent="0.25">
      <c r="A280">
        <v>20100731</v>
      </c>
      <c r="B280">
        <v>2010</v>
      </c>
      <c r="C280">
        <v>7</v>
      </c>
      <c r="D280">
        <v>1</v>
      </c>
      <c r="E280">
        <v>10080</v>
      </c>
      <c r="F280">
        <v>339718.75</v>
      </c>
      <c r="G280">
        <v>0</v>
      </c>
      <c r="H280">
        <v>0</v>
      </c>
      <c r="I280">
        <v>-156.25</v>
      </c>
      <c r="J280">
        <v>0</v>
      </c>
      <c r="K280">
        <v>0</v>
      </c>
      <c r="L280">
        <v>78738689.060000002</v>
      </c>
      <c r="M280">
        <v>78924535.939999998</v>
      </c>
      <c r="N280">
        <v>78738689.060000002</v>
      </c>
      <c r="O280">
        <v>78924535.939999998</v>
      </c>
      <c r="P280">
        <v>75000000</v>
      </c>
      <c r="Q280">
        <v>75000000</v>
      </c>
      <c r="R280" s="14">
        <f>_xlfn.XLOOKUP(Table2[[#This Row],[LoanID]],Table1[G-L ID],Table1[ManagerCode],-99)</f>
        <v>103</v>
      </c>
      <c r="T280"/>
    </row>
    <row r="281" spans="1:20" x14ac:dyDescent="0.25">
      <c r="A281">
        <v>20100731</v>
      </c>
      <c r="B281">
        <v>2010</v>
      </c>
      <c r="C281">
        <v>7</v>
      </c>
      <c r="D281">
        <v>1</v>
      </c>
      <c r="E281">
        <v>10130</v>
      </c>
      <c r="F281">
        <v>38195.519999999997</v>
      </c>
      <c r="G281">
        <v>0</v>
      </c>
      <c r="H281">
        <v>0</v>
      </c>
      <c r="I281">
        <v>0</v>
      </c>
      <c r="J281">
        <v>0</v>
      </c>
      <c r="K281">
        <v>29495.17</v>
      </c>
      <c r="L281">
        <v>8930011.8200000003</v>
      </c>
      <c r="M281">
        <v>8891500.7200000007</v>
      </c>
      <c r="N281">
        <v>8930011.8200000003</v>
      </c>
      <c r="O281">
        <v>8891500.7200000007</v>
      </c>
      <c r="P281">
        <v>8440997.8200000003</v>
      </c>
      <c r="Q281">
        <v>8411502.6500000004</v>
      </c>
      <c r="R281" s="14">
        <f>_xlfn.XLOOKUP(Table2[[#This Row],[LoanID]],Table1[G-L ID],Table1[ManagerCode],-99)</f>
        <v>103</v>
      </c>
      <c r="T281"/>
    </row>
    <row r="282" spans="1:20" x14ac:dyDescent="0.25">
      <c r="A282">
        <v>20100731</v>
      </c>
      <c r="B282">
        <v>2010</v>
      </c>
      <c r="C282">
        <v>7</v>
      </c>
      <c r="D282">
        <v>1</v>
      </c>
      <c r="E282">
        <v>10140</v>
      </c>
      <c r="F282">
        <v>100689.15</v>
      </c>
      <c r="G282">
        <v>0</v>
      </c>
      <c r="H282">
        <v>0</v>
      </c>
      <c r="I282">
        <v>0</v>
      </c>
      <c r="J282">
        <v>0</v>
      </c>
      <c r="K282">
        <v>77135.179999999993</v>
      </c>
      <c r="L282">
        <v>23541642.960000001</v>
      </c>
      <c r="M282">
        <v>23440748.649999999</v>
      </c>
      <c r="N282">
        <v>23541642.960000001</v>
      </c>
      <c r="O282">
        <v>23440748.649999999</v>
      </c>
      <c r="P282">
        <v>22251745.920000002</v>
      </c>
      <c r="Q282">
        <v>22174610.739999998</v>
      </c>
      <c r="R282" s="14">
        <f>_xlfn.XLOOKUP(Table2[[#This Row],[LoanID]],Table1[G-L ID],Table1[ManagerCode],-99)</f>
        <v>103</v>
      </c>
      <c r="T282"/>
    </row>
    <row r="283" spans="1:20" x14ac:dyDescent="0.25">
      <c r="A283">
        <v>20100731</v>
      </c>
      <c r="B283">
        <v>2010</v>
      </c>
      <c r="C283">
        <v>7</v>
      </c>
      <c r="D283">
        <v>1</v>
      </c>
      <c r="E283">
        <v>10150</v>
      </c>
      <c r="F283">
        <v>247390.3</v>
      </c>
      <c r="G283">
        <v>0</v>
      </c>
      <c r="H283">
        <v>0</v>
      </c>
      <c r="I283">
        <v>0</v>
      </c>
      <c r="J283">
        <v>0</v>
      </c>
      <c r="K283">
        <v>65929.7</v>
      </c>
      <c r="L283">
        <v>52139741.5</v>
      </c>
      <c r="M283">
        <v>52240048.909999996</v>
      </c>
      <c r="N283">
        <v>52139741.5</v>
      </c>
      <c r="O283">
        <v>52240048.909999996</v>
      </c>
      <c r="P283">
        <v>53584687.539999999</v>
      </c>
      <c r="Q283">
        <v>53522397.829999998</v>
      </c>
      <c r="R283" s="14">
        <f>_xlfn.XLOOKUP(Table2[[#This Row],[LoanID]],Table1[G-L ID],Table1[ManagerCode],-99)</f>
        <v>103</v>
      </c>
      <c r="T283"/>
    </row>
    <row r="284" spans="1:20" x14ac:dyDescent="0.25">
      <c r="A284">
        <v>20100731</v>
      </c>
      <c r="B284">
        <v>2010</v>
      </c>
      <c r="C284">
        <v>7</v>
      </c>
      <c r="D284">
        <v>1</v>
      </c>
      <c r="E284">
        <v>10170</v>
      </c>
      <c r="F284">
        <v>246925.24</v>
      </c>
      <c r="G284">
        <v>0</v>
      </c>
      <c r="H284">
        <v>0</v>
      </c>
      <c r="I284">
        <v>-1183.3499999999999</v>
      </c>
      <c r="J284">
        <v>0</v>
      </c>
      <c r="K284">
        <v>68510.350000000006</v>
      </c>
      <c r="L284">
        <v>50932210.200000003</v>
      </c>
      <c r="M284">
        <v>50876523.490000002</v>
      </c>
      <c r="N284">
        <v>50932210.200000003</v>
      </c>
      <c r="O284">
        <v>50876523.490000002</v>
      </c>
      <c r="P284">
        <v>47333911</v>
      </c>
      <c r="Q284">
        <v>47265400.649999999</v>
      </c>
      <c r="R284" s="14">
        <f>_xlfn.XLOOKUP(Table2[[#This Row],[LoanID]],Table1[G-L ID],Table1[ManagerCode],-99)</f>
        <v>103</v>
      </c>
      <c r="T284"/>
    </row>
    <row r="285" spans="1:20" x14ac:dyDescent="0.25">
      <c r="A285">
        <v>20100731</v>
      </c>
      <c r="B285">
        <v>2010</v>
      </c>
      <c r="C285">
        <v>7</v>
      </c>
      <c r="D285">
        <v>1</v>
      </c>
      <c r="E285">
        <v>10230</v>
      </c>
      <c r="F285">
        <v>188047.88</v>
      </c>
      <c r="G285">
        <v>0</v>
      </c>
      <c r="H285">
        <v>0</v>
      </c>
      <c r="I285">
        <v>0</v>
      </c>
      <c r="J285">
        <v>0</v>
      </c>
      <c r="K285">
        <v>53550.19</v>
      </c>
      <c r="L285">
        <v>23678058.890000001</v>
      </c>
      <c r="M285">
        <v>22083103.210000001</v>
      </c>
      <c r="N285">
        <v>23678058.890000001</v>
      </c>
      <c r="O285">
        <v>22083103.210000001</v>
      </c>
      <c r="P285">
        <v>33480333.91</v>
      </c>
      <c r="Q285">
        <v>33426783.719999999</v>
      </c>
      <c r="R285" s="14">
        <f>_xlfn.XLOOKUP(Table2[[#This Row],[LoanID]],Table1[G-L ID],Table1[ManagerCode],-99)</f>
        <v>103</v>
      </c>
      <c r="T285"/>
    </row>
    <row r="286" spans="1:20" x14ac:dyDescent="0.25">
      <c r="A286">
        <v>20100731</v>
      </c>
      <c r="B286">
        <v>2010</v>
      </c>
      <c r="C286">
        <v>7</v>
      </c>
      <c r="D286">
        <v>1</v>
      </c>
      <c r="E286">
        <v>10280</v>
      </c>
      <c r="F286">
        <v>0</v>
      </c>
      <c r="G286">
        <v>0</v>
      </c>
      <c r="H286">
        <v>0</v>
      </c>
      <c r="I286">
        <v>0</v>
      </c>
      <c r="J286">
        <v>0</v>
      </c>
      <c r="K286">
        <v>0</v>
      </c>
      <c r="L286">
        <v>32917892.84</v>
      </c>
      <c r="M286">
        <v>33181938.239999998</v>
      </c>
      <c r="N286">
        <v>32917892.84</v>
      </c>
      <c r="O286">
        <v>33181938.239999998</v>
      </c>
      <c r="P286">
        <v>35000000</v>
      </c>
      <c r="Q286">
        <v>35000000</v>
      </c>
      <c r="R286" s="14">
        <f>_xlfn.XLOOKUP(Table2[[#This Row],[LoanID]],Table1[G-L ID],Table1[ManagerCode],-99)</f>
        <v>103</v>
      </c>
      <c r="T286"/>
    </row>
    <row r="287" spans="1:20" x14ac:dyDescent="0.25">
      <c r="A287">
        <v>20100731</v>
      </c>
      <c r="B287">
        <v>2010</v>
      </c>
      <c r="C287">
        <v>7</v>
      </c>
      <c r="D287">
        <v>1</v>
      </c>
      <c r="E287">
        <v>10290</v>
      </c>
      <c r="F287">
        <v>0</v>
      </c>
      <c r="G287">
        <v>0</v>
      </c>
      <c r="H287">
        <v>0</v>
      </c>
      <c r="I287">
        <v>0</v>
      </c>
      <c r="J287">
        <v>0</v>
      </c>
      <c r="K287">
        <v>0</v>
      </c>
      <c r="L287">
        <v>25235267.16</v>
      </c>
      <c r="M287">
        <v>25400957.52</v>
      </c>
      <c r="N287">
        <v>25235267.16</v>
      </c>
      <c r="O287">
        <v>25400957.52</v>
      </c>
      <c r="P287">
        <v>25000000</v>
      </c>
      <c r="Q287">
        <v>25000000</v>
      </c>
      <c r="R287" s="14">
        <f>_xlfn.XLOOKUP(Table2[[#This Row],[LoanID]],Table1[G-L ID],Table1[ManagerCode],-99)</f>
        <v>103</v>
      </c>
      <c r="T287"/>
    </row>
    <row r="288" spans="1:20" x14ac:dyDescent="0.25">
      <c r="A288">
        <v>20100731</v>
      </c>
      <c r="B288">
        <v>2010</v>
      </c>
      <c r="C288">
        <v>7</v>
      </c>
      <c r="D288">
        <v>1</v>
      </c>
      <c r="E288">
        <v>10370</v>
      </c>
      <c r="F288">
        <v>0</v>
      </c>
      <c r="G288">
        <v>0</v>
      </c>
      <c r="H288">
        <v>0</v>
      </c>
      <c r="I288">
        <v>-0.02</v>
      </c>
      <c r="J288">
        <v>0</v>
      </c>
      <c r="K288">
        <v>0</v>
      </c>
      <c r="L288">
        <v>2667487.83</v>
      </c>
      <c r="M288">
        <v>2524949.4700000002</v>
      </c>
      <c r="N288">
        <v>2667487.83</v>
      </c>
      <c r="O288">
        <v>2524949.4700000002</v>
      </c>
      <c r="P288">
        <v>3544690.81</v>
      </c>
      <c r="Q288">
        <v>3544690.81</v>
      </c>
      <c r="R288" s="14">
        <f>_xlfn.XLOOKUP(Table2[[#This Row],[LoanID]],Table1[G-L ID],Table1[ManagerCode],-99)</f>
        <v>103</v>
      </c>
      <c r="T288"/>
    </row>
    <row r="289" spans="1:20" x14ac:dyDescent="0.25">
      <c r="A289">
        <v>20100731</v>
      </c>
      <c r="B289">
        <v>2010</v>
      </c>
      <c r="C289">
        <v>7</v>
      </c>
      <c r="D289">
        <v>1</v>
      </c>
      <c r="E289">
        <v>10380</v>
      </c>
      <c r="F289">
        <v>56984.63</v>
      </c>
      <c r="G289">
        <v>0</v>
      </c>
      <c r="H289">
        <v>0</v>
      </c>
      <c r="I289">
        <v>-92.5</v>
      </c>
      <c r="J289">
        <v>0</v>
      </c>
      <c r="K289">
        <v>656.77</v>
      </c>
      <c r="L289">
        <v>11090540.109999999</v>
      </c>
      <c r="M289">
        <v>11094655.460000001</v>
      </c>
      <c r="N289">
        <v>11090540.109999999</v>
      </c>
      <c r="O289">
        <v>11094655.460000001</v>
      </c>
      <c r="P289">
        <v>11105910.970000001</v>
      </c>
      <c r="Q289">
        <v>11105254.199999999</v>
      </c>
      <c r="R289" s="14">
        <f>_xlfn.XLOOKUP(Table2[[#This Row],[LoanID]],Table1[G-L ID],Table1[ManagerCode],-99)</f>
        <v>103</v>
      </c>
      <c r="T289"/>
    </row>
    <row r="290" spans="1:20" x14ac:dyDescent="0.25">
      <c r="A290">
        <v>20100731</v>
      </c>
      <c r="B290">
        <v>2010</v>
      </c>
      <c r="C290">
        <v>7</v>
      </c>
      <c r="D290">
        <v>1</v>
      </c>
      <c r="E290">
        <v>10390</v>
      </c>
      <c r="F290">
        <v>118750</v>
      </c>
      <c r="G290">
        <v>0</v>
      </c>
      <c r="H290">
        <v>0</v>
      </c>
      <c r="I290">
        <v>0</v>
      </c>
      <c r="J290">
        <v>0</v>
      </c>
      <c r="K290">
        <v>0</v>
      </c>
      <c r="L290">
        <v>23399359.600000001</v>
      </c>
      <c r="M290">
        <v>23575217.559999999</v>
      </c>
      <c r="N290">
        <v>23399359.600000001</v>
      </c>
      <c r="O290">
        <v>23575217.559999999</v>
      </c>
      <c r="P290">
        <v>24990612.16</v>
      </c>
      <c r="Q290">
        <v>24990816.239999998</v>
      </c>
      <c r="R290" s="14">
        <f>_xlfn.XLOOKUP(Table2[[#This Row],[LoanID]],Table1[G-L ID],Table1[ManagerCode],-99)</f>
        <v>103</v>
      </c>
      <c r="T290"/>
    </row>
    <row r="291" spans="1:20" x14ac:dyDescent="0.25">
      <c r="A291">
        <v>20100731</v>
      </c>
      <c r="B291">
        <v>2010</v>
      </c>
      <c r="C291">
        <v>7</v>
      </c>
      <c r="D291">
        <v>1</v>
      </c>
      <c r="E291">
        <v>10450</v>
      </c>
      <c r="F291">
        <v>121327.79</v>
      </c>
      <c r="G291">
        <v>0</v>
      </c>
      <c r="H291">
        <v>0</v>
      </c>
      <c r="I291">
        <v>0</v>
      </c>
      <c r="J291">
        <v>0</v>
      </c>
      <c r="K291">
        <v>20487.46</v>
      </c>
      <c r="L291">
        <v>21276057.07</v>
      </c>
      <c r="M291">
        <v>21371387.140000001</v>
      </c>
      <c r="N291">
        <v>21276057.07</v>
      </c>
      <c r="O291">
        <v>21371387.140000001</v>
      </c>
      <c r="P291">
        <v>21693336.27</v>
      </c>
      <c r="Q291">
        <v>21674397.48</v>
      </c>
      <c r="R291" s="14">
        <f>_xlfn.XLOOKUP(Table2[[#This Row],[LoanID]],Table1[G-L ID],Table1[ManagerCode],-99)</f>
        <v>103</v>
      </c>
      <c r="T291"/>
    </row>
    <row r="292" spans="1:20" x14ac:dyDescent="0.25">
      <c r="A292">
        <v>20100731</v>
      </c>
      <c r="B292">
        <v>2010</v>
      </c>
      <c r="C292">
        <v>7</v>
      </c>
      <c r="D292">
        <v>1</v>
      </c>
      <c r="E292">
        <v>10520</v>
      </c>
      <c r="F292">
        <v>5198.6099999999997</v>
      </c>
      <c r="G292">
        <v>0</v>
      </c>
      <c r="H292">
        <v>0</v>
      </c>
      <c r="I292">
        <v>-12.13</v>
      </c>
      <c r="J292">
        <v>0</v>
      </c>
      <c r="K292">
        <v>0</v>
      </c>
      <c r="L292">
        <v>4128954.77</v>
      </c>
      <c r="M292">
        <v>4143506.83</v>
      </c>
      <c r="N292">
        <v>4128954.77</v>
      </c>
      <c r="O292">
        <v>4143506.83</v>
      </c>
      <c r="P292">
        <v>4158887.64</v>
      </c>
      <c r="Q292">
        <v>4158887.64</v>
      </c>
      <c r="R292" s="14">
        <f>_xlfn.XLOOKUP(Table2[[#This Row],[LoanID]],Table1[G-L ID],Table1[ManagerCode],-99)</f>
        <v>103</v>
      </c>
      <c r="T292"/>
    </row>
    <row r="293" spans="1:20" x14ac:dyDescent="0.25">
      <c r="A293">
        <v>20100731</v>
      </c>
      <c r="B293">
        <v>2010</v>
      </c>
      <c r="C293">
        <v>7</v>
      </c>
      <c r="D293">
        <v>1</v>
      </c>
      <c r="E293">
        <v>10530</v>
      </c>
      <c r="F293">
        <v>112636.54</v>
      </c>
      <c r="G293">
        <v>0</v>
      </c>
      <c r="H293">
        <v>0</v>
      </c>
      <c r="I293">
        <v>-262.82</v>
      </c>
      <c r="J293">
        <v>0</v>
      </c>
      <c r="K293">
        <v>0</v>
      </c>
      <c r="L293">
        <v>89460596.900000006</v>
      </c>
      <c r="M293">
        <v>89775891.349999994</v>
      </c>
      <c r="N293">
        <v>89460596.900000006</v>
      </c>
      <c r="O293">
        <v>89775891.349999994</v>
      </c>
      <c r="P293">
        <v>90109231.989999995</v>
      </c>
      <c r="Q293">
        <v>90109231.989999995</v>
      </c>
      <c r="R293" s="14">
        <f>_xlfn.XLOOKUP(Table2[[#This Row],[LoanID]],Table1[G-L ID],Table1[ManagerCode],-99)</f>
        <v>103</v>
      </c>
      <c r="T293"/>
    </row>
    <row r="294" spans="1:20" x14ac:dyDescent="0.25">
      <c r="A294">
        <v>20100731</v>
      </c>
      <c r="B294">
        <v>2010</v>
      </c>
      <c r="C294">
        <v>7</v>
      </c>
      <c r="D294">
        <v>1</v>
      </c>
      <c r="E294">
        <v>10540</v>
      </c>
      <c r="F294">
        <v>15595.83</v>
      </c>
      <c r="G294">
        <v>0</v>
      </c>
      <c r="H294">
        <v>0</v>
      </c>
      <c r="I294">
        <v>-36.39</v>
      </c>
      <c r="J294">
        <v>0</v>
      </c>
      <c r="K294">
        <v>0</v>
      </c>
      <c r="L294">
        <v>12386864.279999999</v>
      </c>
      <c r="M294">
        <v>12430520.470000001</v>
      </c>
      <c r="N294">
        <v>12386864.279999999</v>
      </c>
      <c r="O294">
        <v>12430520.470000001</v>
      </c>
      <c r="P294">
        <v>12476662.9</v>
      </c>
      <c r="Q294">
        <v>12476662.9</v>
      </c>
      <c r="R294" s="14">
        <f>_xlfn.XLOOKUP(Table2[[#This Row],[LoanID]],Table1[G-L ID],Table1[ManagerCode],-99)</f>
        <v>103</v>
      </c>
      <c r="T294"/>
    </row>
    <row r="295" spans="1:20" x14ac:dyDescent="0.25">
      <c r="A295">
        <v>20100731</v>
      </c>
      <c r="B295">
        <v>2010</v>
      </c>
      <c r="C295">
        <v>7</v>
      </c>
      <c r="D295">
        <v>1</v>
      </c>
      <c r="E295">
        <v>10630</v>
      </c>
      <c r="F295">
        <v>50218.8</v>
      </c>
      <c r="G295">
        <v>0</v>
      </c>
      <c r="H295">
        <v>0</v>
      </c>
      <c r="I295">
        <v>0</v>
      </c>
      <c r="J295">
        <v>0</v>
      </c>
      <c r="K295">
        <v>12397.28</v>
      </c>
      <c r="L295">
        <v>9083974.2100000009</v>
      </c>
      <c r="M295">
        <v>9126638.1999999993</v>
      </c>
      <c r="N295">
        <v>9083974.2100000009</v>
      </c>
      <c r="O295">
        <v>9126638.1999999993</v>
      </c>
      <c r="P295">
        <v>9401335.7400000002</v>
      </c>
      <c r="Q295">
        <v>9388938.4600000009</v>
      </c>
      <c r="R295" s="14">
        <f>_xlfn.XLOOKUP(Table2[[#This Row],[LoanID]],Table1[G-L ID],Table1[ManagerCode],-99)</f>
        <v>103</v>
      </c>
      <c r="T295"/>
    </row>
    <row r="296" spans="1:20" x14ac:dyDescent="0.25">
      <c r="A296">
        <v>20100731</v>
      </c>
      <c r="B296">
        <v>2010</v>
      </c>
      <c r="C296">
        <v>7</v>
      </c>
      <c r="D296">
        <v>1</v>
      </c>
      <c r="E296">
        <v>10770</v>
      </c>
      <c r="F296">
        <v>178250</v>
      </c>
      <c r="G296">
        <v>0</v>
      </c>
      <c r="H296">
        <v>0</v>
      </c>
      <c r="I296">
        <v>0</v>
      </c>
      <c r="J296">
        <v>0</v>
      </c>
      <c r="K296">
        <v>0</v>
      </c>
      <c r="L296">
        <v>101058378.2</v>
      </c>
      <c r="M296">
        <v>100872653.8</v>
      </c>
      <c r="N296">
        <v>101058378.2</v>
      </c>
      <c r="O296">
        <v>100872653.8</v>
      </c>
      <c r="P296">
        <v>115000000</v>
      </c>
      <c r="Q296">
        <v>115000000</v>
      </c>
      <c r="R296" s="14">
        <f>_xlfn.XLOOKUP(Table2[[#This Row],[LoanID]],Table1[G-L ID],Table1[ManagerCode],-99)</f>
        <v>103</v>
      </c>
      <c r="T296"/>
    </row>
    <row r="297" spans="1:20" x14ac:dyDescent="0.25">
      <c r="A297">
        <v>20100731</v>
      </c>
      <c r="B297">
        <v>2010</v>
      </c>
      <c r="C297">
        <v>7</v>
      </c>
      <c r="D297">
        <v>1</v>
      </c>
      <c r="E297">
        <v>10870</v>
      </c>
      <c r="F297">
        <v>300898.90000000002</v>
      </c>
      <c r="G297">
        <v>0</v>
      </c>
      <c r="H297">
        <v>0</v>
      </c>
      <c r="I297">
        <v>0</v>
      </c>
      <c r="J297">
        <v>0</v>
      </c>
      <c r="K297">
        <v>0</v>
      </c>
      <c r="L297">
        <v>188077199.80000001</v>
      </c>
      <c r="M297">
        <v>187443213</v>
      </c>
      <c r="N297">
        <v>188077199.80000001</v>
      </c>
      <c r="O297">
        <v>187443213</v>
      </c>
      <c r="P297">
        <v>201798851</v>
      </c>
      <c r="Q297">
        <v>201798851</v>
      </c>
      <c r="R297" s="14">
        <f>_xlfn.XLOOKUP(Table2[[#This Row],[LoanID]],Table1[G-L ID],Table1[ManagerCode],-99)</f>
        <v>103</v>
      </c>
      <c r="T297"/>
    </row>
    <row r="298" spans="1:20" x14ac:dyDescent="0.25">
      <c r="A298">
        <v>20100731</v>
      </c>
      <c r="B298">
        <v>2010</v>
      </c>
      <c r="C298">
        <v>7</v>
      </c>
      <c r="D298">
        <v>1</v>
      </c>
      <c r="E298">
        <v>10950</v>
      </c>
      <c r="F298">
        <v>55356.14</v>
      </c>
      <c r="G298">
        <v>0</v>
      </c>
      <c r="H298">
        <v>0</v>
      </c>
      <c r="I298">
        <v>0</v>
      </c>
      <c r="J298">
        <v>0</v>
      </c>
      <c r="K298">
        <v>21666.880000000001</v>
      </c>
      <c r="L298">
        <v>8676344.9700000007</v>
      </c>
      <c r="M298">
        <v>8249977.2999999998</v>
      </c>
      <c r="N298">
        <v>8676344.9700000007</v>
      </c>
      <c r="O298">
        <v>8249977.2999999998</v>
      </c>
      <c r="P298">
        <v>11145531.880000001</v>
      </c>
      <c r="Q298">
        <v>11123865</v>
      </c>
      <c r="R298" s="14">
        <f>_xlfn.XLOOKUP(Table2[[#This Row],[LoanID]],Table1[G-L ID],Table1[ManagerCode],-99)</f>
        <v>103</v>
      </c>
      <c r="T298"/>
    </row>
    <row r="299" spans="1:20" x14ac:dyDescent="0.25">
      <c r="A299">
        <v>20100731</v>
      </c>
      <c r="B299">
        <v>2010</v>
      </c>
      <c r="C299">
        <v>7</v>
      </c>
      <c r="D299">
        <v>1</v>
      </c>
      <c r="E299">
        <v>11180</v>
      </c>
      <c r="F299">
        <v>224967.19</v>
      </c>
      <c r="G299">
        <v>0</v>
      </c>
      <c r="H299">
        <v>499927.08</v>
      </c>
      <c r="I299">
        <v>0</v>
      </c>
      <c r="J299">
        <v>0</v>
      </c>
      <c r="K299">
        <v>0</v>
      </c>
      <c r="L299">
        <v>197892955.40000001</v>
      </c>
      <c r="M299">
        <v>175340712.30000001</v>
      </c>
      <c r="N299">
        <v>197892955.40000001</v>
      </c>
      <c r="O299">
        <v>175340712.30000001</v>
      </c>
      <c r="P299">
        <v>199970831.5</v>
      </c>
      <c r="Q299">
        <v>199970831.5</v>
      </c>
      <c r="R299" s="14">
        <f>_xlfn.XLOOKUP(Table2[[#This Row],[LoanID]],Table1[G-L ID],Table1[ManagerCode],-99)</f>
        <v>103</v>
      </c>
      <c r="T299"/>
    </row>
    <row r="300" spans="1:20" x14ac:dyDescent="0.25">
      <c r="A300">
        <v>20100731</v>
      </c>
      <c r="B300">
        <v>2010</v>
      </c>
      <c r="C300">
        <v>7</v>
      </c>
      <c r="D300">
        <v>1</v>
      </c>
      <c r="E300">
        <v>11200</v>
      </c>
      <c r="F300">
        <v>69880</v>
      </c>
      <c r="G300">
        <v>0</v>
      </c>
      <c r="H300">
        <v>0</v>
      </c>
      <c r="I300">
        <v>0</v>
      </c>
      <c r="J300">
        <v>0</v>
      </c>
      <c r="K300">
        <v>0</v>
      </c>
      <c r="L300">
        <v>13684810.029999999</v>
      </c>
      <c r="M300">
        <v>13726513.890000001</v>
      </c>
      <c r="N300">
        <v>13684810.029999999</v>
      </c>
      <c r="O300">
        <v>13726513.890000001</v>
      </c>
      <c r="P300">
        <v>13976000</v>
      </c>
      <c r="Q300">
        <v>13976000</v>
      </c>
      <c r="R300" s="14">
        <f>_xlfn.XLOOKUP(Table2[[#This Row],[LoanID]],Table1[G-L ID],Table1[ManagerCode],-99)</f>
        <v>103</v>
      </c>
      <c r="T300"/>
    </row>
    <row r="301" spans="1:20" x14ac:dyDescent="0.25">
      <c r="A301">
        <v>20100731</v>
      </c>
      <c r="B301">
        <v>2010</v>
      </c>
      <c r="C301">
        <v>7</v>
      </c>
      <c r="D301">
        <v>1</v>
      </c>
      <c r="E301">
        <v>11240</v>
      </c>
      <c r="F301">
        <v>263155</v>
      </c>
      <c r="G301">
        <v>0</v>
      </c>
      <c r="H301">
        <v>0</v>
      </c>
      <c r="I301">
        <v>0</v>
      </c>
      <c r="J301">
        <v>0</v>
      </c>
      <c r="K301">
        <v>0</v>
      </c>
      <c r="L301">
        <v>176559882.90000001</v>
      </c>
      <c r="M301">
        <v>175114157.5</v>
      </c>
      <c r="N301">
        <v>176559882.90000001</v>
      </c>
      <c r="O301">
        <v>175114157.5</v>
      </c>
      <c r="P301">
        <v>194929626.59999999</v>
      </c>
      <c r="Q301">
        <v>194929626.59999999</v>
      </c>
      <c r="R301" s="14">
        <f>_xlfn.XLOOKUP(Table2[[#This Row],[LoanID]],Table1[G-L ID],Table1[ManagerCode],-99)</f>
        <v>103</v>
      </c>
      <c r="T301"/>
    </row>
    <row r="302" spans="1:20" x14ac:dyDescent="0.25">
      <c r="A302">
        <v>20100731</v>
      </c>
      <c r="B302">
        <v>2010</v>
      </c>
      <c r="C302">
        <v>7</v>
      </c>
      <c r="D302">
        <v>1</v>
      </c>
      <c r="E302">
        <v>11260</v>
      </c>
      <c r="F302">
        <v>15032.9</v>
      </c>
      <c r="G302">
        <v>0</v>
      </c>
      <c r="H302">
        <v>0</v>
      </c>
      <c r="I302">
        <v>-93.96</v>
      </c>
      <c r="J302">
        <v>0</v>
      </c>
      <c r="K302">
        <v>0</v>
      </c>
      <c r="L302">
        <v>10211470.48</v>
      </c>
      <c r="M302">
        <v>10125918.09</v>
      </c>
      <c r="N302">
        <v>10211470.48</v>
      </c>
      <c r="O302">
        <v>10125918.09</v>
      </c>
      <c r="P302">
        <v>11274673.789999999</v>
      </c>
      <c r="Q302">
        <v>11274673.789999999</v>
      </c>
      <c r="R302" s="14">
        <f>_xlfn.XLOOKUP(Table2[[#This Row],[LoanID]],Table1[G-L ID],Table1[ManagerCode],-99)</f>
        <v>103</v>
      </c>
      <c r="T302"/>
    </row>
    <row r="303" spans="1:20" x14ac:dyDescent="0.25">
      <c r="A303">
        <v>20100731</v>
      </c>
      <c r="B303">
        <v>2010</v>
      </c>
      <c r="C303">
        <v>7</v>
      </c>
      <c r="D303">
        <v>1</v>
      </c>
      <c r="E303">
        <v>11270</v>
      </c>
      <c r="F303">
        <v>25054.83</v>
      </c>
      <c r="G303">
        <v>0</v>
      </c>
      <c r="H303">
        <v>0</v>
      </c>
      <c r="I303">
        <v>-156.59</v>
      </c>
      <c r="J303">
        <v>0</v>
      </c>
      <c r="K303">
        <v>0</v>
      </c>
      <c r="L303">
        <v>17019117.57</v>
      </c>
      <c r="M303">
        <v>16876530.140000001</v>
      </c>
      <c r="N303">
        <v>17019117.57</v>
      </c>
      <c r="O303">
        <v>16876530.140000001</v>
      </c>
      <c r="P303">
        <v>18791123.030000001</v>
      </c>
      <c r="Q303">
        <v>18791123.030000001</v>
      </c>
      <c r="R303" s="14">
        <f>_xlfn.XLOOKUP(Table2[[#This Row],[LoanID]],Table1[G-L ID],Table1[ManagerCode],-99)</f>
        <v>103</v>
      </c>
      <c r="T303"/>
    </row>
    <row r="304" spans="1:20" x14ac:dyDescent="0.25">
      <c r="A304">
        <v>20100731</v>
      </c>
      <c r="B304">
        <v>2010</v>
      </c>
      <c r="C304">
        <v>7</v>
      </c>
      <c r="D304">
        <v>1</v>
      </c>
      <c r="E304">
        <v>11290</v>
      </c>
      <c r="F304">
        <v>22549.35</v>
      </c>
      <c r="G304">
        <v>0</v>
      </c>
      <c r="H304">
        <v>0</v>
      </c>
      <c r="I304">
        <v>-140.93</v>
      </c>
      <c r="J304">
        <v>0</v>
      </c>
      <c r="K304">
        <v>0</v>
      </c>
      <c r="L304">
        <v>15317205.810000001</v>
      </c>
      <c r="M304">
        <v>15188877.09</v>
      </c>
      <c r="N304">
        <v>15317205.810000001</v>
      </c>
      <c r="O304">
        <v>15188877.09</v>
      </c>
      <c r="P304">
        <v>16912010.73</v>
      </c>
      <c r="Q304">
        <v>16912010.73</v>
      </c>
      <c r="R304" s="14">
        <f>_xlfn.XLOOKUP(Table2[[#This Row],[LoanID]],Table1[G-L ID],Table1[ManagerCode],-99)</f>
        <v>103</v>
      </c>
      <c r="T304"/>
    </row>
    <row r="305" spans="1:20" x14ac:dyDescent="0.25">
      <c r="A305">
        <v>20100731</v>
      </c>
      <c r="B305">
        <v>2010</v>
      </c>
      <c r="C305">
        <v>7</v>
      </c>
      <c r="D305">
        <v>1</v>
      </c>
      <c r="E305">
        <v>11380</v>
      </c>
      <c r="F305">
        <v>40562.15</v>
      </c>
      <c r="G305">
        <v>0</v>
      </c>
      <c r="H305">
        <v>0</v>
      </c>
      <c r="I305">
        <v>0</v>
      </c>
      <c r="J305">
        <v>0</v>
      </c>
      <c r="K305">
        <v>50137.85</v>
      </c>
      <c r="L305">
        <v>6965359.5800000001</v>
      </c>
      <c r="M305">
        <v>6886113.1200000001</v>
      </c>
      <c r="N305">
        <v>6965359.5800000001</v>
      </c>
      <c r="O305">
        <v>6886113.1200000001</v>
      </c>
      <c r="P305">
        <v>6138030.9699999997</v>
      </c>
      <c r="Q305">
        <v>6087893.1200000001</v>
      </c>
      <c r="R305" s="14">
        <f>_xlfn.XLOOKUP(Table2[[#This Row],[LoanID]],Table1[G-L ID],Table1[ManagerCode],-99)</f>
        <v>103</v>
      </c>
      <c r="T305"/>
    </row>
    <row r="306" spans="1:20" x14ac:dyDescent="0.25">
      <c r="A306">
        <v>20100731</v>
      </c>
      <c r="B306">
        <v>2010</v>
      </c>
      <c r="C306">
        <v>7</v>
      </c>
      <c r="D306">
        <v>1</v>
      </c>
      <c r="E306">
        <v>11420</v>
      </c>
      <c r="F306">
        <v>498248.33</v>
      </c>
      <c r="G306">
        <v>0</v>
      </c>
      <c r="H306">
        <v>0</v>
      </c>
      <c r="I306">
        <v>0</v>
      </c>
      <c r="J306">
        <v>0</v>
      </c>
      <c r="K306">
        <v>0</v>
      </c>
      <c r="L306">
        <v>97447581.430000007</v>
      </c>
      <c r="M306">
        <v>97561236.519999996</v>
      </c>
      <c r="N306">
        <v>97447581.430000007</v>
      </c>
      <c r="O306">
        <v>97561236.519999996</v>
      </c>
      <c r="P306">
        <v>98000000</v>
      </c>
      <c r="Q306">
        <v>98000000</v>
      </c>
      <c r="R306" s="14">
        <f>_xlfn.XLOOKUP(Table2[[#This Row],[LoanID]],Table1[G-L ID],Table1[ManagerCode],-99)</f>
        <v>103</v>
      </c>
      <c r="T306"/>
    </row>
    <row r="307" spans="1:20" x14ac:dyDescent="0.25">
      <c r="A307">
        <v>20100731</v>
      </c>
      <c r="B307">
        <v>2010</v>
      </c>
      <c r="C307">
        <v>7</v>
      </c>
      <c r="D307">
        <v>1</v>
      </c>
      <c r="E307">
        <v>11510</v>
      </c>
      <c r="F307">
        <v>0</v>
      </c>
      <c r="G307">
        <v>0</v>
      </c>
      <c r="H307">
        <v>0</v>
      </c>
      <c r="I307">
        <v>0</v>
      </c>
      <c r="J307">
        <v>0</v>
      </c>
      <c r="K307">
        <v>0</v>
      </c>
      <c r="L307">
        <v>14602872.720000001</v>
      </c>
      <c r="M307">
        <v>14602872.720000001</v>
      </c>
      <c r="N307">
        <v>14602872.720000001</v>
      </c>
      <c r="O307">
        <v>14602872.720000001</v>
      </c>
      <c r="P307">
        <v>14602872.720000001</v>
      </c>
      <c r="Q307">
        <v>14602872.720000001</v>
      </c>
      <c r="R307" s="14">
        <f>_xlfn.XLOOKUP(Table2[[#This Row],[LoanID]],Table1[G-L ID],Table1[ManagerCode],-99)</f>
        <v>103</v>
      </c>
      <c r="T307"/>
    </row>
    <row r="308" spans="1:20" x14ac:dyDescent="0.25">
      <c r="A308">
        <v>20100731</v>
      </c>
      <c r="B308">
        <v>2010</v>
      </c>
      <c r="C308">
        <v>7</v>
      </c>
      <c r="D308">
        <v>1</v>
      </c>
      <c r="E308">
        <v>11780</v>
      </c>
      <c r="F308">
        <v>190087.51</v>
      </c>
      <c r="G308">
        <v>0</v>
      </c>
      <c r="H308">
        <v>0</v>
      </c>
      <c r="I308">
        <v>-1126.44</v>
      </c>
      <c r="J308">
        <v>0</v>
      </c>
      <c r="K308">
        <v>155637.98000000001</v>
      </c>
      <c r="L308">
        <v>61380294.420000002</v>
      </c>
      <c r="M308">
        <v>60393316.759999998</v>
      </c>
      <c r="N308">
        <v>61380294.420000002</v>
      </c>
      <c r="O308">
        <v>60393316.759999998</v>
      </c>
      <c r="P308">
        <v>67586670.799999997</v>
      </c>
      <c r="Q308">
        <v>67431032.819999993</v>
      </c>
      <c r="R308" s="14">
        <f>_xlfn.XLOOKUP(Table2[[#This Row],[LoanID]],Table1[G-L ID],Table1[ManagerCode],-99)</f>
        <v>103</v>
      </c>
      <c r="T308"/>
    </row>
    <row r="309" spans="1:20" x14ac:dyDescent="0.25">
      <c r="A309">
        <v>20100731</v>
      </c>
      <c r="B309">
        <v>2010</v>
      </c>
      <c r="C309">
        <v>7</v>
      </c>
      <c r="D309">
        <v>1</v>
      </c>
      <c r="E309">
        <v>11800</v>
      </c>
      <c r="F309">
        <v>164344.54999999999</v>
      </c>
      <c r="G309">
        <v>0</v>
      </c>
      <c r="H309">
        <v>0</v>
      </c>
      <c r="I309">
        <v>-276.52999999999997</v>
      </c>
      <c r="J309">
        <v>0</v>
      </c>
      <c r="K309">
        <v>55820.6</v>
      </c>
      <c r="L309">
        <v>21290566.739999998</v>
      </c>
      <c r="M309">
        <v>19673802.59</v>
      </c>
      <c r="N309">
        <v>21290566.739999998</v>
      </c>
      <c r="O309">
        <v>19673802.59</v>
      </c>
      <c r="P309">
        <v>33184159.93</v>
      </c>
      <c r="Q309">
        <v>33128339.329999998</v>
      </c>
      <c r="R309" s="14">
        <f>_xlfn.XLOOKUP(Table2[[#This Row],[LoanID]],Table1[G-L ID],Table1[ManagerCode],-99)</f>
        <v>103</v>
      </c>
      <c r="T309"/>
    </row>
    <row r="310" spans="1:20" x14ac:dyDescent="0.25">
      <c r="A310">
        <v>20100731</v>
      </c>
      <c r="B310">
        <v>2010</v>
      </c>
      <c r="C310">
        <v>7</v>
      </c>
      <c r="D310">
        <v>1</v>
      </c>
      <c r="E310">
        <v>11810</v>
      </c>
      <c r="F310">
        <v>51166.67</v>
      </c>
      <c r="G310">
        <v>0</v>
      </c>
      <c r="H310">
        <v>0</v>
      </c>
      <c r="I310">
        <v>0</v>
      </c>
      <c r="J310">
        <v>0</v>
      </c>
      <c r="K310">
        <v>0</v>
      </c>
      <c r="L310">
        <v>6097169.8600000003</v>
      </c>
      <c r="M310">
        <v>5576671.3399999999</v>
      </c>
      <c r="N310">
        <v>6097169.8600000003</v>
      </c>
      <c r="O310">
        <v>5576671.3399999999</v>
      </c>
      <c r="P310">
        <v>10000000</v>
      </c>
      <c r="Q310">
        <v>10000000</v>
      </c>
      <c r="R310" s="14">
        <f>_xlfn.XLOOKUP(Table2[[#This Row],[LoanID]],Table1[G-L ID],Table1[ManagerCode],-99)</f>
        <v>103</v>
      </c>
      <c r="T310"/>
    </row>
    <row r="311" spans="1:20" x14ac:dyDescent="0.25">
      <c r="A311">
        <v>20100731</v>
      </c>
      <c r="B311">
        <v>2010</v>
      </c>
      <c r="C311">
        <v>7</v>
      </c>
      <c r="D311">
        <v>1</v>
      </c>
      <c r="E311">
        <v>11860</v>
      </c>
      <c r="F311">
        <v>235333.33</v>
      </c>
      <c r="G311">
        <v>0</v>
      </c>
      <c r="H311">
        <v>0</v>
      </c>
      <c r="I311">
        <v>0</v>
      </c>
      <c r="J311">
        <v>0</v>
      </c>
      <c r="K311">
        <v>0</v>
      </c>
      <c r="L311">
        <v>48808928</v>
      </c>
      <c r="M311">
        <v>48864572.770000003</v>
      </c>
      <c r="N311">
        <v>48808928</v>
      </c>
      <c r="O311">
        <v>48864572.770000003</v>
      </c>
      <c r="P311">
        <v>49955944.310000002</v>
      </c>
      <c r="Q311">
        <v>49970629.539999999</v>
      </c>
      <c r="R311" s="14">
        <f>_xlfn.XLOOKUP(Table2[[#This Row],[LoanID]],Table1[G-L ID],Table1[ManagerCode],-99)</f>
        <v>103</v>
      </c>
      <c r="T311"/>
    </row>
    <row r="312" spans="1:20" x14ac:dyDescent="0.25">
      <c r="A312">
        <v>20100731</v>
      </c>
      <c r="B312">
        <v>2010</v>
      </c>
      <c r="C312">
        <v>7</v>
      </c>
      <c r="D312">
        <v>1</v>
      </c>
      <c r="E312">
        <v>11870</v>
      </c>
      <c r="F312">
        <v>117666.67</v>
      </c>
      <c r="G312">
        <v>0</v>
      </c>
      <c r="H312">
        <v>0</v>
      </c>
      <c r="I312">
        <v>0</v>
      </c>
      <c r="J312">
        <v>0</v>
      </c>
      <c r="K312">
        <v>0</v>
      </c>
      <c r="L312">
        <v>24404464</v>
      </c>
      <c r="M312">
        <v>24432286.390000001</v>
      </c>
      <c r="N312">
        <v>24404464</v>
      </c>
      <c r="O312">
        <v>24432286.390000001</v>
      </c>
      <c r="P312">
        <v>24975638.73</v>
      </c>
      <c r="Q312">
        <v>24983759.149999999</v>
      </c>
      <c r="R312" s="14">
        <f>_xlfn.XLOOKUP(Table2[[#This Row],[LoanID]],Table1[G-L ID],Table1[ManagerCode],-99)</f>
        <v>103</v>
      </c>
      <c r="T312"/>
    </row>
    <row r="313" spans="1:20" x14ac:dyDescent="0.25">
      <c r="A313">
        <v>20100731</v>
      </c>
      <c r="B313">
        <v>2010</v>
      </c>
      <c r="C313">
        <v>7</v>
      </c>
      <c r="D313">
        <v>1</v>
      </c>
      <c r="E313">
        <v>11900</v>
      </c>
      <c r="F313">
        <v>0</v>
      </c>
      <c r="G313">
        <v>0</v>
      </c>
      <c r="H313">
        <v>0</v>
      </c>
      <c r="I313">
        <v>0</v>
      </c>
      <c r="J313">
        <v>0</v>
      </c>
      <c r="K313">
        <v>0</v>
      </c>
      <c r="L313">
        <v>55000000</v>
      </c>
      <c r="M313">
        <v>55000000</v>
      </c>
      <c r="N313">
        <v>55000000</v>
      </c>
      <c r="O313">
        <v>55000000</v>
      </c>
      <c r="P313">
        <v>55000000</v>
      </c>
      <c r="Q313">
        <v>55000000</v>
      </c>
      <c r="R313" s="14">
        <f>_xlfn.XLOOKUP(Table2[[#This Row],[LoanID]],Table1[G-L ID],Table1[ManagerCode],-99)</f>
        <v>103</v>
      </c>
      <c r="T313"/>
    </row>
    <row r="314" spans="1:20" x14ac:dyDescent="0.25">
      <c r="A314">
        <v>20100731</v>
      </c>
      <c r="B314">
        <v>2010</v>
      </c>
      <c r="C314">
        <v>7</v>
      </c>
      <c r="D314">
        <v>1</v>
      </c>
      <c r="E314">
        <v>11930</v>
      </c>
      <c r="F314">
        <v>203938.01</v>
      </c>
      <c r="G314">
        <v>0</v>
      </c>
      <c r="H314">
        <v>0</v>
      </c>
      <c r="I314">
        <v>0</v>
      </c>
      <c r="J314">
        <v>0</v>
      </c>
      <c r="K314">
        <v>0</v>
      </c>
      <c r="L314">
        <v>194904220.5</v>
      </c>
      <c r="M314">
        <v>194987682.40000001</v>
      </c>
      <c r="N314">
        <v>194904220.5</v>
      </c>
      <c r="O314">
        <v>194987682.40000001</v>
      </c>
      <c r="P314">
        <v>195780481.30000001</v>
      </c>
      <c r="Q314">
        <v>195780481.30000001</v>
      </c>
      <c r="R314" s="14">
        <f>_xlfn.XLOOKUP(Table2[[#This Row],[LoanID]],Table1[G-L ID],Table1[ManagerCode],-99)</f>
        <v>103</v>
      </c>
      <c r="T314"/>
    </row>
    <row r="315" spans="1:20" x14ac:dyDescent="0.25">
      <c r="A315">
        <v>20100731</v>
      </c>
      <c r="B315">
        <v>2010</v>
      </c>
      <c r="C315">
        <v>7</v>
      </c>
      <c r="D315">
        <v>1</v>
      </c>
      <c r="E315">
        <v>11940</v>
      </c>
      <c r="F315">
        <v>66794.600000000006</v>
      </c>
      <c r="G315">
        <v>0</v>
      </c>
      <c r="H315">
        <v>0</v>
      </c>
      <c r="I315">
        <v>0</v>
      </c>
      <c r="J315">
        <v>0</v>
      </c>
      <c r="K315">
        <v>0</v>
      </c>
      <c r="L315">
        <v>63024565.100000001</v>
      </c>
      <c r="M315">
        <v>62843176.700000003</v>
      </c>
      <c r="N315">
        <v>63024565.100000001</v>
      </c>
      <c r="O315">
        <v>62843176.700000003</v>
      </c>
      <c r="P315">
        <v>64090328.869999997</v>
      </c>
      <c r="Q315">
        <v>64092494.729999997</v>
      </c>
      <c r="R315" s="14">
        <f>_xlfn.XLOOKUP(Table2[[#This Row],[LoanID]],Table1[G-L ID],Table1[ManagerCode],-99)</f>
        <v>103</v>
      </c>
      <c r="T315"/>
    </row>
    <row r="316" spans="1:20" x14ac:dyDescent="0.25">
      <c r="A316">
        <v>20100731</v>
      </c>
      <c r="B316">
        <v>2010</v>
      </c>
      <c r="C316">
        <v>7</v>
      </c>
      <c r="D316">
        <v>1</v>
      </c>
      <c r="E316">
        <v>11951</v>
      </c>
      <c r="F316">
        <v>161245</v>
      </c>
      <c r="G316">
        <v>0</v>
      </c>
      <c r="H316">
        <v>0</v>
      </c>
      <c r="I316">
        <v>-283.33</v>
      </c>
      <c r="J316">
        <v>0</v>
      </c>
      <c r="K316">
        <v>0</v>
      </c>
      <c r="L316">
        <v>34744071.460000001</v>
      </c>
      <c r="M316">
        <v>34633215</v>
      </c>
      <c r="N316">
        <v>34744071.460000001</v>
      </c>
      <c r="O316">
        <v>34633215</v>
      </c>
      <c r="P316">
        <v>33988502.539999999</v>
      </c>
      <c r="Q316">
        <v>33990145.030000001</v>
      </c>
      <c r="R316" s="14">
        <f>_xlfn.XLOOKUP(Table2[[#This Row],[LoanID]],Table1[G-L ID],Table1[ManagerCode],-99)</f>
        <v>103</v>
      </c>
      <c r="T316"/>
    </row>
    <row r="317" spans="1:20" x14ac:dyDescent="0.25">
      <c r="A317">
        <v>20100731</v>
      </c>
      <c r="B317">
        <v>2010</v>
      </c>
      <c r="C317">
        <v>7</v>
      </c>
      <c r="D317">
        <v>1</v>
      </c>
      <c r="E317">
        <v>11952</v>
      </c>
      <c r="F317">
        <v>115395.01</v>
      </c>
      <c r="G317">
        <v>0</v>
      </c>
      <c r="H317">
        <v>0</v>
      </c>
      <c r="I317">
        <v>-175.01</v>
      </c>
      <c r="J317">
        <v>0</v>
      </c>
      <c r="K317">
        <v>0</v>
      </c>
      <c r="L317">
        <v>21528421.359999999</v>
      </c>
      <c r="M317">
        <v>21450254.239999998</v>
      </c>
      <c r="N317">
        <v>21528421.359999999</v>
      </c>
      <c r="O317">
        <v>21450254.239999998</v>
      </c>
      <c r="P317">
        <v>21000000</v>
      </c>
      <c r="Q317">
        <v>21000000</v>
      </c>
      <c r="R317" s="14">
        <f>_xlfn.XLOOKUP(Table2[[#This Row],[LoanID]],Table1[G-L ID],Table1[ManagerCode],-99)</f>
        <v>103</v>
      </c>
      <c r="T317"/>
    </row>
    <row r="318" spans="1:20" x14ac:dyDescent="0.25">
      <c r="A318">
        <v>20100731</v>
      </c>
      <c r="B318">
        <v>2010</v>
      </c>
      <c r="C318">
        <v>7</v>
      </c>
      <c r="D318">
        <v>1</v>
      </c>
      <c r="E318">
        <v>12000</v>
      </c>
      <c r="F318">
        <v>125525.26</v>
      </c>
      <c r="G318">
        <v>0</v>
      </c>
      <c r="H318">
        <v>0</v>
      </c>
      <c r="I318">
        <v>0</v>
      </c>
      <c r="J318">
        <v>0</v>
      </c>
      <c r="K318">
        <v>0</v>
      </c>
      <c r="L318">
        <v>21353637.289999999</v>
      </c>
      <c r="M318">
        <v>20647666.149999999</v>
      </c>
      <c r="N318">
        <v>21353637.289999999</v>
      </c>
      <c r="O318">
        <v>20647666.149999999</v>
      </c>
      <c r="P318">
        <v>25086301.989999998</v>
      </c>
      <c r="Q318">
        <v>25086996.43</v>
      </c>
      <c r="R318" s="14">
        <f>_xlfn.XLOOKUP(Table2[[#This Row],[LoanID]],Table1[G-L ID],Table1[ManagerCode],-99)</f>
        <v>103</v>
      </c>
      <c r="T318"/>
    </row>
    <row r="319" spans="1:20" x14ac:dyDescent="0.25">
      <c r="A319">
        <v>20100731</v>
      </c>
      <c r="B319">
        <v>2010</v>
      </c>
      <c r="C319">
        <v>7</v>
      </c>
      <c r="D319">
        <v>1</v>
      </c>
      <c r="E319">
        <v>12200</v>
      </c>
      <c r="F319">
        <v>92265.77</v>
      </c>
      <c r="G319">
        <v>0</v>
      </c>
      <c r="H319">
        <v>0</v>
      </c>
      <c r="I319">
        <v>-0.01</v>
      </c>
      <c r="J319">
        <v>0</v>
      </c>
      <c r="K319">
        <v>29943.79</v>
      </c>
      <c r="L319">
        <v>21684237.969999999</v>
      </c>
      <c r="M319">
        <v>21620669.82</v>
      </c>
      <c r="N319">
        <v>21684237.969999999</v>
      </c>
      <c r="O319">
        <v>21620669.82</v>
      </c>
      <c r="P319">
        <v>20076090.02</v>
      </c>
      <c r="Q319">
        <v>20046484.140000001</v>
      </c>
      <c r="R319" s="14">
        <f>_xlfn.XLOOKUP(Table2[[#This Row],[LoanID]],Table1[G-L ID],Table1[ManagerCode],-99)</f>
        <v>103</v>
      </c>
      <c r="T319"/>
    </row>
    <row r="320" spans="1:20" x14ac:dyDescent="0.25">
      <c r="A320">
        <v>20100731</v>
      </c>
      <c r="B320">
        <v>2010</v>
      </c>
      <c r="C320">
        <v>7</v>
      </c>
      <c r="D320">
        <v>1</v>
      </c>
      <c r="E320">
        <v>12210</v>
      </c>
      <c r="F320">
        <v>740026.49</v>
      </c>
      <c r="G320">
        <v>0</v>
      </c>
      <c r="H320">
        <v>0</v>
      </c>
      <c r="I320">
        <v>0</v>
      </c>
      <c r="J320">
        <v>0</v>
      </c>
      <c r="K320">
        <v>165628.78</v>
      </c>
      <c r="L320">
        <v>141233632.09999999</v>
      </c>
      <c r="M320">
        <v>140457832.69999999</v>
      </c>
      <c r="N320">
        <v>141233632.09999999</v>
      </c>
      <c r="O320">
        <v>140457832.69999999</v>
      </c>
      <c r="P320">
        <v>119737480.8</v>
      </c>
      <c r="Q320">
        <v>119571852.09999999</v>
      </c>
      <c r="R320" s="14">
        <f>_xlfn.XLOOKUP(Table2[[#This Row],[LoanID]],Table1[G-L ID],Table1[ManagerCode],-99)</f>
        <v>103</v>
      </c>
      <c r="T320"/>
    </row>
    <row r="321" spans="1:20" x14ac:dyDescent="0.25">
      <c r="A321">
        <v>20100831</v>
      </c>
      <c r="B321">
        <v>2010</v>
      </c>
      <c r="C321">
        <v>8</v>
      </c>
      <c r="D321">
        <v>1</v>
      </c>
      <c r="E321">
        <v>10050</v>
      </c>
      <c r="F321">
        <v>153981.01999999999</v>
      </c>
      <c r="G321">
        <v>0</v>
      </c>
      <c r="H321">
        <v>0</v>
      </c>
      <c r="I321">
        <v>-69.44</v>
      </c>
      <c r="J321">
        <v>0</v>
      </c>
      <c r="K321">
        <v>0</v>
      </c>
      <c r="L321">
        <v>22966692.039999999</v>
      </c>
      <c r="M321">
        <v>23926973.48</v>
      </c>
      <c r="N321">
        <v>22966692.039999999</v>
      </c>
      <c r="O321">
        <v>23926973.48</v>
      </c>
      <c r="P321">
        <v>33333334</v>
      </c>
      <c r="Q321">
        <v>33333334</v>
      </c>
      <c r="R321" s="14">
        <f>_xlfn.XLOOKUP(Table2[[#This Row],[LoanID]],Table1[G-L ID],Table1[ManagerCode],-99)</f>
        <v>103</v>
      </c>
      <c r="T321"/>
    </row>
    <row r="322" spans="1:20" x14ac:dyDescent="0.25">
      <c r="A322">
        <v>20100831</v>
      </c>
      <c r="B322">
        <v>2010</v>
      </c>
      <c r="C322">
        <v>8</v>
      </c>
      <c r="D322">
        <v>1</v>
      </c>
      <c r="E322">
        <v>10080</v>
      </c>
      <c r="F322">
        <v>351042.71</v>
      </c>
      <c r="G322">
        <v>0</v>
      </c>
      <c r="H322">
        <v>0</v>
      </c>
      <c r="I322">
        <v>-161.46</v>
      </c>
      <c r="J322">
        <v>0</v>
      </c>
      <c r="K322">
        <v>0</v>
      </c>
      <c r="L322">
        <v>78924535.939999998</v>
      </c>
      <c r="M322">
        <v>69413157.280000001</v>
      </c>
      <c r="N322">
        <v>78924535.939999998</v>
      </c>
      <c r="O322">
        <v>69413157.280000001</v>
      </c>
      <c r="P322">
        <v>75000000</v>
      </c>
      <c r="Q322">
        <v>75000000</v>
      </c>
      <c r="R322" s="14">
        <f>_xlfn.XLOOKUP(Table2[[#This Row],[LoanID]],Table1[G-L ID],Table1[ManagerCode],-99)</f>
        <v>103</v>
      </c>
      <c r="T322"/>
    </row>
    <row r="323" spans="1:20" x14ac:dyDescent="0.25">
      <c r="A323">
        <v>20100831</v>
      </c>
      <c r="B323">
        <v>2010</v>
      </c>
      <c r="C323">
        <v>8</v>
      </c>
      <c r="D323">
        <v>1</v>
      </c>
      <c r="E323">
        <v>10130</v>
      </c>
      <c r="F323">
        <v>38062.050000000003</v>
      </c>
      <c r="G323">
        <v>0</v>
      </c>
      <c r="H323">
        <v>0</v>
      </c>
      <c r="I323">
        <v>0</v>
      </c>
      <c r="J323">
        <v>0</v>
      </c>
      <c r="K323">
        <v>29628.639999999999</v>
      </c>
      <c r="L323">
        <v>8891500.7200000007</v>
      </c>
      <c r="M323">
        <v>8867621.3000000007</v>
      </c>
      <c r="N323">
        <v>8891500.7200000007</v>
      </c>
      <c r="O323">
        <v>8867621.3000000007</v>
      </c>
      <c r="P323">
        <v>8411502.6500000004</v>
      </c>
      <c r="Q323">
        <v>8381874.0099999998</v>
      </c>
      <c r="R323" s="14">
        <f>_xlfn.XLOOKUP(Table2[[#This Row],[LoanID]],Table1[G-L ID],Table1[ManagerCode],-99)</f>
        <v>103</v>
      </c>
      <c r="T323"/>
    </row>
    <row r="324" spans="1:20" x14ac:dyDescent="0.25">
      <c r="A324">
        <v>20100831</v>
      </c>
      <c r="B324">
        <v>2010</v>
      </c>
      <c r="C324">
        <v>8</v>
      </c>
      <c r="D324">
        <v>1</v>
      </c>
      <c r="E324">
        <v>10140</v>
      </c>
      <c r="F324">
        <v>100340.11</v>
      </c>
      <c r="G324">
        <v>0</v>
      </c>
      <c r="H324">
        <v>0</v>
      </c>
      <c r="I324">
        <v>0</v>
      </c>
      <c r="J324">
        <v>0</v>
      </c>
      <c r="K324">
        <v>77484.22</v>
      </c>
      <c r="L324">
        <v>23440748.649999999</v>
      </c>
      <c r="M324">
        <v>23378452.359999999</v>
      </c>
      <c r="N324">
        <v>23440748.649999999</v>
      </c>
      <c r="O324">
        <v>23378452.359999999</v>
      </c>
      <c r="P324">
        <v>22174610.739999998</v>
      </c>
      <c r="Q324">
        <v>22097126.52</v>
      </c>
      <c r="R324" s="14">
        <f>_xlfn.XLOOKUP(Table2[[#This Row],[LoanID]],Table1[G-L ID],Table1[ManagerCode],-99)</f>
        <v>103</v>
      </c>
      <c r="T324"/>
    </row>
    <row r="325" spans="1:20" x14ac:dyDescent="0.25">
      <c r="A325">
        <v>20100831</v>
      </c>
      <c r="B325">
        <v>2010</v>
      </c>
      <c r="C325">
        <v>8</v>
      </c>
      <c r="D325">
        <v>1</v>
      </c>
      <c r="E325">
        <v>10150</v>
      </c>
      <c r="F325">
        <v>247086.47</v>
      </c>
      <c r="G325">
        <v>0</v>
      </c>
      <c r="H325">
        <v>0</v>
      </c>
      <c r="I325">
        <v>0</v>
      </c>
      <c r="J325">
        <v>0</v>
      </c>
      <c r="K325">
        <v>66233.53</v>
      </c>
      <c r="L325">
        <v>52240048.909999996</v>
      </c>
      <c r="M325">
        <v>52313959.020000003</v>
      </c>
      <c r="N325">
        <v>52240048.909999996</v>
      </c>
      <c r="O325">
        <v>52313959.020000003</v>
      </c>
      <c r="P325">
        <v>53522397.829999998</v>
      </c>
      <c r="Q325">
        <v>53459811.82</v>
      </c>
      <c r="R325" s="14">
        <f>_xlfn.XLOOKUP(Table2[[#This Row],[LoanID]],Table1[G-L ID],Table1[ManagerCode],-99)</f>
        <v>103</v>
      </c>
      <c r="T325"/>
    </row>
    <row r="326" spans="1:20" x14ac:dyDescent="0.25">
      <c r="A326">
        <v>20100831</v>
      </c>
      <c r="B326">
        <v>2010</v>
      </c>
      <c r="C326">
        <v>8</v>
      </c>
      <c r="D326">
        <v>1</v>
      </c>
      <c r="E326">
        <v>10170</v>
      </c>
      <c r="F326">
        <v>254786.77</v>
      </c>
      <c r="G326">
        <v>0</v>
      </c>
      <c r="H326">
        <v>0</v>
      </c>
      <c r="I326">
        <v>-1221.02</v>
      </c>
      <c r="J326">
        <v>0</v>
      </c>
      <c r="K326">
        <v>61841.86</v>
      </c>
      <c r="L326">
        <v>50876523.490000002</v>
      </c>
      <c r="M326">
        <v>50877810.200000003</v>
      </c>
      <c r="N326">
        <v>50876523.490000002</v>
      </c>
      <c r="O326">
        <v>50877810.200000003</v>
      </c>
      <c r="P326">
        <v>47265400.649999999</v>
      </c>
      <c r="Q326">
        <v>47203558.789999999</v>
      </c>
      <c r="R326" s="14">
        <f>_xlfn.XLOOKUP(Table2[[#This Row],[LoanID]],Table1[G-L ID],Table1[ManagerCode],-99)</f>
        <v>103</v>
      </c>
      <c r="T326"/>
    </row>
    <row r="327" spans="1:20" x14ac:dyDescent="0.25">
      <c r="A327">
        <v>20100831</v>
      </c>
      <c r="B327">
        <v>2010</v>
      </c>
      <c r="C327">
        <v>8</v>
      </c>
      <c r="D327">
        <v>1</v>
      </c>
      <c r="E327">
        <v>10230</v>
      </c>
      <c r="F327">
        <v>187747.1</v>
      </c>
      <c r="G327">
        <v>0</v>
      </c>
      <c r="H327">
        <v>0</v>
      </c>
      <c r="I327">
        <v>0</v>
      </c>
      <c r="J327">
        <v>0</v>
      </c>
      <c r="K327">
        <v>53850.97</v>
      </c>
      <c r="L327">
        <v>22083103.210000001</v>
      </c>
      <c r="M327">
        <v>22406489.48</v>
      </c>
      <c r="N327">
        <v>22083103.210000001</v>
      </c>
      <c r="O327">
        <v>22406489.48</v>
      </c>
      <c r="P327">
        <v>33426783.719999999</v>
      </c>
      <c r="Q327">
        <v>33372932.75</v>
      </c>
      <c r="R327" s="14">
        <f>_xlfn.XLOOKUP(Table2[[#This Row],[LoanID]],Table1[G-L ID],Table1[ManagerCode],-99)</f>
        <v>103</v>
      </c>
      <c r="T327"/>
    </row>
    <row r="328" spans="1:20" x14ac:dyDescent="0.25">
      <c r="A328">
        <v>20100831</v>
      </c>
      <c r="B328">
        <v>2010</v>
      </c>
      <c r="C328">
        <v>8</v>
      </c>
      <c r="D328">
        <v>1</v>
      </c>
      <c r="E328">
        <v>10280</v>
      </c>
      <c r="F328">
        <v>731277.56</v>
      </c>
      <c r="G328">
        <v>0</v>
      </c>
      <c r="H328">
        <v>7022.4</v>
      </c>
      <c r="I328">
        <v>-10888.88</v>
      </c>
      <c r="J328">
        <v>0</v>
      </c>
      <c r="K328">
        <v>0</v>
      </c>
      <c r="L328">
        <v>33181938.239999998</v>
      </c>
      <c r="M328">
        <v>11874804.02</v>
      </c>
      <c r="N328">
        <v>33181938.239999998</v>
      </c>
      <c r="O328">
        <v>11874804.02</v>
      </c>
      <c r="P328">
        <v>35000000</v>
      </c>
      <c r="Q328">
        <v>35000000</v>
      </c>
      <c r="R328" s="14">
        <f>_xlfn.XLOOKUP(Table2[[#This Row],[LoanID]],Table1[G-L ID],Table1[ManagerCode],-99)</f>
        <v>103</v>
      </c>
      <c r="T328"/>
    </row>
    <row r="329" spans="1:20" x14ac:dyDescent="0.25">
      <c r="A329">
        <v>20100831</v>
      </c>
      <c r="B329">
        <v>2010</v>
      </c>
      <c r="C329">
        <v>8</v>
      </c>
      <c r="D329">
        <v>1</v>
      </c>
      <c r="E329">
        <v>10290</v>
      </c>
      <c r="F329">
        <v>604436.93999999994</v>
      </c>
      <c r="G329">
        <v>0</v>
      </c>
      <c r="H329">
        <v>6631</v>
      </c>
      <c r="I329">
        <v>-7777.79</v>
      </c>
      <c r="J329">
        <v>0</v>
      </c>
      <c r="K329">
        <v>0</v>
      </c>
      <c r="L329">
        <v>25400957.52</v>
      </c>
      <c r="M329">
        <v>7073864.5499999998</v>
      </c>
      <c r="N329">
        <v>25400957.52</v>
      </c>
      <c r="O329">
        <v>7073864.5499999998</v>
      </c>
      <c r="P329">
        <v>25000000</v>
      </c>
      <c r="Q329">
        <v>25000000</v>
      </c>
      <c r="R329" s="14">
        <f>_xlfn.XLOOKUP(Table2[[#This Row],[LoanID]],Table1[G-L ID],Table1[ManagerCode],-99)</f>
        <v>103</v>
      </c>
      <c r="T329"/>
    </row>
    <row r="330" spans="1:20" x14ac:dyDescent="0.25">
      <c r="A330">
        <v>20100831</v>
      </c>
      <c r="B330">
        <v>2010</v>
      </c>
      <c r="C330">
        <v>8</v>
      </c>
      <c r="D330">
        <v>1</v>
      </c>
      <c r="E330">
        <v>10300</v>
      </c>
      <c r="F330">
        <v>383975.78</v>
      </c>
      <c r="G330">
        <v>0</v>
      </c>
      <c r="H330">
        <v>0</v>
      </c>
      <c r="I330">
        <v>-36349.26</v>
      </c>
      <c r="J330">
        <v>-35000000</v>
      </c>
      <c r="K330">
        <v>0</v>
      </c>
      <c r="L330">
        <v>0</v>
      </c>
      <c r="M330">
        <v>32587568.170000002</v>
      </c>
      <c r="N330">
        <v>0</v>
      </c>
      <c r="O330">
        <v>32587568.170000002</v>
      </c>
      <c r="P330">
        <v>0</v>
      </c>
      <c r="Q330">
        <v>35000000</v>
      </c>
      <c r="R330" s="14">
        <f>_xlfn.XLOOKUP(Table2[[#This Row],[LoanID]],Table1[G-L ID],Table1[ManagerCode],-99)</f>
        <v>103</v>
      </c>
      <c r="T330"/>
    </row>
    <row r="331" spans="1:20" x14ac:dyDescent="0.25">
      <c r="A331">
        <v>20100831</v>
      </c>
      <c r="B331">
        <v>2010</v>
      </c>
      <c r="C331">
        <v>8</v>
      </c>
      <c r="D331">
        <v>1</v>
      </c>
      <c r="E331">
        <v>10370</v>
      </c>
      <c r="F331">
        <v>12671.12</v>
      </c>
      <c r="G331">
        <v>0</v>
      </c>
      <c r="H331">
        <v>0</v>
      </c>
      <c r="I331">
        <v>0</v>
      </c>
      <c r="J331">
        <v>0</v>
      </c>
      <c r="K331">
        <v>64450.65</v>
      </c>
      <c r="L331">
        <v>2524949.4700000002</v>
      </c>
      <c r="M331">
        <v>2496498.67</v>
      </c>
      <c r="N331">
        <v>2524949.4700000002</v>
      </c>
      <c r="O331">
        <v>2496498.67</v>
      </c>
      <c r="P331">
        <v>3544690.81</v>
      </c>
      <c r="Q331">
        <v>3480240.16</v>
      </c>
      <c r="R331" s="14">
        <f>_xlfn.XLOOKUP(Table2[[#This Row],[LoanID]],Table1[G-L ID],Table1[ManagerCode],-99)</f>
        <v>103</v>
      </c>
      <c r="T331"/>
    </row>
    <row r="332" spans="1:20" x14ac:dyDescent="0.25">
      <c r="A332">
        <v>20100831</v>
      </c>
      <c r="B332">
        <v>2010</v>
      </c>
      <c r="C332">
        <v>8</v>
      </c>
      <c r="D332">
        <v>1</v>
      </c>
      <c r="E332">
        <v>10380</v>
      </c>
      <c r="F332">
        <v>58884.11</v>
      </c>
      <c r="G332">
        <v>0</v>
      </c>
      <c r="H332">
        <v>0</v>
      </c>
      <c r="I332">
        <v>-92.5</v>
      </c>
      <c r="J332">
        <v>0</v>
      </c>
      <c r="K332">
        <v>656.78</v>
      </c>
      <c r="L332">
        <v>11094655.460000001</v>
      </c>
      <c r="M332">
        <v>11096675.9</v>
      </c>
      <c r="N332">
        <v>11094655.460000001</v>
      </c>
      <c r="O332">
        <v>11096675.9</v>
      </c>
      <c r="P332">
        <v>11105254.199999999</v>
      </c>
      <c r="Q332">
        <v>11104597.42</v>
      </c>
      <c r="R332" s="14">
        <f>_xlfn.XLOOKUP(Table2[[#This Row],[LoanID]],Table1[G-L ID],Table1[ManagerCode],-99)</f>
        <v>103</v>
      </c>
      <c r="T332"/>
    </row>
    <row r="333" spans="1:20" x14ac:dyDescent="0.25">
      <c r="A333">
        <v>20100831</v>
      </c>
      <c r="B333">
        <v>2010</v>
      </c>
      <c r="C333">
        <v>8</v>
      </c>
      <c r="D333">
        <v>1</v>
      </c>
      <c r="E333">
        <v>10390</v>
      </c>
      <c r="F333">
        <v>118750</v>
      </c>
      <c r="G333">
        <v>0</v>
      </c>
      <c r="H333">
        <v>0</v>
      </c>
      <c r="I333">
        <v>0</v>
      </c>
      <c r="J333">
        <v>0</v>
      </c>
      <c r="K333">
        <v>0</v>
      </c>
      <c r="L333">
        <v>23575217.559999999</v>
      </c>
      <c r="M333">
        <v>23794735.710000001</v>
      </c>
      <c r="N333">
        <v>23575217.559999999</v>
      </c>
      <c r="O333">
        <v>23794735.710000001</v>
      </c>
      <c r="P333">
        <v>24990816.239999998</v>
      </c>
      <c r="Q333">
        <v>24991020.32</v>
      </c>
      <c r="R333" s="14">
        <f>_xlfn.XLOOKUP(Table2[[#This Row],[LoanID]],Table1[G-L ID],Table1[ManagerCode],-99)</f>
        <v>103</v>
      </c>
      <c r="T333"/>
    </row>
    <row r="334" spans="1:20" x14ac:dyDescent="0.25">
      <c r="A334">
        <v>20100831</v>
      </c>
      <c r="B334">
        <v>2010</v>
      </c>
      <c r="C334">
        <v>8</v>
      </c>
      <c r="D334">
        <v>1</v>
      </c>
      <c r="E334">
        <v>10450</v>
      </c>
      <c r="F334">
        <v>121213.57</v>
      </c>
      <c r="G334">
        <v>0</v>
      </c>
      <c r="H334">
        <v>0</v>
      </c>
      <c r="I334">
        <v>0</v>
      </c>
      <c r="J334">
        <v>0</v>
      </c>
      <c r="K334">
        <v>20601.68</v>
      </c>
      <c r="L334">
        <v>21371387.140000001</v>
      </c>
      <c r="M334">
        <v>21501548.190000001</v>
      </c>
      <c r="N334">
        <v>21371387.140000001</v>
      </c>
      <c r="O334">
        <v>21501548.190000001</v>
      </c>
      <c r="P334">
        <v>21674397.48</v>
      </c>
      <c r="Q334">
        <v>21655351.399999999</v>
      </c>
      <c r="R334" s="14">
        <f>_xlfn.XLOOKUP(Table2[[#This Row],[LoanID]],Table1[G-L ID],Table1[ManagerCode],-99)</f>
        <v>103</v>
      </c>
      <c r="T334"/>
    </row>
    <row r="335" spans="1:20" x14ac:dyDescent="0.25">
      <c r="A335">
        <v>20100831</v>
      </c>
      <c r="B335">
        <v>2010</v>
      </c>
      <c r="C335">
        <v>8</v>
      </c>
      <c r="D335">
        <v>1</v>
      </c>
      <c r="E335">
        <v>10520</v>
      </c>
      <c r="F335">
        <v>5339.67</v>
      </c>
      <c r="G335">
        <v>0</v>
      </c>
      <c r="H335">
        <v>0</v>
      </c>
      <c r="I335">
        <v>-1249.54</v>
      </c>
      <c r="J335">
        <v>0</v>
      </c>
      <c r="K335">
        <v>0</v>
      </c>
      <c r="L335">
        <v>4143506.83</v>
      </c>
      <c r="M335">
        <v>3980856.94</v>
      </c>
      <c r="N335">
        <v>4143506.83</v>
      </c>
      <c r="O335">
        <v>3980856.94</v>
      </c>
      <c r="P335">
        <v>4158887.64</v>
      </c>
      <c r="Q335">
        <v>4158887.64</v>
      </c>
      <c r="R335" s="14">
        <f>_xlfn.XLOOKUP(Table2[[#This Row],[LoanID]],Table1[G-L ID],Table1[ManagerCode],-99)</f>
        <v>103</v>
      </c>
      <c r="T335"/>
    </row>
    <row r="336" spans="1:20" x14ac:dyDescent="0.25">
      <c r="A336">
        <v>20100831</v>
      </c>
      <c r="B336">
        <v>2010</v>
      </c>
      <c r="C336">
        <v>8</v>
      </c>
      <c r="D336">
        <v>1</v>
      </c>
      <c r="E336">
        <v>10530</v>
      </c>
      <c r="F336">
        <v>115692.74</v>
      </c>
      <c r="G336">
        <v>0</v>
      </c>
      <c r="H336">
        <v>0</v>
      </c>
      <c r="I336">
        <v>-27073.53</v>
      </c>
      <c r="J336">
        <v>0</v>
      </c>
      <c r="K336">
        <v>0</v>
      </c>
      <c r="L336">
        <v>89775891.349999994</v>
      </c>
      <c r="M336">
        <v>86251813.739999995</v>
      </c>
      <c r="N336">
        <v>89775891.349999994</v>
      </c>
      <c r="O336">
        <v>86251813.739999995</v>
      </c>
      <c r="P336">
        <v>90109231.989999995</v>
      </c>
      <c r="Q336">
        <v>90109231.989999995</v>
      </c>
      <c r="R336" s="14">
        <f>_xlfn.XLOOKUP(Table2[[#This Row],[LoanID]],Table1[G-L ID],Table1[ManagerCode],-99)</f>
        <v>103</v>
      </c>
      <c r="T336"/>
    </row>
    <row r="337" spans="1:20" x14ac:dyDescent="0.25">
      <c r="A337">
        <v>20100831</v>
      </c>
      <c r="B337">
        <v>2010</v>
      </c>
      <c r="C337">
        <v>8</v>
      </c>
      <c r="D337">
        <v>1</v>
      </c>
      <c r="E337">
        <v>10540</v>
      </c>
      <c r="F337">
        <v>16019</v>
      </c>
      <c r="G337">
        <v>0</v>
      </c>
      <c r="H337">
        <v>0</v>
      </c>
      <c r="I337">
        <v>-3748.64</v>
      </c>
      <c r="J337">
        <v>0</v>
      </c>
      <c r="K337">
        <v>0</v>
      </c>
      <c r="L337">
        <v>12430520.470000001</v>
      </c>
      <c r="M337">
        <v>11942570.720000001</v>
      </c>
      <c r="N337">
        <v>12430520.470000001</v>
      </c>
      <c r="O337">
        <v>11942570.720000001</v>
      </c>
      <c r="P337">
        <v>12476662.9</v>
      </c>
      <c r="Q337">
        <v>12476662.9</v>
      </c>
      <c r="R337" s="14">
        <f>_xlfn.XLOOKUP(Table2[[#This Row],[LoanID]],Table1[G-L ID],Table1[ManagerCode],-99)</f>
        <v>103</v>
      </c>
      <c r="T337"/>
    </row>
    <row r="338" spans="1:20" x14ac:dyDescent="0.25">
      <c r="A338">
        <v>20100831</v>
      </c>
      <c r="B338">
        <v>2010</v>
      </c>
      <c r="C338">
        <v>8</v>
      </c>
      <c r="D338">
        <v>1</v>
      </c>
      <c r="E338">
        <v>10630</v>
      </c>
      <c r="F338">
        <v>50152.57</v>
      </c>
      <c r="G338">
        <v>0</v>
      </c>
      <c r="H338">
        <v>0</v>
      </c>
      <c r="I338">
        <v>0.01</v>
      </c>
      <c r="J338">
        <v>0</v>
      </c>
      <c r="K338">
        <v>12463.5</v>
      </c>
      <c r="L338">
        <v>9126638.1999999993</v>
      </c>
      <c r="M338">
        <v>9184564.8200000003</v>
      </c>
      <c r="N338">
        <v>9126638.1999999993</v>
      </c>
      <c r="O338">
        <v>9184564.8200000003</v>
      </c>
      <c r="P338">
        <v>9388938.4600000009</v>
      </c>
      <c r="Q338">
        <v>9376474.9600000009</v>
      </c>
      <c r="R338" s="14">
        <f>_xlfn.XLOOKUP(Table2[[#This Row],[LoanID]],Table1[G-L ID],Table1[ManagerCode],-99)</f>
        <v>103</v>
      </c>
      <c r="T338"/>
    </row>
    <row r="339" spans="1:20" x14ac:dyDescent="0.25">
      <c r="A339">
        <v>20100831</v>
      </c>
      <c r="B339">
        <v>2010</v>
      </c>
      <c r="C339">
        <v>8</v>
      </c>
      <c r="D339">
        <v>1</v>
      </c>
      <c r="E339">
        <v>10770</v>
      </c>
      <c r="F339">
        <v>183201.39</v>
      </c>
      <c r="G339">
        <v>0</v>
      </c>
      <c r="H339">
        <v>0</v>
      </c>
      <c r="I339">
        <v>0.01</v>
      </c>
      <c r="J339">
        <v>0</v>
      </c>
      <c r="K339">
        <v>0</v>
      </c>
      <c r="L339">
        <v>100872653.8</v>
      </c>
      <c r="M339">
        <v>102761411.7</v>
      </c>
      <c r="N339">
        <v>100872653.8</v>
      </c>
      <c r="O339">
        <v>102761411.7</v>
      </c>
      <c r="P339">
        <v>115000000</v>
      </c>
      <c r="Q339">
        <v>115000000</v>
      </c>
      <c r="R339" s="14">
        <f>_xlfn.XLOOKUP(Table2[[#This Row],[LoanID]],Table1[G-L ID],Table1[ManagerCode],-99)</f>
        <v>103</v>
      </c>
      <c r="T339"/>
    </row>
    <row r="340" spans="1:20" x14ac:dyDescent="0.25">
      <c r="A340">
        <v>20100831</v>
      </c>
      <c r="B340">
        <v>2010</v>
      </c>
      <c r="C340">
        <v>8</v>
      </c>
      <c r="D340">
        <v>1</v>
      </c>
      <c r="E340">
        <v>10870</v>
      </c>
      <c r="F340">
        <v>321129.24</v>
      </c>
      <c r="G340">
        <v>0</v>
      </c>
      <c r="H340">
        <v>0</v>
      </c>
      <c r="I340">
        <v>0</v>
      </c>
      <c r="J340">
        <v>0</v>
      </c>
      <c r="K340">
        <v>0</v>
      </c>
      <c r="L340">
        <v>187443213</v>
      </c>
      <c r="M340">
        <v>189414447.90000001</v>
      </c>
      <c r="N340">
        <v>187443213</v>
      </c>
      <c r="O340">
        <v>189414447.90000001</v>
      </c>
      <c r="P340">
        <v>201798851</v>
      </c>
      <c r="Q340">
        <v>201798851</v>
      </c>
      <c r="R340" s="14">
        <f>_xlfn.XLOOKUP(Table2[[#This Row],[LoanID]],Table1[G-L ID],Table1[ManagerCode],-99)</f>
        <v>103</v>
      </c>
      <c r="T340"/>
    </row>
    <row r="341" spans="1:20" x14ac:dyDescent="0.25">
      <c r="A341">
        <v>20100831</v>
      </c>
      <c r="B341">
        <v>2010</v>
      </c>
      <c r="C341">
        <v>8</v>
      </c>
      <c r="D341">
        <v>1</v>
      </c>
      <c r="E341">
        <v>10950</v>
      </c>
      <c r="F341">
        <v>55248.53</v>
      </c>
      <c r="G341">
        <v>0</v>
      </c>
      <c r="H341">
        <v>0</v>
      </c>
      <c r="I341">
        <v>0</v>
      </c>
      <c r="J341">
        <v>0</v>
      </c>
      <c r="K341">
        <v>21774.49</v>
      </c>
      <c r="L341">
        <v>8249977.2999999998</v>
      </c>
      <c r="M341">
        <v>10745630.289999999</v>
      </c>
      <c r="N341">
        <v>8249977.2999999998</v>
      </c>
      <c r="O341">
        <v>10745630.289999999</v>
      </c>
      <c r="P341">
        <v>11123865</v>
      </c>
      <c r="Q341">
        <v>11102090.51</v>
      </c>
      <c r="R341" s="14">
        <f>_xlfn.XLOOKUP(Table2[[#This Row],[LoanID]],Table1[G-L ID],Table1[ManagerCode],-99)</f>
        <v>103</v>
      </c>
      <c r="T341"/>
    </row>
    <row r="342" spans="1:20" x14ac:dyDescent="0.25">
      <c r="A342">
        <v>20100831</v>
      </c>
      <c r="B342">
        <v>2010</v>
      </c>
      <c r="C342">
        <v>8</v>
      </c>
      <c r="D342">
        <v>1</v>
      </c>
      <c r="E342">
        <v>11180</v>
      </c>
      <c r="F342">
        <v>231605.09</v>
      </c>
      <c r="G342">
        <v>0</v>
      </c>
      <c r="H342">
        <v>0</v>
      </c>
      <c r="I342">
        <v>0</v>
      </c>
      <c r="J342">
        <v>0</v>
      </c>
      <c r="K342">
        <v>0</v>
      </c>
      <c r="L342">
        <v>175340712.30000001</v>
      </c>
      <c r="M342">
        <v>159189308.19999999</v>
      </c>
      <c r="N342">
        <v>175340712.30000001</v>
      </c>
      <c r="O342">
        <v>159189308.19999999</v>
      </c>
      <c r="P342">
        <v>199970831.5</v>
      </c>
      <c r="Q342">
        <v>199970831.5</v>
      </c>
      <c r="R342" s="14">
        <f>_xlfn.XLOOKUP(Table2[[#This Row],[LoanID]],Table1[G-L ID],Table1[ManagerCode],-99)</f>
        <v>103</v>
      </c>
      <c r="T342"/>
    </row>
    <row r="343" spans="1:20" x14ac:dyDescent="0.25">
      <c r="A343">
        <v>20100831</v>
      </c>
      <c r="B343">
        <v>2010</v>
      </c>
      <c r="C343">
        <v>8</v>
      </c>
      <c r="D343">
        <v>1</v>
      </c>
      <c r="E343">
        <v>11200</v>
      </c>
      <c r="F343">
        <v>69880</v>
      </c>
      <c r="G343">
        <v>0</v>
      </c>
      <c r="H343">
        <v>0</v>
      </c>
      <c r="I343">
        <v>0</v>
      </c>
      <c r="J343">
        <v>0</v>
      </c>
      <c r="K343">
        <v>0</v>
      </c>
      <c r="L343">
        <v>13726513.890000001</v>
      </c>
      <c r="M343">
        <v>13762916.99</v>
      </c>
      <c r="N343">
        <v>13726513.890000001</v>
      </c>
      <c r="O343">
        <v>13762916.99</v>
      </c>
      <c r="P343">
        <v>13976000</v>
      </c>
      <c r="Q343">
        <v>13976000</v>
      </c>
      <c r="R343" s="14">
        <f>_xlfn.XLOOKUP(Table2[[#This Row],[LoanID]],Table1[G-L ID],Table1[ManagerCode],-99)</f>
        <v>103</v>
      </c>
      <c r="T343"/>
    </row>
    <row r="344" spans="1:20" x14ac:dyDescent="0.25">
      <c r="A344">
        <v>20100831</v>
      </c>
      <c r="B344">
        <v>2010</v>
      </c>
      <c r="C344">
        <v>8</v>
      </c>
      <c r="D344">
        <v>1</v>
      </c>
      <c r="E344">
        <v>11240</v>
      </c>
      <c r="F344">
        <v>270416.13</v>
      </c>
      <c r="G344">
        <v>0</v>
      </c>
      <c r="H344">
        <v>0</v>
      </c>
      <c r="I344">
        <v>0</v>
      </c>
      <c r="J344">
        <v>0</v>
      </c>
      <c r="K344">
        <v>0</v>
      </c>
      <c r="L344">
        <v>175114157.5</v>
      </c>
      <c r="M344">
        <v>177041228.80000001</v>
      </c>
      <c r="N344">
        <v>175114157.5</v>
      </c>
      <c r="O344">
        <v>177041228.80000001</v>
      </c>
      <c r="P344">
        <v>194929626.59999999</v>
      </c>
      <c r="Q344">
        <v>194929626.59999999</v>
      </c>
      <c r="R344" s="14">
        <f>_xlfn.XLOOKUP(Table2[[#This Row],[LoanID]],Table1[G-L ID],Table1[ManagerCode],-99)</f>
        <v>103</v>
      </c>
      <c r="T344"/>
    </row>
    <row r="345" spans="1:20" x14ac:dyDescent="0.25">
      <c r="A345">
        <v>20100831</v>
      </c>
      <c r="B345">
        <v>2010</v>
      </c>
      <c r="C345">
        <v>8</v>
      </c>
      <c r="D345">
        <v>1</v>
      </c>
      <c r="E345">
        <v>11260</v>
      </c>
      <c r="F345">
        <v>15446.62</v>
      </c>
      <c r="G345">
        <v>0</v>
      </c>
      <c r="H345">
        <v>0</v>
      </c>
      <c r="I345">
        <v>-93.96</v>
      </c>
      <c r="J345">
        <v>0</v>
      </c>
      <c r="K345">
        <v>0</v>
      </c>
      <c r="L345">
        <v>10125918.09</v>
      </c>
      <c r="M345">
        <v>10233020.880000001</v>
      </c>
      <c r="N345">
        <v>10125918.09</v>
      </c>
      <c r="O345">
        <v>10233020.880000001</v>
      </c>
      <c r="P345">
        <v>11274673.789999999</v>
      </c>
      <c r="Q345">
        <v>11274673.789999999</v>
      </c>
      <c r="R345" s="14">
        <f>_xlfn.XLOOKUP(Table2[[#This Row],[LoanID]],Table1[G-L ID],Table1[ManagerCode],-99)</f>
        <v>103</v>
      </c>
      <c r="T345"/>
    </row>
    <row r="346" spans="1:20" x14ac:dyDescent="0.25">
      <c r="A346">
        <v>20100831</v>
      </c>
      <c r="B346">
        <v>2010</v>
      </c>
      <c r="C346">
        <v>8</v>
      </c>
      <c r="D346">
        <v>1</v>
      </c>
      <c r="E346">
        <v>11270</v>
      </c>
      <c r="F346">
        <v>25744.36</v>
      </c>
      <c r="G346">
        <v>0</v>
      </c>
      <c r="H346">
        <v>0</v>
      </c>
      <c r="I346">
        <v>-156.59</v>
      </c>
      <c r="J346">
        <v>0</v>
      </c>
      <c r="K346">
        <v>0</v>
      </c>
      <c r="L346">
        <v>16876530.140000001</v>
      </c>
      <c r="M346">
        <v>17055034.84</v>
      </c>
      <c r="N346">
        <v>16876530.140000001</v>
      </c>
      <c r="O346">
        <v>17055034.84</v>
      </c>
      <c r="P346">
        <v>18791123.030000001</v>
      </c>
      <c r="Q346">
        <v>18791123.030000001</v>
      </c>
      <c r="R346" s="14">
        <f>_xlfn.XLOOKUP(Table2[[#This Row],[LoanID]],Table1[G-L ID],Table1[ManagerCode],-99)</f>
        <v>103</v>
      </c>
      <c r="T346"/>
    </row>
    <row r="347" spans="1:20" x14ac:dyDescent="0.25">
      <c r="A347">
        <v>20100831</v>
      </c>
      <c r="B347">
        <v>2010</v>
      </c>
      <c r="C347">
        <v>8</v>
      </c>
      <c r="D347">
        <v>1</v>
      </c>
      <c r="E347">
        <v>11290</v>
      </c>
      <c r="F347">
        <v>23169.919999999998</v>
      </c>
      <c r="G347">
        <v>0</v>
      </c>
      <c r="H347">
        <v>0</v>
      </c>
      <c r="I347">
        <v>-140.93</v>
      </c>
      <c r="J347">
        <v>0</v>
      </c>
      <c r="K347">
        <v>0</v>
      </c>
      <c r="L347">
        <v>15188877.09</v>
      </c>
      <c r="M347">
        <v>15349531.32</v>
      </c>
      <c r="N347">
        <v>15188877.09</v>
      </c>
      <c r="O347">
        <v>15349531.32</v>
      </c>
      <c r="P347">
        <v>16912010.73</v>
      </c>
      <c r="Q347">
        <v>16912010.73</v>
      </c>
      <c r="R347" s="14">
        <f>_xlfn.XLOOKUP(Table2[[#This Row],[LoanID]],Table1[G-L ID],Table1[ManagerCode],-99)</f>
        <v>103</v>
      </c>
      <c r="T347"/>
    </row>
    <row r="348" spans="1:20" x14ac:dyDescent="0.25">
      <c r="A348">
        <v>20100831</v>
      </c>
      <c r="B348">
        <v>2010</v>
      </c>
      <c r="C348">
        <v>8</v>
      </c>
      <c r="D348">
        <v>1</v>
      </c>
      <c r="E348">
        <v>11380</v>
      </c>
      <c r="F348">
        <v>40230.83</v>
      </c>
      <c r="G348">
        <v>0</v>
      </c>
      <c r="H348">
        <v>0</v>
      </c>
      <c r="I348">
        <v>0.01</v>
      </c>
      <c r="J348">
        <v>0</v>
      </c>
      <c r="K348">
        <v>50469.17</v>
      </c>
      <c r="L348">
        <v>6886113.1200000001</v>
      </c>
      <c r="M348">
        <v>6875262.2699999996</v>
      </c>
      <c r="N348">
        <v>6886113.1200000001</v>
      </c>
      <c r="O348">
        <v>6875262.2699999996</v>
      </c>
      <c r="P348">
        <v>6087893.1200000001</v>
      </c>
      <c r="Q348">
        <v>6037423.9500000002</v>
      </c>
      <c r="R348" s="14">
        <f>_xlfn.XLOOKUP(Table2[[#This Row],[LoanID]],Table1[G-L ID],Table1[ManagerCode],-99)</f>
        <v>103</v>
      </c>
      <c r="T348"/>
    </row>
    <row r="349" spans="1:20" x14ac:dyDescent="0.25">
      <c r="A349">
        <v>20100831</v>
      </c>
      <c r="B349">
        <v>2010</v>
      </c>
      <c r="C349">
        <v>8</v>
      </c>
      <c r="D349">
        <v>1</v>
      </c>
      <c r="E349">
        <v>11420</v>
      </c>
      <c r="F349">
        <v>514856.61</v>
      </c>
      <c r="G349">
        <v>0</v>
      </c>
      <c r="H349">
        <v>0</v>
      </c>
      <c r="I349">
        <v>0</v>
      </c>
      <c r="J349">
        <v>0</v>
      </c>
      <c r="K349">
        <v>0</v>
      </c>
      <c r="L349">
        <v>97561236.519999996</v>
      </c>
      <c r="M349">
        <v>97639525.200000003</v>
      </c>
      <c r="N349">
        <v>97561236.519999996</v>
      </c>
      <c r="O349">
        <v>97639525.200000003</v>
      </c>
      <c r="P349">
        <v>98000000</v>
      </c>
      <c r="Q349">
        <v>98000000</v>
      </c>
      <c r="R349" s="14">
        <f>_xlfn.XLOOKUP(Table2[[#This Row],[LoanID]],Table1[G-L ID],Table1[ManagerCode],-99)</f>
        <v>103</v>
      </c>
      <c r="T349"/>
    </row>
    <row r="350" spans="1:20" x14ac:dyDescent="0.25">
      <c r="A350">
        <v>20100831</v>
      </c>
      <c r="B350">
        <v>2010</v>
      </c>
      <c r="C350">
        <v>8</v>
      </c>
      <c r="D350">
        <v>1</v>
      </c>
      <c r="E350">
        <v>11510</v>
      </c>
      <c r="F350">
        <v>0</v>
      </c>
      <c r="G350">
        <v>0</v>
      </c>
      <c r="H350">
        <v>0</v>
      </c>
      <c r="I350">
        <v>0</v>
      </c>
      <c r="J350">
        <v>0</v>
      </c>
      <c r="K350">
        <v>0</v>
      </c>
      <c r="L350">
        <v>14602872.720000001</v>
      </c>
      <c r="M350">
        <v>14602872.720000001</v>
      </c>
      <c r="N350">
        <v>14602872.720000001</v>
      </c>
      <c r="O350">
        <v>14602872.720000001</v>
      </c>
      <c r="P350">
        <v>14602872.720000001</v>
      </c>
      <c r="Q350">
        <v>14602872.720000001</v>
      </c>
      <c r="R350" s="14">
        <f>_xlfn.XLOOKUP(Table2[[#This Row],[LoanID]],Table1[G-L ID],Table1[ManagerCode],-99)</f>
        <v>103</v>
      </c>
      <c r="T350"/>
    </row>
    <row r="351" spans="1:20" x14ac:dyDescent="0.25">
      <c r="A351">
        <v>20100831</v>
      </c>
      <c r="B351">
        <v>2010</v>
      </c>
      <c r="C351">
        <v>8</v>
      </c>
      <c r="D351">
        <v>1</v>
      </c>
      <c r="E351">
        <v>11780</v>
      </c>
      <c r="F351">
        <v>195971.44</v>
      </c>
      <c r="G351">
        <v>0</v>
      </c>
      <c r="H351">
        <v>0</v>
      </c>
      <c r="I351">
        <v>-1161.31</v>
      </c>
      <c r="J351">
        <v>0</v>
      </c>
      <c r="K351">
        <v>132513.59</v>
      </c>
      <c r="L351">
        <v>60393316.759999998</v>
      </c>
      <c r="M351">
        <v>54703791.880000003</v>
      </c>
      <c r="N351">
        <v>60393316.759999998</v>
      </c>
      <c r="O351">
        <v>54703791.880000003</v>
      </c>
      <c r="P351">
        <v>67431032.819999993</v>
      </c>
      <c r="Q351">
        <v>67298519.230000004</v>
      </c>
      <c r="R351" s="14">
        <f>_xlfn.XLOOKUP(Table2[[#This Row],[LoanID]],Table1[G-L ID],Table1[ManagerCode],-99)</f>
        <v>103</v>
      </c>
      <c r="T351"/>
    </row>
    <row r="352" spans="1:20" x14ac:dyDescent="0.25">
      <c r="A352">
        <v>20100831</v>
      </c>
      <c r="B352">
        <v>2010</v>
      </c>
      <c r="C352">
        <v>8</v>
      </c>
      <c r="D352">
        <v>1</v>
      </c>
      <c r="E352">
        <v>11800</v>
      </c>
      <c r="F352">
        <v>169537.04</v>
      </c>
      <c r="G352">
        <v>0</v>
      </c>
      <c r="H352">
        <v>0</v>
      </c>
      <c r="I352">
        <v>-285.27</v>
      </c>
      <c r="J352">
        <v>0</v>
      </c>
      <c r="K352">
        <v>51578.71</v>
      </c>
      <c r="L352">
        <v>19673802.59</v>
      </c>
      <c r="M352">
        <v>13232134.77</v>
      </c>
      <c r="N352">
        <v>19673802.59</v>
      </c>
      <c r="O352">
        <v>13232134.77</v>
      </c>
      <c r="P352">
        <v>33128339.329999998</v>
      </c>
      <c r="Q352">
        <v>33076760.620000001</v>
      </c>
      <c r="R352" s="14">
        <f>_xlfn.XLOOKUP(Table2[[#This Row],[LoanID]],Table1[G-L ID],Table1[ManagerCode],-99)</f>
        <v>103</v>
      </c>
      <c r="T352"/>
    </row>
    <row r="353" spans="1:20" x14ac:dyDescent="0.25">
      <c r="A353">
        <v>20100831</v>
      </c>
      <c r="B353">
        <v>2010</v>
      </c>
      <c r="C353">
        <v>8</v>
      </c>
      <c r="D353">
        <v>1</v>
      </c>
      <c r="E353">
        <v>11810</v>
      </c>
      <c r="F353">
        <v>51166.67</v>
      </c>
      <c r="G353">
        <v>0</v>
      </c>
      <c r="H353">
        <v>0</v>
      </c>
      <c r="I353">
        <v>0</v>
      </c>
      <c r="J353">
        <v>0</v>
      </c>
      <c r="K353">
        <v>0</v>
      </c>
      <c r="L353">
        <v>5576671.3399999999</v>
      </c>
      <c r="M353">
        <v>9028773</v>
      </c>
      <c r="N353">
        <v>5576671.3399999999</v>
      </c>
      <c r="O353">
        <v>9028773</v>
      </c>
      <c r="P353">
        <v>10000000</v>
      </c>
      <c r="Q353">
        <v>10000000</v>
      </c>
      <c r="R353" s="14">
        <f>_xlfn.XLOOKUP(Table2[[#This Row],[LoanID]],Table1[G-L ID],Table1[ManagerCode],-99)</f>
        <v>103</v>
      </c>
      <c r="T353"/>
    </row>
    <row r="354" spans="1:20" x14ac:dyDescent="0.25">
      <c r="A354">
        <v>20100831</v>
      </c>
      <c r="B354">
        <v>2010</v>
      </c>
      <c r="C354">
        <v>8</v>
      </c>
      <c r="D354">
        <v>1</v>
      </c>
      <c r="E354">
        <v>11860</v>
      </c>
      <c r="F354">
        <v>243177.78</v>
      </c>
      <c r="G354">
        <v>0</v>
      </c>
      <c r="H354">
        <v>0</v>
      </c>
      <c r="I354">
        <v>0</v>
      </c>
      <c r="J354">
        <v>0</v>
      </c>
      <c r="K354">
        <v>0</v>
      </c>
      <c r="L354">
        <v>48864572.770000003</v>
      </c>
      <c r="M354">
        <v>49237501.840000004</v>
      </c>
      <c r="N354">
        <v>48864572.770000003</v>
      </c>
      <c r="O354">
        <v>49237501.840000004</v>
      </c>
      <c r="P354">
        <v>49970629.539999999</v>
      </c>
      <c r="Q354">
        <v>49985314.770000003</v>
      </c>
      <c r="R354" s="14">
        <f>_xlfn.XLOOKUP(Table2[[#This Row],[LoanID]],Table1[G-L ID],Table1[ManagerCode],-99)</f>
        <v>103</v>
      </c>
      <c r="T354"/>
    </row>
    <row r="355" spans="1:20" x14ac:dyDescent="0.25">
      <c r="A355">
        <v>20100831</v>
      </c>
      <c r="B355">
        <v>2010</v>
      </c>
      <c r="C355">
        <v>8</v>
      </c>
      <c r="D355">
        <v>1</v>
      </c>
      <c r="E355">
        <v>11870</v>
      </c>
      <c r="F355">
        <v>121588.89</v>
      </c>
      <c r="G355">
        <v>0</v>
      </c>
      <c r="H355">
        <v>0</v>
      </c>
      <c r="I355">
        <v>0</v>
      </c>
      <c r="J355">
        <v>0</v>
      </c>
      <c r="K355">
        <v>0</v>
      </c>
      <c r="L355">
        <v>24432286.390000001</v>
      </c>
      <c r="M355">
        <v>24618750.920000002</v>
      </c>
      <c r="N355">
        <v>24432286.390000001</v>
      </c>
      <c r="O355">
        <v>24618750.920000002</v>
      </c>
      <c r="P355">
        <v>24983759.149999999</v>
      </c>
      <c r="Q355">
        <v>24991879.579999998</v>
      </c>
      <c r="R355" s="14">
        <f>_xlfn.XLOOKUP(Table2[[#This Row],[LoanID]],Table1[G-L ID],Table1[ManagerCode],-99)</f>
        <v>103</v>
      </c>
      <c r="T355"/>
    </row>
    <row r="356" spans="1:20" x14ac:dyDescent="0.25">
      <c r="A356">
        <v>20100831</v>
      </c>
      <c r="B356">
        <v>2010</v>
      </c>
      <c r="C356">
        <v>8</v>
      </c>
      <c r="D356">
        <v>1</v>
      </c>
      <c r="E356">
        <v>11900</v>
      </c>
      <c r="F356">
        <v>0</v>
      </c>
      <c r="G356">
        <v>0</v>
      </c>
      <c r="H356">
        <v>0</v>
      </c>
      <c r="I356">
        <v>0</v>
      </c>
      <c r="J356">
        <v>0</v>
      </c>
      <c r="K356">
        <v>0</v>
      </c>
      <c r="L356">
        <v>55000000</v>
      </c>
      <c r="M356">
        <v>55000000</v>
      </c>
      <c r="N356">
        <v>55000000</v>
      </c>
      <c r="O356">
        <v>55000000</v>
      </c>
      <c r="P356">
        <v>55000000</v>
      </c>
      <c r="Q356">
        <v>55000000</v>
      </c>
      <c r="R356" s="14">
        <f>_xlfn.XLOOKUP(Table2[[#This Row],[LoanID]],Table1[G-L ID],Table1[ManagerCode],-99)</f>
        <v>103</v>
      </c>
      <c r="T356"/>
    </row>
    <row r="357" spans="1:20" x14ac:dyDescent="0.25">
      <c r="A357">
        <v>20100831</v>
      </c>
      <c r="B357">
        <v>2010</v>
      </c>
      <c r="C357">
        <v>8</v>
      </c>
      <c r="D357">
        <v>1</v>
      </c>
      <c r="E357">
        <v>11930</v>
      </c>
      <c r="F357">
        <v>209218.63</v>
      </c>
      <c r="G357">
        <v>0</v>
      </c>
      <c r="H357">
        <v>0</v>
      </c>
      <c r="I357">
        <v>0</v>
      </c>
      <c r="J357">
        <v>0</v>
      </c>
      <c r="K357">
        <v>0</v>
      </c>
      <c r="L357">
        <v>194987682.40000001</v>
      </c>
      <c r="M357">
        <v>195187302.69999999</v>
      </c>
      <c r="N357">
        <v>194987682.40000001</v>
      </c>
      <c r="O357">
        <v>195187302.69999999</v>
      </c>
      <c r="P357">
        <v>195780481.30000001</v>
      </c>
      <c r="Q357">
        <v>195780481.30000001</v>
      </c>
      <c r="R357" s="14">
        <f>_xlfn.XLOOKUP(Table2[[#This Row],[LoanID]],Table1[G-L ID],Table1[ManagerCode],-99)</f>
        <v>103</v>
      </c>
      <c r="T357"/>
    </row>
    <row r="358" spans="1:20" x14ac:dyDescent="0.25">
      <c r="A358">
        <v>20100831</v>
      </c>
      <c r="B358">
        <v>2010</v>
      </c>
      <c r="C358">
        <v>8</v>
      </c>
      <c r="D358">
        <v>1</v>
      </c>
      <c r="E358">
        <v>11940</v>
      </c>
      <c r="F358">
        <v>68524.13</v>
      </c>
      <c r="G358">
        <v>0</v>
      </c>
      <c r="H358">
        <v>0</v>
      </c>
      <c r="I358">
        <v>0</v>
      </c>
      <c r="J358">
        <v>0</v>
      </c>
      <c r="K358">
        <v>0</v>
      </c>
      <c r="L358">
        <v>62843176.700000003</v>
      </c>
      <c r="M358">
        <v>62783275.850000001</v>
      </c>
      <c r="N358">
        <v>62843176.700000003</v>
      </c>
      <c r="O358">
        <v>62783275.850000001</v>
      </c>
      <c r="P358">
        <v>64092494.729999997</v>
      </c>
      <c r="Q358">
        <v>64094660.590000004</v>
      </c>
      <c r="R358" s="14">
        <f>_xlfn.XLOOKUP(Table2[[#This Row],[LoanID]],Table1[G-L ID],Table1[ManagerCode],-99)</f>
        <v>103</v>
      </c>
      <c r="T358"/>
    </row>
    <row r="359" spans="1:20" x14ac:dyDescent="0.25">
      <c r="A359">
        <v>20100831</v>
      </c>
      <c r="B359">
        <v>2010</v>
      </c>
      <c r="C359">
        <v>8</v>
      </c>
      <c r="D359">
        <v>1</v>
      </c>
      <c r="E359">
        <v>11951</v>
      </c>
      <c r="F359">
        <v>166619.82999999999</v>
      </c>
      <c r="G359">
        <v>0</v>
      </c>
      <c r="H359">
        <v>0</v>
      </c>
      <c r="I359">
        <v>-283.33</v>
      </c>
      <c r="J359">
        <v>0</v>
      </c>
      <c r="K359">
        <v>0</v>
      </c>
      <c r="L359">
        <v>34633215</v>
      </c>
      <c r="M359">
        <v>34523507.390000001</v>
      </c>
      <c r="N359">
        <v>34633215</v>
      </c>
      <c r="O359">
        <v>34523507.390000001</v>
      </c>
      <c r="P359">
        <v>33990145.030000001</v>
      </c>
      <c r="Q359">
        <v>33991787.530000001</v>
      </c>
      <c r="R359" s="14">
        <f>_xlfn.XLOOKUP(Table2[[#This Row],[LoanID]],Table1[G-L ID],Table1[ManagerCode],-99)</f>
        <v>103</v>
      </c>
      <c r="T359"/>
    </row>
    <row r="360" spans="1:20" x14ac:dyDescent="0.25">
      <c r="A360">
        <v>20100831</v>
      </c>
      <c r="B360">
        <v>2010</v>
      </c>
      <c r="C360">
        <v>8</v>
      </c>
      <c r="D360">
        <v>1</v>
      </c>
      <c r="E360">
        <v>11952</v>
      </c>
      <c r="F360">
        <v>119241.5</v>
      </c>
      <c r="G360">
        <v>0</v>
      </c>
      <c r="H360">
        <v>0</v>
      </c>
      <c r="I360">
        <v>-175.01</v>
      </c>
      <c r="J360">
        <v>0</v>
      </c>
      <c r="K360">
        <v>0</v>
      </c>
      <c r="L360">
        <v>21450254.239999998</v>
      </c>
      <c r="M360">
        <v>21369955.399999999</v>
      </c>
      <c r="N360">
        <v>21450254.239999998</v>
      </c>
      <c r="O360">
        <v>21369955.399999999</v>
      </c>
      <c r="P360">
        <v>21000000</v>
      </c>
      <c r="Q360">
        <v>21000000</v>
      </c>
      <c r="R360" s="14">
        <f>_xlfn.XLOOKUP(Table2[[#This Row],[LoanID]],Table1[G-L ID],Table1[ManagerCode],-99)</f>
        <v>103</v>
      </c>
      <c r="T360"/>
    </row>
    <row r="361" spans="1:20" x14ac:dyDescent="0.25">
      <c r="A361">
        <v>20100831</v>
      </c>
      <c r="B361">
        <v>2010</v>
      </c>
      <c r="C361">
        <v>8</v>
      </c>
      <c r="D361">
        <v>1</v>
      </c>
      <c r="E361">
        <v>12000</v>
      </c>
      <c r="F361">
        <v>129709.44</v>
      </c>
      <c r="G361">
        <v>0</v>
      </c>
      <c r="H361">
        <v>0</v>
      </c>
      <c r="I361">
        <v>0</v>
      </c>
      <c r="J361">
        <v>0</v>
      </c>
      <c r="K361">
        <v>0</v>
      </c>
      <c r="L361">
        <v>20647666.149999999</v>
      </c>
      <c r="M361">
        <v>20827927.399999999</v>
      </c>
      <c r="N361">
        <v>20647666.149999999</v>
      </c>
      <c r="O361">
        <v>20827927.399999999</v>
      </c>
      <c r="P361">
        <v>25086996.43</v>
      </c>
      <c r="Q361">
        <v>25087690.879999999</v>
      </c>
      <c r="R361" s="14">
        <f>_xlfn.XLOOKUP(Table2[[#This Row],[LoanID]],Table1[G-L ID],Table1[ManagerCode],-99)</f>
        <v>103</v>
      </c>
      <c r="T361"/>
    </row>
    <row r="362" spans="1:20" x14ac:dyDescent="0.25">
      <c r="A362">
        <v>20100831</v>
      </c>
      <c r="B362">
        <v>2010</v>
      </c>
      <c r="C362">
        <v>8</v>
      </c>
      <c r="D362">
        <v>1</v>
      </c>
      <c r="E362">
        <v>12200</v>
      </c>
      <c r="F362">
        <v>92128.28</v>
      </c>
      <c r="G362">
        <v>0</v>
      </c>
      <c r="H362">
        <v>0</v>
      </c>
      <c r="I362">
        <v>0</v>
      </c>
      <c r="J362">
        <v>0</v>
      </c>
      <c r="K362">
        <v>30081.279999999999</v>
      </c>
      <c r="L362">
        <v>21620669.82</v>
      </c>
      <c r="M362">
        <v>21655331.879999999</v>
      </c>
      <c r="N362">
        <v>21620669.82</v>
      </c>
      <c r="O362">
        <v>21655331.879999999</v>
      </c>
      <c r="P362">
        <v>20046484.140000001</v>
      </c>
      <c r="Q362">
        <v>20016741.699999999</v>
      </c>
      <c r="R362" s="14">
        <f>_xlfn.XLOOKUP(Table2[[#This Row],[LoanID]],Table1[G-L ID],Table1[ManagerCode],-99)</f>
        <v>103</v>
      </c>
      <c r="T362"/>
    </row>
    <row r="363" spans="1:20" x14ac:dyDescent="0.25">
      <c r="A363">
        <v>20100831</v>
      </c>
      <c r="B363">
        <v>2010</v>
      </c>
      <c r="C363">
        <v>8</v>
      </c>
      <c r="D363">
        <v>1</v>
      </c>
      <c r="E363">
        <v>12210</v>
      </c>
      <c r="F363">
        <v>739002.84</v>
      </c>
      <c r="G363">
        <v>0</v>
      </c>
      <c r="H363">
        <v>0</v>
      </c>
      <c r="I363">
        <v>0</v>
      </c>
      <c r="J363">
        <v>0</v>
      </c>
      <c r="K363">
        <v>166530.07999999999</v>
      </c>
      <c r="L363">
        <v>140457832.69999999</v>
      </c>
      <c r="M363">
        <v>141755127.69999999</v>
      </c>
      <c r="N363">
        <v>140457832.69999999</v>
      </c>
      <c r="O363">
        <v>141755127.69999999</v>
      </c>
      <c r="P363">
        <v>119571852.09999999</v>
      </c>
      <c r="Q363">
        <v>119405322</v>
      </c>
      <c r="R363" s="14">
        <f>_xlfn.XLOOKUP(Table2[[#This Row],[LoanID]],Table1[G-L ID],Table1[ManagerCode],-99)</f>
        <v>103</v>
      </c>
      <c r="T363"/>
    </row>
    <row r="364" spans="1:20" x14ac:dyDescent="0.25">
      <c r="A364">
        <v>20100930</v>
      </c>
      <c r="B364">
        <v>2010</v>
      </c>
      <c r="C364">
        <v>9</v>
      </c>
      <c r="D364">
        <v>1</v>
      </c>
      <c r="E364">
        <v>10050</v>
      </c>
      <c r="F364">
        <v>153981.01999999999</v>
      </c>
      <c r="G364">
        <v>0</v>
      </c>
      <c r="H364">
        <v>0</v>
      </c>
      <c r="I364">
        <v>-69.44</v>
      </c>
      <c r="J364">
        <v>0</v>
      </c>
      <c r="K364">
        <v>0</v>
      </c>
      <c r="L364">
        <v>23926973.48</v>
      </c>
      <c r="M364">
        <v>23280201.329999998</v>
      </c>
      <c r="N364">
        <v>23926973.48</v>
      </c>
      <c r="O364">
        <v>23280201.329999998</v>
      </c>
      <c r="P364">
        <v>33333334</v>
      </c>
      <c r="Q364">
        <v>33333334</v>
      </c>
      <c r="R364" s="14">
        <f>_xlfn.XLOOKUP(Table2[[#This Row],[LoanID]],Table1[G-L ID],Table1[ManagerCode],-99)</f>
        <v>103</v>
      </c>
      <c r="T364"/>
    </row>
    <row r="365" spans="1:20" x14ac:dyDescent="0.25">
      <c r="A365">
        <v>20100930</v>
      </c>
      <c r="B365">
        <v>2010</v>
      </c>
      <c r="C365">
        <v>9</v>
      </c>
      <c r="D365">
        <v>1</v>
      </c>
      <c r="E365">
        <v>10080</v>
      </c>
      <c r="F365">
        <v>351042.71</v>
      </c>
      <c r="G365">
        <v>0</v>
      </c>
      <c r="H365">
        <v>0</v>
      </c>
      <c r="I365">
        <v>-161.46</v>
      </c>
      <c r="J365">
        <v>0</v>
      </c>
      <c r="K365">
        <v>0</v>
      </c>
      <c r="L365">
        <v>69413157.280000001</v>
      </c>
      <c r="M365">
        <v>69040209.599999994</v>
      </c>
      <c r="N365">
        <v>69413157.280000001</v>
      </c>
      <c r="O365">
        <v>69040209.599999994</v>
      </c>
      <c r="P365">
        <v>75000000</v>
      </c>
      <c r="Q365">
        <v>75000000</v>
      </c>
      <c r="R365" s="14">
        <f>_xlfn.XLOOKUP(Table2[[#This Row],[LoanID]],Table1[G-L ID],Table1[ManagerCode],-99)</f>
        <v>103</v>
      </c>
      <c r="T365"/>
    </row>
    <row r="366" spans="1:20" x14ac:dyDescent="0.25">
      <c r="A366">
        <v>20100930</v>
      </c>
      <c r="B366">
        <v>2010</v>
      </c>
      <c r="C366">
        <v>9</v>
      </c>
      <c r="D366">
        <v>1</v>
      </c>
      <c r="E366">
        <v>10130</v>
      </c>
      <c r="F366">
        <v>37927.980000000003</v>
      </c>
      <c r="G366">
        <v>0</v>
      </c>
      <c r="H366">
        <v>0</v>
      </c>
      <c r="I366">
        <v>0</v>
      </c>
      <c r="J366">
        <v>0</v>
      </c>
      <c r="K366">
        <v>29762.71</v>
      </c>
      <c r="L366">
        <v>8867621.3000000007</v>
      </c>
      <c r="M366">
        <v>8810044.6199999992</v>
      </c>
      <c r="N366">
        <v>8867621.3000000007</v>
      </c>
      <c r="O366">
        <v>8810044.6199999992</v>
      </c>
      <c r="P366">
        <v>8381874.0099999998</v>
      </c>
      <c r="Q366">
        <v>8352111.2999999998</v>
      </c>
      <c r="R366" s="14">
        <f>_xlfn.XLOOKUP(Table2[[#This Row],[LoanID]],Table1[G-L ID],Table1[ManagerCode],-99)</f>
        <v>103</v>
      </c>
      <c r="T366"/>
    </row>
    <row r="367" spans="1:20" x14ac:dyDescent="0.25">
      <c r="A367">
        <v>20100930</v>
      </c>
      <c r="B367">
        <v>2010</v>
      </c>
      <c r="C367">
        <v>9</v>
      </c>
      <c r="D367">
        <v>1</v>
      </c>
      <c r="E367">
        <v>10140</v>
      </c>
      <c r="F367">
        <v>99989.5</v>
      </c>
      <c r="G367">
        <v>0</v>
      </c>
      <c r="H367">
        <v>0</v>
      </c>
      <c r="I367">
        <v>0</v>
      </c>
      <c r="J367">
        <v>0</v>
      </c>
      <c r="K367">
        <v>77834.83</v>
      </c>
      <c r="L367">
        <v>23378452.359999999</v>
      </c>
      <c r="M367">
        <v>23227271.199999999</v>
      </c>
      <c r="N367">
        <v>23378452.359999999</v>
      </c>
      <c r="O367">
        <v>23227271.199999999</v>
      </c>
      <c r="P367">
        <v>22097126.52</v>
      </c>
      <c r="Q367">
        <v>22019291.690000001</v>
      </c>
      <c r="R367" s="14">
        <f>_xlfn.XLOOKUP(Table2[[#This Row],[LoanID]],Table1[G-L ID],Table1[ManagerCode],-99)</f>
        <v>103</v>
      </c>
      <c r="T367"/>
    </row>
    <row r="368" spans="1:20" x14ac:dyDescent="0.25">
      <c r="A368">
        <v>20100930</v>
      </c>
      <c r="B368">
        <v>2010</v>
      </c>
      <c r="C368">
        <v>9</v>
      </c>
      <c r="D368">
        <v>1</v>
      </c>
      <c r="E368">
        <v>10150</v>
      </c>
      <c r="F368">
        <v>246781.25</v>
      </c>
      <c r="G368">
        <v>0</v>
      </c>
      <c r="H368">
        <v>0</v>
      </c>
      <c r="I368">
        <v>0</v>
      </c>
      <c r="J368">
        <v>0</v>
      </c>
      <c r="K368">
        <v>66538.75</v>
      </c>
      <c r="L368">
        <v>52313959.020000003</v>
      </c>
      <c r="M368">
        <v>52123929.539999999</v>
      </c>
      <c r="N368">
        <v>52313959.020000003</v>
      </c>
      <c r="O368">
        <v>52123929.539999999</v>
      </c>
      <c r="P368">
        <v>53459811.82</v>
      </c>
      <c r="Q368">
        <v>53484545.490000002</v>
      </c>
      <c r="R368" s="14">
        <f>_xlfn.XLOOKUP(Table2[[#This Row],[LoanID]],Table1[G-L ID],Table1[ManagerCode],-99)</f>
        <v>103</v>
      </c>
      <c r="T368"/>
    </row>
    <row r="369" spans="1:20" x14ac:dyDescent="0.25">
      <c r="A369">
        <v>20100930</v>
      </c>
      <c r="B369">
        <v>2010</v>
      </c>
      <c r="C369">
        <v>9</v>
      </c>
      <c r="D369">
        <v>1</v>
      </c>
      <c r="E369">
        <v>10170</v>
      </c>
      <c r="F369">
        <v>254453.41</v>
      </c>
      <c r="G369">
        <v>0</v>
      </c>
      <c r="H369">
        <v>0</v>
      </c>
      <c r="I369">
        <v>-1219.43</v>
      </c>
      <c r="J369">
        <v>0</v>
      </c>
      <c r="K369">
        <v>62124.63</v>
      </c>
      <c r="L369">
        <v>50877810.200000003</v>
      </c>
      <c r="M369">
        <v>50645180.07</v>
      </c>
      <c r="N369">
        <v>50877810.200000003</v>
      </c>
      <c r="O369">
        <v>50645180.07</v>
      </c>
      <c r="P369">
        <v>47203558.789999999</v>
      </c>
      <c r="Q369">
        <v>47141434.159999996</v>
      </c>
      <c r="R369" s="14">
        <f>_xlfn.XLOOKUP(Table2[[#This Row],[LoanID]],Table1[G-L ID],Table1[ManagerCode],-99)</f>
        <v>103</v>
      </c>
      <c r="T369"/>
    </row>
    <row r="370" spans="1:20" x14ac:dyDescent="0.25">
      <c r="A370">
        <v>20100930</v>
      </c>
      <c r="B370">
        <v>2010</v>
      </c>
      <c r="C370">
        <v>9</v>
      </c>
      <c r="D370">
        <v>1</v>
      </c>
      <c r="E370">
        <v>10230</v>
      </c>
      <c r="F370">
        <v>187444.64</v>
      </c>
      <c r="G370">
        <v>0</v>
      </c>
      <c r="H370">
        <v>0</v>
      </c>
      <c r="I370">
        <v>0</v>
      </c>
      <c r="J370">
        <v>0</v>
      </c>
      <c r="K370">
        <v>54153.43</v>
      </c>
      <c r="L370">
        <v>22406489.48</v>
      </c>
      <c r="M370">
        <v>22536502.260000002</v>
      </c>
      <c r="N370">
        <v>22406489.48</v>
      </c>
      <c r="O370">
        <v>22536502.260000002</v>
      </c>
      <c r="P370">
        <v>33372932.75</v>
      </c>
      <c r="Q370">
        <v>33318779.32</v>
      </c>
      <c r="R370" s="14">
        <f>_xlfn.XLOOKUP(Table2[[#This Row],[LoanID]],Table1[G-L ID],Table1[ManagerCode],-99)</f>
        <v>103</v>
      </c>
      <c r="T370"/>
    </row>
    <row r="371" spans="1:20" x14ac:dyDescent="0.25">
      <c r="A371">
        <v>20100930</v>
      </c>
      <c r="B371">
        <v>2010</v>
      </c>
      <c r="C371">
        <v>9</v>
      </c>
      <c r="D371">
        <v>1</v>
      </c>
      <c r="E371">
        <v>10280</v>
      </c>
      <c r="F371">
        <v>341828.65</v>
      </c>
      <c r="G371">
        <v>0</v>
      </c>
      <c r="H371">
        <v>0</v>
      </c>
      <c r="I371">
        <v>0</v>
      </c>
      <c r="J371">
        <v>0</v>
      </c>
      <c r="K371">
        <v>0</v>
      </c>
      <c r="L371">
        <v>11874804.02</v>
      </c>
      <c r="M371">
        <v>11796979.4</v>
      </c>
      <c r="N371">
        <v>11874804.02</v>
      </c>
      <c r="O371">
        <v>11796979.4</v>
      </c>
      <c r="P371">
        <v>35000000</v>
      </c>
      <c r="Q371">
        <v>35000000</v>
      </c>
      <c r="R371" s="14">
        <f>_xlfn.XLOOKUP(Table2[[#This Row],[LoanID]],Table1[G-L ID],Table1[ManagerCode],-99)</f>
        <v>103</v>
      </c>
      <c r="T371"/>
    </row>
    <row r="372" spans="1:20" x14ac:dyDescent="0.25">
      <c r="A372">
        <v>20100930</v>
      </c>
      <c r="B372">
        <v>2010</v>
      </c>
      <c r="C372">
        <v>9</v>
      </c>
      <c r="D372">
        <v>1</v>
      </c>
      <c r="E372">
        <v>10290</v>
      </c>
      <c r="F372">
        <v>285884.15000000002</v>
      </c>
      <c r="G372">
        <v>0</v>
      </c>
      <c r="H372">
        <v>0</v>
      </c>
      <c r="I372">
        <v>0.01</v>
      </c>
      <c r="J372">
        <v>0</v>
      </c>
      <c r="K372">
        <v>0</v>
      </c>
      <c r="L372">
        <v>7073864.5499999998</v>
      </c>
      <c r="M372">
        <v>7044273.9299999997</v>
      </c>
      <c r="N372">
        <v>7073864.5499999998</v>
      </c>
      <c r="O372">
        <v>7044273.9299999997</v>
      </c>
      <c r="P372">
        <v>25000000</v>
      </c>
      <c r="Q372">
        <v>25000000</v>
      </c>
      <c r="R372" s="14">
        <f>_xlfn.XLOOKUP(Table2[[#This Row],[LoanID]],Table1[G-L ID],Table1[ManagerCode],-99)</f>
        <v>103</v>
      </c>
      <c r="T372"/>
    </row>
    <row r="373" spans="1:20" x14ac:dyDescent="0.25">
      <c r="A373">
        <v>20100930</v>
      </c>
      <c r="B373">
        <v>2010</v>
      </c>
      <c r="C373">
        <v>9</v>
      </c>
      <c r="D373">
        <v>1</v>
      </c>
      <c r="E373">
        <v>10300</v>
      </c>
      <c r="F373">
        <v>310304.57</v>
      </c>
      <c r="G373">
        <v>0</v>
      </c>
      <c r="H373">
        <v>0</v>
      </c>
      <c r="I373">
        <v>-10771.31</v>
      </c>
      <c r="J373">
        <v>0</v>
      </c>
      <c r="K373">
        <v>0</v>
      </c>
      <c r="L373">
        <v>32587568.170000002</v>
      </c>
      <c r="M373">
        <v>31432045.100000001</v>
      </c>
      <c r="N373">
        <v>32587568.170000002</v>
      </c>
      <c r="O373">
        <v>31432045.100000001</v>
      </c>
      <c r="P373">
        <v>35000000</v>
      </c>
      <c r="Q373">
        <v>35000000</v>
      </c>
      <c r="R373" s="14">
        <f>_xlfn.XLOOKUP(Table2[[#This Row],[LoanID]],Table1[G-L ID],Table1[ManagerCode],-99)</f>
        <v>103</v>
      </c>
      <c r="T373"/>
    </row>
    <row r="374" spans="1:20" x14ac:dyDescent="0.25">
      <c r="A374">
        <v>20100930</v>
      </c>
      <c r="B374">
        <v>2010</v>
      </c>
      <c r="C374">
        <v>9</v>
      </c>
      <c r="D374">
        <v>1</v>
      </c>
      <c r="E374">
        <v>10370</v>
      </c>
      <c r="F374">
        <v>0</v>
      </c>
      <c r="G374">
        <v>0</v>
      </c>
      <c r="H374">
        <v>0</v>
      </c>
      <c r="I374">
        <v>0</v>
      </c>
      <c r="J374">
        <v>0</v>
      </c>
      <c r="K374">
        <v>0</v>
      </c>
      <c r="L374">
        <v>2496498.67</v>
      </c>
      <c r="M374">
        <v>2519932.5699999998</v>
      </c>
      <c r="N374">
        <v>2496498.67</v>
      </c>
      <c r="O374">
        <v>2519932.5699999998</v>
      </c>
      <c r="P374">
        <v>3480240.16</v>
      </c>
      <c r="Q374">
        <v>3480240.16</v>
      </c>
      <c r="R374" s="14">
        <f>_xlfn.XLOOKUP(Table2[[#This Row],[LoanID]],Table1[G-L ID],Table1[ManagerCode],-99)</f>
        <v>103</v>
      </c>
      <c r="T374"/>
    </row>
    <row r="375" spans="1:20" x14ac:dyDescent="0.25">
      <c r="A375">
        <v>20100930</v>
      </c>
      <c r="B375">
        <v>2010</v>
      </c>
      <c r="C375">
        <v>9</v>
      </c>
      <c r="D375">
        <v>1</v>
      </c>
      <c r="E375">
        <v>10380</v>
      </c>
      <c r="F375">
        <v>58884.11</v>
      </c>
      <c r="G375">
        <v>0</v>
      </c>
      <c r="H375">
        <v>0</v>
      </c>
      <c r="I375">
        <v>-92.5</v>
      </c>
      <c r="J375">
        <v>0</v>
      </c>
      <c r="K375">
        <v>656.77</v>
      </c>
      <c r="L375">
        <v>11096675.9</v>
      </c>
      <c r="M375">
        <v>11086002.01</v>
      </c>
      <c r="N375">
        <v>11096675.9</v>
      </c>
      <c r="O375">
        <v>11086002.01</v>
      </c>
      <c r="P375">
        <v>11104597.42</v>
      </c>
      <c r="Q375">
        <v>11103940.65</v>
      </c>
      <c r="R375" s="14">
        <f>_xlfn.XLOOKUP(Table2[[#This Row],[LoanID]],Table1[G-L ID],Table1[ManagerCode],-99)</f>
        <v>103</v>
      </c>
      <c r="T375"/>
    </row>
    <row r="376" spans="1:20" x14ac:dyDescent="0.25">
      <c r="A376">
        <v>20100930</v>
      </c>
      <c r="B376">
        <v>2010</v>
      </c>
      <c r="C376">
        <v>9</v>
      </c>
      <c r="D376">
        <v>1</v>
      </c>
      <c r="E376">
        <v>10390</v>
      </c>
      <c r="F376">
        <v>118750</v>
      </c>
      <c r="G376">
        <v>0</v>
      </c>
      <c r="H376">
        <v>0</v>
      </c>
      <c r="I376">
        <v>0</v>
      </c>
      <c r="J376">
        <v>0</v>
      </c>
      <c r="K376">
        <v>0</v>
      </c>
      <c r="L376">
        <v>23794735.710000001</v>
      </c>
      <c r="M376">
        <v>23695851.940000001</v>
      </c>
      <c r="N376">
        <v>23794735.710000001</v>
      </c>
      <c r="O376">
        <v>23695851.940000001</v>
      </c>
      <c r="P376">
        <v>24991020.32</v>
      </c>
      <c r="Q376">
        <v>24991224.399999999</v>
      </c>
      <c r="R376" s="14">
        <f>_xlfn.XLOOKUP(Table2[[#This Row],[LoanID]],Table1[G-L ID],Table1[ManagerCode],-99)</f>
        <v>103</v>
      </c>
      <c r="T376"/>
    </row>
    <row r="377" spans="1:20" x14ac:dyDescent="0.25">
      <c r="A377">
        <v>20100930</v>
      </c>
      <c r="B377">
        <v>2010</v>
      </c>
      <c r="C377">
        <v>9</v>
      </c>
      <c r="D377">
        <v>1</v>
      </c>
      <c r="E377">
        <v>10450</v>
      </c>
      <c r="F377">
        <v>121098.72</v>
      </c>
      <c r="G377">
        <v>0</v>
      </c>
      <c r="H377">
        <v>0</v>
      </c>
      <c r="I377">
        <v>0</v>
      </c>
      <c r="J377">
        <v>0</v>
      </c>
      <c r="K377">
        <v>20716.53</v>
      </c>
      <c r="L377">
        <v>21501548.190000001</v>
      </c>
      <c r="M377">
        <v>21391236.84</v>
      </c>
      <c r="N377">
        <v>21501548.190000001</v>
      </c>
      <c r="O377">
        <v>21391236.84</v>
      </c>
      <c r="P377">
        <v>21655351.399999999</v>
      </c>
      <c r="Q377">
        <v>21636197.43</v>
      </c>
      <c r="R377" s="14">
        <f>_xlfn.XLOOKUP(Table2[[#This Row],[LoanID]],Table1[G-L ID],Table1[ManagerCode],-99)</f>
        <v>103</v>
      </c>
      <c r="T377"/>
    </row>
    <row r="378" spans="1:20" x14ac:dyDescent="0.25">
      <c r="A378">
        <v>20100930</v>
      </c>
      <c r="B378">
        <v>2010</v>
      </c>
      <c r="C378">
        <v>9</v>
      </c>
      <c r="D378">
        <v>1</v>
      </c>
      <c r="E378">
        <v>10520</v>
      </c>
      <c r="F378">
        <v>5106.8900000000003</v>
      </c>
      <c r="G378">
        <v>0</v>
      </c>
      <c r="H378">
        <v>0</v>
      </c>
      <c r="I378">
        <v>-12.53</v>
      </c>
      <c r="J378">
        <v>0</v>
      </c>
      <c r="K378">
        <v>0</v>
      </c>
      <c r="L378">
        <v>3980856.94</v>
      </c>
      <c r="M378">
        <v>3983849.83</v>
      </c>
      <c r="N378">
        <v>3980856.94</v>
      </c>
      <c r="O378">
        <v>3983849.83</v>
      </c>
      <c r="P378">
        <v>4158887.64</v>
      </c>
      <c r="Q378">
        <v>4158887.64</v>
      </c>
      <c r="R378" s="14">
        <f>_xlfn.XLOOKUP(Table2[[#This Row],[LoanID]],Table1[G-L ID],Table1[ManagerCode],-99)</f>
        <v>103</v>
      </c>
      <c r="T378"/>
    </row>
    <row r="379" spans="1:20" x14ac:dyDescent="0.25">
      <c r="A379">
        <v>20100930</v>
      </c>
      <c r="B379">
        <v>2010</v>
      </c>
      <c r="C379">
        <v>9</v>
      </c>
      <c r="D379">
        <v>1</v>
      </c>
      <c r="E379">
        <v>10530</v>
      </c>
      <c r="F379">
        <v>110649.13</v>
      </c>
      <c r="G379">
        <v>0</v>
      </c>
      <c r="H379">
        <v>0</v>
      </c>
      <c r="I379">
        <v>-271.58</v>
      </c>
      <c r="J379">
        <v>0</v>
      </c>
      <c r="K379">
        <v>0</v>
      </c>
      <c r="L379">
        <v>86251813.739999995</v>
      </c>
      <c r="M379">
        <v>86316661.120000005</v>
      </c>
      <c r="N379">
        <v>86251813.739999995</v>
      </c>
      <c r="O379">
        <v>86316661.120000005</v>
      </c>
      <c r="P379">
        <v>90109231.989999995</v>
      </c>
      <c r="Q379">
        <v>90109231.989999995</v>
      </c>
      <c r="R379" s="14">
        <f>_xlfn.XLOOKUP(Table2[[#This Row],[LoanID]],Table1[G-L ID],Table1[ManagerCode],-99)</f>
        <v>103</v>
      </c>
      <c r="T379"/>
    </row>
    <row r="380" spans="1:20" x14ac:dyDescent="0.25">
      <c r="A380">
        <v>20100930</v>
      </c>
      <c r="B380">
        <v>2010</v>
      </c>
      <c r="C380">
        <v>9</v>
      </c>
      <c r="D380">
        <v>1</v>
      </c>
      <c r="E380">
        <v>10540</v>
      </c>
      <c r="F380">
        <v>15320.65</v>
      </c>
      <c r="G380">
        <v>0</v>
      </c>
      <c r="H380">
        <v>0</v>
      </c>
      <c r="I380">
        <v>-37.6</v>
      </c>
      <c r="J380">
        <v>0</v>
      </c>
      <c r="K380">
        <v>0</v>
      </c>
      <c r="L380">
        <v>11942570.720000001</v>
      </c>
      <c r="M380">
        <v>11951549.619999999</v>
      </c>
      <c r="N380">
        <v>11942570.720000001</v>
      </c>
      <c r="O380">
        <v>11951549.619999999</v>
      </c>
      <c r="P380">
        <v>12476662.9</v>
      </c>
      <c r="Q380">
        <v>12476662.9</v>
      </c>
      <c r="R380" s="14">
        <f>_xlfn.XLOOKUP(Table2[[#This Row],[LoanID]],Table1[G-L ID],Table1[ManagerCode],-99)</f>
        <v>103</v>
      </c>
      <c r="T380"/>
    </row>
    <row r="381" spans="1:20" x14ac:dyDescent="0.25">
      <c r="A381">
        <v>20100930</v>
      </c>
      <c r="B381">
        <v>2010</v>
      </c>
      <c r="C381">
        <v>9</v>
      </c>
      <c r="D381">
        <v>1</v>
      </c>
      <c r="E381">
        <v>10630</v>
      </c>
      <c r="F381">
        <v>50086</v>
      </c>
      <c r="G381">
        <v>0</v>
      </c>
      <c r="H381">
        <v>0</v>
      </c>
      <c r="I381">
        <v>0.02</v>
      </c>
      <c r="J381">
        <v>0</v>
      </c>
      <c r="K381">
        <v>12530.08</v>
      </c>
      <c r="L381">
        <v>9184564.8200000003</v>
      </c>
      <c r="M381">
        <v>9133989.5399999991</v>
      </c>
      <c r="N381">
        <v>9184564.8200000003</v>
      </c>
      <c r="O381">
        <v>9133989.5399999991</v>
      </c>
      <c r="P381">
        <v>9376474.9600000009</v>
      </c>
      <c r="Q381">
        <v>9363944.8800000008</v>
      </c>
      <c r="R381" s="14">
        <f>_xlfn.XLOOKUP(Table2[[#This Row],[LoanID]],Table1[G-L ID],Table1[ManagerCode],-99)</f>
        <v>103</v>
      </c>
      <c r="T381"/>
    </row>
    <row r="382" spans="1:20" x14ac:dyDescent="0.25">
      <c r="A382">
        <v>20100930</v>
      </c>
      <c r="B382">
        <v>2010</v>
      </c>
      <c r="C382">
        <v>9</v>
      </c>
      <c r="D382">
        <v>1</v>
      </c>
      <c r="E382">
        <v>10770</v>
      </c>
      <c r="F382">
        <v>180230.56</v>
      </c>
      <c r="G382">
        <v>0</v>
      </c>
      <c r="H382">
        <v>0</v>
      </c>
      <c r="I382">
        <v>0.01</v>
      </c>
      <c r="J382">
        <v>0</v>
      </c>
      <c r="K382">
        <v>0</v>
      </c>
      <c r="L382">
        <v>102761411.7</v>
      </c>
      <c r="M382">
        <v>104698869.7</v>
      </c>
      <c r="N382">
        <v>102761411.7</v>
      </c>
      <c r="O382">
        <v>104698869.7</v>
      </c>
      <c r="P382">
        <v>115000000</v>
      </c>
      <c r="Q382">
        <v>115000000</v>
      </c>
      <c r="R382" s="14">
        <f>_xlfn.XLOOKUP(Table2[[#This Row],[LoanID]],Table1[G-L ID],Table1[ManagerCode],-99)</f>
        <v>103</v>
      </c>
      <c r="T382"/>
    </row>
    <row r="383" spans="1:20" x14ac:dyDescent="0.25">
      <c r="A383">
        <v>20100930</v>
      </c>
      <c r="B383">
        <v>2010</v>
      </c>
      <c r="C383">
        <v>9</v>
      </c>
      <c r="D383">
        <v>1</v>
      </c>
      <c r="E383">
        <v>10870</v>
      </c>
      <c r="F383">
        <v>322160.65999999997</v>
      </c>
      <c r="G383">
        <v>0</v>
      </c>
      <c r="H383">
        <v>0</v>
      </c>
      <c r="I383">
        <v>0</v>
      </c>
      <c r="J383">
        <v>0</v>
      </c>
      <c r="K383">
        <v>0</v>
      </c>
      <c r="L383">
        <v>189414447.90000001</v>
      </c>
      <c r="M383">
        <v>191384527.90000001</v>
      </c>
      <c r="N383">
        <v>189414447.90000001</v>
      </c>
      <c r="O383">
        <v>191384527.90000001</v>
      </c>
      <c r="P383">
        <v>201798851</v>
      </c>
      <c r="Q383">
        <v>201798851</v>
      </c>
      <c r="R383" s="14">
        <f>_xlfn.XLOOKUP(Table2[[#This Row],[LoanID]],Table1[G-L ID],Table1[ManagerCode],-99)</f>
        <v>103</v>
      </c>
      <c r="T383"/>
    </row>
    <row r="384" spans="1:20" x14ac:dyDescent="0.25">
      <c r="A384">
        <v>20100930</v>
      </c>
      <c r="B384">
        <v>2010</v>
      </c>
      <c r="C384">
        <v>9</v>
      </c>
      <c r="D384">
        <v>1</v>
      </c>
      <c r="E384">
        <v>10950</v>
      </c>
      <c r="F384">
        <v>55140.38</v>
      </c>
      <c r="G384">
        <v>0</v>
      </c>
      <c r="H384">
        <v>0</v>
      </c>
      <c r="I384">
        <v>0</v>
      </c>
      <c r="J384">
        <v>0</v>
      </c>
      <c r="K384">
        <v>21882.639999999999</v>
      </c>
      <c r="L384">
        <v>10745630.289999999</v>
      </c>
      <c r="M384">
        <v>10683999.15</v>
      </c>
      <c r="N384">
        <v>10745630.289999999</v>
      </c>
      <c r="O384">
        <v>10683999.15</v>
      </c>
      <c r="P384">
        <v>11102090.51</v>
      </c>
      <c r="Q384">
        <v>11080207.869999999</v>
      </c>
      <c r="R384" s="14">
        <f>_xlfn.XLOOKUP(Table2[[#This Row],[LoanID]],Table1[G-L ID],Table1[ManagerCode],-99)</f>
        <v>103</v>
      </c>
      <c r="T384"/>
    </row>
    <row r="385" spans="1:20" x14ac:dyDescent="0.25">
      <c r="A385">
        <v>20100930</v>
      </c>
      <c r="B385">
        <v>2010</v>
      </c>
      <c r="C385">
        <v>9</v>
      </c>
      <c r="D385">
        <v>1</v>
      </c>
      <c r="E385">
        <v>11180</v>
      </c>
      <c r="F385">
        <v>222995.26</v>
      </c>
      <c r="G385">
        <v>0</v>
      </c>
      <c r="H385">
        <v>0</v>
      </c>
      <c r="I385">
        <v>0</v>
      </c>
      <c r="J385">
        <v>0</v>
      </c>
      <c r="K385">
        <v>0</v>
      </c>
      <c r="L385">
        <v>159189308.19999999</v>
      </c>
      <c r="M385">
        <v>162446396.30000001</v>
      </c>
      <c r="N385">
        <v>159189308.19999999</v>
      </c>
      <c r="O385">
        <v>162446396.30000001</v>
      </c>
      <c r="P385">
        <v>199970831.5</v>
      </c>
      <c r="Q385">
        <v>199970831.5</v>
      </c>
      <c r="R385" s="14">
        <f>_xlfn.XLOOKUP(Table2[[#This Row],[LoanID]],Table1[G-L ID],Table1[ManagerCode],-99)</f>
        <v>103</v>
      </c>
      <c r="T385"/>
    </row>
    <row r="386" spans="1:20" x14ac:dyDescent="0.25">
      <c r="A386">
        <v>20100930</v>
      </c>
      <c r="B386">
        <v>2010</v>
      </c>
      <c r="C386">
        <v>9</v>
      </c>
      <c r="D386">
        <v>1</v>
      </c>
      <c r="E386">
        <v>11200</v>
      </c>
      <c r="F386">
        <v>69880</v>
      </c>
      <c r="G386">
        <v>0</v>
      </c>
      <c r="H386">
        <v>0</v>
      </c>
      <c r="I386">
        <v>0</v>
      </c>
      <c r="J386">
        <v>0</v>
      </c>
      <c r="K386">
        <v>0</v>
      </c>
      <c r="L386">
        <v>13762916.99</v>
      </c>
      <c r="M386">
        <v>13724501.439999999</v>
      </c>
      <c r="N386">
        <v>13762916.99</v>
      </c>
      <c r="O386">
        <v>13724501.439999999</v>
      </c>
      <c r="P386">
        <v>13976000</v>
      </c>
      <c r="Q386">
        <v>13976000</v>
      </c>
      <c r="R386" s="14">
        <f>_xlfn.XLOOKUP(Table2[[#This Row],[LoanID]],Table1[G-L ID],Table1[ManagerCode],-99)</f>
        <v>103</v>
      </c>
      <c r="T386"/>
    </row>
    <row r="387" spans="1:20" x14ac:dyDescent="0.25">
      <c r="A387">
        <v>20100930</v>
      </c>
      <c r="B387">
        <v>2010</v>
      </c>
      <c r="C387">
        <v>9</v>
      </c>
      <c r="D387">
        <v>1</v>
      </c>
      <c r="E387">
        <v>11240</v>
      </c>
      <c r="F387">
        <v>259505.48</v>
      </c>
      <c r="G387">
        <v>0</v>
      </c>
      <c r="H387">
        <v>0</v>
      </c>
      <c r="I387">
        <v>0</v>
      </c>
      <c r="J387">
        <v>0</v>
      </c>
      <c r="K387">
        <v>0</v>
      </c>
      <c r="L387">
        <v>177041228.80000001</v>
      </c>
      <c r="M387">
        <v>178850990.80000001</v>
      </c>
      <c r="N387">
        <v>177041228.80000001</v>
      </c>
      <c r="O387">
        <v>178850990.80000001</v>
      </c>
      <c r="P387">
        <v>194929626.59999999</v>
      </c>
      <c r="Q387">
        <v>194929626.59999999</v>
      </c>
      <c r="R387" s="14">
        <f>_xlfn.XLOOKUP(Table2[[#This Row],[LoanID]],Table1[G-L ID],Table1[ManagerCode],-99)</f>
        <v>103</v>
      </c>
      <c r="T387"/>
    </row>
    <row r="388" spans="1:20" x14ac:dyDescent="0.25">
      <c r="A388">
        <v>20100930</v>
      </c>
      <c r="B388">
        <v>2010</v>
      </c>
      <c r="C388">
        <v>9</v>
      </c>
      <c r="D388">
        <v>1</v>
      </c>
      <c r="E388">
        <v>11260</v>
      </c>
      <c r="F388">
        <v>14815.55</v>
      </c>
      <c r="G388">
        <v>0</v>
      </c>
      <c r="H388">
        <v>0</v>
      </c>
      <c r="I388">
        <v>-93.96</v>
      </c>
      <c r="J388">
        <v>0</v>
      </c>
      <c r="K388">
        <v>0</v>
      </c>
      <c r="L388">
        <v>10233020.880000001</v>
      </c>
      <c r="M388">
        <v>10341894.51</v>
      </c>
      <c r="N388">
        <v>10233020.880000001</v>
      </c>
      <c r="O388">
        <v>10341894.51</v>
      </c>
      <c r="P388">
        <v>11274673.789999999</v>
      </c>
      <c r="Q388">
        <v>11274673.789999999</v>
      </c>
      <c r="R388" s="14">
        <f>_xlfn.XLOOKUP(Table2[[#This Row],[LoanID]],Table1[G-L ID],Table1[ManagerCode],-99)</f>
        <v>103</v>
      </c>
      <c r="T388"/>
    </row>
    <row r="389" spans="1:20" x14ac:dyDescent="0.25">
      <c r="A389">
        <v>20100930</v>
      </c>
      <c r="B389">
        <v>2010</v>
      </c>
      <c r="C389">
        <v>9</v>
      </c>
      <c r="D389">
        <v>1</v>
      </c>
      <c r="E389">
        <v>11270</v>
      </c>
      <c r="F389">
        <v>24692.58</v>
      </c>
      <c r="G389">
        <v>0</v>
      </c>
      <c r="H389">
        <v>0</v>
      </c>
      <c r="I389">
        <v>-156.59</v>
      </c>
      <c r="J389">
        <v>0</v>
      </c>
      <c r="K389">
        <v>0</v>
      </c>
      <c r="L389">
        <v>17055034.84</v>
      </c>
      <c r="M389">
        <v>17236490.920000002</v>
      </c>
      <c r="N389">
        <v>17055034.84</v>
      </c>
      <c r="O389">
        <v>17236490.920000002</v>
      </c>
      <c r="P389">
        <v>18791123.030000001</v>
      </c>
      <c r="Q389">
        <v>18791123.030000001</v>
      </c>
      <c r="R389" s="14">
        <f>_xlfn.XLOOKUP(Table2[[#This Row],[LoanID]],Table1[G-L ID],Table1[ManagerCode],-99)</f>
        <v>103</v>
      </c>
      <c r="T389"/>
    </row>
    <row r="390" spans="1:20" x14ac:dyDescent="0.25">
      <c r="A390">
        <v>20100930</v>
      </c>
      <c r="B390">
        <v>2010</v>
      </c>
      <c r="C390">
        <v>9</v>
      </c>
      <c r="D390">
        <v>1</v>
      </c>
      <c r="E390">
        <v>11290</v>
      </c>
      <c r="F390">
        <v>22223.32</v>
      </c>
      <c r="G390">
        <v>0</v>
      </c>
      <c r="H390">
        <v>0</v>
      </c>
      <c r="I390">
        <v>-140.93</v>
      </c>
      <c r="J390">
        <v>0</v>
      </c>
      <c r="K390">
        <v>0</v>
      </c>
      <c r="L390">
        <v>15349531.32</v>
      </c>
      <c r="M390">
        <v>15512841.83</v>
      </c>
      <c r="N390">
        <v>15349531.32</v>
      </c>
      <c r="O390">
        <v>15512841.83</v>
      </c>
      <c r="P390">
        <v>16912010.73</v>
      </c>
      <c r="Q390">
        <v>16912010.73</v>
      </c>
      <c r="R390" s="14">
        <f>_xlfn.XLOOKUP(Table2[[#This Row],[LoanID]],Table1[G-L ID],Table1[ManagerCode],-99)</f>
        <v>103</v>
      </c>
      <c r="T390"/>
    </row>
    <row r="391" spans="1:20" x14ac:dyDescent="0.25">
      <c r="A391">
        <v>20100930</v>
      </c>
      <c r="B391">
        <v>2010</v>
      </c>
      <c r="C391">
        <v>9</v>
      </c>
      <c r="D391">
        <v>1</v>
      </c>
      <c r="E391">
        <v>11380</v>
      </c>
      <c r="F391">
        <v>39897.31</v>
      </c>
      <c r="G391">
        <v>0</v>
      </c>
      <c r="H391">
        <v>0</v>
      </c>
      <c r="I391">
        <v>0</v>
      </c>
      <c r="J391">
        <v>0</v>
      </c>
      <c r="K391">
        <v>50802.69</v>
      </c>
      <c r="L391">
        <v>6875262.2699999996</v>
      </c>
      <c r="M391">
        <v>6781272.6399999997</v>
      </c>
      <c r="N391">
        <v>6875262.2699999996</v>
      </c>
      <c r="O391">
        <v>6781272.6399999997</v>
      </c>
      <c r="P391">
        <v>6037423.9500000002</v>
      </c>
      <c r="Q391">
        <v>5986621.2599999998</v>
      </c>
      <c r="R391" s="14">
        <f>_xlfn.XLOOKUP(Table2[[#This Row],[LoanID]],Table1[G-L ID],Table1[ManagerCode],-99)</f>
        <v>103</v>
      </c>
      <c r="T391"/>
    </row>
    <row r="392" spans="1:20" x14ac:dyDescent="0.25">
      <c r="A392">
        <v>20100930</v>
      </c>
      <c r="B392">
        <v>2010</v>
      </c>
      <c r="C392">
        <v>9</v>
      </c>
      <c r="D392">
        <v>1</v>
      </c>
      <c r="E392">
        <v>11420</v>
      </c>
      <c r="F392">
        <v>514856.61</v>
      </c>
      <c r="G392">
        <v>0</v>
      </c>
      <c r="H392">
        <v>0</v>
      </c>
      <c r="I392">
        <v>0</v>
      </c>
      <c r="J392">
        <v>0</v>
      </c>
      <c r="K392">
        <v>0</v>
      </c>
      <c r="L392">
        <v>97639525.200000003</v>
      </c>
      <c r="M392">
        <v>100322815.7</v>
      </c>
      <c r="N392">
        <v>97639525.200000003</v>
      </c>
      <c r="O392">
        <v>100322815.7</v>
      </c>
      <c r="P392">
        <v>98000000</v>
      </c>
      <c r="Q392">
        <v>98000000</v>
      </c>
      <c r="R392" s="14">
        <f>_xlfn.XLOOKUP(Table2[[#This Row],[LoanID]],Table1[G-L ID],Table1[ManagerCode],-99)</f>
        <v>103</v>
      </c>
      <c r="T392"/>
    </row>
    <row r="393" spans="1:20" x14ac:dyDescent="0.25">
      <c r="A393">
        <v>20100930</v>
      </c>
      <c r="B393">
        <v>2010</v>
      </c>
      <c r="C393">
        <v>9</v>
      </c>
      <c r="D393">
        <v>1</v>
      </c>
      <c r="E393">
        <v>11510</v>
      </c>
      <c r="F393">
        <v>0</v>
      </c>
      <c r="G393">
        <v>0</v>
      </c>
      <c r="H393">
        <v>0</v>
      </c>
      <c r="I393">
        <v>0</v>
      </c>
      <c r="J393">
        <v>0</v>
      </c>
      <c r="K393">
        <v>0</v>
      </c>
      <c r="L393">
        <v>14602872.720000001</v>
      </c>
      <c r="M393">
        <v>14602872.720000001</v>
      </c>
      <c r="N393">
        <v>14602872.720000001</v>
      </c>
      <c r="O393">
        <v>14602872.720000001</v>
      </c>
      <c r="P393">
        <v>14602872.720000001</v>
      </c>
      <c r="Q393">
        <v>14602872.720000001</v>
      </c>
      <c r="R393" s="14">
        <f>_xlfn.XLOOKUP(Table2[[#This Row],[LoanID]],Table1[G-L ID],Table1[ManagerCode],-99)</f>
        <v>103</v>
      </c>
      <c r="T393"/>
    </row>
    <row r="394" spans="1:20" x14ac:dyDescent="0.25">
      <c r="A394">
        <v>20100930</v>
      </c>
      <c r="B394">
        <v>2010</v>
      </c>
      <c r="C394">
        <v>9</v>
      </c>
      <c r="D394">
        <v>1</v>
      </c>
      <c r="E394">
        <v>11780</v>
      </c>
      <c r="F394">
        <v>191964.35</v>
      </c>
      <c r="G394">
        <v>0</v>
      </c>
      <c r="H394">
        <v>0</v>
      </c>
      <c r="I394">
        <v>-1159.03</v>
      </c>
      <c r="J394">
        <v>0</v>
      </c>
      <c r="K394">
        <v>132782.89000000001</v>
      </c>
      <c r="L394">
        <v>54703791.880000003</v>
      </c>
      <c r="M394">
        <v>55617211.409999996</v>
      </c>
      <c r="N394">
        <v>54703791.880000003</v>
      </c>
      <c r="O394">
        <v>55617211.409999996</v>
      </c>
      <c r="P394">
        <v>67298519.230000004</v>
      </c>
      <c r="Q394">
        <v>67165736.340000004</v>
      </c>
      <c r="R394" s="14">
        <f>_xlfn.XLOOKUP(Table2[[#This Row],[LoanID]],Table1[G-L ID],Table1[ManagerCode],-99)</f>
        <v>103</v>
      </c>
      <c r="T394"/>
    </row>
    <row r="395" spans="1:20" x14ac:dyDescent="0.25">
      <c r="A395">
        <v>20100930</v>
      </c>
      <c r="B395">
        <v>2010</v>
      </c>
      <c r="C395">
        <v>9</v>
      </c>
      <c r="D395">
        <v>1</v>
      </c>
      <c r="E395">
        <v>11800</v>
      </c>
      <c r="F395">
        <v>169273.08</v>
      </c>
      <c r="G395">
        <v>0</v>
      </c>
      <c r="H395">
        <v>0</v>
      </c>
      <c r="I395">
        <v>-284.83</v>
      </c>
      <c r="J395">
        <v>0</v>
      </c>
      <c r="K395">
        <v>51794.35</v>
      </c>
      <c r="L395">
        <v>13232134.77</v>
      </c>
      <c r="M395">
        <v>13313889.52</v>
      </c>
      <c r="N395">
        <v>13232134.77</v>
      </c>
      <c r="O395">
        <v>13313889.52</v>
      </c>
      <c r="P395">
        <v>33076760.620000001</v>
      </c>
      <c r="Q395">
        <v>33024966.27</v>
      </c>
      <c r="R395" s="14">
        <f>_xlfn.XLOOKUP(Table2[[#This Row],[LoanID]],Table1[G-L ID],Table1[ManagerCode],-99)</f>
        <v>103</v>
      </c>
      <c r="T395"/>
    </row>
    <row r="396" spans="1:20" x14ac:dyDescent="0.25">
      <c r="A396">
        <v>20100930</v>
      </c>
      <c r="B396">
        <v>2010</v>
      </c>
      <c r="C396">
        <v>9</v>
      </c>
      <c r="D396">
        <v>1</v>
      </c>
      <c r="E396">
        <v>11810</v>
      </c>
      <c r="F396">
        <v>51166.67</v>
      </c>
      <c r="G396">
        <v>0</v>
      </c>
      <c r="H396">
        <v>0</v>
      </c>
      <c r="I396">
        <v>0</v>
      </c>
      <c r="J396">
        <v>0</v>
      </c>
      <c r="K396">
        <v>0</v>
      </c>
      <c r="L396">
        <v>9028773</v>
      </c>
      <c r="M396">
        <v>8938101.5</v>
      </c>
      <c r="N396">
        <v>9028773</v>
      </c>
      <c r="O396">
        <v>8938101.5</v>
      </c>
      <c r="P396">
        <v>10000000</v>
      </c>
      <c r="Q396">
        <v>10000000</v>
      </c>
      <c r="R396" s="14">
        <f>_xlfn.XLOOKUP(Table2[[#This Row],[LoanID]],Table1[G-L ID],Table1[ManagerCode],-99)</f>
        <v>103</v>
      </c>
      <c r="T396"/>
    </row>
    <row r="397" spans="1:20" x14ac:dyDescent="0.25">
      <c r="A397">
        <v>20100930</v>
      </c>
      <c r="B397">
        <v>2010</v>
      </c>
      <c r="C397">
        <v>9</v>
      </c>
      <c r="D397">
        <v>1</v>
      </c>
      <c r="E397">
        <v>11860</v>
      </c>
      <c r="F397">
        <v>243177.78</v>
      </c>
      <c r="G397">
        <v>0</v>
      </c>
      <c r="H397">
        <v>0</v>
      </c>
      <c r="I397">
        <v>0</v>
      </c>
      <c r="J397">
        <v>0</v>
      </c>
      <c r="K397">
        <v>0</v>
      </c>
      <c r="L397">
        <v>49237501.840000004</v>
      </c>
      <c r="M397">
        <v>49616766.100000001</v>
      </c>
      <c r="N397">
        <v>49237501.840000004</v>
      </c>
      <c r="O397">
        <v>49616766.100000001</v>
      </c>
      <c r="P397">
        <v>49985314.770000003</v>
      </c>
      <c r="Q397">
        <v>50000000</v>
      </c>
      <c r="R397" s="14">
        <f>_xlfn.XLOOKUP(Table2[[#This Row],[LoanID]],Table1[G-L ID],Table1[ManagerCode],-99)</f>
        <v>103</v>
      </c>
      <c r="T397"/>
    </row>
    <row r="398" spans="1:20" x14ac:dyDescent="0.25">
      <c r="A398">
        <v>20100930</v>
      </c>
      <c r="B398">
        <v>2010</v>
      </c>
      <c r="C398">
        <v>9</v>
      </c>
      <c r="D398">
        <v>1</v>
      </c>
      <c r="E398">
        <v>11870</v>
      </c>
      <c r="F398">
        <v>121588.89</v>
      </c>
      <c r="G398">
        <v>0</v>
      </c>
      <c r="H398">
        <v>0</v>
      </c>
      <c r="I398">
        <v>0</v>
      </c>
      <c r="J398">
        <v>0</v>
      </c>
      <c r="K398">
        <v>0</v>
      </c>
      <c r="L398">
        <v>24618750.920000002</v>
      </c>
      <c r="M398">
        <v>24808383.050000001</v>
      </c>
      <c r="N398">
        <v>24618750.920000002</v>
      </c>
      <c r="O398">
        <v>24808383.050000001</v>
      </c>
      <c r="P398">
        <v>24991879.579999998</v>
      </c>
      <c r="Q398">
        <v>25000000</v>
      </c>
      <c r="R398" s="14">
        <f>_xlfn.XLOOKUP(Table2[[#This Row],[LoanID]],Table1[G-L ID],Table1[ManagerCode],-99)</f>
        <v>103</v>
      </c>
      <c r="T398"/>
    </row>
    <row r="399" spans="1:20" x14ac:dyDescent="0.25">
      <c r="A399">
        <v>20100930</v>
      </c>
      <c r="B399">
        <v>2010</v>
      </c>
      <c r="C399">
        <v>9</v>
      </c>
      <c r="D399">
        <v>1</v>
      </c>
      <c r="E399">
        <v>11900</v>
      </c>
      <c r="F399">
        <v>0</v>
      </c>
      <c r="G399">
        <v>0</v>
      </c>
      <c r="H399">
        <v>0</v>
      </c>
      <c r="I399">
        <v>0</v>
      </c>
      <c r="J399">
        <v>0</v>
      </c>
      <c r="K399">
        <v>0</v>
      </c>
      <c r="L399">
        <v>55000000</v>
      </c>
      <c r="M399">
        <v>55000000</v>
      </c>
      <c r="N399">
        <v>55000000</v>
      </c>
      <c r="O399">
        <v>55000000</v>
      </c>
      <c r="P399">
        <v>55000000</v>
      </c>
      <c r="Q399">
        <v>55000000</v>
      </c>
      <c r="R399" s="14">
        <f>_xlfn.XLOOKUP(Table2[[#This Row],[LoanID]],Table1[G-L ID],Table1[ManagerCode],-99)</f>
        <v>103</v>
      </c>
      <c r="T399"/>
    </row>
    <row r="400" spans="1:20" x14ac:dyDescent="0.25">
      <c r="A400">
        <v>20100930</v>
      </c>
      <c r="B400">
        <v>2010</v>
      </c>
      <c r="C400">
        <v>9</v>
      </c>
      <c r="D400">
        <v>1</v>
      </c>
      <c r="E400">
        <v>11930</v>
      </c>
      <c r="F400">
        <v>198260.36</v>
      </c>
      <c r="G400">
        <v>0</v>
      </c>
      <c r="H400">
        <v>0</v>
      </c>
      <c r="I400">
        <v>0</v>
      </c>
      <c r="J400">
        <v>0</v>
      </c>
      <c r="K400">
        <v>0</v>
      </c>
      <c r="L400">
        <v>195187302.69999999</v>
      </c>
      <c r="M400">
        <v>195459146.19999999</v>
      </c>
      <c r="N400">
        <v>195187302.69999999</v>
      </c>
      <c r="O400">
        <v>195459146.19999999</v>
      </c>
      <c r="P400">
        <v>195780481.30000001</v>
      </c>
      <c r="Q400">
        <v>195780481.30000001</v>
      </c>
      <c r="R400" s="14">
        <f>_xlfn.XLOOKUP(Table2[[#This Row],[LoanID]],Table1[G-L ID],Table1[ManagerCode],-99)</f>
        <v>103</v>
      </c>
      <c r="T400"/>
    </row>
    <row r="401" spans="1:20" x14ac:dyDescent="0.25">
      <c r="A401">
        <v>20100930</v>
      </c>
      <c r="B401">
        <v>2010</v>
      </c>
      <c r="C401">
        <v>9</v>
      </c>
      <c r="D401">
        <v>1</v>
      </c>
      <c r="E401">
        <v>11940</v>
      </c>
      <c r="F401">
        <v>64935.040000000001</v>
      </c>
      <c r="G401">
        <v>0</v>
      </c>
      <c r="H401">
        <v>0</v>
      </c>
      <c r="I401">
        <v>0</v>
      </c>
      <c r="J401">
        <v>0</v>
      </c>
      <c r="K401">
        <v>0</v>
      </c>
      <c r="L401">
        <v>62783275.850000001</v>
      </c>
      <c r="M401">
        <v>62763503.049999997</v>
      </c>
      <c r="N401">
        <v>62783275.850000001</v>
      </c>
      <c r="O401">
        <v>62763503.049999997</v>
      </c>
      <c r="P401">
        <v>64094660.590000004</v>
      </c>
      <c r="Q401">
        <v>64096826.450000003</v>
      </c>
      <c r="R401" s="14">
        <f>_xlfn.XLOOKUP(Table2[[#This Row],[LoanID]],Table1[G-L ID],Table1[ManagerCode],-99)</f>
        <v>103</v>
      </c>
      <c r="T401"/>
    </row>
    <row r="402" spans="1:20" x14ac:dyDescent="0.25">
      <c r="A402">
        <v>20100930</v>
      </c>
      <c r="B402">
        <v>2010</v>
      </c>
      <c r="C402">
        <v>9</v>
      </c>
      <c r="D402">
        <v>1</v>
      </c>
      <c r="E402">
        <v>11951</v>
      </c>
      <c r="F402">
        <v>166619.82999999999</v>
      </c>
      <c r="G402">
        <v>0</v>
      </c>
      <c r="H402">
        <v>0</v>
      </c>
      <c r="I402">
        <v>-283.33</v>
      </c>
      <c r="J402">
        <v>0</v>
      </c>
      <c r="K402">
        <v>0</v>
      </c>
      <c r="L402">
        <v>34523507.390000001</v>
      </c>
      <c r="M402">
        <v>34415984.539999999</v>
      </c>
      <c r="N402">
        <v>34523507.390000001</v>
      </c>
      <c r="O402">
        <v>34415984.539999999</v>
      </c>
      <c r="P402">
        <v>33991787.530000001</v>
      </c>
      <c r="Q402">
        <v>33993430.020000003</v>
      </c>
      <c r="R402" s="14">
        <f>_xlfn.XLOOKUP(Table2[[#This Row],[LoanID]],Table1[G-L ID],Table1[ManagerCode],-99)</f>
        <v>103</v>
      </c>
      <c r="T402"/>
    </row>
    <row r="403" spans="1:20" x14ac:dyDescent="0.25">
      <c r="A403">
        <v>20100930</v>
      </c>
      <c r="B403">
        <v>2010</v>
      </c>
      <c r="C403">
        <v>9</v>
      </c>
      <c r="D403">
        <v>1</v>
      </c>
      <c r="E403">
        <v>11952</v>
      </c>
      <c r="F403">
        <v>119241.5</v>
      </c>
      <c r="G403">
        <v>0</v>
      </c>
      <c r="H403">
        <v>0</v>
      </c>
      <c r="I403">
        <v>-174.99</v>
      </c>
      <c r="J403">
        <v>0</v>
      </c>
      <c r="K403">
        <v>0</v>
      </c>
      <c r="L403">
        <v>21369955.399999999</v>
      </c>
      <c r="M403">
        <v>21295872.219999999</v>
      </c>
      <c r="N403">
        <v>21369955.399999999</v>
      </c>
      <c r="O403">
        <v>21295872.219999999</v>
      </c>
      <c r="P403">
        <v>21000000</v>
      </c>
      <c r="Q403">
        <v>21000000</v>
      </c>
      <c r="R403" s="14">
        <f>_xlfn.XLOOKUP(Table2[[#This Row],[LoanID]],Table1[G-L ID],Table1[ManagerCode],-99)</f>
        <v>103</v>
      </c>
      <c r="T403"/>
    </row>
    <row r="404" spans="1:20" x14ac:dyDescent="0.25">
      <c r="A404">
        <v>20100930</v>
      </c>
      <c r="B404">
        <v>2010</v>
      </c>
      <c r="C404">
        <v>9</v>
      </c>
      <c r="D404">
        <v>1</v>
      </c>
      <c r="E404">
        <v>12000</v>
      </c>
      <c r="F404">
        <v>129709.44</v>
      </c>
      <c r="G404">
        <v>0</v>
      </c>
      <c r="H404">
        <v>0</v>
      </c>
      <c r="I404">
        <v>0</v>
      </c>
      <c r="J404">
        <v>0</v>
      </c>
      <c r="K404">
        <v>0</v>
      </c>
      <c r="L404">
        <v>20827927.399999999</v>
      </c>
      <c r="M404">
        <v>20998947.27</v>
      </c>
      <c r="N404">
        <v>20827927.399999999</v>
      </c>
      <c r="O404">
        <v>20998947.27</v>
      </c>
      <c r="P404">
        <v>25087690.879999999</v>
      </c>
      <c r="Q404">
        <v>25088385.32</v>
      </c>
      <c r="R404" s="14">
        <f>_xlfn.XLOOKUP(Table2[[#This Row],[LoanID]],Table1[G-L ID],Table1[ManagerCode],-99)</f>
        <v>103</v>
      </c>
      <c r="T404"/>
    </row>
    <row r="405" spans="1:20" x14ac:dyDescent="0.25">
      <c r="A405">
        <v>20100930</v>
      </c>
      <c r="B405">
        <v>2010</v>
      </c>
      <c r="C405">
        <v>9</v>
      </c>
      <c r="D405">
        <v>1</v>
      </c>
      <c r="E405">
        <v>12200</v>
      </c>
      <c r="F405">
        <v>91990.16</v>
      </c>
      <c r="G405">
        <v>0</v>
      </c>
      <c r="H405">
        <v>0</v>
      </c>
      <c r="I405">
        <v>0</v>
      </c>
      <c r="J405">
        <v>0</v>
      </c>
      <c r="K405">
        <v>30219.4</v>
      </c>
      <c r="L405">
        <v>21655331.879999999</v>
      </c>
      <c r="M405">
        <v>21548961.710000001</v>
      </c>
      <c r="N405">
        <v>21655331.879999999</v>
      </c>
      <c r="O405">
        <v>21548961.710000001</v>
      </c>
      <c r="P405">
        <v>20016741.699999999</v>
      </c>
      <c r="Q405">
        <v>19986862.07</v>
      </c>
      <c r="R405" s="14">
        <f>_xlfn.XLOOKUP(Table2[[#This Row],[LoanID]],Table1[G-L ID],Table1[ManagerCode],-99)</f>
        <v>103</v>
      </c>
      <c r="T405"/>
    </row>
    <row r="406" spans="1:20" x14ac:dyDescent="0.25">
      <c r="A406">
        <v>20100930</v>
      </c>
      <c r="B406">
        <v>2010</v>
      </c>
      <c r="C406">
        <v>9</v>
      </c>
      <c r="D406">
        <v>1</v>
      </c>
      <c r="E406">
        <v>12210</v>
      </c>
      <c r="F406">
        <v>737973.62</v>
      </c>
      <c r="G406">
        <v>0</v>
      </c>
      <c r="H406">
        <v>0</v>
      </c>
      <c r="I406">
        <v>0</v>
      </c>
      <c r="J406">
        <v>0</v>
      </c>
      <c r="K406">
        <v>167436.28</v>
      </c>
      <c r="L406">
        <v>141755127.69999999</v>
      </c>
      <c r="M406">
        <v>140509461.90000001</v>
      </c>
      <c r="N406">
        <v>141755127.69999999</v>
      </c>
      <c r="O406">
        <v>140509461.90000001</v>
      </c>
      <c r="P406">
        <v>119405322</v>
      </c>
      <c r="Q406">
        <v>119237885.7</v>
      </c>
      <c r="R406" s="14">
        <f>_xlfn.XLOOKUP(Table2[[#This Row],[LoanID]],Table1[G-L ID],Table1[ManagerCode],-99)</f>
        <v>103</v>
      </c>
      <c r="T406"/>
    </row>
    <row r="407" spans="1:20" x14ac:dyDescent="0.25">
      <c r="A407">
        <v>20101031</v>
      </c>
      <c r="B407">
        <v>2010</v>
      </c>
      <c r="C407">
        <v>10</v>
      </c>
      <c r="D407">
        <v>1</v>
      </c>
      <c r="E407">
        <v>10050</v>
      </c>
      <c r="F407">
        <v>149013.89000000001</v>
      </c>
      <c r="G407">
        <v>0</v>
      </c>
      <c r="H407">
        <v>0</v>
      </c>
      <c r="I407">
        <v>-69.44</v>
      </c>
      <c r="J407">
        <v>0</v>
      </c>
      <c r="K407">
        <v>0</v>
      </c>
      <c r="L407">
        <v>23280201.329999998</v>
      </c>
      <c r="M407">
        <v>31331122.399999999</v>
      </c>
      <c r="N407">
        <v>23280201.329999998</v>
      </c>
      <c r="O407">
        <v>31331122.399999999</v>
      </c>
      <c r="P407">
        <v>33333334</v>
      </c>
      <c r="Q407">
        <v>33333334</v>
      </c>
      <c r="R407" s="14">
        <f>_xlfn.XLOOKUP(Table2[[#This Row],[LoanID]],Table1[G-L ID],Table1[ManagerCode],-99)</f>
        <v>103</v>
      </c>
      <c r="T407"/>
    </row>
    <row r="408" spans="1:20" x14ac:dyDescent="0.25">
      <c r="A408">
        <v>20101031</v>
      </c>
      <c r="B408">
        <v>2010</v>
      </c>
      <c r="C408">
        <v>10</v>
      </c>
      <c r="D408">
        <v>1</v>
      </c>
      <c r="E408">
        <v>10080</v>
      </c>
      <c r="F408">
        <v>339718.75</v>
      </c>
      <c r="G408">
        <v>0</v>
      </c>
      <c r="H408">
        <v>0</v>
      </c>
      <c r="I408">
        <v>-156.25</v>
      </c>
      <c r="J408">
        <v>0</v>
      </c>
      <c r="K408">
        <v>0</v>
      </c>
      <c r="L408">
        <v>69040209.599999994</v>
      </c>
      <c r="M408">
        <v>69501009.700000003</v>
      </c>
      <c r="N408">
        <v>69040209.599999994</v>
      </c>
      <c r="O408">
        <v>69501009.700000003</v>
      </c>
      <c r="P408">
        <v>75000000</v>
      </c>
      <c r="Q408">
        <v>75000000</v>
      </c>
      <c r="R408" s="14">
        <f>_xlfn.XLOOKUP(Table2[[#This Row],[LoanID]],Table1[G-L ID],Table1[ManagerCode],-99)</f>
        <v>103</v>
      </c>
      <c r="T408"/>
    </row>
    <row r="409" spans="1:20" x14ac:dyDescent="0.25">
      <c r="A409">
        <v>20101031</v>
      </c>
      <c r="B409">
        <v>2010</v>
      </c>
      <c r="C409">
        <v>10</v>
      </c>
      <c r="D409">
        <v>1</v>
      </c>
      <c r="E409">
        <v>10130</v>
      </c>
      <c r="F409">
        <v>37793.300000000003</v>
      </c>
      <c r="G409">
        <v>0</v>
      </c>
      <c r="H409">
        <v>0</v>
      </c>
      <c r="I409">
        <v>0</v>
      </c>
      <c r="J409">
        <v>0</v>
      </c>
      <c r="K409">
        <v>29897.39</v>
      </c>
      <c r="L409">
        <v>8810044.6199999992</v>
      </c>
      <c r="M409">
        <v>8798529.2899999991</v>
      </c>
      <c r="N409">
        <v>8810044.6199999992</v>
      </c>
      <c r="O409">
        <v>8798529.2899999991</v>
      </c>
      <c r="P409">
        <v>8352111.2999999998</v>
      </c>
      <c r="Q409">
        <v>8322213.9100000001</v>
      </c>
      <c r="R409" s="14">
        <f>_xlfn.XLOOKUP(Table2[[#This Row],[LoanID]],Table1[G-L ID],Table1[ManagerCode],-99)</f>
        <v>103</v>
      </c>
      <c r="T409"/>
    </row>
    <row r="410" spans="1:20" x14ac:dyDescent="0.25">
      <c r="A410">
        <v>20101031</v>
      </c>
      <c r="B410">
        <v>2010</v>
      </c>
      <c r="C410">
        <v>10</v>
      </c>
      <c r="D410">
        <v>1</v>
      </c>
      <c r="E410">
        <v>10140</v>
      </c>
      <c r="F410">
        <v>99637.29</v>
      </c>
      <c r="G410">
        <v>0</v>
      </c>
      <c r="H410">
        <v>0</v>
      </c>
      <c r="I410">
        <v>0</v>
      </c>
      <c r="J410">
        <v>0</v>
      </c>
      <c r="K410">
        <v>78187.039999999994</v>
      </c>
      <c r="L410">
        <v>23227271.199999999</v>
      </c>
      <c r="M410">
        <v>23197596.09</v>
      </c>
      <c r="N410">
        <v>23227271.199999999</v>
      </c>
      <c r="O410">
        <v>23197596.09</v>
      </c>
      <c r="P410">
        <v>22019291.690000001</v>
      </c>
      <c r="Q410">
        <v>21941104.649999999</v>
      </c>
      <c r="R410" s="14">
        <f>_xlfn.XLOOKUP(Table2[[#This Row],[LoanID]],Table1[G-L ID],Table1[ManagerCode],-99)</f>
        <v>103</v>
      </c>
      <c r="T410"/>
    </row>
    <row r="411" spans="1:20" x14ac:dyDescent="0.25">
      <c r="A411">
        <v>20101031</v>
      </c>
      <c r="B411">
        <v>2010</v>
      </c>
      <c r="C411">
        <v>10</v>
      </c>
      <c r="D411">
        <v>1</v>
      </c>
      <c r="E411">
        <v>10150</v>
      </c>
      <c r="F411">
        <v>246474.61</v>
      </c>
      <c r="G411">
        <v>0</v>
      </c>
      <c r="H411">
        <v>0</v>
      </c>
      <c r="I411">
        <v>0</v>
      </c>
      <c r="J411">
        <v>0</v>
      </c>
      <c r="K411">
        <v>66845.39</v>
      </c>
      <c r="L411">
        <v>52123929.539999999</v>
      </c>
      <c r="M411">
        <v>52201800.869999997</v>
      </c>
      <c r="N411">
        <v>52123929.539999999</v>
      </c>
      <c r="O411">
        <v>52201800.869999997</v>
      </c>
      <c r="P411">
        <v>53484545.490000002</v>
      </c>
      <c r="Q411">
        <v>53417700.100000001</v>
      </c>
      <c r="R411" s="14">
        <f>_xlfn.XLOOKUP(Table2[[#This Row],[LoanID]],Table1[G-L ID],Table1[ManagerCode],-99)</f>
        <v>103</v>
      </c>
      <c r="T411"/>
    </row>
    <row r="412" spans="1:20" x14ac:dyDescent="0.25">
      <c r="A412">
        <v>20101031</v>
      </c>
      <c r="B412">
        <v>2010</v>
      </c>
      <c r="C412">
        <v>10</v>
      </c>
      <c r="D412">
        <v>1</v>
      </c>
      <c r="E412">
        <v>10170</v>
      </c>
      <c r="F412">
        <v>245921.15</v>
      </c>
      <c r="G412">
        <v>0</v>
      </c>
      <c r="H412">
        <v>0</v>
      </c>
      <c r="I412">
        <v>-1178.54</v>
      </c>
      <c r="J412">
        <v>0</v>
      </c>
      <c r="K412">
        <v>69362.06</v>
      </c>
      <c r="L412">
        <v>50645180.07</v>
      </c>
      <c r="M412">
        <v>50749508.359999999</v>
      </c>
      <c r="N412">
        <v>50645180.07</v>
      </c>
      <c r="O412">
        <v>50749508.359999999</v>
      </c>
      <c r="P412">
        <v>47141434.159999996</v>
      </c>
      <c r="Q412">
        <v>47072072.100000001</v>
      </c>
      <c r="R412" s="14">
        <f>_xlfn.XLOOKUP(Table2[[#This Row],[LoanID]],Table1[G-L ID],Table1[ManagerCode],-99)</f>
        <v>103</v>
      </c>
      <c r="T412"/>
    </row>
    <row r="413" spans="1:20" x14ac:dyDescent="0.25">
      <c r="A413">
        <v>20101031</v>
      </c>
      <c r="B413">
        <v>2010</v>
      </c>
      <c r="C413">
        <v>10</v>
      </c>
      <c r="D413">
        <v>1</v>
      </c>
      <c r="E413">
        <v>10230</v>
      </c>
      <c r="F413">
        <v>187140.48000000001</v>
      </c>
      <c r="G413">
        <v>0</v>
      </c>
      <c r="H413">
        <v>0</v>
      </c>
      <c r="I413">
        <v>0</v>
      </c>
      <c r="J413">
        <v>0</v>
      </c>
      <c r="K413">
        <v>54457.59</v>
      </c>
      <c r="L413">
        <v>22536502.260000002</v>
      </c>
      <c r="M413">
        <v>22702055</v>
      </c>
      <c r="N413">
        <v>22536502.260000002</v>
      </c>
      <c r="O413">
        <v>22702055</v>
      </c>
      <c r="P413">
        <v>33318779.32</v>
      </c>
      <c r="Q413">
        <v>33264321.73</v>
      </c>
      <c r="R413" s="14">
        <f>_xlfn.XLOOKUP(Table2[[#This Row],[LoanID]],Table1[G-L ID],Table1[ManagerCode],-99)</f>
        <v>103</v>
      </c>
      <c r="T413"/>
    </row>
    <row r="414" spans="1:20" x14ac:dyDescent="0.25">
      <c r="A414">
        <v>20101031</v>
      </c>
      <c r="B414">
        <v>2010</v>
      </c>
      <c r="C414">
        <v>10</v>
      </c>
      <c r="D414">
        <v>1</v>
      </c>
      <c r="E414">
        <v>10280</v>
      </c>
      <c r="F414">
        <v>316532.21999999997</v>
      </c>
      <c r="G414">
        <v>0</v>
      </c>
      <c r="H414">
        <v>0</v>
      </c>
      <c r="I414">
        <v>-0.01</v>
      </c>
      <c r="J414">
        <v>0</v>
      </c>
      <c r="K414">
        <v>0</v>
      </c>
      <c r="L414">
        <v>11796979.4</v>
      </c>
      <c r="M414">
        <v>11640472.16</v>
      </c>
      <c r="N414">
        <v>11796979.4</v>
      </c>
      <c r="O414">
        <v>11640472.16</v>
      </c>
      <c r="P414">
        <v>35000000</v>
      </c>
      <c r="Q414">
        <v>35000000</v>
      </c>
      <c r="R414" s="14">
        <f>_xlfn.XLOOKUP(Table2[[#This Row],[LoanID]],Table1[G-L ID],Table1[ManagerCode],-99)</f>
        <v>103</v>
      </c>
      <c r="T414"/>
    </row>
    <row r="415" spans="1:20" x14ac:dyDescent="0.25">
      <c r="A415">
        <v>20101031</v>
      </c>
      <c r="B415">
        <v>2010</v>
      </c>
      <c r="C415">
        <v>10</v>
      </c>
      <c r="D415">
        <v>1</v>
      </c>
      <c r="E415">
        <v>10290</v>
      </c>
      <c r="F415">
        <v>266469.44</v>
      </c>
      <c r="G415">
        <v>0</v>
      </c>
      <c r="H415">
        <v>0</v>
      </c>
      <c r="I415">
        <v>0</v>
      </c>
      <c r="J415">
        <v>0</v>
      </c>
      <c r="K415">
        <v>0</v>
      </c>
      <c r="L415">
        <v>7044273.9299999997</v>
      </c>
      <c r="M415">
        <v>6985544.1200000001</v>
      </c>
      <c r="N415">
        <v>7044273.9299999997</v>
      </c>
      <c r="O415">
        <v>6985544.1200000001</v>
      </c>
      <c r="P415">
        <v>25000000</v>
      </c>
      <c r="Q415">
        <v>25000000</v>
      </c>
      <c r="R415" s="14">
        <f>_xlfn.XLOOKUP(Table2[[#This Row],[LoanID]],Table1[G-L ID],Table1[ManagerCode],-99)</f>
        <v>103</v>
      </c>
      <c r="T415"/>
    </row>
    <row r="416" spans="1:20" x14ac:dyDescent="0.25">
      <c r="A416">
        <v>20101031</v>
      </c>
      <c r="B416">
        <v>2010</v>
      </c>
      <c r="C416">
        <v>10</v>
      </c>
      <c r="D416">
        <v>1</v>
      </c>
      <c r="E416">
        <v>10300</v>
      </c>
      <c r="F416">
        <v>286025.05</v>
      </c>
      <c r="G416">
        <v>0</v>
      </c>
      <c r="H416">
        <v>0</v>
      </c>
      <c r="I416">
        <v>-25577.99</v>
      </c>
      <c r="J416">
        <v>0</v>
      </c>
      <c r="K416">
        <v>0</v>
      </c>
      <c r="L416">
        <v>31432045.100000001</v>
      </c>
      <c r="M416">
        <v>30466550.449999999</v>
      </c>
      <c r="N416">
        <v>31432045.100000001</v>
      </c>
      <c r="O416">
        <v>30466550.449999999</v>
      </c>
      <c r="P416">
        <v>35000000</v>
      </c>
      <c r="Q416">
        <v>35000000</v>
      </c>
      <c r="R416" s="14">
        <f>_xlfn.XLOOKUP(Table2[[#This Row],[LoanID]],Table1[G-L ID],Table1[ManagerCode],-99)</f>
        <v>103</v>
      </c>
      <c r="T416"/>
    </row>
    <row r="417" spans="1:20" x14ac:dyDescent="0.25">
      <c r="A417">
        <v>20101031</v>
      </c>
      <c r="B417">
        <v>2010</v>
      </c>
      <c r="C417">
        <v>10</v>
      </c>
      <c r="D417">
        <v>1</v>
      </c>
      <c r="E417">
        <v>10310</v>
      </c>
      <c r="F417">
        <v>0</v>
      </c>
      <c r="G417">
        <v>1328.64</v>
      </c>
      <c r="H417">
        <v>150000</v>
      </c>
      <c r="I417">
        <v>0</v>
      </c>
      <c r="J417">
        <v>-1062913.25</v>
      </c>
      <c r="K417">
        <v>0</v>
      </c>
      <c r="L417">
        <v>0</v>
      </c>
      <c r="M417">
        <v>1064241.8899999999</v>
      </c>
      <c r="N417">
        <v>0</v>
      </c>
      <c r="O417">
        <v>1064241.8899999999</v>
      </c>
      <c r="P417">
        <v>0</v>
      </c>
      <c r="Q417">
        <v>1064241.8899999999</v>
      </c>
      <c r="R417" s="14">
        <f>_xlfn.XLOOKUP(Table2[[#This Row],[LoanID]],Table1[G-L ID],Table1[ManagerCode],-99)</f>
        <v>183</v>
      </c>
      <c r="T417"/>
    </row>
    <row r="418" spans="1:20" x14ac:dyDescent="0.25">
      <c r="A418">
        <v>20101031</v>
      </c>
      <c r="B418">
        <v>2010</v>
      </c>
      <c r="C418">
        <v>10</v>
      </c>
      <c r="D418">
        <v>1</v>
      </c>
      <c r="E418">
        <v>10370</v>
      </c>
      <c r="F418">
        <v>11793.64</v>
      </c>
      <c r="G418">
        <v>0</v>
      </c>
      <c r="H418">
        <v>0</v>
      </c>
      <c r="I418">
        <v>0.01</v>
      </c>
      <c r="J418">
        <v>0</v>
      </c>
      <c r="K418">
        <v>67080.210000000006</v>
      </c>
      <c r="L418">
        <v>2519932.5699999998</v>
      </c>
      <c r="M418">
        <v>2480437.35</v>
      </c>
      <c r="N418">
        <v>2519932.5699999998</v>
      </c>
      <c r="O418">
        <v>2480437.35</v>
      </c>
      <c r="P418">
        <v>3480240.16</v>
      </c>
      <c r="Q418">
        <v>3413159.95</v>
      </c>
      <c r="R418" s="14">
        <f>_xlfn.XLOOKUP(Table2[[#This Row],[LoanID]],Table1[G-L ID],Table1[ManagerCode],-99)</f>
        <v>103</v>
      </c>
      <c r="T418"/>
    </row>
    <row r="419" spans="1:20" x14ac:dyDescent="0.25">
      <c r="A419">
        <v>20101031</v>
      </c>
      <c r="B419">
        <v>2010</v>
      </c>
      <c r="C419">
        <v>10</v>
      </c>
      <c r="D419">
        <v>1</v>
      </c>
      <c r="E419">
        <v>10380</v>
      </c>
      <c r="F419">
        <v>56984.63</v>
      </c>
      <c r="G419">
        <v>0</v>
      </c>
      <c r="H419">
        <v>0</v>
      </c>
      <c r="I419">
        <v>-92.13</v>
      </c>
      <c r="J419">
        <v>0</v>
      </c>
      <c r="K419">
        <v>656.78</v>
      </c>
      <c r="L419">
        <v>11086002.01</v>
      </c>
      <c r="M419">
        <v>11090713.619999999</v>
      </c>
      <c r="N419">
        <v>11086002.01</v>
      </c>
      <c r="O419">
        <v>11090713.619999999</v>
      </c>
      <c r="P419">
        <v>11103940.65</v>
      </c>
      <c r="Q419">
        <v>11103283.869999999</v>
      </c>
      <c r="R419" s="14">
        <f>_xlfn.XLOOKUP(Table2[[#This Row],[LoanID]],Table1[G-L ID],Table1[ManagerCode],-99)</f>
        <v>103</v>
      </c>
      <c r="T419"/>
    </row>
    <row r="420" spans="1:20" x14ac:dyDescent="0.25">
      <c r="A420">
        <v>20101031</v>
      </c>
      <c r="B420">
        <v>2010</v>
      </c>
      <c r="C420">
        <v>10</v>
      </c>
      <c r="D420">
        <v>1</v>
      </c>
      <c r="E420">
        <v>10390</v>
      </c>
      <c r="F420">
        <v>118750</v>
      </c>
      <c r="G420">
        <v>0</v>
      </c>
      <c r="H420">
        <v>0</v>
      </c>
      <c r="I420">
        <v>0</v>
      </c>
      <c r="J420">
        <v>0</v>
      </c>
      <c r="K420">
        <v>0</v>
      </c>
      <c r="L420">
        <v>23695851.940000001</v>
      </c>
      <c r="M420">
        <v>23835965.66</v>
      </c>
      <c r="N420">
        <v>23695851.940000001</v>
      </c>
      <c r="O420">
        <v>23835965.66</v>
      </c>
      <c r="P420">
        <v>24991224.399999999</v>
      </c>
      <c r="Q420">
        <v>24991428.48</v>
      </c>
      <c r="R420" s="14">
        <f>_xlfn.XLOOKUP(Table2[[#This Row],[LoanID]],Table1[G-L ID],Table1[ManagerCode],-99)</f>
        <v>103</v>
      </c>
      <c r="T420"/>
    </row>
    <row r="421" spans="1:20" x14ac:dyDescent="0.25">
      <c r="A421">
        <v>20101031</v>
      </c>
      <c r="B421">
        <v>2010</v>
      </c>
      <c r="C421">
        <v>10</v>
      </c>
      <c r="D421">
        <v>1</v>
      </c>
      <c r="E421">
        <v>10450</v>
      </c>
      <c r="F421">
        <v>120983.22</v>
      </c>
      <c r="G421">
        <v>0</v>
      </c>
      <c r="H421">
        <v>0</v>
      </c>
      <c r="I421">
        <v>0</v>
      </c>
      <c r="J421">
        <v>0</v>
      </c>
      <c r="K421">
        <v>20832.03</v>
      </c>
      <c r="L421">
        <v>21391236.84</v>
      </c>
      <c r="M421">
        <v>21470564.760000002</v>
      </c>
      <c r="N421">
        <v>21391236.84</v>
      </c>
      <c r="O421">
        <v>21470564.760000002</v>
      </c>
      <c r="P421">
        <v>21636197.43</v>
      </c>
      <c r="Q421">
        <v>21616934.949999999</v>
      </c>
      <c r="R421" s="14">
        <f>_xlfn.XLOOKUP(Table2[[#This Row],[LoanID]],Table1[G-L ID],Table1[ManagerCode],-99)</f>
        <v>103</v>
      </c>
      <c r="T421"/>
    </row>
    <row r="422" spans="1:20" x14ac:dyDescent="0.25">
      <c r="A422">
        <v>20101031</v>
      </c>
      <c r="B422">
        <v>2010</v>
      </c>
      <c r="C422">
        <v>10</v>
      </c>
      <c r="D422">
        <v>1</v>
      </c>
      <c r="E422">
        <v>10520</v>
      </c>
      <c r="F422">
        <v>4879.76</v>
      </c>
      <c r="G422">
        <v>0</v>
      </c>
      <c r="H422">
        <v>0</v>
      </c>
      <c r="I422">
        <v>-12.13</v>
      </c>
      <c r="J422">
        <v>0</v>
      </c>
      <c r="K422">
        <v>0</v>
      </c>
      <c r="L422">
        <v>3983849.83</v>
      </c>
      <c r="M422">
        <v>3999081.33</v>
      </c>
      <c r="N422">
        <v>3983849.83</v>
      </c>
      <c r="O422">
        <v>3999081.33</v>
      </c>
      <c r="P422">
        <v>4158887.64</v>
      </c>
      <c r="Q422">
        <v>4158887.64</v>
      </c>
      <c r="R422" s="14">
        <f>_xlfn.XLOOKUP(Table2[[#This Row],[LoanID]],Table1[G-L ID],Table1[ManagerCode],-99)</f>
        <v>103</v>
      </c>
      <c r="T422"/>
    </row>
    <row r="423" spans="1:20" x14ac:dyDescent="0.25">
      <c r="A423">
        <v>20101031</v>
      </c>
      <c r="B423">
        <v>2010</v>
      </c>
      <c r="C423">
        <v>10</v>
      </c>
      <c r="D423">
        <v>1</v>
      </c>
      <c r="E423">
        <v>10530</v>
      </c>
      <c r="F423">
        <v>105728.16</v>
      </c>
      <c r="G423">
        <v>0</v>
      </c>
      <c r="H423">
        <v>0</v>
      </c>
      <c r="I423">
        <v>-262.82</v>
      </c>
      <c r="J423">
        <v>0</v>
      </c>
      <c r="K423">
        <v>0</v>
      </c>
      <c r="L423">
        <v>86316661.120000005</v>
      </c>
      <c r="M423">
        <v>86646675.640000001</v>
      </c>
      <c r="N423">
        <v>86316661.120000005</v>
      </c>
      <c r="O423">
        <v>86646675.640000001</v>
      </c>
      <c r="P423">
        <v>90109231.989999995</v>
      </c>
      <c r="Q423">
        <v>90109231.989999995</v>
      </c>
      <c r="R423" s="14">
        <f>_xlfn.XLOOKUP(Table2[[#This Row],[LoanID]],Table1[G-L ID],Table1[ManagerCode],-99)</f>
        <v>103</v>
      </c>
      <c r="T423"/>
    </row>
    <row r="424" spans="1:20" x14ac:dyDescent="0.25">
      <c r="A424">
        <v>20101031</v>
      </c>
      <c r="B424">
        <v>2010</v>
      </c>
      <c r="C424">
        <v>10</v>
      </c>
      <c r="D424">
        <v>1</v>
      </c>
      <c r="E424">
        <v>10540</v>
      </c>
      <c r="F424">
        <v>14639.28</v>
      </c>
      <c r="G424">
        <v>0</v>
      </c>
      <c r="H424">
        <v>0</v>
      </c>
      <c r="I424">
        <v>-36.39</v>
      </c>
      <c r="J424">
        <v>0</v>
      </c>
      <c r="K424">
        <v>0</v>
      </c>
      <c r="L424">
        <v>11951549.619999999</v>
      </c>
      <c r="M424">
        <v>11997243.98</v>
      </c>
      <c r="N424">
        <v>11951549.619999999</v>
      </c>
      <c r="O424">
        <v>11997243.98</v>
      </c>
      <c r="P424">
        <v>12476662.9</v>
      </c>
      <c r="Q424">
        <v>12476662.9</v>
      </c>
      <c r="R424" s="14">
        <f>_xlfn.XLOOKUP(Table2[[#This Row],[LoanID]],Table1[G-L ID],Table1[ManagerCode],-99)</f>
        <v>103</v>
      </c>
      <c r="T424"/>
    </row>
    <row r="425" spans="1:20" x14ac:dyDescent="0.25">
      <c r="A425">
        <v>20101031</v>
      </c>
      <c r="B425">
        <v>2010</v>
      </c>
      <c r="C425">
        <v>10</v>
      </c>
      <c r="D425">
        <v>1</v>
      </c>
      <c r="E425">
        <v>10630</v>
      </c>
      <c r="F425">
        <v>50019.07</v>
      </c>
      <c r="G425">
        <v>0</v>
      </c>
      <c r="H425">
        <v>0</v>
      </c>
      <c r="I425">
        <v>0</v>
      </c>
      <c r="J425">
        <v>0</v>
      </c>
      <c r="K425">
        <v>12597.01</v>
      </c>
      <c r="L425">
        <v>9133989.5399999991</v>
      </c>
      <c r="M425">
        <v>9167167.5399999991</v>
      </c>
      <c r="N425">
        <v>9133989.5399999991</v>
      </c>
      <c r="O425">
        <v>9167167.5399999991</v>
      </c>
      <c r="P425">
        <v>9363944.8800000008</v>
      </c>
      <c r="Q425">
        <v>9351347.8699999992</v>
      </c>
      <c r="R425" s="14">
        <f>_xlfn.XLOOKUP(Table2[[#This Row],[LoanID]],Table1[G-L ID],Table1[ManagerCode],-99)</f>
        <v>103</v>
      </c>
      <c r="T425"/>
    </row>
    <row r="426" spans="1:20" x14ac:dyDescent="0.25">
      <c r="A426">
        <v>20101031</v>
      </c>
      <c r="B426">
        <v>2010</v>
      </c>
      <c r="C426">
        <v>10</v>
      </c>
      <c r="D426">
        <v>1</v>
      </c>
      <c r="E426">
        <v>10770</v>
      </c>
      <c r="F426">
        <v>168666.67</v>
      </c>
      <c r="G426">
        <v>0</v>
      </c>
      <c r="H426">
        <v>0</v>
      </c>
      <c r="I426">
        <v>0.01</v>
      </c>
      <c r="J426">
        <v>0</v>
      </c>
      <c r="K426">
        <v>0</v>
      </c>
      <c r="L426">
        <v>104698869.7</v>
      </c>
      <c r="M426">
        <v>106679618.59999999</v>
      </c>
      <c r="N426">
        <v>104698869.7</v>
      </c>
      <c r="O426">
        <v>106679618.59999999</v>
      </c>
      <c r="P426">
        <v>115000000</v>
      </c>
      <c r="Q426">
        <v>115000000</v>
      </c>
      <c r="R426" s="14">
        <f>_xlfn.XLOOKUP(Table2[[#This Row],[LoanID]],Table1[G-L ID],Table1[ManagerCode],-99)</f>
        <v>103</v>
      </c>
      <c r="T426"/>
    </row>
    <row r="427" spans="1:20" x14ac:dyDescent="0.25">
      <c r="A427">
        <v>20101031</v>
      </c>
      <c r="B427">
        <v>2010</v>
      </c>
      <c r="C427">
        <v>10</v>
      </c>
      <c r="D427">
        <v>1</v>
      </c>
      <c r="E427">
        <v>10870</v>
      </c>
      <c r="F427">
        <v>285780.8</v>
      </c>
      <c r="G427">
        <v>0</v>
      </c>
      <c r="H427">
        <v>0</v>
      </c>
      <c r="I427">
        <v>0</v>
      </c>
      <c r="J427">
        <v>0</v>
      </c>
      <c r="K427">
        <v>0</v>
      </c>
      <c r="L427">
        <v>191384527.90000001</v>
      </c>
      <c r="M427">
        <v>193422800</v>
      </c>
      <c r="N427">
        <v>191384527.90000001</v>
      </c>
      <c r="O427">
        <v>193422800</v>
      </c>
      <c r="P427">
        <v>201798851</v>
      </c>
      <c r="Q427">
        <v>201798851</v>
      </c>
      <c r="R427" s="14">
        <f>_xlfn.XLOOKUP(Table2[[#This Row],[LoanID]],Table1[G-L ID],Table1[ManagerCode],-99)</f>
        <v>103</v>
      </c>
      <c r="T427"/>
    </row>
    <row r="428" spans="1:20" x14ac:dyDescent="0.25">
      <c r="A428">
        <v>20101031</v>
      </c>
      <c r="B428">
        <v>2010</v>
      </c>
      <c r="C428">
        <v>10</v>
      </c>
      <c r="D428">
        <v>1</v>
      </c>
      <c r="E428">
        <v>10950</v>
      </c>
      <c r="F428">
        <v>55031.7</v>
      </c>
      <c r="G428">
        <v>0</v>
      </c>
      <c r="H428">
        <v>0</v>
      </c>
      <c r="I428">
        <v>0</v>
      </c>
      <c r="J428">
        <v>0</v>
      </c>
      <c r="K428">
        <v>21991.32</v>
      </c>
      <c r="L428">
        <v>10683999.15</v>
      </c>
      <c r="M428">
        <v>10717781.18</v>
      </c>
      <c r="N428">
        <v>10683999.15</v>
      </c>
      <c r="O428">
        <v>10717781.18</v>
      </c>
      <c r="P428">
        <v>11080207.869999999</v>
      </c>
      <c r="Q428">
        <v>11058216.550000001</v>
      </c>
      <c r="R428" s="14">
        <f>_xlfn.XLOOKUP(Table2[[#This Row],[LoanID]],Table1[G-L ID],Table1[ManagerCode],-99)</f>
        <v>103</v>
      </c>
      <c r="T428"/>
    </row>
    <row r="429" spans="1:20" x14ac:dyDescent="0.25">
      <c r="A429">
        <v>20101031</v>
      </c>
      <c r="B429">
        <v>2010</v>
      </c>
      <c r="C429">
        <v>10</v>
      </c>
      <c r="D429">
        <v>1</v>
      </c>
      <c r="E429">
        <v>11180</v>
      </c>
      <c r="F429">
        <v>209636.08</v>
      </c>
      <c r="G429">
        <v>0</v>
      </c>
      <c r="H429">
        <v>0</v>
      </c>
      <c r="I429">
        <v>0</v>
      </c>
      <c r="J429">
        <v>0</v>
      </c>
      <c r="K429">
        <v>0</v>
      </c>
      <c r="L429">
        <v>162446396.30000001</v>
      </c>
      <c r="M429">
        <v>165849508.90000001</v>
      </c>
      <c r="N429">
        <v>162446396.30000001</v>
      </c>
      <c r="O429">
        <v>165849508.90000001</v>
      </c>
      <c r="P429">
        <v>199970831.5</v>
      </c>
      <c r="Q429">
        <v>199970831.5</v>
      </c>
      <c r="R429" s="14">
        <f>_xlfn.XLOOKUP(Table2[[#This Row],[LoanID]],Table1[G-L ID],Table1[ManagerCode],-99)</f>
        <v>103</v>
      </c>
      <c r="T429"/>
    </row>
    <row r="430" spans="1:20" x14ac:dyDescent="0.25">
      <c r="A430">
        <v>20101031</v>
      </c>
      <c r="B430">
        <v>2010</v>
      </c>
      <c r="C430">
        <v>10</v>
      </c>
      <c r="D430">
        <v>1</v>
      </c>
      <c r="E430">
        <v>11200</v>
      </c>
      <c r="F430">
        <v>69880</v>
      </c>
      <c r="G430">
        <v>0</v>
      </c>
      <c r="H430">
        <v>0</v>
      </c>
      <c r="I430">
        <v>0</v>
      </c>
      <c r="J430">
        <v>0</v>
      </c>
      <c r="K430">
        <v>0</v>
      </c>
      <c r="L430">
        <v>13724501.439999999</v>
      </c>
      <c r="M430">
        <v>13759908.039999999</v>
      </c>
      <c r="N430">
        <v>13724501.439999999</v>
      </c>
      <c r="O430">
        <v>13759908.039999999</v>
      </c>
      <c r="P430">
        <v>13976000</v>
      </c>
      <c r="Q430">
        <v>13976000</v>
      </c>
      <c r="R430" s="14">
        <f>_xlfn.XLOOKUP(Table2[[#This Row],[LoanID]],Table1[G-L ID],Table1[ManagerCode],-99)</f>
        <v>103</v>
      </c>
      <c r="T430"/>
    </row>
    <row r="431" spans="1:20" x14ac:dyDescent="0.25">
      <c r="A431">
        <v>20101031</v>
      </c>
      <c r="B431">
        <v>2010</v>
      </c>
      <c r="C431">
        <v>10</v>
      </c>
      <c r="D431">
        <v>1</v>
      </c>
      <c r="E431">
        <v>11240</v>
      </c>
      <c r="F431">
        <v>248210.39</v>
      </c>
      <c r="G431">
        <v>0</v>
      </c>
      <c r="H431">
        <v>0</v>
      </c>
      <c r="I431">
        <v>0</v>
      </c>
      <c r="J431">
        <v>0</v>
      </c>
      <c r="K431">
        <v>0</v>
      </c>
      <c r="L431">
        <v>178850990.80000001</v>
      </c>
      <c r="M431">
        <v>180765550.80000001</v>
      </c>
      <c r="N431">
        <v>178850990.80000001</v>
      </c>
      <c r="O431">
        <v>180765550.80000001</v>
      </c>
      <c r="P431">
        <v>194929626.59999999</v>
      </c>
      <c r="Q431">
        <v>194929626.59999999</v>
      </c>
      <c r="R431" s="14">
        <f>_xlfn.XLOOKUP(Table2[[#This Row],[LoanID]],Table1[G-L ID],Table1[ManagerCode],-99)</f>
        <v>103</v>
      </c>
      <c r="T431"/>
    </row>
    <row r="432" spans="1:20" x14ac:dyDescent="0.25">
      <c r="A432">
        <v>20101031</v>
      </c>
      <c r="B432">
        <v>2010</v>
      </c>
      <c r="C432">
        <v>10</v>
      </c>
      <c r="D432">
        <v>1</v>
      </c>
      <c r="E432">
        <v>11260</v>
      </c>
      <c r="F432">
        <v>14168.51</v>
      </c>
      <c r="G432">
        <v>0</v>
      </c>
      <c r="H432">
        <v>0</v>
      </c>
      <c r="I432">
        <v>-93.96</v>
      </c>
      <c r="J432">
        <v>0</v>
      </c>
      <c r="K432">
        <v>0</v>
      </c>
      <c r="L432">
        <v>10341894.51</v>
      </c>
      <c r="M432">
        <v>10454132.470000001</v>
      </c>
      <c r="N432">
        <v>10341894.51</v>
      </c>
      <c r="O432">
        <v>10454132.470000001</v>
      </c>
      <c r="P432">
        <v>11274673.789999999</v>
      </c>
      <c r="Q432">
        <v>11274673.789999999</v>
      </c>
      <c r="R432" s="14">
        <f>_xlfn.XLOOKUP(Table2[[#This Row],[LoanID]],Table1[G-L ID],Table1[ManagerCode],-99)</f>
        <v>103</v>
      </c>
      <c r="T432"/>
    </row>
    <row r="433" spans="1:20" x14ac:dyDescent="0.25">
      <c r="A433">
        <v>20101031</v>
      </c>
      <c r="B433">
        <v>2010</v>
      </c>
      <c r="C433">
        <v>10</v>
      </c>
      <c r="D433">
        <v>1</v>
      </c>
      <c r="E433">
        <v>11270</v>
      </c>
      <c r="F433">
        <v>23614.18</v>
      </c>
      <c r="G433">
        <v>0</v>
      </c>
      <c r="H433">
        <v>0</v>
      </c>
      <c r="I433">
        <v>-156.59</v>
      </c>
      <c r="J433">
        <v>0</v>
      </c>
      <c r="K433">
        <v>0</v>
      </c>
      <c r="L433">
        <v>17236490.920000002</v>
      </c>
      <c r="M433">
        <v>17423554.219999999</v>
      </c>
      <c r="N433">
        <v>17236490.920000002</v>
      </c>
      <c r="O433">
        <v>17423554.219999999</v>
      </c>
      <c r="P433">
        <v>18791123.030000001</v>
      </c>
      <c r="Q433">
        <v>18791123.030000001</v>
      </c>
      <c r="R433" s="14">
        <f>_xlfn.XLOOKUP(Table2[[#This Row],[LoanID]],Table1[G-L ID],Table1[ManagerCode],-99)</f>
        <v>103</v>
      </c>
      <c r="T433"/>
    </row>
    <row r="434" spans="1:20" x14ac:dyDescent="0.25">
      <c r="A434">
        <v>20101031</v>
      </c>
      <c r="B434">
        <v>2010</v>
      </c>
      <c r="C434">
        <v>10</v>
      </c>
      <c r="D434">
        <v>1</v>
      </c>
      <c r="E434">
        <v>11290</v>
      </c>
      <c r="F434">
        <v>21252.76</v>
      </c>
      <c r="G434">
        <v>0</v>
      </c>
      <c r="H434">
        <v>0</v>
      </c>
      <c r="I434">
        <v>-140.93</v>
      </c>
      <c r="J434">
        <v>0</v>
      </c>
      <c r="K434">
        <v>0</v>
      </c>
      <c r="L434">
        <v>15512841.83</v>
      </c>
      <c r="M434">
        <v>15681198.75</v>
      </c>
      <c r="N434">
        <v>15512841.83</v>
      </c>
      <c r="O434">
        <v>15681198.75</v>
      </c>
      <c r="P434">
        <v>16912010.73</v>
      </c>
      <c r="Q434">
        <v>16912010.73</v>
      </c>
      <c r="R434" s="14">
        <f>_xlfn.XLOOKUP(Table2[[#This Row],[LoanID]],Table1[G-L ID],Table1[ManagerCode],-99)</f>
        <v>103</v>
      </c>
      <c r="T434"/>
    </row>
    <row r="435" spans="1:20" x14ac:dyDescent="0.25">
      <c r="A435">
        <v>20101031</v>
      </c>
      <c r="B435">
        <v>2010</v>
      </c>
      <c r="C435">
        <v>10</v>
      </c>
      <c r="D435">
        <v>1</v>
      </c>
      <c r="E435">
        <v>11380</v>
      </c>
      <c r="F435">
        <v>39561.589999999997</v>
      </c>
      <c r="G435">
        <v>0</v>
      </c>
      <c r="H435">
        <v>0</v>
      </c>
      <c r="I435">
        <v>0</v>
      </c>
      <c r="J435">
        <v>0</v>
      </c>
      <c r="K435">
        <v>51138.41</v>
      </c>
      <c r="L435">
        <v>6781272.6399999997</v>
      </c>
      <c r="M435">
        <v>6724146.2999999998</v>
      </c>
      <c r="N435">
        <v>6781272.6399999997</v>
      </c>
      <c r="O435">
        <v>6724146.2999999998</v>
      </c>
      <c r="P435">
        <v>5986621.2599999998</v>
      </c>
      <c r="Q435">
        <v>5935482.8499999996</v>
      </c>
      <c r="R435" s="14">
        <f>_xlfn.XLOOKUP(Table2[[#This Row],[LoanID]],Table1[G-L ID],Table1[ManagerCode],-99)</f>
        <v>103</v>
      </c>
      <c r="T435"/>
    </row>
    <row r="436" spans="1:20" x14ac:dyDescent="0.25">
      <c r="A436">
        <v>20101031</v>
      </c>
      <c r="B436">
        <v>2010</v>
      </c>
      <c r="C436">
        <v>10</v>
      </c>
      <c r="D436">
        <v>1</v>
      </c>
      <c r="E436">
        <v>11420</v>
      </c>
      <c r="F436">
        <v>498248.33</v>
      </c>
      <c r="G436">
        <v>0</v>
      </c>
      <c r="H436">
        <v>0</v>
      </c>
      <c r="I436">
        <v>0</v>
      </c>
      <c r="J436">
        <v>0</v>
      </c>
      <c r="K436">
        <v>0</v>
      </c>
      <c r="L436">
        <v>100322815.7</v>
      </c>
      <c r="M436">
        <v>100155350.5</v>
      </c>
      <c r="N436">
        <v>100322815.7</v>
      </c>
      <c r="O436">
        <v>100155350.5</v>
      </c>
      <c r="P436">
        <v>98000000</v>
      </c>
      <c r="Q436">
        <v>98000000</v>
      </c>
      <c r="R436" s="14">
        <f>_xlfn.XLOOKUP(Table2[[#This Row],[LoanID]],Table1[G-L ID],Table1[ManagerCode],-99)</f>
        <v>103</v>
      </c>
      <c r="T436"/>
    </row>
    <row r="437" spans="1:20" x14ac:dyDescent="0.25">
      <c r="A437">
        <v>20101031</v>
      </c>
      <c r="B437">
        <v>2010</v>
      </c>
      <c r="C437">
        <v>10</v>
      </c>
      <c r="D437">
        <v>1</v>
      </c>
      <c r="E437">
        <v>11510</v>
      </c>
      <c r="F437">
        <v>0</v>
      </c>
      <c r="G437">
        <v>0</v>
      </c>
      <c r="H437">
        <v>0</v>
      </c>
      <c r="I437">
        <v>0</v>
      </c>
      <c r="J437">
        <v>0</v>
      </c>
      <c r="K437">
        <v>0</v>
      </c>
      <c r="L437">
        <v>14602872.720000001</v>
      </c>
      <c r="M437">
        <v>14602872.720000001</v>
      </c>
      <c r="N437">
        <v>14602872.720000001</v>
      </c>
      <c r="O437">
        <v>14602872.720000001</v>
      </c>
      <c r="P437">
        <v>14602872.720000001</v>
      </c>
      <c r="Q437">
        <v>14602872.720000001</v>
      </c>
      <c r="R437" s="14">
        <f>_xlfn.XLOOKUP(Table2[[#This Row],[LoanID]],Table1[G-L ID],Table1[ManagerCode],-99)</f>
        <v>103</v>
      </c>
      <c r="T437"/>
    </row>
    <row r="438" spans="1:20" x14ac:dyDescent="0.25">
      <c r="A438">
        <v>20101031</v>
      </c>
      <c r="B438">
        <v>2010</v>
      </c>
      <c r="C438">
        <v>10</v>
      </c>
      <c r="D438">
        <v>1</v>
      </c>
      <c r="E438">
        <v>11780</v>
      </c>
      <c r="F438">
        <v>185405.42</v>
      </c>
      <c r="G438">
        <v>0</v>
      </c>
      <c r="H438">
        <v>0</v>
      </c>
      <c r="I438">
        <v>-1119.42</v>
      </c>
      <c r="J438">
        <v>0</v>
      </c>
      <c r="K438">
        <v>137519.29999999999</v>
      </c>
      <c r="L438">
        <v>55617211.409999996</v>
      </c>
      <c r="M438">
        <v>56549340.060000002</v>
      </c>
      <c r="N438">
        <v>55617211.409999996</v>
      </c>
      <c r="O438">
        <v>56549340.060000002</v>
      </c>
      <c r="P438">
        <v>67165736.340000004</v>
      </c>
      <c r="Q438">
        <v>67028217.039999999</v>
      </c>
      <c r="R438" s="14">
        <f>_xlfn.XLOOKUP(Table2[[#This Row],[LoanID]],Table1[G-L ID],Table1[ManagerCode],-99)</f>
        <v>103</v>
      </c>
      <c r="T438"/>
    </row>
    <row r="439" spans="1:20" x14ac:dyDescent="0.25">
      <c r="A439">
        <v>20101031</v>
      </c>
      <c r="B439">
        <v>2010</v>
      </c>
      <c r="C439">
        <v>10</v>
      </c>
      <c r="D439">
        <v>1</v>
      </c>
      <c r="E439">
        <v>11800</v>
      </c>
      <c r="F439">
        <v>163556.15</v>
      </c>
      <c r="G439">
        <v>0</v>
      </c>
      <c r="H439">
        <v>0</v>
      </c>
      <c r="I439">
        <v>-275.20999999999998</v>
      </c>
      <c r="J439">
        <v>0</v>
      </c>
      <c r="K439">
        <v>56464.67</v>
      </c>
      <c r="L439">
        <v>13313889.52</v>
      </c>
      <c r="M439">
        <v>13445956.27</v>
      </c>
      <c r="N439">
        <v>13313889.52</v>
      </c>
      <c r="O439">
        <v>13445956.27</v>
      </c>
      <c r="P439">
        <v>33024966.27</v>
      </c>
      <c r="Q439">
        <v>32968501.600000001</v>
      </c>
      <c r="R439" s="14">
        <f>_xlfn.XLOOKUP(Table2[[#This Row],[LoanID]],Table1[G-L ID],Table1[ManagerCode],-99)</f>
        <v>103</v>
      </c>
      <c r="T439"/>
    </row>
    <row r="440" spans="1:20" x14ac:dyDescent="0.25">
      <c r="A440">
        <v>20101031</v>
      </c>
      <c r="B440">
        <v>2010</v>
      </c>
      <c r="C440">
        <v>10</v>
      </c>
      <c r="D440">
        <v>1</v>
      </c>
      <c r="E440">
        <v>11810</v>
      </c>
      <c r="F440">
        <v>51166.67</v>
      </c>
      <c r="G440">
        <v>0</v>
      </c>
      <c r="H440">
        <v>0</v>
      </c>
      <c r="I440">
        <v>0</v>
      </c>
      <c r="J440">
        <v>0</v>
      </c>
      <c r="K440">
        <v>0</v>
      </c>
      <c r="L440">
        <v>8938101.5</v>
      </c>
      <c r="M440">
        <v>8977071.4000000004</v>
      </c>
      <c r="N440">
        <v>8938101.5</v>
      </c>
      <c r="O440">
        <v>8977071.4000000004</v>
      </c>
      <c r="P440">
        <v>10000000</v>
      </c>
      <c r="Q440">
        <v>10000000</v>
      </c>
      <c r="R440" s="14">
        <f>_xlfn.XLOOKUP(Table2[[#This Row],[LoanID]],Table1[G-L ID],Table1[ManagerCode],-99)</f>
        <v>103</v>
      </c>
      <c r="T440"/>
    </row>
    <row r="441" spans="1:20" x14ac:dyDescent="0.25">
      <c r="A441">
        <v>20101031</v>
      </c>
      <c r="B441">
        <v>2010</v>
      </c>
      <c r="C441">
        <v>10</v>
      </c>
      <c r="D441">
        <v>1</v>
      </c>
      <c r="E441">
        <v>11860</v>
      </c>
      <c r="F441">
        <v>235333.33</v>
      </c>
      <c r="G441">
        <v>0</v>
      </c>
      <c r="H441">
        <v>0</v>
      </c>
      <c r="I441">
        <v>0</v>
      </c>
      <c r="J441">
        <v>0</v>
      </c>
      <c r="K441">
        <v>0</v>
      </c>
      <c r="L441">
        <v>49616766.100000001</v>
      </c>
      <c r="M441">
        <v>48500249.009999998</v>
      </c>
      <c r="N441">
        <v>49616766.100000001</v>
      </c>
      <c r="O441">
        <v>48500249.009999998</v>
      </c>
      <c r="P441">
        <v>50000000</v>
      </c>
      <c r="Q441">
        <v>50000000</v>
      </c>
      <c r="R441" s="14">
        <f>_xlfn.XLOOKUP(Table2[[#This Row],[LoanID]],Table1[G-L ID],Table1[ManagerCode],-99)</f>
        <v>103</v>
      </c>
      <c r="T441"/>
    </row>
    <row r="442" spans="1:20" x14ac:dyDescent="0.25">
      <c r="A442">
        <v>20101031</v>
      </c>
      <c r="B442">
        <v>2010</v>
      </c>
      <c r="C442">
        <v>10</v>
      </c>
      <c r="D442">
        <v>1</v>
      </c>
      <c r="E442">
        <v>11870</v>
      </c>
      <c r="F442">
        <v>117666.67</v>
      </c>
      <c r="G442">
        <v>0</v>
      </c>
      <c r="H442">
        <v>0</v>
      </c>
      <c r="I442">
        <v>0</v>
      </c>
      <c r="J442">
        <v>0</v>
      </c>
      <c r="K442">
        <v>0</v>
      </c>
      <c r="L442">
        <v>24808383.050000001</v>
      </c>
      <c r="M442">
        <v>24250124.5</v>
      </c>
      <c r="N442">
        <v>24808383.050000001</v>
      </c>
      <c r="O442">
        <v>24250124.5</v>
      </c>
      <c r="P442">
        <v>25000000</v>
      </c>
      <c r="Q442">
        <v>25000000</v>
      </c>
      <c r="R442" s="14">
        <f>_xlfn.XLOOKUP(Table2[[#This Row],[LoanID]],Table1[G-L ID],Table1[ManagerCode],-99)</f>
        <v>103</v>
      </c>
      <c r="T442"/>
    </row>
    <row r="443" spans="1:20" x14ac:dyDescent="0.25">
      <c r="A443">
        <v>20101031</v>
      </c>
      <c r="B443">
        <v>2010</v>
      </c>
      <c r="C443">
        <v>10</v>
      </c>
      <c r="D443">
        <v>1</v>
      </c>
      <c r="E443">
        <v>11900</v>
      </c>
      <c r="F443">
        <v>0</v>
      </c>
      <c r="G443">
        <v>0</v>
      </c>
      <c r="H443">
        <v>0</v>
      </c>
      <c r="I443">
        <v>0</v>
      </c>
      <c r="J443">
        <v>0</v>
      </c>
      <c r="K443">
        <v>0</v>
      </c>
      <c r="L443">
        <v>55000000</v>
      </c>
      <c r="M443">
        <v>55000000</v>
      </c>
      <c r="N443">
        <v>55000000</v>
      </c>
      <c r="O443">
        <v>55000000</v>
      </c>
      <c r="P443">
        <v>55000000</v>
      </c>
      <c r="Q443">
        <v>55000000</v>
      </c>
      <c r="R443" s="14">
        <f>_xlfn.XLOOKUP(Table2[[#This Row],[LoanID]],Table1[G-L ID],Table1[ManagerCode],-99)</f>
        <v>103</v>
      </c>
      <c r="T443"/>
    </row>
    <row r="444" spans="1:20" x14ac:dyDescent="0.25">
      <c r="A444">
        <v>20101031</v>
      </c>
      <c r="B444">
        <v>2010</v>
      </c>
      <c r="C444">
        <v>10</v>
      </c>
      <c r="D444">
        <v>1</v>
      </c>
      <c r="E444">
        <v>11930</v>
      </c>
      <c r="F444">
        <v>188928.16</v>
      </c>
      <c r="G444">
        <v>0</v>
      </c>
      <c r="H444">
        <v>0</v>
      </c>
      <c r="I444">
        <v>0</v>
      </c>
      <c r="J444">
        <v>0</v>
      </c>
      <c r="K444">
        <v>0</v>
      </c>
      <c r="L444">
        <v>195459146.19999999</v>
      </c>
      <c r="M444">
        <v>191961450</v>
      </c>
      <c r="N444">
        <v>195459146.19999999</v>
      </c>
      <c r="O444">
        <v>191961450</v>
      </c>
      <c r="P444">
        <v>195780481.30000001</v>
      </c>
      <c r="Q444">
        <v>195780481.30000001</v>
      </c>
      <c r="R444" s="14">
        <f>_xlfn.XLOOKUP(Table2[[#This Row],[LoanID]],Table1[G-L ID],Table1[ManagerCode],-99)</f>
        <v>103</v>
      </c>
      <c r="T444"/>
    </row>
    <row r="445" spans="1:20" x14ac:dyDescent="0.25">
      <c r="A445">
        <v>20101031</v>
      </c>
      <c r="B445">
        <v>2010</v>
      </c>
      <c r="C445">
        <v>10</v>
      </c>
      <c r="D445">
        <v>1</v>
      </c>
      <c r="E445">
        <v>11940</v>
      </c>
      <c r="F445">
        <v>61878.52</v>
      </c>
      <c r="G445">
        <v>0</v>
      </c>
      <c r="H445">
        <v>0</v>
      </c>
      <c r="I445">
        <v>0</v>
      </c>
      <c r="J445">
        <v>0</v>
      </c>
      <c r="K445">
        <v>0</v>
      </c>
      <c r="L445">
        <v>62763503.049999997</v>
      </c>
      <c r="M445">
        <v>62871992.210000001</v>
      </c>
      <c r="N445">
        <v>62763503.049999997</v>
      </c>
      <c r="O445">
        <v>62871992.210000001</v>
      </c>
      <c r="P445">
        <v>64096826.450000003</v>
      </c>
      <c r="Q445">
        <v>64098992.310000002</v>
      </c>
      <c r="R445" s="14">
        <f>_xlfn.XLOOKUP(Table2[[#This Row],[LoanID]],Table1[G-L ID],Table1[ManagerCode],-99)</f>
        <v>103</v>
      </c>
      <c r="T445"/>
    </row>
    <row r="446" spans="1:20" x14ac:dyDescent="0.25">
      <c r="A446">
        <v>20101031</v>
      </c>
      <c r="B446">
        <v>2010</v>
      </c>
      <c r="C446">
        <v>10</v>
      </c>
      <c r="D446">
        <v>1</v>
      </c>
      <c r="E446">
        <v>11951</v>
      </c>
      <c r="F446">
        <v>161245</v>
      </c>
      <c r="G446">
        <v>0</v>
      </c>
      <c r="H446">
        <v>0</v>
      </c>
      <c r="I446">
        <v>-283.33</v>
      </c>
      <c r="J446">
        <v>0</v>
      </c>
      <c r="K446">
        <v>0</v>
      </c>
      <c r="L446">
        <v>34415984.539999999</v>
      </c>
      <c r="M446">
        <v>34339250.840000004</v>
      </c>
      <c r="N446">
        <v>34415984.539999999</v>
      </c>
      <c r="O446">
        <v>34339250.840000004</v>
      </c>
      <c r="P446">
        <v>33993430.020000003</v>
      </c>
      <c r="Q446">
        <v>33995072.520000003</v>
      </c>
      <c r="R446" s="14">
        <f>_xlfn.XLOOKUP(Table2[[#This Row],[LoanID]],Table1[G-L ID],Table1[ManagerCode],-99)</f>
        <v>103</v>
      </c>
      <c r="T446"/>
    </row>
    <row r="447" spans="1:20" x14ac:dyDescent="0.25">
      <c r="A447">
        <v>20101031</v>
      </c>
      <c r="B447">
        <v>2010</v>
      </c>
      <c r="C447">
        <v>10</v>
      </c>
      <c r="D447">
        <v>1</v>
      </c>
      <c r="E447">
        <v>11952</v>
      </c>
      <c r="F447">
        <v>115395</v>
      </c>
      <c r="G447">
        <v>0</v>
      </c>
      <c r="H447">
        <v>0</v>
      </c>
      <c r="I447">
        <v>-175</v>
      </c>
      <c r="J447">
        <v>0</v>
      </c>
      <c r="K447">
        <v>0</v>
      </c>
      <c r="L447">
        <v>21295872.219999999</v>
      </c>
      <c r="M447">
        <v>21240761.890000001</v>
      </c>
      <c r="N447">
        <v>21295872.219999999</v>
      </c>
      <c r="O447">
        <v>21240761.890000001</v>
      </c>
      <c r="P447">
        <v>21000000</v>
      </c>
      <c r="Q447">
        <v>21000000</v>
      </c>
      <c r="R447" s="14">
        <f>_xlfn.XLOOKUP(Table2[[#This Row],[LoanID]],Table1[G-L ID],Table1[ManagerCode],-99)</f>
        <v>103</v>
      </c>
      <c r="T447"/>
    </row>
    <row r="448" spans="1:20" x14ac:dyDescent="0.25">
      <c r="A448">
        <v>20101031</v>
      </c>
      <c r="B448">
        <v>2010</v>
      </c>
      <c r="C448">
        <v>10</v>
      </c>
      <c r="D448">
        <v>1</v>
      </c>
      <c r="E448">
        <v>12000</v>
      </c>
      <c r="F448">
        <v>125525.26</v>
      </c>
      <c r="G448">
        <v>0</v>
      </c>
      <c r="H448">
        <v>0</v>
      </c>
      <c r="I448">
        <v>0</v>
      </c>
      <c r="J448">
        <v>0</v>
      </c>
      <c r="K448">
        <v>0</v>
      </c>
      <c r="L448">
        <v>20998947.27</v>
      </c>
      <c r="M448">
        <v>21178701.969999999</v>
      </c>
      <c r="N448">
        <v>20998947.27</v>
      </c>
      <c r="O448">
        <v>21178701.969999999</v>
      </c>
      <c r="P448">
        <v>25088385.32</v>
      </c>
      <c r="Q448">
        <v>25089079.77</v>
      </c>
      <c r="R448" s="14">
        <f>_xlfn.XLOOKUP(Table2[[#This Row],[LoanID]],Table1[G-L ID],Table1[ManagerCode],-99)</f>
        <v>103</v>
      </c>
      <c r="T448"/>
    </row>
    <row r="449" spans="1:20" x14ac:dyDescent="0.25">
      <c r="A449">
        <v>20101031</v>
      </c>
      <c r="B449">
        <v>2010</v>
      </c>
      <c r="C449">
        <v>10</v>
      </c>
      <c r="D449">
        <v>1</v>
      </c>
      <c r="E449">
        <v>12200</v>
      </c>
      <c r="F449">
        <v>91851.4</v>
      </c>
      <c r="G449">
        <v>0</v>
      </c>
      <c r="H449">
        <v>0</v>
      </c>
      <c r="I449">
        <v>0</v>
      </c>
      <c r="J449">
        <v>0</v>
      </c>
      <c r="K449">
        <v>30358.16</v>
      </c>
      <c r="L449">
        <v>21548961.710000001</v>
      </c>
      <c r="M449">
        <v>21534317.739999998</v>
      </c>
      <c r="N449">
        <v>21548961.710000001</v>
      </c>
      <c r="O449">
        <v>21534317.739999998</v>
      </c>
      <c r="P449">
        <v>19986862.07</v>
      </c>
      <c r="Q449">
        <v>19956844.609999999</v>
      </c>
      <c r="R449" s="14">
        <f>_xlfn.XLOOKUP(Table2[[#This Row],[LoanID]],Table1[G-L ID],Table1[ManagerCode],-99)</f>
        <v>103</v>
      </c>
      <c r="T449"/>
    </row>
    <row r="450" spans="1:20" x14ac:dyDescent="0.25">
      <c r="A450">
        <v>20101031</v>
      </c>
      <c r="B450">
        <v>2010</v>
      </c>
      <c r="C450">
        <v>10</v>
      </c>
      <c r="D450">
        <v>1</v>
      </c>
      <c r="E450">
        <v>12210</v>
      </c>
      <c r="F450">
        <v>736938.79</v>
      </c>
      <c r="G450">
        <v>0</v>
      </c>
      <c r="H450">
        <v>0</v>
      </c>
      <c r="I450">
        <v>0</v>
      </c>
      <c r="J450">
        <v>0</v>
      </c>
      <c r="K450">
        <v>168347.41</v>
      </c>
      <c r="L450">
        <v>140509461.90000001</v>
      </c>
      <c r="M450">
        <v>140461123.90000001</v>
      </c>
      <c r="N450">
        <v>140509461.90000001</v>
      </c>
      <c r="O450">
        <v>140461123.90000001</v>
      </c>
      <c r="P450">
        <v>119237885.7</v>
      </c>
      <c r="Q450">
        <v>119069538.3</v>
      </c>
      <c r="R450" s="14">
        <f>_xlfn.XLOOKUP(Table2[[#This Row],[LoanID]],Table1[G-L ID],Table1[ManagerCode],-99)</f>
        <v>103</v>
      </c>
      <c r="T450"/>
    </row>
    <row r="451" spans="1:20" x14ac:dyDescent="0.25">
      <c r="A451">
        <v>20101130</v>
      </c>
      <c r="B451">
        <v>2010</v>
      </c>
      <c r="C451">
        <v>11</v>
      </c>
      <c r="D451">
        <v>1</v>
      </c>
      <c r="E451">
        <v>10050</v>
      </c>
      <c r="F451">
        <v>153981.01999999999</v>
      </c>
      <c r="G451">
        <v>0</v>
      </c>
      <c r="H451">
        <v>0</v>
      </c>
      <c r="I451">
        <v>-69.44</v>
      </c>
      <c r="J451">
        <v>0</v>
      </c>
      <c r="K451">
        <v>0</v>
      </c>
      <c r="L451">
        <v>31331122.399999999</v>
      </c>
      <c r="M451">
        <v>32295561.920000002</v>
      </c>
      <c r="N451">
        <v>31331122.399999999</v>
      </c>
      <c r="O451">
        <v>32295561.920000002</v>
      </c>
      <c r="P451">
        <v>33333334</v>
      </c>
      <c r="Q451">
        <v>33333334</v>
      </c>
      <c r="R451" s="14">
        <f>_xlfn.XLOOKUP(Table2[[#This Row],[LoanID]],Table1[G-L ID],Table1[ManagerCode],-99)</f>
        <v>103</v>
      </c>
      <c r="T451"/>
    </row>
    <row r="452" spans="1:20" x14ac:dyDescent="0.25">
      <c r="A452">
        <v>20101130</v>
      </c>
      <c r="B452">
        <v>2010</v>
      </c>
      <c r="C452">
        <v>11</v>
      </c>
      <c r="D452">
        <v>1</v>
      </c>
      <c r="E452">
        <v>10080</v>
      </c>
      <c r="F452">
        <v>351042.71</v>
      </c>
      <c r="G452">
        <v>0</v>
      </c>
      <c r="H452">
        <v>0</v>
      </c>
      <c r="I452">
        <v>-161.46</v>
      </c>
      <c r="J452">
        <v>0</v>
      </c>
      <c r="K452">
        <v>0</v>
      </c>
      <c r="L452">
        <v>69501009.700000003</v>
      </c>
      <c r="M452">
        <v>70240280.489999995</v>
      </c>
      <c r="N452">
        <v>69501009.700000003</v>
      </c>
      <c r="O452">
        <v>70240280.489999995</v>
      </c>
      <c r="P452">
        <v>75000000</v>
      </c>
      <c r="Q452">
        <v>75000000</v>
      </c>
      <c r="R452" s="14">
        <f>_xlfn.XLOOKUP(Table2[[#This Row],[LoanID]],Table1[G-L ID],Table1[ManagerCode],-99)</f>
        <v>103</v>
      </c>
      <c r="T452"/>
    </row>
    <row r="453" spans="1:20" x14ac:dyDescent="0.25">
      <c r="A453">
        <v>20101130</v>
      </c>
      <c r="B453">
        <v>2010</v>
      </c>
      <c r="C453">
        <v>11</v>
      </c>
      <c r="D453">
        <v>1</v>
      </c>
      <c r="E453">
        <v>10130</v>
      </c>
      <c r="F453">
        <v>37658.019999999997</v>
      </c>
      <c r="G453">
        <v>0</v>
      </c>
      <c r="H453">
        <v>0</v>
      </c>
      <c r="I453">
        <v>0</v>
      </c>
      <c r="J453">
        <v>0</v>
      </c>
      <c r="K453">
        <v>30032.67</v>
      </c>
      <c r="L453">
        <v>8798529.2899999991</v>
      </c>
      <c r="M453">
        <v>8773344.4399999995</v>
      </c>
      <c r="N453">
        <v>8798529.2899999991</v>
      </c>
      <c r="O453">
        <v>8773344.4399999995</v>
      </c>
      <c r="P453">
        <v>8322213.9100000001</v>
      </c>
      <c r="Q453">
        <v>8292181.2400000002</v>
      </c>
      <c r="R453" s="14">
        <f>_xlfn.XLOOKUP(Table2[[#This Row],[LoanID]],Table1[G-L ID],Table1[ManagerCode],-99)</f>
        <v>103</v>
      </c>
      <c r="T453"/>
    </row>
    <row r="454" spans="1:20" x14ac:dyDescent="0.25">
      <c r="A454">
        <v>20101130</v>
      </c>
      <c r="B454">
        <v>2010</v>
      </c>
      <c r="C454">
        <v>11</v>
      </c>
      <c r="D454">
        <v>1</v>
      </c>
      <c r="E454">
        <v>10140</v>
      </c>
      <c r="F454">
        <v>99283.5</v>
      </c>
      <c r="G454">
        <v>0</v>
      </c>
      <c r="H454">
        <v>0</v>
      </c>
      <c r="I454">
        <v>0</v>
      </c>
      <c r="J454">
        <v>0</v>
      </c>
      <c r="K454">
        <v>78540.83</v>
      </c>
      <c r="L454">
        <v>23197596.09</v>
      </c>
      <c r="M454">
        <v>23131866.379999999</v>
      </c>
      <c r="N454">
        <v>23197596.09</v>
      </c>
      <c r="O454">
        <v>23131866.379999999</v>
      </c>
      <c r="P454">
        <v>21941104.649999999</v>
      </c>
      <c r="Q454">
        <v>21862563.82</v>
      </c>
      <c r="R454" s="14">
        <f>_xlfn.XLOOKUP(Table2[[#This Row],[LoanID]],Table1[G-L ID],Table1[ManagerCode],-99)</f>
        <v>103</v>
      </c>
      <c r="T454"/>
    </row>
    <row r="455" spans="1:20" x14ac:dyDescent="0.25">
      <c r="A455">
        <v>20101130</v>
      </c>
      <c r="B455">
        <v>2010</v>
      </c>
      <c r="C455">
        <v>11</v>
      </c>
      <c r="D455">
        <v>1</v>
      </c>
      <c r="E455">
        <v>10150</v>
      </c>
      <c r="F455">
        <v>246166.57</v>
      </c>
      <c r="G455">
        <v>0</v>
      </c>
      <c r="H455">
        <v>0</v>
      </c>
      <c r="I455">
        <v>0</v>
      </c>
      <c r="J455">
        <v>0</v>
      </c>
      <c r="K455">
        <v>67153.429999999993</v>
      </c>
      <c r="L455">
        <v>52201800.869999997</v>
      </c>
      <c r="M455">
        <v>52549228.32</v>
      </c>
      <c r="N455">
        <v>52201800.869999997</v>
      </c>
      <c r="O455">
        <v>52549228.32</v>
      </c>
      <c r="P455">
        <v>53417700.100000001</v>
      </c>
      <c r="Q455">
        <v>53350546.670000002</v>
      </c>
      <c r="R455" s="14">
        <f>_xlfn.XLOOKUP(Table2[[#This Row],[LoanID]],Table1[G-L ID],Table1[ManagerCode],-99)</f>
        <v>103</v>
      </c>
      <c r="T455"/>
    </row>
    <row r="456" spans="1:20" x14ac:dyDescent="0.25">
      <c r="A456">
        <v>20101130</v>
      </c>
      <c r="B456">
        <v>2010</v>
      </c>
      <c r="C456">
        <v>11</v>
      </c>
      <c r="D456">
        <v>1</v>
      </c>
      <c r="E456">
        <v>10170</v>
      </c>
      <c r="F456">
        <v>253744.62</v>
      </c>
      <c r="G456">
        <v>0</v>
      </c>
      <c r="H456">
        <v>0</v>
      </c>
      <c r="I456">
        <v>-1216.03</v>
      </c>
      <c r="J456">
        <v>0</v>
      </c>
      <c r="K456">
        <v>62725.86</v>
      </c>
      <c r="L456">
        <v>50749508.359999999</v>
      </c>
      <c r="M456">
        <v>50981172.079999998</v>
      </c>
      <c r="N456">
        <v>50749508.359999999</v>
      </c>
      <c r="O456">
        <v>50981172.079999998</v>
      </c>
      <c r="P456">
        <v>47072072.100000001</v>
      </c>
      <c r="Q456">
        <v>47009346.240000002</v>
      </c>
      <c r="R456" s="14">
        <f>_xlfn.XLOOKUP(Table2[[#This Row],[LoanID]],Table1[G-L ID],Table1[ManagerCode],-99)</f>
        <v>103</v>
      </c>
      <c r="T456"/>
    </row>
    <row r="457" spans="1:20" x14ac:dyDescent="0.25">
      <c r="A457">
        <v>20101130</v>
      </c>
      <c r="B457">
        <v>2010</v>
      </c>
      <c r="C457">
        <v>11</v>
      </c>
      <c r="D457">
        <v>1</v>
      </c>
      <c r="E457">
        <v>10230</v>
      </c>
      <c r="F457">
        <v>186834.61</v>
      </c>
      <c r="G457">
        <v>0</v>
      </c>
      <c r="H457">
        <v>0</v>
      </c>
      <c r="I457">
        <v>0</v>
      </c>
      <c r="J457">
        <v>0</v>
      </c>
      <c r="K457">
        <v>54763.46</v>
      </c>
      <c r="L457">
        <v>22702055</v>
      </c>
      <c r="M457">
        <v>23419918.379999999</v>
      </c>
      <c r="N457">
        <v>22702055</v>
      </c>
      <c r="O457">
        <v>23419918.379999999</v>
      </c>
      <c r="P457">
        <v>33264321.73</v>
      </c>
      <c r="Q457">
        <v>33209558.27</v>
      </c>
      <c r="R457" s="14">
        <f>_xlfn.XLOOKUP(Table2[[#This Row],[LoanID]],Table1[G-L ID],Table1[ManagerCode],-99)</f>
        <v>103</v>
      </c>
      <c r="T457"/>
    </row>
    <row r="458" spans="1:20" x14ac:dyDescent="0.25">
      <c r="A458">
        <v>20101130</v>
      </c>
      <c r="B458">
        <v>2010</v>
      </c>
      <c r="C458">
        <v>11</v>
      </c>
      <c r="D458">
        <v>1</v>
      </c>
      <c r="E458">
        <v>10280</v>
      </c>
      <c r="F458">
        <v>181412</v>
      </c>
      <c r="G458">
        <v>0</v>
      </c>
      <c r="H458">
        <v>0</v>
      </c>
      <c r="I458">
        <v>0</v>
      </c>
      <c r="J458">
        <v>0</v>
      </c>
      <c r="K458">
        <v>0</v>
      </c>
      <c r="L458">
        <v>11640472.16</v>
      </c>
      <c r="M458">
        <v>12254358.800000001</v>
      </c>
      <c r="N458">
        <v>11640472.16</v>
      </c>
      <c r="O458">
        <v>12254358.800000001</v>
      </c>
      <c r="P458">
        <v>35000000</v>
      </c>
      <c r="Q458">
        <v>35000000</v>
      </c>
      <c r="R458" s="14">
        <f>_xlfn.XLOOKUP(Table2[[#This Row],[LoanID]],Table1[G-L ID],Table1[ManagerCode],-99)</f>
        <v>103</v>
      </c>
      <c r="T458"/>
    </row>
    <row r="459" spans="1:20" x14ac:dyDescent="0.25">
      <c r="A459">
        <v>20101130</v>
      </c>
      <c r="B459">
        <v>2010</v>
      </c>
      <c r="C459">
        <v>11</v>
      </c>
      <c r="D459">
        <v>1</v>
      </c>
      <c r="E459">
        <v>10290</v>
      </c>
      <c r="F459">
        <v>171300.83</v>
      </c>
      <c r="G459">
        <v>0</v>
      </c>
      <c r="H459">
        <v>0</v>
      </c>
      <c r="I459">
        <v>0</v>
      </c>
      <c r="J459">
        <v>0</v>
      </c>
      <c r="K459">
        <v>0</v>
      </c>
      <c r="L459">
        <v>6985544.1200000001</v>
      </c>
      <c r="M459">
        <v>7341925.7699999996</v>
      </c>
      <c r="N459">
        <v>6985544.1200000001</v>
      </c>
      <c r="O459">
        <v>7341925.7699999996</v>
      </c>
      <c r="P459">
        <v>25000000</v>
      </c>
      <c r="Q459">
        <v>25000000</v>
      </c>
      <c r="R459" s="14">
        <f>_xlfn.XLOOKUP(Table2[[#This Row],[LoanID]],Table1[G-L ID],Table1[ManagerCode],-99)</f>
        <v>103</v>
      </c>
      <c r="T459"/>
    </row>
    <row r="460" spans="1:20" x14ac:dyDescent="0.25">
      <c r="A460">
        <v>20101130</v>
      </c>
      <c r="B460">
        <v>2010</v>
      </c>
      <c r="C460">
        <v>11</v>
      </c>
      <c r="D460">
        <v>1</v>
      </c>
      <c r="E460">
        <v>10300</v>
      </c>
      <c r="F460">
        <v>149887.93</v>
      </c>
      <c r="G460">
        <v>0</v>
      </c>
      <c r="H460">
        <v>0</v>
      </c>
      <c r="I460">
        <v>0</v>
      </c>
      <c r="J460">
        <v>0</v>
      </c>
      <c r="K460">
        <v>0</v>
      </c>
      <c r="L460">
        <v>30466550.449999999</v>
      </c>
      <c r="M460">
        <v>31251865.239999998</v>
      </c>
      <c r="N460">
        <v>30466550.449999999</v>
      </c>
      <c r="O460">
        <v>31251865.239999998</v>
      </c>
      <c r="P460">
        <v>35000000</v>
      </c>
      <c r="Q460">
        <v>35000000</v>
      </c>
      <c r="R460" s="14">
        <f>_xlfn.XLOOKUP(Table2[[#This Row],[LoanID]],Table1[G-L ID],Table1[ManagerCode],-99)</f>
        <v>103</v>
      </c>
      <c r="T460"/>
    </row>
    <row r="461" spans="1:20" x14ac:dyDescent="0.25">
      <c r="A461">
        <v>20101130</v>
      </c>
      <c r="B461">
        <v>2010</v>
      </c>
      <c r="C461">
        <v>11</v>
      </c>
      <c r="D461">
        <v>1</v>
      </c>
      <c r="E461">
        <v>10310</v>
      </c>
      <c r="F461">
        <v>0</v>
      </c>
      <c r="G461">
        <v>13303.02</v>
      </c>
      <c r="H461">
        <v>0</v>
      </c>
      <c r="I461">
        <v>0</v>
      </c>
      <c r="J461">
        <v>0</v>
      </c>
      <c r="K461">
        <v>0</v>
      </c>
      <c r="L461">
        <v>1064241.8899999999</v>
      </c>
      <c r="M461">
        <v>1077544.9099999999</v>
      </c>
      <c r="N461">
        <v>1064241.8899999999</v>
      </c>
      <c r="O461">
        <v>1077544.9099999999</v>
      </c>
      <c r="P461">
        <v>1064241.8899999999</v>
      </c>
      <c r="Q461">
        <v>1077544.9099999999</v>
      </c>
      <c r="R461" s="14">
        <f>_xlfn.XLOOKUP(Table2[[#This Row],[LoanID]],Table1[G-L ID],Table1[ManagerCode],-99)</f>
        <v>183</v>
      </c>
      <c r="T461"/>
    </row>
    <row r="462" spans="1:20" x14ac:dyDescent="0.25">
      <c r="A462">
        <v>20101130</v>
      </c>
      <c r="B462">
        <v>2010</v>
      </c>
      <c r="C462">
        <v>11</v>
      </c>
      <c r="D462">
        <v>1</v>
      </c>
      <c r="E462">
        <v>10370</v>
      </c>
      <c r="F462">
        <v>0</v>
      </c>
      <c r="G462">
        <v>0</v>
      </c>
      <c r="H462">
        <v>0</v>
      </c>
      <c r="I462">
        <v>0.02</v>
      </c>
      <c r="J462">
        <v>0</v>
      </c>
      <c r="K462">
        <v>0</v>
      </c>
      <c r="L462">
        <v>2480437.35</v>
      </c>
      <c r="M462">
        <v>3071843.97</v>
      </c>
      <c r="N462">
        <v>2480437.35</v>
      </c>
      <c r="O462">
        <v>3071843.97</v>
      </c>
      <c r="P462">
        <v>3413159.95</v>
      </c>
      <c r="Q462">
        <v>3413159.95</v>
      </c>
      <c r="R462" s="14">
        <f>_xlfn.XLOOKUP(Table2[[#This Row],[LoanID]],Table1[G-L ID],Table1[ManagerCode],-99)</f>
        <v>103</v>
      </c>
      <c r="T462"/>
    </row>
    <row r="463" spans="1:20" x14ac:dyDescent="0.25">
      <c r="A463">
        <v>20101130</v>
      </c>
      <c r="B463">
        <v>2010</v>
      </c>
      <c r="C463">
        <v>11</v>
      </c>
      <c r="D463">
        <v>1</v>
      </c>
      <c r="E463">
        <v>10380</v>
      </c>
      <c r="F463">
        <v>58884.49</v>
      </c>
      <c r="G463">
        <v>0</v>
      </c>
      <c r="H463">
        <v>0</v>
      </c>
      <c r="I463">
        <v>-92.49</v>
      </c>
      <c r="J463">
        <v>0</v>
      </c>
      <c r="K463">
        <v>11103283.869999999</v>
      </c>
      <c r="L463">
        <v>11090713.619999999</v>
      </c>
      <c r="M463">
        <v>0</v>
      </c>
      <c r="N463">
        <v>11090713.619999999</v>
      </c>
      <c r="O463">
        <v>0</v>
      </c>
      <c r="P463">
        <v>11103283.869999999</v>
      </c>
      <c r="Q463">
        <v>0</v>
      </c>
      <c r="R463" s="14">
        <f>_xlfn.XLOOKUP(Table2[[#This Row],[LoanID]],Table1[G-L ID],Table1[ManagerCode],-99)</f>
        <v>103</v>
      </c>
      <c r="T463"/>
    </row>
    <row r="464" spans="1:20" x14ac:dyDescent="0.25">
      <c r="A464">
        <v>20101130</v>
      </c>
      <c r="B464">
        <v>2010</v>
      </c>
      <c r="C464">
        <v>11</v>
      </c>
      <c r="D464">
        <v>1</v>
      </c>
      <c r="E464">
        <v>10390</v>
      </c>
      <c r="F464">
        <v>118750</v>
      </c>
      <c r="G464">
        <v>0</v>
      </c>
      <c r="H464">
        <v>0</v>
      </c>
      <c r="I464">
        <v>0</v>
      </c>
      <c r="J464">
        <v>0</v>
      </c>
      <c r="K464">
        <v>0</v>
      </c>
      <c r="L464">
        <v>23835965.66</v>
      </c>
      <c r="M464">
        <v>24039490.050000001</v>
      </c>
      <c r="N464">
        <v>23835965.66</v>
      </c>
      <c r="O464">
        <v>24039490.050000001</v>
      </c>
      <c r="P464">
        <v>24991428.48</v>
      </c>
      <c r="Q464">
        <v>24991632.559999999</v>
      </c>
      <c r="R464" s="14">
        <f>_xlfn.XLOOKUP(Table2[[#This Row],[LoanID]],Table1[G-L ID],Table1[ManagerCode],-99)</f>
        <v>103</v>
      </c>
      <c r="T464"/>
    </row>
    <row r="465" spans="1:20" x14ac:dyDescent="0.25">
      <c r="A465">
        <v>20101130</v>
      </c>
      <c r="B465">
        <v>2010</v>
      </c>
      <c r="C465">
        <v>11</v>
      </c>
      <c r="D465">
        <v>1</v>
      </c>
      <c r="E465">
        <v>10450</v>
      </c>
      <c r="F465">
        <v>120867.09</v>
      </c>
      <c r="G465">
        <v>0</v>
      </c>
      <c r="H465">
        <v>0</v>
      </c>
      <c r="I465">
        <v>0</v>
      </c>
      <c r="J465">
        <v>0</v>
      </c>
      <c r="K465">
        <v>20948.16</v>
      </c>
      <c r="L465">
        <v>21470564.760000002</v>
      </c>
      <c r="M465">
        <v>21594334.129999999</v>
      </c>
      <c r="N465">
        <v>21470564.760000002</v>
      </c>
      <c r="O465">
        <v>21594334.129999999</v>
      </c>
      <c r="P465">
        <v>21616934.949999999</v>
      </c>
      <c r="Q465">
        <v>21597563.359999999</v>
      </c>
      <c r="R465" s="14">
        <f>_xlfn.XLOOKUP(Table2[[#This Row],[LoanID]],Table1[G-L ID],Table1[ManagerCode],-99)</f>
        <v>103</v>
      </c>
      <c r="T465"/>
    </row>
    <row r="466" spans="1:20" x14ac:dyDescent="0.25">
      <c r="A466">
        <v>20101130</v>
      </c>
      <c r="B466">
        <v>2010</v>
      </c>
      <c r="C466">
        <v>11</v>
      </c>
      <c r="D466">
        <v>1</v>
      </c>
      <c r="E466">
        <v>10520</v>
      </c>
      <c r="F466">
        <v>5038.84</v>
      </c>
      <c r="G466">
        <v>0</v>
      </c>
      <c r="H466">
        <v>0</v>
      </c>
      <c r="I466">
        <v>-12.53</v>
      </c>
      <c r="J466">
        <v>0</v>
      </c>
      <c r="K466">
        <v>0</v>
      </c>
      <c r="L466">
        <v>3999081.33</v>
      </c>
      <c r="M466">
        <v>4029335.13</v>
      </c>
      <c r="N466">
        <v>3999081.33</v>
      </c>
      <c r="O466">
        <v>4029335.13</v>
      </c>
      <c r="P466">
        <v>4158887.64</v>
      </c>
      <c r="Q466">
        <v>4158887.64</v>
      </c>
      <c r="R466" s="14">
        <f>_xlfn.XLOOKUP(Table2[[#This Row],[LoanID]],Table1[G-L ID],Table1[ManagerCode],-99)</f>
        <v>103</v>
      </c>
      <c r="T466"/>
    </row>
    <row r="467" spans="1:20" x14ac:dyDescent="0.25">
      <c r="A467">
        <v>20101130</v>
      </c>
      <c r="B467">
        <v>2010</v>
      </c>
      <c r="C467">
        <v>11</v>
      </c>
      <c r="D467">
        <v>1</v>
      </c>
      <c r="E467">
        <v>10530</v>
      </c>
      <c r="F467">
        <v>109174.84</v>
      </c>
      <c r="G467">
        <v>0</v>
      </c>
      <c r="H467">
        <v>0</v>
      </c>
      <c r="I467">
        <v>-271.58</v>
      </c>
      <c r="J467">
        <v>0</v>
      </c>
      <c r="K467">
        <v>0</v>
      </c>
      <c r="L467">
        <v>86646675.640000001</v>
      </c>
      <c r="M467">
        <v>87302174.090000004</v>
      </c>
      <c r="N467">
        <v>86646675.640000001</v>
      </c>
      <c r="O467">
        <v>87302174.090000004</v>
      </c>
      <c r="P467">
        <v>90109231.989999995</v>
      </c>
      <c r="Q467">
        <v>90109231.989999995</v>
      </c>
      <c r="R467" s="14">
        <f>_xlfn.XLOOKUP(Table2[[#This Row],[LoanID]],Table1[G-L ID],Table1[ManagerCode],-99)</f>
        <v>103</v>
      </c>
      <c r="T467"/>
    </row>
    <row r="468" spans="1:20" x14ac:dyDescent="0.25">
      <c r="A468">
        <v>20101130</v>
      </c>
      <c r="B468">
        <v>2010</v>
      </c>
      <c r="C468">
        <v>11</v>
      </c>
      <c r="D468">
        <v>1</v>
      </c>
      <c r="E468">
        <v>10540</v>
      </c>
      <c r="F468">
        <v>15116.52</v>
      </c>
      <c r="G468">
        <v>0</v>
      </c>
      <c r="H468">
        <v>0</v>
      </c>
      <c r="I468">
        <v>-37.6</v>
      </c>
      <c r="J468">
        <v>0</v>
      </c>
      <c r="K468">
        <v>0</v>
      </c>
      <c r="L468">
        <v>11997243.98</v>
      </c>
      <c r="M468">
        <v>12088005.380000001</v>
      </c>
      <c r="N468">
        <v>11997243.98</v>
      </c>
      <c r="O468">
        <v>12088005.380000001</v>
      </c>
      <c r="P468">
        <v>12476662.9</v>
      </c>
      <c r="Q468">
        <v>12476662.9</v>
      </c>
      <c r="R468" s="14">
        <f>_xlfn.XLOOKUP(Table2[[#This Row],[LoanID]],Table1[G-L ID],Table1[ManagerCode],-99)</f>
        <v>103</v>
      </c>
      <c r="T468"/>
    </row>
    <row r="469" spans="1:20" x14ac:dyDescent="0.25">
      <c r="A469">
        <v>20101130</v>
      </c>
      <c r="B469">
        <v>2010</v>
      </c>
      <c r="C469">
        <v>11</v>
      </c>
      <c r="D469">
        <v>1</v>
      </c>
      <c r="E469">
        <v>10630</v>
      </c>
      <c r="F469">
        <v>49951.78</v>
      </c>
      <c r="G469">
        <v>0</v>
      </c>
      <c r="H469">
        <v>0</v>
      </c>
      <c r="I469">
        <v>0</v>
      </c>
      <c r="J469">
        <v>0</v>
      </c>
      <c r="K469">
        <v>12664.3</v>
      </c>
      <c r="L469">
        <v>9167167.5399999991</v>
      </c>
      <c r="M469">
        <v>9220912.8800000008</v>
      </c>
      <c r="N469">
        <v>9167167.5399999991</v>
      </c>
      <c r="O469">
        <v>9220912.8800000008</v>
      </c>
      <c r="P469">
        <v>9351347.8699999992</v>
      </c>
      <c r="Q469">
        <v>9338683.5700000003</v>
      </c>
      <c r="R469" s="14">
        <f>_xlfn.XLOOKUP(Table2[[#This Row],[LoanID]],Table1[G-L ID],Table1[ManagerCode],-99)</f>
        <v>103</v>
      </c>
      <c r="T469"/>
    </row>
    <row r="470" spans="1:20" x14ac:dyDescent="0.25">
      <c r="A470">
        <v>20101130</v>
      </c>
      <c r="B470">
        <v>2010</v>
      </c>
      <c r="C470">
        <v>11</v>
      </c>
      <c r="D470">
        <v>1</v>
      </c>
      <c r="E470">
        <v>10770</v>
      </c>
      <c r="F470">
        <v>174288.89</v>
      </c>
      <c r="G470">
        <v>0</v>
      </c>
      <c r="H470">
        <v>0</v>
      </c>
      <c r="I470">
        <v>0.01</v>
      </c>
      <c r="J470">
        <v>0</v>
      </c>
      <c r="K470">
        <v>0</v>
      </c>
      <c r="L470">
        <v>106679618.59999999</v>
      </c>
      <c r="M470">
        <v>103500000</v>
      </c>
      <c r="N470">
        <v>106679618.59999999</v>
      </c>
      <c r="O470">
        <v>103500000</v>
      </c>
      <c r="P470">
        <v>115000000</v>
      </c>
      <c r="Q470">
        <v>115000000</v>
      </c>
      <c r="R470" s="14">
        <f>_xlfn.XLOOKUP(Table2[[#This Row],[LoanID]],Table1[G-L ID],Table1[ManagerCode],-99)</f>
        <v>103</v>
      </c>
      <c r="T470"/>
    </row>
    <row r="471" spans="1:20" x14ac:dyDescent="0.25">
      <c r="A471">
        <v>20101130</v>
      </c>
      <c r="B471">
        <v>2010</v>
      </c>
      <c r="C471">
        <v>11</v>
      </c>
      <c r="D471">
        <v>1</v>
      </c>
      <c r="E471">
        <v>10870</v>
      </c>
      <c r="F471">
        <v>325013.87</v>
      </c>
      <c r="G471">
        <v>0</v>
      </c>
      <c r="H471">
        <v>0</v>
      </c>
      <c r="I471">
        <v>0</v>
      </c>
      <c r="J471">
        <v>0</v>
      </c>
      <c r="K471">
        <v>54251.92</v>
      </c>
      <c r="L471">
        <v>193422800</v>
      </c>
      <c r="M471">
        <v>191657369.09999999</v>
      </c>
      <c r="N471">
        <v>193422800</v>
      </c>
      <c r="O471">
        <v>191657369.09999999</v>
      </c>
      <c r="P471">
        <v>201798851</v>
      </c>
      <c r="Q471">
        <v>201744599.09999999</v>
      </c>
      <c r="R471" s="14">
        <f>_xlfn.XLOOKUP(Table2[[#This Row],[LoanID]],Table1[G-L ID],Table1[ManagerCode],-99)</f>
        <v>103</v>
      </c>
      <c r="T471"/>
    </row>
    <row r="472" spans="1:20" x14ac:dyDescent="0.25">
      <c r="A472">
        <v>20101130</v>
      </c>
      <c r="B472">
        <v>2010</v>
      </c>
      <c r="C472">
        <v>11</v>
      </c>
      <c r="D472">
        <v>1</v>
      </c>
      <c r="E472">
        <v>10950</v>
      </c>
      <c r="F472">
        <v>54922.48</v>
      </c>
      <c r="G472">
        <v>0</v>
      </c>
      <c r="H472">
        <v>0</v>
      </c>
      <c r="I472">
        <v>0</v>
      </c>
      <c r="J472">
        <v>0</v>
      </c>
      <c r="K472">
        <v>22100.54</v>
      </c>
      <c r="L472">
        <v>10717781.18</v>
      </c>
      <c r="M472">
        <v>10774394.35</v>
      </c>
      <c r="N472">
        <v>10717781.18</v>
      </c>
      <c r="O472">
        <v>10774394.35</v>
      </c>
      <c r="P472">
        <v>11058216.550000001</v>
      </c>
      <c r="Q472">
        <v>11036116.01</v>
      </c>
      <c r="R472" s="14">
        <f>_xlfn.XLOOKUP(Table2[[#This Row],[LoanID]],Table1[G-L ID],Table1[ManagerCode],-99)</f>
        <v>103</v>
      </c>
      <c r="T472"/>
    </row>
    <row r="473" spans="1:20" x14ac:dyDescent="0.25">
      <c r="A473">
        <v>20101130</v>
      </c>
      <c r="B473">
        <v>2010</v>
      </c>
      <c r="C473">
        <v>11</v>
      </c>
      <c r="D473">
        <v>1</v>
      </c>
      <c r="E473">
        <v>11180</v>
      </c>
      <c r="F473">
        <v>216451.76</v>
      </c>
      <c r="G473">
        <v>0</v>
      </c>
      <c r="H473">
        <v>0</v>
      </c>
      <c r="I473">
        <v>0</v>
      </c>
      <c r="J473">
        <v>0</v>
      </c>
      <c r="K473">
        <v>0</v>
      </c>
      <c r="L473">
        <v>165849508.90000001</v>
      </c>
      <c r="M473">
        <v>169975206.69999999</v>
      </c>
      <c r="N473">
        <v>165849508.90000001</v>
      </c>
      <c r="O473">
        <v>169975206.69999999</v>
      </c>
      <c r="P473">
        <v>199970831.5</v>
      </c>
      <c r="Q473">
        <v>199970831.5</v>
      </c>
      <c r="R473" s="14">
        <f>_xlfn.XLOOKUP(Table2[[#This Row],[LoanID]],Table1[G-L ID],Table1[ManagerCode],-99)</f>
        <v>103</v>
      </c>
      <c r="T473"/>
    </row>
    <row r="474" spans="1:20" x14ac:dyDescent="0.25">
      <c r="A474">
        <v>20101130</v>
      </c>
      <c r="B474">
        <v>2010</v>
      </c>
      <c r="C474">
        <v>11</v>
      </c>
      <c r="D474">
        <v>1</v>
      </c>
      <c r="E474">
        <v>11200</v>
      </c>
      <c r="F474">
        <v>69880</v>
      </c>
      <c r="G474">
        <v>0</v>
      </c>
      <c r="H474">
        <v>0</v>
      </c>
      <c r="I474">
        <v>0</v>
      </c>
      <c r="J474">
        <v>0</v>
      </c>
      <c r="K474">
        <v>0</v>
      </c>
      <c r="L474">
        <v>13759908.039999999</v>
      </c>
      <c r="M474">
        <v>13868290.99</v>
      </c>
      <c r="N474">
        <v>13759908.039999999</v>
      </c>
      <c r="O474">
        <v>13868290.99</v>
      </c>
      <c r="P474">
        <v>13976000</v>
      </c>
      <c r="Q474">
        <v>13976000</v>
      </c>
      <c r="R474" s="14">
        <f>_xlfn.XLOOKUP(Table2[[#This Row],[LoanID]],Table1[G-L ID],Table1[ManagerCode],-99)</f>
        <v>103</v>
      </c>
      <c r="T474"/>
    </row>
    <row r="475" spans="1:20" x14ac:dyDescent="0.25">
      <c r="A475">
        <v>20101130</v>
      </c>
      <c r="B475">
        <v>2010</v>
      </c>
      <c r="C475">
        <v>11</v>
      </c>
      <c r="D475">
        <v>1</v>
      </c>
      <c r="E475">
        <v>11240</v>
      </c>
      <c r="F475">
        <v>256316.21</v>
      </c>
      <c r="G475">
        <v>0</v>
      </c>
      <c r="H475">
        <v>0</v>
      </c>
      <c r="I475">
        <v>0</v>
      </c>
      <c r="J475">
        <v>0</v>
      </c>
      <c r="K475">
        <v>0</v>
      </c>
      <c r="L475">
        <v>180765550.80000001</v>
      </c>
      <c r="M475">
        <v>183608144.80000001</v>
      </c>
      <c r="N475">
        <v>180765550.80000001</v>
      </c>
      <c r="O475">
        <v>183608144.80000001</v>
      </c>
      <c r="P475">
        <v>194929626.59999999</v>
      </c>
      <c r="Q475">
        <v>194929626.59999999</v>
      </c>
      <c r="R475" s="14">
        <f>_xlfn.XLOOKUP(Table2[[#This Row],[LoanID]],Table1[G-L ID],Table1[ManagerCode],-99)</f>
        <v>103</v>
      </c>
      <c r="T475"/>
    </row>
    <row r="476" spans="1:20" x14ac:dyDescent="0.25">
      <c r="A476">
        <v>20101130</v>
      </c>
      <c r="B476">
        <v>2010</v>
      </c>
      <c r="C476">
        <v>11</v>
      </c>
      <c r="D476">
        <v>1</v>
      </c>
      <c r="E476">
        <v>11260</v>
      </c>
      <c r="F476">
        <v>14631.08</v>
      </c>
      <c r="G476">
        <v>0</v>
      </c>
      <c r="H476">
        <v>0</v>
      </c>
      <c r="I476">
        <v>-93.96</v>
      </c>
      <c r="J476">
        <v>0</v>
      </c>
      <c r="K476">
        <v>0</v>
      </c>
      <c r="L476">
        <v>10454132.470000001</v>
      </c>
      <c r="M476">
        <v>10618610.529999999</v>
      </c>
      <c r="N476">
        <v>10454132.470000001</v>
      </c>
      <c r="O476">
        <v>10618610.529999999</v>
      </c>
      <c r="P476">
        <v>11274673.789999999</v>
      </c>
      <c r="Q476">
        <v>11274673.789999999</v>
      </c>
      <c r="R476" s="14">
        <f>_xlfn.XLOOKUP(Table2[[#This Row],[LoanID]],Table1[G-L ID],Table1[ManagerCode],-99)</f>
        <v>103</v>
      </c>
      <c r="T476"/>
    </row>
    <row r="477" spans="1:20" x14ac:dyDescent="0.25">
      <c r="A477">
        <v>20101130</v>
      </c>
      <c r="B477">
        <v>2010</v>
      </c>
      <c r="C477">
        <v>11</v>
      </c>
      <c r="D477">
        <v>1</v>
      </c>
      <c r="E477">
        <v>11270</v>
      </c>
      <c r="F477">
        <v>24385.14</v>
      </c>
      <c r="G477">
        <v>0</v>
      </c>
      <c r="H477">
        <v>0</v>
      </c>
      <c r="I477">
        <v>-156.59</v>
      </c>
      <c r="J477">
        <v>0</v>
      </c>
      <c r="K477">
        <v>0</v>
      </c>
      <c r="L477">
        <v>17423554.219999999</v>
      </c>
      <c r="M477">
        <v>17697684.23</v>
      </c>
      <c r="N477">
        <v>17423554.219999999</v>
      </c>
      <c r="O477">
        <v>17697684.23</v>
      </c>
      <c r="P477">
        <v>18791123.030000001</v>
      </c>
      <c r="Q477">
        <v>18791123.030000001</v>
      </c>
      <c r="R477" s="14">
        <f>_xlfn.XLOOKUP(Table2[[#This Row],[LoanID]],Table1[G-L ID],Table1[ManagerCode],-99)</f>
        <v>103</v>
      </c>
      <c r="T477"/>
    </row>
    <row r="478" spans="1:20" x14ac:dyDescent="0.25">
      <c r="A478">
        <v>20101130</v>
      </c>
      <c r="B478">
        <v>2010</v>
      </c>
      <c r="C478">
        <v>11</v>
      </c>
      <c r="D478">
        <v>1</v>
      </c>
      <c r="E478">
        <v>11290</v>
      </c>
      <c r="F478">
        <v>21946.62</v>
      </c>
      <c r="G478">
        <v>0</v>
      </c>
      <c r="H478">
        <v>0</v>
      </c>
      <c r="I478">
        <v>-140.93</v>
      </c>
      <c r="J478">
        <v>0</v>
      </c>
      <c r="K478">
        <v>0</v>
      </c>
      <c r="L478">
        <v>15681198.75</v>
      </c>
      <c r="M478">
        <v>15927915.800000001</v>
      </c>
      <c r="N478">
        <v>15681198.75</v>
      </c>
      <c r="O478">
        <v>15927915.800000001</v>
      </c>
      <c r="P478">
        <v>16912010.73</v>
      </c>
      <c r="Q478">
        <v>16912010.73</v>
      </c>
      <c r="R478" s="14">
        <f>_xlfn.XLOOKUP(Table2[[#This Row],[LoanID]],Table1[G-L ID],Table1[ManagerCode],-99)</f>
        <v>103</v>
      </c>
      <c r="T478"/>
    </row>
    <row r="479" spans="1:20" x14ac:dyDescent="0.25">
      <c r="A479">
        <v>20101130</v>
      </c>
      <c r="B479">
        <v>2010</v>
      </c>
      <c r="C479">
        <v>11</v>
      </c>
      <c r="D479">
        <v>1</v>
      </c>
      <c r="E479">
        <v>11380</v>
      </c>
      <c r="F479">
        <v>39223.65</v>
      </c>
      <c r="G479">
        <v>0</v>
      </c>
      <c r="H479">
        <v>0</v>
      </c>
      <c r="I479">
        <v>0.02</v>
      </c>
      <c r="J479">
        <v>0</v>
      </c>
      <c r="K479">
        <v>51476.35</v>
      </c>
      <c r="L479">
        <v>6724146.2999999998</v>
      </c>
      <c r="M479">
        <v>6679636.5899999999</v>
      </c>
      <c r="N479">
        <v>6724146.2999999998</v>
      </c>
      <c r="O479">
        <v>6679636.5899999999</v>
      </c>
      <c r="P479">
        <v>5935482.8499999996</v>
      </c>
      <c r="Q479">
        <v>5884006.5</v>
      </c>
      <c r="R479" s="14">
        <f>_xlfn.XLOOKUP(Table2[[#This Row],[LoanID]],Table1[G-L ID],Table1[ManagerCode],-99)</f>
        <v>103</v>
      </c>
      <c r="T479"/>
    </row>
    <row r="480" spans="1:20" x14ac:dyDescent="0.25">
      <c r="A480">
        <v>20101130</v>
      </c>
      <c r="B480">
        <v>2010</v>
      </c>
      <c r="C480">
        <v>11</v>
      </c>
      <c r="D480">
        <v>1</v>
      </c>
      <c r="E480">
        <v>11420</v>
      </c>
      <c r="F480">
        <v>514856.61</v>
      </c>
      <c r="G480">
        <v>0</v>
      </c>
      <c r="H480">
        <v>0</v>
      </c>
      <c r="I480">
        <v>0</v>
      </c>
      <c r="J480">
        <v>0</v>
      </c>
      <c r="K480">
        <v>0</v>
      </c>
      <c r="L480">
        <v>100155350.5</v>
      </c>
      <c r="M480">
        <v>100265509.2</v>
      </c>
      <c r="N480">
        <v>100155350.5</v>
      </c>
      <c r="O480">
        <v>100265509.2</v>
      </c>
      <c r="P480">
        <v>98000000</v>
      </c>
      <c r="Q480">
        <v>98000000</v>
      </c>
      <c r="R480" s="14">
        <f>_xlfn.XLOOKUP(Table2[[#This Row],[LoanID]],Table1[G-L ID],Table1[ManagerCode],-99)</f>
        <v>103</v>
      </c>
      <c r="T480"/>
    </row>
    <row r="481" spans="1:20" x14ac:dyDescent="0.25">
      <c r="A481">
        <v>20101130</v>
      </c>
      <c r="B481">
        <v>2010</v>
      </c>
      <c r="C481">
        <v>11</v>
      </c>
      <c r="D481">
        <v>1</v>
      </c>
      <c r="E481">
        <v>11510</v>
      </c>
      <c r="F481">
        <v>0</v>
      </c>
      <c r="G481">
        <v>0</v>
      </c>
      <c r="H481">
        <v>0</v>
      </c>
      <c r="I481">
        <v>0</v>
      </c>
      <c r="J481">
        <v>0</v>
      </c>
      <c r="K481">
        <v>0</v>
      </c>
      <c r="L481">
        <v>14602872.720000001</v>
      </c>
      <c r="M481">
        <v>14602872.720000001</v>
      </c>
      <c r="N481">
        <v>14602872.720000001</v>
      </c>
      <c r="O481">
        <v>14602872.720000001</v>
      </c>
      <c r="P481">
        <v>14602872.720000001</v>
      </c>
      <c r="Q481">
        <v>14602872.720000001</v>
      </c>
      <c r="R481" s="14">
        <f>_xlfn.XLOOKUP(Table2[[#This Row],[LoanID]],Table1[G-L ID],Table1[ManagerCode],-99)</f>
        <v>103</v>
      </c>
      <c r="T481"/>
    </row>
    <row r="482" spans="1:20" x14ac:dyDescent="0.25">
      <c r="A482">
        <v>20101130</v>
      </c>
      <c r="B482">
        <v>2010</v>
      </c>
      <c r="C482">
        <v>11</v>
      </c>
      <c r="D482">
        <v>1</v>
      </c>
      <c r="E482">
        <v>11650</v>
      </c>
      <c r="F482">
        <v>0</v>
      </c>
      <c r="G482">
        <v>0</v>
      </c>
      <c r="H482">
        <v>0</v>
      </c>
      <c r="I482">
        <v>0</v>
      </c>
      <c r="J482">
        <v>-6000000</v>
      </c>
      <c r="K482">
        <v>0</v>
      </c>
      <c r="L482">
        <v>0</v>
      </c>
      <c r="M482">
        <v>5100000</v>
      </c>
      <c r="N482">
        <v>0</v>
      </c>
      <c r="O482">
        <v>5100000</v>
      </c>
      <c r="P482">
        <v>0</v>
      </c>
      <c r="Q482">
        <v>6000000</v>
      </c>
      <c r="R482" s="14">
        <f>_xlfn.XLOOKUP(Table2[[#This Row],[LoanID]],Table1[G-L ID],Table1[ManagerCode],-99)</f>
        <v>103</v>
      </c>
      <c r="T482"/>
    </row>
    <row r="483" spans="1:20" x14ac:dyDescent="0.25">
      <c r="A483">
        <v>20101130</v>
      </c>
      <c r="B483">
        <v>2010</v>
      </c>
      <c r="C483">
        <v>11</v>
      </c>
      <c r="D483">
        <v>1</v>
      </c>
      <c r="E483">
        <v>11780</v>
      </c>
      <c r="F483">
        <v>191193.33</v>
      </c>
      <c r="G483">
        <v>0</v>
      </c>
      <c r="H483">
        <v>0</v>
      </c>
      <c r="I483">
        <v>-1154.3699999999999</v>
      </c>
      <c r="J483">
        <v>0</v>
      </c>
      <c r="K483">
        <v>133332.04999999999</v>
      </c>
      <c r="L483">
        <v>56549340.060000002</v>
      </c>
      <c r="M483">
        <v>56860652.240000002</v>
      </c>
      <c r="N483">
        <v>56549340.060000002</v>
      </c>
      <c r="O483">
        <v>56860652.240000002</v>
      </c>
      <c r="P483">
        <v>67028217.039999999</v>
      </c>
      <c r="Q483">
        <v>66894884.990000002</v>
      </c>
      <c r="R483" s="14">
        <f>_xlfn.XLOOKUP(Table2[[#This Row],[LoanID]],Table1[G-L ID],Table1[ManagerCode],-99)</f>
        <v>103</v>
      </c>
      <c r="T483"/>
    </row>
    <row r="484" spans="1:20" x14ac:dyDescent="0.25">
      <c r="A484">
        <v>20101130</v>
      </c>
      <c r="B484">
        <v>2010</v>
      </c>
      <c r="C484">
        <v>11</v>
      </c>
      <c r="D484">
        <v>1</v>
      </c>
      <c r="E484">
        <v>11800</v>
      </c>
      <c r="F484">
        <v>168719.05</v>
      </c>
      <c r="G484">
        <v>0</v>
      </c>
      <c r="H484">
        <v>0</v>
      </c>
      <c r="I484">
        <v>-283.89999999999998</v>
      </c>
      <c r="J484">
        <v>0</v>
      </c>
      <c r="K484">
        <v>52246.95</v>
      </c>
      <c r="L484">
        <v>13445956.27</v>
      </c>
      <c r="M484">
        <v>14171430.529999999</v>
      </c>
      <c r="N484">
        <v>13445956.27</v>
      </c>
      <c r="O484">
        <v>14171430.529999999</v>
      </c>
      <c r="P484">
        <v>32968501.600000001</v>
      </c>
      <c r="Q484">
        <v>32916254.649999999</v>
      </c>
      <c r="R484" s="14">
        <f>_xlfn.XLOOKUP(Table2[[#This Row],[LoanID]],Table1[G-L ID],Table1[ManagerCode],-99)</f>
        <v>103</v>
      </c>
      <c r="T484"/>
    </row>
    <row r="485" spans="1:20" x14ac:dyDescent="0.25">
      <c r="A485">
        <v>20101130</v>
      </c>
      <c r="B485">
        <v>2010</v>
      </c>
      <c r="C485">
        <v>11</v>
      </c>
      <c r="D485">
        <v>1</v>
      </c>
      <c r="E485">
        <v>11810</v>
      </c>
      <c r="F485">
        <v>51166.67</v>
      </c>
      <c r="G485">
        <v>0</v>
      </c>
      <c r="H485">
        <v>0</v>
      </c>
      <c r="I485">
        <v>0</v>
      </c>
      <c r="J485">
        <v>0</v>
      </c>
      <c r="K485">
        <v>0</v>
      </c>
      <c r="L485">
        <v>8977071.4000000004</v>
      </c>
      <c r="M485">
        <v>9112386.8200000003</v>
      </c>
      <c r="N485">
        <v>8977071.4000000004</v>
      </c>
      <c r="O485">
        <v>9112386.8200000003</v>
      </c>
      <c r="P485">
        <v>10000000</v>
      </c>
      <c r="Q485">
        <v>10000000</v>
      </c>
      <c r="R485" s="14">
        <f>_xlfn.XLOOKUP(Table2[[#This Row],[LoanID]],Table1[G-L ID],Table1[ManagerCode],-99)</f>
        <v>103</v>
      </c>
      <c r="T485"/>
    </row>
    <row r="486" spans="1:20" x14ac:dyDescent="0.25">
      <c r="A486">
        <v>20101130</v>
      </c>
      <c r="B486">
        <v>2010</v>
      </c>
      <c r="C486">
        <v>11</v>
      </c>
      <c r="D486">
        <v>1</v>
      </c>
      <c r="E486">
        <v>11860</v>
      </c>
      <c r="F486">
        <v>243177.78</v>
      </c>
      <c r="G486">
        <v>0</v>
      </c>
      <c r="H486">
        <v>0</v>
      </c>
      <c r="I486">
        <v>0</v>
      </c>
      <c r="J486">
        <v>0</v>
      </c>
      <c r="K486">
        <v>0</v>
      </c>
      <c r="L486">
        <v>48500249.009999998</v>
      </c>
      <c r="M486">
        <v>48982409.5</v>
      </c>
      <c r="N486">
        <v>48500249.009999998</v>
      </c>
      <c r="O486">
        <v>48982409.5</v>
      </c>
      <c r="P486">
        <v>50000000</v>
      </c>
      <c r="Q486">
        <v>50000000</v>
      </c>
      <c r="R486" s="14">
        <f>_xlfn.XLOOKUP(Table2[[#This Row],[LoanID]],Table1[G-L ID],Table1[ManagerCode],-99)</f>
        <v>103</v>
      </c>
      <c r="T486"/>
    </row>
    <row r="487" spans="1:20" x14ac:dyDescent="0.25">
      <c r="A487">
        <v>20101130</v>
      </c>
      <c r="B487">
        <v>2010</v>
      </c>
      <c r="C487">
        <v>11</v>
      </c>
      <c r="D487">
        <v>1</v>
      </c>
      <c r="E487">
        <v>11870</v>
      </c>
      <c r="F487">
        <v>121588.89</v>
      </c>
      <c r="G487">
        <v>0</v>
      </c>
      <c r="H487">
        <v>0</v>
      </c>
      <c r="I487">
        <v>0</v>
      </c>
      <c r="J487">
        <v>0</v>
      </c>
      <c r="K487">
        <v>0</v>
      </c>
      <c r="L487">
        <v>24250124.5</v>
      </c>
      <c r="M487">
        <v>24491204.75</v>
      </c>
      <c r="N487">
        <v>24250124.5</v>
      </c>
      <c r="O487">
        <v>24491204.75</v>
      </c>
      <c r="P487">
        <v>25000000</v>
      </c>
      <c r="Q487">
        <v>25000000</v>
      </c>
      <c r="R487" s="14">
        <f>_xlfn.XLOOKUP(Table2[[#This Row],[LoanID]],Table1[G-L ID],Table1[ManagerCode],-99)</f>
        <v>103</v>
      </c>
      <c r="T487"/>
    </row>
    <row r="488" spans="1:20" x14ac:dyDescent="0.25">
      <c r="A488">
        <v>20101130</v>
      </c>
      <c r="B488">
        <v>2010</v>
      </c>
      <c r="C488">
        <v>11</v>
      </c>
      <c r="D488">
        <v>1</v>
      </c>
      <c r="E488">
        <v>11900</v>
      </c>
      <c r="F488">
        <v>0</v>
      </c>
      <c r="G488">
        <v>0</v>
      </c>
      <c r="H488">
        <v>0</v>
      </c>
      <c r="I488">
        <v>0</v>
      </c>
      <c r="J488">
        <v>0</v>
      </c>
      <c r="K488">
        <v>0</v>
      </c>
      <c r="L488">
        <v>55000000</v>
      </c>
      <c r="M488">
        <v>55000000</v>
      </c>
      <c r="N488">
        <v>55000000</v>
      </c>
      <c r="O488">
        <v>55000000</v>
      </c>
      <c r="P488">
        <v>55000000</v>
      </c>
      <c r="Q488">
        <v>55000000</v>
      </c>
      <c r="R488" s="14">
        <f>_xlfn.XLOOKUP(Table2[[#This Row],[LoanID]],Table1[G-L ID],Table1[ManagerCode],-99)</f>
        <v>103</v>
      </c>
      <c r="T488"/>
    </row>
    <row r="489" spans="1:20" x14ac:dyDescent="0.25">
      <c r="A489">
        <v>20101130</v>
      </c>
      <c r="B489">
        <v>2010</v>
      </c>
      <c r="C489">
        <v>11</v>
      </c>
      <c r="D489">
        <v>1</v>
      </c>
      <c r="E489">
        <v>11930</v>
      </c>
      <c r="F489">
        <v>195057.19</v>
      </c>
      <c r="G489">
        <v>0</v>
      </c>
      <c r="H489">
        <v>0</v>
      </c>
      <c r="I489">
        <v>0</v>
      </c>
      <c r="J489">
        <v>0</v>
      </c>
      <c r="K489">
        <v>0</v>
      </c>
      <c r="L489">
        <v>191961450</v>
      </c>
      <c r="M489">
        <v>193093578.40000001</v>
      </c>
      <c r="N489">
        <v>191961450</v>
      </c>
      <c r="O489">
        <v>193093578.40000001</v>
      </c>
      <c r="P489">
        <v>195780481.30000001</v>
      </c>
      <c r="Q489">
        <v>195780481.30000001</v>
      </c>
      <c r="R489" s="14">
        <f>_xlfn.XLOOKUP(Table2[[#This Row],[LoanID]],Table1[G-L ID],Table1[ManagerCode],-99)</f>
        <v>103</v>
      </c>
      <c r="T489"/>
    </row>
    <row r="490" spans="1:20" x14ac:dyDescent="0.25">
      <c r="A490">
        <v>20101130</v>
      </c>
      <c r="B490">
        <v>2010</v>
      </c>
      <c r="C490">
        <v>11</v>
      </c>
      <c r="D490">
        <v>1</v>
      </c>
      <c r="E490">
        <v>11940</v>
      </c>
      <c r="F490">
        <v>63885.919999999998</v>
      </c>
      <c r="G490">
        <v>0</v>
      </c>
      <c r="H490">
        <v>0</v>
      </c>
      <c r="I490">
        <v>0</v>
      </c>
      <c r="J490">
        <v>0</v>
      </c>
      <c r="K490">
        <v>0</v>
      </c>
      <c r="L490">
        <v>62871992.210000001</v>
      </c>
      <c r="M490">
        <v>63242791.5</v>
      </c>
      <c r="N490">
        <v>62871992.210000001</v>
      </c>
      <c r="O490">
        <v>63242791.5</v>
      </c>
      <c r="P490">
        <v>64098992.310000002</v>
      </c>
      <c r="Q490">
        <v>64101158.170000002</v>
      </c>
      <c r="R490" s="14">
        <f>_xlfn.XLOOKUP(Table2[[#This Row],[LoanID]],Table1[G-L ID],Table1[ManagerCode],-99)</f>
        <v>103</v>
      </c>
      <c r="T490"/>
    </row>
    <row r="491" spans="1:20" x14ac:dyDescent="0.25">
      <c r="A491">
        <v>20101130</v>
      </c>
      <c r="B491">
        <v>2010</v>
      </c>
      <c r="C491">
        <v>11</v>
      </c>
      <c r="D491">
        <v>1</v>
      </c>
      <c r="E491">
        <v>11951</v>
      </c>
      <c r="F491">
        <v>166619.82999999999</v>
      </c>
      <c r="G491">
        <v>0</v>
      </c>
      <c r="H491">
        <v>0</v>
      </c>
      <c r="I491">
        <v>-283.33</v>
      </c>
      <c r="J491">
        <v>0</v>
      </c>
      <c r="K491">
        <v>0</v>
      </c>
      <c r="L491">
        <v>34339250.840000004</v>
      </c>
      <c r="M491">
        <v>34299006.509999998</v>
      </c>
      <c r="N491">
        <v>34339250.840000004</v>
      </c>
      <c r="O491">
        <v>34299006.509999998</v>
      </c>
      <c r="P491">
        <v>33995072.520000003</v>
      </c>
      <c r="Q491">
        <v>33996715.009999998</v>
      </c>
      <c r="R491" s="14">
        <f>_xlfn.XLOOKUP(Table2[[#This Row],[LoanID]],Table1[G-L ID],Table1[ManagerCode],-99)</f>
        <v>103</v>
      </c>
      <c r="T491"/>
    </row>
    <row r="492" spans="1:20" x14ac:dyDescent="0.25">
      <c r="A492">
        <v>20101130</v>
      </c>
      <c r="B492">
        <v>2010</v>
      </c>
      <c r="C492">
        <v>11</v>
      </c>
      <c r="D492">
        <v>1</v>
      </c>
      <c r="E492">
        <v>11952</v>
      </c>
      <c r="F492">
        <v>119241.5</v>
      </c>
      <c r="G492">
        <v>0</v>
      </c>
      <c r="H492">
        <v>0</v>
      </c>
      <c r="I492">
        <v>-175</v>
      </c>
      <c r="J492">
        <v>0</v>
      </c>
      <c r="K492">
        <v>0</v>
      </c>
      <c r="L492">
        <v>21240761.890000001</v>
      </c>
      <c r="M492">
        <v>21233413.390000001</v>
      </c>
      <c r="N492">
        <v>21240761.890000001</v>
      </c>
      <c r="O492">
        <v>21233413.390000001</v>
      </c>
      <c r="P492">
        <v>21000000</v>
      </c>
      <c r="Q492">
        <v>21000000</v>
      </c>
      <c r="R492" s="14">
        <f>_xlfn.XLOOKUP(Table2[[#This Row],[LoanID]],Table1[G-L ID],Table1[ManagerCode],-99)</f>
        <v>103</v>
      </c>
      <c r="T492"/>
    </row>
    <row r="493" spans="1:20" x14ac:dyDescent="0.25">
      <c r="A493">
        <v>20101130</v>
      </c>
      <c r="B493">
        <v>2010</v>
      </c>
      <c r="C493">
        <v>11</v>
      </c>
      <c r="D493">
        <v>1</v>
      </c>
      <c r="E493">
        <v>12000</v>
      </c>
      <c r="F493">
        <v>129709.44</v>
      </c>
      <c r="G493">
        <v>0</v>
      </c>
      <c r="H493">
        <v>0</v>
      </c>
      <c r="I493">
        <v>0</v>
      </c>
      <c r="J493">
        <v>0</v>
      </c>
      <c r="K493">
        <v>0</v>
      </c>
      <c r="L493">
        <v>21178701.969999999</v>
      </c>
      <c r="M493">
        <v>21663963.75</v>
      </c>
      <c r="N493">
        <v>21178701.969999999</v>
      </c>
      <c r="O493">
        <v>21663963.75</v>
      </c>
      <c r="P493">
        <v>25089079.77</v>
      </c>
      <c r="Q493">
        <v>25089774.210000001</v>
      </c>
      <c r="R493" s="14">
        <f>_xlfn.XLOOKUP(Table2[[#This Row],[LoanID]],Table1[G-L ID],Table1[ManagerCode],-99)</f>
        <v>103</v>
      </c>
      <c r="T493"/>
    </row>
    <row r="494" spans="1:20" x14ac:dyDescent="0.25">
      <c r="A494">
        <v>20101130</v>
      </c>
      <c r="B494">
        <v>2010</v>
      </c>
      <c r="C494">
        <v>11</v>
      </c>
      <c r="D494">
        <v>1</v>
      </c>
      <c r="E494">
        <v>12200</v>
      </c>
      <c r="F494">
        <v>91712</v>
      </c>
      <c r="G494">
        <v>0</v>
      </c>
      <c r="H494">
        <v>0</v>
      </c>
      <c r="I494">
        <v>0</v>
      </c>
      <c r="J494">
        <v>0</v>
      </c>
      <c r="K494">
        <v>30497.56</v>
      </c>
      <c r="L494">
        <v>21534317.739999998</v>
      </c>
      <c r="M494">
        <v>21520280.25</v>
      </c>
      <c r="N494">
        <v>21534317.739999998</v>
      </c>
      <c r="O494">
        <v>21520280.25</v>
      </c>
      <c r="P494">
        <v>19956844.609999999</v>
      </c>
      <c r="Q494">
        <v>19926688.68</v>
      </c>
      <c r="R494" s="14">
        <f>_xlfn.XLOOKUP(Table2[[#This Row],[LoanID]],Table1[G-L ID],Table1[ManagerCode],-99)</f>
        <v>103</v>
      </c>
      <c r="T494"/>
    </row>
    <row r="495" spans="1:20" x14ac:dyDescent="0.25">
      <c r="A495">
        <v>20101130</v>
      </c>
      <c r="B495">
        <v>2010</v>
      </c>
      <c r="C495">
        <v>11</v>
      </c>
      <c r="D495">
        <v>1</v>
      </c>
      <c r="E495">
        <v>12210</v>
      </c>
      <c r="F495">
        <v>735898.33</v>
      </c>
      <c r="G495">
        <v>0</v>
      </c>
      <c r="H495">
        <v>0</v>
      </c>
      <c r="I495">
        <v>0</v>
      </c>
      <c r="J495">
        <v>0</v>
      </c>
      <c r="K495">
        <v>169263.5</v>
      </c>
      <c r="L495">
        <v>140461123.90000001</v>
      </c>
      <c r="M495">
        <v>140764704.5</v>
      </c>
      <c r="N495">
        <v>140461123.90000001</v>
      </c>
      <c r="O495">
        <v>140764704.5</v>
      </c>
      <c r="P495">
        <v>119069538.3</v>
      </c>
      <c r="Q495">
        <v>118900274.8</v>
      </c>
      <c r="R495" s="14">
        <f>_xlfn.XLOOKUP(Table2[[#This Row],[LoanID]],Table1[G-L ID],Table1[ManagerCode],-99)</f>
        <v>103</v>
      </c>
      <c r="T495"/>
    </row>
    <row r="496" spans="1:20" x14ac:dyDescent="0.25">
      <c r="A496">
        <v>20101231</v>
      </c>
      <c r="B496">
        <v>2010</v>
      </c>
      <c r="C496">
        <v>12</v>
      </c>
      <c r="D496">
        <v>1</v>
      </c>
      <c r="E496">
        <v>10050</v>
      </c>
      <c r="F496">
        <v>149013.89000000001</v>
      </c>
      <c r="G496">
        <v>0</v>
      </c>
      <c r="H496">
        <v>0</v>
      </c>
      <c r="I496">
        <v>-69.45</v>
      </c>
      <c r="J496">
        <v>0</v>
      </c>
      <c r="K496">
        <v>0</v>
      </c>
      <c r="L496">
        <v>32295561.920000002</v>
      </c>
      <c r="M496">
        <v>31386929.75</v>
      </c>
      <c r="N496">
        <v>32295561.920000002</v>
      </c>
      <c r="O496">
        <v>31386929.75</v>
      </c>
      <c r="P496">
        <v>33333334</v>
      </c>
      <c r="Q496">
        <v>33333334</v>
      </c>
      <c r="R496" s="14">
        <f>_xlfn.XLOOKUP(Table2[[#This Row],[LoanID]],Table1[G-L ID],Table1[ManagerCode],-99)</f>
        <v>103</v>
      </c>
      <c r="T496"/>
    </row>
    <row r="497" spans="1:20" x14ac:dyDescent="0.25">
      <c r="A497">
        <v>20101231</v>
      </c>
      <c r="B497">
        <v>2010</v>
      </c>
      <c r="C497">
        <v>12</v>
      </c>
      <c r="D497">
        <v>1</v>
      </c>
      <c r="E497">
        <v>10080</v>
      </c>
      <c r="F497">
        <v>339718.75</v>
      </c>
      <c r="G497">
        <v>0</v>
      </c>
      <c r="H497">
        <v>0</v>
      </c>
      <c r="I497">
        <v>-156.25</v>
      </c>
      <c r="J497">
        <v>0</v>
      </c>
      <c r="K497">
        <v>0</v>
      </c>
      <c r="L497">
        <v>70240280.489999995</v>
      </c>
      <c r="M497">
        <v>71249928.75</v>
      </c>
      <c r="N497">
        <v>70240280.489999995</v>
      </c>
      <c r="O497">
        <v>71249928.75</v>
      </c>
      <c r="P497">
        <v>75000000</v>
      </c>
      <c r="Q497">
        <v>75000000</v>
      </c>
      <c r="R497" s="14">
        <f>_xlfn.XLOOKUP(Table2[[#This Row],[LoanID]],Table1[G-L ID],Table1[ManagerCode],-99)</f>
        <v>103</v>
      </c>
      <c r="T497"/>
    </row>
    <row r="498" spans="1:20" x14ac:dyDescent="0.25">
      <c r="A498">
        <v>20101231</v>
      </c>
      <c r="B498">
        <v>2010</v>
      </c>
      <c r="C498">
        <v>12</v>
      </c>
      <c r="D498">
        <v>1</v>
      </c>
      <c r="E498">
        <v>10130</v>
      </c>
      <c r="F498">
        <v>37522.120000000003</v>
      </c>
      <c r="G498">
        <v>0</v>
      </c>
      <c r="H498">
        <v>0</v>
      </c>
      <c r="I498">
        <v>0</v>
      </c>
      <c r="J498">
        <v>0</v>
      </c>
      <c r="K498">
        <v>30168.57</v>
      </c>
      <c r="L498">
        <v>8773344.4399999995</v>
      </c>
      <c r="M498">
        <v>8716373.7599999998</v>
      </c>
      <c r="N498">
        <v>8773344.4399999995</v>
      </c>
      <c r="O498">
        <v>8716373.7599999998</v>
      </c>
      <c r="P498">
        <v>8292181.2400000002</v>
      </c>
      <c r="Q498">
        <v>8262012.6699999999</v>
      </c>
      <c r="R498" s="14">
        <f>_xlfn.XLOOKUP(Table2[[#This Row],[LoanID]],Table1[G-L ID],Table1[ManagerCode],-99)</f>
        <v>103</v>
      </c>
      <c r="T498"/>
    </row>
    <row r="499" spans="1:20" x14ac:dyDescent="0.25">
      <c r="A499">
        <v>20101231</v>
      </c>
      <c r="B499">
        <v>2010</v>
      </c>
      <c r="C499">
        <v>12</v>
      </c>
      <c r="D499">
        <v>1</v>
      </c>
      <c r="E499">
        <v>10140</v>
      </c>
      <c r="F499">
        <v>98928.1</v>
      </c>
      <c r="G499">
        <v>0</v>
      </c>
      <c r="H499">
        <v>0</v>
      </c>
      <c r="I499">
        <v>0</v>
      </c>
      <c r="J499">
        <v>0</v>
      </c>
      <c r="K499">
        <v>78896.23</v>
      </c>
      <c r="L499">
        <v>23131866.379999999</v>
      </c>
      <c r="M499">
        <v>22982289.219999999</v>
      </c>
      <c r="N499">
        <v>23131866.379999999</v>
      </c>
      <c r="O499">
        <v>22982289.219999999</v>
      </c>
      <c r="P499">
        <v>21862563.82</v>
      </c>
      <c r="Q499">
        <v>21783667.59</v>
      </c>
      <c r="R499" s="14">
        <f>_xlfn.XLOOKUP(Table2[[#This Row],[LoanID]],Table1[G-L ID],Table1[ManagerCode],-99)</f>
        <v>103</v>
      </c>
      <c r="T499"/>
    </row>
    <row r="500" spans="1:20" x14ac:dyDescent="0.25">
      <c r="A500">
        <v>20101231</v>
      </c>
      <c r="B500">
        <v>2010</v>
      </c>
      <c r="C500">
        <v>12</v>
      </c>
      <c r="D500">
        <v>1</v>
      </c>
      <c r="E500">
        <v>10150</v>
      </c>
      <c r="F500">
        <v>245857.1</v>
      </c>
      <c r="G500">
        <v>0</v>
      </c>
      <c r="H500">
        <v>0</v>
      </c>
      <c r="I500">
        <v>0</v>
      </c>
      <c r="J500">
        <v>0</v>
      </c>
      <c r="K500">
        <v>67462.899999999994</v>
      </c>
      <c r="L500">
        <v>52549228.32</v>
      </c>
      <c r="M500">
        <v>52449983.130000003</v>
      </c>
      <c r="N500">
        <v>52549228.32</v>
      </c>
      <c r="O500">
        <v>52449983.130000003</v>
      </c>
      <c r="P500">
        <v>53350546.670000002</v>
      </c>
      <c r="Q500">
        <v>53283083.770000003</v>
      </c>
      <c r="R500" s="14">
        <f>_xlfn.XLOOKUP(Table2[[#This Row],[LoanID]],Table1[G-L ID],Table1[ManagerCode],-99)</f>
        <v>103</v>
      </c>
      <c r="T500"/>
    </row>
    <row r="501" spans="1:20" x14ac:dyDescent="0.25">
      <c r="A501">
        <v>20101231</v>
      </c>
      <c r="B501">
        <v>2010</v>
      </c>
      <c r="C501">
        <v>12</v>
      </c>
      <c r="D501">
        <v>1</v>
      </c>
      <c r="E501">
        <v>10170</v>
      </c>
      <c r="F501">
        <v>245232.09</v>
      </c>
      <c r="G501">
        <v>0</v>
      </c>
      <c r="H501">
        <v>0</v>
      </c>
      <c r="I501">
        <v>-1175.23</v>
      </c>
      <c r="J501">
        <v>0</v>
      </c>
      <c r="K501">
        <v>69946.55</v>
      </c>
      <c r="L501">
        <v>50981172.079999998</v>
      </c>
      <c r="M501">
        <v>50522031.450000003</v>
      </c>
      <c r="N501">
        <v>50981172.079999998</v>
      </c>
      <c r="O501">
        <v>50522031.450000003</v>
      </c>
      <c r="P501">
        <v>47009346.240000002</v>
      </c>
      <c r="Q501">
        <v>46939399.689999998</v>
      </c>
      <c r="R501" s="14">
        <f>_xlfn.XLOOKUP(Table2[[#This Row],[LoanID]],Table1[G-L ID],Table1[ManagerCode],-99)</f>
        <v>103</v>
      </c>
      <c r="T501"/>
    </row>
    <row r="502" spans="1:20" x14ac:dyDescent="0.25">
      <c r="A502">
        <v>20101231</v>
      </c>
      <c r="B502">
        <v>2010</v>
      </c>
      <c r="C502">
        <v>12</v>
      </c>
      <c r="D502">
        <v>1</v>
      </c>
      <c r="E502">
        <v>10230</v>
      </c>
      <c r="F502">
        <v>186527.02</v>
      </c>
      <c r="G502">
        <v>0</v>
      </c>
      <c r="H502">
        <v>0</v>
      </c>
      <c r="I502">
        <v>0</v>
      </c>
      <c r="J502">
        <v>0</v>
      </c>
      <c r="K502">
        <v>55071.05</v>
      </c>
      <c r="L502">
        <v>23419918.379999999</v>
      </c>
      <c r="M502">
        <v>29839038.489999998</v>
      </c>
      <c r="N502">
        <v>23419918.379999999</v>
      </c>
      <c r="O502">
        <v>29839038.489999998</v>
      </c>
      <c r="P502">
        <v>33209558.27</v>
      </c>
      <c r="Q502">
        <v>33154487.219999999</v>
      </c>
      <c r="R502" s="14">
        <f>_xlfn.XLOOKUP(Table2[[#This Row],[LoanID]],Table1[G-L ID],Table1[ManagerCode],-99)</f>
        <v>103</v>
      </c>
      <c r="T502"/>
    </row>
    <row r="503" spans="1:20" x14ac:dyDescent="0.25">
      <c r="A503">
        <v>20101231</v>
      </c>
      <c r="B503">
        <v>2010</v>
      </c>
      <c r="C503">
        <v>12</v>
      </c>
      <c r="D503">
        <v>1</v>
      </c>
      <c r="E503">
        <v>10280</v>
      </c>
      <c r="F503">
        <v>175560</v>
      </c>
      <c r="G503">
        <v>0</v>
      </c>
      <c r="H503">
        <v>0</v>
      </c>
      <c r="I503">
        <v>0.01</v>
      </c>
      <c r="J503">
        <v>0</v>
      </c>
      <c r="K503">
        <v>0</v>
      </c>
      <c r="L503">
        <v>12254358.800000001</v>
      </c>
      <c r="M503">
        <v>31500031.5</v>
      </c>
      <c r="N503">
        <v>12254358.800000001</v>
      </c>
      <c r="O503">
        <v>31500031.5</v>
      </c>
      <c r="P503">
        <v>35000000</v>
      </c>
      <c r="Q503">
        <v>35000000</v>
      </c>
      <c r="R503" s="14">
        <f>_xlfn.XLOOKUP(Table2[[#This Row],[LoanID]],Table1[G-L ID],Table1[ManagerCode],-99)</f>
        <v>103</v>
      </c>
      <c r="T503"/>
    </row>
    <row r="504" spans="1:20" x14ac:dyDescent="0.25">
      <c r="A504">
        <v>20101231</v>
      </c>
      <c r="B504">
        <v>2010</v>
      </c>
      <c r="C504">
        <v>12</v>
      </c>
      <c r="D504">
        <v>1</v>
      </c>
      <c r="E504">
        <v>10290</v>
      </c>
      <c r="F504">
        <v>165775</v>
      </c>
      <c r="G504">
        <v>0</v>
      </c>
      <c r="H504">
        <v>0</v>
      </c>
      <c r="I504">
        <v>0</v>
      </c>
      <c r="J504">
        <v>0</v>
      </c>
      <c r="K504">
        <v>0</v>
      </c>
      <c r="L504">
        <v>7341925.7699999996</v>
      </c>
      <c r="M504">
        <v>21250000</v>
      </c>
      <c r="N504">
        <v>7341925.7699999996</v>
      </c>
      <c r="O504">
        <v>21250000</v>
      </c>
      <c r="P504">
        <v>25000000</v>
      </c>
      <c r="Q504">
        <v>25000000</v>
      </c>
      <c r="R504" s="14">
        <f>_xlfn.XLOOKUP(Table2[[#This Row],[LoanID]],Table1[G-L ID],Table1[ManagerCode],-99)</f>
        <v>103</v>
      </c>
      <c r="T504"/>
    </row>
    <row r="505" spans="1:20" x14ac:dyDescent="0.25">
      <c r="A505">
        <v>20101231</v>
      </c>
      <c r="B505">
        <v>2010</v>
      </c>
      <c r="C505">
        <v>12</v>
      </c>
      <c r="D505">
        <v>1</v>
      </c>
      <c r="E505">
        <v>10300</v>
      </c>
      <c r="F505">
        <v>145052.82999999999</v>
      </c>
      <c r="G505">
        <v>0</v>
      </c>
      <c r="H505">
        <v>0</v>
      </c>
      <c r="I505">
        <v>0</v>
      </c>
      <c r="J505">
        <v>0</v>
      </c>
      <c r="K505">
        <v>0</v>
      </c>
      <c r="L505">
        <v>31251865.239999998</v>
      </c>
      <c r="M505">
        <v>30316908.199999999</v>
      </c>
      <c r="N505">
        <v>31251865.239999998</v>
      </c>
      <c r="O505">
        <v>30316908.199999999</v>
      </c>
      <c r="P505">
        <v>35000000</v>
      </c>
      <c r="Q505">
        <v>35000000</v>
      </c>
      <c r="R505" s="14">
        <f>_xlfn.XLOOKUP(Table2[[#This Row],[LoanID]],Table1[G-L ID],Table1[ManagerCode],-99)</f>
        <v>103</v>
      </c>
      <c r="T505"/>
    </row>
    <row r="506" spans="1:20" x14ac:dyDescent="0.25">
      <c r="A506">
        <v>20101231</v>
      </c>
      <c r="B506">
        <v>2010</v>
      </c>
      <c r="C506">
        <v>12</v>
      </c>
      <c r="D506">
        <v>1</v>
      </c>
      <c r="E506">
        <v>10310</v>
      </c>
      <c r="F506">
        <v>0</v>
      </c>
      <c r="G506">
        <v>18733.71</v>
      </c>
      <c r="H506">
        <v>0</v>
      </c>
      <c r="I506">
        <v>0</v>
      </c>
      <c r="J506">
        <v>-737372.7</v>
      </c>
      <c r="K506">
        <v>0</v>
      </c>
      <c r="L506">
        <v>1077544.9099999999</v>
      </c>
      <c r="M506">
        <v>1833651.32</v>
      </c>
      <c r="N506">
        <v>1077544.9099999999</v>
      </c>
      <c r="O506">
        <v>1833651.32</v>
      </c>
      <c r="P506">
        <v>1077544.9099999999</v>
      </c>
      <c r="Q506">
        <v>1833651.32</v>
      </c>
      <c r="R506" s="14">
        <f>_xlfn.XLOOKUP(Table2[[#This Row],[LoanID]],Table1[G-L ID],Table1[ManagerCode],-99)</f>
        <v>183</v>
      </c>
      <c r="T506"/>
    </row>
    <row r="507" spans="1:20" x14ac:dyDescent="0.25">
      <c r="A507">
        <v>20101231</v>
      </c>
      <c r="B507">
        <v>2010</v>
      </c>
      <c r="C507">
        <v>12</v>
      </c>
      <c r="D507">
        <v>1</v>
      </c>
      <c r="E507">
        <v>10370</v>
      </c>
      <c r="F507">
        <v>11564.51</v>
      </c>
      <c r="G507">
        <v>0</v>
      </c>
      <c r="H507">
        <v>0</v>
      </c>
      <c r="I507">
        <v>0</v>
      </c>
      <c r="J507">
        <v>0</v>
      </c>
      <c r="K507">
        <v>67865.64</v>
      </c>
      <c r="L507">
        <v>3071843.97</v>
      </c>
      <c r="M507">
        <v>3010764.87</v>
      </c>
      <c r="N507">
        <v>3071843.97</v>
      </c>
      <c r="O507">
        <v>3010764.87</v>
      </c>
      <c r="P507">
        <v>3413159.95</v>
      </c>
      <c r="Q507">
        <v>3345294.31</v>
      </c>
      <c r="R507" s="14">
        <f>_xlfn.XLOOKUP(Table2[[#This Row],[LoanID]],Table1[G-L ID],Table1[ManagerCode],-99)</f>
        <v>103</v>
      </c>
      <c r="T507"/>
    </row>
    <row r="508" spans="1:20" x14ac:dyDescent="0.25">
      <c r="A508">
        <v>20101231</v>
      </c>
      <c r="B508">
        <v>2010</v>
      </c>
      <c r="C508">
        <v>12</v>
      </c>
      <c r="D508">
        <v>1</v>
      </c>
      <c r="E508">
        <v>10390</v>
      </c>
      <c r="F508">
        <v>118750</v>
      </c>
      <c r="G508">
        <v>0</v>
      </c>
      <c r="H508">
        <v>0</v>
      </c>
      <c r="I508">
        <v>0</v>
      </c>
      <c r="J508">
        <v>0</v>
      </c>
      <c r="K508">
        <v>0</v>
      </c>
      <c r="L508">
        <v>24039490.050000001</v>
      </c>
      <c r="M508">
        <v>23846321.199999999</v>
      </c>
      <c r="N508">
        <v>24039490.050000001</v>
      </c>
      <c r="O508">
        <v>23846321.199999999</v>
      </c>
      <c r="P508">
        <v>24991632.559999999</v>
      </c>
      <c r="Q508">
        <v>24991836.640000001</v>
      </c>
      <c r="R508" s="14">
        <f>_xlfn.XLOOKUP(Table2[[#This Row],[LoanID]],Table1[G-L ID],Table1[ManagerCode],-99)</f>
        <v>103</v>
      </c>
      <c r="T508"/>
    </row>
    <row r="509" spans="1:20" x14ac:dyDescent="0.25">
      <c r="A509">
        <v>20101231</v>
      </c>
      <c r="B509">
        <v>2010</v>
      </c>
      <c r="C509">
        <v>12</v>
      </c>
      <c r="D509">
        <v>1</v>
      </c>
      <c r="E509">
        <v>10450</v>
      </c>
      <c r="F509">
        <v>120750.3</v>
      </c>
      <c r="G509">
        <v>0</v>
      </c>
      <c r="H509">
        <v>0</v>
      </c>
      <c r="I509">
        <v>0</v>
      </c>
      <c r="J509">
        <v>0</v>
      </c>
      <c r="K509">
        <v>21064.95</v>
      </c>
      <c r="L509">
        <v>21594334.129999999</v>
      </c>
      <c r="M509">
        <v>21421799.809999999</v>
      </c>
      <c r="N509">
        <v>21594334.129999999</v>
      </c>
      <c r="O509">
        <v>21421799.809999999</v>
      </c>
      <c r="P509">
        <v>21597563.359999999</v>
      </c>
      <c r="Q509">
        <v>21578082.030000001</v>
      </c>
      <c r="R509" s="14">
        <f>_xlfn.XLOOKUP(Table2[[#This Row],[LoanID]],Table1[G-L ID],Table1[ManagerCode],-99)</f>
        <v>103</v>
      </c>
      <c r="T509"/>
    </row>
    <row r="510" spans="1:20" x14ac:dyDescent="0.25">
      <c r="A510">
        <v>20101231</v>
      </c>
      <c r="B510">
        <v>2010</v>
      </c>
      <c r="C510">
        <v>12</v>
      </c>
      <c r="D510">
        <v>1</v>
      </c>
      <c r="E510">
        <v>10520</v>
      </c>
      <c r="F510">
        <v>4865.8999999999996</v>
      </c>
      <c r="G510">
        <v>0</v>
      </c>
      <c r="H510">
        <v>0</v>
      </c>
      <c r="I510">
        <v>-12.13</v>
      </c>
      <c r="J510">
        <v>0</v>
      </c>
      <c r="K510">
        <v>0</v>
      </c>
      <c r="L510">
        <v>4029335.13</v>
      </c>
      <c r="M510">
        <v>4043351.84</v>
      </c>
      <c r="N510">
        <v>4029335.13</v>
      </c>
      <c r="O510">
        <v>4043351.84</v>
      </c>
      <c r="P510">
        <v>4158887.64</v>
      </c>
      <c r="Q510">
        <v>4158887.64</v>
      </c>
      <c r="R510" s="14">
        <f>_xlfn.XLOOKUP(Table2[[#This Row],[LoanID]],Table1[G-L ID],Table1[ManagerCode],-99)</f>
        <v>103</v>
      </c>
      <c r="T510"/>
    </row>
    <row r="511" spans="1:20" x14ac:dyDescent="0.25">
      <c r="A511">
        <v>20101231</v>
      </c>
      <c r="B511">
        <v>2010</v>
      </c>
      <c r="C511">
        <v>12</v>
      </c>
      <c r="D511">
        <v>1</v>
      </c>
      <c r="E511">
        <v>10530</v>
      </c>
      <c r="F511">
        <v>105427.8</v>
      </c>
      <c r="G511">
        <v>0</v>
      </c>
      <c r="H511">
        <v>0</v>
      </c>
      <c r="I511">
        <v>-262.82</v>
      </c>
      <c r="J511">
        <v>0</v>
      </c>
      <c r="K511">
        <v>0</v>
      </c>
      <c r="L511">
        <v>87302174.090000004</v>
      </c>
      <c r="M511">
        <v>87605868.620000005</v>
      </c>
      <c r="N511">
        <v>87302174.090000004</v>
      </c>
      <c r="O511">
        <v>87605868.620000005</v>
      </c>
      <c r="P511">
        <v>90109231.989999995</v>
      </c>
      <c r="Q511">
        <v>90109231.989999995</v>
      </c>
      <c r="R511" s="14">
        <f>_xlfn.XLOOKUP(Table2[[#This Row],[LoanID]],Table1[G-L ID],Table1[ManagerCode],-99)</f>
        <v>103</v>
      </c>
      <c r="T511"/>
    </row>
    <row r="512" spans="1:20" x14ac:dyDescent="0.25">
      <c r="A512">
        <v>20101231</v>
      </c>
      <c r="B512">
        <v>2010</v>
      </c>
      <c r="C512">
        <v>12</v>
      </c>
      <c r="D512">
        <v>1</v>
      </c>
      <c r="E512">
        <v>10540</v>
      </c>
      <c r="F512">
        <v>14597.7</v>
      </c>
      <c r="G512">
        <v>0</v>
      </c>
      <c r="H512">
        <v>0</v>
      </c>
      <c r="I512">
        <v>-36.39</v>
      </c>
      <c r="J512">
        <v>0</v>
      </c>
      <c r="K512">
        <v>0</v>
      </c>
      <c r="L512">
        <v>12088005.380000001</v>
      </c>
      <c r="M512">
        <v>12130055.529999999</v>
      </c>
      <c r="N512">
        <v>12088005.380000001</v>
      </c>
      <c r="O512">
        <v>12130055.529999999</v>
      </c>
      <c r="P512">
        <v>12476662.9</v>
      </c>
      <c r="Q512">
        <v>12476662.9</v>
      </c>
      <c r="R512" s="14">
        <f>_xlfn.XLOOKUP(Table2[[#This Row],[LoanID]],Table1[G-L ID],Table1[ManagerCode],-99)</f>
        <v>103</v>
      </c>
      <c r="T512"/>
    </row>
    <row r="513" spans="1:20" x14ac:dyDescent="0.25">
      <c r="A513">
        <v>20101231</v>
      </c>
      <c r="B513">
        <v>2010</v>
      </c>
      <c r="C513">
        <v>12</v>
      </c>
      <c r="D513">
        <v>1</v>
      </c>
      <c r="E513">
        <v>10630</v>
      </c>
      <c r="F513">
        <v>49884.12</v>
      </c>
      <c r="G513">
        <v>0</v>
      </c>
      <c r="H513">
        <v>0</v>
      </c>
      <c r="I513">
        <v>0.01</v>
      </c>
      <c r="J513">
        <v>0</v>
      </c>
      <c r="K513">
        <v>12731.95</v>
      </c>
      <c r="L513">
        <v>9220912.8800000008</v>
      </c>
      <c r="M513">
        <v>9146243.6999999993</v>
      </c>
      <c r="N513">
        <v>9220912.8800000008</v>
      </c>
      <c r="O513">
        <v>9146243.6999999993</v>
      </c>
      <c r="P513">
        <v>9338683.5700000003</v>
      </c>
      <c r="Q513">
        <v>9325951.6199999992</v>
      </c>
      <c r="R513" s="14">
        <f>_xlfn.XLOOKUP(Table2[[#This Row],[LoanID]],Table1[G-L ID],Table1[ManagerCode],-99)</f>
        <v>103</v>
      </c>
      <c r="T513"/>
    </row>
    <row r="514" spans="1:20" x14ac:dyDescent="0.25">
      <c r="A514">
        <v>20101231</v>
      </c>
      <c r="B514">
        <v>2010</v>
      </c>
      <c r="C514">
        <v>12</v>
      </c>
      <c r="D514">
        <v>1</v>
      </c>
      <c r="E514">
        <v>10770</v>
      </c>
      <c r="F514">
        <v>168666.67</v>
      </c>
      <c r="G514">
        <v>0</v>
      </c>
      <c r="H514">
        <v>0</v>
      </c>
      <c r="I514">
        <v>0.01</v>
      </c>
      <c r="J514">
        <v>0</v>
      </c>
      <c r="K514">
        <v>0</v>
      </c>
      <c r="L514">
        <v>103500000</v>
      </c>
      <c r="M514">
        <v>103500000</v>
      </c>
      <c r="N514">
        <v>103500000</v>
      </c>
      <c r="O514">
        <v>103500000</v>
      </c>
      <c r="P514">
        <v>115000000</v>
      </c>
      <c r="Q514">
        <v>115000000</v>
      </c>
      <c r="R514" s="14">
        <f>_xlfn.XLOOKUP(Table2[[#This Row],[LoanID]],Table1[G-L ID],Table1[ManagerCode],-99)</f>
        <v>103</v>
      </c>
      <c r="T514"/>
    </row>
    <row r="515" spans="1:20" x14ac:dyDescent="0.25">
      <c r="A515">
        <v>20101231</v>
      </c>
      <c r="B515">
        <v>2010</v>
      </c>
      <c r="C515">
        <v>12</v>
      </c>
      <c r="D515">
        <v>1</v>
      </c>
      <c r="E515">
        <v>10870</v>
      </c>
      <c r="F515">
        <v>275137.09000000003</v>
      </c>
      <c r="G515">
        <v>0</v>
      </c>
      <c r="H515">
        <v>0</v>
      </c>
      <c r="I515">
        <v>0</v>
      </c>
      <c r="J515">
        <v>0</v>
      </c>
      <c r="K515">
        <v>201744599.09999999</v>
      </c>
      <c r="L515">
        <v>191657369.09999999</v>
      </c>
      <c r="M515">
        <v>0</v>
      </c>
      <c r="N515">
        <v>191657369.09999999</v>
      </c>
      <c r="O515">
        <v>0</v>
      </c>
      <c r="P515">
        <v>201744599.09999999</v>
      </c>
      <c r="Q515">
        <v>0</v>
      </c>
      <c r="R515" s="14">
        <f>_xlfn.XLOOKUP(Table2[[#This Row],[LoanID]],Table1[G-L ID],Table1[ManagerCode],-99)</f>
        <v>103</v>
      </c>
      <c r="T515"/>
    </row>
    <row r="516" spans="1:20" x14ac:dyDescent="0.25">
      <c r="A516">
        <v>20101231</v>
      </c>
      <c r="B516">
        <v>2010</v>
      </c>
      <c r="C516">
        <v>12</v>
      </c>
      <c r="D516">
        <v>1</v>
      </c>
      <c r="E516">
        <v>10880</v>
      </c>
      <c r="F516">
        <v>0</v>
      </c>
      <c r="G516">
        <v>0</v>
      </c>
      <c r="H516">
        <v>0</v>
      </c>
      <c r="I516">
        <v>0</v>
      </c>
      <c r="J516">
        <v>-201744599.09999999</v>
      </c>
      <c r="K516">
        <v>0</v>
      </c>
      <c r="L516">
        <v>0</v>
      </c>
      <c r="M516">
        <v>192219758.59999999</v>
      </c>
      <c r="N516">
        <v>0</v>
      </c>
      <c r="O516">
        <v>192219758.59999999</v>
      </c>
      <c r="P516">
        <v>0</v>
      </c>
      <c r="Q516">
        <v>201744599.09999999</v>
      </c>
      <c r="R516" s="14">
        <f>_xlfn.XLOOKUP(Table2[[#This Row],[LoanID]],Table1[G-L ID],Table1[ManagerCode],-99)</f>
        <v>103</v>
      </c>
      <c r="T516"/>
    </row>
    <row r="517" spans="1:20" x14ac:dyDescent="0.25">
      <c r="A517">
        <v>20101231</v>
      </c>
      <c r="B517">
        <v>2010</v>
      </c>
      <c r="C517">
        <v>12</v>
      </c>
      <c r="D517">
        <v>1</v>
      </c>
      <c r="E517">
        <v>10900</v>
      </c>
      <c r="F517">
        <v>29157.64</v>
      </c>
      <c r="G517">
        <v>0</v>
      </c>
      <c r="H517">
        <v>7096.12</v>
      </c>
      <c r="I517">
        <v>0</v>
      </c>
      <c r="J517">
        <v>-8675000</v>
      </c>
      <c r="K517">
        <v>0</v>
      </c>
      <c r="L517">
        <v>0</v>
      </c>
      <c r="M517">
        <v>7807500</v>
      </c>
      <c r="N517">
        <v>0</v>
      </c>
      <c r="O517">
        <v>7807500</v>
      </c>
      <c r="P517">
        <v>0</v>
      </c>
      <c r="Q517">
        <v>8675000</v>
      </c>
      <c r="R517" s="14">
        <f>_xlfn.XLOOKUP(Table2[[#This Row],[LoanID]],Table1[G-L ID],Table1[ManagerCode],-99)</f>
        <v>103</v>
      </c>
      <c r="T517"/>
    </row>
    <row r="518" spans="1:20" x14ac:dyDescent="0.25">
      <c r="A518">
        <v>20101231</v>
      </c>
      <c r="B518">
        <v>2010</v>
      </c>
      <c r="C518">
        <v>12</v>
      </c>
      <c r="D518">
        <v>1</v>
      </c>
      <c r="E518">
        <v>10950</v>
      </c>
      <c r="F518">
        <v>54812.71</v>
      </c>
      <c r="G518">
        <v>0</v>
      </c>
      <c r="H518">
        <v>0</v>
      </c>
      <c r="I518">
        <v>0</v>
      </c>
      <c r="J518">
        <v>0</v>
      </c>
      <c r="K518">
        <v>22210.31</v>
      </c>
      <c r="L518">
        <v>10774394.35</v>
      </c>
      <c r="M518">
        <v>10688668.99</v>
      </c>
      <c r="N518">
        <v>10774394.35</v>
      </c>
      <c r="O518">
        <v>10688668.99</v>
      </c>
      <c r="P518">
        <v>11036116.01</v>
      </c>
      <c r="Q518">
        <v>11013905.699999999</v>
      </c>
      <c r="R518" s="14">
        <f>_xlfn.XLOOKUP(Table2[[#This Row],[LoanID]],Table1[G-L ID],Table1[ManagerCode],-99)</f>
        <v>103</v>
      </c>
      <c r="T518"/>
    </row>
    <row r="519" spans="1:20" x14ac:dyDescent="0.25">
      <c r="A519">
        <v>20101231</v>
      </c>
      <c r="B519">
        <v>2010</v>
      </c>
      <c r="C519">
        <v>12</v>
      </c>
      <c r="D519">
        <v>1</v>
      </c>
      <c r="E519">
        <v>11180</v>
      </c>
      <c r="F519">
        <v>208969.52</v>
      </c>
      <c r="G519">
        <v>0</v>
      </c>
      <c r="H519">
        <v>0</v>
      </c>
      <c r="I519">
        <v>0</v>
      </c>
      <c r="J519">
        <v>0</v>
      </c>
      <c r="K519">
        <v>0</v>
      </c>
      <c r="L519">
        <v>169975206.69999999</v>
      </c>
      <c r="M519">
        <v>169975206.69999999</v>
      </c>
      <c r="N519">
        <v>169975206.69999999</v>
      </c>
      <c r="O519">
        <v>169975206.69999999</v>
      </c>
      <c r="P519">
        <v>199970831.5</v>
      </c>
      <c r="Q519">
        <v>199970831.5</v>
      </c>
      <c r="R519" s="14">
        <f>_xlfn.XLOOKUP(Table2[[#This Row],[LoanID]],Table1[G-L ID],Table1[ManagerCode],-99)</f>
        <v>103</v>
      </c>
      <c r="T519"/>
    </row>
    <row r="520" spans="1:20" x14ac:dyDescent="0.25">
      <c r="A520">
        <v>20101231</v>
      </c>
      <c r="B520">
        <v>2010</v>
      </c>
      <c r="C520">
        <v>12</v>
      </c>
      <c r="D520">
        <v>1</v>
      </c>
      <c r="E520">
        <v>11200</v>
      </c>
      <c r="F520">
        <v>69880</v>
      </c>
      <c r="G520">
        <v>0</v>
      </c>
      <c r="H520">
        <v>0</v>
      </c>
      <c r="I520">
        <v>0</v>
      </c>
      <c r="J520">
        <v>0</v>
      </c>
      <c r="K520">
        <v>0</v>
      </c>
      <c r="L520">
        <v>13868290.99</v>
      </c>
      <c r="M520">
        <v>11879576.25</v>
      </c>
      <c r="N520">
        <v>13868290.99</v>
      </c>
      <c r="O520">
        <v>11879576.25</v>
      </c>
      <c r="P520">
        <v>13976000</v>
      </c>
      <c r="Q520">
        <v>13976000</v>
      </c>
      <c r="R520" s="14">
        <f>_xlfn.XLOOKUP(Table2[[#This Row],[LoanID]],Table1[G-L ID],Table1[ManagerCode],-99)</f>
        <v>103</v>
      </c>
      <c r="T520"/>
    </row>
    <row r="521" spans="1:20" x14ac:dyDescent="0.25">
      <c r="A521">
        <v>20101231</v>
      </c>
      <c r="B521">
        <v>2010</v>
      </c>
      <c r="C521">
        <v>12</v>
      </c>
      <c r="D521">
        <v>1</v>
      </c>
      <c r="E521">
        <v>11240</v>
      </c>
      <c r="F521">
        <v>247560.63</v>
      </c>
      <c r="G521">
        <v>0</v>
      </c>
      <c r="H521">
        <v>0</v>
      </c>
      <c r="I521">
        <v>0</v>
      </c>
      <c r="J521">
        <v>0</v>
      </c>
      <c r="K521">
        <v>0</v>
      </c>
      <c r="L521">
        <v>183608144.80000001</v>
      </c>
      <c r="M521">
        <v>185183145.30000001</v>
      </c>
      <c r="N521">
        <v>183608144.80000001</v>
      </c>
      <c r="O521">
        <v>185183145.30000001</v>
      </c>
      <c r="P521">
        <v>194929626.59999999</v>
      </c>
      <c r="Q521">
        <v>194929626.59999999</v>
      </c>
      <c r="R521" s="14">
        <f>_xlfn.XLOOKUP(Table2[[#This Row],[LoanID]],Table1[G-L ID],Table1[ManagerCode],-99)</f>
        <v>103</v>
      </c>
      <c r="T521"/>
    </row>
    <row r="522" spans="1:20" x14ac:dyDescent="0.25">
      <c r="A522">
        <v>20101231</v>
      </c>
      <c r="B522">
        <v>2010</v>
      </c>
      <c r="C522">
        <v>12</v>
      </c>
      <c r="D522">
        <v>1</v>
      </c>
      <c r="E522">
        <v>11260</v>
      </c>
      <c r="F522">
        <v>15077.92</v>
      </c>
      <c r="G522">
        <v>0</v>
      </c>
      <c r="H522">
        <v>0</v>
      </c>
      <c r="I522">
        <v>-93.96</v>
      </c>
      <c r="J522">
        <v>0</v>
      </c>
      <c r="K522">
        <v>11274673.789999999</v>
      </c>
      <c r="L522">
        <v>10618610.529999999</v>
      </c>
      <c r="M522">
        <v>0</v>
      </c>
      <c r="N522">
        <v>10618610.529999999</v>
      </c>
      <c r="O522">
        <v>0</v>
      </c>
      <c r="P522">
        <v>11274673.789999999</v>
      </c>
      <c r="Q522">
        <v>0</v>
      </c>
      <c r="R522" s="14">
        <f>_xlfn.XLOOKUP(Table2[[#This Row],[LoanID]],Table1[G-L ID],Table1[ManagerCode],-99)</f>
        <v>103</v>
      </c>
      <c r="T522"/>
    </row>
    <row r="523" spans="1:20" x14ac:dyDescent="0.25">
      <c r="A523">
        <v>20101231</v>
      </c>
      <c r="B523">
        <v>2010</v>
      </c>
      <c r="C523">
        <v>12</v>
      </c>
      <c r="D523">
        <v>1</v>
      </c>
      <c r="E523">
        <v>11270</v>
      </c>
      <c r="F523">
        <v>25128.54</v>
      </c>
      <c r="G523">
        <v>0</v>
      </c>
      <c r="H523">
        <v>0</v>
      </c>
      <c r="I523">
        <v>-156.59</v>
      </c>
      <c r="J523">
        <v>0</v>
      </c>
      <c r="K523">
        <v>18791123.030000001</v>
      </c>
      <c r="L523">
        <v>17697684.23</v>
      </c>
      <c r="M523">
        <v>0</v>
      </c>
      <c r="N523">
        <v>17697684.23</v>
      </c>
      <c r="O523">
        <v>0</v>
      </c>
      <c r="P523">
        <v>18791123.030000001</v>
      </c>
      <c r="Q523">
        <v>0</v>
      </c>
      <c r="R523" s="14">
        <f>_xlfn.XLOOKUP(Table2[[#This Row],[LoanID]],Table1[G-L ID],Table1[ManagerCode],-99)</f>
        <v>103</v>
      </c>
      <c r="T523"/>
    </row>
    <row r="524" spans="1:20" x14ac:dyDescent="0.25">
      <c r="A524">
        <v>20101231</v>
      </c>
      <c r="B524">
        <v>2010</v>
      </c>
      <c r="C524">
        <v>12</v>
      </c>
      <c r="D524">
        <v>1</v>
      </c>
      <c r="E524">
        <v>11280</v>
      </c>
      <c r="F524">
        <v>0</v>
      </c>
      <c r="G524">
        <v>0</v>
      </c>
      <c r="H524">
        <v>0</v>
      </c>
      <c r="I524">
        <v>0</v>
      </c>
      <c r="J524">
        <v>-18791123.030000001</v>
      </c>
      <c r="K524">
        <v>0</v>
      </c>
      <c r="L524">
        <v>0</v>
      </c>
      <c r="M524">
        <v>16912010.73</v>
      </c>
      <c r="N524">
        <v>0</v>
      </c>
      <c r="O524">
        <v>16912010.73</v>
      </c>
      <c r="P524">
        <v>0</v>
      </c>
      <c r="Q524">
        <v>18791123.030000001</v>
      </c>
      <c r="R524" s="14">
        <f>_xlfn.XLOOKUP(Table2[[#This Row],[LoanID]],Table1[G-L ID],Table1[ManagerCode],-99)</f>
        <v>103</v>
      </c>
      <c r="T524"/>
    </row>
    <row r="525" spans="1:20" x14ac:dyDescent="0.25">
      <c r="A525">
        <v>20101231</v>
      </c>
      <c r="B525">
        <v>2010</v>
      </c>
      <c r="C525">
        <v>12</v>
      </c>
      <c r="D525">
        <v>1</v>
      </c>
      <c r="E525">
        <v>11290</v>
      </c>
      <c r="F525">
        <v>22616.39</v>
      </c>
      <c r="G525">
        <v>0</v>
      </c>
      <c r="H525">
        <v>0</v>
      </c>
      <c r="I525">
        <v>-140.93</v>
      </c>
      <c r="J525">
        <v>0</v>
      </c>
      <c r="K525">
        <v>16912010.73</v>
      </c>
      <c r="L525">
        <v>15927915.800000001</v>
      </c>
      <c r="M525">
        <v>0</v>
      </c>
      <c r="N525">
        <v>15927915.800000001</v>
      </c>
      <c r="O525">
        <v>0</v>
      </c>
      <c r="P525">
        <v>16912010.73</v>
      </c>
      <c r="Q525">
        <v>0</v>
      </c>
      <c r="R525" s="14">
        <f>_xlfn.XLOOKUP(Table2[[#This Row],[LoanID]],Table1[G-L ID],Table1[ManagerCode],-99)</f>
        <v>103</v>
      </c>
      <c r="T525"/>
    </row>
    <row r="526" spans="1:20" x14ac:dyDescent="0.25">
      <c r="A526">
        <v>20101231</v>
      </c>
      <c r="B526">
        <v>2010</v>
      </c>
      <c r="C526">
        <v>12</v>
      </c>
      <c r="D526">
        <v>1</v>
      </c>
      <c r="E526">
        <v>11300</v>
      </c>
      <c r="F526">
        <v>0</v>
      </c>
      <c r="G526">
        <v>0</v>
      </c>
      <c r="H526">
        <v>0</v>
      </c>
      <c r="I526">
        <v>0</v>
      </c>
      <c r="J526">
        <v>-16912010.73</v>
      </c>
      <c r="K526">
        <v>0</v>
      </c>
      <c r="L526">
        <v>0</v>
      </c>
      <c r="M526">
        <v>15220809.66</v>
      </c>
      <c r="N526">
        <v>0</v>
      </c>
      <c r="O526">
        <v>15220809.66</v>
      </c>
      <c r="P526">
        <v>0</v>
      </c>
      <c r="Q526">
        <v>16912010.73</v>
      </c>
      <c r="R526" s="14">
        <f>_xlfn.XLOOKUP(Table2[[#This Row],[LoanID]],Table1[G-L ID],Table1[ManagerCode],-99)</f>
        <v>103</v>
      </c>
      <c r="T526"/>
    </row>
    <row r="527" spans="1:20" x14ac:dyDescent="0.25">
      <c r="A527">
        <v>20101231</v>
      </c>
      <c r="B527">
        <v>2010</v>
      </c>
      <c r="C527">
        <v>12</v>
      </c>
      <c r="D527">
        <v>1</v>
      </c>
      <c r="E527">
        <v>11310</v>
      </c>
      <c r="F527">
        <v>0</v>
      </c>
      <c r="G527">
        <v>0</v>
      </c>
      <c r="H527">
        <v>0</v>
      </c>
      <c r="I527">
        <v>0</v>
      </c>
      <c r="J527">
        <v>-11274673.789999999</v>
      </c>
      <c r="K527">
        <v>0</v>
      </c>
      <c r="L527">
        <v>0</v>
      </c>
      <c r="M527">
        <v>10147206.41</v>
      </c>
      <c r="N527">
        <v>0</v>
      </c>
      <c r="O527">
        <v>10147206.41</v>
      </c>
      <c r="P527">
        <v>0</v>
      </c>
      <c r="Q527">
        <v>11274673.789999999</v>
      </c>
      <c r="R527" s="14">
        <f>_xlfn.XLOOKUP(Table2[[#This Row],[LoanID]],Table1[G-L ID],Table1[ManagerCode],-99)</f>
        <v>103</v>
      </c>
      <c r="T527"/>
    </row>
    <row r="528" spans="1:20" x14ac:dyDescent="0.25">
      <c r="A528">
        <v>20101231</v>
      </c>
      <c r="B528">
        <v>2010</v>
      </c>
      <c r="C528">
        <v>12</v>
      </c>
      <c r="D528">
        <v>1</v>
      </c>
      <c r="E528">
        <v>11380</v>
      </c>
      <c r="F528">
        <v>38883.47</v>
      </c>
      <c r="G528">
        <v>0</v>
      </c>
      <c r="H528">
        <v>0</v>
      </c>
      <c r="I528">
        <v>0.02</v>
      </c>
      <c r="J528">
        <v>0</v>
      </c>
      <c r="K528">
        <v>51816.52</v>
      </c>
      <c r="L528">
        <v>6679636.5899999999</v>
      </c>
      <c r="M528">
        <v>6521817.1200000001</v>
      </c>
      <c r="N528">
        <v>6679636.5899999999</v>
      </c>
      <c r="O528">
        <v>6521817.1200000001</v>
      </c>
      <c r="P528">
        <v>5884006.5</v>
      </c>
      <c r="Q528">
        <v>5832189.9800000004</v>
      </c>
      <c r="R528" s="14">
        <f>_xlfn.XLOOKUP(Table2[[#This Row],[LoanID]],Table1[G-L ID],Table1[ManagerCode],-99)</f>
        <v>103</v>
      </c>
      <c r="T528"/>
    </row>
    <row r="529" spans="1:20" x14ac:dyDescent="0.25">
      <c r="A529">
        <v>20101231</v>
      </c>
      <c r="B529">
        <v>2010</v>
      </c>
      <c r="C529">
        <v>12</v>
      </c>
      <c r="D529">
        <v>1</v>
      </c>
      <c r="E529">
        <v>11420</v>
      </c>
      <c r="F529">
        <v>498248.33</v>
      </c>
      <c r="G529">
        <v>0</v>
      </c>
      <c r="H529">
        <v>0</v>
      </c>
      <c r="I529">
        <v>0</v>
      </c>
      <c r="J529">
        <v>0</v>
      </c>
      <c r="K529">
        <v>0</v>
      </c>
      <c r="L529">
        <v>100265509.2</v>
      </c>
      <c r="M529">
        <v>100131801.7</v>
      </c>
      <c r="N529">
        <v>100265509.2</v>
      </c>
      <c r="O529">
        <v>100131801.7</v>
      </c>
      <c r="P529">
        <v>98000000</v>
      </c>
      <c r="Q529">
        <v>98000000</v>
      </c>
      <c r="R529" s="14">
        <f>_xlfn.XLOOKUP(Table2[[#This Row],[LoanID]],Table1[G-L ID],Table1[ManagerCode],-99)</f>
        <v>103</v>
      </c>
      <c r="T529"/>
    </row>
    <row r="530" spans="1:20" x14ac:dyDescent="0.25">
      <c r="A530">
        <v>20101231</v>
      </c>
      <c r="B530">
        <v>2010</v>
      </c>
      <c r="C530">
        <v>12</v>
      </c>
      <c r="D530">
        <v>1</v>
      </c>
      <c r="E530">
        <v>11510</v>
      </c>
      <c r="F530">
        <v>0</v>
      </c>
      <c r="G530">
        <v>0</v>
      </c>
      <c r="H530">
        <v>0</v>
      </c>
      <c r="I530">
        <v>0</v>
      </c>
      <c r="J530">
        <v>0</v>
      </c>
      <c r="K530">
        <v>0</v>
      </c>
      <c r="L530">
        <v>14602872.720000001</v>
      </c>
      <c r="M530">
        <v>14456843.99</v>
      </c>
      <c r="N530">
        <v>14602872.720000001</v>
      </c>
      <c r="O530">
        <v>14456843.99</v>
      </c>
      <c r="P530">
        <v>14602872.720000001</v>
      </c>
      <c r="Q530">
        <v>14602872.720000001</v>
      </c>
      <c r="R530" s="14">
        <f>_xlfn.XLOOKUP(Table2[[#This Row],[LoanID]],Table1[G-L ID],Table1[ManagerCode],-99)</f>
        <v>103</v>
      </c>
      <c r="T530"/>
    </row>
    <row r="531" spans="1:20" x14ac:dyDescent="0.25">
      <c r="A531">
        <v>20101231</v>
      </c>
      <c r="B531">
        <v>2010</v>
      </c>
      <c r="C531">
        <v>12</v>
      </c>
      <c r="D531">
        <v>1</v>
      </c>
      <c r="E531">
        <v>11650</v>
      </c>
      <c r="F531">
        <v>0</v>
      </c>
      <c r="G531">
        <v>0</v>
      </c>
      <c r="H531">
        <v>0</v>
      </c>
      <c r="I531">
        <v>0</v>
      </c>
      <c r="J531">
        <v>0</v>
      </c>
      <c r="K531">
        <v>0</v>
      </c>
      <c r="L531">
        <v>5100000</v>
      </c>
      <c r="M531">
        <v>5100000</v>
      </c>
      <c r="N531">
        <v>5100000</v>
      </c>
      <c r="O531">
        <v>5100000</v>
      </c>
      <c r="P531">
        <v>6000000</v>
      </c>
      <c r="Q531">
        <v>6000000</v>
      </c>
      <c r="R531" s="14">
        <f>_xlfn.XLOOKUP(Table2[[#This Row],[LoanID]],Table1[G-L ID],Table1[ManagerCode],-99)</f>
        <v>103</v>
      </c>
      <c r="T531"/>
    </row>
    <row r="532" spans="1:20" x14ac:dyDescent="0.25">
      <c r="A532">
        <v>20101231</v>
      </c>
      <c r="B532">
        <v>2010</v>
      </c>
      <c r="C532">
        <v>12</v>
      </c>
      <c r="D532">
        <v>1</v>
      </c>
      <c r="E532">
        <v>11780</v>
      </c>
      <c r="F532">
        <v>184657.76</v>
      </c>
      <c r="G532">
        <v>0</v>
      </c>
      <c r="H532">
        <v>0</v>
      </c>
      <c r="I532">
        <v>-1114.92</v>
      </c>
      <c r="J532">
        <v>0</v>
      </c>
      <c r="K532">
        <v>138051.82999999999</v>
      </c>
      <c r="L532">
        <v>56860652.240000002</v>
      </c>
      <c r="M532">
        <v>56743308.200000003</v>
      </c>
      <c r="N532">
        <v>56860652.240000002</v>
      </c>
      <c r="O532">
        <v>56743308.200000003</v>
      </c>
      <c r="P532">
        <v>66894884.990000002</v>
      </c>
      <c r="Q532">
        <v>66756833.159999996</v>
      </c>
      <c r="R532" s="14">
        <f>_xlfn.XLOOKUP(Table2[[#This Row],[LoanID]],Table1[G-L ID],Table1[ManagerCode],-99)</f>
        <v>103</v>
      </c>
      <c r="T532"/>
    </row>
    <row r="533" spans="1:20" x14ac:dyDescent="0.25">
      <c r="A533">
        <v>20101231</v>
      </c>
      <c r="B533">
        <v>2010</v>
      </c>
      <c r="C533">
        <v>12</v>
      </c>
      <c r="D533">
        <v>1</v>
      </c>
      <c r="E533">
        <v>11800</v>
      </c>
      <c r="F533">
        <v>163017.75</v>
      </c>
      <c r="G533">
        <v>0</v>
      </c>
      <c r="H533">
        <v>0</v>
      </c>
      <c r="I533">
        <v>-274.3</v>
      </c>
      <c r="J533">
        <v>0</v>
      </c>
      <c r="K533">
        <v>56904.5</v>
      </c>
      <c r="L533">
        <v>14171430.529999999</v>
      </c>
      <c r="M533">
        <v>29573444.719999999</v>
      </c>
      <c r="N533">
        <v>14171430.529999999</v>
      </c>
      <c r="O533">
        <v>29573444.719999999</v>
      </c>
      <c r="P533">
        <v>32916254.649999999</v>
      </c>
      <c r="Q533">
        <v>32859350.149999999</v>
      </c>
      <c r="R533" s="14">
        <f>_xlfn.XLOOKUP(Table2[[#This Row],[LoanID]],Table1[G-L ID],Table1[ManagerCode],-99)</f>
        <v>103</v>
      </c>
      <c r="T533"/>
    </row>
    <row r="534" spans="1:20" x14ac:dyDescent="0.25">
      <c r="A534">
        <v>20101231</v>
      </c>
      <c r="B534">
        <v>2010</v>
      </c>
      <c r="C534">
        <v>12</v>
      </c>
      <c r="D534">
        <v>1</v>
      </c>
      <c r="E534">
        <v>11810</v>
      </c>
      <c r="F534">
        <v>51166.67</v>
      </c>
      <c r="G534">
        <v>0</v>
      </c>
      <c r="H534">
        <v>0</v>
      </c>
      <c r="I534">
        <v>0</v>
      </c>
      <c r="J534">
        <v>0</v>
      </c>
      <c r="K534">
        <v>0</v>
      </c>
      <c r="L534">
        <v>9112386.8200000003</v>
      </c>
      <c r="M534">
        <v>9500000</v>
      </c>
      <c r="N534">
        <v>9112386.8200000003</v>
      </c>
      <c r="O534">
        <v>9500000</v>
      </c>
      <c r="P534">
        <v>10000000</v>
      </c>
      <c r="Q534">
        <v>10000000</v>
      </c>
      <c r="R534" s="14">
        <f>_xlfn.XLOOKUP(Table2[[#This Row],[LoanID]],Table1[G-L ID],Table1[ManagerCode],-99)</f>
        <v>103</v>
      </c>
      <c r="T534"/>
    </row>
    <row r="535" spans="1:20" x14ac:dyDescent="0.25">
      <c r="A535">
        <v>20101231</v>
      </c>
      <c r="B535">
        <v>2010</v>
      </c>
      <c r="C535">
        <v>12</v>
      </c>
      <c r="D535">
        <v>1</v>
      </c>
      <c r="E535">
        <v>11860</v>
      </c>
      <c r="F535">
        <v>235333.33</v>
      </c>
      <c r="G535">
        <v>0</v>
      </c>
      <c r="H535">
        <v>0</v>
      </c>
      <c r="I535">
        <v>0</v>
      </c>
      <c r="J535">
        <v>0</v>
      </c>
      <c r="K535">
        <v>0</v>
      </c>
      <c r="L535">
        <v>48982409.5</v>
      </c>
      <c r="M535">
        <v>47500000</v>
      </c>
      <c r="N535">
        <v>48982409.5</v>
      </c>
      <c r="O535">
        <v>47500000</v>
      </c>
      <c r="P535">
        <v>50000000</v>
      </c>
      <c r="Q535">
        <v>50000000</v>
      </c>
      <c r="R535" s="14">
        <f>_xlfn.XLOOKUP(Table2[[#This Row],[LoanID]],Table1[G-L ID],Table1[ManagerCode],-99)</f>
        <v>103</v>
      </c>
      <c r="T535"/>
    </row>
    <row r="536" spans="1:20" x14ac:dyDescent="0.25">
      <c r="A536">
        <v>20101231</v>
      </c>
      <c r="B536">
        <v>2010</v>
      </c>
      <c r="C536">
        <v>12</v>
      </c>
      <c r="D536">
        <v>1</v>
      </c>
      <c r="E536">
        <v>11870</v>
      </c>
      <c r="F536">
        <v>117666.67</v>
      </c>
      <c r="G536">
        <v>0</v>
      </c>
      <c r="H536">
        <v>0</v>
      </c>
      <c r="I536">
        <v>0</v>
      </c>
      <c r="J536">
        <v>0</v>
      </c>
      <c r="K536">
        <v>0</v>
      </c>
      <c r="L536">
        <v>24491204.75</v>
      </c>
      <c r="M536">
        <v>23750000</v>
      </c>
      <c r="N536">
        <v>24491204.75</v>
      </c>
      <c r="O536">
        <v>23750000</v>
      </c>
      <c r="P536">
        <v>25000000</v>
      </c>
      <c r="Q536">
        <v>25000000</v>
      </c>
      <c r="R536" s="14">
        <f>_xlfn.XLOOKUP(Table2[[#This Row],[LoanID]],Table1[G-L ID],Table1[ManagerCode],-99)</f>
        <v>103</v>
      </c>
      <c r="T536"/>
    </row>
    <row r="537" spans="1:20" x14ac:dyDescent="0.25">
      <c r="A537">
        <v>20101231</v>
      </c>
      <c r="B537">
        <v>2010</v>
      </c>
      <c r="C537">
        <v>12</v>
      </c>
      <c r="D537">
        <v>1</v>
      </c>
      <c r="E537">
        <v>11900</v>
      </c>
      <c r="F537">
        <v>0</v>
      </c>
      <c r="G537">
        <v>0</v>
      </c>
      <c r="H537">
        <v>0</v>
      </c>
      <c r="I537">
        <v>0</v>
      </c>
      <c r="J537">
        <v>0</v>
      </c>
      <c r="K537">
        <v>0</v>
      </c>
      <c r="L537">
        <v>55000000</v>
      </c>
      <c r="M537">
        <v>52249947.75</v>
      </c>
      <c r="N537">
        <v>55000000</v>
      </c>
      <c r="O537">
        <v>52249947.75</v>
      </c>
      <c r="P537">
        <v>55000000</v>
      </c>
      <c r="Q537">
        <v>55000000</v>
      </c>
      <c r="R537" s="14">
        <f>_xlfn.XLOOKUP(Table2[[#This Row],[LoanID]],Table1[G-L ID],Table1[ManagerCode],-99)</f>
        <v>103</v>
      </c>
      <c r="T537"/>
    </row>
    <row r="538" spans="1:20" x14ac:dyDescent="0.25">
      <c r="A538">
        <v>20101231</v>
      </c>
      <c r="B538">
        <v>2010</v>
      </c>
      <c r="C538">
        <v>12</v>
      </c>
      <c r="D538">
        <v>1</v>
      </c>
      <c r="E538">
        <v>11930</v>
      </c>
      <c r="F538">
        <v>188275.56</v>
      </c>
      <c r="G538">
        <v>0</v>
      </c>
      <c r="H538">
        <v>0</v>
      </c>
      <c r="I538">
        <v>0</v>
      </c>
      <c r="J538">
        <v>0</v>
      </c>
      <c r="K538">
        <v>11727203.67</v>
      </c>
      <c r="L538">
        <v>193093578.40000001</v>
      </c>
      <c r="M538">
        <v>181840568.09999999</v>
      </c>
      <c r="N538">
        <v>193093578.40000001</v>
      </c>
      <c r="O538">
        <v>181840568.09999999</v>
      </c>
      <c r="P538">
        <v>195780481.30000001</v>
      </c>
      <c r="Q538">
        <v>184053277.59999999</v>
      </c>
      <c r="R538" s="14">
        <f>_xlfn.XLOOKUP(Table2[[#This Row],[LoanID]],Table1[G-L ID],Table1[ManagerCode],-99)</f>
        <v>103</v>
      </c>
      <c r="T538"/>
    </row>
    <row r="539" spans="1:20" x14ac:dyDescent="0.25">
      <c r="A539">
        <v>20101231</v>
      </c>
      <c r="B539">
        <v>2010</v>
      </c>
      <c r="C539">
        <v>12</v>
      </c>
      <c r="D539">
        <v>1</v>
      </c>
      <c r="E539">
        <v>11940</v>
      </c>
      <c r="F539">
        <v>61664.78</v>
      </c>
      <c r="G539">
        <v>0</v>
      </c>
      <c r="H539">
        <v>0</v>
      </c>
      <c r="I539">
        <v>0</v>
      </c>
      <c r="J539">
        <v>0</v>
      </c>
      <c r="K539">
        <v>3460090.51</v>
      </c>
      <c r="L539">
        <v>63242791.5</v>
      </c>
      <c r="M539">
        <v>59933432.060000002</v>
      </c>
      <c r="N539">
        <v>63242791.5</v>
      </c>
      <c r="O539">
        <v>59933432.060000002</v>
      </c>
      <c r="P539">
        <v>64101158.170000002</v>
      </c>
      <c r="Q539">
        <v>60643233.520000003</v>
      </c>
      <c r="R539" s="14">
        <f>_xlfn.XLOOKUP(Table2[[#This Row],[LoanID]],Table1[G-L ID],Table1[ManagerCode],-99)</f>
        <v>103</v>
      </c>
      <c r="T539"/>
    </row>
    <row r="540" spans="1:20" x14ac:dyDescent="0.25">
      <c r="A540">
        <v>20101231</v>
      </c>
      <c r="B540">
        <v>2010</v>
      </c>
      <c r="C540">
        <v>12</v>
      </c>
      <c r="D540">
        <v>1</v>
      </c>
      <c r="E540">
        <v>11951</v>
      </c>
      <c r="F540">
        <v>161245</v>
      </c>
      <c r="G540">
        <v>0</v>
      </c>
      <c r="H540">
        <v>0</v>
      </c>
      <c r="I540">
        <v>-283.33</v>
      </c>
      <c r="J540">
        <v>0</v>
      </c>
      <c r="K540">
        <v>0</v>
      </c>
      <c r="L540">
        <v>34299006.509999998</v>
      </c>
      <c r="M540">
        <v>34211475.759999998</v>
      </c>
      <c r="N540">
        <v>34299006.509999998</v>
      </c>
      <c r="O540">
        <v>34211475.759999998</v>
      </c>
      <c r="P540">
        <v>33996715.009999998</v>
      </c>
      <c r="Q540">
        <v>33998357.509999998</v>
      </c>
      <c r="R540" s="14">
        <f>_xlfn.XLOOKUP(Table2[[#This Row],[LoanID]],Table1[G-L ID],Table1[ManagerCode],-99)</f>
        <v>103</v>
      </c>
      <c r="T540"/>
    </row>
    <row r="541" spans="1:20" x14ac:dyDescent="0.25">
      <c r="A541">
        <v>20101231</v>
      </c>
      <c r="B541">
        <v>2010</v>
      </c>
      <c r="C541">
        <v>12</v>
      </c>
      <c r="D541">
        <v>1</v>
      </c>
      <c r="E541">
        <v>11952</v>
      </c>
      <c r="F541">
        <v>115395.01</v>
      </c>
      <c r="G541">
        <v>0</v>
      </c>
      <c r="H541">
        <v>0</v>
      </c>
      <c r="I541">
        <v>-175</v>
      </c>
      <c r="J541">
        <v>0</v>
      </c>
      <c r="K541">
        <v>0</v>
      </c>
      <c r="L541">
        <v>21233413.390000001</v>
      </c>
      <c r="M541">
        <v>21163125.300000001</v>
      </c>
      <c r="N541">
        <v>21233413.390000001</v>
      </c>
      <c r="O541">
        <v>21163125.300000001</v>
      </c>
      <c r="P541">
        <v>21000000</v>
      </c>
      <c r="Q541">
        <v>21000000</v>
      </c>
      <c r="R541" s="14">
        <f>_xlfn.XLOOKUP(Table2[[#This Row],[LoanID]],Table1[G-L ID],Table1[ManagerCode],-99)</f>
        <v>103</v>
      </c>
      <c r="T541"/>
    </row>
    <row r="542" spans="1:20" x14ac:dyDescent="0.25">
      <c r="A542">
        <v>20101231</v>
      </c>
      <c r="B542">
        <v>2010</v>
      </c>
      <c r="C542">
        <v>12</v>
      </c>
      <c r="D542">
        <v>1</v>
      </c>
      <c r="E542">
        <v>12000</v>
      </c>
      <c r="F542">
        <v>125525.26</v>
      </c>
      <c r="G542">
        <v>0</v>
      </c>
      <c r="H542">
        <v>0</v>
      </c>
      <c r="I542">
        <v>0</v>
      </c>
      <c r="J542">
        <v>0</v>
      </c>
      <c r="K542">
        <v>0</v>
      </c>
      <c r="L542">
        <v>21663963.75</v>
      </c>
      <c r="M542">
        <v>22594546.800000001</v>
      </c>
      <c r="N542">
        <v>21663963.75</v>
      </c>
      <c r="O542">
        <v>22594546.800000001</v>
      </c>
      <c r="P542">
        <v>25089774.210000001</v>
      </c>
      <c r="Q542">
        <v>25090468.66</v>
      </c>
      <c r="R542" s="14">
        <f>_xlfn.XLOOKUP(Table2[[#This Row],[LoanID]],Table1[G-L ID],Table1[ManagerCode],-99)</f>
        <v>103</v>
      </c>
      <c r="T542"/>
    </row>
    <row r="543" spans="1:20" x14ac:dyDescent="0.25">
      <c r="A543">
        <v>20101231</v>
      </c>
      <c r="B543">
        <v>2010</v>
      </c>
      <c r="C543">
        <v>12</v>
      </c>
      <c r="D543">
        <v>1</v>
      </c>
      <c r="E543">
        <v>12110</v>
      </c>
      <c r="F543">
        <v>0</v>
      </c>
      <c r="G543">
        <v>0</v>
      </c>
      <c r="H543">
        <v>215000</v>
      </c>
      <c r="I543">
        <v>0</v>
      </c>
      <c r="J543">
        <v>-1054528.24</v>
      </c>
      <c r="K543">
        <v>0</v>
      </c>
      <c r="L543">
        <v>0</v>
      </c>
      <c r="M543">
        <v>1054528.24</v>
      </c>
      <c r="N543">
        <v>0</v>
      </c>
      <c r="O543">
        <v>1054528.24</v>
      </c>
      <c r="P543">
        <v>0</v>
      </c>
      <c r="Q543">
        <v>1054528.24</v>
      </c>
      <c r="R543" s="14">
        <f>_xlfn.XLOOKUP(Table2[[#This Row],[LoanID]],Table1[G-L ID],Table1[ManagerCode],-99)</f>
        <v>183</v>
      </c>
      <c r="T543"/>
    </row>
    <row r="544" spans="1:20" x14ac:dyDescent="0.25">
      <c r="A544">
        <v>20101231</v>
      </c>
      <c r="B544">
        <v>2010</v>
      </c>
      <c r="C544">
        <v>12</v>
      </c>
      <c r="D544">
        <v>1</v>
      </c>
      <c r="E544">
        <v>12200</v>
      </c>
      <c r="F544">
        <v>91571.97</v>
      </c>
      <c r="G544">
        <v>0</v>
      </c>
      <c r="H544">
        <v>0</v>
      </c>
      <c r="I544">
        <v>0</v>
      </c>
      <c r="J544">
        <v>0</v>
      </c>
      <c r="K544">
        <v>30637.59</v>
      </c>
      <c r="L544">
        <v>21520280.25</v>
      </c>
      <c r="M544">
        <v>21290547.02</v>
      </c>
      <c r="N544">
        <v>21520280.25</v>
      </c>
      <c r="O544">
        <v>21290547.02</v>
      </c>
      <c r="P544">
        <v>19926688.68</v>
      </c>
      <c r="Q544">
        <v>19896393.649999999</v>
      </c>
      <c r="R544" s="14">
        <f>_xlfn.XLOOKUP(Table2[[#This Row],[LoanID]],Table1[G-L ID],Table1[ManagerCode],-99)</f>
        <v>103</v>
      </c>
      <c r="T544"/>
    </row>
    <row r="545" spans="1:20" x14ac:dyDescent="0.25">
      <c r="A545">
        <v>20101231</v>
      </c>
      <c r="B545">
        <v>2010</v>
      </c>
      <c r="C545">
        <v>12</v>
      </c>
      <c r="D545">
        <v>1</v>
      </c>
      <c r="E545">
        <v>12210</v>
      </c>
      <c r="F545">
        <v>734852.22</v>
      </c>
      <c r="G545">
        <v>0</v>
      </c>
      <c r="H545">
        <v>0</v>
      </c>
      <c r="I545">
        <v>0</v>
      </c>
      <c r="J545">
        <v>0</v>
      </c>
      <c r="K545">
        <v>170184.58</v>
      </c>
      <c r="L545">
        <v>140764704.5</v>
      </c>
      <c r="M545">
        <v>137396346.40000001</v>
      </c>
      <c r="N545">
        <v>140764704.5</v>
      </c>
      <c r="O545">
        <v>137396346.40000001</v>
      </c>
      <c r="P545">
        <v>118900274.8</v>
      </c>
      <c r="Q545">
        <v>118730090.2</v>
      </c>
      <c r="R545" s="14">
        <f>_xlfn.XLOOKUP(Table2[[#This Row],[LoanID]],Table1[G-L ID],Table1[ManagerCode],-99)</f>
        <v>103</v>
      </c>
      <c r="T545"/>
    </row>
    <row r="546" spans="1:20" x14ac:dyDescent="0.25">
      <c r="A546">
        <v>20110131</v>
      </c>
      <c r="B546">
        <v>2011</v>
      </c>
      <c r="C546">
        <v>1</v>
      </c>
      <c r="D546">
        <v>1</v>
      </c>
      <c r="E546">
        <v>10050</v>
      </c>
      <c r="F546">
        <v>153981</v>
      </c>
      <c r="G546">
        <v>0</v>
      </c>
      <c r="H546">
        <v>0</v>
      </c>
      <c r="I546">
        <v>-69</v>
      </c>
      <c r="J546">
        <v>0</v>
      </c>
      <c r="K546">
        <v>0</v>
      </c>
      <c r="L546">
        <v>31386929.75</v>
      </c>
      <c r="M546">
        <v>31727807</v>
      </c>
      <c r="N546">
        <v>31386929.75</v>
      </c>
      <c r="O546">
        <v>31727807</v>
      </c>
      <c r="P546">
        <v>33333334</v>
      </c>
      <c r="Q546">
        <v>33333334</v>
      </c>
      <c r="R546" s="14">
        <f>_xlfn.XLOOKUP(Table2[[#This Row],[LoanID]],Table1[G-L ID],Table1[ManagerCode],-99)</f>
        <v>103</v>
      </c>
      <c r="T546"/>
    </row>
    <row r="547" spans="1:20" x14ac:dyDescent="0.25">
      <c r="A547">
        <v>20110131</v>
      </c>
      <c r="B547">
        <v>2011</v>
      </c>
      <c r="C547">
        <v>1</v>
      </c>
      <c r="D547">
        <v>1</v>
      </c>
      <c r="E547">
        <v>10080</v>
      </c>
      <c r="F547">
        <v>351043</v>
      </c>
      <c r="G547">
        <v>0</v>
      </c>
      <c r="H547">
        <v>0</v>
      </c>
      <c r="I547">
        <v>-161</v>
      </c>
      <c r="J547">
        <v>0</v>
      </c>
      <c r="K547">
        <v>0</v>
      </c>
      <c r="L547">
        <v>71249928.75</v>
      </c>
      <c r="M547">
        <v>71249929</v>
      </c>
      <c r="N547">
        <v>71249928.75</v>
      </c>
      <c r="O547">
        <v>71249929</v>
      </c>
      <c r="P547">
        <v>75000000</v>
      </c>
      <c r="Q547">
        <v>75000000</v>
      </c>
      <c r="R547" s="14">
        <f>_xlfn.XLOOKUP(Table2[[#This Row],[LoanID]],Table1[G-L ID],Table1[ManagerCode],-99)</f>
        <v>103</v>
      </c>
      <c r="T547"/>
    </row>
    <row r="548" spans="1:20" x14ac:dyDescent="0.25">
      <c r="A548">
        <v>20110131</v>
      </c>
      <c r="B548">
        <v>2011</v>
      </c>
      <c r="C548">
        <v>1</v>
      </c>
      <c r="D548">
        <v>1</v>
      </c>
      <c r="E548">
        <v>10130</v>
      </c>
      <c r="F548">
        <v>37386</v>
      </c>
      <c r="G548">
        <v>0</v>
      </c>
      <c r="H548">
        <v>0</v>
      </c>
      <c r="I548">
        <v>0</v>
      </c>
      <c r="J548">
        <v>0</v>
      </c>
      <c r="K548">
        <v>30305.08</v>
      </c>
      <c r="L548">
        <v>8716373.7599999998</v>
      </c>
      <c r="M548">
        <v>8728125</v>
      </c>
      <c r="N548">
        <v>8716373.7599999998</v>
      </c>
      <c r="O548">
        <v>8728125</v>
      </c>
      <c r="P548">
        <v>8262012.6699999999</v>
      </c>
      <c r="Q548">
        <v>8231707.5899999999</v>
      </c>
      <c r="R548" s="14">
        <f>_xlfn.XLOOKUP(Table2[[#This Row],[LoanID]],Table1[G-L ID],Table1[ManagerCode],-99)</f>
        <v>103</v>
      </c>
      <c r="T548"/>
    </row>
    <row r="549" spans="1:20" x14ac:dyDescent="0.25">
      <c r="A549">
        <v>20110131</v>
      </c>
      <c r="B549">
        <v>2011</v>
      </c>
      <c r="C549">
        <v>1</v>
      </c>
      <c r="D549">
        <v>1</v>
      </c>
      <c r="E549">
        <v>10140</v>
      </c>
      <c r="F549">
        <v>98571</v>
      </c>
      <c r="G549">
        <v>0</v>
      </c>
      <c r="H549">
        <v>0</v>
      </c>
      <c r="I549">
        <v>0</v>
      </c>
      <c r="J549">
        <v>0</v>
      </c>
      <c r="K549">
        <v>79253.23</v>
      </c>
      <c r="L549">
        <v>22982289.219999999</v>
      </c>
      <c r="M549">
        <v>23014004</v>
      </c>
      <c r="N549">
        <v>22982289.219999999</v>
      </c>
      <c r="O549">
        <v>23014004</v>
      </c>
      <c r="P549">
        <v>21783667.59</v>
      </c>
      <c r="Q549">
        <v>21704414.359999999</v>
      </c>
      <c r="R549" s="14">
        <f>_xlfn.XLOOKUP(Table2[[#This Row],[LoanID]],Table1[G-L ID],Table1[ManagerCode],-99)</f>
        <v>103</v>
      </c>
      <c r="T549"/>
    </row>
    <row r="550" spans="1:20" x14ac:dyDescent="0.25">
      <c r="A550">
        <v>20110131</v>
      </c>
      <c r="B550">
        <v>2011</v>
      </c>
      <c r="C550">
        <v>1</v>
      </c>
      <c r="D550">
        <v>1</v>
      </c>
      <c r="E550">
        <v>10150</v>
      </c>
      <c r="F550">
        <v>245546</v>
      </c>
      <c r="G550">
        <v>0</v>
      </c>
      <c r="H550">
        <v>0</v>
      </c>
      <c r="I550">
        <v>0</v>
      </c>
      <c r="J550">
        <v>0</v>
      </c>
      <c r="K550">
        <v>67773.789999999994</v>
      </c>
      <c r="L550">
        <v>52449983.130000003</v>
      </c>
      <c r="M550">
        <v>52683262</v>
      </c>
      <c r="N550">
        <v>52449983.130000003</v>
      </c>
      <c r="O550">
        <v>52683262</v>
      </c>
      <c r="P550">
        <v>53283083.770000003</v>
      </c>
      <c r="Q550">
        <v>53215309.979999997</v>
      </c>
      <c r="R550" s="14">
        <f>_xlfn.XLOOKUP(Table2[[#This Row],[LoanID]],Table1[G-L ID],Table1[ManagerCode],-99)</f>
        <v>103</v>
      </c>
      <c r="T550"/>
    </row>
    <row r="551" spans="1:20" x14ac:dyDescent="0.25">
      <c r="A551">
        <v>20110131</v>
      </c>
      <c r="B551">
        <v>2011</v>
      </c>
      <c r="C551">
        <v>1</v>
      </c>
      <c r="D551">
        <v>1</v>
      </c>
      <c r="E551">
        <v>10170</v>
      </c>
      <c r="F551">
        <v>253029</v>
      </c>
      <c r="G551">
        <v>0</v>
      </c>
      <c r="H551">
        <v>0</v>
      </c>
      <c r="I551">
        <v>-1213</v>
      </c>
      <c r="J551">
        <v>0</v>
      </c>
      <c r="K551">
        <v>63332.5</v>
      </c>
      <c r="L551">
        <v>50522031.450000003</v>
      </c>
      <c r="M551">
        <v>50840607</v>
      </c>
      <c r="N551">
        <v>50522031.450000003</v>
      </c>
      <c r="O551">
        <v>50840607</v>
      </c>
      <c r="P551">
        <v>46939399.689999998</v>
      </c>
      <c r="Q551">
        <v>46876067.189999998</v>
      </c>
      <c r="R551" s="14">
        <f>_xlfn.XLOOKUP(Table2[[#This Row],[LoanID]],Table1[G-L ID],Table1[ManagerCode],-99)</f>
        <v>103</v>
      </c>
      <c r="T551"/>
    </row>
    <row r="552" spans="1:20" x14ac:dyDescent="0.25">
      <c r="A552">
        <v>20110131</v>
      </c>
      <c r="B552">
        <v>2011</v>
      </c>
      <c r="C552">
        <v>1</v>
      </c>
      <c r="D552">
        <v>1</v>
      </c>
      <c r="E552">
        <v>10230</v>
      </c>
      <c r="F552">
        <v>186218</v>
      </c>
      <c r="G552">
        <v>0</v>
      </c>
      <c r="H552">
        <v>0</v>
      </c>
      <c r="I552">
        <v>0</v>
      </c>
      <c r="J552">
        <v>0</v>
      </c>
      <c r="K552">
        <v>55380.37</v>
      </c>
      <c r="L552">
        <v>29839038.489999998</v>
      </c>
      <c r="M552">
        <v>29789196</v>
      </c>
      <c r="N552">
        <v>29839038.489999998</v>
      </c>
      <c r="O552">
        <v>29789196</v>
      </c>
      <c r="P552">
        <v>33154487.219999999</v>
      </c>
      <c r="Q552">
        <v>33099106.850000001</v>
      </c>
      <c r="R552" s="14">
        <f>_xlfn.XLOOKUP(Table2[[#This Row],[LoanID]],Table1[G-L ID],Table1[ManagerCode],-99)</f>
        <v>103</v>
      </c>
      <c r="T552"/>
    </row>
    <row r="553" spans="1:20" x14ac:dyDescent="0.25">
      <c r="A553">
        <v>20110131</v>
      </c>
      <c r="B553">
        <v>2011</v>
      </c>
      <c r="C553">
        <v>1</v>
      </c>
      <c r="D553">
        <v>1</v>
      </c>
      <c r="E553">
        <v>10280</v>
      </c>
      <c r="F553">
        <v>181412</v>
      </c>
      <c r="G553">
        <v>0</v>
      </c>
      <c r="H553">
        <v>0</v>
      </c>
      <c r="I553">
        <v>0</v>
      </c>
      <c r="J553">
        <v>0</v>
      </c>
      <c r="K553">
        <v>0</v>
      </c>
      <c r="L553">
        <v>31500031.5</v>
      </c>
      <c r="M553">
        <v>31500032</v>
      </c>
      <c r="N553">
        <v>31500031.5</v>
      </c>
      <c r="O553">
        <v>31500032</v>
      </c>
      <c r="P553">
        <v>35000000</v>
      </c>
      <c r="Q553">
        <v>35000000</v>
      </c>
      <c r="R553" s="14">
        <f>_xlfn.XLOOKUP(Table2[[#This Row],[LoanID]],Table1[G-L ID],Table1[ManagerCode],-99)</f>
        <v>103</v>
      </c>
      <c r="T553"/>
    </row>
    <row r="554" spans="1:20" x14ac:dyDescent="0.25">
      <c r="A554">
        <v>20110131</v>
      </c>
      <c r="B554">
        <v>2011</v>
      </c>
      <c r="C554">
        <v>1</v>
      </c>
      <c r="D554">
        <v>1</v>
      </c>
      <c r="E554">
        <v>10290</v>
      </c>
      <c r="F554">
        <v>171301</v>
      </c>
      <c r="G554">
        <v>0</v>
      </c>
      <c r="H554">
        <v>0</v>
      </c>
      <c r="I554">
        <v>0</v>
      </c>
      <c r="J554">
        <v>0</v>
      </c>
      <c r="K554">
        <v>0</v>
      </c>
      <c r="L554">
        <v>21250000</v>
      </c>
      <c r="M554">
        <v>21250000</v>
      </c>
      <c r="N554">
        <v>21250000</v>
      </c>
      <c r="O554">
        <v>21250000</v>
      </c>
      <c r="P554">
        <v>25000000</v>
      </c>
      <c r="Q554">
        <v>25000000</v>
      </c>
      <c r="R554" s="14">
        <f>_xlfn.XLOOKUP(Table2[[#This Row],[LoanID]],Table1[G-L ID],Table1[ManagerCode],-99)</f>
        <v>103</v>
      </c>
      <c r="T554"/>
    </row>
    <row r="555" spans="1:20" x14ac:dyDescent="0.25">
      <c r="A555">
        <v>20110131</v>
      </c>
      <c r="B555">
        <v>2011</v>
      </c>
      <c r="C555">
        <v>1</v>
      </c>
      <c r="D555">
        <v>1</v>
      </c>
      <c r="E555">
        <v>10300</v>
      </c>
      <c r="F555">
        <v>149888</v>
      </c>
      <c r="G555">
        <v>0</v>
      </c>
      <c r="H555">
        <v>0</v>
      </c>
      <c r="I555">
        <v>0</v>
      </c>
      <c r="J555">
        <v>0</v>
      </c>
      <c r="K555">
        <v>0</v>
      </c>
      <c r="L555">
        <v>30316908.199999999</v>
      </c>
      <c r="M555">
        <v>30338108</v>
      </c>
      <c r="N555">
        <v>30316908.199999999</v>
      </c>
      <c r="O555">
        <v>30338108</v>
      </c>
      <c r="P555">
        <v>35000000</v>
      </c>
      <c r="Q555">
        <v>35000000</v>
      </c>
      <c r="R555" s="14">
        <f>_xlfn.XLOOKUP(Table2[[#This Row],[LoanID]],Table1[G-L ID],Table1[ManagerCode],-99)</f>
        <v>103</v>
      </c>
      <c r="T555"/>
    </row>
    <row r="556" spans="1:20" x14ac:dyDescent="0.25">
      <c r="A556">
        <v>20110131</v>
      </c>
      <c r="B556">
        <v>2011</v>
      </c>
      <c r="C556">
        <v>1</v>
      </c>
      <c r="D556">
        <v>1</v>
      </c>
      <c r="E556">
        <v>10310</v>
      </c>
      <c r="F556">
        <v>597.19000000000005</v>
      </c>
      <c r="G556">
        <v>25420.04</v>
      </c>
      <c r="H556">
        <v>0</v>
      </c>
      <c r="I556">
        <v>0</v>
      </c>
      <c r="J556">
        <v>-1861213.62</v>
      </c>
      <c r="K556">
        <v>0</v>
      </c>
      <c r="L556">
        <v>1833651.32</v>
      </c>
      <c r="M556">
        <v>3720284.98</v>
      </c>
      <c r="N556">
        <v>1833651.32</v>
      </c>
      <c r="O556">
        <v>3720284.98</v>
      </c>
      <c r="P556">
        <v>1833651.32</v>
      </c>
      <c r="Q556">
        <v>3720284.98</v>
      </c>
      <c r="R556" s="14">
        <f>_xlfn.XLOOKUP(Table2[[#This Row],[LoanID]],Table1[G-L ID],Table1[ManagerCode],-99)</f>
        <v>183</v>
      </c>
      <c r="T556"/>
    </row>
    <row r="557" spans="1:20" x14ac:dyDescent="0.25">
      <c r="A557">
        <v>20110131</v>
      </c>
      <c r="B557">
        <v>2011</v>
      </c>
      <c r="C557">
        <v>1</v>
      </c>
      <c r="D557">
        <v>1</v>
      </c>
      <c r="E557">
        <v>10370</v>
      </c>
      <c r="F557">
        <v>5819</v>
      </c>
      <c r="G557">
        <v>0</v>
      </c>
      <c r="H557">
        <v>0</v>
      </c>
      <c r="I557">
        <v>0</v>
      </c>
      <c r="J557">
        <v>0</v>
      </c>
      <c r="K557">
        <v>33313.040000000001</v>
      </c>
      <c r="L557">
        <v>3010764.87</v>
      </c>
      <c r="M557">
        <v>2980783</v>
      </c>
      <c r="N557">
        <v>3010764.87</v>
      </c>
      <c r="O557">
        <v>2980783</v>
      </c>
      <c r="P557">
        <v>3345294.31</v>
      </c>
      <c r="Q557">
        <v>3311981.27</v>
      </c>
      <c r="R557" s="14">
        <f>_xlfn.XLOOKUP(Table2[[#This Row],[LoanID]],Table1[G-L ID],Table1[ManagerCode],-99)</f>
        <v>103</v>
      </c>
      <c r="T557"/>
    </row>
    <row r="558" spans="1:20" x14ac:dyDescent="0.25">
      <c r="A558">
        <v>20110131</v>
      </c>
      <c r="B558">
        <v>2011</v>
      </c>
      <c r="C558">
        <v>1</v>
      </c>
      <c r="D558">
        <v>1</v>
      </c>
      <c r="E558">
        <v>10390</v>
      </c>
      <c r="F558">
        <v>118750</v>
      </c>
      <c r="G558">
        <v>0</v>
      </c>
      <c r="H558">
        <v>0</v>
      </c>
      <c r="I558">
        <v>0</v>
      </c>
      <c r="J558">
        <v>0</v>
      </c>
      <c r="K558">
        <v>0</v>
      </c>
      <c r="L558">
        <v>23846321.199999999</v>
      </c>
      <c r="M558">
        <v>24294441</v>
      </c>
      <c r="N558">
        <v>23846321.199999999</v>
      </c>
      <c r="O558">
        <v>24294441</v>
      </c>
      <c r="P558">
        <v>24991836.640000001</v>
      </c>
      <c r="Q558">
        <v>24992040.719999999</v>
      </c>
      <c r="R558" s="14">
        <f>_xlfn.XLOOKUP(Table2[[#This Row],[LoanID]],Table1[G-L ID],Table1[ManagerCode],-99)</f>
        <v>103</v>
      </c>
      <c r="T558"/>
    </row>
    <row r="559" spans="1:20" x14ac:dyDescent="0.25">
      <c r="A559">
        <v>20110131</v>
      </c>
      <c r="B559">
        <v>2011</v>
      </c>
      <c r="C559">
        <v>1</v>
      </c>
      <c r="D559">
        <v>1</v>
      </c>
      <c r="E559">
        <v>10450</v>
      </c>
      <c r="F559">
        <v>120633</v>
      </c>
      <c r="G559">
        <v>0</v>
      </c>
      <c r="H559">
        <v>0</v>
      </c>
      <c r="I559">
        <v>0</v>
      </c>
      <c r="J559">
        <v>0</v>
      </c>
      <c r="K559">
        <v>21182.39</v>
      </c>
      <c r="L559">
        <v>21421799.809999999</v>
      </c>
      <c r="M559">
        <v>21400829</v>
      </c>
      <c r="N559">
        <v>21421799.809999999</v>
      </c>
      <c r="O559">
        <v>21400829</v>
      </c>
      <c r="P559">
        <v>21578082.030000001</v>
      </c>
      <c r="Q559">
        <v>21556899.640000001</v>
      </c>
      <c r="R559" s="14">
        <f>_xlfn.XLOOKUP(Table2[[#This Row],[LoanID]],Table1[G-L ID],Table1[ManagerCode],-99)</f>
        <v>103</v>
      </c>
      <c r="T559"/>
    </row>
    <row r="560" spans="1:20" x14ac:dyDescent="0.25">
      <c r="A560">
        <v>20110131</v>
      </c>
      <c r="B560">
        <v>2011</v>
      </c>
      <c r="C560">
        <v>1</v>
      </c>
      <c r="D560">
        <v>1</v>
      </c>
      <c r="E560">
        <v>10520</v>
      </c>
      <c r="F560">
        <v>5053</v>
      </c>
      <c r="G560">
        <v>0</v>
      </c>
      <c r="H560">
        <v>0</v>
      </c>
      <c r="I560">
        <v>-13</v>
      </c>
      <c r="J560">
        <v>0</v>
      </c>
      <c r="K560">
        <v>14770.63</v>
      </c>
      <c r="L560">
        <v>4043351.84</v>
      </c>
      <c r="M560">
        <v>4055028</v>
      </c>
      <c r="N560">
        <v>4043351.84</v>
      </c>
      <c r="O560">
        <v>4055028</v>
      </c>
      <c r="P560">
        <v>4158887.64</v>
      </c>
      <c r="Q560">
        <v>4144117.01</v>
      </c>
      <c r="R560" s="14">
        <f>_xlfn.XLOOKUP(Table2[[#This Row],[LoanID]],Table1[G-L ID],Table1[ManagerCode],-99)</f>
        <v>103</v>
      </c>
      <c r="T560"/>
    </row>
    <row r="561" spans="1:20" x14ac:dyDescent="0.25">
      <c r="A561">
        <v>20110131</v>
      </c>
      <c r="B561">
        <v>2011</v>
      </c>
      <c r="C561">
        <v>1</v>
      </c>
      <c r="D561">
        <v>1</v>
      </c>
      <c r="E561">
        <v>10530</v>
      </c>
      <c r="F561">
        <v>109485</v>
      </c>
      <c r="G561">
        <v>0</v>
      </c>
      <c r="H561">
        <v>0</v>
      </c>
      <c r="I561">
        <v>-272</v>
      </c>
      <c r="J561">
        <v>0</v>
      </c>
      <c r="K561">
        <v>320030.21000000002</v>
      </c>
      <c r="L561">
        <v>87605868.620000005</v>
      </c>
      <c r="M561">
        <v>87858842</v>
      </c>
      <c r="N561">
        <v>87605868.620000005</v>
      </c>
      <c r="O561">
        <v>87858842</v>
      </c>
      <c r="P561">
        <v>90109231.989999995</v>
      </c>
      <c r="Q561">
        <v>89789201.780000001</v>
      </c>
      <c r="R561" s="14">
        <f>_xlfn.XLOOKUP(Table2[[#This Row],[LoanID]],Table1[G-L ID],Table1[ManagerCode],-99)</f>
        <v>103</v>
      </c>
      <c r="T561"/>
    </row>
    <row r="562" spans="1:20" x14ac:dyDescent="0.25">
      <c r="A562">
        <v>20110131</v>
      </c>
      <c r="B562">
        <v>2011</v>
      </c>
      <c r="C562">
        <v>1</v>
      </c>
      <c r="D562">
        <v>1</v>
      </c>
      <c r="E562">
        <v>10540</v>
      </c>
      <c r="F562">
        <v>15159</v>
      </c>
      <c r="G562">
        <v>0</v>
      </c>
      <c r="H562">
        <v>0</v>
      </c>
      <c r="I562">
        <v>-38</v>
      </c>
      <c r="J562">
        <v>0</v>
      </c>
      <c r="K562">
        <v>44311.88</v>
      </c>
      <c r="L562">
        <v>12130055.529999999</v>
      </c>
      <c r="M562">
        <v>12165083</v>
      </c>
      <c r="N562">
        <v>12130055.529999999</v>
      </c>
      <c r="O562">
        <v>12165083</v>
      </c>
      <c r="P562">
        <v>12476662.9</v>
      </c>
      <c r="Q562">
        <v>12432351.02</v>
      </c>
      <c r="R562" s="14">
        <f>_xlfn.XLOOKUP(Table2[[#This Row],[LoanID]],Table1[G-L ID],Table1[ManagerCode],-99)</f>
        <v>103</v>
      </c>
      <c r="T562"/>
    </row>
    <row r="563" spans="1:20" x14ac:dyDescent="0.25">
      <c r="A563">
        <v>20110131</v>
      </c>
      <c r="B563">
        <v>2011</v>
      </c>
      <c r="C563">
        <v>1</v>
      </c>
      <c r="D563">
        <v>1</v>
      </c>
      <c r="E563">
        <v>10630</v>
      </c>
      <c r="F563">
        <v>49816</v>
      </c>
      <c r="G563">
        <v>0</v>
      </c>
      <c r="H563">
        <v>0</v>
      </c>
      <c r="I563">
        <v>0</v>
      </c>
      <c r="J563">
        <v>0</v>
      </c>
      <c r="K563">
        <v>12799.96</v>
      </c>
      <c r="L563">
        <v>9146243.6999999993</v>
      </c>
      <c r="M563">
        <v>9220020</v>
      </c>
      <c r="N563">
        <v>9146243.6999999993</v>
      </c>
      <c r="O563">
        <v>9220020</v>
      </c>
      <c r="P563">
        <v>9325951.6199999992</v>
      </c>
      <c r="Q563">
        <v>9313151.6600000001</v>
      </c>
      <c r="R563" s="14">
        <f>_xlfn.XLOOKUP(Table2[[#This Row],[LoanID]],Table1[G-L ID],Table1[ManagerCode],-99)</f>
        <v>103</v>
      </c>
      <c r="T563"/>
    </row>
    <row r="564" spans="1:20" x14ac:dyDescent="0.25">
      <c r="A564">
        <v>20110131</v>
      </c>
      <c r="B564">
        <v>2011</v>
      </c>
      <c r="C564">
        <v>1</v>
      </c>
      <c r="D564">
        <v>1</v>
      </c>
      <c r="E564">
        <v>10770</v>
      </c>
      <c r="F564">
        <v>174289</v>
      </c>
      <c r="G564">
        <v>0</v>
      </c>
      <c r="H564">
        <v>0</v>
      </c>
      <c r="I564">
        <v>-57500</v>
      </c>
      <c r="J564">
        <v>0</v>
      </c>
      <c r="K564">
        <v>0</v>
      </c>
      <c r="L564">
        <v>103500000</v>
      </c>
      <c r="M564">
        <v>103500000</v>
      </c>
      <c r="N564">
        <v>103500000</v>
      </c>
      <c r="O564">
        <v>103500000</v>
      </c>
      <c r="P564">
        <v>115000000</v>
      </c>
      <c r="Q564">
        <v>115000000</v>
      </c>
      <c r="R564" s="14">
        <f>_xlfn.XLOOKUP(Table2[[#This Row],[LoanID]],Table1[G-L ID],Table1[ManagerCode],-99)</f>
        <v>103</v>
      </c>
      <c r="T564"/>
    </row>
    <row r="565" spans="1:20" x14ac:dyDescent="0.25">
      <c r="A565">
        <v>20110131</v>
      </c>
      <c r="B565">
        <v>2011</v>
      </c>
      <c r="C565">
        <v>1</v>
      </c>
      <c r="D565">
        <v>1</v>
      </c>
      <c r="E565">
        <v>10880</v>
      </c>
      <c r="F565">
        <v>148450</v>
      </c>
      <c r="G565">
        <v>0</v>
      </c>
      <c r="H565">
        <v>0</v>
      </c>
      <c r="I565">
        <v>0</v>
      </c>
      <c r="J565">
        <v>0</v>
      </c>
      <c r="K565">
        <v>0</v>
      </c>
      <c r="L565">
        <v>192219758.59999999</v>
      </c>
      <c r="M565">
        <v>201031679</v>
      </c>
      <c r="N565">
        <v>192219758.59999999</v>
      </c>
      <c r="O565">
        <v>201031679</v>
      </c>
      <c r="P565">
        <v>201744599.09999999</v>
      </c>
      <c r="Q565">
        <v>201744599.09999999</v>
      </c>
      <c r="R565" s="14">
        <f>_xlfn.XLOOKUP(Table2[[#This Row],[LoanID]],Table1[G-L ID],Table1[ManagerCode],-99)</f>
        <v>103</v>
      </c>
      <c r="T565"/>
    </row>
    <row r="566" spans="1:20" x14ac:dyDescent="0.25">
      <c r="A566">
        <v>20110131</v>
      </c>
      <c r="B566">
        <v>2011</v>
      </c>
      <c r="C566">
        <v>1</v>
      </c>
      <c r="D566">
        <v>1</v>
      </c>
      <c r="E566">
        <v>10900</v>
      </c>
      <c r="F566">
        <v>0</v>
      </c>
      <c r="G566">
        <v>0</v>
      </c>
      <c r="H566">
        <v>3548</v>
      </c>
      <c r="I566">
        <v>0</v>
      </c>
      <c r="J566">
        <v>0</v>
      </c>
      <c r="K566">
        <v>0</v>
      </c>
      <c r="L566">
        <v>7807500</v>
      </c>
      <c r="M566">
        <v>7807500</v>
      </c>
      <c r="N566">
        <v>7807500</v>
      </c>
      <c r="O566">
        <v>7807500</v>
      </c>
      <c r="P566">
        <v>8675000</v>
      </c>
      <c r="Q566">
        <v>8675000</v>
      </c>
      <c r="R566" s="14">
        <f>_xlfn.XLOOKUP(Table2[[#This Row],[LoanID]],Table1[G-L ID],Table1[ManagerCode],-99)</f>
        <v>103</v>
      </c>
      <c r="T566"/>
    </row>
    <row r="567" spans="1:20" x14ac:dyDescent="0.25">
      <c r="A567">
        <v>20110131</v>
      </c>
      <c r="B567">
        <v>2011</v>
      </c>
      <c r="C567">
        <v>1</v>
      </c>
      <c r="D567">
        <v>1</v>
      </c>
      <c r="E567">
        <v>10950</v>
      </c>
      <c r="F567">
        <v>54702</v>
      </c>
      <c r="G567">
        <v>0</v>
      </c>
      <c r="H567">
        <v>0</v>
      </c>
      <c r="I567">
        <v>0</v>
      </c>
      <c r="J567">
        <v>0</v>
      </c>
      <c r="K567">
        <v>22320.62</v>
      </c>
      <c r="L567">
        <v>10688668.99</v>
      </c>
      <c r="M567">
        <v>10838476</v>
      </c>
      <c r="N567">
        <v>10688668.99</v>
      </c>
      <c r="O567">
        <v>10838476</v>
      </c>
      <c r="P567">
        <v>11013905.699999999</v>
      </c>
      <c r="Q567">
        <v>10991585.08</v>
      </c>
      <c r="R567" s="14">
        <f>_xlfn.XLOOKUP(Table2[[#This Row],[LoanID]],Table1[G-L ID],Table1[ManagerCode],-99)</f>
        <v>103</v>
      </c>
      <c r="T567"/>
    </row>
    <row r="568" spans="1:20" x14ac:dyDescent="0.25">
      <c r="A568">
        <v>20110131</v>
      </c>
      <c r="B568">
        <v>2011</v>
      </c>
      <c r="C568">
        <v>1</v>
      </c>
      <c r="D568">
        <v>1</v>
      </c>
      <c r="E568">
        <v>11180</v>
      </c>
      <c r="F568">
        <v>217657</v>
      </c>
      <c r="G568">
        <v>0</v>
      </c>
      <c r="H568">
        <v>0</v>
      </c>
      <c r="I568">
        <v>0</v>
      </c>
      <c r="J568">
        <v>0</v>
      </c>
      <c r="K568">
        <v>0</v>
      </c>
      <c r="L568">
        <v>169975206.69999999</v>
      </c>
      <c r="M568">
        <v>169975207</v>
      </c>
      <c r="N568">
        <v>169975206.69999999</v>
      </c>
      <c r="O568">
        <v>169975207</v>
      </c>
      <c r="P568">
        <v>199970831.5</v>
      </c>
      <c r="Q568">
        <v>199970831.5</v>
      </c>
      <c r="R568" s="14">
        <f>_xlfn.XLOOKUP(Table2[[#This Row],[LoanID]],Table1[G-L ID],Table1[ManagerCode],-99)</f>
        <v>103</v>
      </c>
      <c r="T568"/>
    </row>
    <row r="569" spans="1:20" x14ac:dyDescent="0.25">
      <c r="A569">
        <v>20110131</v>
      </c>
      <c r="B569">
        <v>2011</v>
      </c>
      <c r="C569">
        <v>1</v>
      </c>
      <c r="D569">
        <v>1</v>
      </c>
      <c r="E569">
        <v>11200</v>
      </c>
      <c r="F569">
        <v>69880</v>
      </c>
      <c r="G569">
        <v>0</v>
      </c>
      <c r="H569">
        <v>0</v>
      </c>
      <c r="I569">
        <v>0</v>
      </c>
      <c r="J569">
        <v>0</v>
      </c>
      <c r="K569">
        <v>0</v>
      </c>
      <c r="L569">
        <v>11879576.25</v>
      </c>
      <c r="M569">
        <v>11879576</v>
      </c>
      <c r="N569">
        <v>11879576.25</v>
      </c>
      <c r="O569">
        <v>11879576</v>
      </c>
      <c r="P569">
        <v>13976000</v>
      </c>
      <c r="Q569">
        <v>13976000</v>
      </c>
      <c r="R569" s="14">
        <f>_xlfn.XLOOKUP(Table2[[#This Row],[LoanID]],Table1[G-L ID],Table1[ManagerCode],-99)</f>
        <v>103</v>
      </c>
      <c r="T569"/>
    </row>
    <row r="570" spans="1:20" x14ac:dyDescent="0.25">
      <c r="A570">
        <v>20110131</v>
      </c>
      <c r="B570">
        <v>2011</v>
      </c>
      <c r="C570">
        <v>1</v>
      </c>
      <c r="D570">
        <v>1</v>
      </c>
      <c r="E570">
        <v>11240</v>
      </c>
      <c r="F570">
        <v>256988</v>
      </c>
      <c r="G570">
        <v>0</v>
      </c>
      <c r="H570">
        <v>0</v>
      </c>
      <c r="I570">
        <v>0</v>
      </c>
      <c r="J570">
        <v>0</v>
      </c>
      <c r="K570">
        <v>0</v>
      </c>
      <c r="L570">
        <v>185183145.30000001</v>
      </c>
      <c r="M570">
        <v>185183145</v>
      </c>
      <c r="N570">
        <v>185183145.30000001</v>
      </c>
      <c r="O570">
        <v>185183145</v>
      </c>
      <c r="P570">
        <v>194929626.59999999</v>
      </c>
      <c r="Q570">
        <v>194929626.59999999</v>
      </c>
      <c r="R570" s="14">
        <f>_xlfn.XLOOKUP(Table2[[#This Row],[LoanID]],Table1[G-L ID],Table1[ManagerCode],-99)</f>
        <v>103</v>
      </c>
      <c r="T570"/>
    </row>
    <row r="571" spans="1:20" x14ac:dyDescent="0.25">
      <c r="A571">
        <v>20110131</v>
      </c>
      <c r="B571">
        <v>2011</v>
      </c>
      <c r="C571">
        <v>1</v>
      </c>
      <c r="D571">
        <v>1</v>
      </c>
      <c r="E571">
        <v>11280</v>
      </c>
      <c r="F571">
        <v>22872</v>
      </c>
      <c r="G571">
        <v>0</v>
      </c>
      <c r="H571">
        <v>0</v>
      </c>
      <c r="I571">
        <v>0</v>
      </c>
      <c r="J571">
        <v>0</v>
      </c>
      <c r="K571">
        <v>0</v>
      </c>
      <c r="L571">
        <v>16912010.73</v>
      </c>
      <c r="M571">
        <v>17851567</v>
      </c>
      <c r="N571">
        <v>16912010.73</v>
      </c>
      <c r="O571">
        <v>17851567</v>
      </c>
      <c r="P571">
        <v>18791123.030000001</v>
      </c>
      <c r="Q571">
        <v>18791123.030000001</v>
      </c>
      <c r="R571" s="14">
        <f>_xlfn.XLOOKUP(Table2[[#This Row],[LoanID]],Table1[G-L ID],Table1[ManagerCode],-99)</f>
        <v>103</v>
      </c>
      <c r="T571"/>
    </row>
    <row r="572" spans="1:20" x14ac:dyDescent="0.25">
      <c r="A572">
        <v>20110131</v>
      </c>
      <c r="B572">
        <v>2011</v>
      </c>
      <c r="C572">
        <v>1</v>
      </c>
      <c r="D572">
        <v>1</v>
      </c>
      <c r="E572">
        <v>11300</v>
      </c>
      <c r="F572">
        <v>20585</v>
      </c>
      <c r="G572">
        <v>0</v>
      </c>
      <c r="H572">
        <v>0</v>
      </c>
      <c r="I572">
        <v>-141</v>
      </c>
      <c r="J572">
        <v>0</v>
      </c>
      <c r="K572">
        <v>0</v>
      </c>
      <c r="L572">
        <v>15220809.66</v>
      </c>
      <c r="M572">
        <v>16066410</v>
      </c>
      <c r="N572">
        <v>15220809.66</v>
      </c>
      <c r="O572">
        <v>16066410</v>
      </c>
      <c r="P572">
        <v>16912010.73</v>
      </c>
      <c r="Q572">
        <v>16912010.73</v>
      </c>
      <c r="R572" s="14">
        <f>_xlfn.XLOOKUP(Table2[[#This Row],[LoanID]],Table1[G-L ID],Table1[ManagerCode],-99)</f>
        <v>103</v>
      </c>
      <c r="T572"/>
    </row>
    <row r="573" spans="1:20" x14ac:dyDescent="0.25">
      <c r="A573">
        <v>20110131</v>
      </c>
      <c r="B573">
        <v>2011</v>
      </c>
      <c r="C573">
        <v>1</v>
      </c>
      <c r="D573">
        <v>1</v>
      </c>
      <c r="E573">
        <v>11310</v>
      </c>
      <c r="F573">
        <v>13723</v>
      </c>
      <c r="G573">
        <v>0</v>
      </c>
      <c r="H573">
        <v>0</v>
      </c>
      <c r="I573">
        <v>-94</v>
      </c>
      <c r="J573">
        <v>0</v>
      </c>
      <c r="K573">
        <v>0</v>
      </c>
      <c r="L573">
        <v>10147206.41</v>
      </c>
      <c r="M573">
        <v>10710940</v>
      </c>
      <c r="N573">
        <v>10147206.41</v>
      </c>
      <c r="O573">
        <v>10710940</v>
      </c>
      <c r="P573">
        <v>11274673.789999999</v>
      </c>
      <c r="Q573">
        <v>11274673.789999999</v>
      </c>
      <c r="R573" s="14">
        <f>_xlfn.XLOOKUP(Table2[[#This Row],[LoanID]],Table1[G-L ID],Table1[ManagerCode],-99)</f>
        <v>103</v>
      </c>
      <c r="T573"/>
    </row>
    <row r="574" spans="1:20" x14ac:dyDescent="0.25">
      <c r="A574">
        <v>20110131</v>
      </c>
      <c r="B574">
        <v>2011</v>
      </c>
      <c r="C574">
        <v>1</v>
      </c>
      <c r="D574">
        <v>1</v>
      </c>
      <c r="E574">
        <v>11380</v>
      </c>
      <c r="F574">
        <v>38541</v>
      </c>
      <c r="G574">
        <v>0</v>
      </c>
      <c r="H574">
        <v>0</v>
      </c>
      <c r="I574">
        <v>0</v>
      </c>
      <c r="J574">
        <v>0</v>
      </c>
      <c r="K574">
        <v>52158.94</v>
      </c>
      <c r="L574">
        <v>6521817.1200000001</v>
      </c>
      <c r="M574">
        <v>6495079</v>
      </c>
      <c r="N574">
        <v>6521817.1200000001</v>
      </c>
      <c r="O574">
        <v>6495079</v>
      </c>
      <c r="P574">
        <v>5832189.9800000004</v>
      </c>
      <c r="Q574">
        <v>5780031.04</v>
      </c>
      <c r="R574" s="14">
        <f>_xlfn.XLOOKUP(Table2[[#This Row],[LoanID]],Table1[G-L ID],Table1[ManagerCode],-99)</f>
        <v>103</v>
      </c>
      <c r="T574"/>
    </row>
    <row r="575" spans="1:20" x14ac:dyDescent="0.25">
      <c r="A575">
        <v>20110131</v>
      </c>
      <c r="B575">
        <v>2011</v>
      </c>
      <c r="C575">
        <v>1</v>
      </c>
      <c r="D575">
        <v>1</v>
      </c>
      <c r="E575">
        <v>11420</v>
      </c>
      <c r="F575">
        <v>514857</v>
      </c>
      <c r="G575">
        <v>0</v>
      </c>
      <c r="H575">
        <v>0</v>
      </c>
      <c r="I575">
        <v>0</v>
      </c>
      <c r="J575">
        <v>0</v>
      </c>
      <c r="K575">
        <v>0</v>
      </c>
      <c r="L575">
        <v>100131801.7</v>
      </c>
      <c r="M575">
        <v>100001173</v>
      </c>
      <c r="N575">
        <v>100131801.7</v>
      </c>
      <c r="O575">
        <v>100001173</v>
      </c>
      <c r="P575">
        <v>98000000</v>
      </c>
      <c r="Q575">
        <v>98000000</v>
      </c>
      <c r="R575" s="14">
        <f>_xlfn.XLOOKUP(Table2[[#This Row],[LoanID]],Table1[G-L ID],Table1[ManagerCode],-99)</f>
        <v>103</v>
      </c>
      <c r="T575"/>
    </row>
    <row r="576" spans="1:20" x14ac:dyDescent="0.25">
      <c r="A576">
        <v>20110131</v>
      </c>
      <c r="B576">
        <v>2011</v>
      </c>
      <c r="C576">
        <v>1</v>
      </c>
      <c r="D576">
        <v>1</v>
      </c>
      <c r="E576">
        <v>11510</v>
      </c>
      <c r="F576">
        <v>0</v>
      </c>
      <c r="G576">
        <v>0</v>
      </c>
      <c r="H576">
        <v>0</v>
      </c>
      <c r="I576">
        <v>0</v>
      </c>
      <c r="J576">
        <v>0</v>
      </c>
      <c r="K576">
        <v>0</v>
      </c>
      <c r="L576">
        <v>14456843.99</v>
      </c>
      <c r="M576">
        <v>14456844</v>
      </c>
      <c r="N576">
        <v>14456843.99</v>
      </c>
      <c r="O576">
        <v>14456844</v>
      </c>
      <c r="P576">
        <v>14602872.720000001</v>
      </c>
      <c r="Q576">
        <v>14602872.720000001</v>
      </c>
      <c r="R576" s="14">
        <f>_xlfn.XLOOKUP(Table2[[#This Row],[LoanID]],Table1[G-L ID],Table1[ManagerCode],-99)</f>
        <v>103</v>
      </c>
      <c r="T576"/>
    </row>
    <row r="577" spans="1:20" x14ac:dyDescent="0.25">
      <c r="A577">
        <v>20110131</v>
      </c>
      <c r="B577">
        <v>2011</v>
      </c>
      <c r="C577">
        <v>1</v>
      </c>
      <c r="D577">
        <v>1</v>
      </c>
      <c r="E577">
        <v>11650</v>
      </c>
      <c r="F577">
        <v>37500</v>
      </c>
      <c r="G577">
        <v>0</v>
      </c>
      <c r="H577">
        <v>0</v>
      </c>
      <c r="I577">
        <v>0</v>
      </c>
      <c r="J577">
        <v>0</v>
      </c>
      <c r="K577">
        <v>0</v>
      </c>
      <c r="L577">
        <v>5100000</v>
      </c>
      <c r="M577">
        <v>5100000</v>
      </c>
      <c r="N577">
        <v>5100000</v>
      </c>
      <c r="O577">
        <v>5100000</v>
      </c>
      <c r="P577">
        <v>6000000</v>
      </c>
      <c r="Q577">
        <v>6000000</v>
      </c>
      <c r="R577" s="14">
        <f>_xlfn.XLOOKUP(Table2[[#This Row],[LoanID]],Table1[G-L ID],Table1[ManagerCode],-99)</f>
        <v>103</v>
      </c>
      <c r="T577"/>
    </row>
    <row r="578" spans="1:20" x14ac:dyDescent="0.25">
      <c r="A578">
        <v>20110131</v>
      </c>
      <c r="B578">
        <v>2011</v>
      </c>
      <c r="C578">
        <v>1</v>
      </c>
      <c r="D578">
        <v>1</v>
      </c>
      <c r="E578">
        <v>11780</v>
      </c>
      <c r="F578">
        <v>190419</v>
      </c>
      <c r="G578">
        <v>0</v>
      </c>
      <c r="H578">
        <v>0</v>
      </c>
      <c r="I578">
        <v>-1150</v>
      </c>
      <c r="J578">
        <v>0</v>
      </c>
      <c r="K578">
        <v>133883.57</v>
      </c>
      <c r="L578">
        <v>56743308.200000003</v>
      </c>
      <c r="M578">
        <v>56629507</v>
      </c>
      <c r="N578">
        <v>56743308.200000003</v>
      </c>
      <c r="O578">
        <v>56629507</v>
      </c>
      <c r="P578">
        <v>66756833.159999996</v>
      </c>
      <c r="Q578">
        <v>66622949.590000004</v>
      </c>
      <c r="R578" s="14">
        <f>_xlfn.XLOOKUP(Table2[[#This Row],[LoanID]],Table1[G-L ID],Table1[ManagerCode],-99)</f>
        <v>103</v>
      </c>
      <c r="T578"/>
    </row>
    <row r="579" spans="1:20" x14ac:dyDescent="0.25">
      <c r="A579">
        <v>20110131</v>
      </c>
      <c r="B579">
        <v>2011</v>
      </c>
      <c r="C579">
        <v>1</v>
      </c>
      <c r="D579">
        <v>1</v>
      </c>
      <c r="E579">
        <v>11800</v>
      </c>
      <c r="F579">
        <v>168160</v>
      </c>
      <c r="G579">
        <v>0</v>
      </c>
      <c r="H579">
        <v>0</v>
      </c>
      <c r="I579">
        <v>-283</v>
      </c>
      <c r="J579">
        <v>0</v>
      </c>
      <c r="K579">
        <v>52703.28</v>
      </c>
      <c r="L579">
        <v>29573444.719999999</v>
      </c>
      <c r="M579">
        <v>29526012</v>
      </c>
      <c r="N579">
        <v>29573444.719999999</v>
      </c>
      <c r="O579">
        <v>29526012</v>
      </c>
      <c r="P579">
        <v>32859350.149999999</v>
      </c>
      <c r="Q579">
        <v>32806646.870000001</v>
      </c>
      <c r="R579" s="14">
        <f>_xlfn.XLOOKUP(Table2[[#This Row],[LoanID]],Table1[G-L ID],Table1[ManagerCode],-99)</f>
        <v>103</v>
      </c>
      <c r="T579"/>
    </row>
    <row r="580" spans="1:20" x14ac:dyDescent="0.25">
      <c r="A580">
        <v>20110131</v>
      </c>
      <c r="B580">
        <v>2011</v>
      </c>
      <c r="C580">
        <v>1</v>
      </c>
      <c r="D580">
        <v>1</v>
      </c>
      <c r="E580">
        <v>11810</v>
      </c>
      <c r="F580">
        <v>51167</v>
      </c>
      <c r="G580">
        <v>0</v>
      </c>
      <c r="H580">
        <v>0</v>
      </c>
      <c r="I580">
        <v>0</v>
      </c>
      <c r="J580">
        <v>0</v>
      </c>
      <c r="K580">
        <v>0</v>
      </c>
      <c r="L580">
        <v>9500000</v>
      </c>
      <c r="M580">
        <v>9500000</v>
      </c>
      <c r="N580">
        <v>9500000</v>
      </c>
      <c r="O580">
        <v>9500000</v>
      </c>
      <c r="P580">
        <v>10000000</v>
      </c>
      <c r="Q580">
        <v>10000000</v>
      </c>
      <c r="R580" s="14">
        <f>_xlfn.XLOOKUP(Table2[[#This Row],[LoanID]],Table1[G-L ID],Table1[ManagerCode],-99)</f>
        <v>103</v>
      </c>
      <c r="T580"/>
    </row>
    <row r="581" spans="1:20" x14ac:dyDescent="0.25">
      <c r="A581">
        <v>20110131</v>
      </c>
      <c r="B581">
        <v>2011</v>
      </c>
      <c r="C581">
        <v>1</v>
      </c>
      <c r="D581">
        <v>1</v>
      </c>
      <c r="E581">
        <v>11860</v>
      </c>
      <c r="F581">
        <v>243178</v>
      </c>
      <c r="G581">
        <v>0</v>
      </c>
      <c r="H581">
        <v>0</v>
      </c>
      <c r="I581">
        <v>0</v>
      </c>
      <c r="J581">
        <v>0</v>
      </c>
      <c r="K581">
        <v>0</v>
      </c>
      <c r="L581">
        <v>47500000</v>
      </c>
      <c r="M581">
        <v>47500000</v>
      </c>
      <c r="N581">
        <v>47500000</v>
      </c>
      <c r="O581">
        <v>47500000</v>
      </c>
      <c r="P581">
        <v>50000000</v>
      </c>
      <c r="Q581">
        <v>50000000</v>
      </c>
      <c r="R581" s="14">
        <f>_xlfn.XLOOKUP(Table2[[#This Row],[LoanID]],Table1[G-L ID],Table1[ManagerCode],-99)</f>
        <v>103</v>
      </c>
      <c r="T581"/>
    </row>
    <row r="582" spans="1:20" x14ac:dyDescent="0.25">
      <c r="A582">
        <v>20110131</v>
      </c>
      <c r="B582">
        <v>2011</v>
      </c>
      <c r="C582">
        <v>1</v>
      </c>
      <c r="D582">
        <v>1</v>
      </c>
      <c r="E582">
        <v>11870</v>
      </c>
      <c r="F582">
        <v>121589</v>
      </c>
      <c r="G582">
        <v>0</v>
      </c>
      <c r="H582">
        <v>0</v>
      </c>
      <c r="I582">
        <v>0</v>
      </c>
      <c r="J582">
        <v>0</v>
      </c>
      <c r="K582">
        <v>0</v>
      </c>
      <c r="L582">
        <v>23750000</v>
      </c>
      <c r="M582">
        <v>23750000</v>
      </c>
      <c r="N582">
        <v>23750000</v>
      </c>
      <c r="O582">
        <v>23750000</v>
      </c>
      <c r="P582">
        <v>25000000</v>
      </c>
      <c r="Q582">
        <v>25000000</v>
      </c>
      <c r="R582" s="14">
        <f>_xlfn.XLOOKUP(Table2[[#This Row],[LoanID]],Table1[G-L ID],Table1[ManagerCode],-99)</f>
        <v>103</v>
      </c>
      <c r="T582"/>
    </row>
    <row r="583" spans="1:20" x14ac:dyDescent="0.25">
      <c r="A583">
        <v>20110131</v>
      </c>
      <c r="B583">
        <v>2011</v>
      </c>
      <c r="C583">
        <v>1</v>
      </c>
      <c r="D583">
        <v>1</v>
      </c>
      <c r="E583">
        <v>11900</v>
      </c>
      <c r="F583">
        <v>280094</v>
      </c>
      <c r="G583">
        <v>0</v>
      </c>
      <c r="H583">
        <v>0</v>
      </c>
      <c r="I583">
        <v>0</v>
      </c>
      <c r="J583">
        <v>0</v>
      </c>
      <c r="K583">
        <v>0</v>
      </c>
      <c r="L583">
        <v>52249947.75</v>
      </c>
      <c r="M583">
        <v>52249948</v>
      </c>
      <c r="N583">
        <v>52249947.75</v>
      </c>
      <c r="O583">
        <v>52249948</v>
      </c>
      <c r="P583">
        <v>55000000</v>
      </c>
      <c r="Q583">
        <v>55000000</v>
      </c>
      <c r="R583" s="14">
        <f>_xlfn.XLOOKUP(Table2[[#This Row],[LoanID]],Table1[G-L ID],Table1[ManagerCode],-99)</f>
        <v>103</v>
      </c>
      <c r="T583"/>
    </row>
    <row r="584" spans="1:20" x14ac:dyDescent="0.25">
      <c r="A584">
        <v>20110131</v>
      </c>
      <c r="B584">
        <v>2011</v>
      </c>
      <c r="C584">
        <v>1</v>
      </c>
      <c r="D584">
        <v>1</v>
      </c>
      <c r="E584">
        <v>11930</v>
      </c>
      <c r="F584">
        <v>191860</v>
      </c>
      <c r="G584">
        <v>0</v>
      </c>
      <c r="H584">
        <v>0</v>
      </c>
      <c r="I584">
        <v>0</v>
      </c>
      <c r="J584">
        <v>0</v>
      </c>
      <c r="K584">
        <v>16504291.140000001</v>
      </c>
      <c r="L584">
        <v>181840568.09999999</v>
      </c>
      <c r="M584">
        <v>165982669</v>
      </c>
      <c r="N584">
        <v>181840568.09999999</v>
      </c>
      <c r="O584">
        <v>165982669</v>
      </c>
      <c r="P584">
        <v>184053277.59999999</v>
      </c>
      <c r="Q584">
        <v>167548986.5</v>
      </c>
      <c r="R584" s="14">
        <f>_xlfn.XLOOKUP(Table2[[#This Row],[LoanID]],Table1[G-L ID],Table1[ManagerCode],-99)</f>
        <v>103</v>
      </c>
      <c r="T584"/>
    </row>
    <row r="585" spans="1:20" x14ac:dyDescent="0.25">
      <c r="A585">
        <v>20110131</v>
      </c>
      <c r="B585">
        <v>2011</v>
      </c>
      <c r="C585">
        <v>1</v>
      </c>
      <c r="D585">
        <v>1</v>
      </c>
      <c r="E585">
        <v>11940</v>
      </c>
      <c r="F585">
        <v>61086</v>
      </c>
      <c r="G585">
        <v>0</v>
      </c>
      <c r="H585">
        <v>0</v>
      </c>
      <c r="I585">
        <v>0</v>
      </c>
      <c r="J585">
        <v>0</v>
      </c>
      <c r="K585">
        <v>5674155.8200000003</v>
      </c>
      <c r="L585">
        <v>59933432.060000002</v>
      </c>
      <c r="M585">
        <v>54474514</v>
      </c>
      <c r="N585">
        <v>59933432.060000002</v>
      </c>
      <c r="O585">
        <v>54474514</v>
      </c>
      <c r="P585">
        <v>60643233.520000003</v>
      </c>
      <c r="Q585">
        <v>54971243.560000002</v>
      </c>
      <c r="R585" s="14">
        <f>_xlfn.XLOOKUP(Table2[[#This Row],[LoanID]],Table1[G-L ID],Table1[ManagerCode],-99)</f>
        <v>103</v>
      </c>
      <c r="T585"/>
    </row>
    <row r="586" spans="1:20" x14ac:dyDescent="0.25">
      <c r="A586">
        <v>20110131</v>
      </c>
      <c r="B586">
        <v>2011</v>
      </c>
      <c r="C586">
        <v>1</v>
      </c>
      <c r="D586">
        <v>1</v>
      </c>
      <c r="E586">
        <v>11951</v>
      </c>
      <c r="F586">
        <v>166620</v>
      </c>
      <c r="G586">
        <v>0</v>
      </c>
      <c r="H586">
        <v>0</v>
      </c>
      <c r="I586">
        <v>-283</v>
      </c>
      <c r="J586">
        <v>0</v>
      </c>
      <c r="K586">
        <v>0</v>
      </c>
      <c r="L586">
        <v>34211475.759999998</v>
      </c>
      <c r="M586">
        <v>34107852</v>
      </c>
      <c r="N586">
        <v>34211475.759999998</v>
      </c>
      <c r="O586">
        <v>34107852</v>
      </c>
      <c r="P586">
        <v>33998357.509999998</v>
      </c>
      <c r="Q586">
        <v>34000000</v>
      </c>
      <c r="R586" s="14">
        <f>_xlfn.XLOOKUP(Table2[[#This Row],[LoanID]],Table1[G-L ID],Table1[ManagerCode],-99)</f>
        <v>103</v>
      </c>
      <c r="T586"/>
    </row>
    <row r="587" spans="1:20" x14ac:dyDescent="0.25">
      <c r="A587">
        <v>20110131</v>
      </c>
      <c r="B587">
        <v>2011</v>
      </c>
      <c r="C587">
        <v>1</v>
      </c>
      <c r="D587">
        <v>1</v>
      </c>
      <c r="E587">
        <v>11952</v>
      </c>
      <c r="F587">
        <v>119242</v>
      </c>
      <c r="G587">
        <v>0</v>
      </c>
      <c r="H587">
        <v>0</v>
      </c>
      <c r="I587">
        <v>-175</v>
      </c>
      <c r="J587">
        <v>0</v>
      </c>
      <c r="K587">
        <v>0</v>
      </c>
      <c r="L587">
        <v>21163125.300000001</v>
      </c>
      <c r="M587">
        <v>21082852</v>
      </c>
      <c r="N587">
        <v>21163125.300000001</v>
      </c>
      <c r="O587">
        <v>21082852</v>
      </c>
      <c r="P587">
        <v>21000000</v>
      </c>
      <c r="Q587">
        <v>21000000</v>
      </c>
      <c r="R587" s="14">
        <f>_xlfn.XLOOKUP(Table2[[#This Row],[LoanID]],Table1[G-L ID],Table1[ManagerCode],-99)</f>
        <v>103</v>
      </c>
      <c r="T587"/>
    </row>
    <row r="588" spans="1:20" x14ac:dyDescent="0.25">
      <c r="A588">
        <v>20110131</v>
      </c>
      <c r="B588">
        <v>2011</v>
      </c>
      <c r="C588">
        <v>1</v>
      </c>
      <c r="D588">
        <v>1</v>
      </c>
      <c r="E588">
        <v>12000</v>
      </c>
      <c r="F588">
        <v>129709</v>
      </c>
      <c r="G588">
        <v>0</v>
      </c>
      <c r="H588">
        <v>0</v>
      </c>
      <c r="I588">
        <v>0</v>
      </c>
      <c r="J588">
        <v>0</v>
      </c>
      <c r="K588">
        <v>0</v>
      </c>
      <c r="L588">
        <v>22594546.800000001</v>
      </c>
      <c r="M588">
        <v>22594547</v>
      </c>
      <c r="N588">
        <v>22594546.800000001</v>
      </c>
      <c r="O588">
        <v>22594547</v>
      </c>
      <c r="P588">
        <v>25090468.66</v>
      </c>
      <c r="Q588">
        <v>25091163.100000001</v>
      </c>
      <c r="R588" s="14">
        <f>_xlfn.XLOOKUP(Table2[[#This Row],[LoanID]],Table1[G-L ID],Table1[ManagerCode],-99)</f>
        <v>103</v>
      </c>
      <c r="T588"/>
    </row>
    <row r="589" spans="1:20" x14ac:dyDescent="0.25">
      <c r="A589">
        <v>20110131</v>
      </c>
      <c r="B589">
        <v>2011</v>
      </c>
      <c r="C589">
        <v>1</v>
      </c>
      <c r="D589">
        <v>1</v>
      </c>
      <c r="E589">
        <v>12110</v>
      </c>
      <c r="F589">
        <v>6590.8</v>
      </c>
      <c r="G589">
        <v>0</v>
      </c>
      <c r="H589">
        <v>0</v>
      </c>
      <c r="I589">
        <v>0</v>
      </c>
      <c r="J589">
        <v>0</v>
      </c>
      <c r="K589">
        <v>0</v>
      </c>
      <c r="L589">
        <v>1054528.24</v>
      </c>
      <c r="M589">
        <v>1054528.24</v>
      </c>
      <c r="N589">
        <v>1054528.24</v>
      </c>
      <c r="O589">
        <v>1054528.24</v>
      </c>
      <c r="P589">
        <v>1054528.24</v>
      </c>
      <c r="Q589">
        <v>1054528.24</v>
      </c>
      <c r="R589" s="14">
        <f>_xlfn.XLOOKUP(Table2[[#This Row],[LoanID]],Table1[G-L ID],Table1[ManagerCode],-99)</f>
        <v>183</v>
      </c>
      <c r="T589"/>
    </row>
    <row r="590" spans="1:20" x14ac:dyDescent="0.25">
      <c r="A590">
        <v>20110131</v>
      </c>
      <c r="B590">
        <v>2011</v>
      </c>
      <c r="C590">
        <v>1</v>
      </c>
      <c r="D590">
        <v>1</v>
      </c>
      <c r="E590">
        <v>12200</v>
      </c>
      <c r="F590">
        <v>91431</v>
      </c>
      <c r="G590">
        <v>0</v>
      </c>
      <c r="H590">
        <v>0</v>
      </c>
      <c r="I590">
        <v>0</v>
      </c>
      <c r="J590">
        <v>0</v>
      </c>
      <c r="K590">
        <v>30778.27</v>
      </c>
      <c r="L590">
        <v>21290547.02</v>
      </c>
      <c r="M590">
        <v>21391584</v>
      </c>
      <c r="N590">
        <v>21290547.02</v>
      </c>
      <c r="O590">
        <v>21391584</v>
      </c>
      <c r="P590">
        <v>19896393.649999999</v>
      </c>
      <c r="Q590">
        <v>19865958.870000001</v>
      </c>
      <c r="R590" s="14">
        <f>_xlfn.XLOOKUP(Table2[[#This Row],[LoanID]],Table1[G-L ID],Table1[ManagerCode],-99)</f>
        <v>103</v>
      </c>
      <c r="T590"/>
    </row>
    <row r="591" spans="1:20" x14ac:dyDescent="0.25">
      <c r="A591">
        <v>20110131</v>
      </c>
      <c r="B591">
        <v>2011</v>
      </c>
      <c r="C591">
        <v>1</v>
      </c>
      <c r="D591">
        <v>1</v>
      </c>
      <c r="E591">
        <v>12210</v>
      </c>
      <c r="F591">
        <v>733800</v>
      </c>
      <c r="G591">
        <v>0</v>
      </c>
      <c r="H591">
        <v>0</v>
      </c>
      <c r="I591">
        <v>0</v>
      </c>
      <c r="J591">
        <v>0</v>
      </c>
      <c r="K591">
        <v>171110.66</v>
      </c>
      <c r="L591">
        <v>137396346.40000001</v>
      </c>
      <c r="M591">
        <v>138340424</v>
      </c>
      <c r="N591">
        <v>137396346.40000001</v>
      </c>
      <c r="O591">
        <v>138340424</v>
      </c>
      <c r="P591">
        <v>118730090.2</v>
      </c>
      <c r="Q591">
        <v>118558979.5</v>
      </c>
      <c r="R591" s="14">
        <f>_xlfn.XLOOKUP(Table2[[#This Row],[LoanID]],Table1[G-L ID],Table1[ManagerCode],-99)</f>
        <v>103</v>
      </c>
      <c r="T591"/>
    </row>
    <row r="592" spans="1:20" x14ac:dyDescent="0.25">
      <c r="A592">
        <v>20110228</v>
      </c>
      <c r="B592">
        <v>2011</v>
      </c>
      <c r="C592">
        <v>2</v>
      </c>
      <c r="D592">
        <v>1</v>
      </c>
      <c r="E592">
        <v>10050</v>
      </c>
      <c r="F592">
        <v>153981</v>
      </c>
      <c r="G592">
        <v>0</v>
      </c>
      <c r="H592">
        <v>0</v>
      </c>
      <c r="I592">
        <v>-69</v>
      </c>
      <c r="J592">
        <v>0</v>
      </c>
      <c r="K592">
        <v>0</v>
      </c>
      <c r="L592">
        <v>31727807</v>
      </c>
      <c r="M592">
        <v>31705551</v>
      </c>
      <c r="N592">
        <v>31727807</v>
      </c>
      <c r="O592">
        <v>31705551</v>
      </c>
      <c r="P592">
        <v>33333334</v>
      </c>
      <c r="Q592">
        <v>33333334</v>
      </c>
      <c r="R592" s="14">
        <f>_xlfn.XLOOKUP(Table2[[#This Row],[LoanID]],Table1[G-L ID],Table1[ManagerCode],-99)</f>
        <v>103</v>
      </c>
      <c r="T592"/>
    </row>
    <row r="593" spans="1:20" x14ac:dyDescent="0.25">
      <c r="A593">
        <v>20110228</v>
      </c>
      <c r="B593">
        <v>2011</v>
      </c>
      <c r="C593">
        <v>2</v>
      </c>
      <c r="D593">
        <v>1</v>
      </c>
      <c r="E593">
        <v>10080</v>
      </c>
      <c r="F593">
        <v>351043</v>
      </c>
      <c r="G593">
        <v>0</v>
      </c>
      <c r="H593">
        <v>0</v>
      </c>
      <c r="I593">
        <v>0</v>
      </c>
      <c r="J593">
        <v>0</v>
      </c>
      <c r="K593">
        <v>0</v>
      </c>
      <c r="L593">
        <v>71249929</v>
      </c>
      <c r="M593">
        <v>71249929</v>
      </c>
      <c r="N593">
        <v>71249929</v>
      </c>
      <c r="O593">
        <v>71249929</v>
      </c>
      <c r="P593">
        <v>75000000</v>
      </c>
      <c r="Q593">
        <v>75000000</v>
      </c>
      <c r="R593" s="14">
        <f>_xlfn.XLOOKUP(Table2[[#This Row],[LoanID]],Table1[G-L ID],Table1[ManagerCode],-99)</f>
        <v>103</v>
      </c>
      <c r="T593"/>
    </row>
    <row r="594" spans="1:20" x14ac:dyDescent="0.25">
      <c r="A594">
        <v>20110228</v>
      </c>
      <c r="B594">
        <v>2011</v>
      </c>
      <c r="C594">
        <v>2</v>
      </c>
      <c r="D594">
        <v>1</v>
      </c>
      <c r="E594">
        <v>10130</v>
      </c>
      <c r="F594">
        <v>37248</v>
      </c>
      <c r="G594">
        <v>0</v>
      </c>
      <c r="H594">
        <v>0</v>
      </c>
      <c r="I594">
        <v>0</v>
      </c>
      <c r="J594">
        <v>0</v>
      </c>
      <c r="K594">
        <v>30442.21</v>
      </c>
      <c r="L594">
        <v>8728125</v>
      </c>
      <c r="M594">
        <v>8664572</v>
      </c>
      <c r="N594">
        <v>8728125</v>
      </c>
      <c r="O594">
        <v>8664572</v>
      </c>
      <c r="P594">
        <v>8231707.5899999999</v>
      </c>
      <c r="Q594">
        <v>8201265.3799999999</v>
      </c>
      <c r="R594" s="14">
        <f>_xlfn.XLOOKUP(Table2[[#This Row],[LoanID]],Table1[G-L ID],Table1[ManagerCode],-99)</f>
        <v>103</v>
      </c>
      <c r="T594"/>
    </row>
    <row r="595" spans="1:20" x14ac:dyDescent="0.25">
      <c r="A595">
        <v>20110228</v>
      </c>
      <c r="B595">
        <v>2011</v>
      </c>
      <c r="C595">
        <v>2</v>
      </c>
      <c r="D595">
        <v>1</v>
      </c>
      <c r="E595">
        <v>10140</v>
      </c>
      <c r="F595">
        <v>98212</v>
      </c>
      <c r="G595">
        <v>0</v>
      </c>
      <c r="H595">
        <v>0</v>
      </c>
      <c r="I595">
        <v>0</v>
      </c>
      <c r="J595">
        <v>0</v>
      </c>
      <c r="K595">
        <v>79611.86</v>
      </c>
      <c r="L595">
        <v>23014004</v>
      </c>
      <c r="M595">
        <v>22847067</v>
      </c>
      <c r="N595">
        <v>23014004</v>
      </c>
      <c r="O595">
        <v>22847067</v>
      </c>
      <c r="P595">
        <v>21704414.359999999</v>
      </c>
      <c r="Q595">
        <v>21624802.5</v>
      </c>
      <c r="R595" s="14">
        <f>_xlfn.XLOOKUP(Table2[[#This Row],[LoanID]],Table1[G-L ID],Table1[ManagerCode],-99)</f>
        <v>103</v>
      </c>
      <c r="T595"/>
    </row>
    <row r="596" spans="1:20" x14ac:dyDescent="0.25">
      <c r="A596">
        <v>20110228</v>
      </c>
      <c r="B596">
        <v>2011</v>
      </c>
      <c r="C596">
        <v>2</v>
      </c>
      <c r="D596">
        <v>1</v>
      </c>
      <c r="E596">
        <v>10150</v>
      </c>
      <c r="F596">
        <v>245234</v>
      </c>
      <c r="G596">
        <v>0</v>
      </c>
      <c r="H596">
        <v>0</v>
      </c>
      <c r="I596">
        <v>0</v>
      </c>
      <c r="J596">
        <v>0</v>
      </c>
      <c r="K596">
        <v>68086.11</v>
      </c>
      <c r="L596">
        <v>52683262</v>
      </c>
      <c r="M596">
        <v>52615857</v>
      </c>
      <c r="N596">
        <v>52683262</v>
      </c>
      <c r="O596">
        <v>52615857</v>
      </c>
      <c r="P596">
        <v>53215309.979999997</v>
      </c>
      <c r="Q596">
        <v>53147223.869999997</v>
      </c>
      <c r="R596" s="14">
        <f>_xlfn.XLOOKUP(Table2[[#This Row],[LoanID]],Table1[G-L ID],Table1[ManagerCode],-99)</f>
        <v>103</v>
      </c>
      <c r="T596"/>
    </row>
    <row r="597" spans="1:20" x14ac:dyDescent="0.25">
      <c r="A597">
        <v>20110228</v>
      </c>
      <c r="B597">
        <v>2011</v>
      </c>
      <c r="C597">
        <v>2</v>
      </c>
      <c r="D597">
        <v>1</v>
      </c>
      <c r="E597">
        <v>10170</v>
      </c>
      <c r="F597">
        <v>252688</v>
      </c>
      <c r="G597">
        <v>0</v>
      </c>
      <c r="H597">
        <v>0</v>
      </c>
      <c r="I597">
        <v>-1211</v>
      </c>
      <c r="J597">
        <v>0</v>
      </c>
      <c r="K597">
        <v>63622.09</v>
      </c>
      <c r="L597">
        <v>50840607</v>
      </c>
      <c r="M597">
        <v>50532807</v>
      </c>
      <c r="N597">
        <v>50840607</v>
      </c>
      <c r="O597">
        <v>50532807</v>
      </c>
      <c r="P597">
        <v>46876067.189999998</v>
      </c>
      <c r="Q597">
        <v>46812445.100000001</v>
      </c>
      <c r="R597" s="14">
        <f>_xlfn.XLOOKUP(Table2[[#This Row],[LoanID]],Table1[G-L ID],Table1[ManagerCode],-99)</f>
        <v>103</v>
      </c>
      <c r="T597"/>
    </row>
    <row r="598" spans="1:20" x14ac:dyDescent="0.25">
      <c r="A598">
        <v>20110228</v>
      </c>
      <c r="B598">
        <v>2011</v>
      </c>
      <c r="C598">
        <v>2</v>
      </c>
      <c r="D598">
        <v>1</v>
      </c>
      <c r="E598">
        <v>10230</v>
      </c>
      <c r="F598">
        <v>185907</v>
      </c>
      <c r="G598">
        <v>0</v>
      </c>
      <c r="H598">
        <v>0</v>
      </c>
      <c r="I598">
        <v>0</v>
      </c>
      <c r="J598">
        <v>0</v>
      </c>
      <c r="K598">
        <v>55691.42</v>
      </c>
      <c r="L598">
        <v>29789196</v>
      </c>
      <c r="M598">
        <v>29739074</v>
      </c>
      <c r="N598">
        <v>29789196</v>
      </c>
      <c r="O598">
        <v>29739074</v>
      </c>
      <c r="P598">
        <v>33099106.850000001</v>
      </c>
      <c r="Q598">
        <v>33043415.43</v>
      </c>
      <c r="R598" s="14">
        <f>_xlfn.XLOOKUP(Table2[[#This Row],[LoanID]],Table1[G-L ID],Table1[ManagerCode],-99)</f>
        <v>103</v>
      </c>
      <c r="T598"/>
    </row>
    <row r="599" spans="1:20" x14ac:dyDescent="0.25">
      <c r="A599">
        <v>20110228</v>
      </c>
      <c r="B599">
        <v>2011</v>
      </c>
      <c r="C599">
        <v>2</v>
      </c>
      <c r="D599">
        <v>1</v>
      </c>
      <c r="E599">
        <v>10280</v>
      </c>
      <c r="F599">
        <v>181412</v>
      </c>
      <c r="G599">
        <v>0</v>
      </c>
      <c r="H599">
        <v>0</v>
      </c>
      <c r="I599">
        <v>0</v>
      </c>
      <c r="J599">
        <v>0</v>
      </c>
      <c r="K599">
        <v>0</v>
      </c>
      <c r="L599">
        <v>31500032</v>
      </c>
      <c r="M599">
        <v>31500032</v>
      </c>
      <c r="N599">
        <v>31500032</v>
      </c>
      <c r="O599">
        <v>31500032</v>
      </c>
      <c r="P599">
        <v>35000000</v>
      </c>
      <c r="Q599">
        <v>35000000</v>
      </c>
      <c r="R599" s="14">
        <f>_xlfn.XLOOKUP(Table2[[#This Row],[LoanID]],Table1[G-L ID],Table1[ManagerCode],-99)</f>
        <v>103</v>
      </c>
      <c r="T599"/>
    </row>
    <row r="600" spans="1:20" x14ac:dyDescent="0.25">
      <c r="A600">
        <v>20110228</v>
      </c>
      <c r="B600">
        <v>2011</v>
      </c>
      <c r="C600">
        <v>2</v>
      </c>
      <c r="D600">
        <v>1</v>
      </c>
      <c r="E600">
        <v>10290</v>
      </c>
      <c r="F600">
        <v>171301</v>
      </c>
      <c r="G600">
        <v>0</v>
      </c>
      <c r="H600">
        <v>0</v>
      </c>
      <c r="I600">
        <v>0</v>
      </c>
      <c r="J600">
        <v>0</v>
      </c>
      <c r="K600">
        <v>0</v>
      </c>
      <c r="L600">
        <v>21250000</v>
      </c>
      <c r="M600">
        <v>21250000</v>
      </c>
      <c r="N600">
        <v>21250000</v>
      </c>
      <c r="O600">
        <v>21250000</v>
      </c>
      <c r="P600">
        <v>25000000</v>
      </c>
      <c r="Q600">
        <v>25000000</v>
      </c>
      <c r="R600" s="14">
        <f>_xlfn.XLOOKUP(Table2[[#This Row],[LoanID]],Table1[G-L ID],Table1[ManagerCode],-99)</f>
        <v>103</v>
      </c>
      <c r="T600"/>
    </row>
    <row r="601" spans="1:20" x14ac:dyDescent="0.25">
      <c r="A601">
        <v>20110228</v>
      </c>
      <c r="B601">
        <v>2011</v>
      </c>
      <c r="C601">
        <v>2</v>
      </c>
      <c r="D601">
        <v>1</v>
      </c>
      <c r="E601">
        <v>10300</v>
      </c>
      <c r="F601">
        <v>149888</v>
      </c>
      <c r="G601">
        <v>0</v>
      </c>
      <c r="H601">
        <v>0</v>
      </c>
      <c r="I601">
        <v>0</v>
      </c>
      <c r="J601">
        <v>0</v>
      </c>
      <c r="K601">
        <v>0</v>
      </c>
      <c r="L601">
        <v>30338108</v>
      </c>
      <c r="M601">
        <v>30606975</v>
      </c>
      <c r="N601">
        <v>30338108</v>
      </c>
      <c r="O601">
        <v>30606975</v>
      </c>
      <c r="P601">
        <v>35000000</v>
      </c>
      <c r="Q601">
        <v>35000000</v>
      </c>
      <c r="R601" s="14">
        <f>_xlfn.XLOOKUP(Table2[[#This Row],[LoanID]],Table1[G-L ID],Table1[ManagerCode],-99)</f>
        <v>103</v>
      </c>
      <c r="T601"/>
    </row>
    <row r="602" spans="1:20" x14ac:dyDescent="0.25">
      <c r="A602">
        <v>20110228</v>
      </c>
      <c r="B602">
        <v>2011</v>
      </c>
      <c r="C602">
        <v>2</v>
      </c>
      <c r="D602">
        <v>1</v>
      </c>
      <c r="E602">
        <v>10310</v>
      </c>
      <c r="F602">
        <v>0</v>
      </c>
      <c r="G602">
        <v>38234.82</v>
      </c>
      <c r="H602">
        <v>0</v>
      </c>
      <c r="I602">
        <v>0</v>
      </c>
      <c r="J602">
        <v>-3745277.87</v>
      </c>
      <c r="K602">
        <v>0</v>
      </c>
      <c r="L602">
        <v>3720284.98</v>
      </c>
      <c r="M602">
        <v>7503797.6699999999</v>
      </c>
      <c r="N602">
        <v>3720284.98</v>
      </c>
      <c r="O602">
        <v>7503797.6699999999</v>
      </c>
      <c r="P602">
        <v>3720284.98</v>
      </c>
      <c r="Q602">
        <v>7503797.6699999999</v>
      </c>
      <c r="R602" s="14">
        <f>_xlfn.XLOOKUP(Table2[[#This Row],[LoanID]],Table1[G-L ID],Table1[ManagerCode],-99)</f>
        <v>183</v>
      </c>
      <c r="T602"/>
    </row>
    <row r="603" spans="1:20" x14ac:dyDescent="0.25">
      <c r="A603">
        <v>20110228</v>
      </c>
      <c r="B603">
        <v>2011</v>
      </c>
      <c r="C603">
        <v>2</v>
      </c>
      <c r="D603">
        <v>1</v>
      </c>
      <c r="E603">
        <v>10370</v>
      </c>
      <c r="F603">
        <v>5178</v>
      </c>
      <c r="G603">
        <v>0</v>
      </c>
      <c r="H603">
        <v>0</v>
      </c>
      <c r="I603">
        <v>0</v>
      </c>
      <c r="J603">
        <v>0</v>
      </c>
      <c r="K603">
        <v>38968.67</v>
      </c>
      <c r="L603">
        <v>2980783</v>
      </c>
      <c r="M603">
        <v>2945711</v>
      </c>
      <c r="N603">
        <v>2980783</v>
      </c>
      <c r="O603">
        <v>2945711</v>
      </c>
      <c r="P603">
        <v>3311981.27</v>
      </c>
      <c r="Q603">
        <v>3273012.6</v>
      </c>
      <c r="R603" s="14">
        <f>_xlfn.XLOOKUP(Table2[[#This Row],[LoanID]],Table1[G-L ID],Table1[ManagerCode],-99)</f>
        <v>103</v>
      </c>
      <c r="T603"/>
    </row>
    <row r="604" spans="1:20" x14ac:dyDescent="0.25">
      <c r="A604">
        <v>20110228</v>
      </c>
      <c r="B604">
        <v>2011</v>
      </c>
      <c r="C604">
        <v>2</v>
      </c>
      <c r="D604">
        <v>1</v>
      </c>
      <c r="E604">
        <v>10390</v>
      </c>
      <c r="F604">
        <v>118750</v>
      </c>
      <c r="G604">
        <v>0</v>
      </c>
      <c r="H604">
        <v>0</v>
      </c>
      <c r="I604">
        <v>0</v>
      </c>
      <c r="J604">
        <v>0</v>
      </c>
      <c r="K604">
        <v>0</v>
      </c>
      <c r="L604">
        <v>24294441</v>
      </c>
      <c r="M604">
        <v>24241852</v>
      </c>
      <c r="N604">
        <v>24294441</v>
      </c>
      <c r="O604">
        <v>24241852</v>
      </c>
      <c r="P604">
        <v>24992040.719999999</v>
      </c>
      <c r="Q604">
        <v>24992244.800000001</v>
      </c>
      <c r="R604" s="14">
        <f>_xlfn.XLOOKUP(Table2[[#This Row],[LoanID]],Table1[G-L ID],Table1[ManagerCode],-99)</f>
        <v>103</v>
      </c>
      <c r="T604"/>
    </row>
    <row r="605" spans="1:20" x14ac:dyDescent="0.25">
      <c r="A605">
        <v>20110228</v>
      </c>
      <c r="B605">
        <v>2011</v>
      </c>
      <c r="C605">
        <v>2</v>
      </c>
      <c r="D605">
        <v>1</v>
      </c>
      <c r="E605">
        <v>10450</v>
      </c>
      <c r="F605">
        <v>120515</v>
      </c>
      <c r="G605">
        <v>0</v>
      </c>
      <c r="H605">
        <v>0</v>
      </c>
      <c r="I605">
        <v>0</v>
      </c>
      <c r="J605">
        <v>0</v>
      </c>
      <c r="K605">
        <v>21300.48</v>
      </c>
      <c r="L605">
        <v>21400829</v>
      </c>
      <c r="M605">
        <v>21379742</v>
      </c>
      <c r="N605">
        <v>21400829</v>
      </c>
      <c r="O605">
        <v>21379742</v>
      </c>
      <c r="P605">
        <v>21556899.640000001</v>
      </c>
      <c r="Q605">
        <v>21595698.760000002</v>
      </c>
      <c r="R605" s="14">
        <f>_xlfn.XLOOKUP(Table2[[#This Row],[LoanID]],Table1[G-L ID],Table1[ManagerCode],-99)</f>
        <v>103</v>
      </c>
      <c r="T605"/>
    </row>
    <row r="606" spans="1:20" x14ac:dyDescent="0.25">
      <c r="A606">
        <v>20110228</v>
      </c>
      <c r="B606">
        <v>2011</v>
      </c>
      <c r="C606">
        <v>2</v>
      </c>
      <c r="D606">
        <v>1</v>
      </c>
      <c r="E606">
        <v>10520</v>
      </c>
      <c r="F606">
        <v>5039</v>
      </c>
      <c r="G606">
        <v>0</v>
      </c>
      <c r="H606">
        <v>0</v>
      </c>
      <c r="I606">
        <v>-12</v>
      </c>
      <c r="J606">
        <v>0</v>
      </c>
      <c r="K606">
        <v>0</v>
      </c>
      <c r="L606">
        <v>4055028</v>
      </c>
      <c r="M606">
        <v>4067591</v>
      </c>
      <c r="N606">
        <v>4055028</v>
      </c>
      <c r="O606">
        <v>4067591</v>
      </c>
      <c r="P606">
        <v>4144117.01</v>
      </c>
      <c r="Q606">
        <v>4144117.01</v>
      </c>
      <c r="R606" s="14">
        <f>_xlfn.XLOOKUP(Table2[[#This Row],[LoanID]],Table1[G-L ID],Table1[ManagerCode],-99)</f>
        <v>103</v>
      </c>
      <c r="T606"/>
    </row>
    <row r="607" spans="1:20" x14ac:dyDescent="0.25">
      <c r="A607">
        <v>20110228</v>
      </c>
      <c r="B607">
        <v>2011</v>
      </c>
      <c r="C607">
        <v>2</v>
      </c>
      <c r="D607">
        <v>1</v>
      </c>
      <c r="E607">
        <v>10530</v>
      </c>
      <c r="F607">
        <v>109174</v>
      </c>
      <c r="G607">
        <v>0</v>
      </c>
      <c r="H607">
        <v>0</v>
      </c>
      <c r="I607">
        <v>-271</v>
      </c>
      <c r="J607">
        <v>0</v>
      </c>
      <c r="K607">
        <v>0</v>
      </c>
      <c r="L607">
        <v>87858842</v>
      </c>
      <c r="M607">
        <v>88131058</v>
      </c>
      <c r="N607">
        <v>87858842</v>
      </c>
      <c r="O607">
        <v>88131058</v>
      </c>
      <c r="P607">
        <v>89789201.780000001</v>
      </c>
      <c r="Q607">
        <v>89789201.780000001</v>
      </c>
      <c r="R607" s="14">
        <f>_xlfn.XLOOKUP(Table2[[#This Row],[LoanID]],Table1[G-L ID],Table1[ManagerCode],-99)</f>
        <v>103</v>
      </c>
      <c r="T607"/>
    </row>
    <row r="608" spans="1:20" x14ac:dyDescent="0.25">
      <c r="A608">
        <v>20110228</v>
      </c>
      <c r="B608">
        <v>2011</v>
      </c>
      <c r="C608">
        <v>2</v>
      </c>
      <c r="D608">
        <v>1</v>
      </c>
      <c r="E608">
        <v>10540</v>
      </c>
      <c r="F608">
        <v>15116</v>
      </c>
      <c r="G608">
        <v>0</v>
      </c>
      <c r="H608">
        <v>0</v>
      </c>
      <c r="I608">
        <v>-37</v>
      </c>
      <c r="J608">
        <v>0</v>
      </c>
      <c r="K608">
        <v>0</v>
      </c>
      <c r="L608">
        <v>12165083</v>
      </c>
      <c r="M608">
        <v>12202774</v>
      </c>
      <c r="N608">
        <v>12165083</v>
      </c>
      <c r="O608">
        <v>12202774</v>
      </c>
      <c r="P608">
        <v>12432351.02</v>
      </c>
      <c r="Q608">
        <v>12432351.02</v>
      </c>
      <c r="R608" s="14">
        <f>_xlfn.XLOOKUP(Table2[[#This Row],[LoanID]],Table1[G-L ID],Table1[ManagerCode],-99)</f>
        <v>103</v>
      </c>
      <c r="T608"/>
    </row>
    <row r="609" spans="1:20" x14ac:dyDescent="0.25">
      <c r="A609">
        <v>20110228</v>
      </c>
      <c r="B609">
        <v>2011</v>
      </c>
      <c r="C609">
        <v>2</v>
      </c>
      <c r="D609">
        <v>1</v>
      </c>
      <c r="E609">
        <v>10630</v>
      </c>
      <c r="F609">
        <v>49748</v>
      </c>
      <c r="G609">
        <v>0</v>
      </c>
      <c r="H609">
        <v>0</v>
      </c>
      <c r="I609">
        <v>0</v>
      </c>
      <c r="J609">
        <v>0</v>
      </c>
      <c r="K609">
        <v>12868.33</v>
      </c>
      <c r="L609">
        <v>9220020</v>
      </c>
      <c r="M609">
        <v>9207281</v>
      </c>
      <c r="N609">
        <v>9220020</v>
      </c>
      <c r="O609">
        <v>9207281</v>
      </c>
      <c r="P609">
        <v>9313151.6600000001</v>
      </c>
      <c r="Q609">
        <v>9300283.3300000001</v>
      </c>
      <c r="R609" s="14">
        <f>_xlfn.XLOOKUP(Table2[[#This Row],[LoanID]],Table1[G-L ID],Table1[ManagerCode],-99)</f>
        <v>103</v>
      </c>
      <c r="T609"/>
    </row>
    <row r="610" spans="1:20" x14ac:dyDescent="0.25">
      <c r="A610">
        <v>20110228</v>
      </c>
      <c r="B610">
        <v>2011</v>
      </c>
      <c r="C610">
        <v>2</v>
      </c>
      <c r="D610">
        <v>1</v>
      </c>
      <c r="E610">
        <v>10770</v>
      </c>
      <c r="F610">
        <v>0</v>
      </c>
      <c r="G610">
        <v>0</v>
      </c>
      <c r="H610">
        <v>0</v>
      </c>
      <c r="I610">
        <v>0</v>
      </c>
      <c r="J610">
        <v>0</v>
      </c>
      <c r="K610">
        <v>0</v>
      </c>
      <c r="L610">
        <v>103500000</v>
      </c>
      <c r="M610">
        <v>115000000</v>
      </c>
      <c r="N610">
        <v>103500000</v>
      </c>
      <c r="O610">
        <v>115000000</v>
      </c>
      <c r="P610">
        <v>115000000</v>
      </c>
      <c r="Q610">
        <v>115000000</v>
      </c>
      <c r="R610" s="14">
        <f>_xlfn.XLOOKUP(Table2[[#This Row],[LoanID]],Table1[G-L ID],Table1[ManagerCode],-99)</f>
        <v>103</v>
      </c>
      <c r="T610"/>
    </row>
    <row r="611" spans="1:20" x14ac:dyDescent="0.25">
      <c r="A611">
        <v>20110228</v>
      </c>
      <c r="B611">
        <v>2011</v>
      </c>
      <c r="C611">
        <v>2</v>
      </c>
      <c r="D611">
        <v>1</v>
      </c>
      <c r="E611">
        <v>10880</v>
      </c>
      <c r="F611">
        <v>315798</v>
      </c>
      <c r="G611">
        <v>0</v>
      </c>
      <c r="H611">
        <v>0</v>
      </c>
      <c r="I611">
        <v>0</v>
      </c>
      <c r="J611">
        <v>0</v>
      </c>
      <c r="K611">
        <v>0</v>
      </c>
      <c r="L611">
        <v>201031679</v>
      </c>
      <c r="M611">
        <v>181570139</v>
      </c>
      <c r="N611">
        <v>201031679</v>
      </c>
      <c r="O611">
        <v>181570139</v>
      </c>
      <c r="P611">
        <v>201744599.09999999</v>
      </c>
      <c r="Q611">
        <v>201744599.09999999</v>
      </c>
      <c r="R611" s="14">
        <f>_xlfn.XLOOKUP(Table2[[#This Row],[LoanID]],Table1[G-L ID],Table1[ManagerCode],-99)</f>
        <v>103</v>
      </c>
      <c r="T611"/>
    </row>
    <row r="612" spans="1:20" x14ac:dyDescent="0.25">
      <c r="A612">
        <v>20110228</v>
      </c>
      <c r="B612">
        <v>2011</v>
      </c>
      <c r="C612">
        <v>2</v>
      </c>
      <c r="D612">
        <v>1</v>
      </c>
      <c r="E612">
        <v>10900</v>
      </c>
      <c r="F612">
        <v>82172</v>
      </c>
      <c r="G612">
        <v>0</v>
      </c>
      <c r="H612">
        <v>0</v>
      </c>
      <c r="I612">
        <v>0</v>
      </c>
      <c r="J612">
        <v>0</v>
      </c>
      <c r="K612">
        <v>1445.53</v>
      </c>
      <c r="L612">
        <v>7807500</v>
      </c>
      <c r="M612">
        <v>7806199</v>
      </c>
      <c r="N612">
        <v>7807500</v>
      </c>
      <c r="O612">
        <v>7806199</v>
      </c>
      <c r="P612">
        <v>8675000</v>
      </c>
      <c r="Q612">
        <v>8673554.4700000007</v>
      </c>
      <c r="R612" s="14">
        <f>_xlfn.XLOOKUP(Table2[[#This Row],[LoanID]],Table1[G-L ID],Table1[ManagerCode],-99)</f>
        <v>103</v>
      </c>
      <c r="T612"/>
    </row>
    <row r="613" spans="1:20" x14ac:dyDescent="0.25">
      <c r="A613">
        <v>20110228</v>
      </c>
      <c r="B613">
        <v>2011</v>
      </c>
      <c r="C613">
        <v>2</v>
      </c>
      <c r="D613">
        <v>1</v>
      </c>
      <c r="E613">
        <v>10950</v>
      </c>
      <c r="F613">
        <v>54592</v>
      </c>
      <c r="G613">
        <v>0</v>
      </c>
      <c r="H613">
        <v>0</v>
      </c>
      <c r="I613">
        <v>0</v>
      </c>
      <c r="J613">
        <v>0</v>
      </c>
      <c r="K613">
        <v>22431.48</v>
      </c>
      <c r="L613">
        <v>10838476</v>
      </c>
      <c r="M613">
        <v>10795076</v>
      </c>
      <c r="N613">
        <v>10838476</v>
      </c>
      <c r="O613">
        <v>10795076</v>
      </c>
      <c r="P613">
        <v>10991585.08</v>
      </c>
      <c r="Q613">
        <v>10969153.6</v>
      </c>
      <c r="R613" s="14">
        <f>_xlfn.XLOOKUP(Table2[[#This Row],[LoanID]],Table1[G-L ID],Table1[ManagerCode],-99)</f>
        <v>103</v>
      </c>
      <c r="T613"/>
    </row>
    <row r="614" spans="1:20" x14ac:dyDescent="0.25">
      <c r="A614">
        <v>20110228</v>
      </c>
      <c r="B614">
        <v>2011</v>
      </c>
      <c r="C614">
        <v>2</v>
      </c>
      <c r="D614">
        <v>1</v>
      </c>
      <c r="E614">
        <v>11180</v>
      </c>
      <c r="F614">
        <v>217313</v>
      </c>
      <c r="G614">
        <v>0</v>
      </c>
      <c r="H614">
        <v>0</v>
      </c>
      <c r="I614">
        <v>0</v>
      </c>
      <c r="J614">
        <v>0</v>
      </c>
      <c r="K614">
        <v>0</v>
      </c>
      <c r="L614">
        <v>169975207</v>
      </c>
      <c r="M614">
        <v>169975207</v>
      </c>
      <c r="N614">
        <v>169975207</v>
      </c>
      <c r="O614">
        <v>169975207</v>
      </c>
      <c r="P614">
        <v>199970831.5</v>
      </c>
      <c r="Q614">
        <v>199970831.5</v>
      </c>
      <c r="R614" s="14">
        <f>_xlfn.XLOOKUP(Table2[[#This Row],[LoanID]],Table1[G-L ID],Table1[ManagerCode],-99)</f>
        <v>103</v>
      </c>
      <c r="T614"/>
    </row>
    <row r="615" spans="1:20" x14ac:dyDescent="0.25">
      <c r="A615">
        <v>20110228</v>
      </c>
      <c r="B615">
        <v>2011</v>
      </c>
      <c r="C615">
        <v>2</v>
      </c>
      <c r="D615">
        <v>1</v>
      </c>
      <c r="E615">
        <v>11200</v>
      </c>
      <c r="F615">
        <v>69880</v>
      </c>
      <c r="G615">
        <v>0</v>
      </c>
      <c r="H615">
        <v>0</v>
      </c>
      <c r="I615">
        <v>0</v>
      </c>
      <c r="J615">
        <v>0</v>
      </c>
      <c r="K615">
        <v>0</v>
      </c>
      <c r="L615">
        <v>11879576</v>
      </c>
      <c r="M615">
        <v>11879576</v>
      </c>
      <c r="N615">
        <v>11879576</v>
      </c>
      <c r="O615">
        <v>11879576</v>
      </c>
      <c r="P615">
        <v>13976000</v>
      </c>
      <c r="Q615">
        <v>13976000</v>
      </c>
      <c r="R615" s="14">
        <f>_xlfn.XLOOKUP(Table2[[#This Row],[LoanID]],Table1[G-L ID],Table1[ManagerCode],-99)</f>
        <v>103</v>
      </c>
      <c r="T615"/>
    </row>
    <row r="616" spans="1:20" x14ac:dyDescent="0.25">
      <c r="A616">
        <v>20110228</v>
      </c>
      <c r="B616">
        <v>2011</v>
      </c>
      <c r="C616">
        <v>2</v>
      </c>
      <c r="D616">
        <v>1</v>
      </c>
      <c r="E616">
        <v>11240</v>
      </c>
      <c r="F616">
        <v>257155</v>
      </c>
      <c r="G616">
        <v>0</v>
      </c>
      <c r="H616">
        <v>0</v>
      </c>
      <c r="I616">
        <v>0</v>
      </c>
      <c r="J616">
        <v>0</v>
      </c>
      <c r="K616">
        <v>0</v>
      </c>
      <c r="L616">
        <v>185183145</v>
      </c>
      <c r="M616">
        <v>185183145</v>
      </c>
      <c r="N616">
        <v>185183145</v>
      </c>
      <c r="O616">
        <v>185183145</v>
      </c>
      <c r="P616">
        <v>194929626.59999999</v>
      </c>
      <c r="Q616">
        <v>194929626.59999999</v>
      </c>
      <c r="R616" s="14">
        <f>_xlfn.XLOOKUP(Table2[[#This Row],[LoanID]],Table1[G-L ID],Table1[ManagerCode],-99)</f>
        <v>103</v>
      </c>
      <c r="T616"/>
    </row>
    <row r="617" spans="1:20" x14ac:dyDescent="0.25">
      <c r="A617">
        <v>20110228</v>
      </c>
      <c r="B617">
        <v>2011</v>
      </c>
      <c r="C617">
        <v>2</v>
      </c>
      <c r="D617">
        <v>1</v>
      </c>
      <c r="E617">
        <v>11280</v>
      </c>
      <c r="F617">
        <v>24466</v>
      </c>
      <c r="G617">
        <v>0</v>
      </c>
      <c r="H617">
        <v>0</v>
      </c>
      <c r="I617">
        <v>0</v>
      </c>
      <c r="J617">
        <v>0</v>
      </c>
      <c r="K617">
        <v>0</v>
      </c>
      <c r="L617">
        <v>17851567</v>
      </c>
      <c r="M617">
        <v>17851567</v>
      </c>
      <c r="N617">
        <v>17851567</v>
      </c>
      <c r="O617">
        <v>17851567</v>
      </c>
      <c r="P617">
        <v>18791123.030000001</v>
      </c>
      <c r="Q617">
        <v>18791123.030000001</v>
      </c>
      <c r="R617" s="14">
        <f>_xlfn.XLOOKUP(Table2[[#This Row],[LoanID]],Table1[G-L ID],Table1[ManagerCode],-99)</f>
        <v>103</v>
      </c>
      <c r="T617"/>
    </row>
    <row r="618" spans="1:20" x14ac:dyDescent="0.25">
      <c r="A618">
        <v>20110228</v>
      </c>
      <c r="B618">
        <v>2011</v>
      </c>
      <c r="C618">
        <v>2</v>
      </c>
      <c r="D618">
        <v>1</v>
      </c>
      <c r="E618">
        <v>11300</v>
      </c>
      <c r="F618">
        <v>22019</v>
      </c>
      <c r="G618">
        <v>0</v>
      </c>
      <c r="H618">
        <v>0</v>
      </c>
      <c r="I618">
        <v>-141</v>
      </c>
      <c r="J618">
        <v>0</v>
      </c>
      <c r="K618">
        <v>0</v>
      </c>
      <c r="L618">
        <v>16066410</v>
      </c>
      <c r="M618">
        <v>16066410</v>
      </c>
      <c r="N618">
        <v>16066410</v>
      </c>
      <c r="O618">
        <v>16066410</v>
      </c>
      <c r="P618">
        <v>16912010.73</v>
      </c>
      <c r="Q618">
        <v>16912010.73</v>
      </c>
      <c r="R618" s="14">
        <f>_xlfn.XLOOKUP(Table2[[#This Row],[LoanID]],Table1[G-L ID],Table1[ManagerCode],-99)</f>
        <v>103</v>
      </c>
      <c r="T618"/>
    </row>
    <row r="619" spans="1:20" x14ac:dyDescent="0.25">
      <c r="A619">
        <v>20110228</v>
      </c>
      <c r="B619">
        <v>2011</v>
      </c>
      <c r="C619">
        <v>2</v>
      </c>
      <c r="D619">
        <v>1</v>
      </c>
      <c r="E619">
        <v>11310</v>
      </c>
      <c r="F619">
        <v>14680</v>
      </c>
      <c r="G619">
        <v>0</v>
      </c>
      <c r="H619">
        <v>0</v>
      </c>
      <c r="I619">
        <v>-94</v>
      </c>
      <c r="J619">
        <v>0</v>
      </c>
      <c r="K619">
        <v>0</v>
      </c>
      <c r="L619">
        <v>10710940</v>
      </c>
      <c r="M619">
        <v>10710940</v>
      </c>
      <c r="N619">
        <v>10710940</v>
      </c>
      <c r="O619">
        <v>10710940</v>
      </c>
      <c r="P619">
        <v>11274673.789999999</v>
      </c>
      <c r="Q619">
        <v>11274673.789999999</v>
      </c>
      <c r="R619" s="14">
        <f>_xlfn.XLOOKUP(Table2[[#This Row],[LoanID]],Table1[G-L ID],Table1[ManagerCode],-99)</f>
        <v>103</v>
      </c>
      <c r="T619"/>
    </row>
    <row r="620" spans="1:20" x14ac:dyDescent="0.25">
      <c r="A620">
        <v>20110228</v>
      </c>
      <c r="B620">
        <v>2011</v>
      </c>
      <c r="C620">
        <v>2</v>
      </c>
      <c r="D620">
        <v>1</v>
      </c>
      <c r="E620">
        <v>11380</v>
      </c>
      <c r="F620">
        <v>38196</v>
      </c>
      <c r="G620">
        <v>0</v>
      </c>
      <c r="H620">
        <v>0</v>
      </c>
      <c r="I620">
        <v>0</v>
      </c>
      <c r="J620">
        <v>0</v>
      </c>
      <c r="K620">
        <v>52503.63</v>
      </c>
      <c r="L620">
        <v>6495079</v>
      </c>
      <c r="M620">
        <v>6409451</v>
      </c>
      <c r="N620">
        <v>6495079</v>
      </c>
      <c r="O620">
        <v>6409451</v>
      </c>
      <c r="P620">
        <v>5780031.04</v>
      </c>
      <c r="Q620">
        <v>5727527.4100000001</v>
      </c>
      <c r="R620" s="14">
        <f>_xlfn.XLOOKUP(Table2[[#This Row],[LoanID]],Table1[G-L ID],Table1[ManagerCode],-99)</f>
        <v>103</v>
      </c>
      <c r="T620"/>
    </row>
    <row r="621" spans="1:20" x14ac:dyDescent="0.25">
      <c r="A621">
        <v>20110228</v>
      </c>
      <c r="B621">
        <v>2011</v>
      </c>
      <c r="C621">
        <v>2</v>
      </c>
      <c r="D621">
        <v>1</v>
      </c>
      <c r="E621">
        <v>11420</v>
      </c>
      <c r="F621">
        <v>514857</v>
      </c>
      <c r="G621">
        <v>0</v>
      </c>
      <c r="H621">
        <v>0</v>
      </c>
      <c r="I621">
        <v>0</v>
      </c>
      <c r="J621">
        <v>0</v>
      </c>
      <c r="K621">
        <v>0</v>
      </c>
      <c r="L621">
        <v>100001173</v>
      </c>
      <c r="M621">
        <v>99720371</v>
      </c>
      <c r="N621">
        <v>100001173</v>
      </c>
      <c r="O621">
        <v>99720371</v>
      </c>
      <c r="P621">
        <v>98000000</v>
      </c>
      <c r="Q621">
        <v>98000000</v>
      </c>
      <c r="R621" s="14">
        <f>_xlfn.XLOOKUP(Table2[[#This Row],[LoanID]],Table1[G-L ID],Table1[ManagerCode],-99)</f>
        <v>103</v>
      </c>
      <c r="T621"/>
    </row>
    <row r="622" spans="1:20" x14ac:dyDescent="0.25">
      <c r="A622">
        <v>20110228</v>
      </c>
      <c r="B622">
        <v>2011</v>
      </c>
      <c r="C622">
        <v>2</v>
      </c>
      <c r="D622">
        <v>1</v>
      </c>
      <c r="E622">
        <v>11510</v>
      </c>
      <c r="F622">
        <v>0</v>
      </c>
      <c r="G622">
        <v>0</v>
      </c>
      <c r="H622">
        <v>0</v>
      </c>
      <c r="I622">
        <v>0</v>
      </c>
      <c r="J622">
        <v>0</v>
      </c>
      <c r="K622">
        <v>0</v>
      </c>
      <c r="L622">
        <v>14456844</v>
      </c>
      <c r="M622">
        <v>14456844</v>
      </c>
      <c r="N622">
        <v>14456844</v>
      </c>
      <c r="O622">
        <v>14456844</v>
      </c>
      <c r="P622">
        <v>14602872.720000001</v>
      </c>
      <c r="Q622">
        <v>14602872.720000001</v>
      </c>
      <c r="R622" s="14">
        <f>_xlfn.XLOOKUP(Table2[[#This Row],[LoanID]],Table1[G-L ID],Table1[ManagerCode],-99)</f>
        <v>103</v>
      </c>
      <c r="T622"/>
    </row>
    <row r="623" spans="1:20" x14ac:dyDescent="0.25">
      <c r="A623">
        <v>20110228</v>
      </c>
      <c r="B623">
        <v>2011</v>
      </c>
      <c r="C623">
        <v>2</v>
      </c>
      <c r="D623">
        <v>1</v>
      </c>
      <c r="E623">
        <v>11650</v>
      </c>
      <c r="F623">
        <v>37500</v>
      </c>
      <c r="G623">
        <v>0</v>
      </c>
      <c r="H623">
        <v>0</v>
      </c>
      <c r="I623">
        <v>0</v>
      </c>
      <c r="J623">
        <v>0</v>
      </c>
      <c r="K623">
        <v>0</v>
      </c>
      <c r="L623">
        <v>5100000</v>
      </c>
      <c r="M623">
        <v>4800000</v>
      </c>
      <c r="N623">
        <v>5100000</v>
      </c>
      <c r="O623">
        <v>4800000</v>
      </c>
      <c r="P623">
        <v>6000000</v>
      </c>
      <c r="Q623">
        <v>6000000</v>
      </c>
      <c r="R623" s="14">
        <f>_xlfn.XLOOKUP(Table2[[#This Row],[LoanID]],Table1[G-L ID],Table1[ManagerCode],-99)</f>
        <v>103</v>
      </c>
      <c r="T623"/>
    </row>
    <row r="624" spans="1:20" x14ac:dyDescent="0.25">
      <c r="A624">
        <v>20110228</v>
      </c>
      <c r="B624">
        <v>2011</v>
      </c>
      <c r="C624">
        <v>2</v>
      </c>
      <c r="D624">
        <v>1</v>
      </c>
      <c r="E624">
        <v>11780</v>
      </c>
      <c r="F624">
        <v>190037</v>
      </c>
      <c r="G624">
        <v>0</v>
      </c>
      <c r="H624">
        <v>0</v>
      </c>
      <c r="I624">
        <v>-1147</v>
      </c>
      <c r="J624">
        <v>0</v>
      </c>
      <c r="K624">
        <v>19260.990000000002</v>
      </c>
      <c r="L624">
        <v>56629507</v>
      </c>
      <c r="M624">
        <v>56613135</v>
      </c>
      <c r="N624">
        <v>56629507</v>
      </c>
      <c r="O624">
        <v>56613135</v>
      </c>
      <c r="P624">
        <v>66622949.590000004</v>
      </c>
      <c r="Q624">
        <v>66603688.600000001</v>
      </c>
      <c r="R624" s="14">
        <f>_xlfn.XLOOKUP(Table2[[#This Row],[LoanID]],Table1[G-L ID],Table1[ManagerCode],-99)</f>
        <v>103</v>
      </c>
      <c r="T624"/>
    </row>
    <row r="625" spans="1:20" x14ac:dyDescent="0.25">
      <c r="A625">
        <v>20110228</v>
      </c>
      <c r="B625">
        <v>2011</v>
      </c>
      <c r="C625">
        <v>2</v>
      </c>
      <c r="D625">
        <v>1</v>
      </c>
      <c r="E625">
        <v>11800</v>
      </c>
      <c r="F625">
        <v>167891</v>
      </c>
      <c r="G625">
        <v>0</v>
      </c>
      <c r="H625">
        <v>0</v>
      </c>
      <c r="I625">
        <v>-282</v>
      </c>
      <c r="J625">
        <v>0</v>
      </c>
      <c r="K625">
        <v>52923.61</v>
      </c>
      <c r="L625">
        <v>29526012</v>
      </c>
      <c r="M625">
        <v>29478380</v>
      </c>
      <c r="N625">
        <v>29526012</v>
      </c>
      <c r="O625">
        <v>29478380</v>
      </c>
      <c r="P625">
        <v>32806646.870000001</v>
      </c>
      <c r="Q625">
        <v>32753723.260000002</v>
      </c>
      <c r="R625" s="14">
        <f>_xlfn.XLOOKUP(Table2[[#This Row],[LoanID]],Table1[G-L ID],Table1[ManagerCode],-99)</f>
        <v>103</v>
      </c>
      <c r="T625"/>
    </row>
    <row r="626" spans="1:20" x14ac:dyDescent="0.25">
      <c r="A626">
        <v>20110228</v>
      </c>
      <c r="B626">
        <v>2011</v>
      </c>
      <c r="C626">
        <v>2</v>
      </c>
      <c r="D626">
        <v>1</v>
      </c>
      <c r="E626">
        <v>11810</v>
      </c>
      <c r="F626">
        <v>51167</v>
      </c>
      <c r="G626">
        <v>0</v>
      </c>
      <c r="H626">
        <v>0</v>
      </c>
      <c r="I626">
        <v>0</v>
      </c>
      <c r="J626">
        <v>0</v>
      </c>
      <c r="K626">
        <v>0</v>
      </c>
      <c r="L626">
        <v>9500000</v>
      </c>
      <c r="M626">
        <v>9500000</v>
      </c>
      <c r="N626">
        <v>9500000</v>
      </c>
      <c r="O626">
        <v>9500000</v>
      </c>
      <c r="P626">
        <v>10000000</v>
      </c>
      <c r="Q626">
        <v>10000000</v>
      </c>
      <c r="R626" s="14">
        <f>_xlfn.XLOOKUP(Table2[[#This Row],[LoanID]],Table1[G-L ID],Table1[ManagerCode],-99)</f>
        <v>103</v>
      </c>
      <c r="T626"/>
    </row>
    <row r="627" spans="1:20" x14ac:dyDescent="0.25">
      <c r="A627">
        <v>20110228</v>
      </c>
      <c r="B627">
        <v>2011</v>
      </c>
      <c r="C627">
        <v>2</v>
      </c>
      <c r="D627">
        <v>1</v>
      </c>
      <c r="E627">
        <v>11860</v>
      </c>
      <c r="F627">
        <v>368689</v>
      </c>
      <c r="G627">
        <v>0</v>
      </c>
      <c r="H627">
        <v>0</v>
      </c>
      <c r="I627">
        <v>0</v>
      </c>
      <c r="J627">
        <v>0</v>
      </c>
      <c r="K627">
        <v>50000000</v>
      </c>
      <c r="L627">
        <v>47500000</v>
      </c>
      <c r="M627">
        <v>0</v>
      </c>
      <c r="N627">
        <v>47500000</v>
      </c>
      <c r="O627">
        <v>0</v>
      </c>
      <c r="P627">
        <v>50000000</v>
      </c>
      <c r="Q627">
        <v>0</v>
      </c>
      <c r="R627" s="14">
        <f>_xlfn.XLOOKUP(Table2[[#This Row],[LoanID]],Table1[G-L ID],Table1[ManagerCode],-99)</f>
        <v>103</v>
      </c>
      <c r="T627"/>
    </row>
    <row r="628" spans="1:20" x14ac:dyDescent="0.25">
      <c r="A628">
        <v>20110228</v>
      </c>
      <c r="B628">
        <v>2011</v>
      </c>
      <c r="C628">
        <v>2</v>
      </c>
      <c r="D628">
        <v>1</v>
      </c>
      <c r="E628">
        <v>11870</v>
      </c>
      <c r="F628">
        <v>184345</v>
      </c>
      <c r="G628">
        <v>0</v>
      </c>
      <c r="H628">
        <v>0</v>
      </c>
      <c r="I628">
        <v>0</v>
      </c>
      <c r="J628">
        <v>0</v>
      </c>
      <c r="K628">
        <v>25000000</v>
      </c>
      <c r="L628">
        <v>23750000</v>
      </c>
      <c r="M628">
        <v>0</v>
      </c>
      <c r="N628">
        <v>23750000</v>
      </c>
      <c r="O628">
        <v>0</v>
      </c>
      <c r="P628">
        <v>25000000</v>
      </c>
      <c r="Q628">
        <v>0</v>
      </c>
      <c r="R628" s="14">
        <f>_xlfn.XLOOKUP(Table2[[#This Row],[LoanID]],Table1[G-L ID],Table1[ManagerCode],-99)</f>
        <v>103</v>
      </c>
      <c r="T628"/>
    </row>
    <row r="629" spans="1:20" x14ac:dyDescent="0.25">
      <c r="A629">
        <v>20110228</v>
      </c>
      <c r="B629">
        <v>2011</v>
      </c>
      <c r="C629">
        <v>2</v>
      </c>
      <c r="D629">
        <v>1</v>
      </c>
      <c r="E629">
        <v>11900</v>
      </c>
      <c r="F629">
        <v>280094</v>
      </c>
      <c r="G629">
        <v>0</v>
      </c>
      <c r="H629">
        <v>0</v>
      </c>
      <c r="I629">
        <v>0</v>
      </c>
      <c r="J629">
        <v>0</v>
      </c>
      <c r="K629">
        <v>0</v>
      </c>
      <c r="L629">
        <v>52249948</v>
      </c>
      <c r="M629">
        <v>52249948</v>
      </c>
      <c r="N629">
        <v>52249948</v>
      </c>
      <c r="O629">
        <v>52249948</v>
      </c>
      <c r="P629">
        <v>55000000</v>
      </c>
      <c r="Q629">
        <v>55000000</v>
      </c>
      <c r="R629" s="14">
        <f>_xlfn.XLOOKUP(Table2[[#This Row],[LoanID]],Table1[G-L ID],Table1[ManagerCode],-99)</f>
        <v>103</v>
      </c>
      <c r="T629"/>
    </row>
    <row r="630" spans="1:20" x14ac:dyDescent="0.25">
      <c r="A630">
        <v>20110228</v>
      </c>
      <c r="B630">
        <v>2011</v>
      </c>
      <c r="C630">
        <v>2</v>
      </c>
      <c r="D630">
        <v>1</v>
      </c>
      <c r="E630">
        <v>11930</v>
      </c>
      <c r="F630">
        <v>167651</v>
      </c>
      <c r="G630">
        <v>0</v>
      </c>
      <c r="H630">
        <v>0</v>
      </c>
      <c r="I630">
        <v>0</v>
      </c>
      <c r="J630">
        <v>0</v>
      </c>
      <c r="K630">
        <v>0</v>
      </c>
      <c r="L630">
        <v>165982669</v>
      </c>
      <c r="M630">
        <v>166159856</v>
      </c>
      <c r="N630">
        <v>165982669</v>
      </c>
      <c r="O630">
        <v>166159856</v>
      </c>
      <c r="P630">
        <v>167548986.5</v>
      </c>
      <c r="Q630">
        <v>167548986.5</v>
      </c>
      <c r="R630" s="14">
        <f>_xlfn.XLOOKUP(Table2[[#This Row],[LoanID]],Table1[G-L ID],Table1[ManagerCode],-99)</f>
        <v>103</v>
      </c>
      <c r="T630"/>
    </row>
    <row r="631" spans="1:20" x14ac:dyDescent="0.25">
      <c r="A631">
        <v>20110228</v>
      </c>
      <c r="B631">
        <v>2011</v>
      </c>
      <c r="C631">
        <v>2</v>
      </c>
      <c r="D631">
        <v>1</v>
      </c>
      <c r="E631">
        <v>11940</v>
      </c>
      <c r="F631">
        <v>55022</v>
      </c>
      <c r="G631">
        <v>0</v>
      </c>
      <c r="H631">
        <v>0</v>
      </c>
      <c r="I631">
        <v>0</v>
      </c>
      <c r="J631">
        <v>0</v>
      </c>
      <c r="K631">
        <v>0</v>
      </c>
      <c r="L631">
        <v>54474514</v>
      </c>
      <c r="M631">
        <v>54532666</v>
      </c>
      <c r="N631">
        <v>54474514</v>
      </c>
      <c r="O631">
        <v>54532666</v>
      </c>
      <c r="P631">
        <v>54971243.560000002</v>
      </c>
      <c r="Q631">
        <v>54973409.420000002</v>
      </c>
      <c r="R631" s="14">
        <f>_xlfn.XLOOKUP(Table2[[#This Row],[LoanID]],Table1[G-L ID],Table1[ManagerCode],-99)</f>
        <v>103</v>
      </c>
      <c r="T631"/>
    </row>
    <row r="632" spans="1:20" x14ac:dyDescent="0.25">
      <c r="A632">
        <v>20110228</v>
      </c>
      <c r="B632">
        <v>2011</v>
      </c>
      <c r="C632">
        <v>2</v>
      </c>
      <c r="D632">
        <v>1</v>
      </c>
      <c r="E632">
        <v>11951</v>
      </c>
      <c r="F632">
        <v>166620</v>
      </c>
      <c r="G632">
        <v>0</v>
      </c>
      <c r="H632">
        <v>0</v>
      </c>
      <c r="I632">
        <v>-283</v>
      </c>
      <c r="J632">
        <v>0</v>
      </c>
      <c r="K632">
        <v>34000000</v>
      </c>
      <c r="L632">
        <v>34107852</v>
      </c>
      <c r="M632">
        <v>0</v>
      </c>
      <c r="N632">
        <v>34107852</v>
      </c>
      <c r="O632">
        <v>0</v>
      </c>
      <c r="P632">
        <v>34000000</v>
      </c>
      <c r="Q632">
        <v>0</v>
      </c>
      <c r="R632" s="14">
        <f>_xlfn.XLOOKUP(Table2[[#This Row],[LoanID]],Table1[G-L ID],Table1[ManagerCode],-99)</f>
        <v>103</v>
      </c>
      <c r="T632"/>
    </row>
    <row r="633" spans="1:20" x14ac:dyDescent="0.25">
      <c r="A633">
        <v>20110228</v>
      </c>
      <c r="B633">
        <v>2011</v>
      </c>
      <c r="C633">
        <v>2</v>
      </c>
      <c r="D633">
        <v>1</v>
      </c>
      <c r="E633">
        <v>11952</v>
      </c>
      <c r="F633">
        <v>119242</v>
      </c>
      <c r="G633">
        <v>0</v>
      </c>
      <c r="H633">
        <v>0</v>
      </c>
      <c r="I633">
        <v>-175</v>
      </c>
      <c r="J633">
        <v>0</v>
      </c>
      <c r="K633">
        <v>21000000</v>
      </c>
      <c r="L633">
        <v>21082852</v>
      </c>
      <c r="M633">
        <v>0</v>
      </c>
      <c r="N633">
        <v>21082852</v>
      </c>
      <c r="O633">
        <v>0</v>
      </c>
      <c r="P633">
        <v>21000000</v>
      </c>
      <c r="Q633">
        <v>0</v>
      </c>
      <c r="R633" s="14">
        <f>_xlfn.XLOOKUP(Table2[[#This Row],[LoanID]],Table1[G-L ID],Table1[ManagerCode],-99)</f>
        <v>103</v>
      </c>
      <c r="T633"/>
    </row>
    <row r="634" spans="1:20" x14ac:dyDescent="0.25">
      <c r="A634">
        <v>20110228</v>
      </c>
      <c r="B634">
        <v>2011</v>
      </c>
      <c r="C634">
        <v>2</v>
      </c>
      <c r="D634">
        <v>1</v>
      </c>
      <c r="E634">
        <v>12000</v>
      </c>
      <c r="F634">
        <v>129709</v>
      </c>
      <c r="G634">
        <v>0</v>
      </c>
      <c r="H634">
        <v>0</v>
      </c>
      <c r="I634">
        <v>0</v>
      </c>
      <c r="J634">
        <v>0</v>
      </c>
      <c r="K634">
        <v>0</v>
      </c>
      <c r="L634">
        <v>22594547</v>
      </c>
      <c r="M634">
        <v>22594547</v>
      </c>
      <c r="N634">
        <v>22594547</v>
      </c>
      <c r="O634">
        <v>22594547</v>
      </c>
      <c r="P634">
        <v>25091163.100000001</v>
      </c>
      <c r="Q634">
        <v>25091857.550000001</v>
      </c>
      <c r="R634" s="14">
        <f>_xlfn.XLOOKUP(Table2[[#This Row],[LoanID]],Table1[G-L ID],Table1[ManagerCode],-99)</f>
        <v>103</v>
      </c>
      <c r="T634"/>
    </row>
    <row r="635" spans="1:20" x14ac:dyDescent="0.25">
      <c r="A635">
        <v>20110228</v>
      </c>
      <c r="B635">
        <v>2011</v>
      </c>
      <c r="C635">
        <v>2</v>
      </c>
      <c r="D635">
        <v>1</v>
      </c>
      <c r="E635">
        <v>12110</v>
      </c>
      <c r="F635">
        <v>13181.6</v>
      </c>
      <c r="G635">
        <v>0</v>
      </c>
      <c r="H635">
        <v>0</v>
      </c>
      <c r="I635">
        <v>0</v>
      </c>
      <c r="J635">
        <v>-4332128.25</v>
      </c>
      <c r="K635">
        <v>0</v>
      </c>
      <c r="L635">
        <v>1054528.24</v>
      </c>
      <c r="M635">
        <v>5386656.4900000002</v>
      </c>
      <c r="N635">
        <v>1054528.24</v>
      </c>
      <c r="O635">
        <v>5386656.4900000002</v>
      </c>
      <c r="P635">
        <v>1054528.24</v>
      </c>
      <c r="Q635">
        <v>5386656.4900000002</v>
      </c>
      <c r="R635" s="14">
        <f>_xlfn.XLOOKUP(Table2[[#This Row],[LoanID]],Table1[G-L ID],Table1[ManagerCode],-99)</f>
        <v>183</v>
      </c>
      <c r="T635"/>
    </row>
    <row r="636" spans="1:20" x14ac:dyDescent="0.25">
      <c r="A636">
        <v>20110228</v>
      </c>
      <c r="B636">
        <v>2011</v>
      </c>
      <c r="C636">
        <v>2</v>
      </c>
      <c r="D636">
        <v>1</v>
      </c>
      <c r="E636">
        <v>12200</v>
      </c>
      <c r="F636">
        <v>91290</v>
      </c>
      <c r="G636">
        <v>0</v>
      </c>
      <c r="H636">
        <v>0</v>
      </c>
      <c r="I636">
        <v>0</v>
      </c>
      <c r="J636">
        <v>0</v>
      </c>
      <c r="K636">
        <v>30919.59</v>
      </c>
      <c r="L636">
        <v>21391584</v>
      </c>
      <c r="M636">
        <v>21277334</v>
      </c>
      <c r="N636">
        <v>21391584</v>
      </c>
      <c r="O636">
        <v>21277334</v>
      </c>
      <c r="P636">
        <v>19865958.870000001</v>
      </c>
      <c r="Q636">
        <v>19835383.710000001</v>
      </c>
      <c r="R636" s="14">
        <f>_xlfn.XLOOKUP(Table2[[#This Row],[LoanID]],Table1[G-L ID],Table1[ManagerCode],-99)</f>
        <v>103</v>
      </c>
      <c r="T636"/>
    </row>
    <row r="637" spans="1:20" x14ac:dyDescent="0.25">
      <c r="A637">
        <v>20110228</v>
      </c>
      <c r="B637">
        <v>2011</v>
      </c>
      <c r="C637">
        <v>2</v>
      </c>
      <c r="D637">
        <v>1</v>
      </c>
      <c r="E637">
        <v>12210</v>
      </c>
      <c r="F637">
        <v>732743</v>
      </c>
      <c r="G637">
        <v>0</v>
      </c>
      <c r="H637">
        <v>0</v>
      </c>
      <c r="I637">
        <v>0</v>
      </c>
      <c r="J637">
        <v>0</v>
      </c>
      <c r="K637">
        <v>172041.79</v>
      </c>
      <c r="L637">
        <v>138340424</v>
      </c>
      <c r="M637">
        <v>137366194</v>
      </c>
      <c r="N637">
        <v>138340424</v>
      </c>
      <c r="O637">
        <v>137366194</v>
      </c>
      <c r="P637">
        <v>118558979.5</v>
      </c>
      <c r="Q637">
        <v>118386937.8</v>
      </c>
      <c r="R637" s="14">
        <f>_xlfn.XLOOKUP(Table2[[#This Row],[LoanID]],Table1[G-L ID],Table1[ManagerCode],-99)</f>
        <v>103</v>
      </c>
      <c r="T637"/>
    </row>
    <row r="638" spans="1:20" x14ac:dyDescent="0.25">
      <c r="A638">
        <v>20110331</v>
      </c>
      <c r="B638">
        <v>2011</v>
      </c>
      <c r="C638">
        <v>3</v>
      </c>
      <c r="D638">
        <v>1</v>
      </c>
      <c r="E638">
        <v>10050</v>
      </c>
      <c r="F638">
        <v>139080</v>
      </c>
      <c r="G638">
        <v>0</v>
      </c>
      <c r="H638">
        <v>0</v>
      </c>
      <c r="I638">
        <v>-69</v>
      </c>
      <c r="J638">
        <v>0</v>
      </c>
      <c r="K638">
        <v>0</v>
      </c>
      <c r="L638">
        <v>31705551</v>
      </c>
      <c r="M638">
        <v>31639224</v>
      </c>
      <c r="N638">
        <v>31705551</v>
      </c>
      <c r="O638">
        <v>31639224</v>
      </c>
      <c r="P638">
        <v>33333334</v>
      </c>
      <c r="Q638">
        <v>33333334</v>
      </c>
      <c r="R638" s="14">
        <f>_xlfn.XLOOKUP(Table2[[#This Row],[LoanID]],Table1[G-L ID],Table1[ManagerCode],-99)</f>
        <v>103</v>
      </c>
      <c r="T638"/>
    </row>
    <row r="639" spans="1:20" x14ac:dyDescent="0.25">
      <c r="A639">
        <v>20110331</v>
      </c>
      <c r="B639">
        <v>2011</v>
      </c>
      <c r="C639">
        <v>3</v>
      </c>
      <c r="D639">
        <v>1</v>
      </c>
      <c r="E639">
        <v>10080</v>
      </c>
      <c r="F639">
        <v>317071</v>
      </c>
      <c r="G639">
        <v>0</v>
      </c>
      <c r="H639">
        <v>0</v>
      </c>
      <c r="I639">
        <v>-146</v>
      </c>
      <c r="J639">
        <v>0</v>
      </c>
      <c r="K639">
        <v>0</v>
      </c>
      <c r="L639">
        <v>71249929</v>
      </c>
      <c r="M639">
        <v>71249929</v>
      </c>
      <c r="N639">
        <v>71249929</v>
      </c>
      <c r="O639">
        <v>71249929</v>
      </c>
      <c r="P639">
        <v>75000000</v>
      </c>
      <c r="Q639">
        <v>75000000</v>
      </c>
      <c r="R639" s="14">
        <f>_xlfn.XLOOKUP(Table2[[#This Row],[LoanID]],Table1[G-L ID],Table1[ManagerCode],-99)</f>
        <v>103</v>
      </c>
      <c r="T639"/>
    </row>
    <row r="640" spans="1:20" x14ac:dyDescent="0.25">
      <c r="A640">
        <v>20110331</v>
      </c>
      <c r="B640">
        <v>2011</v>
      </c>
      <c r="C640">
        <v>3</v>
      </c>
      <c r="D640">
        <v>1</v>
      </c>
      <c r="E640">
        <v>10130</v>
      </c>
      <c r="F640">
        <v>37111</v>
      </c>
      <c r="G640">
        <v>0</v>
      </c>
      <c r="H640">
        <v>0</v>
      </c>
      <c r="I640">
        <v>0</v>
      </c>
      <c r="J640">
        <v>0</v>
      </c>
      <c r="K640">
        <v>30579.96</v>
      </c>
      <c r="L640">
        <v>8664572</v>
      </c>
      <c r="M640">
        <v>8631878</v>
      </c>
      <c r="N640">
        <v>8664572</v>
      </c>
      <c r="O640">
        <v>8631878</v>
      </c>
      <c r="P640">
        <v>8201265.3799999999</v>
      </c>
      <c r="Q640">
        <v>8170685.4199999999</v>
      </c>
      <c r="R640" s="14">
        <f>_xlfn.XLOOKUP(Table2[[#This Row],[LoanID]],Table1[G-L ID],Table1[ManagerCode],-99)</f>
        <v>103</v>
      </c>
      <c r="T640"/>
    </row>
    <row r="641" spans="1:20" x14ac:dyDescent="0.25">
      <c r="A641">
        <v>20110331</v>
      </c>
      <c r="B641">
        <v>2011</v>
      </c>
      <c r="C641">
        <v>3</v>
      </c>
      <c r="D641">
        <v>1</v>
      </c>
      <c r="E641">
        <v>10140</v>
      </c>
      <c r="F641">
        <v>97852</v>
      </c>
      <c r="G641">
        <v>0</v>
      </c>
      <c r="H641">
        <v>0</v>
      </c>
      <c r="I641">
        <v>0</v>
      </c>
      <c r="J641">
        <v>0</v>
      </c>
      <c r="K641">
        <v>79972.100000000006</v>
      </c>
      <c r="L641">
        <v>22847067</v>
      </c>
      <c r="M641">
        <v>22761541</v>
      </c>
      <c r="N641">
        <v>22847067</v>
      </c>
      <c r="O641">
        <v>22761541</v>
      </c>
      <c r="P641">
        <v>21624802.5</v>
      </c>
      <c r="Q641">
        <v>21544830.399999999</v>
      </c>
      <c r="R641" s="14">
        <f>_xlfn.XLOOKUP(Table2[[#This Row],[LoanID]],Table1[G-L ID],Table1[ManagerCode],-99)</f>
        <v>103</v>
      </c>
      <c r="T641"/>
    </row>
    <row r="642" spans="1:20" x14ac:dyDescent="0.25">
      <c r="A642">
        <v>20110331</v>
      </c>
      <c r="B642">
        <v>2011</v>
      </c>
      <c r="C642">
        <v>3</v>
      </c>
      <c r="D642">
        <v>1</v>
      </c>
      <c r="E642">
        <v>10150</v>
      </c>
      <c r="F642">
        <v>244920</v>
      </c>
      <c r="G642">
        <v>0</v>
      </c>
      <c r="H642">
        <v>0</v>
      </c>
      <c r="I642">
        <v>0</v>
      </c>
      <c r="J642">
        <v>0</v>
      </c>
      <c r="K642">
        <v>68399.88</v>
      </c>
      <c r="L642">
        <v>52615857</v>
      </c>
      <c r="M642">
        <v>52548141</v>
      </c>
      <c r="N642">
        <v>52615857</v>
      </c>
      <c r="O642">
        <v>52548141</v>
      </c>
      <c r="P642">
        <v>53147223.869999997</v>
      </c>
      <c r="Q642">
        <v>53078823.990000002</v>
      </c>
      <c r="R642" s="14">
        <f>_xlfn.XLOOKUP(Table2[[#This Row],[LoanID]],Table1[G-L ID],Table1[ManagerCode],-99)</f>
        <v>103</v>
      </c>
      <c r="T642"/>
    </row>
    <row r="643" spans="1:20" x14ac:dyDescent="0.25">
      <c r="A643">
        <v>20110331</v>
      </c>
      <c r="B643">
        <v>2011</v>
      </c>
      <c r="C643">
        <v>3</v>
      </c>
      <c r="D643">
        <v>1</v>
      </c>
      <c r="E643">
        <v>10170</v>
      </c>
      <c r="F643">
        <v>227925</v>
      </c>
      <c r="G643">
        <v>0</v>
      </c>
      <c r="H643">
        <v>0</v>
      </c>
      <c r="I643">
        <v>-1092</v>
      </c>
      <c r="J643">
        <v>0</v>
      </c>
      <c r="K643">
        <v>84627.51</v>
      </c>
      <c r="L643">
        <v>50532807</v>
      </c>
      <c r="M643">
        <v>50268612</v>
      </c>
      <c r="N643">
        <v>50532807</v>
      </c>
      <c r="O643">
        <v>50268612</v>
      </c>
      <c r="P643">
        <v>46812445.100000001</v>
      </c>
      <c r="Q643">
        <v>46727817.590000004</v>
      </c>
      <c r="R643" s="14">
        <f>_xlfn.XLOOKUP(Table2[[#This Row],[LoanID]],Table1[G-L ID],Table1[ManagerCode],-99)</f>
        <v>103</v>
      </c>
      <c r="T643"/>
    </row>
    <row r="644" spans="1:20" x14ac:dyDescent="0.25">
      <c r="A644">
        <v>20110331</v>
      </c>
      <c r="B644">
        <v>2011</v>
      </c>
      <c r="C644">
        <v>3</v>
      </c>
      <c r="D644">
        <v>1</v>
      </c>
      <c r="E644">
        <v>10230</v>
      </c>
      <c r="F644">
        <v>185594</v>
      </c>
      <c r="G644">
        <v>0</v>
      </c>
      <c r="H644">
        <v>0</v>
      </c>
      <c r="I644">
        <v>0</v>
      </c>
      <c r="J644">
        <v>0</v>
      </c>
      <c r="K644">
        <v>56004.22</v>
      </c>
      <c r="L644">
        <v>29739074</v>
      </c>
      <c r="M644">
        <v>29688670</v>
      </c>
      <c r="N644">
        <v>29739074</v>
      </c>
      <c r="O644">
        <v>29688670</v>
      </c>
      <c r="P644">
        <v>33043415.43</v>
      </c>
      <c r="Q644">
        <v>32987411.210000001</v>
      </c>
      <c r="R644" s="14">
        <f>_xlfn.XLOOKUP(Table2[[#This Row],[LoanID]],Table1[G-L ID],Table1[ManagerCode],-99)</f>
        <v>103</v>
      </c>
      <c r="T644"/>
    </row>
    <row r="645" spans="1:20" x14ac:dyDescent="0.25">
      <c r="A645">
        <v>20110331</v>
      </c>
      <c r="B645">
        <v>2011</v>
      </c>
      <c r="C645">
        <v>3</v>
      </c>
      <c r="D645">
        <v>1</v>
      </c>
      <c r="E645">
        <v>10280</v>
      </c>
      <c r="F645">
        <v>163856</v>
      </c>
      <c r="G645">
        <v>0</v>
      </c>
      <c r="H645">
        <v>0</v>
      </c>
      <c r="I645">
        <v>0</v>
      </c>
      <c r="J645">
        <v>0</v>
      </c>
      <c r="K645">
        <v>0</v>
      </c>
      <c r="L645">
        <v>31500032</v>
      </c>
      <c r="M645">
        <v>31500032</v>
      </c>
      <c r="N645">
        <v>31500032</v>
      </c>
      <c r="O645">
        <v>31500032</v>
      </c>
      <c r="P645">
        <v>35000000</v>
      </c>
      <c r="Q645">
        <v>35000000</v>
      </c>
      <c r="R645" s="14">
        <f>_xlfn.XLOOKUP(Table2[[#This Row],[LoanID]],Table1[G-L ID],Table1[ManagerCode],-99)</f>
        <v>103</v>
      </c>
      <c r="T645"/>
    </row>
    <row r="646" spans="1:20" x14ac:dyDescent="0.25">
      <c r="A646">
        <v>20110331</v>
      </c>
      <c r="B646">
        <v>2011</v>
      </c>
      <c r="C646">
        <v>3</v>
      </c>
      <c r="D646">
        <v>1</v>
      </c>
      <c r="E646">
        <v>10290</v>
      </c>
      <c r="F646">
        <v>154723</v>
      </c>
      <c r="G646">
        <v>0</v>
      </c>
      <c r="H646">
        <v>0</v>
      </c>
      <c r="I646">
        <v>0</v>
      </c>
      <c r="J646">
        <v>0</v>
      </c>
      <c r="K646">
        <v>0</v>
      </c>
      <c r="L646">
        <v>21250000</v>
      </c>
      <c r="M646">
        <v>21250000</v>
      </c>
      <c r="N646">
        <v>21250000</v>
      </c>
      <c r="O646">
        <v>21250000</v>
      </c>
      <c r="P646">
        <v>25000000</v>
      </c>
      <c r="Q646">
        <v>25000000</v>
      </c>
      <c r="R646" s="14">
        <f>_xlfn.XLOOKUP(Table2[[#This Row],[LoanID]],Table1[G-L ID],Table1[ManagerCode],-99)</f>
        <v>103</v>
      </c>
      <c r="T646"/>
    </row>
    <row r="647" spans="1:20" x14ac:dyDescent="0.25">
      <c r="A647">
        <v>20110331</v>
      </c>
      <c r="B647">
        <v>2011</v>
      </c>
      <c r="C647">
        <v>3</v>
      </c>
      <c r="D647">
        <v>1</v>
      </c>
      <c r="E647">
        <v>10300</v>
      </c>
      <c r="F647">
        <v>135383</v>
      </c>
      <c r="G647">
        <v>0</v>
      </c>
      <c r="H647">
        <v>0</v>
      </c>
      <c r="I647">
        <v>0</v>
      </c>
      <c r="J647">
        <v>0</v>
      </c>
      <c r="K647">
        <v>0</v>
      </c>
      <c r="L647">
        <v>30606975</v>
      </c>
      <c r="M647">
        <v>31229065</v>
      </c>
      <c r="N647">
        <v>30606975</v>
      </c>
      <c r="O647">
        <v>31229065</v>
      </c>
      <c r="P647">
        <v>35000000</v>
      </c>
      <c r="Q647">
        <v>35000000</v>
      </c>
      <c r="R647" s="14">
        <f>_xlfn.XLOOKUP(Table2[[#This Row],[LoanID]],Table1[G-L ID],Table1[ManagerCode],-99)</f>
        <v>103</v>
      </c>
      <c r="T647"/>
    </row>
    <row r="648" spans="1:20" x14ac:dyDescent="0.25">
      <c r="A648">
        <v>20110331</v>
      </c>
      <c r="B648">
        <v>2011</v>
      </c>
      <c r="C648">
        <v>3</v>
      </c>
      <c r="D648">
        <v>1</v>
      </c>
      <c r="E648">
        <v>10310</v>
      </c>
      <c r="F648">
        <v>7640.51</v>
      </c>
      <c r="G648">
        <v>38712.75</v>
      </c>
      <c r="H648">
        <v>0</v>
      </c>
      <c r="I648">
        <v>0</v>
      </c>
      <c r="J648">
        <v>-1583993.12</v>
      </c>
      <c r="K648">
        <v>0</v>
      </c>
      <c r="L648">
        <v>7503797.6699999999</v>
      </c>
      <c r="M648">
        <v>9126503.5399999991</v>
      </c>
      <c r="N648">
        <v>7503797.6699999999</v>
      </c>
      <c r="O648">
        <v>9126503.5399999991</v>
      </c>
      <c r="P648">
        <v>7503797.6699999999</v>
      </c>
      <c r="Q648">
        <v>9126503.5399999991</v>
      </c>
      <c r="R648" s="14">
        <f>_xlfn.XLOOKUP(Table2[[#This Row],[LoanID]],Table1[G-L ID],Table1[ManagerCode],-99)</f>
        <v>183</v>
      </c>
      <c r="T648"/>
    </row>
    <row r="649" spans="1:20" x14ac:dyDescent="0.25">
      <c r="A649">
        <v>20110331</v>
      </c>
      <c r="B649">
        <v>2011</v>
      </c>
      <c r="C649">
        <v>3</v>
      </c>
      <c r="D649">
        <v>1</v>
      </c>
      <c r="E649">
        <v>10370</v>
      </c>
      <c r="F649">
        <v>5693</v>
      </c>
      <c r="G649">
        <v>0</v>
      </c>
      <c r="H649">
        <v>0</v>
      </c>
      <c r="I649">
        <v>0</v>
      </c>
      <c r="J649">
        <v>0</v>
      </c>
      <c r="K649">
        <v>33741.89</v>
      </c>
      <c r="L649">
        <v>2945711</v>
      </c>
      <c r="M649">
        <v>2915344</v>
      </c>
      <c r="N649">
        <v>2945711</v>
      </c>
      <c r="O649">
        <v>2915344</v>
      </c>
      <c r="P649">
        <v>3273012.6</v>
      </c>
      <c r="Q649">
        <v>3239270.71</v>
      </c>
      <c r="R649" s="14">
        <f>_xlfn.XLOOKUP(Table2[[#This Row],[LoanID]],Table1[G-L ID],Table1[ManagerCode],-99)</f>
        <v>103</v>
      </c>
      <c r="T649"/>
    </row>
    <row r="650" spans="1:20" x14ac:dyDescent="0.25">
      <c r="A650">
        <v>20110331</v>
      </c>
      <c r="B650">
        <v>2011</v>
      </c>
      <c r="C650">
        <v>3</v>
      </c>
      <c r="D650">
        <v>1</v>
      </c>
      <c r="E650">
        <v>10390</v>
      </c>
      <c r="F650">
        <v>118750</v>
      </c>
      <c r="G650">
        <v>0</v>
      </c>
      <c r="H650">
        <v>0</v>
      </c>
      <c r="I650">
        <v>0</v>
      </c>
      <c r="J650">
        <v>0</v>
      </c>
      <c r="K650">
        <v>0</v>
      </c>
      <c r="L650">
        <v>24241852</v>
      </c>
      <c r="M650">
        <v>24218235</v>
      </c>
      <c r="N650">
        <v>24241852</v>
      </c>
      <c r="O650">
        <v>24218235</v>
      </c>
      <c r="P650">
        <v>24992244.800000001</v>
      </c>
      <c r="Q650">
        <v>24992448.879999999</v>
      </c>
      <c r="R650" s="14">
        <f>_xlfn.XLOOKUP(Table2[[#This Row],[LoanID]],Table1[G-L ID],Table1[ManagerCode],-99)</f>
        <v>103</v>
      </c>
      <c r="T650"/>
    </row>
    <row r="651" spans="1:20" x14ac:dyDescent="0.25">
      <c r="A651">
        <v>20110331</v>
      </c>
      <c r="B651">
        <v>2011</v>
      </c>
      <c r="C651">
        <v>3</v>
      </c>
      <c r="D651">
        <v>1</v>
      </c>
      <c r="E651">
        <v>10450</v>
      </c>
      <c r="F651">
        <v>120396</v>
      </c>
      <c r="G651">
        <v>0</v>
      </c>
      <c r="H651">
        <v>0</v>
      </c>
      <c r="I651">
        <v>0</v>
      </c>
      <c r="J651">
        <v>0</v>
      </c>
      <c r="K651">
        <v>21419.23</v>
      </c>
      <c r="L651">
        <v>21379742</v>
      </c>
      <c r="M651">
        <v>21358537</v>
      </c>
      <c r="N651">
        <v>21379742</v>
      </c>
      <c r="O651">
        <v>21358537</v>
      </c>
      <c r="P651">
        <v>21595698.760000002</v>
      </c>
      <c r="Q651">
        <v>21574279.530000001</v>
      </c>
      <c r="R651" s="14">
        <f>_xlfn.XLOOKUP(Table2[[#This Row],[LoanID]],Table1[G-L ID],Table1[ManagerCode],-99)</f>
        <v>103</v>
      </c>
      <c r="T651"/>
    </row>
    <row r="652" spans="1:20" x14ac:dyDescent="0.25">
      <c r="A652">
        <v>20110331</v>
      </c>
      <c r="B652">
        <v>2011</v>
      </c>
      <c r="C652">
        <v>3</v>
      </c>
      <c r="D652">
        <v>1</v>
      </c>
      <c r="E652">
        <v>10520</v>
      </c>
      <c r="F652">
        <v>4564</v>
      </c>
      <c r="G652">
        <v>0</v>
      </c>
      <c r="H652">
        <v>0</v>
      </c>
      <c r="I652">
        <v>-11</v>
      </c>
      <c r="J652">
        <v>0</v>
      </c>
      <c r="K652">
        <v>18253.849999999999</v>
      </c>
      <c r="L652">
        <v>4067591</v>
      </c>
      <c r="M652">
        <v>4062658</v>
      </c>
      <c r="N652">
        <v>4067591</v>
      </c>
      <c r="O652">
        <v>4062658</v>
      </c>
      <c r="P652">
        <v>4144117.01</v>
      </c>
      <c r="Q652">
        <v>4125863.16</v>
      </c>
      <c r="R652" s="14">
        <f>_xlfn.XLOOKUP(Table2[[#This Row],[LoanID]],Table1[G-L ID],Table1[ManagerCode],-99)</f>
        <v>103</v>
      </c>
      <c r="T652"/>
    </row>
    <row r="653" spans="1:20" x14ac:dyDescent="0.25">
      <c r="A653">
        <v>20110331</v>
      </c>
      <c r="B653">
        <v>2011</v>
      </c>
      <c r="C653">
        <v>3</v>
      </c>
      <c r="D653">
        <v>1</v>
      </c>
      <c r="E653">
        <v>10530</v>
      </c>
      <c r="F653">
        <v>98888</v>
      </c>
      <c r="G653">
        <v>0</v>
      </c>
      <c r="H653">
        <v>0</v>
      </c>
      <c r="I653">
        <v>-244</v>
      </c>
      <c r="J653">
        <v>0</v>
      </c>
      <c r="K653">
        <v>395500.15</v>
      </c>
      <c r="L653">
        <v>88131058</v>
      </c>
      <c r="M653">
        <v>88024169</v>
      </c>
      <c r="N653">
        <v>88131058</v>
      </c>
      <c r="O653">
        <v>88024169</v>
      </c>
      <c r="P653">
        <v>89789201.780000001</v>
      </c>
      <c r="Q653">
        <v>89393701.629999995</v>
      </c>
      <c r="R653" s="14">
        <f>_xlfn.XLOOKUP(Table2[[#This Row],[LoanID]],Table1[G-L ID],Table1[ManagerCode],-99)</f>
        <v>103</v>
      </c>
      <c r="T653"/>
    </row>
    <row r="654" spans="1:20" x14ac:dyDescent="0.25">
      <c r="A654">
        <v>20110331</v>
      </c>
      <c r="B654">
        <v>2011</v>
      </c>
      <c r="C654">
        <v>3</v>
      </c>
      <c r="D654">
        <v>1</v>
      </c>
      <c r="E654">
        <v>10540</v>
      </c>
      <c r="F654">
        <v>13692</v>
      </c>
      <c r="G654">
        <v>0</v>
      </c>
      <c r="H654">
        <v>0</v>
      </c>
      <c r="I654">
        <v>-34</v>
      </c>
      <c r="J654">
        <v>0</v>
      </c>
      <c r="K654">
        <v>54761.56</v>
      </c>
      <c r="L654">
        <v>12202774</v>
      </c>
      <c r="M654">
        <v>12187974</v>
      </c>
      <c r="N654">
        <v>12202774</v>
      </c>
      <c r="O654">
        <v>12187974</v>
      </c>
      <c r="P654">
        <v>12432351.02</v>
      </c>
      <c r="Q654">
        <v>12377589.460000001</v>
      </c>
      <c r="R654" s="14">
        <f>_xlfn.XLOOKUP(Table2[[#This Row],[LoanID]],Table1[G-L ID],Table1[ManagerCode],-99)</f>
        <v>103</v>
      </c>
      <c r="T654"/>
    </row>
    <row r="655" spans="1:20" x14ac:dyDescent="0.25">
      <c r="A655">
        <v>20110331</v>
      </c>
      <c r="B655">
        <v>2011</v>
      </c>
      <c r="C655">
        <v>3</v>
      </c>
      <c r="D655">
        <v>1</v>
      </c>
      <c r="E655">
        <v>10630</v>
      </c>
      <c r="F655">
        <v>49679</v>
      </c>
      <c r="G655">
        <v>0</v>
      </c>
      <c r="H655">
        <v>0</v>
      </c>
      <c r="I655">
        <v>0</v>
      </c>
      <c r="J655">
        <v>0</v>
      </c>
      <c r="K655">
        <v>12937.07</v>
      </c>
      <c r="L655">
        <v>9207281</v>
      </c>
      <c r="M655">
        <v>9194473</v>
      </c>
      <c r="N655">
        <v>9207281</v>
      </c>
      <c r="O655">
        <v>9194473</v>
      </c>
      <c r="P655">
        <v>9300283.3300000001</v>
      </c>
      <c r="Q655">
        <v>9287346.2599999998</v>
      </c>
      <c r="R655" s="14">
        <f>_xlfn.XLOOKUP(Table2[[#This Row],[LoanID]],Table1[G-L ID],Table1[ManagerCode],-99)</f>
        <v>103</v>
      </c>
      <c r="T655"/>
    </row>
    <row r="656" spans="1:20" x14ac:dyDescent="0.25">
      <c r="A656">
        <v>20110331</v>
      </c>
      <c r="B656">
        <v>2011</v>
      </c>
      <c r="C656">
        <v>3</v>
      </c>
      <c r="D656">
        <v>1</v>
      </c>
      <c r="E656">
        <v>10770</v>
      </c>
      <c r="F656">
        <v>0</v>
      </c>
      <c r="G656">
        <v>0</v>
      </c>
      <c r="H656">
        <v>0</v>
      </c>
      <c r="I656">
        <v>0</v>
      </c>
      <c r="J656">
        <v>0</v>
      </c>
      <c r="K656">
        <v>0</v>
      </c>
      <c r="L656">
        <v>115000000</v>
      </c>
      <c r="M656">
        <v>115000000</v>
      </c>
      <c r="N656">
        <v>115000000</v>
      </c>
      <c r="O656">
        <v>115000000</v>
      </c>
      <c r="P656">
        <v>115000000</v>
      </c>
      <c r="Q656">
        <v>115000000</v>
      </c>
      <c r="R656" s="14">
        <f>_xlfn.XLOOKUP(Table2[[#This Row],[LoanID]],Table1[G-L ID],Table1[ManagerCode],-99)</f>
        <v>103</v>
      </c>
      <c r="T656"/>
    </row>
    <row r="657" spans="1:20" x14ac:dyDescent="0.25">
      <c r="A657">
        <v>20110331</v>
      </c>
      <c r="B657">
        <v>2011</v>
      </c>
      <c r="C657">
        <v>3</v>
      </c>
      <c r="D657">
        <v>1</v>
      </c>
      <c r="E657">
        <v>10880</v>
      </c>
      <c r="F657">
        <v>276637</v>
      </c>
      <c r="G657">
        <v>0</v>
      </c>
      <c r="H657">
        <v>0</v>
      </c>
      <c r="I657">
        <v>0</v>
      </c>
      <c r="J657">
        <v>0</v>
      </c>
      <c r="K657">
        <v>0</v>
      </c>
      <c r="L657">
        <v>181570139</v>
      </c>
      <c r="M657">
        <v>185167969</v>
      </c>
      <c r="N657">
        <v>181570139</v>
      </c>
      <c r="O657">
        <v>185167969</v>
      </c>
      <c r="P657">
        <v>201744599.09999999</v>
      </c>
      <c r="Q657">
        <v>201744599.09999999</v>
      </c>
      <c r="R657" s="14">
        <f>_xlfn.XLOOKUP(Table2[[#This Row],[LoanID]],Table1[G-L ID],Table1[ManagerCode],-99)</f>
        <v>103</v>
      </c>
      <c r="T657"/>
    </row>
    <row r="658" spans="1:20" x14ac:dyDescent="0.25">
      <c r="A658">
        <v>20110331</v>
      </c>
      <c r="B658">
        <v>2011</v>
      </c>
      <c r="C658">
        <v>3</v>
      </c>
      <c r="D658">
        <v>1</v>
      </c>
      <c r="E658">
        <v>10900</v>
      </c>
      <c r="F658">
        <v>74207</v>
      </c>
      <c r="G658">
        <v>0</v>
      </c>
      <c r="H658">
        <v>0</v>
      </c>
      <c r="I658">
        <v>0</v>
      </c>
      <c r="J658">
        <v>0</v>
      </c>
      <c r="K658">
        <v>9409.98</v>
      </c>
      <c r="L658">
        <v>7806199</v>
      </c>
      <c r="M658">
        <v>7797730</v>
      </c>
      <c r="N658">
        <v>7806199</v>
      </c>
      <c r="O658">
        <v>7797730</v>
      </c>
      <c r="P658">
        <v>8673554.4700000007</v>
      </c>
      <c r="Q658">
        <v>8664144.4900000002</v>
      </c>
      <c r="R658" s="14">
        <f>_xlfn.XLOOKUP(Table2[[#This Row],[LoanID]],Table1[G-L ID],Table1[ManagerCode],-99)</f>
        <v>103</v>
      </c>
      <c r="T658"/>
    </row>
    <row r="659" spans="1:20" x14ac:dyDescent="0.25">
      <c r="A659">
        <v>20110331</v>
      </c>
      <c r="B659">
        <v>2011</v>
      </c>
      <c r="C659">
        <v>3</v>
      </c>
      <c r="D659">
        <v>1</v>
      </c>
      <c r="E659">
        <v>10950</v>
      </c>
      <c r="F659">
        <v>54480</v>
      </c>
      <c r="G659">
        <v>0</v>
      </c>
      <c r="H659">
        <v>0</v>
      </c>
      <c r="I659">
        <v>0</v>
      </c>
      <c r="J659">
        <v>0</v>
      </c>
      <c r="K659">
        <v>22542.89</v>
      </c>
      <c r="L659">
        <v>10795076</v>
      </c>
      <c r="M659">
        <v>10760846</v>
      </c>
      <c r="N659">
        <v>10795076</v>
      </c>
      <c r="O659">
        <v>10760846</v>
      </c>
      <c r="P659">
        <v>10969153.6</v>
      </c>
      <c r="Q659">
        <v>10946610.710000001</v>
      </c>
      <c r="R659" s="14">
        <f>_xlfn.XLOOKUP(Table2[[#This Row],[LoanID]],Table1[G-L ID],Table1[ManagerCode],-99)</f>
        <v>103</v>
      </c>
      <c r="T659"/>
    </row>
    <row r="660" spans="1:20" x14ac:dyDescent="0.25">
      <c r="A660">
        <v>20110331</v>
      </c>
      <c r="B660">
        <v>2011</v>
      </c>
      <c r="C660">
        <v>3</v>
      </c>
      <c r="D660">
        <v>1</v>
      </c>
      <c r="E660">
        <v>11180</v>
      </c>
      <c r="F660">
        <v>196594</v>
      </c>
      <c r="G660">
        <v>0</v>
      </c>
      <c r="H660">
        <v>0</v>
      </c>
      <c r="I660">
        <v>0</v>
      </c>
      <c r="J660">
        <v>0</v>
      </c>
      <c r="K660">
        <v>0</v>
      </c>
      <c r="L660">
        <v>169975207</v>
      </c>
      <c r="M660">
        <v>169975207</v>
      </c>
      <c r="N660">
        <v>169975207</v>
      </c>
      <c r="O660">
        <v>169975207</v>
      </c>
      <c r="P660">
        <v>199970831.5</v>
      </c>
      <c r="Q660">
        <v>199970831.5</v>
      </c>
      <c r="R660" s="14">
        <f>_xlfn.XLOOKUP(Table2[[#This Row],[LoanID]],Table1[G-L ID],Table1[ManagerCode],-99)</f>
        <v>103</v>
      </c>
      <c r="T660"/>
    </row>
    <row r="661" spans="1:20" x14ac:dyDescent="0.25">
      <c r="A661">
        <v>20110331</v>
      </c>
      <c r="B661">
        <v>2011</v>
      </c>
      <c r="C661">
        <v>3</v>
      </c>
      <c r="D661">
        <v>1</v>
      </c>
      <c r="E661">
        <v>11200</v>
      </c>
      <c r="F661">
        <v>69880</v>
      </c>
      <c r="G661">
        <v>0</v>
      </c>
      <c r="H661">
        <v>0</v>
      </c>
      <c r="I661">
        <v>0</v>
      </c>
      <c r="J661">
        <v>0</v>
      </c>
      <c r="K661">
        <v>0</v>
      </c>
      <c r="L661">
        <v>11879576</v>
      </c>
      <c r="M661">
        <v>11879576</v>
      </c>
      <c r="N661">
        <v>11879576</v>
      </c>
      <c r="O661">
        <v>11879576</v>
      </c>
      <c r="P661">
        <v>13976000</v>
      </c>
      <c r="Q661">
        <v>13976000</v>
      </c>
      <c r="R661" s="14">
        <f>_xlfn.XLOOKUP(Table2[[#This Row],[LoanID]],Table1[G-L ID],Table1[ManagerCode],-99)</f>
        <v>103</v>
      </c>
      <c r="T661"/>
    </row>
    <row r="662" spans="1:20" x14ac:dyDescent="0.25">
      <c r="A662">
        <v>20110331</v>
      </c>
      <c r="B662">
        <v>2011</v>
      </c>
      <c r="C662">
        <v>3</v>
      </c>
      <c r="D662">
        <v>1</v>
      </c>
      <c r="E662">
        <v>11240</v>
      </c>
      <c r="F662">
        <v>232876</v>
      </c>
      <c r="G662">
        <v>0</v>
      </c>
      <c r="H662">
        <v>0</v>
      </c>
      <c r="I662">
        <v>0</v>
      </c>
      <c r="J662">
        <v>0</v>
      </c>
      <c r="K662">
        <v>0</v>
      </c>
      <c r="L662">
        <v>185183145</v>
      </c>
      <c r="M662">
        <v>185183145</v>
      </c>
      <c r="N662">
        <v>185183145</v>
      </c>
      <c r="O662">
        <v>185183145</v>
      </c>
      <c r="P662">
        <v>194929626.59999999</v>
      </c>
      <c r="Q662">
        <v>194929626.59999999</v>
      </c>
      <c r="R662" s="14">
        <f>_xlfn.XLOOKUP(Table2[[#This Row],[LoanID]],Table1[G-L ID],Table1[ManagerCode],-99)</f>
        <v>103</v>
      </c>
      <c r="T662"/>
    </row>
    <row r="663" spans="1:20" x14ac:dyDescent="0.25">
      <c r="A663">
        <v>20110331</v>
      </c>
      <c r="B663">
        <v>2011</v>
      </c>
      <c r="C663">
        <v>3</v>
      </c>
      <c r="D663">
        <v>1</v>
      </c>
      <c r="E663">
        <v>11280</v>
      </c>
      <c r="F663">
        <v>22157</v>
      </c>
      <c r="G663">
        <v>0</v>
      </c>
      <c r="H663">
        <v>0</v>
      </c>
      <c r="I663">
        <v>-157</v>
      </c>
      <c r="J663">
        <v>0</v>
      </c>
      <c r="K663">
        <v>0</v>
      </c>
      <c r="L663">
        <v>17851567</v>
      </c>
      <c r="M663">
        <v>17851567</v>
      </c>
      <c r="N663">
        <v>17851567</v>
      </c>
      <c r="O663">
        <v>17851567</v>
      </c>
      <c r="P663">
        <v>18791123.030000001</v>
      </c>
      <c r="Q663">
        <v>18791123.030000001</v>
      </c>
      <c r="R663" s="14">
        <f>_xlfn.XLOOKUP(Table2[[#This Row],[LoanID]],Table1[G-L ID],Table1[ManagerCode],-99)</f>
        <v>103</v>
      </c>
      <c r="T663"/>
    </row>
    <row r="664" spans="1:20" x14ac:dyDescent="0.25">
      <c r="A664">
        <v>20110331</v>
      </c>
      <c r="B664">
        <v>2011</v>
      </c>
      <c r="C664">
        <v>3</v>
      </c>
      <c r="D664">
        <v>1</v>
      </c>
      <c r="E664">
        <v>11300</v>
      </c>
      <c r="F664">
        <v>19941</v>
      </c>
      <c r="G664">
        <v>0</v>
      </c>
      <c r="H664">
        <v>0</v>
      </c>
      <c r="I664">
        <v>-141</v>
      </c>
      <c r="J664">
        <v>0</v>
      </c>
      <c r="K664">
        <v>0</v>
      </c>
      <c r="L664">
        <v>16066410</v>
      </c>
      <c r="M664">
        <v>16066410</v>
      </c>
      <c r="N664">
        <v>16066410</v>
      </c>
      <c r="O664">
        <v>16066410</v>
      </c>
      <c r="P664">
        <v>16912010.73</v>
      </c>
      <c r="Q664">
        <v>16912010.73</v>
      </c>
      <c r="R664" s="14">
        <f>_xlfn.XLOOKUP(Table2[[#This Row],[LoanID]],Table1[G-L ID],Table1[ManagerCode],-99)</f>
        <v>103</v>
      </c>
      <c r="T664"/>
    </row>
    <row r="665" spans="1:20" x14ac:dyDescent="0.25">
      <c r="A665">
        <v>20110331</v>
      </c>
      <c r="B665">
        <v>2011</v>
      </c>
      <c r="C665">
        <v>3</v>
      </c>
      <c r="D665">
        <v>1</v>
      </c>
      <c r="E665">
        <v>11310</v>
      </c>
      <c r="F665">
        <v>13294</v>
      </c>
      <c r="G665">
        <v>0</v>
      </c>
      <c r="H665">
        <v>0</v>
      </c>
      <c r="I665">
        <v>-94</v>
      </c>
      <c r="J665">
        <v>0</v>
      </c>
      <c r="K665">
        <v>0</v>
      </c>
      <c r="L665">
        <v>10710940</v>
      </c>
      <c r="M665">
        <v>10710940</v>
      </c>
      <c r="N665">
        <v>10710940</v>
      </c>
      <c r="O665">
        <v>10710940</v>
      </c>
      <c r="P665">
        <v>11274673.789999999</v>
      </c>
      <c r="Q665">
        <v>11274673.789999999</v>
      </c>
      <c r="R665" s="14">
        <f>_xlfn.XLOOKUP(Table2[[#This Row],[LoanID]],Table1[G-L ID],Table1[ManagerCode],-99)</f>
        <v>103</v>
      </c>
      <c r="T665"/>
    </row>
    <row r="666" spans="1:20" x14ac:dyDescent="0.25">
      <c r="A666">
        <v>20110331</v>
      </c>
      <c r="B666">
        <v>2011</v>
      </c>
      <c r="C666">
        <v>3</v>
      </c>
      <c r="D666">
        <v>1</v>
      </c>
      <c r="E666">
        <v>11380</v>
      </c>
      <c r="F666">
        <v>37849</v>
      </c>
      <c r="G666">
        <v>0</v>
      </c>
      <c r="H666">
        <v>0</v>
      </c>
      <c r="I666">
        <v>0</v>
      </c>
      <c r="J666">
        <v>0</v>
      </c>
      <c r="K666">
        <v>52850.59</v>
      </c>
      <c r="L666">
        <v>6409451</v>
      </c>
      <c r="M666">
        <v>6367330</v>
      </c>
      <c r="N666">
        <v>6409451</v>
      </c>
      <c r="O666">
        <v>6367330</v>
      </c>
      <c r="P666">
        <v>5727527.4100000001</v>
      </c>
      <c r="Q666">
        <v>5674676.8200000003</v>
      </c>
      <c r="R666" s="14">
        <f>_xlfn.XLOOKUP(Table2[[#This Row],[LoanID]],Table1[G-L ID],Table1[ManagerCode],-99)</f>
        <v>103</v>
      </c>
      <c r="T666"/>
    </row>
    <row r="667" spans="1:20" x14ac:dyDescent="0.25">
      <c r="A667">
        <v>20110331</v>
      </c>
      <c r="B667">
        <v>2011</v>
      </c>
      <c r="C667">
        <v>3</v>
      </c>
      <c r="D667">
        <v>1</v>
      </c>
      <c r="E667">
        <v>11420</v>
      </c>
      <c r="F667">
        <v>465032</v>
      </c>
      <c r="G667">
        <v>0</v>
      </c>
      <c r="H667">
        <v>0</v>
      </c>
      <c r="I667">
        <v>0</v>
      </c>
      <c r="J667">
        <v>0</v>
      </c>
      <c r="K667">
        <v>0</v>
      </c>
      <c r="L667">
        <v>99720371</v>
      </c>
      <c r="M667">
        <v>99454240</v>
      </c>
      <c r="N667">
        <v>99720371</v>
      </c>
      <c r="O667">
        <v>99454240</v>
      </c>
      <c r="P667">
        <v>98000000</v>
      </c>
      <c r="Q667">
        <v>98000000</v>
      </c>
      <c r="R667" s="14">
        <f>_xlfn.XLOOKUP(Table2[[#This Row],[LoanID]],Table1[G-L ID],Table1[ManagerCode],-99)</f>
        <v>103</v>
      </c>
      <c r="T667"/>
    </row>
    <row r="668" spans="1:20" x14ac:dyDescent="0.25">
      <c r="A668">
        <v>20110331</v>
      </c>
      <c r="B668">
        <v>2011</v>
      </c>
      <c r="C668">
        <v>3</v>
      </c>
      <c r="D668">
        <v>1</v>
      </c>
      <c r="E668">
        <v>11510</v>
      </c>
      <c r="F668">
        <v>0</v>
      </c>
      <c r="G668">
        <v>0</v>
      </c>
      <c r="H668">
        <v>0</v>
      </c>
      <c r="I668">
        <v>0</v>
      </c>
      <c r="J668">
        <v>0</v>
      </c>
      <c r="K668">
        <v>0</v>
      </c>
      <c r="L668">
        <v>14456844</v>
      </c>
      <c r="M668">
        <v>14456844</v>
      </c>
      <c r="N668">
        <v>14456844</v>
      </c>
      <c r="O668">
        <v>14456844</v>
      </c>
      <c r="P668">
        <v>14602872.720000001</v>
      </c>
      <c r="Q668">
        <v>14602872.720000001</v>
      </c>
      <c r="R668" s="14">
        <f>_xlfn.XLOOKUP(Table2[[#This Row],[LoanID]],Table1[G-L ID],Table1[ManagerCode],-99)</f>
        <v>103</v>
      </c>
      <c r="T668"/>
    </row>
    <row r="669" spans="1:20" x14ac:dyDescent="0.25">
      <c r="A669">
        <v>20110331</v>
      </c>
      <c r="B669">
        <v>2011</v>
      </c>
      <c r="C669">
        <v>3</v>
      </c>
      <c r="D669">
        <v>1</v>
      </c>
      <c r="E669">
        <v>11650</v>
      </c>
      <c r="F669">
        <v>37500</v>
      </c>
      <c r="G669">
        <v>0</v>
      </c>
      <c r="H669">
        <v>0</v>
      </c>
      <c r="I669">
        <v>0</v>
      </c>
      <c r="J669">
        <v>0</v>
      </c>
      <c r="K669">
        <v>0</v>
      </c>
      <c r="L669">
        <v>4800000</v>
      </c>
      <c r="M669">
        <v>4800000</v>
      </c>
      <c r="N669">
        <v>4800000</v>
      </c>
      <c r="O669">
        <v>4800000</v>
      </c>
      <c r="P669">
        <v>6000000</v>
      </c>
      <c r="Q669">
        <v>6000000</v>
      </c>
      <c r="R669" s="14">
        <f>_xlfn.XLOOKUP(Table2[[#This Row],[LoanID]],Table1[G-L ID],Table1[ManagerCode],-99)</f>
        <v>103</v>
      </c>
      <c r="T669"/>
    </row>
    <row r="670" spans="1:20" x14ac:dyDescent="0.25">
      <c r="A670">
        <v>20110331</v>
      </c>
      <c r="B670">
        <v>2011</v>
      </c>
      <c r="C670">
        <v>3</v>
      </c>
      <c r="D670">
        <v>1</v>
      </c>
      <c r="E670">
        <v>11780</v>
      </c>
      <c r="F670">
        <v>171597</v>
      </c>
      <c r="G670">
        <v>0</v>
      </c>
      <c r="H670">
        <v>0</v>
      </c>
      <c r="I670">
        <v>-1036</v>
      </c>
      <c r="J670">
        <v>0</v>
      </c>
      <c r="K670">
        <v>118912.44</v>
      </c>
      <c r="L670">
        <v>56613135</v>
      </c>
      <c r="M670">
        <v>53187821</v>
      </c>
      <c r="N670">
        <v>56613135</v>
      </c>
      <c r="O670">
        <v>53187821</v>
      </c>
      <c r="P670">
        <v>66603688.600000001</v>
      </c>
      <c r="Q670">
        <v>66484776.159999996</v>
      </c>
      <c r="R670" s="14">
        <f>_xlfn.XLOOKUP(Table2[[#This Row],[LoanID]],Table1[G-L ID],Table1[ManagerCode],-99)</f>
        <v>103</v>
      </c>
      <c r="T670"/>
    </row>
    <row r="671" spans="1:20" x14ac:dyDescent="0.25">
      <c r="A671">
        <v>20110331</v>
      </c>
      <c r="B671">
        <v>2011</v>
      </c>
      <c r="C671">
        <v>3</v>
      </c>
      <c r="D671">
        <v>1</v>
      </c>
      <c r="E671">
        <v>11800</v>
      </c>
      <c r="F671">
        <v>151399</v>
      </c>
      <c r="G671">
        <v>0</v>
      </c>
      <c r="H671">
        <v>0</v>
      </c>
      <c r="I671">
        <v>-255</v>
      </c>
      <c r="J671">
        <v>0</v>
      </c>
      <c r="K671">
        <v>66396.479999999996</v>
      </c>
      <c r="L671">
        <v>29478380</v>
      </c>
      <c r="M671">
        <v>29418624</v>
      </c>
      <c r="N671">
        <v>29478380</v>
      </c>
      <c r="O671">
        <v>29418624</v>
      </c>
      <c r="P671">
        <v>32753723.260000002</v>
      </c>
      <c r="Q671">
        <v>32687326.780000001</v>
      </c>
      <c r="R671" s="14">
        <f>_xlfn.XLOOKUP(Table2[[#This Row],[LoanID]],Table1[G-L ID],Table1[ManagerCode],-99)</f>
        <v>103</v>
      </c>
      <c r="T671"/>
    </row>
    <row r="672" spans="1:20" x14ac:dyDescent="0.25">
      <c r="A672">
        <v>20110331</v>
      </c>
      <c r="B672">
        <v>2011</v>
      </c>
      <c r="C672">
        <v>3</v>
      </c>
      <c r="D672">
        <v>1</v>
      </c>
      <c r="E672">
        <v>11810</v>
      </c>
      <c r="F672">
        <v>51167</v>
      </c>
      <c r="G672">
        <v>0</v>
      </c>
      <c r="H672">
        <v>0</v>
      </c>
      <c r="I672">
        <v>0</v>
      </c>
      <c r="J672">
        <v>0</v>
      </c>
      <c r="K672">
        <v>0</v>
      </c>
      <c r="L672">
        <v>9500000</v>
      </c>
      <c r="M672">
        <v>9500000</v>
      </c>
      <c r="N672">
        <v>9500000</v>
      </c>
      <c r="O672">
        <v>9500000</v>
      </c>
      <c r="P672">
        <v>10000000</v>
      </c>
      <c r="Q672">
        <v>10000000</v>
      </c>
      <c r="R672" s="14">
        <f>_xlfn.XLOOKUP(Table2[[#This Row],[LoanID]],Table1[G-L ID],Table1[ManagerCode],-99)</f>
        <v>103</v>
      </c>
      <c r="T672"/>
    </row>
    <row r="673" spans="1:20" x14ac:dyDescent="0.25">
      <c r="A673">
        <v>20110331</v>
      </c>
      <c r="B673">
        <v>2011</v>
      </c>
      <c r="C673">
        <v>3</v>
      </c>
      <c r="D673">
        <v>1</v>
      </c>
      <c r="E673">
        <v>11900</v>
      </c>
      <c r="F673">
        <v>252988</v>
      </c>
      <c r="G673">
        <v>0</v>
      </c>
      <c r="H673">
        <v>0</v>
      </c>
      <c r="I673">
        <v>0</v>
      </c>
      <c r="J673">
        <v>0</v>
      </c>
      <c r="K673">
        <v>0</v>
      </c>
      <c r="L673">
        <v>52249948</v>
      </c>
      <c r="M673">
        <v>52249948</v>
      </c>
      <c r="N673">
        <v>52249948</v>
      </c>
      <c r="O673">
        <v>52249948</v>
      </c>
      <c r="P673">
        <v>55000000</v>
      </c>
      <c r="Q673">
        <v>55000000</v>
      </c>
      <c r="R673" s="14">
        <f>_xlfn.XLOOKUP(Table2[[#This Row],[LoanID]],Table1[G-L ID],Table1[ManagerCode],-99)</f>
        <v>103</v>
      </c>
      <c r="T673"/>
    </row>
    <row r="674" spans="1:20" x14ac:dyDescent="0.25">
      <c r="A674">
        <v>20110331</v>
      </c>
      <c r="B674">
        <v>2011</v>
      </c>
      <c r="C674">
        <v>3</v>
      </c>
      <c r="D674">
        <v>1</v>
      </c>
      <c r="E674">
        <v>11930</v>
      </c>
      <c r="F674">
        <v>151948</v>
      </c>
      <c r="G674">
        <v>0</v>
      </c>
      <c r="H674">
        <v>0</v>
      </c>
      <c r="I674">
        <v>0</v>
      </c>
      <c r="J674">
        <v>0</v>
      </c>
      <c r="K674">
        <v>0</v>
      </c>
      <c r="L674">
        <v>166159856</v>
      </c>
      <c r="M674">
        <v>166340545</v>
      </c>
      <c r="N674">
        <v>166159856</v>
      </c>
      <c r="O674">
        <v>166340545</v>
      </c>
      <c r="P674">
        <v>167548986.5</v>
      </c>
      <c r="Q674">
        <v>167548986.5</v>
      </c>
      <c r="R674" s="14">
        <f>_xlfn.XLOOKUP(Table2[[#This Row],[LoanID]],Table1[G-L ID],Table1[ManagerCode],-99)</f>
        <v>103</v>
      </c>
      <c r="T674"/>
    </row>
    <row r="675" spans="1:20" x14ac:dyDescent="0.25">
      <c r="A675">
        <v>20110331</v>
      </c>
      <c r="B675">
        <v>2011</v>
      </c>
      <c r="C675">
        <v>3</v>
      </c>
      <c r="D675">
        <v>1</v>
      </c>
      <c r="E675">
        <v>11940</v>
      </c>
      <c r="F675">
        <v>49869</v>
      </c>
      <c r="G675">
        <v>0</v>
      </c>
      <c r="H675">
        <v>0</v>
      </c>
      <c r="I675">
        <v>0</v>
      </c>
      <c r="J675">
        <v>0</v>
      </c>
      <c r="K675">
        <v>0</v>
      </c>
      <c r="L675">
        <v>54532666</v>
      </c>
      <c r="M675">
        <v>54591967</v>
      </c>
      <c r="N675">
        <v>54532666</v>
      </c>
      <c r="O675">
        <v>54591967</v>
      </c>
      <c r="P675">
        <v>54973409.420000002</v>
      </c>
      <c r="Q675">
        <v>54975575.280000001</v>
      </c>
      <c r="R675" s="14">
        <f>_xlfn.XLOOKUP(Table2[[#This Row],[LoanID]],Table1[G-L ID],Table1[ManagerCode],-99)</f>
        <v>103</v>
      </c>
      <c r="T675"/>
    </row>
    <row r="676" spans="1:20" x14ac:dyDescent="0.25">
      <c r="A676">
        <v>20110331</v>
      </c>
      <c r="B676">
        <v>2011</v>
      </c>
      <c r="C676">
        <v>3</v>
      </c>
      <c r="D676">
        <v>1</v>
      </c>
      <c r="E676">
        <v>12000</v>
      </c>
      <c r="F676">
        <v>117157</v>
      </c>
      <c r="G676">
        <v>0</v>
      </c>
      <c r="H676">
        <v>0</v>
      </c>
      <c r="I676">
        <v>0</v>
      </c>
      <c r="J676">
        <v>0</v>
      </c>
      <c r="K676">
        <v>0</v>
      </c>
      <c r="L676">
        <v>22594547</v>
      </c>
      <c r="M676">
        <v>22594547</v>
      </c>
      <c r="N676">
        <v>22594547</v>
      </c>
      <c r="O676">
        <v>22594547</v>
      </c>
      <c r="P676">
        <v>25091857.550000001</v>
      </c>
      <c r="Q676">
        <v>25092551.989999998</v>
      </c>
      <c r="R676" s="14">
        <f>_xlfn.XLOOKUP(Table2[[#This Row],[LoanID]],Table1[G-L ID],Table1[ManagerCode],-99)</f>
        <v>103</v>
      </c>
      <c r="T676"/>
    </row>
    <row r="677" spans="1:20" x14ac:dyDescent="0.25">
      <c r="A677">
        <v>20110331</v>
      </c>
      <c r="B677">
        <v>2011</v>
      </c>
      <c r="C677">
        <v>3</v>
      </c>
      <c r="D677">
        <v>1</v>
      </c>
      <c r="E677">
        <v>12110</v>
      </c>
      <c r="F677">
        <v>31246.98</v>
      </c>
      <c r="G677">
        <v>0</v>
      </c>
      <c r="H677">
        <v>0</v>
      </c>
      <c r="I677">
        <v>0</v>
      </c>
      <c r="J677">
        <v>-1802568.03</v>
      </c>
      <c r="K677">
        <v>0</v>
      </c>
      <c r="L677">
        <v>5386656.4900000002</v>
      </c>
      <c r="M677">
        <v>7189224.5199999996</v>
      </c>
      <c r="N677">
        <v>5386656.4900000002</v>
      </c>
      <c r="O677">
        <v>7189224.5199999996</v>
      </c>
      <c r="P677">
        <v>5386656.4900000002</v>
      </c>
      <c r="Q677">
        <v>7189224.5199999996</v>
      </c>
      <c r="R677" s="14">
        <f>_xlfn.XLOOKUP(Table2[[#This Row],[LoanID]],Table1[G-L ID],Table1[ManagerCode],-99)</f>
        <v>183</v>
      </c>
      <c r="T677"/>
    </row>
    <row r="678" spans="1:20" x14ac:dyDescent="0.25">
      <c r="A678">
        <v>20110331</v>
      </c>
      <c r="B678">
        <v>2011</v>
      </c>
      <c r="C678">
        <v>3</v>
      </c>
      <c r="D678">
        <v>1</v>
      </c>
      <c r="E678">
        <v>12200</v>
      </c>
      <c r="F678">
        <v>91148</v>
      </c>
      <c r="G678">
        <v>0</v>
      </c>
      <c r="H678">
        <v>0</v>
      </c>
      <c r="I678">
        <v>0</v>
      </c>
      <c r="J678">
        <v>0</v>
      </c>
      <c r="K678">
        <v>31061.56</v>
      </c>
      <c r="L678">
        <v>21277334</v>
      </c>
      <c r="M678">
        <v>21268226</v>
      </c>
      <c r="N678">
        <v>21277334</v>
      </c>
      <c r="O678">
        <v>21268226</v>
      </c>
      <c r="P678">
        <v>19835383.710000001</v>
      </c>
      <c r="Q678">
        <v>19804667.52</v>
      </c>
      <c r="R678" s="14">
        <f>_xlfn.XLOOKUP(Table2[[#This Row],[LoanID]],Table1[G-L ID],Table1[ManagerCode],-99)</f>
        <v>103</v>
      </c>
      <c r="T678"/>
    </row>
    <row r="679" spans="1:20" x14ac:dyDescent="0.25">
      <c r="A679">
        <v>20110331</v>
      </c>
      <c r="B679">
        <v>2011</v>
      </c>
      <c r="C679">
        <v>3</v>
      </c>
      <c r="D679">
        <v>1</v>
      </c>
      <c r="E679">
        <v>12210</v>
      </c>
      <c r="F679">
        <v>731680</v>
      </c>
      <c r="G679">
        <v>0</v>
      </c>
      <c r="H679">
        <v>0</v>
      </c>
      <c r="I679">
        <v>0</v>
      </c>
      <c r="J679">
        <v>0</v>
      </c>
      <c r="K679">
        <v>172977.98</v>
      </c>
      <c r="L679">
        <v>137366194</v>
      </c>
      <c r="M679">
        <v>137587416</v>
      </c>
      <c r="N679">
        <v>137366194</v>
      </c>
      <c r="O679">
        <v>137587416</v>
      </c>
      <c r="P679">
        <v>118386937.8</v>
      </c>
      <c r="Q679">
        <v>118213959.8</v>
      </c>
      <c r="R679" s="14">
        <f>_xlfn.XLOOKUP(Table2[[#This Row],[LoanID]],Table1[G-L ID],Table1[ManagerCode],-99)</f>
        <v>103</v>
      </c>
      <c r="T679"/>
    </row>
    <row r="680" spans="1:20" x14ac:dyDescent="0.25">
      <c r="A680">
        <v>20110430</v>
      </c>
      <c r="B680">
        <v>2011</v>
      </c>
      <c r="C680">
        <v>4</v>
      </c>
      <c r="D680">
        <v>1</v>
      </c>
      <c r="E680">
        <v>10050</v>
      </c>
      <c r="F680">
        <v>153981</v>
      </c>
      <c r="G680">
        <v>0</v>
      </c>
      <c r="H680">
        <v>0</v>
      </c>
      <c r="I680">
        <v>-69</v>
      </c>
      <c r="J680">
        <v>0</v>
      </c>
      <c r="K680">
        <v>0</v>
      </c>
      <c r="L680">
        <v>31639224</v>
      </c>
      <c r="M680">
        <v>32091436</v>
      </c>
      <c r="N680">
        <v>31639224</v>
      </c>
      <c r="O680">
        <v>32091436</v>
      </c>
      <c r="P680">
        <v>33333334</v>
      </c>
      <c r="Q680">
        <v>33333334</v>
      </c>
      <c r="R680" s="14">
        <f>_xlfn.XLOOKUP(Table2[[#This Row],[LoanID]],Table1[G-L ID],Table1[ManagerCode],-99)</f>
        <v>103</v>
      </c>
      <c r="T680"/>
    </row>
    <row r="681" spans="1:20" x14ac:dyDescent="0.25">
      <c r="A681">
        <v>20110430</v>
      </c>
      <c r="B681">
        <v>2011</v>
      </c>
      <c r="C681">
        <v>4</v>
      </c>
      <c r="D681">
        <v>1</v>
      </c>
      <c r="E681">
        <v>10080</v>
      </c>
      <c r="F681">
        <v>351043</v>
      </c>
      <c r="G681">
        <v>0</v>
      </c>
      <c r="H681">
        <v>0</v>
      </c>
      <c r="I681">
        <v>-161</v>
      </c>
      <c r="J681">
        <v>0</v>
      </c>
      <c r="K681">
        <v>0</v>
      </c>
      <c r="L681">
        <v>71249929</v>
      </c>
      <c r="M681">
        <v>71337360</v>
      </c>
      <c r="N681">
        <v>71249929</v>
      </c>
      <c r="O681">
        <v>71337360</v>
      </c>
      <c r="P681">
        <v>75000000</v>
      </c>
      <c r="Q681">
        <v>75000000</v>
      </c>
      <c r="R681" s="14">
        <f>_xlfn.XLOOKUP(Table2[[#This Row],[LoanID]],Table1[G-L ID],Table1[ManagerCode],-99)</f>
        <v>103</v>
      </c>
      <c r="T681"/>
    </row>
    <row r="682" spans="1:20" x14ac:dyDescent="0.25">
      <c r="A682">
        <v>20110430</v>
      </c>
      <c r="B682">
        <v>2011</v>
      </c>
      <c r="C682">
        <v>4</v>
      </c>
      <c r="D682">
        <v>1</v>
      </c>
      <c r="E682">
        <v>10130</v>
      </c>
      <c r="F682">
        <v>36972</v>
      </c>
      <c r="G682">
        <v>0</v>
      </c>
      <c r="H682">
        <v>0</v>
      </c>
      <c r="I682">
        <v>0</v>
      </c>
      <c r="J682">
        <v>0</v>
      </c>
      <c r="K682">
        <v>30718.34</v>
      </c>
      <c r="L682">
        <v>8631878</v>
      </c>
      <c r="M682">
        <v>8629053</v>
      </c>
      <c r="N682">
        <v>8631878</v>
      </c>
      <c r="O682">
        <v>8629053</v>
      </c>
      <c r="P682">
        <v>8170685.4199999999</v>
      </c>
      <c r="Q682">
        <v>8139967.0800000001</v>
      </c>
      <c r="R682" s="14">
        <f>_xlfn.XLOOKUP(Table2[[#This Row],[LoanID]],Table1[G-L ID],Table1[ManagerCode],-99)</f>
        <v>103</v>
      </c>
      <c r="T682"/>
    </row>
    <row r="683" spans="1:20" x14ac:dyDescent="0.25">
      <c r="A683">
        <v>20110430</v>
      </c>
      <c r="B683">
        <v>2011</v>
      </c>
      <c r="C683">
        <v>4</v>
      </c>
      <c r="D683">
        <v>1</v>
      </c>
      <c r="E683">
        <v>10140</v>
      </c>
      <c r="F683">
        <v>97490</v>
      </c>
      <c r="G683">
        <v>0</v>
      </c>
      <c r="H683">
        <v>0</v>
      </c>
      <c r="I683">
        <v>0</v>
      </c>
      <c r="J683">
        <v>0</v>
      </c>
      <c r="K683">
        <v>80333.97</v>
      </c>
      <c r="L683">
        <v>22761541</v>
      </c>
      <c r="M683">
        <v>22754819</v>
      </c>
      <c r="N683">
        <v>22761541</v>
      </c>
      <c r="O683">
        <v>22754819</v>
      </c>
      <c r="P683">
        <v>21544830.399999999</v>
      </c>
      <c r="Q683">
        <v>21464496.43</v>
      </c>
      <c r="R683" s="14">
        <f>_xlfn.XLOOKUP(Table2[[#This Row],[LoanID]],Table1[G-L ID],Table1[ManagerCode],-99)</f>
        <v>103</v>
      </c>
      <c r="T683"/>
    </row>
    <row r="684" spans="1:20" x14ac:dyDescent="0.25">
      <c r="A684">
        <v>20110430</v>
      </c>
      <c r="B684">
        <v>2011</v>
      </c>
      <c r="C684">
        <v>4</v>
      </c>
      <c r="D684">
        <v>1</v>
      </c>
      <c r="E684">
        <v>10150</v>
      </c>
      <c r="F684">
        <v>244605</v>
      </c>
      <c r="G684">
        <v>0</v>
      </c>
      <c r="H684">
        <v>0</v>
      </c>
      <c r="I684">
        <v>0</v>
      </c>
      <c r="J684">
        <v>0</v>
      </c>
      <c r="K684">
        <v>68715.09</v>
      </c>
      <c r="L684">
        <v>52548141</v>
      </c>
      <c r="M684">
        <v>52480113</v>
      </c>
      <c r="N684">
        <v>52548141</v>
      </c>
      <c r="O684">
        <v>52480113</v>
      </c>
      <c r="P684">
        <v>53078823.990000002</v>
      </c>
      <c r="Q684">
        <v>53010108.899999999</v>
      </c>
      <c r="R684" s="14">
        <f>_xlfn.XLOOKUP(Table2[[#This Row],[LoanID]],Table1[G-L ID],Table1[ManagerCode],-99)</f>
        <v>103</v>
      </c>
      <c r="T684"/>
    </row>
    <row r="685" spans="1:20" x14ac:dyDescent="0.25">
      <c r="A685">
        <v>20110430</v>
      </c>
      <c r="B685">
        <v>2011</v>
      </c>
      <c r="C685">
        <v>4</v>
      </c>
      <c r="D685">
        <v>1</v>
      </c>
      <c r="E685">
        <v>10170</v>
      </c>
      <c r="F685">
        <v>251889</v>
      </c>
      <c r="G685">
        <v>0</v>
      </c>
      <c r="H685">
        <v>0</v>
      </c>
      <c r="I685">
        <v>-1207</v>
      </c>
      <c r="J685">
        <v>0</v>
      </c>
      <c r="K685">
        <v>64299.96</v>
      </c>
      <c r="L685">
        <v>50268612</v>
      </c>
      <c r="M685">
        <v>50563396</v>
      </c>
      <c r="N685">
        <v>50268612</v>
      </c>
      <c r="O685">
        <v>50563396</v>
      </c>
      <c r="P685">
        <v>46727817.590000004</v>
      </c>
      <c r="Q685">
        <v>46663517.630000003</v>
      </c>
      <c r="R685" s="14">
        <f>_xlfn.XLOOKUP(Table2[[#This Row],[LoanID]],Table1[G-L ID],Table1[ManagerCode],-99)</f>
        <v>103</v>
      </c>
      <c r="T685"/>
    </row>
    <row r="686" spans="1:20" x14ac:dyDescent="0.25">
      <c r="A686">
        <v>20110430</v>
      </c>
      <c r="B686">
        <v>2011</v>
      </c>
      <c r="C686">
        <v>4</v>
      </c>
      <c r="D686">
        <v>1</v>
      </c>
      <c r="E686">
        <v>10230</v>
      </c>
      <c r="F686">
        <v>185279</v>
      </c>
      <c r="G686">
        <v>0</v>
      </c>
      <c r="H686">
        <v>0</v>
      </c>
      <c r="I686">
        <v>0</v>
      </c>
      <c r="J686">
        <v>0</v>
      </c>
      <c r="K686">
        <v>56318.78</v>
      </c>
      <c r="L686">
        <v>29688670</v>
      </c>
      <c r="M686">
        <v>27991429</v>
      </c>
      <c r="N686">
        <v>29688670</v>
      </c>
      <c r="O686">
        <v>27991429</v>
      </c>
      <c r="P686">
        <v>32987411.210000001</v>
      </c>
      <c r="Q686">
        <v>32931092.43</v>
      </c>
      <c r="R686" s="14">
        <f>_xlfn.XLOOKUP(Table2[[#This Row],[LoanID]],Table1[G-L ID],Table1[ManagerCode],-99)</f>
        <v>103</v>
      </c>
      <c r="T686"/>
    </row>
    <row r="687" spans="1:20" x14ac:dyDescent="0.25">
      <c r="A687">
        <v>20110430</v>
      </c>
      <c r="B687">
        <v>2011</v>
      </c>
      <c r="C687">
        <v>4</v>
      </c>
      <c r="D687">
        <v>1</v>
      </c>
      <c r="E687">
        <v>10280</v>
      </c>
      <c r="F687">
        <v>181412</v>
      </c>
      <c r="G687">
        <v>0</v>
      </c>
      <c r="H687">
        <v>0</v>
      </c>
      <c r="I687">
        <v>0</v>
      </c>
      <c r="J687">
        <v>0</v>
      </c>
      <c r="K687">
        <v>0</v>
      </c>
      <c r="L687">
        <v>31500032</v>
      </c>
      <c r="M687">
        <v>31500032</v>
      </c>
      <c r="N687">
        <v>31500032</v>
      </c>
      <c r="O687">
        <v>31500032</v>
      </c>
      <c r="P687">
        <v>35000000</v>
      </c>
      <c r="Q687">
        <v>35000000</v>
      </c>
      <c r="R687" s="14">
        <f>_xlfn.XLOOKUP(Table2[[#This Row],[LoanID]],Table1[G-L ID],Table1[ManagerCode],-99)</f>
        <v>103</v>
      </c>
      <c r="T687"/>
    </row>
    <row r="688" spans="1:20" x14ac:dyDescent="0.25">
      <c r="A688">
        <v>20110430</v>
      </c>
      <c r="B688">
        <v>2011</v>
      </c>
      <c r="C688">
        <v>4</v>
      </c>
      <c r="D688">
        <v>1</v>
      </c>
      <c r="E688">
        <v>10290</v>
      </c>
      <c r="F688">
        <v>171301</v>
      </c>
      <c r="G688">
        <v>0</v>
      </c>
      <c r="H688">
        <v>0</v>
      </c>
      <c r="I688">
        <v>0</v>
      </c>
      <c r="J688">
        <v>0</v>
      </c>
      <c r="K688">
        <v>0</v>
      </c>
      <c r="L688">
        <v>21250000</v>
      </c>
      <c r="M688">
        <v>21250000</v>
      </c>
      <c r="N688">
        <v>21250000</v>
      </c>
      <c r="O688">
        <v>21250000</v>
      </c>
      <c r="P688">
        <v>25000000</v>
      </c>
      <c r="Q688">
        <v>25000000</v>
      </c>
      <c r="R688" s="14">
        <f>_xlfn.XLOOKUP(Table2[[#This Row],[LoanID]],Table1[G-L ID],Table1[ManagerCode],-99)</f>
        <v>103</v>
      </c>
      <c r="T688"/>
    </row>
    <row r="689" spans="1:20" x14ac:dyDescent="0.25">
      <c r="A689">
        <v>20110430</v>
      </c>
      <c r="B689">
        <v>2011</v>
      </c>
      <c r="C689">
        <v>4</v>
      </c>
      <c r="D689">
        <v>1</v>
      </c>
      <c r="E689">
        <v>10300</v>
      </c>
      <c r="F689">
        <v>149888</v>
      </c>
      <c r="G689">
        <v>0</v>
      </c>
      <c r="H689">
        <v>0</v>
      </c>
      <c r="I689">
        <v>0</v>
      </c>
      <c r="J689">
        <v>0</v>
      </c>
      <c r="K689">
        <v>0</v>
      </c>
      <c r="L689">
        <v>31229065</v>
      </c>
      <c r="M689">
        <v>31740858</v>
      </c>
      <c r="N689">
        <v>31229065</v>
      </c>
      <c r="O689">
        <v>31740858</v>
      </c>
      <c r="P689">
        <v>35000000</v>
      </c>
      <c r="Q689">
        <v>35000000</v>
      </c>
      <c r="R689" s="14">
        <f>_xlfn.XLOOKUP(Table2[[#This Row],[LoanID]],Table1[G-L ID],Table1[ManagerCode],-99)</f>
        <v>103</v>
      </c>
      <c r="T689"/>
    </row>
    <row r="690" spans="1:20" x14ac:dyDescent="0.25">
      <c r="A690">
        <v>20110430</v>
      </c>
      <c r="B690">
        <v>2011</v>
      </c>
      <c r="C690">
        <v>4</v>
      </c>
      <c r="D690">
        <v>1</v>
      </c>
      <c r="E690">
        <v>10310</v>
      </c>
      <c r="F690">
        <v>24728.04</v>
      </c>
      <c r="G690">
        <v>39196.660000000003</v>
      </c>
      <c r="H690">
        <v>0</v>
      </c>
      <c r="I690">
        <v>0</v>
      </c>
      <c r="J690">
        <v>-1303551.68</v>
      </c>
      <c r="K690">
        <v>0</v>
      </c>
      <c r="L690">
        <v>9126503.5399999991</v>
      </c>
      <c r="M690">
        <v>10469251.880000001</v>
      </c>
      <c r="N690">
        <v>9126503.5399999991</v>
      </c>
      <c r="O690">
        <v>10469251.880000001</v>
      </c>
      <c r="P690">
        <v>9126503.5399999991</v>
      </c>
      <c r="Q690">
        <v>10469251.880000001</v>
      </c>
      <c r="R690" s="14">
        <f>_xlfn.XLOOKUP(Table2[[#This Row],[LoanID]],Table1[G-L ID],Table1[ManagerCode],-99)</f>
        <v>183</v>
      </c>
      <c r="T690"/>
    </row>
    <row r="691" spans="1:20" x14ac:dyDescent="0.25">
      <c r="A691">
        <v>20110430</v>
      </c>
      <c r="B691">
        <v>2011</v>
      </c>
      <c r="C691">
        <v>4</v>
      </c>
      <c r="D691">
        <v>1</v>
      </c>
      <c r="E691">
        <v>10370</v>
      </c>
      <c r="F691">
        <v>0</v>
      </c>
      <c r="G691">
        <v>0</v>
      </c>
      <c r="H691">
        <v>0</v>
      </c>
      <c r="I691">
        <v>0</v>
      </c>
      <c r="J691">
        <v>0</v>
      </c>
      <c r="K691">
        <v>0</v>
      </c>
      <c r="L691">
        <v>2915344</v>
      </c>
      <c r="M691">
        <v>2915344</v>
      </c>
      <c r="N691">
        <v>2915344</v>
      </c>
      <c r="O691">
        <v>2915344</v>
      </c>
      <c r="P691">
        <v>3239270.71</v>
      </c>
      <c r="Q691">
        <v>3239270.71</v>
      </c>
      <c r="R691" s="14">
        <f>_xlfn.XLOOKUP(Table2[[#This Row],[LoanID]],Table1[G-L ID],Table1[ManagerCode],-99)</f>
        <v>103</v>
      </c>
      <c r="T691"/>
    </row>
    <row r="692" spans="1:20" x14ac:dyDescent="0.25">
      <c r="A692">
        <v>20110430</v>
      </c>
      <c r="B692">
        <v>2011</v>
      </c>
      <c r="C692">
        <v>4</v>
      </c>
      <c r="D692">
        <v>1</v>
      </c>
      <c r="E692">
        <v>10390</v>
      </c>
      <c r="F692">
        <v>118750</v>
      </c>
      <c r="G692">
        <v>0</v>
      </c>
      <c r="H692">
        <v>0</v>
      </c>
      <c r="I692">
        <v>0</v>
      </c>
      <c r="J692">
        <v>0</v>
      </c>
      <c r="K692">
        <v>0</v>
      </c>
      <c r="L692">
        <v>24218235</v>
      </c>
      <c r="M692">
        <v>24435679</v>
      </c>
      <c r="N692">
        <v>24218235</v>
      </c>
      <c r="O692">
        <v>24435679</v>
      </c>
      <c r="P692">
        <v>24992448.879999999</v>
      </c>
      <c r="Q692">
        <v>24992652.960000001</v>
      </c>
      <c r="R692" s="14">
        <f>_xlfn.XLOOKUP(Table2[[#This Row],[LoanID]],Table1[G-L ID],Table1[ManagerCode],-99)</f>
        <v>103</v>
      </c>
      <c r="T692"/>
    </row>
    <row r="693" spans="1:20" x14ac:dyDescent="0.25">
      <c r="A693">
        <v>20110430</v>
      </c>
      <c r="B693">
        <v>2011</v>
      </c>
      <c r="C693">
        <v>4</v>
      </c>
      <c r="D693">
        <v>1</v>
      </c>
      <c r="E693">
        <v>10450</v>
      </c>
      <c r="F693">
        <v>120277</v>
      </c>
      <c r="G693">
        <v>0</v>
      </c>
      <c r="H693">
        <v>0</v>
      </c>
      <c r="I693">
        <v>0</v>
      </c>
      <c r="J693">
        <v>0</v>
      </c>
      <c r="K693">
        <v>21538.639999999999</v>
      </c>
      <c r="L693">
        <v>21358537</v>
      </c>
      <c r="M693">
        <v>21337213</v>
      </c>
      <c r="N693">
        <v>21358537</v>
      </c>
      <c r="O693">
        <v>21337213</v>
      </c>
      <c r="P693">
        <v>21574279.530000001</v>
      </c>
      <c r="Q693">
        <v>21552740.890000001</v>
      </c>
      <c r="R693" s="14">
        <f>_xlfn.XLOOKUP(Table2[[#This Row],[LoanID]],Table1[G-L ID],Table1[ManagerCode],-99)</f>
        <v>103</v>
      </c>
      <c r="T693"/>
    </row>
    <row r="694" spans="1:20" x14ac:dyDescent="0.25">
      <c r="A694">
        <v>20110430</v>
      </c>
      <c r="B694">
        <v>2011</v>
      </c>
      <c r="C694">
        <v>4</v>
      </c>
      <c r="D694">
        <v>1</v>
      </c>
      <c r="E694">
        <v>10520</v>
      </c>
      <c r="F694">
        <v>4992</v>
      </c>
      <c r="G694">
        <v>0</v>
      </c>
      <c r="H694">
        <v>0</v>
      </c>
      <c r="I694">
        <v>-12</v>
      </c>
      <c r="J694">
        <v>0</v>
      </c>
      <c r="K694">
        <v>0</v>
      </c>
      <c r="L694">
        <v>4062658</v>
      </c>
      <c r="M694">
        <v>4075447</v>
      </c>
      <c r="N694">
        <v>4062658</v>
      </c>
      <c r="O694">
        <v>4075447</v>
      </c>
      <c r="P694">
        <v>4125863.16</v>
      </c>
      <c r="Q694">
        <v>4125863.16</v>
      </c>
      <c r="R694" s="14">
        <f>_xlfn.XLOOKUP(Table2[[#This Row],[LoanID]],Table1[G-L ID],Table1[ManagerCode],-99)</f>
        <v>103</v>
      </c>
      <c r="T694"/>
    </row>
    <row r="695" spans="1:20" x14ac:dyDescent="0.25">
      <c r="A695">
        <v>20110430</v>
      </c>
      <c r="B695">
        <v>2011</v>
      </c>
      <c r="C695">
        <v>4</v>
      </c>
      <c r="D695">
        <v>1</v>
      </c>
      <c r="E695">
        <v>10530</v>
      </c>
      <c r="F695">
        <v>108154</v>
      </c>
      <c r="G695">
        <v>0</v>
      </c>
      <c r="H695">
        <v>0</v>
      </c>
      <c r="I695">
        <v>-269</v>
      </c>
      <c r="J695">
        <v>0</v>
      </c>
      <c r="K695">
        <v>0</v>
      </c>
      <c r="L695">
        <v>88024169</v>
      </c>
      <c r="M695">
        <v>88301255</v>
      </c>
      <c r="N695">
        <v>88024169</v>
      </c>
      <c r="O695">
        <v>88301255</v>
      </c>
      <c r="P695">
        <v>89393701.629999995</v>
      </c>
      <c r="Q695">
        <v>89393701.629999995</v>
      </c>
      <c r="R695" s="14">
        <f>_xlfn.XLOOKUP(Table2[[#This Row],[LoanID]],Table1[G-L ID],Table1[ManagerCode],-99)</f>
        <v>103</v>
      </c>
      <c r="T695"/>
    </row>
    <row r="696" spans="1:20" x14ac:dyDescent="0.25">
      <c r="A696">
        <v>20110430</v>
      </c>
      <c r="B696">
        <v>2011</v>
      </c>
      <c r="C696">
        <v>4</v>
      </c>
      <c r="D696">
        <v>1</v>
      </c>
      <c r="E696">
        <v>10540</v>
      </c>
      <c r="F696">
        <v>14975</v>
      </c>
      <c r="G696">
        <v>0</v>
      </c>
      <c r="H696">
        <v>0</v>
      </c>
      <c r="I696">
        <v>-37</v>
      </c>
      <c r="J696">
        <v>0</v>
      </c>
      <c r="K696">
        <v>0</v>
      </c>
      <c r="L696">
        <v>12187974</v>
      </c>
      <c r="M696">
        <v>12226340</v>
      </c>
      <c r="N696">
        <v>12187974</v>
      </c>
      <c r="O696">
        <v>12226340</v>
      </c>
      <c r="P696">
        <v>12377589.460000001</v>
      </c>
      <c r="Q696">
        <v>12377589.460000001</v>
      </c>
      <c r="R696" s="14">
        <f>_xlfn.XLOOKUP(Table2[[#This Row],[LoanID]],Table1[G-L ID],Table1[ManagerCode],-99)</f>
        <v>103</v>
      </c>
      <c r="T696"/>
    </row>
    <row r="697" spans="1:20" x14ac:dyDescent="0.25">
      <c r="A697">
        <v>20110430</v>
      </c>
      <c r="B697">
        <v>2011</v>
      </c>
      <c r="C697">
        <v>4</v>
      </c>
      <c r="D697">
        <v>1</v>
      </c>
      <c r="E697">
        <v>10630</v>
      </c>
      <c r="F697">
        <v>49610</v>
      </c>
      <c r="G697">
        <v>0</v>
      </c>
      <c r="H697">
        <v>0</v>
      </c>
      <c r="I697">
        <v>0</v>
      </c>
      <c r="J697">
        <v>0</v>
      </c>
      <c r="K697">
        <v>13006.17</v>
      </c>
      <c r="L697">
        <v>9194473</v>
      </c>
      <c r="M697">
        <v>9181597</v>
      </c>
      <c r="N697">
        <v>9194473</v>
      </c>
      <c r="O697">
        <v>9181597</v>
      </c>
      <c r="P697">
        <v>9287346.2599999998</v>
      </c>
      <c r="Q697">
        <v>9274340.0899999999</v>
      </c>
      <c r="R697" s="14">
        <f>_xlfn.XLOOKUP(Table2[[#This Row],[LoanID]],Table1[G-L ID],Table1[ManagerCode],-99)</f>
        <v>103</v>
      </c>
      <c r="T697"/>
    </row>
    <row r="698" spans="1:20" x14ac:dyDescent="0.25">
      <c r="A698">
        <v>20110430</v>
      </c>
      <c r="B698">
        <v>2011</v>
      </c>
      <c r="C698">
        <v>4</v>
      </c>
      <c r="D698">
        <v>1</v>
      </c>
      <c r="E698">
        <v>10770</v>
      </c>
      <c r="F698">
        <v>0</v>
      </c>
      <c r="G698">
        <v>0</v>
      </c>
      <c r="H698">
        <v>0</v>
      </c>
      <c r="I698">
        <v>-67120</v>
      </c>
      <c r="J698">
        <v>0</v>
      </c>
      <c r="K698">
        <v>0</v>
      </c>
      <c r="L698">
        <v>115000000</v>
      </c>
      <c r="M698">
        <v>115000000</v>
      </c>
      <c r="N698">
        <v>115000000</v>
      </c>
      <c r="O698">
        <v>115000000</v>
      </c>
      <c r="P698">
        <v>115000000</v>
      </c>
      <c r="Q698">
        <v>115000000</v>
      </c>
      <c r="R698" s="14">
        <f>_xlfn.XLOOKUP(Table2[[#This Row],[LoanID]],Table1[G-L ID],Table1[ManagerCode],-99)</f>
        <v>103</v>
      </c>
      <c r="T698"/>
    </row>
    <row r="699" spans="1:20" x14ac:dyDescent="0.25">
      <c r="A699">
        <v>20110430</v>
      </c>
      <c r="B699">
        <v>2011</v>
      </c>
      <c r="C699">
        <v>4</v>
      </c>
      <c r="D699">
        <v>1</v>
      </c>
      <c r="E699">
        <v>10880</v>
      </c>
      <c r="F699">
        <v>295892</v>
      </c>
      <c r="G699">
        <v>0</v>
      </c>
      <c r="H699">
        <v>0</v>
      </c>
      <c r="I699">
        <v>0</v>
      </c>
      <c r="J699">
        <v>0</v>
      </c>
      <c r="K699">
        <v>0</v>
      </c>
      <c r="L699">
        <v>185167969</v>
      </c>
      <c r="M699">
        <v>184575283</v>
      </c>
      <c r="N699">
        <v>185167969</v>
      </c>
      <c r="O699">
        <v>184575283</v>
      </c>
      <c r="P699">
        <v>201744599.09999999</v>
      </c>
      <c r="Q699">
        <v>201744599.09999999</v>
      </c>
      <c r="R699" s="14">
        <f>_xlfn.XLOOKUP(Table2[[#This Row],[LoanID]],Table1[G-L ID],Table1[ManagerCode],-99)</f>
        <v>103</v>
      </c>
      <c r="T699"/>
    </row>
    <row r="700" spans="1:20" x14ac:dyDescent="0.25">
      <c r="A700">
        <v>20110430</v>
      </c>
      <c r="B700">
        <v>2011</v>
      </c>
      <c r="C700">
        <v>4</v>
      </c>
      <c r="D700">
        <v>1</v>
      </c>
      <c r="E700">
        <v>10900</v>
      </c>
      <c r="F700">
        <v>161476</v>
      </c>
      <c r="G700">
        <v>0</v>
      </c>
      <c r="H700">
        <v>0</v>
      </c>
      <c r="I700">
        <v>0</v>
      </c>
      <c r="J700">
        <v>0</v>
      </c>
      <c r="K700">
        <v>5758.29</v>
      </c>
      <c r="L700">
        <v>7797730</v>
      </c>
      <c r="M700">
        <v>7792548</v>
      </c>
      <c r="N700">
        <v>7797730</v>
      </c>
      <c r="O700">
        <v>7792548</v>
      </c>
      <c r="P700">
        <v>8664144.4900000002</v>
      </c>
      <c r="Q700">
        <v>8658386.1999999993</v>
      </c>
      <c r="R700" s="14">
        <f>_xlfn.XLOOKUP(Table2[[#This Row],[LoanID]],Table1[G-L ID],Table1[ManagerCode],-99)</f>
        <v>103</v>
      </c>
      <c r="T700"/>
    </row>
    <row r="701" spans="1:20" x14ac:dyDescent="0.25">
      <c r="A701">
        <v>20110430</v>
      </c>
      <c r="B701">
        <v>2011</v>
      </c>
      <c r="C701">
        <v>4</v>
      </c>
      <c r="D701">
        <v>1</v>
      </c>
      <c r="E701">
        <v>10950</v>
      </c>
      <c r="F701">
        <v>54368</v>
      </c>
      <c r="G701">
        <v>0</v>
      </c>
      <c r="H701">
        <v>0</v>
      </c>
      <c r="I701">
        <v>0</v>
      </c>
      <c r="J701">
        <v>0</v>
      </c>
      <c r="K701">
        <v>22654.85</v>
      </c>
      <c r="L701">
        <v>10760846</v>
      </c>
      <c r="M701">
        <v>10812443</v>
      </c>
      <c r="N701">
        <v>10760846</v>
      </c>
      <c r="O701">
        <v>10812443</v>
      </c>
      <c r="P701">
        <v>10946610.710000001</v>
      </c>
      <c r="Q701">
        <v>10923955.859999999</v>
      </c>
      <c r="R701" s="14">
        <f>_xlfn.XLOOKUP(Table2[[#This Row],[LoanID]],Table1[G-L ID],Table1[ManagerCode],-99)</f>
        <v>103</v>
      </c>
      <c r="T701"/>
    </row>
    <row r="702" spans="1:20" x14ac:dyDescent="0.25">
      <c r="A702">
        <v>20110430</v>
      </c>
      <c r="B702">
        <v>2011</v>
      </c>
      <c r="C702">
        <v>4</v>
      </c>
      <c r="D702">
        <v>1</v>
      </c>
      <c r="E702">
        <v>11180</v>
      </c>
      <c r="F702">
        <v>216796</v>
      </c>
      <c r="G702">
        <v>0</v>
      </c>
      <c r="H702">
        <v>0</v>
      </c>
      <c r="I702">
        <v>-1722</v>
      </c>
      <c r="J702">
        <v>0</v>
      </c>
      <c r="K702">
        <v>0</v>
      </c>
      <c r="L702">
        <v>169975207</v>
      </c>
      <c r="M702">
        <v>169975207</v>
      </c>
      <c r="N702">
        <v>169975207</v>
      </c>
      <c r="O702">
        <v>169975207</v>
      </c>
      <c r="P702">
        <v>199970831.5</v>
      </c>
      <c r="Q702">
        <v>199970831.5</v>
      </c>
      <c r="R702" s="14">
        <f>_xlfn.XLOOKUP(Table2[[#This Row],[LoanID]],Table1[G-L ID],Table1[ManagerCode],-99)</f>
        <v>103</v>
      </c>
      <c r="T702"/>
    </row>
    <row r="703" spans="1:20" x14ac:dyDescent="0.25">
      <c r="A703">
        <v>20110430</v>
      </c>
      <c r="B703">
        <v>2011</v>
      </c>
      <c r="C703">
        <v>4</v>
      </c>
      <c r="D703">
        <v>1</v>
      </c>
      <c r="E703">
        <v>11200</v>
      </c>
      <c r="F703">
        <v>69880</v>
      </c>
      <c r="G703">
        <v>0</v>
      </c>
      <c r="H703">
        <v>0</v>
      </c>
      <c r="I703">
        <v>0</v>
      </c>
      <c r="J703">
        <v>0</v>
      </c>
      <c r="K703">
        <v>0</v>
      </c>
      <c r="L703">
        <v>11879576</v>
      </c>
      <c r="M703">
        <v>11879576</v>
      </c>
      <c r="N703">
        <v>11879576</v>
      </c>
      <c r="O703">
        <v>11879576</v>
      </c>
      <c r="P703">
        <v>13976000</v>
      </c>
      <c r="Q703">
        <v>13976000</v>
      </c>
      <c r="R703" s="14">
        <f>_xlfn.XLOOKUP(Table2[[#This Row],[LoanID]],Table1[G-L ID],Table1[ManagerCode],-99)</f>
        <v>103</v>
      </c>
      <c r="T703"/>
    </row>
    <row r="704" spans="1:20" x14ac:dyDescent="0.25">
      <c r="A704">
        <v>20110430</v>
      </c>
      <c r="B704">
        <v>2011</v>
      </c>
      <c r="C704">
        <v>4</v>
      </c>
      <c r="D704">
        <v>1</v>
      </c>
      <c r="E704">
        <v>11240</v>
      </c>
      <c r="F704">
        <v>255980</v>
      </c>
      <c r="G704">
        <v>0</v>
      </c>
      <c r="H704">
        <v>0</v>
      </c>
      <c r="I704">
        <v>0</v>
      </c>
      <c r="J704">
        <v>0</v>
      </c>
      <c r="K704">
        <v>0</v>
      </c>
      <c r="L704">
        <v>185183145</v>
      </c>
      <c r="M704">
        <v>185183145</v>
      </c>
      <c r="N704">
        <v>185183145</v>
      </c>
      <c r="O704">
        <v>185183145</v>
      </c>
      <c r="P704">
        <v>194929626.59999999</v>
      </c>
      <c r="Q704">
        <v>194929626.59999999</v>
      </c>
      <c r="R704" s="14">
        <f>_xlfn.XLOOKUP(Table2[[#This Row],[LoanID]],Table1[G-L ID],Table1[ManagerCode],-99)</f>
        <v>103</v>
      </c>
      <c r="T704"/>
    </row>
    <row r="705" spans="1:20" x14ac:dyDescent="0.25">
      <c r="A705">
        <v>20110430</v>
      </c>
      <c r="B705">
        <v>2011</v>
      </c>
      <c r="C705">
        <v>4</v>
      </c>
      <c r="D705">
        <v>1</v>
      </c>
      <c r="E705">
        <v>11280</v>
      </c>
      <c r="F705">
        <v>24353</v>
      </c>
      <c r="G705">
        <v>0</v>
      </c>
      <c r="H705">
        <v>0</v>
      </c>
      <c r="I705">
        <v>-157</v>
      </c>
      <c r="J705">
        <v>0</v>
      </c>
      <c r="K705">
        <v>0</v>
      </c>
      <c r="L705">
        <v>17851567</v>
      </c>
      <c r="M705">
        <v>17851567</v>
      </c>
      <c r="N705">
        <v>17851567</v>
      </c>
      <c r="O705">
        <v>17851567</v>
      </c>
      <c r="P705">
        <v>18791123.030000001</v>
      </c>
      <c r="Q705">
        <v>18791123.030000001</v>
      </c>
      <c r="R705" s="14">
        <f>_xlfn.XLOOKUP(Table2[[#This Row],[LoanID]],Table1[G-L ID],Table1[ManagerCode],-99)</f>
        <v>103</v>
      </c>
      <c r="T705"/>
    </row>
    <row r="706" spans="1:20" x14ac:dyDescent="0.25">
      <c r="A706">
        <v>20110430</v>
      </c>
      <c r="B706">
        <v>2011</v>
      </c>
      <c r="C706">
        <v>4</v>
      </c>
      <c r="D706">
        <v>1</v>
      </c>
      <c r="E706">
        <v>11300</v>
      </c>
      <c r="F706">
        <v>21918</v>
      </c>
      <c r="G706">
        <v>0</v>
      </c>
      <c r="H706">
        <v>0</v>
      </c>
      <c r="I706">
        <v>-141</v>
      </c>
      <c r="J706">
        <v>0</v>
      </c>
      <c r="K706">
        <v>0</v>
      </c>
      <c r="L706">
        <v>16066410</v>
      </c>
      <c r="M706">
        <v>16066410</v>
      </c>
      <c r="N706">
        <v>16066410</v>
      </c>
      <c r="O706">
        <v>16066410</v>
      </c>
      <c r="P706">
        <v>16912010.73</v>
      </c>
      <c r="Q706">
        <v>16912010.73</v>
      </c>
      <c r="R706" s="14">
        <f>_xlfn.XLOOKUP(Table2[[#This Row],[LoanID]],Table1[G-L ID],Table1[ManagerCode],-99)</f>
        <v>103</v>
      </c>
      <c r="T706"/>
    </row>
    <row r="707" spans="1:20" x14ac:dyDescent="0.25">
      <c r="A707">
        <v>20110430</v>
      </c>
      <c r="B707">
        <v>2011</v>
      </c>
      <c r="C707">
        <v>4</v>
      </c>
      <c r="D707">
        <v>1</v>
      </c>
      <c r="E707">
        <v>11310</v>
      </c>
      <c r="F707">
        <v>14612</v>
      </c>
      <c r="G707">
        <v>0</v>
      </c>
      <c r="H707">
        <v>0</v>
      </c>
      <c r="I707">
        <v>-94</v>
      </c>
      <c r="J707">
        <v>0</v>
      </c>
      <c r="K707">
        <v>0</v>
      </c>
      <c r="L707">
        <v>10710940</v>
      </c>
      <c r="M707">
        <v>10710940</v>
      </c>
      <c r="N707">
        <v>10710940</v>
      </c>
      <c r="O707">
        <v>10710940</v>
      </c>
      <c r="P707">
        <v>11274673.789999999</v>
      </c>
      <c r="Q707">
        <v>11274673.789999999</v>
      </c>
      <c r="R707" s="14">
        <f>_xlfn.XLOOKUP(Table2[[#This Row],[LoanID]],Table1[G-L ID],Table1[ManagerCode],-99)</f>
        <v>103</v>
      </c>
      <c r="T707"/>
    </row>
    <row r="708" spans="1:20" x14ac:dyDescent="0.25">
      <c r="A708">
        <v>20110430</v>
      </c>
      <c r="B708">
        <v>2011</v>
      </c>
      <c r="C708">
        <v>4</v>
      </c>
      <c r="D708">
        <v>1</v>
      </c>
      <c r="E708">
        <v>11380</v>
      </c>
      <c r="F708">
        <v>37500</v>
      </c>
      <c r="G708">
        <v>0</v>
      </c>
      <c r="H708">
        <v>0</v>
      </c>
      <c r="I708">
        <v>0</v>
      </c>
      <c r="J708">
        <v>0</v>
      </c>
      <c r="K708">
        <v>53199.839999999997</v>
      </c>
      <c r="L708">
        <v>6367330</v>
      </c>
      <c r="M708">
        <v>6347868</v>
      </c>
      <c r="N708">
        <v>6367330</v>
      </c>
      <c r="O708">
        <v>6347868</v>
      </c>
      <c r="P708">
        <v>5674676.8200000003</v>
      </c>
      <c r="Q708">
        <v>5621476.9800000004</v>
      </c>
      <c r="R708" s="14">
        <f>_xlfn.XLOOKUP(Table2[[#This Row],[LoanID]],Table1[G-L ID],Table1[ManagerCode],-99)</f>
        <v>103</v>
      </c>
      <c r="T708"/>
    </row>
    <row r="709" spans="1:20" x14ac:dyDescent="0.25">
      <c r="A709">
        <v>20110430</v>
      </c>
      <c r="B709">
        <v>2011</v>
      </c>
      <c r="C709">
        <v>4</v>
      </c>
      <c r="D709">
        <v>1</v>
      </c>
      <c r="E709">
        <v>11420</v>
      </c>
      <c r="F709">
        <v>514857</v>
      </c>
      <c r="G709">
        <v>0</v>
      </c>
      <c r="H709">
        <v>0</v>
      </c>
      <c r="I709">
        <v>0</v>
      </c>
      <c r="J709">
        <v>0</v>
      </c>
      <c r="K709">
        <v>0</v>
      </c>
      <c r="L709">
        <v>99454240</v>
      </c>
      <c r="M709">
        <v>99186399</v>
      </c>
      <c r="N709">
        <v>99454240</v>
      </c>
      <c r="O709">
        <v>99186399</v>
      </c>
      <c r="P709">
        <v>98000000</v>
      </c>
      <c r="Q709">
        <v>98000000</v>
      </c>
      <c r="R709" s="14">
        <f>_xlfn.XLOOKUP(Table2[[#This Row],[LoanID]],Table1[G-L ID],Table1[ManagerCode],-99)</f>
        <v>103</v>
      </c>
      <c r="T709"/>
    </row>
    <row r="710" spans="1:20" x14ac:dyDescent="0.25">
      <c r="A710">
        <v>20110430</v>
      </c>
      <c r="B710">
        <v>2011</v>
      </c>
      <c r="C710">
        <v>4</v>
      </c>
      <c r="D710">
        <v>1</v>
      </c>
      <c r="E710">
        <v>11510</v>
      </c>
      <c r="F710">
        <v>0</v>
      </c>
      <c r="G710">
        <v>0</v>
      </c>
      <c r="H710">
        <v>0</v>
      </c>
      <c r="I710">
        <v>0</v>
      </c>
      <c r="J710">
        <v>0</v>
      </c>
      <c r="K710">
        <v>0</v>
      </c>
      <c r="L710">
        <v>14456844</v>
      </c>
      <c r="M710">
        <v>14456844</v>
      </c>
      <c r="N710">
        <v>14456844</v>
      </c>
      <c r="O710">
        <v>14456844</v>
      </c>
      <c r="P710">
        <v>14602872.720000001</v>
      </c>
      <c r="Q710">
        <v>14602872.720000001</v>
      </c>
      <c r="R710" s="14">
        <f>_xlfn.XLOOKUP(Table2[[#This Row],[LoanID]],Table1[G-L ID],Table1[ManagerCode],-99)</f>
        <v>103</v>
      </c>
      <c r="T710"/>
    </row>
    <row r="711" spans="1:20" x14ac:dyDescent="0.25">
      <c r="A711">
        <v>20110430</v>
      </c>
      <c r="B711">
        <v>2011</v>
      </c>
      <c r="C711">
        <v>4</v>
      </c>
      <c r="D711">
        <v>1</v>
      </c>
      <c r="E711">
        <v>11650</v>
      </c>
      <c r="F711">
        <v>37500</v>
      </c>
      <c r="G711">
        <v>0</v>
      </c>
      <c r="H711">
        <v>0</v>
      </c>
      <c r="I711">
        <v>0</v>
      </c>
      <c r="J711">
        <v>0</v>
      </c>
      <c r="K711">
        <v>0</v>
      </c>
      <c r="L711">
        <v>4800000</v>
      </c>
      <c r="M711">
        <v>4800000</v>
      </c>
      <c r="N711">
        <v>4800000</v>
      </c>
      <c r="O711">
        <v>4800000</v>
      </c>
      <c r="P711">
        <v>6000000</v>
      </c>
      <c r="Q711">
        <v>6000000</v>
      </c>
      <c r="R711" s="14">
        <f>_xlfn.XLOOKUP(Table2[[#This Row],[LoanID]],Table1[G-L ID],Table1[ManagerCode],-99)</f>
        <v>103</v>
      </c>
      <c r="T711"/>
    </row>
    <row r="712" spans="1:20" x14ac:dyDescent="0.25">
      <c r="A712">
        <v>20110430</v>
      </c>
      <c r="B712">
        <v>2011</v>
      </c>
      <c r="C712">
        <v>4</v>
      </c>
      <c r="D712">
        <v>1</v>
      </c>
      <c r="E712">
        <v>11780</v>
      </c>
      <c r="F712">
        <v>188883</v>
      </c>
      <c r="G712">
        <v>0</v>
      </c>
      <c r="H712">
        <v>0</v>
      </c>
      <c r="I712">
        <v>-1145</v>
      </c>
      <c r="J712">
        <v>0</v>
      </c>
      <c r="K712">
        <v>278459.40999999997</v>
      </c>
      <c r="L712">
        <v>53187821</v>
      </c>
      <c r="M712">
        <v>52965053</v>
      </c>
      <c r="N712">
        <v>53187821</v>
      </c>
      <c r="O712">
        <v>52965053</v>
      </c>
      <c r="P712">
        <v>66484776.159999996</v>
      </c>
      <c r="Q712">
        <v>66206316.75</v>
      </c>
      <c r="R712" s="14">
        <f>_xlfn.XLOOKUP(Table2[[#This Row],[LoanID]],Table1[G-L ID],Table1[ManagerCode],-99)</f>
        <v>103</v>
      </c>
      <c r="T712"/>
    </row>
    <row r="713" spans="1:20" x14ac:dyDescent="0.25">
      <c r="A713">
        <v>20110430</v>
      </c>
      <c r="B713">
        <v>2011</v>
      </c>
      <c r="C713">
        <v>4</v>
      </c>
      <c r="D713">
        <v>1</v>
      </c>
      <c r="E713">
        <v>11800</v>
      </c>
      <c r="F713">
        <v>167280</v>
      </c>
      <c r="G713">
        <v>0</v>
      </c>
      <c r="H713">
        <v>0</v>
      </c>
      <c r="I713">
        <v>-281</v>
      </c>
      <c r="J713">
        <v>0</v>
      </c>
      <c r="K713">
        <v>53422.45</v>
      </c>
      <c r="L713">
        <v>29418624</v>
      </c>
      <c r="M713">
        <v>29370543</v>
      </c>
      <c r="N713">
        <v>29418624</v>
      </c>
      <c r="O713">
        <v>29370543</v>
      </c>
      <c r="P713">
        <v>32687326.780000001</v>
      </c>
      <c r="Q713">
        <v>32633904.329999998</v>
      </c>
      <c r="R713" s="14">
        <f>_xlfn.XLOOKUP(Table2[[#This Row],[LoanID]],Table1[G-L ID],Table1[ManagerCode],-99)</f>
        <v>103</v>
      </c>
      <c r="T713"/>
    </row>
    <row r="714" spans="1:20" x14ac:dyDescent="0.25">
      <c r="A714">
        <v>20110430</v>
      </c>
      <c r="B714">
        <v>2011</v>
      </c>
      <c r="C714">
        <v>4</v>
      </c>
      <c r="D714">
        <v>1</v>
      </c>
      <c r="E714">
        <v>11810</v>
      </c>
      <c r="F714">
        <v>51167</v>
      </c>
      <c r="G714">
        <v>0</v>
      </c>
      <c r="H714">
        <v>0</v>
      </c>
      <c r="I714">
        <v>0</v>
      </c>
      <c r="J714">
        <v>0</v>
      </c>
      <c r="K714">
        <v>0</v>
      </c>
      <c r="L714">
        <v>9500000</v>
      </c>
      <c r="M714">
        <v>9500000</v>
      </c>
      <c r="N714">
        <v>9500000</v>
      </c>
      <c r="O714">
        <v>9500000</v>
      </c>
      <c r="P714">
        <v>10000000</v>
      </c>
      <c r="Q714">
        <v>10000000</v>
      </c>
      <c r="R714" s="14">
        <f>_xlfn.XLOOKUP(Table2[[#This Row],[LoanID]],Table1[G-L ID],Table1[ManagerCode],-99)</f>
        <v>103</v>
      </c>
      <c r="T714"/>
    </row>
    <row r="715" spans="1:20" x14ac:dyDescent="0.25">
      <c r="A715">
        <v>20110430</v>
      </c>
      <c r="B715">
        <v>2011</v>
      </c>
      <c r="C715">
        <v>4</v>
      </c>
      <c r="D715">
        <v>1</v>
      </c>
      <c r="E715">
        <v>11900</v>
      </c>
      <c r="F715">
        <v>280094</v>
      </c>
      <c r="G715">
        <v>0</v>
      </c>
      <c r="H715">
        <v>0</v>
      </c>
      <c r="I715">
        <v>0</v>
      </c>
      <c r="J715">
        <v>0</v>
      </c>
      <c r="K715">
        <v>0</v>
      </c>
      <c r="L715">
        <v>52249948</v>
      </c>
      <c r="M715">
        <v>52249948</v>
      </c>
      <c r="N715">
        <v>52249948</v>
      </c>
      <c r="O715">
        <v>52249948</v>
      </c>
      <c r="P715">
        <v>55000000</v>
      </c>
      <c r="Q715">
        <v>55000000</v>
      </c>
      <c r="R715" s="14">
        <f>_xlfn.XLOOKUP(Table2[[#This Row],[LoanID]],Table1[G-L ID],Table1[ManagerCode],-99)</f>
        <v>103</v>
      </c>
      <c r="T715"/>
    </row>
    <row r="716" spans="1:20" x14ac:dyDescent="0.25">
      <c r="A716">
        <v>20110430</v>
      </c>
      <c r="B716">
        <v>2011</v>
      </c>
      <c r="C716">
        <v>4</v>
      </c>
      <c r="D716">
        <v>1</v>
      </c>
      <c r="E716">
        <v>11930</v>
      </c>
      <c r="F716">
        <v>166641</v>
      </c>
      <c r="G716">
        <v>0</v>
      </c>
      <c r="H716">
        <v>0</v>
      </c>
      <c r="I716">
        <v>0</v>
      </c>
      <c r="J716">
        <v>0</v>
      </c>
      <c r="K716">
        <v>12631775.76</v>
      </c>
      <c r="L716">
        <v>166340545</v>
      </c>
      <c r="M716">
        <v>153952902</v>
      </c>
      <c r="N716">
        <v>166340545</v>
      </c>
      <c r="O716">
        <v>153952902</v>
      </c>
      <c r="P716">
        <v>167548986.5</v>
      </c>
      <c r="Q716">
        <v>154917210.69999999</v>
      </c>
      <c r="R716" s="14">
        <f>_xlfn.XLOOKUP(Table2[[#This Row],[LoanID]],Table1[G-L ID],Table1[ManagerCode],-99)</f>
        <v>103</v>
      </c>
      <c r="T716"/>
    </row>
    <row r="717" spans="1:20" x14ac:dyDescent="0.25">
      <c r="A717">
        <v>20110430</v>
      </c>
      <c r="B717">
        <v>2011</v>
      </c>
      <c r="C717">
        <v>4</v>
      </c>
      <c r="D717">
        <v>1</v>
      </c>
      <c r="E717">
        <v>11940</v>
      </c>
      <c r="F717">
        <v>54691</v>
      </c>
      <c r="G717">
        <v>0</v>
      </c>
      <c r="H717">
        <v>0</v>
      </c>
      <c r="I717">
        <v>0</v>
      </c>
      <c r="J717">
        <v>0</v>
      </c>
      <c r="K717">
        <v>19816015.690000001</v>
      </c>
      <c r="L717">
        <v>54591967</v>
      </c>
      <c r="M717">
        <v>34953617</v>
      </c>
      <c r="N717">
        <v>54591967</v>
      </c>
      <c r="O717">
        <v>34953617</v>
      </c>
      <c r="P717">
        <v>54975575.280000001</v>
      </c>
      <c r="Q717">
        <v>35161725.450000003</v>
      </c>
      <c r="R717" s="14">
        <f>_xlfn.XLOOKUP(Table2[[#This Row],[LoanID]],Table1[G-L ID],Table1[ManagerCode],-99)</f>
        <v>103</v>
      </c>
      <c r="T717"/>
    </row>
    <row r="718" spans="1:20" x14ac:dyDescent="0.25">
      <c r="A718">
        <v>20110430</v>
      </c>
      <c r="B718">
        <v>2011</v>
      </c>
      <c r="C718">
        <v>4</v>
      </c>
      <c r="D718">
        <v>1</v>
      </c>
      <c r="E718">
        <v>12000</v>
      </c>
      <c r="F718">
        <v>129709</v>
      </c>
      <c r="G718">
        <v>0</v>
      </c>
      <c r="H718">
        <v>0</v>
      </c>
      <c r="I718">
        <v>0</v>
      </c>
      <c r="J718">
        <v>0</v>
      </c>
      <c r="K718">
        <v>0</v>
      </c>
      <c r="L718">
        <v>22594547</v>
      </c>
      <c r="M718">
        <v>22671015</v>
      </c>
      <c r="N718">
        <v>22594547</v>
      </c>
      <c r="O718">
        <v>22671015</v>
      </c>
      <c r="P718">
        <v>25092551.989999998</v>
      </c>
      <c r="Q718">
        <v>25093246.440000001</v>
      </c>
      <c r="R718" s="14">
        <f>_xlfn.XLOOKUP(Table2[[#This Row],[LoanID]],Table1[G-L ID],Table1[ManagerCode],-99)</f>
        <v>103</v>
      </c>
      <c r="T718"/>
    </row>
    <row r="719" spans="1:20" x14ac:dyDescent="0.25">
      <c r="A719">
        <v>20110430</v>
      </c>
      <c r="B719">
        <v>2011</v>
      </c>
      <c r="C719">
        <v>4</v>
      </c>
      <c r="D719">
        <v>1</v>
      </c>
      <c r="E719">
        <v>12110</v>
      </c>
      <c r="F719">
        <v>68744.05</v>
      </c>
      <c r="G719">
        <v>0</v>
      </c>
      <c r="H719">
        <v>0</v>
      </c>
      <c r="I719">
        <v>0</v>
      </c>
      <c r="J719">
        <v>0</v>
      </c>
      <c r="K719">
        <v>0</v>
      </c>
      <c r="L719">
        <v>7189224.5199999996</v>
      </c>
      <c r="M719">
        <v>7189224.5199999996</v>
      </c>
      <c r="N719">
        <v>7189224.5199999996</v>
      </c>
      <c r="O719">
        <v>7189224.5199999996</v>
      </c>
      <c r="P719">
        <v>7189224.5199999996</v>
      </c>
      <c r="Q719">
        <v>7189224.5199999996</v>
      </c>
      <c r="R719" s="14">
        <f>_xlfn.XLOOKUP(Table2[[#This Row],[LoanID]],Table1[G-L ID],Table1[ManagerCode],-99)</f>
        <v>183</v>
      </c>
      <c r="T719"/>
    </row>
    <row r="720" spans="1:20" x14ac:dyDescent="0.25">
      <c r="A720">
        <v>20110430</v>
      </c>
      <c r="B720">
        <v>2011</v>
      </c>
      <c r="C720">
        <v>4</v>
      </c>
      <c r="D720">
        <v>1</v>
      </c>
      <c r="E720">
        <v>12200</v>
      </c>
      <c r="F720">
        <v>91005</v>
      </c>
      <c r="G720">
        <v>0</v>
      </c>
      <c r="H720">
        <v>0</v>
      </c>
      <c r="I720">
        <v>0</v>
      </c>
      <c r="J720">
        <v>0</v>
      </c>
      <c r="K720">
        <v>31204.19</v>
      </c>
      <c r="L720">
        <v>21268226</v>
      </c>
      <c r="M720">
        <v>21390553</v>
      </c>
      <c r="N720">
        <v>21268226</v>
      </c>
      <c r="O720">
        <v>21390553</v>
      </c>
      <c r="P720">
        <v>19804667.52</v>
      </c>
      <c r="Q720">
        <v>19773809.629999999</v>
      </c>
      <c r="R720" s="14">
        <f>_xlfn.XLOOKUP(Table2[[#This Row],[LoanID]],Table1[G-L ID],Table1[ManagerCode],-99)</f>
        <v>103</v>
      </c>
      <c r="T720"/>
    </row>
    <row r="721" spans="1:20" x14ac:dyDescent="0.25">
      <c r="A721">
        <v>20110430</v>
      </c>
      <c r="B721">
        <v>2011</v>
      </c>
      <c r="C721">
        <v>4</v>
      </c>
      <c r="D721">
        <v>1</v>
      </c>
      <c r="E721">
        <v>12210</v>
      </c>
      <c r="F721">
        <v>730610</v>
      </c>
      <c r="G721">
        <v>0</v>
      </c>
      <c r="H721">
        <v>0</v>
      </c>
      <c r="I721">
        <v>0</v>
      </c>
      <c r="J721">
        <v>0</v>
      </c>
      <c r="K721">
        <v>173919.28</v>
      </c>
      <c r="L721">
        <v>137587416</v>
      </c>
      <c r="M721">
        <v>138847735</v>
      </c>
      <c r="N721">
        <v>137587416</v>
      </c>
      <c r="O721">
        <v>138847735</v>
      </c>
      <c r="P721">
        <v>118213959.8</v>
      </c>
      <c r="Q721">
        <v>118040040.5</v>
      </c>
      <c r="R721" s="14">
        <f>_xlfn.XLOOKUP(Table2[[#This Row],[LoanID]],Table1[G-L ID],Table1[ManagerCode],-99)</f>
        <v>103</v>
      </c>
      <c r="T721"/>
    </row>
    <row r="722" spans="1:20" x14ac:dyDescent="0.25">
      <c r="A722">
        <v>20110531</v>
      </c>
      <c r="B722">
        <v>2011</v>
      </c>
      <c r="C722">
        <v>5</v>
      </c>
      <c r="D722">
        <v>1</v>
      </c>
      <c r="E722">
        <v>10050</v>
      </c>
      <c r="F722">
        <v>149014</v>
      </c>
      <c r="G722">
        <v>0</v>
      </c>
      <c r="H722">
        <v>0</v>
      </c>
      <c r="I722">
        <v>-69</v>
      </c>
      <c r="J722">
        <v>0</v>
      </c>
      <c r="K722">
        <v>0</v>
      </c>
      <c r="L722">
        <v>32091436</v>
      </c>
      <c r="M722">
        <v>32862139</v>
      </c>
      <c r="N722">
        <v>32091436</v>
      </c>
      <c r="O722">
        <v>32862139</v>
      </c>
      <c r="P722">
        <v>33333334</v>
      </c>
      <c r="Q722">
        <v>33333334</v>
      </c>
      <c r="R722" s="14">
        <f>_xlfn.XLOOKUP(Table2[[#This Row],[LoanID]],Table1[G-L ID],Table1[ManagerCode],-99)</f>
        <v>103</v>
      </c>
      <c r="T722"/>
    </row>
    <row r="723" spans="1:20" x14ac:dyDescent="0.25">
      <c r="A723">
        <v>20110531</v>
      </c>
      <c r="B723">
        <v>2011</v>
      </c>
      <c r="C723">
        <v>5</v>
      </c>
      <c r="D723">
        <v>1</v>
      </c>
      <c r="E723">
        <v>10080</v>
      </c>
      <c r="F723">
        <v>339719</v>
      </c>
      <c r="G723">
        <v>0</v>
      </c>
      <c r="H723">
        <v>0</v>
      </c>
      <c r="I723">
        <v>-156</v>
      </c>
      <c r="J723">
        <v>0</v>
      </c>
      <c r="K723">
        <v>0</v>
      </c>
      <c r="L723">
        <v>71337360</v>
      </c>
      <c r="M723">
        <v>72177377</v>
      </c>
      <c r="N723">
        <v>71337360</v>
      </c>
      <c r="O723">
        <v>72177377</v>
      </c>
      <c r="P723">
        <v>75000000</v>
      </c>
      <c r="Q723">
        <v>75000000</v>
      </c>
      <c r="R723" s="14">
        <f>_xlfn.XLOOKUP(Table2[[#This Row],[LoanID]],Table1[G-L ID],Table1[ManagerCode],-99)</f>
        <v>103</v>
      </c>
      <c r="T723"/>
    </row>
    <row r="724" spans="1:20" x14ac:dyDescent="0.25">
      <c r="A724">
        <v>20110531</v>
      </c>
      <c r="B724">
        <v>2011</v>
      </c>
      <c r="C724">
        <v>5</v>
      </c>
      <c r="D724">
        <v>1</v>
      </c>
      <c r="E724">
        <v>10130</v>
      </c>
      <c r="F724">
        <v>36833</v>
      </c>
      <c r="G724">
        <v>0</v>
      </c>
      <c r="H724">
        <v>0</v>
      </c>
      <c r="I724">
        <v>0</v>
      </c>
      <c r="J724">
        <v>0</v>
      </c>
      <c r="K724">
        <v>30857.34</v>
      </c>
      <c r="L724">
        <v>8629053</v>
      </c>
      <c r="M724">
        <v>8617622</v>
      </c>
      <c r="N724">
        <v>8629053</v>
      </c>
      <c r="O724">
        <v>8617622</v>
      </c>
      <c r="P724">
        <v>8139967.0800000001</v>
      </c>
      <c r="Q724">
        <v>8109109.7400000002</v>
      </c>
      <c r="R724" s="14">
        <f>_xlfn.XLOOKUP(Table2[[#This Row],[LoanID]],Table1[G-L ID],Table1[ManagerCode],-99)</f>
        <v>103</v>
      </c>
      <c r="T724"/>
    </row>
    <row r="725" spans="1:20" x14ac:dyDescent="0.25">
      <c r="A725">
        <v>20110531</v>
      </c>
      <c r="B725">
        <v>2011</v>
      </c>
      <c r="C725">
        <v>5</v>
      </c>
      <c r="D725">
        <v>1</v>
      </c>
      <c r="E725">
        <v>10140</v>
      </c>
      <c r="F725">
        <v>97127</v>
      </c>
      <c r="G725">
        <v>0</v>
      </c>
      <c r="H725">
        <v>0</v>
      </c>
      <c r="I725">
        <v>0</v>
      </c>
      <c r="J725">
        <v>0</v>
      </c>
      <c r="K725">
        <v>80697.48</v>
      </c>
      <c r="L725">
        <v>22754819</v>
      </c>
      <c r="M725">
        <v>22725396</v>
      </c>
      <c r="N725">
        <v>22754819</v>
      </c>
      <c r="O725">
        <v>22725396</v>
      </c>
      <c r="P725">
        <v>21464496.43</v>
      </c>
      <c r="Q725">
        <v>21383798.949999999</v>
      </c>
      <c r="R725" s="14">
        <f>_xlfn.XLOOKUP(Table2[[#This Row],[LoanID]],Table1[G-L ID],Table1[ManagerCode],-99)</f>
        <v>103</v>
      </c>
      <c r="T725"/>
    </row>
    <row r="726" spans="1:20" x14ac:dyDescent="0.25">
      <c r="A726">
        <v>20110531</v>
      </c>
      <c r="B726">
        <v>2011</v>
      </c>
      <c r="C726">
        <v>5</v>
      </c>
      <c r="D726">
        <v>1</v>
      </c>
      <c r="E726">
        <v>10150</v>
      </c>
      <c r="F726">
        <v>244288</v>
      </c>
      <c r="G726">
        <v>0</v>
      </c>
      <c r="H726">
        <v>0</v>
      </c>
      <c r="I726">
        <v>0</v>
      </c>
      <c r="J726">
        <v>0</v>
      </c>
      <c r="K726">
        <v>69031.75</v>
      </c>
      <c r="L726">
        <v>52480113</v>
      </c>
      <c r="M726">
        <v>52411771</v>
      </c>
      <c r="N726">
        <v>52480113</v>
      </c>
      <c r="O726">
        <v>52411771</v>
      </c>
      <c r="P726">
        <v>53010108.899999999</v>
      </c>
      <c r="Q726">
        <v>52941077.149999999</v>
      </c>
      <c r="R726" s="14">
        <f>_xlfn.XLOOKUP(Table2[[#This Row],[LoanID]],Table1[G-L ID],Table1[ManagerCode],-99)</f>
        <v>103</v>
      </c>
      <c r="T726"/>
    </row>
    <row r="727" spans="1:20" x14ac:dyDescent="0.25">
      <c r="A727">
        <v>20110531</v>
      </c>
      <c r="B727">
        <v>2011</v>
      </c>
      <c r="C727">
        <v>5</v>
      </c>
      <c r="D727">
        <v>1</v>
      </c>
      <c r="E727">
        <v>10170</v>
      </c>
      <c r="F727">
        <v>243428</v>
      </c>
      <c r="G727">
        <v>0</v>
      </c>
      <c r="H727">
        <v>0</v>
      </c>
      <c r="I727">
        <v>-1167</v>
      </c>
      <c r="J727">
        <v>0</v>
      </c>
      <c r="K727">
        <v>71476.84</v>
      </c>
      <c r="L727">
        <v>50563396</v>
      </c>
      <c r="M727">
        <v>50822689</v>
      </c>
      <c r="N727">
        <v>50563396</v>
      </c>
      <c r="O727">
        <v>50822689</v>
      </c>
      <c r="P727">
        <v>46663517.630000003</v>
      </c>
      <c r="Q727">
        <v>46592040.789999999</v>
      </c>
      <c r="R727" s="14">
        <f>_xlfn.XLOOKUP(Table2[[#This Row],[LoanID]],Table1[G-L ID],Table1[ManagerCode],-99)</f>
        <v>103</v>
      </c>
      <c r="T727"/>
    </row>
    <row r="728" spans="1:20" x14ac:dyDescent="0.25">
      <c r="A728">
        <v>20110531</v>
      </c>
      <c r="B728">
        <v>2011</v>
      </c>
      <c r="C728">
        <v>5</v>
      </c>
      <c r="D728">
        <v>1</v>
      </c>
      <c r="E728">
        <v>10230</v>
      </c>
      <c r="F728">
        <v>184963</v>
      </c>
      <c r="G728">
        <v>0</v>
      </c>
      <c r="H728">
        <v>0</v>
      </c>
      <c r="I728">
        <v>0</v>
      </c>
      <c r="J728">
        <v>0</v>
      </c>
      <c r="K728">
        <v>56635.1</v>
      </c>
      <c r="L728">
        <v>27991429</v>
      </c>
      <c r="M728">
        <v>27943289</v>
      </c>
      <c r="N728">
        <v>27991429</v>
      </c>
      <c r="O728">
        <v>27943289</v>
      </c>
      <c r="P728">
        <v>32931092.43</v>
      </c>
      <c r="Q728">
        <v>32874457.329999998</v>
      </c>
      <c r="R728" s="14">
        <f>_xlfn.XLOOKUP(Table2[[#This Row],[LoanID]],Table1[G-L ID],Table1[ManagerCode],-99)</f>
        <v>103</v>
      </c>
      <c r="T728"/>
    </row>
    <row r="729" spans="1:20" x14ac:dyDescent="0.25">
      <c r="A729">
        <v>20110531</v>
      </c>
      <c r="B729">
        <v>2011</v>
      </c>
      <c r="C729">
        <v>5</v>
      </c>
      <c r="D729">
        <v>1</v>
      </c>
      <c r="E729">
        <v>10280</v>
      </c>
      <c r="F729">
        <v>175560</v>
      </c>
      <c r="G729">
        <v>0</v>
      </c>
      <c r="H729">
        <v>0</v>
      </c>
      <c r="I729">
        <v>0</v>
      </c>
      <c r="J729">
        <v>0</v>
      </c>
      <c r="K729">
        <v>0</v>
      </c>
      <c r="L729">
        <v>31500032</v>
      </c>
      <c r="M729">
        <v>31500032</v>
      </c>
      <c r="N729">
        <v>31500032</v>
      </c>
      <c r="O729">
        <v>31500032</v>
      </c>
      <c r="P729">
        <v>35000000</v>
      </c>
      <c r="Q729">
        <v>35000000</v>
      </c>
      <c r="R729" s="14">
        <f>_xlfn.XLOOKUP(Table2[[#This Row],[LoanID]],Table1[G-L ID],Table1[ManagerCode],-99)</f>
        <v>103</v>
      </c>
      <c r="T729"/>
    </row>
    <row r="730" spans="1:20" x14ac:dyDescent="0.25">
      <c r="A730">
        <v>20110531</v>
      </c>
      <c r="B730">
        <v>2011</v>
      </c>
      <c r="C730">
        <v>5</v>
      </c>
      <c r="D730">
        <v>1</v>
      </c>
      <c r="E730">
        <v>10290</v>
      </c>
      <c r="F730">
        <v>165775</v>
      </c>
      <c r="G730">
        <v>0</v>
      </c>
      <c r="H730">
        <v>0</v>
      </c>
      <c r="I730">
        <v>0</v>
      </c>
      <c r="J730">
        <v>0</v>
      </c>
      <c r="K730">
        <v>0</v>
      </c>
      <c r="L730">
        <v>21250000</v>
      </c>
      <c r="M730">
        <v>21250000</v>
      </c>
      <c r="N730">
        <v>21250000</v>
      </c>
      <c r="O730">
        <v>21250000</v>
      </c>
      <c r="P730">
        <v>25000000</v>
      </c>
      <c r="Q730">
        <v>25000000</v>
      </c>
      <c r="R730" s="14">
        <f>_xlfn.XLOOKUP(Table2[[#This Row],[LoanID]],Table1[G-L ID],Table1[ManagerCode],-99)</f>
        <v>103</v>
      </c>
      <c r="T730"/>
    </row>
    <row r="731" spans="1:20" x14ac:dyDescent="0.25">
      <c r="A731">
        <v>20110531</v>
      </c>
      <c r="B731">
        <v>2011</v>
      </c>
      <c r="C731">
        <v>5</v>
      </c>
      <c r="D731">
        <v>1</v>
      </c>
      <c r="E731">
        <v>10300</v>
      </c>
      <c r="F731">
        <v>145053</v>
      </c>
      <c r="G731">
        <v>0</v>
      </c>
      <c r="H731">
        <v>0</v>
      </c>
      <c r="I731">
        <v>0</v>
      </c>
      <c r="J731">
        <v>0</v>
      </c>
      <c r="K731">
        <v>0</v>
      </c>
      <c r="L731">
        <v>31740858</v>
      </c>
      <c r="M731">
        <v>32670117</v>
      </c>
      <c r="N731">
        <v>31740858</v>
      </c>
      <c r="O731">
        <v>32670117</v>
      </c>
      <c r="P731">
        <v>35000000</v>
      </c>
      <c r="Q731">
        <v>35000000</v>
      </c>
      <c r="R731" s="14">
        <f>_xlfn.XLOOKUP(Table2[[#This Row],[LoanID]],Table1[G-L ID],Table1[ManagerCode],-99)</f>
        <v>103</v>
      </c>
      <c r="T731"/>
    </row>
    <row r="732" spans="1:20" x14ac:dyDescent="0.25">
      <c r="A732">
        <v>20110531</v>
      </c>
      <c r="B732">
        <v>2011</v>
      </c>
      <c r="C732">
        <v>5</v>
      </c>
      <c r="D732">
        <v>1</v>
      </c>
      <c r="E732">
        <v>10310</v>
      </c>
      <c r="F732">
        <v>33156.1</v>
      </c>
      <c r="G732">
        <v>39686.620000000003</v>
      </c>
      <c r="H732">
        <v>0</v>
      </c>
      <c r="I732">
        <v>0</v>
      </c>
      <c r="J732">
        <v>0</v>
      </c>
      <c r="K732">
        <v>0</v>
      </c>
      <c r="L732">
        <v>10469251.880000001</v>
      </c>
      <c r="M732">
        <v>10508938.5</v>
      </c>
      <c r="N732">
        <v>10469251.880000001</v>
      </c>
      <c r="O732">
        <v>10508938.5</v>
      </c>
      <c r="P732">
        <v>10469251.880000001</v>
      </c>
      <c r="Q732">
        <v>10508938.5</v>
      </c>
      <c r="R732" s="14">
        <f>_xlfn.XLOOKUP(Table2[[#This Row],[LoanID]],Table1[G-L ID],Table1[ManagerCode],-99)</f>
        <v>183</v>
      </c>
      <c r="T732"/>
    </row>
    <row r="733" spans="1:20" x14ac:dyDescent="0.25">
      <c r="A733">
        <v>20110531</v>
      </c>
      <c r="B733">
        <v>2011</v>
      </c>
      <c r="C733">
        <v>5</v>
      </c>
      <c r="D733">
        <v>1</v>
      </c>
      <c r="E733">
        <v>10370</v>
      </c>
      <c r="F733">
        <v>10833</v>
      </c>
      <c r="G733">
        <v>0</v>
      </c>
      <c r="H733">
        <v>0</v>
      </c>
      <c r="I733">
        <v>0</v>
      </c>
      <c r="J733">
        <v>0</v>
      </c>
      <c r="K733">
        <v>69901.679999999993</v>
      </c>
      <c r="L733">
        <v>2915344</v>
      </c>
      <c r="M733">
        <v>2852432</v>
      </c>
      <c r="N733">
        <v>2915344</v>
      </c>
      <c r="O733">
        <v>2852432</v>
      </c>
      <c r="P733">
        <v>3239270.71</v>
      </c>
      <c r="Q733">
        <v>3169369.03</v>
      </c>
      <c r="R733" s="14">
        <f>_xlfn.XLOOKUP(Table2[[#This Row],[LoanID]],Table1[G-L ID],Table1[ManagerCode],-99)</f>
        <v>103</v>
      </c>
      <c r="T733"/>
    </row>
    <row r="734" spans="1:20" x14ac:dyDescent="0.25">
      <c r="A734">
        <v>20110531</v>
      </c>
      <c r="B734">
        <v>2011</v>
      </c>
      <c r="C734">
        <v>5</v>
      </c>
      <c r="D734">
        <v>1</v>
      </c>
      <c r="E734">
        <v>10390</v>
      </c>
      <c r="F734">
        <v>118750</v>
      </c>
      <c r="G734">
        <v>0</v>
      </c>
      <c r="H734">
        <v>0</v>
      </c>
      <c r="I734">
        <v>0</v>
      </c>
      <c r="J734">
        <v>0</v>
      </c>
      <c r="K734">
        <v>0</v>
      </c>
      <c r="L734">
        <v>24435679</v>
      </c>
      <c r="M734">
        <v>22500000</v>
      </c>
      <c r="N734">
        <v>24435679</v>
      </c>
      <c r="O734">
        <v>22500000</v>
      </c>
      <c r="P734">
        <v>24992652.960000001</v>
      </c>
      <c r="Q734">
        <v>24992857.039999999</v>
      </c>
      <c r="R734" s="14">
        <f>_xlfn.XLOOKUP(Table2[[#This Row],[LoanID]],Table1[G-L ID],Table1[ManagerCode],-99)</f>
        <v>103</v>
      </c>
      <c r="T734"/>
    </row>
    <row r="735" spans="1:20" x14ac:dyDescent="0.25">
      <c r="A735">
        <v>20110531</v>
      </c>
      <c r="B735">
        <v>2011</v>
      </c>
      <c r="C735">
        <v>5</v>
      </c>
      <c r="D735">
        <v>1</v>
      </c>
      <c r="E735">
        <v>10450</v>
      </c>
      <c r="F735">
        <v>120157</v>
      </c>
      <c r="G735">
        <v>0</v>
      </c>
      <c r="H735">
        <v>0</v>
      </c>
      <c r="I735">
        <v>0</v>
      </c>
      <c r="J735">
        <v>0</v>
      </c>
      <c r="K735">
        <v>21658.720000000001</v>
      </c>
      <c r="L735">
        <v>21337213</v>
      </c>
      <c r="M735">
        <v>21315771</v>
      </c>
      <c r="N735">
        <v>21337213</v>
      </c>
      <c r="O735">
        <v>21315771</v>
      </c>
      <c r="P735">
        <v>21552740.890000001</v>
      </c>
      <c r="Q735">
        <v>21531082.170000002</v>
      </c>
      <c r="R735" s="14">
        <f>_xlfn.XLOOKUP(Table2[[#This Row],[LoanID]],Table1[G-L ID],Table1[ManagerCode],-99)</f>
        <v>103</v>
      </c>
      <c r="T735"/>
    </row>
    <row r="736" spans="1:20" x14ac:dyDescent="0.25">
      <c r="A736">
        <v>20110531</v>
      </c>
      <c r="B736">
        <v>2011</v>
      </c>
      <c r="C736">
        <v>5</v>
      </c>
      <c r="D736">
        <v>1</v>
      </c>
      <c r="E736">
        <v>10520</v>
      </c>
      <c r="F736">
        <v>4707</v>
      </c>
      <c r="G736">
        <v>0</v>
      </c>
      <c r="H736">
        <v>0</v>
      </c>
      <c r="I736">
        <v>-12</v>
      </c>
      <c r="J736">
        <v>0</v>
      </c>
      <c r="K736">
        <v>0</v>
      </c>
      <c r="L736">
        <v>4075447</v>
      </c>
      <c r="M736">
        <v>4084605</v>
      </c>
      <c r="N736">
        <v>4075447</v>
      </c>
      <c r="O736">
        <v>4084605</v>
      </c>
      <c r="P736">
        <v>4125863.16</v>
      </c>
      <c r="Q736">
        <v>4125863.16</v>
      </c>
      <c r="R736" s="14">
        <f>_xlfn.XLOOKUP(Table2[[#This Row],[LoanID]],Table1[G-L ID],Table1[ManagerCode],-99)</f>
        <v>103</v>
      </c>
      <c r="T736"/>
    </row>
    <row r="737" spans="1:20" x14ac:dyDescent="0.25">
      <c r="A737">
        <v>20110531</v>
      </c>
      <c r="B737">
        <v>2011</v>
      </c>
      <c r="C737">
        <v>5</v>
      </c>
      <c r="D737">
        <v>1</v>
      </c>
      <c r="E737">
        <v>10530</v>
      </c>
      <c r="F737">
        <v>101983</v>
      </c>
      <c r="G737">
        <v>0</v>
      </c>
      <c r="H737">
        <v>0</v>
      </c>
      <c r="I737">
        <v>-261</v>
      </c>
      <c r="J737">
        <v>0</v>
      </c>
      <c r="K737">
        <v>0</v>
      </c>
      <c r="L737">
        <v>88301255</v>
      </c>
      <c r="M737">
        <v>88499676</v>
      </c>
      <c r="N737">
        <v>88301255</v>
      </c>
      <c r="O737">
        <v>88499676</v>
      </c>
      <c r="P737">
        <v>89393701.629999995</v>
      </c>
      <c r="Q737">
        <v>89393701.629999995</v>
      </c>
      <c r="R737" s="14">
        <f>_xlfn.XLOOKUP(Table2[[#This Row],[LoanID]],Table1[G-L ID],Table1[ManagerCode],-99)</f>
        <v>103</v>
      </c>
      <c r="T737"/>
    </row>
    <row r="738" spans="1:20" x14ac:dyDescent="0.25">
      <c r="A738">
        <v>20110531</v>
      </c>
      <c r="B738">
        <v>2011</v>
      </c>
      <c r="C738">
        <v>5</v>
      </c>
      <c r="D738">
        <v>1</v>
      </c>
      <c r="E738">
        <v>10540</v>
      </c>
      <c r="F738">
        <v>14121</v>
      </c>
      <c r="G738">
        <v>0</v>
      </c>
      <c r="H738">
        <v>0</v>
      </c>
      <c r="I738">
        <v>-36</v>
      </c>
      <c r="J738">
        <v>0</v>
      </c>
      <c r="K738">
        <v>0</v>
      </c>
      <c r="L738">
        <v>12226340</v>
      </c>
      <c r="M738">
        <v>12253814</v>
      </c>
      <c r="N738">
        <v>12226340</v>
      </c>
      <c r="O738">
        <v>12253814</v>
      </c>
      <c r="P738">
        <v>12377589.460000001</v>
      </c>
      <c r="Q738">
        <v>12377589.460000001</v>
      </c>
      <c r="R738" s="14">
        <f>_xlfn.XLOOKUP(Table2[[#This Row],[LoanID]],Table1[G-L ID],Table1[ManagerCode],-99)</f>
        <v>103</v>
      </c>
      <c r="T738"/>
    </row>
    <row r="739" spans="1:20" x14ac:dyDescent="0.25">
      <c r="A739">
        <v>20110531</v>
      </c>
      <c r="B739">
        <v>2011</v>
      </c>
      <c r="C739">
        <v>5</v>
      </c>
      <c r="D739">
        <v>1</v>
      </c>
      <c r="E739">
        <v>10630</v>
      </c>
      <c r="F739">
        <v>49540</v>
      </c>
      <c r="G739">
        <v>0</v>
      </c>
      <c r="H739">
        <v>0</v>
      </c>
      <c r="I739">
        <v>0</v>
      </c>
      <c r="J739">
        <v>0</v>
      </c>
      <c r="K739">
        <v>13075.65</v>
      </c>
      <c r="L739">
        <v>9181597</v>
      </c>
      <c r="M739">
        <v>9168652</v>
      </c>
      <c r="N739">
        <v>9181597</v>
      </c>
      <c r="O739">
        <v>9168652</v>
      </c>
      <c r="P739">
        <v>9274340.0899999999</v>
      </c>
      <c r="Q739">
        <v>9261264.4399999995</v>
      </c>
      <c r="R739" s="14">
        <f>_xlfn.XLOOKUP(Table2[[#This Row],[LoanID]],Table1[G-L ID],Table1[ManagerCode],-99)</f>
        <v>103</v>
      </c>
      <c r="T739"/>
    </row>
    <row r="740" spans="1:20" x14ac:dyDescent="0.25">
      <c r="A740">
        <v>20110531</v>
      </c>
      <c r="B740">
        <v>2011</v>
      </c>
      <c r="C740">
        <v>5</v>
      </c>
      <c r="D740">
        <v>1</v>
      </c>
      <c r="E740">
        <v>10770</v>
      </c>
      <c r="F740">
        <v>0</v>
      </c>
      <c r="G740">
        <v>0</v>
      </c>
      <c r="H740">
        <v>0</v>
      </c>
      <c r="I740">
        <v>0</v>
      </c>
      <c r="J740">
        <v>0</v>
      </c>
      <c r="K740">
        <v>0</v>
      </c>
      <c r="L740">
        <v>115000000</v>
      </c>
      <c r="M740">
        <v>115000000</v>
      </c>
      <c r="N740">
        <v>115000000</v>
      </c>
      <c r="O740">
        <v>115000000</v>
      </c>
      <c r="P740">
        <v>115000000</v>
      </c>
      <c r="Q740">
        <v>115000000</v>
      </c>
      <c r="R740" s="14">
        <f>_xlfn.XLOOKUP(Table2[[#This Row],[LoanID]],Table1[G-L ID],Table1[ManagerCode],-99)</f>
        <v>103</v>
      </c>
      <c r="T740"/>
    </row>
    <row r="741" spans="1:20" x14ac:dyDescent="0.25">
      <c r="A741">
        <v>20110531</v>
      </c>
      <c r="B741">
        <v>2011</v>
      </c>
      <c r="C741">
        <v>5</v>
      </c>
      <c r="D741">
        <v>1</v>
      </c>
      <c r="E741">
        <v>10880</v>
      </c>
      <c r="F741">
        <v>292530</v>
      </c>
      <c r="G741">
        <v>0</v>
      </c>
      <c r="H741">
        <v>0</v>
      </c>
      <c r="I741">
        <v>0</v>
      </c>
      <c r="J741">
        <v>0</v>
      </c>
      <c r="K741">
        <v>0</v>
      </c>
      <c r="L741">
        <v>184575283</v>
      </c>
      <c r="M741">
        <v>186194029</v>
      </c>
      <c r="N741">
        <v>184575283</v>
      </c>
      <c r="O741">
        <v>186194029</v>
      </c>
      <c r="P741">
        <v>201744599.09999999</v>
      </c>
      <c r="Q741">
        <v>201744599.09999999</v>
      </c>
      <c r="R741" s="14">
        <f>_xlfn.XLOOKUP(Table2[[#This Row],[LoanID]],Table1[G-L ID],Table1[ManagerCode],-99)</f>
        <v>103</v>
      </c>
      <c r="T741"/>
    </row>
    <row r="742" spans="1:20" x14ac:dyDescent="0.25">
      <c r="A742">
        <v>20110531</v>
      </c>
      <c r="B742">
        <v>2011</v>
      </c>
      <c r="C742">
        <v>5</v>
      </c>
      <c r="D742">
        <v>1</v>
      </c>
      <c r="E742">
        <v>10900</v>
      </c>
      <c r="F742">
        <v>0</v>
      </c>
      <c r="G742">
        <v>0</v>
      </c>
      <c r="H742">
        <v>0</v>
      </c>
      <c r="I742">
        <v>0</v>
      </c>
      <c r="J742">
        <v>0</v>
      </c>
      <c r="K742">
        <v>0</v>
      </c>
      <c r="L742">
        <v>7792548</v>
      </c>
      <c r="M742">
        <v>7806594</v>
      </c>
      <c r="N742">
        <v>7792548</v>
      </c>
      <c r="O742">
        <v>7806594</v>
      </c>
      <c r="P742">
        <v>8658386.1999999993</v>
      </c>
      <c r="Q742">
        <v>8658386.1999999993</v>
      </c>
      <c r="R742" s="14">
        <f>_xlfn.XLOOKUP(Table2[[#This Row],[LoanID]],Table1[G-L ID],Table1[ManagerCode],-99)</f>
        <v>103</v>
      </c>
      <c r="T742"/>
    </row>
    <row r="743" spans="1:20" x14ac:dyDescent="0.25">
      <c r="A743">
        <v>20110531</v>
      </c>
      <c r="B743">
        <v>2011</v>
      </c>
      <c r="C743">
        <v>5</v>
      </c>
      <c r="D743">
        <v>1</v>
      </c>
      <c r="E743">
        <v>10950</v>
      </c>
      <c r="F743">
        <v>54256</v>
      </c>
      <c r="G743">
        <v>0</v>
      </c>
      <c r="H743">
        <v>0</v>
      </c>
      <c r="I743">
        <v>0</v>
      </c>
      <c r="J743">
        <v>0</v>
      </c>
      <c r="K743">
        <v>22767.37</v>
      </c>
      <c r="L743">
        <v>10812443</v>
      </c>
      <c r="M743">
        <v>10792177</v>
      </c>
      <c r="N743">
        <v>10812443</v>
      </c>
      <c r="O743">
        <v>10792177</v>
      </c>
      <c r="P743">
        <v>10923955.859999999</v>
      </c>
      <c r="Q743">
        <v>10901188.49</v>
      </c>
      <c r="R743" s="14">
        <f>_xlfn.XLOOKUP(Table2[[#This Row],[LoanID]],Table1[G-L ID],Table1[ManagerCode],-99)</f>
        <v>103</v>
      </c>
      <c r="T743"/>
    </row>
    <row r="744" spans="1:20" x14ac:dyDescent="0.25">
      <c r="A744">
        <v>20110531</v>
      </c>
      <c r="B744">
        <v>2011</v>
      </c>
      <c r="C744">
        <v>5</v>
      </c>
      <c r="D744">
        <v>1</v>
      </c>
      <c r="E744">
        <v>11180</v>
      </c>
      <c r="F744">
        <v>205303</v>
      </c>
      <c r="G744">
        <v>0</v>
      </c>
      <c r="H744">
        <v>0</v>
      </c>
      <c r="I744">
        <v>-1666</v>
      </c>
      <c r="J744">
        <v>0</v>
      </c>
      <c r="K744">
        <v>0</v>
      </c>
      <c r="L744">
        <v>169975207</v>
      </c>
      <c r="M744">
        <v>169975207</v>
      </c>
      <c r="N744">
        <v>169975207</v>
      </c>
      <c r="O744">
        <v>169975207</v>
      </c>
      <c r="P744">
        <v>199970831.5</v>
      </c>
      <c r="Q744">
        <v>199970831.5</v>
      </c>
      <c r="R744" s="14">
        <f>_xlfn.XLOOKUP(Table2[[#This Row],[LoanID]],Table1[G-L ID],Table1[ManagerCode],-99)</f>
        <v>103</v>
      </c>
      <c r="T744"/>
    </row>
    <row r="745" spans="1:20" x14ac:dyDescent="0.25">
      <c r="A745">
        <v>20110531</v>
      </c>
      <c r="B745">
        <v>2011</v>
      </c>
      <c r="C745">
        <v>5</v>
      </c>
      <c r="D745">
        <v>1</v>
      </c>
      <c r="E745">
        <v>11200</v>
      </c>
      <c r="F745">
        <v>69880</v>
      </c>
      <c r="G745">
        <v>0</v>
      </c>
      <c r="H745">
        <v>0</v>
      </c>
      <c r="I745">
        <v>0</v>
      </c>
      <c r="J745">
        <v>0</v>
      </c>
      <c r="K745">
        <v>0</v>
      </c>
      <c r="L745">
        <v>11879576</v>
      </c>
      <c r="M745">
        <v>11879576</v>
      </c>
      <c r="N745">
        <v>11879576</v>
      </c>
      <c r="O745">
        <v>11879576</v>
      </c>
      <c r="P745">
        <v>13976000</v>
      </c>
      <c r="Q745">
        <v>13976000</v>
      </c>
      <c r="R745" s="14">
        <f>_xlfn.XLOOKUP(Table2[[#This Row],[LoanID]],Table1[G-L ID],Table1[ManagerCode],-99)</f>
        <v>103</v>
      </c>
      <c r="T745"/>
    </row>
    <row r="746" spans="1:20" x14ac:dyDescent="0.25">
      <c r="A746">
        <v>20110531</v>
      </c>
      <c r="B746">
        <v>2011</v>
      </c>
      <c r="C746">
        <v>5</v>
      </c>
      <c r="D746">
        <v>1</v>
      </c>
      <c r="E746">
        <v>11240</v>
      </c>
      <c r="F746">
        <v>241875</v>
      </c>
      <c r="G746">
        <v>0</v>
      </c>
      <c r="H746">
        <v>0</v>
      </c>
      <c r="I746">
        <v>0</v>
      </c>
      <c r="J746">
        <v>0</v>
      </c>
      <c r="K746">
        <v>0</v>
      </c>
      <c r="L746">
        <v>185183145</v>
      </c>
      <c r="M746">
        <v>175436664</v>
      </c>
      <c r="N746">
        <v>185183145</v>
      </c>
      <c r="O746">
        <v>175436664</v>
      </c>
      <c r="P746">
        <v>194929626.59999999</v>
      </c>
      <c r="Q746">
        <v>194929626.59999999</v>
      </c>
      <c r="R746" s="14">
        <f>_xlfn.XLOOKUP(Table2[[#This Row],[LoanID]],Table1[G-L ID],Table1[ManagerCode],-99)</f>
        <v>103</v>
      </c>
      <c r="T746"/>
    </row>
    <row r="747" spans="1:20" x14ac:dyDescent="0.25">
      <c r="A747">
        <v>20110531</v>
      </c>
      <c r="B747">
        <v>2011</v>
      </c>
      <c r="C747">
        <v>5</v>
      </c>
      <c r="D747">
        <v>1</v>
      </c>
      <c r="E747">
        <v>11280</v>
      </c>
      <c r="F747">
        <v>23003</v>
      </c>
      <c r="G747">
        <v>0</v>
      </c>
      <c r="H747">
        <v>0</v>
      </c>
      <c r="I747">
        <v>-157</v>
      </c>
      <c r="J747">
        <v>0</v>
      </c>
      <c r="K747">
        <v>0</v>
      </c>
      <c r="L747">
        <v>17851567</v>
      </c>
      <c r="M747">
        <v>16912011</v>
      </c>
      <c r="N747">
        <v>17851567</v>
      </c>
      <c r="O747">
        <v>16912011</v>
      </c>
      <c r="P747">
        <v>18791123.030000001</v>
      </c>
      <c r="Q747">
        <v>18791123.030000001</v>
      </c>
      <c r="R747" s="14">
        <f>_xlfn.XLOOKUP(Table2[[#This Row],[LoanID]],Table1[G-L ID],Table1[ManagerCode],-99)</f>
        <v>103</v>
      </c>
      <c r="T747"/>
    </row>
    <row r="748" spans="1:20" x14ac:dyDescent="0.25">
      <c r="A748">
        <v>20110531</v>
      </c>
      <c r="B748">
        <v>2011</v>
      </c>
      <c r="C748">
        <v>5</v>
      </c>
      <c r="D748">
        <v>1</v>
      </c>
      <c r="E748">
        <v>11300</v>
      </c>
      <c r="F748">
        <v>20703</v>
      </c>
      <c r="G748">
        <v>0</v>
      </c>
      <c r="H748">
        <v>0</v>
      </c>
      <c r="I748">
        <v>-141</v>
      </c>
      <c r="J748">
        <v>0</v>
      </c>
      <c r="K748">
        <v>0</v>
      </c>
      <c r="L748">
        <v>16066410</v>
      </c>
      <c r="M748">
        <v>15220810</v>
      </c>
      <c r="N748">
        <v>16066410</v>
      </c>
      <c r="O748">
        <v>15220810</v>
      </c>
      <c r="P748">
        <v>16912010.73</v>
      </c>
      <c r="Q748">
        <v>16912010.73</v>
      </c>
      <c r="R748" s="14">
        <f>_xlfn.XLOOKUP(Table2[[#This Row],[LoanID]],Table1[G-L ID],Table1[ManagerCode],-99)</f>
        <v>103</v>
      </c>
      <c r="T748"/>
    </row>
    <row r="749" spans="1:20" x14ac:dyDescent="0.25">
      <c r="A749">
        <v>20110531</v>
      </c>
      <c r="B749">
        <v>2011</v>
      </c>
      <c r="C749">
        <v>5</v>
      </c>
      <c r="D749">
        <v>1</v>
      </c>
      <c r="E749">
        <v>11310</v>
      </c>
      <c r="F749">
        <v>13802</v>
      </c>
      <c r="G749">
        <v>0</v>
      </c>
      <c r="H749">
        <v>0</v>
      </c>
      <c r="I749">
        <v>-94</v>
      </c>
      <c r="J749">
        <v>0</v>
      </c>
      <c r="K749">
        <v>0</v>
      </c>
      <c r="L749">
        <v>10710940</v>
      </c>
      <c r="M749">
        <v>10147206</v>
      </c>
      <c r="N749">
        <v>10710940</v>
      </c>
      <c r="O749">
        <v>10147206</v>
      </c>
      <c r="P749">
        <v>11274673.789999999</v>
      </c>
      <c r="Q749">
        <v>11274673.789999999</v>
      </c>
      <c r="R749" s="14">
        <f>_xlfn.XLOOKUP(Table2[[#This Row],[LoanID]],Table1[G-L ID],Table1[ManagerCode],-99)</f>
        <v>103</v>
      </c>
      <c r="T749"/>
    </row>
    <row r="750" spans="1:20" x14ac:dyDescent="0.25">
      <c r="A750">
        <v>20110531</v>
      </c>
      <c r="B750">
        <v>2011</v>
      </c>
      <c r="C750">
        <v>5</v>
      </c>
      <c r="D750">
        <v>1</v>
      </c>
      <c r="E750">
        <v>11380</v>
      </c>
      <c r="F750">
        <v>37149</v>
      </c>
      <c r="G750">
        <v>0</v>
      </c>
      <c r="H750">
        <v>0</v>
      </c>
      <c r="I750">
        <v>0</v>
      </c>
      <c r="J750">
        <v>0</v>
      </c>
      <c r="K750">
        <v>53551.41</v>
      </c>
      <c r="L750">
        <v>6347868</v>
      </c>
      <c r="M750">
        <v>6338860</v>
      </c>
      <c r="N750">
        <v>6347868</v>
      </c>
      <c r="O750">
        <v>6338860</v>
      </c>
      <c r="P750">
        <v>5621476.9800000004</v>
      </c>
      <c r="Q750">
        <v>5567925.5700000003</v>
      </c>
      <c r="R750" s="14">
        <f>_xlfn.XLOOKUP(Table2[[#This Row],[LoanID]],Table1[G-L ID],Table1[ManagerCode],-99)</f>
        <v>103</v>
      </c>
      <c r="T750"/>
    </row>
    <row r="751" spans="1:20" x14ac:dyDescent="0.25">
      <c r="A751">
        <v>20110531</v>
      </c>
      <c r="B751">
        <v>2011</v>
      </c>
      <c r="C751">
        <v>5</v>
      </c>
      <c r="D751">
        <v>1</v>
      </c>
      <c r="E751">
        <v>11420</v>
      </c>
      <c r="F751">
        <v>498248</v>
      </c>
      <c r="G751">
        <v>0</v>
      </c>
      <c r="H751">
        <v>0</v>
      </c>
      <c r="I751">
        <v>0</v>
      </c>
      <c r="J751">
        <v>0</v>
      </c>
      <c r="K751">
        <v>98000000</v>
      </c>
      <c r="L751">
        <v>99186399</v>
      </c>
      <c r="M751">
        <v>0</v>
      </c>
      <c r="N751">
        <v>99186399</v>
      </c>
      <c r="O751">
        <v>0</v>
      </c>
      <c r="P751">
        <v>98000000</v>
      </c>
      <c r="Q751">
        <v>0</v>
      </c>
      <c r="R751" s="14">
        <f>_xlfn.XLOOKUP(Table2[[#This Row],[LoanID]],Table1[G-L ID],Table1[ManagerCode],-99)</f>
        <v>103</v>
      </c>
      <c r="T751"/>
    </row>
    <row r="752" spans="1:20" x14ac:dyDescent="0.25">
      <c r="A752">
        <v>20110531</v>
      </c>
      <c r="B752">
        <v>2011</v>
      </c>
      <c r="C752">
        <v>5</v>
      </c>
      <c r="D752">
        <v>1</v>
      </c>
      <c r="E752">
        <v>11510</v>
      </c>
      <c r="F752">
        <v>0</v>
      </c>
      <c r="G752">
        <v>0</v>
      </c>
      <c r="H752">
        <v>0</v>
      </c>
      <c r="I752">
        <v>0</v>
      </c>
      <c r="J752">
        <v>0</v>
      </c>
      <c r="K752">
        <v>0</v>
      </c>
      <c r="L752">
        <v>14456844</v>
      </c>
      <c r="M752">
        <v>14456844</v>
      </c>
      <c r="N752">
        <v>14456844</v>
      </c>
      <c r="O752">
        <v>14456844</v>
      </c>
      <c r="P752">
        <v>14602872.720000001</v>
      </c>
      <c r="Q752">
        <v>14602872.720000001</v>
      </c>
      <c r="R752" s="14">
        <f>_xlfn.XLOOKUP(Table2[[#This Row],[LoanID]],Table1[G-L ID],Table1[ManagerCode],-99)</f>
        <v>103</v>
      </c>
      <c r="T752"/>
    </row>
    <row r="753" spans="1:20" x14ac:dyDescent="0.25">
      <c r="A753">
        <v>20110531</v>
      </c>
      <c r="B753">
        <v>2011</v>
      </c>
      <c r="C753">
        <v>5</v>
      </c>
      <c r="D753">
        <v>1</v>
      </c>
      <c r="E753">
        <v>11650</v>
      </c>
      <c r="F753">
        <v>37500</v>
      </c>
      <c r="G753">
        <v>0</v>
      </c>
      <c r="H753">
        <v>0</v>
      </c>
      <c r="I753">
        <v>0</v>
      </c>
      <c r="J753">
        <v>0</v>
      </c>
      <c r="K753">
        <v>0</v>
      </c>
      <c r="L753">
        <v>4800000</v>
      </c>
      <c r="M753">
        <v>4800000</v>
      </c>
      <c r="N753">
        <v>4800000</v>
      </c>
      <c r="O753">
        <v>4800000</v>
      </c>
      <c r="P753">
        <v>6000000</v>
      </c>
      <c r="Q753">
        <v>6000000</v>
      </c>
      <c r="R753" s="14">
        <f>_xlfn.XLOOKUP(Table2[[#This Row],[LoanID]],Table1[G-L ID],Table1[ManagerCode],-99)</f>
        <v>103</v>
      </c>
      <c r="T753"/>
    </row>
    <row r="754" spans="1:20" x14ac:dyDescent="0.25">
      <c r="A754">
        <v>20110531</v>
      </c>
      <c r="B754">
        <v>2011</v>
      </c>
      <c r="C754">
        <v>5</v>
      </c>
      <c r="D754">
        <v>1</v>
      </c>
      <c r="E754">
        <v>11780</v>
      </c>
      <c r="F754">
        <v>179309</v>
      </c>
      <c r="G754">
        <v>0</v>
      </c>
      <c r="H754">
        <v>0</v>
      </c>
      <c r="I754">
        <v>-1103</v>
      </c>
      <c r="J754">
        <v>0</v>
      </c>
      <c r="K754">
        <v>0</v>
      </c>
      <c r="L754">
        <v>52965053</v>
      </c>
      <c r="M754">
        <v>52965053</v>
      </c>
      <c r="N754">
        <v>52965053</v>
      </c>
      <c r="O754">
        <v>52965053</v>
      </c>
      <c r="P754">
        <v>66206316.75</v>
      </c>
      <c r="Q754">
        <v>66206316.75</v>
      </c>
      <c r="R754" s="14">
        <f>_xlfn.XLOOKUP(Table2[[#This Row],[LoanID]],Table1[G-L ID],Table1[ManagerCode],-99)</f>
        <v>103</v>
      </c>
      <c r="T754"/>
    </row>
    <row r="755" spans="1:20" x14ac:dyDescent="0.25">
      <c r="A755">
        <v>20110531</v>
      </c>
      <c r="B755">
        <v>2011</v>
      </c>
      <c r="C755">
        <v>5</v>
      </c>
      <c r="D755">
        <v>1</v>
      </c>
      <c r="E755">
        <v>11800</v>
      </c>
      <c r="F755">
        <v>161619</v>
      </c>
      <c r="G755">
        <v>0</v>
      </c>
      <c r="H755">
        <v>0</v>
      </c>
      <c r="I755">
        <v>-272</v>
      </c>
      <c r="J755">
        <v>0</v>
      </c>
      <c r="K755">
        <v>58046.84</v>
      </c>
      <c r="L755">
        <v>29370543</v>
      </c>
      <c r="M755">
        <v>29318301</v>
      </c>
      <c r="N755">
        <v>29370543</v>
      </c>
      <c r="O755">
        <v>29318301</v>
      </c>
      <c r="P755">
        <v>32633904.329999998</v>
      </c>
      <c r="Q755">
        <v>32575857.489999998</v>
      </c>
      <c r="R755" s="14">
        <f>_xlfn.XLOOKUP(Table2[[#This Row],[LoanID]],Table1[G-L ID],Table1[ManagerCode],-99)</f>
        <v>103</v>
      </c>
      <c r="T755"/>
    </row>
    <row r="756" spans="1:20" x14ac:dyDescent="0.25">
      <c r="A756">
        <v>20110531</v>
      </c>
      <c r="B756">
        <v>2011</v>
      </c>
      <c r="C756">
        <v>5</v>
      </c>
      <c r="D756">
        <v>1</v>
      </c>
      <c r="E756">
        <v>11810</v>
      </c>
      <c r="F756">
        <v>51167</v>
      </c>
      <c r="G756">
        <v>0</v>
      </c>
      <c r="H756">
        <v>0</v>
      </c>
      <c r="I756">
        <v>0</v>
      </c>
      <c r="J756">
        <v>0</v>
      </c>
      <c r="K756">
        <v>0</v>
      </c>
      <c r="L756">
        <v>9500000</v>
      </c>
      <c r="M756">
        <v>9500000</v>
      </c>
      <c r="N756">
        <v>9500000</v>
      </c>
      <c r="O756">
        <v>9500000</v>
      </c>
      <c r="P756">
        <v>10000000</v>
      </c>
      <c r="Q756">
        <v>10000000</v>
      </c>
      <c r="R756" s="14">
        <f>_xlfn.XLOOKUP(Table2[[#This Row],[LoanID]],Table1[G-L ID],Table1[ManagerCode],-99)</f>
        <v>103</v>
      </c>
      <c r="T756"/>
    </row>
    <row r="757" spans="1:20" x14ac:dyDescent="0.25">
      <c r="A757">
        <v>20110531</v>
      </c>
      <c r="B757">
        <v>2011</v>
      </c>
      <c r="C757">
        <v>5</v>
      </c>
      <c r="D757">
        <v>1</v>
      </c>
      <c r="E757">
        <v>11900</v>
      </c>
      <c r="F757">
        <v>271058</v>
      </c>
      <c r="G757">
        <v>0</v>
      </c>
      <c r="H757">
        <v>0</v>
      </c>
      <c r="I757">
        <v>-1018310</v>
      </c>
      <c r="J757">
        <v>0</v>
      </c>
      <c r="K757">
        <v>55000000</v>
      </c>
      <c r="L757">
        <v>52249948</v>
      </c>
      <c r="M757">
        <v>0</v>
      </c>
      <c r="N757">
        <v>52249948</v>
      </c>
      <c r="O757">
        <v>0</v>
      </c>
      <c r="P757">
        <v>55000000</v>
      </c>
      <c r="Q757">
        <v>0</v>
      </c>
      <c r="R757" s="14">
        <f>_xlfn.XLOOKUP(Table2[[#This Row],[LoanID]],Table1[G-L ID],Table1[ManagerCode],-99)</f>
        <v>103</v>
      </c>
      <c r="T757"/>
    </row>
    <row r="758" spans="1:20" x14ac:dyDescent="0.25">
      <c r="A758">
        <v>20110531</v>
      </c>
      <c r="B758">
        <v>2011</v>
      </c>
      <c r="C758">
        <v>5</v>
      </c>
      <c r="D758">
        <v>1</v>
      </c>
      <c r="E758">
        <v>11930</v>
      </c>
      <c r="F758">
        <v>144460</v>
      </c>
      <c r="G758">
        <v>0</v>
      </c>
      <c r="H758">
        <v>0</v>
      </c>
      <c r="I758">
        <v>0</v>
      </c>
      <c r="J758">
        <v>0</v>
      </c>
      <c r="K758">
        <v>18873901.649999999</v>
      </c>
      <c r="L758">
        <v>153952902</v>
      </c>
      <c r="M758">
        <v>135335921</v>
      </c>
      <c r="N758">
        <v>153952902</v>
      </c>
      <c r="O758">
        <v>135335921</v>
      </c>
      <c r="P758">
        <v>154917210.69999999</v>
      </c>
      <c r="Q758">
        <v>136043309.09999999</v>
      </c>
      <c r="R758" s="14">
        <f>_xlfn.XLOOKUP(Table2[[#This Row],[LoanID]],Table1[G-L ID],Table1[ManagerCode],-99)</f>
        <v>103</v>
      </c>
      <c r="T758"/>
    </row>
    <row r="759" spans="1:20" x14ac:dyDescent="0.25">
      <c r="A759">
        <v>20110531</v>
      </c>
      <c r="B759">
        <v>2011</v>
      </c>
      <c r="C759">
        <v>5</v>
      </c>
      <c r="D759">
        <v>1</v>
      </c>
      <c r="E759">
        <v>11940</v>
      </c>
      <c r="F759">
        <v>32798</v>
      </c>
      <c r="G759">
        <v>0</v>
      </c>
      <c r="H759">
        <v>0</v>
      </c>
      <c r="I759">
        <v>0</v>
      </c>
      <c r="J759">
        <v>0</v>
      </c>
      <c r="K759">
        <v>9584565.6099999994</v>
      </c>
      <c r="L759">
        <v>34953617</v>
      </c>
      <c r="M759">
        <v>25454939</v>
      </c>
      <c r="N759">
        <v>34953617</v>
      </c>
      <c r="O759">
        <v>25454939</v>
      </c>
      <c r="P759">
        <v>35161725.450000003</v>
      </c>
      <c r="Q759">
        <v>25579325.699999999</v>
      </c>
      <c r="R759" s="14">
        <f>_xlfn.XLOOKUP(Table2[[#This Row],[LoanID]],Table1[G-L ID],Table1[ManagerCode],-99)</f>
        <v>103</v>
      </c>
      <c r="T759"/>
    </row>
    <row r="760" spans="1:20" x14ac:dyDescent="0.25">
      <c r="A760">
        <v>20110531</v>
      </c>
      <c r="B760">
        <v>2011</v>
      </c>
      <c r="C760">
        <v>5</v>
      </c>
      <c r="D760">
        <v>1</v>
      </c>
      <c r="E760">
        <v>12000</v>
      </c>
      <c r="F760">
        <v>125525</v>
      </c>
      <c r="G760">
        <v>0</v>
      </c>
      <c r="H760">
        <v>0</v>
      </c>
      <c r="I760">
        <v>0</v>
      </c>
      <c r="J760">
        <v>0</v>
      </c>
      <c r="K760">
        <v>0</v>
      </c>
      <c r="L760">
        <v>22671015</v>
      </c>
      <c r="M760">
        <v>22826266</v>
      </c>
      <c r="N760">
        <v>22671015</v>
      </c>
      <c r="O760">
        <v>22826266</v>
      </c>
      <c r="P760">
        <v>25093246.440000001</v>
      </c>
      <c r="Q760">
        <v>25093940.879999999</v>
      </c>
      <c r="R760" s="14">
        <f>_xlfn.XLOOKUP(Table2[[#This Row],[LoanID]],Table1[G-L ID],Table1[ManagerCode],-99)</f>
        <v>103</v>
      </c>
      <c r="T760"/>
    </row>
    <row r="761" spans="1:20" x14ac:dyDescent="0.25">
      <c r="A761">
        <v>20110531</v>
      </c>
      <c r="B761">
        <v>2011</v>
      </c>
      <c r="C761">
        <v>5</v>
      </c>
      <c r="D761">
        <v>1</v>
      </c>
      <c r="E761">
        <v>12110</v>
      </c>
      <c r="F761">
        <v>81441.63</v>
      </c>
      <c r="G761">
        <v>0</v>
      </c>
      <c r="H761">
        <v>0</v>
      </c>
      <c r="I761">
        <v>0</v>
      </c>
      <c r="J761">
        <v>-3656389.68</v>
      </c>
      <c r="K761">
        <v>0</v>
      </c>
      <c r="L761">
        <v>7189224.5199999996</v>
      </c>
      <c r="M761">
        <v>10845614.199999999</v>
      </c>
      <c r="N761">
        <v>7189224.5199999996</v>
      </c>
      <c r="O761">
        <v>10845614.199999999</v>
      </c>
      <c r="P761">
        <v>7189224.5199999996</v>
      </c>
      <c r="Q761">
        <v>10845614.199999999</v>
      </c>
      <c r="R761" s="14">
        <f>_xlfn.XLOOKUP(Table2[[#This Row],[LoanID]],Table1[G-L ID],Table1[ManagerCode],-99)</f>
        <v>183</v>
      </c>
      <c r="T761"/>
    </row>
    <row r="762" spans="1:20" x14ac:dyDescent="0.25">
      <c r="A762">
        <v>20110531</v>
      </c>
      <c r="B762">
        <v>2011</v>
      </c>
      <c r="C762">
        <v>5</v>
      </c>
      <c r="D762">
        <v>1</v>
      </c>
      <c r="E762">
        <v>12200</v>
      </c>
      <c r="F762">
        <v>90862</v>
      </c>
      <c r="G762">
        <v>0</v>
      </c>
      <c r="H762">
        <v>0</v>
      </c>
      <c r="I762">
        <v>0</v>
      </c>
      <c r="J762">
        <v>0</v>
      </c>
      <c r="K762">
        <v>31347.47</v>
      </c>
      <c r="L762">
        <v>21390553</v>
      </c>
      <c r="M762">
        <v>21502712</v>
      </c>
      <c r="N762">
        <v>21390553</v>
      </c>
      <c r="O762">
        <v>21502712</v>
      </c>
      <c r="P762">
        <v>19773809.629999999</v>
      </c>
      <c r="Q762">
        <v>19742809.399999999</v>
      </c>
      <c r="R762" s="14">
        <f>_xlfn.XLOOKUP(Table2[[#This Row],[LoanID]],Table1[G-L ID],Table1[ManagerCode],-99)</f>
        <v>103</v>
      </c>
      <c r="T762"/>
    </row>
    <row r="763" spans="1:20" x14ac:dyDescent="0.25">
      <c r="A763">
        <v>20110531</v>
      </c>
      <c r="B763">
        <v>2011</v>
      </c>
      <c r="C763">
        <v>5</v>
      </c>
      <c r="D763">
        <v>1</v>
      </c>
      <c r="E763">
        <v>12210</v>
      </c>
      <c r="F763">
        <v>729536</v>
      </c>
      <c r="G763">
        <v>0</v>
      </c>
      <c r="H763">
        <v>0</v>
      </c>
      <c r="I763">
        <v>0</v>
      </c>
      <c r="J763">
        <v>0</v>
      </c>
      <c r="K763">
        <v>174865.69</v>
      </c>
      <c r="L763">
        <v>138847735</v>
      </c>
      <c r="M763">
        <v>140498641</v>
      </c>
      <c r="N763">
        <v>138847735</v>
      </c>
      <c r="O763">
        <v>140498641</v>
      </c>
      <c r="P763">
        <v>118040040.5</v>
      </c>
      <c r="Q763">
        <v>117865174.8</v>
      </c>
      <c r="R763" s="14">
        <f>_xlfn.XLOOKUP(Table2[[#This Row],[LoanID]],Table1[G-L ID],Table1[ManagerCode],-99)</f>
        <v>103</v>
      </c>
      <c r="T763"/>
    </row>
    <row r="764" spans="1:20" x14ac:dyDescent="0.25">
      <c r="A764">
        <v>20110630</v>
      </c>
      <c r="B764">
        <v>2011</v>
      </c>
      <c r="C764">
        <v>6</v>
      </c>
      <c r="D764">
        <v>1</v>
      </c>
      <c r="E764">
        <v>10050</v>
      </c>
      <c r="F764">
        <v>153981</v>
      </c>
      <c r="G764">
        <v>0</v>
      </c>
      <c r="H764">
        <v>0</v>
      </c>
      <c r="I764">
        <v>-69</v>
      </c>
      <c r="J764">
        <v>0</v>
      </c>
      <c r="K764">
        <v>0</v>
      </c>
      <c r="L764">
        <v>32862139</v>
      </c>
      <c r="M764">
        <v>32498599</v>
      </c>
      <c r="N764">
        <v>32862139</v>
      </c>
      <c r="O764">
        <v>32498599</v>
      </c>
      <c r="P764">
        <v>33333334</v>
      </c>
      <c r="Q764">
        <v>33333334</v>
      </c>
      <c r="R764" s="14">
        <f>_xlfn.XLOOKUP(Table2[[#This Row],[LoanID]],Table1[G-L ID],Table1[ManagerCode],-99)</f>
        <v>103</v>
      </c>
      <c r="T764"/>
    </row>
    <row r="765" spans="1:20" x14ac:dyDescent="0.25">
      <c r="A765">
        <v>20110630</v>
      </c>
      <c r="B765">
        <v>2011</v>
      </c>
      <c r="C765">
        <v>6</v>
      </c>
      <c r="D765">
        <v>1</v>
      </c>
      <c r="E765">
        <v>10080</v>
      </c>
      <c r="F765">
        <v>351043</v>
      </c>
      <c r="G765">
        <v>0</v>
      </c>
      <c r="H765">
        <v>0</v>
      </c>
      <c r="I765">
        <v>-161</v>
      </c>
      <c r="J765">
        <v>0</v>
      </c>
      <c r="K765">
        <v>0</v>
      </c>
      <c r="L765">
        <v>72177377</v>
      </c>
      <c r="M765">
        <v>72060704</v>
      </c>
      <c r="N765">
        <v>72177377</v>
      </c>
      <c r="O765">
        <v>72060704</v>
      </c>
      <c r="P765">
        <v>75000000</v>
      </c>
      <c r="Q765">
        <v>75000000</v>
      </c>
      <c r="R765" s="14">
        <f>_xlfn.XLOOKUP(Table2[[#This Row],[LoanID]],Table1[G-L ID],Table1[ManagerCode],-99)</f>
        <v>103</v>
      </c>
      <c r="T765"/>
    </row>
    <row r="766" spans="1:20" x14ac:dyDescent="0.25">
      <c r="A766">
        <v>20110630</v>
      </c>
      <c r="B766">
        <v>2011</v>
      </c>
      <c r="C766">
        <v>6</v>
      </c>
      <c r="D766">
        <v>1</v>
      </c>
      <c r="E766">
        <v>10130</v>
      </c>
      <c r="F766">
        <v>36694</v>
      </c>
      <c r="G766">
        <v>0</v>
      </c>
      <c r="H766">
        <v>0</v>
      </c>
      <c r="I766">
        <v>0</v>
      </c>
      <c r="J766">
        <v>0</v>
      </c>
      <c r="K766">
        <v>30996.97</v>
      </c>
      <c r="L766">
        <v>8617622</v>
      </c>
      <c r="M766">
        <v>8547764</v>
      </c>
      <c r="N766">
        <v>8617622</v>
      </c>
      <c r="O766">
        <v>8547764</v>
      </c>
      <c r="P766">
        <v>8109109.7400000002</v>
      </c>
      <c r="Q766">
        <v>8078112.7699999996</v>
      </c>
      <c r="R766" s="14">
        <f>_xlfn.XLOOKUP(Table2[[#This Row],[LoanID]],Table1[G-L ID],Table1[ManagerCode],-99)</f>
        <v>103</v>
      </c>
      <c r="T766"/>
    </row>
    <row r="767" spans="1:20" x14ac:dyDescent="0.25">
      <c r="A767">
        <v>20110630</v>
      </c>
      <c r="B767">
        <v>2011</v>
      </c>
      <c r="C767">
        <v>6</v>
      </c>
      <c r="D767">
        <v>1</v>
      </c>
      <c r="E767">
        <v>10140</v>
      </c>
      <c r="F767">
        <v>96762</v>
      </c>
      <c r="G767">
        <v>0</v>
      </c>
      <c r="H767">
        <v>0</v>
      </c>
      <c r="I767">
        <v>0</v>
      </c>
      <c r="J767">
        <v>0</v>
      </c>
      <c r="K767">
        <v>81062.64</v>
      </c>
      <c r="L767">
        <v>22725396</v>
      </c>
      <c r="M767">
        <v>22541831</v>
      </c>
      <c r="N767">
        <v>22725396</v>
      </c>
      <c r="O767">
        <v>22541831</v>
      </c>
      <c r="P767">
        <v>21383798.949999999</v>
      </c>
      <c r="Q767">
        <v>21302736.309999999</v>
      </c>
      <c r="R767" s="14">
        <f>_xlfn.XLOOKUP(Table2[[#This Row],[LoanID]],Table1[G-L ID],Table1[ManagerCode],-99)</f>
        <v>103</v>
      </c>
      <c r="T767"/>
    </row>
    <row r="768" spans="1:20" x14ac:dyDescent="0.25">
      <c r="A768">
        <v>20110630</v>
      </c>
      <c r="B768">
        <v>2011</v>
      </c>
      <c r="C768">
        <v>6</v>
      </c>
      <c r="D768">
        <v>1</v>
      </c>
      <c r="E768">
        <v>10150</v>
      </c>
      <c r="F768">
        <v>243970</v>
      </c>
      <c r="G768">
        <v>0</v>
      </c>
      <c r="H768">
        <v>0</v>
      </c>
      <c r="I768">
        <v>0</v>
      </c>
      <c r="J768">
        <v>0</v>
      </c>
      <c r="K768">
        <v>69349.87</v>
      </c>
      <c r="L768">
        <v>52411771</v>
      </c>
      <c r="M768">
        <v>52343115</v>
      </c>
      <c r="N768">
        <v>52411771</v>
      </c>
      <c r="O768">
        <v>52343115</v>
      </c>
      <c r="P768">
        <v>52941077.149999999</v>
      </c>
      <c r="Q768">
        <v>52871727.280000001</v>
      </c>
      <c r="R768" s="14">
        <f>_xlfn.XLOOKUP(Table2[[#This Row],[LoanID]],Table1[G-L ID],Table1[ManagerCode],-99)</f>
        <v>103</v>
      </c>
      <c r="T768"/>
    </row>
    <row r="769" spans="1:20" x14ac:dyDescent="0.25">
      <c r="A769">
        <v>20110630</v>
      </c>
      <c r="B769">
        <v>2011</v>
      </c>
      <c r="C769">
        <v>6</v>
      </c>
      <c r="D769">
        <v>1</v>
      </c>
      <c r="E769">
        <v>10170</v>
      </c>
      <c r="F769">
        <v>251157</v>
      </c>
      <c r="G769">
        <v>0</v>
      </c>
      <c r="H769">
        <v>0</v>
      </c>
      <c r="I769">
        <v>-1204</v>
      </c>
      <c r="J769">
        <v>0</v>
      </c>
      <c r="K769">
        <v>64920.800000000003</v>
      </c>
      <c r="L769">
        <v>50822689</v>
      </c>
      <c r="M769">
        <v>50531076</v>
      </c>
      <c r="N769">
        <v>50822689</v>
      </c>
      <c r="O769">
        <v>50531076</v>
      </c>
      <c r="P769">
        <v>46592040.789999999</v>
      </c>
      <c r="Q769">
        <v>46527119.990000002</v>
      </c>
      <c r="R769" s="14">
        <f>_xlfn.XLOOKUP(Table2[[#This Row],[LoanID]],Table1[G-L ID],Table1[ManagerCode],-99)</f>
        <v>103</v>
      </c>
      <c r="T769"/>
    </row>
    <row r="770" spans="1:20" x14ac:dyDescent="0.25">
      <c r="A770">
        <v>20110630</v>
      </c>
      <c r="B770">
        <v>2011</v>
      </c>
      <c r="C770">
        <v>6</v>
      </c>
      <c r="D770">
        <v>1</v>
      </c>
      <c r="E770">
        <v>10230</v>
      </c>
      <c r="F770">
        <v>184645</v>
      </c>
      <c r="G770">
        <v>0</v>
      </c>
      <c r="H770">
        <v>0</v>
      </c>
      <c r="I770">
        <v>0</v>
      </c>
      <c r="J770">
        <v>0</v>
      </c>
      <c r="K770">
        <v>56953.2</v>
      </c>
      <c r="L770">
        <v>27943289</v>
      </c>
      <c r="M770">
        <v>27894879</v>
      </c>
      <c r="N770">
        <v>27943289</v>
      </c>
      <c r="O770">
        <v>27894879</v>
      </c>
      <c r="P770">
        <v>32874457.329999998</v>
      </c>
      <c r="Q770">
        <v>32817504.129999999</v>
      </c>
      <c r="R770" s="14">
        <f>_xlfn.XLOOKUP(Table2[[#This Row],[LoanID]],Table1[G-L ID],Table1[ManagerCode],-99)</f>
        <v>103</v>
      </c>
      <c r="T770"/>
    </row>
    <row r="771" spans="1:20" x14ac:dyDescent="0.25">
      <c r="A771">
        <v>20110630</v>
      </c>
      <c r="B771">
        <v>2011</v>
      </c>
      <c r="C771">
        <v>6</v>
      </c>
      <c r="D771">
        <v>1</v>
      </c>
      <c r="E771">
        <v>10280</v>
      </c>
      <c r="F771">
        <v>181412</v>
      </c>
      <c r="G771">
        <v>0</v>
      </c>
      <c r="H771">
        <v>0</v>
      </c>
      <c r="I771">
        <v>0</v>
      </c>
      <c r="J771">
        <v>0</v>
      </c>
      <c r="K771">
        <v>0</v>
      </c>
      <c r="L771">
        <v>31500032</v>
      </c>
      <c r="M771">
        <v>31500032</v>
      </c>
      <c r="N771">
        <v>31500032</v>
      </c>
      <c r="O771">
        <v>31500032</v>
      </c>
      <c r="P771">
        <v>35000000</v>
      </c>
      <c r="Q771">
        <v>35000000</v>
      </c>
      <c r="R771" s="14">
        <f>_xlfn.XLOOKUP(Table2[[#This Row],[LoanID]],Table1[G-L ID],Table1[ManagerCode],-99)</f>
        <v>103</v>
      </c>
      <c r="T771"/>
    </row>
    <row r="772" spans="1:20" x14ac:dyDescent="0.25">
      <c r="A772">
        <v>20110630</v>
      </c>
      <c r="B772">
        <v>2011</v>
      </c>
      <c r="C772">
        <v>6</v>
      </c>
      <c r="D772">
        <v>1</v>
      </c>
      <c r="E772">
        <v>10290</v>
      </c>
      <c r="F772">
        <v>171301</v>
      </c>
      <c r="G772">
        <v>0</v>
      </c>
      <c r="H772">
        <v>0</v>
      </c>
      <c r="I772">
        <v>0</v>
      </c>
      <c r="J772">
        <v>0</v>
      </c>
      <c r="K772">
        <v>0</v>
      </c>
      <c r="L772">
        <v>21250000</v>
      </c>
      <c r="M772">
        <v>21250000</v>
      </c>
      <c r="N772">
        <v>21250000</v>
      </c>
      <c r="O772">
        <v>21250000</v>
      </c>
      <c r="P772">
        <v>25000000</v>
      </c>
      <c r="Q772">
        <v>25000000</v>
      </c>
      <c r="R772" s="14">
        <f>_xlfn.XLOOKUP(Table2[[#This Row],[LoanID]],Table1[G-L ID],Table1[ManagerCode],-99)</f>
        <v>103</v>
      </c>
      <c r="T772"/>
    </row>
    <row r="773" spans="1:20" x14ac:dyDescent="0.25">
      <c r="A773">
        <v>20110630</v>
      </c>
      <c r="B773">
        <v>2011</v>
      </c>
      <c r="C773">
        <v>6</v>
      </c>
      <c r="D773">
        <v>1</v>
      </c>
      <c r="E773">
        <v>10300</v>
      </c>
      <c r="F773">
        <v>149888</v>
      </c>
      <c r="G773">
        <v>0</v>
      </c>
      <c r="H773">
        <v>0</v>
      </c>
      <c r="I773">
        <v>0</v>
      </c>
      <c r="J773">
        <v>0</v>
      </c>
      <c r="K773">
        <v>0</v>
      </c>
      <c r="L773">
        <v>32670117</v>
      </c>
      <c r="M773">
        <v>31490116</v>
      </c>
      <c r="N773">
        <v>32670117</v>
      </c>
      <c r="O773">
        <v>31490116</v>
      </c>
      <c r="P773">
        <v>35000000</v>
      </c>
      <c r="Q773">
        <v>35000000</v>
      </c>
      <c r="R773" s="14">
        <f>_xlfn.XLOOKUP(Table2[[#This Row],[LoanID]],Table1[G-L ID],Table1[ManagerCode],-99)</f>
        <v>103</v>
      </c>
      <c r="T773"/>
    </row>
    <row r="774" spans="1:20" x14ac:dyDescent="0.25">
      <c r="A774">
        <v>20110630</v>
      </c>
      <c r="B774">
        <v>2011</v>
      </c>
      <c r="C774">
        <v>6</v>
      </c>
      <c r="D774">
        <v>1</v>
      </c>
      <c r="E774">
        <v>10310</v>
      </c>
      <c r="F774">
        <v>39510.910000000003</v>
      </c>
      <c r="G774">
        <v>40182.699999999997</v>
      </c>
      <c r="H774">
        <v>0</v>
      </c>
      <c r="I774">
        <v>0</v>
      </c>
      <c r="J774">
        <v>-3309928.92</v>
      </c>
      <c r="K774">
        <v>0</v>
      </c>
      <c r="L774">
        <v>10508938.5</v>
      </c>
      <c r="M774">
        <v>13859050.119999999</v>
      </c>
      <c r="N774">
        <v>10508938.5</v>
      </c>
      <c r="O774">
        <v>13859050.119999999</v>
      </c>
      <c r="P774">
        <v>10508938.5</v>
      </c>
      <c r="Q774">
        <v>13859050.119999999</v>
      </c>
      <c r="R774" s="14">
        <f>_xlfn.XLOOKUP(Table2[[#This Row],[LoanID]],Table1[G-L ID],Table1[ManagerCode],-99)</f>
        <v>183</v>
      </c>
      <c r="T774"/>
    </row>
    <row r="775" spans="1:20" x14ac:dyDescent="0.25">
      <c r="A775">
        <v>20110630</v>
      </c>
      <c r="B775">
        <v>2011</v>
      </c>
      <c r="C775">
        <v>6</v>
      </c>
      <c r="D775">
        <v>1</v>
      </c>
      <c r="E775">
        <v>10370</v>
      </c>
      <c r="F775">
        <v>5150</v>
      </c>
      <c r="G775">
        <v>0</v>
      </c>
      <c r="H775">
        <v>0</v>
      </c>
      <c r="I775">
        <v>0</v>
      </c>
      <c r="J775">
        <v>0</v>
      </c>
      <c r="K775">
        <v>36148.85</v>
      </c>
      <c r="L775">
        <v>2852432</v>
      </c>
      <c r="M775">
        <v>2819898</v>
      </c>
      <c r="N775">
        <v>2852432</v>
      </c>
      <c r="O775">
        <v>2819898</v>
      </c>
      <c r="P775">
        <v>3169369.03</v>
      </c>
      <c r="Q775">
        <v>3133220.18</v>
      </c>
      <c r="R775" s="14">
        <f>_xlfn.XLOOKUP(Table2[[#This Row],[LoanID]],Table1[G-L ID],Table1[ManagerCode],-99)</f>
        <v>103</v>
      </c>
      <c r="T775"/>
    </row>
    <row r="776" spans="1:20" x14ac:dyDescent="0.25">
      <c r="A776">
        <v>20110630</v>
      </c>
      <c r="B776">
        <v>2011</v>
      </c>
      <c r="C776">
        <v>6</v>
      </c>
      <c r="D776">
        <v>1</v>
      </c>
      <c r="E776">
        <v>10390</v>
      </c>
      <c r="F776">
        <v>118750</v>
      </c>
      <c r="G776">
        <v>0</v>
      </c>
      <c r="H776">
        <v>0</v>
      </c>
      <c r="I776">
        <v>0</v>
      </c>
      <c r="J776">
        <v>0</v>
      </c>
      <c r="K776">
        <v>0</v>
      </c>
      <c r="L776">
        <v>22500000</v>
      </c>
      <c r="M776">
        <v>22500000</v>
      </c>
      <c r="N776">
        <v>22500000</v>
      </c>
      <c r="O776">
        <v>22500000</v>
      </c>
      <c r="P776">
        <v>24992857.039999999</v>
      </c>
      <c r="Q776">
        <v>24993061.120000001</v>
      </c>
      <c r="R776" s="14">
        <f>_xlfn.XLOOKUP(Table2[[#This Row],[LoanID]],Table1[G-L ID],Table1[ManagerCode],-99)</f>
        <v>103</v>
      </c>
      <c r="T776"/>
    </row>
    <row r="777" spans="1:20" x14ac:dyDescent="0.25">
      <c r="A777">
        <v>20110630</v>
      </c>
      <c r="B777">
        <v>2011</v>
      </c>
      <c r="C777">
        <v>6</v>
      </c>
      <c r="D777">
        <v>1</v>
      </c>
      <c r="E777">
        <v>10450</v>
      </c>
      <c r="F777">
        <v>120036</v>
      </c>
      <c r="G777">
        <v>0</v>
      </c>
      <c r="H777">
        <v>0</v>
      </c>
      <c r="I777">
        <v>0</v>
      </c>
      <c r="J777">
        <v>0</v>
      </c>
      <c r="K777">
        <v>21779.47</v>
      </c>
      <c r="L777">
        <v>21315771</v>
      </c>
      <c r="M777">
        <v>21294210</v>
      </c>
      <c r="N777">
        <v>21315771</v>
      </c>
      <c r="O777">
        <v>21294210</v>
      </c>
      <c r="P777">
        <v>21531082.170000002</v>
      </c>
      <c r="Q777">
        <v>21509302.699999999</v>
      </c>
      <c r="R777" s="14">
        <f>_xlfn.XLOOKUP(Table2[[#This Row],[LoanID]],Table1[G-L ID],Table1[ManagerCode],-99)</f>
        <v>103</v>
      </c>
      <c r="T777"/>
    </row>
    <row r="778" spans="1:20" x14ac:dyDescent="0.25">
      <c r="A778">
        <v>20110630</v>
      </c>
      <c r="B778">
        <v>2011</v>
      </c>
      <c r="C778">
        <v>6</v>
      </c>
      <c r="D778">
        <v>1</v>
      </c>
      <c r="E778">
        <v>10520</v>
      </c>
      <c r="F778">
        <v>4789</v>
      </c>
      <c r="G778">
        <v>0</v>
      </c>
      <c r="H778">
        <v>0</v>
      </c>
      <c r="I778">
        <v>-12</v>
      </c>
      <c r="J778">
        <v>0</v>
      </c>
      <c r="K778">
        <v>0</v>
      </c>
      <c r="L778">
        <v>4084605</v>
      </c>
      <c r="M778">
        <v>4084605</v>
      </c>
      <c r="N778">
        <v>4084605</v>
      </c>
      <c r="O778">
        <v>4084605</v>
      </c>
      <c r="P778">
        <v>4125863.16</v>
      </c>
      <c r="Q778">
        <v>4125863.16</v>
      </c>
      <c r="R778" s="14">
        <f>_xlfn.XLOOKUP(Table2[[#This Row],[LoanID]],Table1[G-L ID],Table1[ManagerCode],-99)</f>
        <v>103</v>
      </c>
      <c r="T778"/>
    </row>
    <row r="779" spans="1:20" x14ac:dyDescent="0.25">
      <c r="A779">
        <v>20110630</v>
      </c>
      <c r="B779">
        <v>2011</v>
      </c>
      <c r="C779">
        <v>6</v>
      </c>
      <c r="D779">
        <v>1</v>
      </c>
      <c r="E779">
        <v>10530</v>
      </c>
      <c r="F779">
        <v>103766</v>
      </c>
      <c r="G779">
        <v>0</v>
      </c>
      <c r="H779">
        <v>0</v>
      </c>
      <c r="I779">
        <v>-269</v>
      </c>
      <c r="J779">
        <v>0</v>
      </c>
      <c r="K779">
        <v>0</v>
      </c>
      <c r="L779">
        <v>88499676</v>
      </c>
      <c r="M779">
        <v>88499676</v>
      </c>
      <c r="N779">
        <v>88499676</v>
      </c>
      <c r="O779">
        <v>88499676</v>
      </c>
      <c r="P779">
        <v>89393701.629999995</v>
      </c>
      <c r="Q779">
        <v>89393701.629999995</v>
      </c>
      <c r="R779" s="14">
        <f>_xlfn.XLOOKUP(Table2[[#This Row],[LoanID]],Table1[G-L ID],Table1[ManagerCode],-99)</f>
        <v>103</v>
      </c>
      <c r="T779"/>
    </row>
    <row r="780" spans="1:20" x14ac:dyDescent="0.25">
      <c r="A780">
        <v>20110630</v>
      </c>
      <c r="B780">
        <v>2011</v>
      </c>
      <c r="C780">
        <v>6</v>
      </c>
      <c r="D780">
        <v>1</v>
      </c>
      <c r="E780">
        <v>10540</v>
      </c>
      <c r="F780">
        <v>14368</v>
      </c>
      <c r="G780">
        <v>0</v>
      </c>
      <c r="H780">
        <v>0</v>
      </c>
      <c r="I780">
        <v>-37</v>
      </c>
      <c r="J780">
        <v>0</v>
      </c>
      <c r="K780">
        <v>0</v>
      </c>
      <c r="L780">
        <v>12253814</v>
      </c>
      <c r="M780">
        <v>12253814</v>
      </c>
      <c r="N780">
        <v>12253814</v>
      </c>
      <c r="O780">
        <v>12253814</v>
      </c>
      <c r="P780">
        <v>12377589.460000001</v>
      </c>
      <c r="Q780">
        <v>12377589.460000001</v>
      </c>
      <c r="R780" s="14">
        <f>_xlfn.XLOOKUP(Table2[[#This Row],[LoanID]],Table1[G-L ID],Table1[ManagerCode],-99)</f>
        <v>103</v>
      </c>
      <c r="T780"/>
    </row>
    <row r="781" spans="1:20" x14ac:dyDescent="0.25">
      <c r="A781">
        <v>20110630</v>
      </c>
      <c r="B781">
        <v>2011</v>
      </c>
      <c r="C781">
        <v>6</v>
      </c>
      <c r="D781">
        <v>1</v>
      </c>
      <c r="E781">
        <v>10630</v>
      </c>
      <c r="F781">
        <v>49471</v>
      </c>
      <c r="G781">
        <v>0</v>
      </c>
      <c r="H781">
        <v>0</v>
      </c>
      <c r="I781">
        <v>0</v>
      </c>
      <c r="J781">
        <v>0</v>
      </c>
      <c r="K781">
        <v>13145.49</v>
      </c>
      <c r="L781">
        <v>9168652</v>
      </c>
      <c r="M781">
        <v>9155638</v>
      </c>
      <c r="N781">
        <v>9168652</v>
      </c>
      <c r="O781">
        <v>9155638</v>
      </c>
      <c r="P781">
        <v>9261264.4399999995</v>
      </c>
      <c r="Q781">
        <v>9248118.9499999993</v>
      </c>
      <c r="R781" s="14">
        <f>_xlfn.XLOOKUP(Table2[[#This Row],[LoanID]],Table1[G-L ID],Table1[ManagerCode],-99)</f>
        <v>103</v>
      </c>
      <c r="T781"/>
    </row>
    <row r="782" spans="1:20" x14ac:dyDescent="0.25">
      <c r="A782">
        <v>20110630</v>
      </c>
      <c r="B782">
        <v>2011</v>
      </c>
      <c r="C782">
        <v>6</v>
      </c>
      <c r="D782">
        <v>1</v>
      </c>
      <c r="E782">
        <v>10770</v>
      </c>
      <c r="F782">
        <v>0</v>
      </c>
      <c r="G782">
        <v>0</v>
      </c>
      <c r="H782">
        <v>0</v>
      </c>
      <c r="I782">
        <v>0</v>
      </c>
      <c r="J782">
        <v>0</v>
      </c>
      <c r="K782">
        <v>0</v>
      </c>
      <c r="L782">
        <v>115000000</v>
      </c>
      <c r="M782">
        <v>115000000</v>
      </c>
      <c r="N782">
        <v>115000000</v>
      </c>
      <c r="O782">
        <v>115000000</v>
      </c>
      <c r="P782">
        <v>115000000</v>
      </c>
      <c r="Q782">
        <v>115000000</v>
      </c>
      <c r="R782" s="14">
        <f>_xlfn.XLOOKUP(Table2[[#This Row],[LoanID]],Table1[G-L ID],Table1[ManagerCode],-99)</f>
        <v>103</v>
      </c>
      <c r="T782"/>
    </row>
    <row r="783" spans="1:20" x14ac:dyDescent="0.25">
      <c r="A783">
        <v>20110630</v>
      </c>
      <c r="B783">
        <v>2011</v>
      </c>
      <c r="C783">
        <v>6</v>
      </c>
      <c r="D783">
        <v>1</v>
      </c>
      <c r="E783">
        <v>10880</v>
      </c>
      <c r="F783">
        <v>296895</v>
      </c>
      <c r="G783">
        <v>0</v>
      </c>
      <c r="H783">
        <v>0</v>
      </c>
      <c r="I783">
        <v>0</v>
      </c>
      <c r="J783">
        <v>0</v>
      </c>
      <c r="K783">
        <v>0</v>
      </c>
      <c r="L783">
        <v>186194029</v>
      </c>
      <c r="M783">
        <v>187826744</v>
      </c>
      <c r="N783">
        <v>186194029</v>
      </c>
      <c r="O783">
        <v>187826744</v>
      </c>
      <c r="P783">
        <v>201744599.09999999</v>
      </c>
      <c r="Q783">
        <v>201744599.09999999</v>
      </c>
      <c r="R783" s="14">
        <f>_xlfn.XLOOKUP(Table2[[#This Row],[LoanID]],Table1[G-L ID],Table1[ManagerCode],-99)</f>
        <v>103</v>
      </c>
      <c r="T783"/>
    </row>
    <row r="784" spans="1:20" x14ac:dyDescent="0.25">
      <c r="A784">
        <v>20110630</v>
      </c>
      <c r="B784">
        <v>2011</v>
      </c>
      <c r="C784">
        <v>6</v>
      </c>
      <c r="D784">
        <v>1</v>
      </c>
      <c r="E784">
        <v>10900</v>
      </c>
      <c r="F784">
        <v>82014</v>
      </c>
      <c r="G784">
        <v>0</v>
      </c>
      <c r="H784">
        <v>0</v>
      </c>
      <c r="I784">
        <v>-578</v>
      </c>
      <c r="J784">
        <v>0</v>
      </c>
      <c r="K784">
        <v>1602.9</v>
      </c>
      <c r="L784">
        <v>7806594</v>
      </c>
      <c r="M784">
        <v>7802212</v>
      </c>
      <c r="N784">
        <v>7806594</v>
      </c>
      <c r="O784">
        <v>7802212</v>
      </c>
      <c r="P784">
        <v>8658386.1999999993</v>
      </c>
      <c r="Q784">
        <v>8656783.3000000007</v>
      </c>
      <c r="R784" s="14">
        <f>_xlfn.XLOOKUP(Table2[[#This Row],[LoanID]],Table1[G-L ID],Table1[ManagerCode],-99)</f>
        <v>103</v>
      </c>
      <c r="T784"/>
    </row>
    <row r="785" spans="1:20" x14ac:dyDescent="0.25">
      <c r="A785">
        <v>20110630</v>
      </c>
      <c r="B785">
        <v>2011</v>
      </c>
      <c r="C785">
        <v>6</v>
      </c>
      <c r="D785">
        <v>1</v>
      </c>
      <c r="E785">
        <v>10950</v>
      </c>
      <c r="F785">
        <v>54143</v>
      </c>
      <c r="G785">
        <v>0</v>
      </c>
      <c r="H785">
        <v>0</v>
      </c>
      <c r="I785">
        <v>0</v>
      </c>
      <c r="J785">
        <v>0</v>
      </c>
      <c r="K785">
        <v>22880.45</v>
      </c>
      <c r="L785">
        <v>10792177</v>
      </c>
      <c r="M785">
        <v>10769525</v>
      </c>
      <c r="N785">
        <v>10792177</v>
      </c>
      <c r="O785">
        <v>10769525</v>
      </c>
      <c r="P785">
        <v>10901188.49</v>
      </c>
      <c r="Q785">
        <v>10878308.039999999</v>
      </c>
      <c r="R785" s="14">
        <f>_xlfn.XLOOKUP(Table2[[#This Row],[LoanID]],Table1[G-L ID],Table1[ManagerCode],-99)</f>
        <v>103</v>
      </c>
      <c r="T785"/>
    </row>
    <row r="786" spans="1:20" x14ac:dyDescent="0.25">
      <c r="A786">
        <v>20110630</v>
      </c>
      <c r="B786">
        <v>2011</v>
      </c>
      <c r="C786">
        <v>6</v>
      </c>
      <c r="D786">
        <v>1</v>
      </c>
      <c r="E786">
        <v>11180</v>
      </c>
      <c r="F786">
        <v>207842</v>
      </c>
      <c r="G786">
        <v>0</v>
      </c>
      <c r="H786">
        <v>0</v>
      </c>
      <c r="I786">
        <v>-1722</v>
      </c>
      <c r="J786">
        <v>0</v>
      </c>
      <c r="K786">
        <v>0</v>
      </c>
      <c r="L786">
        <v>169975207</v>
      </c>
      <c r="M786">
        <v>179973748</v>
      </c>
      <c r="N786">
        <v>169975207</v>
      </c>
      <c r="O786">
        <v>179973748</v>
      </c>
      <c r="P786">
        <v>199970831.5</v>
      </c>
      <c r="Q786">
        <v>199970831.5</v>
      </c>
      <c r="R786" s="14">
        <f>_xlfn.XLOOKUP(Table2[[#This Row],[LoanID]],Table1[G-L ID],Table1[ManagerCode],-99)</f>
        <v>103</v>
      </c>
      <c r="T786"/>
    </row>
    <row r="787" spans="1:20" x14ac:dyDescent="0.25">
      <c r="A787">
        <v>20110630</v>
      </c>
      <c r="B787">
        <v>2011</v>
      </c>
      <c r="C787">
        <v>6</v>
      </c>
      <c r="D787">
        <v>1</v>
      </c>
      <c r="E787">
        <v>11200</v>
      </c>
      <c r="F787">
        <v>69880</v>
      </c>
      <c r="G787">
        <v>0</v>
      </c>
      <c r="H787">
        <v>0</v>
      </c>
      <c r="I787">
        <v>0</v>
      </c>
      <c r="J787">
        <v>0</v>
      </c>
      <c r="K787">
        <v>0</v>
      </c>
      <c r="L787">
        <v>11879576</v>
      </c>
      <c r="M787">
        <v>11879576</v>
      </c>
      <c r="N787">
        <v>11879576</v>
      </c>
      <c r="O787">
        <v>11879576</v>
      </c>
      <c r="P787">
        <v>13976000</v>
      </c>
      <c r="Q787">
        <v>13976000</v>
      </c>
      <c r="R787" s="14">
        <f>_xlfn.XLOOKUP(Table2[[#This Row],[LoanID]],Table1[G-L ID],Table1[ManagerCode],-99)</f>
        <v>103</v>
      </c>
      <c r="T787"/>
    </row>
    <row r="788" spans="1:20" x14ac:dyDescent="0.25">
      <c r="A788">
        <v>20110630</v>
      </c>
      <c r="B788">
        <v>2011</v>
      </c>
      <c r="C788">
        <v>6</v>
      </c>
      <c r="D788">
        <v>1</v>
      </c>
      <c r="E788">
        <v>11240</v>
      </c>
      <c r="F788">
        <v>246413</v>
      </c>
      <c r="G788">
        <v>0</v>
      </c>
      <c r="H788">
        <v>0</v>
      </c>
      <c r="I788">
        <v>0</v>
      </c>
      <c r="J788">
        <v>0</v>
      </c>
      <c r="K788">
        <v>0</v>
      </c>
      <c r="L788">
        <v>175436664</v>
      </c>
      <c r="M788">
        <v>176334578</v>
      </c>
      <c r="N788">
        <v>175436664</v>
      </c>
      <c r="O788">
        <v>176334578</v>
      </c>
      <c r="P788">
        <v>194929626.59999999</v>
      </c>
      <c r="Q788">
        <v>194929626.59999999</v>
      </c>
      <c r="R788" s="14">
        <f>_xlfn.XLOOKUP(Table2[[#This Row],[LoanID]],Table1[G-L ID],Table1[ManagerCode],-99)</f>
        <v>103</v>
      </c>
      <c r="T788"/>
    </row>
    <row r="789" spans="1:20" x14ac:dyDescent="0.25">
      <c r="A789">
        <v>20110630</v>
      </c>
      <c r="B789">
        <v>2011</v>
      </c>
      <c r="C789">
        <v>6</v>
      </c>
      <c r="D789">
        <v>1</v>
      </c>
      <c r="E789">
        <v>11280</v>
      </c>
      <c r="F789">
        <v>23430</v>
      </c>
      <c r="G789">
        <v>0</v>
      </c>
      <c r="H789">
        <v>0</v>
      </c>
      <c r="I789">
        <v>-157</v>
      </c>
      <c r="J789">
        <v>0</v>
      </c>
      <c r="K789">
        <v>0</v>
      </c>
      <c r="L789">
        <v>16912011</v>
      </c>
      <c r="M789">
        <v>16985791</v>
      </c>
      <c r="N789">
        <v>16912011</v>
      </c>
      <c r="O789">
        <v>16985791</v>
      </c>
      <c r="P789">
        <v>18791123.030000001</v>
      </c>
      <c r="Q789">
        <v>18791123.030000001</v>
      </c>
      <c r="R789" s="14">
        <f>_xlfn.XLOOKUP(Table2[[#This Row],[LoanID]],Table1[G-L ID],Table1[ManagerCode],-99)</f>
        <v>103</v>
      </c>
      <c r="T789"/>
    </row>
    <row r="790" spans="1:20" x14ac:dyDescent="0.25">
      <c r="A790">
        <v>20110630</v>
      </c>
      <c r="B790">
        <v>2011</v>
      </c>
      <c r="C790">
        <v>6</v>
      </c>
      <c r="D790">
        <v>1</v>
      </c>
      <c r="E790">
        <v>11300</v>
      </c>
      <c r="F790">
        <v>21087</v>
      </c>
      <c r="G790">
        <v>0</v>
      </c>
      <c r="H790">
        <v>0</v>
      </c>
      <c r="I790">
        <v>-141</v>
      </c>
      <c r="J790">
        <v>0</v>
      </c>
      <c r="K790">
        <v>0</v>
      </c>
      <c r="L790">
        <v>15220810</v>
      </c>
      <c r="M790">
        <v>15287212</v>
      </c>
      <c r="N790">
        <v>15220810</v>
      </c>
      <c r="O790">
        <v>15287212</v>
      </c>
      <c r="P790">
        <v>16912010.73</v>
      </c>
      <c r="Q790">
        <v>16912010.73</v>
      </c>
      <c r="R790" s="14">
        <f>_xlfn.XLOOKUP(Table2[[#This Row],[LoanID]],Table1[G-L ID],Table1[ManagerCode],-99)</f>
        <v>103</v>
      </c>
      <c r="T790"/>
    </row>
    <row r="791" spans="1:20" x14ac:dyDescent="0.25">
      <c r="A791">
        <v>20110630</v>
      </c>
      <c r="B791">
        <v>2011</v>
      </c>
      <c r="C791">
        <v>6</v>
      </c>
      <c r="D791">
        <v>1</v>
      </c>
      <c r="E791">
        <v>11310</v>
      </c>
      <c r="F791">
        <v>14058</v>
      </c>
      <c r="G791">
        <v>0</v>
      </c>
      <c r="H791">
        <v>0</v>
      </c>
      <c r="I791">
        <v>-94</v>
      </c>
      <c r="J791">
        <v>0</v>
      </c>
      <c r="K791">
        <v>0</v>
      </c>
      <c r="L791">
        <v>10147206</v>
      </c>
      <c r="M791">
        <v>10196130</v>
      </c>
      <c r="N791">
        <v>10147206</v>
      </c>
      <c r="O791">
        <v>10196130</v>
      </c>
      <c r="P791">
        <v>11274673.789999999</v>
      </c>
      <c r="Q791">
        <v>11274673.789999999</v>
      </c>
      <c r="R791" s="14">
        <f>_xlfn.XLOOKUP(Table2[[#This Row],[LoanID]],Table1[G-L ID],Table1[ManagerCode],-99)</f>
        <v>103</v>
      </c>
      <c r="T791"/>
    </row>
    <row r="792" spans="1:20" x14ac:dyDescent="0.25">
      <c r="A792">
        <v>20110630</v>
      </c>
      <c r="B792">
        <v>2011</v>
      </c>
      <c r="C792">
        <v>6</v>
      </c>
      <c r="D792">
        <v>1</v>
      </c>
      <c r="E792">
        <v>11380</v>
      </c>
      <c r="F792">
        <v>36795</v>
      </c>
      <c r="G792">
        <v>0</v>
      </c>
      <c r="H792">
        <v>0</v>
      </c>
      <c r="I792">
        <v>0</v>
      </c>
      <c r="J792">
        <v>0</v>
      </c>
      <c r="K792">
        <v>53905.29</v>
      </c>
      <c r="L792">
        <v>6338860</v>
      </c>
      <c r="M792">
        <v>6228957</v>
      </c>
      <c r="N792">
        <v>6338860</v>
      </c>
      <c r="O792">
        <v>6228957</v>
      </c>
      <c r="P792">
        <v>5567925.5700000003</v>
      </c>
      <c r="Q792">
        <v>5514020.2800000003</v>
      </c>
      <c r="R792" s="14">
        <f>_xlfn.XLOOKUP(Table2[[#This Row],[LoanID]],Table1[G-L ID],Table1[ManagerCode],-99)</f>
        <v>103</v>
      </c>
      <c r="T792"/>
    </row>
    <row r="793" spans="1:20" x14ac:dyDescent="0.25">
      <c r="A793">
        <v>20110630</v>
      </c>
      <c r="B793">
        <v>2011</v>
      </c>
      <c r="C793">
        <v>6</v>
      </c>
      <c r="D793">
        <v>1</v>
      </c>
      <c r="E793">
        <v>11510</v>
      </c>
      <c r="F793">
        <v>1395822</v>
      </c>
      <c r="G793">
        <v>0</v>
      </c>
      <c r="H793">
        <v>0</v>
      </c>
      <c r="I793">
        <v>-701813</v>
      </c>
      <c r="J793">
        <v>0</v>
      </c>
      <c r="K793">
        <v>14602872.720000001</v>
      </c>
      <c r="L793">
        <v>14456844</v>
      </c>
      <c r="M793">
        <v>0</v>
      </c>
      <c r="N793">
        <v>14456844</v>
      </c>
      <c r="O793">
        <v>0</v>
      </c>
      <c r="P793">
        <v>14602872.720000001</v>
      </c>
      <c r="Q793">
        <v>0</v>
      </c>
      <c r="R793" s="14">
        <f>_xlfn.XLOOKUP(Table2[[#This Row],[LoanID]],Table1[G-L ID],Table1[ManagerCode],-99)</f>
        <v>103</v>
      </c>
      <c r="T793"/>
    </row>
    <row r="794" spans="1:20" x14ac:dyDescent="0.25">
      <c r="A794">
        <v>20110630</v>
      </c>
      <c r="B794">
        <v>2011</v>
      </c>
      <c r="C794">
        <v>6</v>
      </c>
      <c r="D794">
        <v>1</v>
      </c>
      <c r="E794">
        <v>11650</v>
      </c>
      <c r="F794">
        <v>37500</v>
      </c>
      <c r="G794">
        <v>0</v>
      </c>
      <c r="H794">
        <v>0</v>
      </c>
      <c r="I794">
        <v>0</v>
      </c>
      <c r="J794">
        <v>0</v>
      </c>
      <c r="K794">
        <v>0</v>
      </c>
      <c r="L794">
        <v>4800000</v>
      </c>
      <c r="M794">
        <v>4800000</v>
      </c>
      <c r="N794">
        <v>4800000</v>
      </c>
      <c r="O794">
        <v>4800000</v>
      </c>
      <c r="P794">
        <v>6000000</v>
      </c>
      <c r="Q794">
        <v>6000000</v>
      </c>
      <c r="R794" s="14">
        <f>_xlfn.XLOOKUP(Table2[[#This Row],[LoanID]],Table1[G-L ID],Table1[ManagerCode],-99)</f>
        <v>103</v>
      </c>
      <c r="T794"/>
    </row>
    <row r="795" spans="1:20" x14ac:dyDescent="0.25">
      <c r="A795">
        <v>20110630</v>
      </c>
      <c r="B795">
        <v>2011</v>
      </c>
      <c r="C795">
        <v>6</v>
      </c>
      <c r="D795">
        <v>1</v>
      </c>
      <c r="E795">
        <v>11780</v>
      </c>
      <c r="F795">
        <v>185286</v>
      </c>
      <c r="G795">
        <v>0</v>
      </c>
      <c r="H795">
        <v>0</v>
      </c>
      <c r="I795">
        <v>-1140</v>
      </c>
      <c r="J795">
        <v>0</v>
      </c>
      <c r="K795">
        <v>0</v>
      </c>
      <c r="L795">
        <v>52965053</v>
      </c>
      <c r="M795">
        <v>52965053</v>
      </c>
      <c r="N795">
        <v>52965053</v>
      </c>
      <c r="O795">
        <v>52965053</v>
      </c>
      <c r="P795">
        <v>66206316.75</v>
      </c>
      <c r="Q795">
        <v>66206316.75</v>
      </c>
      <c r="R795" s="14">
        <f>_xlfn.XLOOKUP(Table2[[#This Row],[LoanID]],Table1[G-L ID],Table1[ManagerCode],-99)</f>
        <v>103</v>
      </c>
      <c r="T795"/>
    </row>
    <row r="796" spans="1:20" x14ac:dyDescent="0.25">
      <c r="A796">
        <v>20110630</v>
      </c>
      <c r="B796">
        <v>2011</v>
      </c>
      <c r="C796">
        <v>6</v>
      </c>
      <c r="D796">
        <v>1</v>
      </c>
      <c r="E796">
        <v>11800</v>
      </c>
      <c r="F796">
        <v>166710</v>
      </c>
      <c r="G796">
        <v>0</v>
      </c>
      <c r="H796">
        <v>0</v>
      </c>
      <c r="I796">
        <v>-281</v>
      </c>
      <c r="J796">
        <v>0</v>
      </c>
      <c r="K796">
        <v>53888.47</v>
      </c>
      <c r="L796">
        <v>29318301</v>
      </c>
      <c r="M796">
        <v>29269801</v>
      </c>
      <c r="N796">
        <v>29318301</v>
      </c>
      <c r="O796">
        <v>29269801</v>
      </c>
      <c r="P796">
        <v>32575857.489999998</v>
      </c>
      <c r="Q796">
        <v>32521969.02</v>
      </c>
      <c r="R796" s="14">
        <f>_xlfn.XLOOKUP(Table2[[#This Row],[LoanID]],Table1[G-L ID],Table1[ManagerCode],-99)</f>
        <v>103</v>
      </c>
      <c r="T796"/>
    </row>
    <row r="797" spans="1:20" x14ac:dyDescent="0.25">
      <c r="A797">
        <v>20110630</v>
      </c>
      <c r="B797">
        <v>2011</v>
      </c>
      <c r="C797">
        <v>6</v>
      </c>
      <c r="D797">
        <v>1</v>
      </c>
      <c r="E797">
        <v>11810</v>
      </c>
      <c r="F797">
        <v>51167</v>
      </c>
      <c r="G797">
        <v>0</v>
      </c>
      <c r="H797">
        <v>0</v>
      </c>
      <c r="I797">
        <v>0</v>
      </c>
      <c r="J797">
        <v>0</v>
      </c>
      <c r="K797">
        <v>0</v>
      </c>
      <c r="L797">
        <v>9500000</v>
      </c>
      <c r="M797">
        <v>9500000</v>
      </c>
      <c r="N797">
        <v>9500000</v>
      </c>
      <c r="O797">
        <v>9500000</v>
      </c>
      <c r="P797">
        <v>10000000</v>
      </c>
      <c r="Q797">
        <v>10000000</v>
      </c>
      <c r="R797" s="14">
        <f>_xlfn.XLOOKUP(Table2[[#This Row],[LoanID]],Table1[G-L ID],Table1[ManagerCode],-99)</f>
        <v>103</v>
      </c>
      <c r="T797"/>
    </row>
    <row r="798" spans="1:20" x14ac:dyDescent="0.25">
      <c r="A798">
        <v>20110630</v>
      </c>
      <c r="B798">
        <v>2011</v>
      </c>
      <c r="C798">
        <v>6</v>
      </c>
      <c r="D798">
        <v>1</v>
      </c>
      <c r="E798">
        <v>11930</v>
      </c>
      <c r="F798">
        <v>128629</v>
      </c>
      <c r="G798">
        <v>0</v>
      </c>
      <c r="H798">
        <v>0</v>
      </c>
      <c r="I798">
        <v>0</v>
      </c>
      <c r="J798">
        <v>0</v>
      </c>
      <c r="K798">
        <v>1010373.04</v>
      </c>
      <c r="L798">
        <v>135335921</v>
      </c>
      <c r="M798">
        <v>134466042</v>
      </c>
      <c r="N798">
        <v>135335921</v>
      </c>
      <c r="O798">
        <v>134466042</v>
      </c>
      <c r="P798">
        <v>136043309.09999999</v>
      </c>
      <c r="Q798">
        <v>135032936</v>
      </c>
      <c r="R798" s="14">
        <f>_xlfn.XLOOKUP(Table2[[#This Row],[LoanID]],Table1[G-L ID],Table1[ManagerCode],-99)</f>
        <v>103</v>
      </c>
      <c r="T798"/>
    </row>
    <row r="799" spans="1:20" x14ac:dyDescent="0.25">
      <c r="A799">
        <v>20110630</v>
      </c>
      <c r="B799">
        <v>2011</v>
      </c>
      <c r="C799">
        <v>6</v>
      </c>
      <c r="D799">
        <v>1</v>
      </c>
      <c r="E799">
        <v>11940</v>
      </c>
      <c r="F799">
        <v>24193</v>
      </c>
      <c r="G799">
        <v>0</v>
      </c>
      <c r="H799">
        <v>0</v>
      </c>
      <c r="I799">
        <v>0</v>
      </c>
      <c r="J799">
        <v>0</v>
      </c>
      <c r="K799">
        <v>330758.11</v>
      </c>
      <c r="L799">
        <v>25454939</v>
      </c>
      <c r="M799">
        <v>25151196</v>
      </c>
      <c r="N799">
        <v>25454939</v>
      </c>
      <c r="O799">
        <v>25151196</v>
      </c>
      <c r="P799">
        <v>25579325.699999999</v>
      </c>
      <c r="Q799">
        <v>25250733.449999999</v>
      </c>
      <c r="R799" s="14">
        <f>_xlfn.XLOOKUP(Table2[[#This Row],[LoanID]],Table1[G-L ID],Table1[ManagerCode],-99)</f>
        <v>103</v>
      </c>
      <c r="T799"/>
    </row>
    <row r="800" spans="1:20" x14ac:dyDescent="0.25">
      <c r="A800">
        <v>20110630</v>
      </c>
      <c r="B800">
        <v>2011</v>
      </c>
      <c r="C800">
        <v>6</v>
      </c>
      <c r="D800">
        <v>1</v>
      </c>
      <c r="E800">
        <v>12000</v>
      </c>
      <c r="F800">
        <v>129709</v>
      </c>
      <c r="G800">
        <v>0</v>
      </c>
      <c r="H800">
        <v>0</v>
      </c>
      <c r="I800">
        <v>0</v>
      </c>
      <c r="J800">
        <v>0</v>
      </c>
      <c r="K800">
        <v>0</v>
      </c>
      <c r="L800">
        <v>22826266</v>
      </c>
      <c r="M800">
        <v>22949819</v>
      </c>
      <c r="N800">
        <v>22826266</v>
      </c>
      <c r="O800">
        <v>22949819</v>
      </c>
      <c r="P800">
        <v>25093940.879999999</v>
      </c>
      <c r="Q800">
        <v>25094635.329999998</v>
      </c>
      <c r="R800" s="14">
        <f>_xlfn.XLOOKUP(Table2[[#This Row],[LoanID]],Table1[G-L ID],Table1[ManagerCode],-99)</f>
        <v>103</v>
      </c>
      <c r="T800"/>
    </row>
    <row r="801" spans="1:20" x14ac:dyDescent="0.25">
      <c r="A801">
        <v>20110630</v>
      </c>
      <c r="B801">
        <v>2011</v>
      </c>
      <c r="C801">
        <v>6</v>
      </c>
      <c r="D801">
        <v>1</v>
      </c>
      <c r="E801">
        <v>12110</v>
      </c>
      <c r="F801">
        <v>92693.89</v>
      </c>
      <c r="G801">
        <v>0</v>
      </c>
      <c r="H801">
        <v>0</v>
      </c>
      <c r="I801">
        <v>0</v>
      </c>
      <c r="J801">
        <v>-2610592.19</v>
      </c>
      <c r="K801">
        <v>0</v>
      </c>
      <c r="L801">
        <v>10845614.199999999</v>
      </c>
      <c r="M801">
        <v>13456206.390000001</v>
      </c>
      <c r="N801">
        <v>10845614.199999999</v>
      </c>
      <c r="O801">
        <v>13456206.390000001</v>
      </c>
      <c r="P801">
        <v>10845614.199999999</v>
      </c>
      <c r="Q801">
        <v>13456206.390000001</v>
      </c>
      <c r="R801" s="14">
        <f>_xlfn.XLOOKUP(Table2[[#This Row],[LoanID]],Table1[G-L ID],Table1[ManagerCode],-99)</f>
        <v>183</v>
      </c>
      <c r="T801"/>
    </row>
    <row r="802" spans="1:20" x14ac:dyDescent="0.25">
      <c r="A802">
        <v>20110630</v>
      </c>
      <c r="B802">
        <v>2011</v>
      </c>
      <c r="C802">
        <v>6</v>
      </c>
      <c r="D802">
        <v>1</v>
      </c>
      <c r="E802">
        <v>12200</v>
      </c>
      <c r="F802">
        <v>90718</v>
      </c>
      <c r="G802">
        <v>0</v>
      </c>
      <c r="H802">
        <v>0</v>
      </c>
      <c r="I802">
        <v>0</v>
      </c>
      <c r="J802">
        <v>0</v>
      </c>
      <c r="K802">
        <v>31491.4</v>
      </c>
      <c r="L802">
        <v>21502712</v>
      </c>
      <c r="M802">
        <v>21287480</v>
      </c>
      <c r="N802">
        <v>21502712</v>
      </c>
      <c r="O802">
        <v>21287480</v>
      </c>
      <c r="P802">
        <v>19742809.399999999</v>
      </c>
      <c r="Q802">
        <v>19711666.18</v>
      </c>
      <c r="R802" s="14">
        <f>_xlfn.XLOOKUP(Table2[[#This Row],[LoanID]],Table1[G-L ID],Table1[ManagerCode],-99)</f>
        <v>103</v>
      </c>
      <c r="T802"/>
    </row>
    <row r="803" spans="1:20" x14ac:dyDescent="0.25">
      <c r="A803">
        <v>20110630</v>
      </c>
      <c r="B803">
        <v>2011</v>
      </c>
      <c r="C803">
        <v>6</v>
      </c>
      <c r="D803">
        <v>1</v>
      </c>
      <c r="E803">
        <v>12210</v>
      </c>
      <c r="F803">
        <v>728455</v>
      </c>
      <c r="G803">
        <v>0</v>
      </c>
      <c r="H803">
        <v>0</v>
      </c>
      <c r="I803">
        <v>0</v>
      </c>
      <c r="J803">
        <v>0</v>
      </c>
      <c r="K803">
        <v>175817.24</v>
      </c>
      <c r="L803">
        <v>140498641</v>
      </c>
      <c r="M803">
        <v>138694492</v>
      </c>
      <c r="N803">
        <v>140498641</v>
      </c>
      <c r="O803">
        <v>138694492</v>
      </c>
      <c r="P803">
        <v>117865174.8</v>
      </c>
      <c r="Q803">
        <v>117689357.59999999</v>
      </c>
      <c r="R803" s="14">
        <f>_xlfn.XLOOKUP(Table2[[#This Row],[LoanID]],Table1[G-L ID],Table1[ManagerCode],-99)</f>
        <v>103</v>
      </c>
      <c r="T803"/>
    </row>
    <row r="804" spans="1:20" x14ac:dyDescent="0.25">
      <c r="A804">
        <v>20110731</v>
      </c>
      <c r="B804">
        <v>2011</v>
      </c>
      <c r="C804">
        <v>7</v>
      </c>
      <c r="D804">
        <v>1</v>
      </c>
      <c r="E804">
        <v>10050</v>
      </c>
      <c r="F804">
        <v>149014</v>
      </c>
      <c r="G804">
        <v>0</v>
      </c>
      <c r="H804">
        <v>0</v>
      </c>
      <c r="I804">
        <v>-69</v>
      </c>
      <c r="J804">
        <v>0</v>
      </c>
      <c r="K804">
        <v>0</v>
      </c>
      <c r="L804">
        <v>32498599</v>
      </c>
      <c r="M804">
        <v>33603237</v>
      </c>
      <c r="N804">
        <v>32498599</v>
      </c>
      <c r="O804">
        <v>33603237</v>
      </c>
      <c r="P804">
        <v>33333334</v>
      </c>
      <c r="Q804">
        <v>33333334</v>
      </c>
      <c r="R804" s="14">
        <f>_xlfn.XLOOKUP(Table2[[#This Row],[LoanID]],Table1[G-L ID],Table1[ManagerCode],-99)</f>
        <v>103</v>
      </c>
      <c r="T804"/>
    </row>
    <row r="805" spans="1:20" x14ac:dyDescent="0.25">
      <c r="A805">
        <v>20110731</v>
      </c>
      <c r="B805">
        <v>2011</v>
      </c>
      <c r="C805">
        <v>7</v>
      </c>
      <c r="D805">
        <v>1</v>
      </c>
      <c r="E805">
        <v>10080</v>
      </c>
      <c r="F805">
        <v>339719</v>
      </c>
      <c r="G805">
        <v>0</v>
      </c>
      <c r="H805">
        <v>0</v>
      </c>
      <c r="I805">
        <v>-156</v>
      </c>
      <c r="J805">
        <v>0</v>
      </c>
      <c r="K805">
        <v>0</v>
      </c>
      <c r="L805">
        <v>72060704</v>
      </c>
      <c r="M805">
        <v>73114154</v>
      </c>
      <c r="N805">
        <v>72060704</v>
      </c>
      <c r="O805">
        <v>73114154</v>
      </c>
      <c r="P805">
        <v>75000000</v>
      </c>
      <c r="Q805">
        <v>75000000</v>
      </c>
      <c r="R805" s="14">
        <f>_xlfn.XLOOKUP(Table2[[#This Row],[LoanID]],Table1[G-L ID],Table1[ManagerCode],-99)</f>
        <v>103</v>
      </c>
      <c r="T805"/>
    </row>
    <row r="806" spans="1:20" x14ac:dyDescent="0.25">
      <c r="A806">
        <v>20110731</v>
      </c>
      <c r="B806">
        <v>2011</v>
      </c>
      <c r="C806">
        <v>7</v>
      </c>
      <c r="D806">
        <v>1</v>
      </c>
      <c r="E806">
        <v>10130</v>
      </c>
      <c r="F806">
        <v>36553</v>
      </c>
      <c r="G806">
        <v>0</v>
      </c>
      <c r="H806">
        <v>0</v>
      </c>
      <c r="I806">
        <v>0</v>
      </c>
      <c r="J806">
        <v>0</v>
      </c>
      <c r="K806">
        <v>31137.23</v>
      </c>
      <c r="L806">
        <v>8547764</v>
      </c>
      <c r="M806">
        <v>8461671</v>
      </c>
      <c r="N806">
        <v>8547764</v>
      </c>
      <c r="O806">
        <v>8461671</v>
      </c>
      <c r="P806">
        <v>8078112.7699999996</v>
      </c>
      <c r="Q806">
        <v>8046975.54</v>
      </c>
      <c r="R806" s="14">
        <f>_xlfn.XLOOKUP(Table2[[#This Row],[LoanID]],Table1[G-L ID],Table1[ManagerCode],-99)</f>
        <v>103</v>
      </c>
      <c r="T806"/>
    </row>
    <row r="807" spans="1:20" x14ac:dyDescent="0.25">
      <c r="A807">
        <v>20110731</v>
      </c>
      <c r="B807">
        <v>2011</v>
      </c>
      <c r="C807">
        <v>7</v>
      </c>
      <c r="D807">
        <v>1</v>
      </c>
      <c r="E807">
        <v>10140</v>
      </c>
      <c r="F807">
        <v>96395</v>
      </c>
      <c r="G807">
        <v>0</v>
      </c>
      <c r="H807">
        <v>0</v>
      </c>
      <c r="I807">
        <v>0</v>
      </c>
      <c r="J807">
        <v>0</v>
      </c>
      <c r="K807">
        <v>81429.45</v>
      </c>
      <c r="L807">
        <v>22541831</v>
      </c>
      <c r="M807">
        <v>22315433</v>
      </c>
      <c r="N807">
        <v>22541831</v>
      </c>
      <c r="O807">
        <v>22315433</v>
      </c>
      <c r="P807">
        <v>21302736.309999999</v>
      </c>
      <c r="Q807">
        <v>21221306.859999999</v>
      </c>
      <c r="R807" s="14">
        <f>_xlfn.XLOOKUP(Table2[[#This Row],[LoanID]],Table1[G-L ID],Table1[ManagerCode],-99)</f>
        <v>103</v>
      </c>
      <c r="T807"/>
    </row>
    <row r="808" spans="1:20" x14ac:dyDescent="0.25">
      <c r="A808">
        <v>20110731</v>
      </c>
      <c r="B808">
        <v>2011</v>
      </c>
      <c r="C808">
        <v>7</v>
      </c>
      <c r="D808">
        <v>1</v>
      </c>
      <c r="E808">
        <v>10150</v>
      </c>
      <c r="F808">
        <v>243651</v>
      </c>
      <c r="G808">
        <v>0</v>
      </c>
      <c r="H808">
        <v>0</v>
      </c>
      <c r="I808">
        <v>0</v>
      </c>
      <c r="J808">
        <v>0</v>
      </c>
      <c r="K808">
        <v>69669.460000000006</v>
      </c>
      <c r="L808">
        <v>52343115</v>
      </c>
      <c r="M808">
        <v>52274142</v>
      </c>
      <c r="N808">
        <v>52343115</v>
      </c>
      <c r="O808">
        <v>52274142</v>
      </c>
      <c r="P808">
        <v>52871727.280000001</v>
      </c>
      <c r="Q808">
        <v>52802057.82</v>
      </c>
      <c r="R808" s="14">
        <f>_xlfn.XLOOKUP(Table2[[#This Row],[LoanID]],Table1[G-L ID],Table1[ManagerCode],-99)</f>
        <v>103</v>
      </c>
      <c r="T808"/>
    </row>
    <row r="809" spans="1:20" x14ac:dyDescent="0.25">
      <c r="A809">
        <v>20110731</v>
      </c>
      <c r="B809">
        <v>2011</v>
      </c>
      <c r="C809">
        <v>7</v>
      </c>
      <c r="D809">
        <v>1</v>
      </c>
      <c r="E809">
        <v>10170</v>
      </c>
      <c r="F809">
        <v>242716</v>
      </c>
      <c r="G809">
        <v>0</v>
      </c>
      <c r="H809">
        <v>0</v>
      </c>
      <c r="I809">
        <v>-1163</v>
      </c>
      <c r="J809">
        <v>0</v>
      </c>
      <c r="K809">
        <v>72080.399999999994</v>
      </c>
      <c r="L809">
        <v>50531076</v>
      </c>
      <c r="M809">
        <v>50906805</v>
      </c>
      <c r="N809">
        <v>50531076</v>
      </c>
      <c r="O809">
        <v>50906805</v>
      </c>
      <c r="P809">
        <v>46527119.990000002</v>
      </c>
      <c r="Q809">
        <v>46455039.590000004</v>
      </c>
      <c r="R809" s="14">
        <f>_xlfn.XLOOKUP(Table2[[#This Row],[LoanID]],Table1[G-L ID],Table1[ManagerCode],-99)</f>
        <v>103</v>
      </c>
      <c r="T809"/>
    </row>
    <row r="810" spans="1:20" x14ac:dyDescent="0.25">
      <c r="A810">
        <v>20110731</v>
      </c>
      <c r="B810">
        <v>2011</v>
      </c>
      <c r="C810">
        <v>7</v>
      </c>
      <c r="D810">
        <v>1</v>
      </c>
      <c r="E810">
        <v>10230</v>
      </c>
      <c r="F810">
        <v>184325</v>
      </c>
      <c r="G810">
        <v>0</v>
      </c>
      <c r="H810">
        <v>0</v>
      </c>
      <c r="I810">
        <v>0</v>
      </c>
      <c r="J810">
        <v>0</v>
      </c>
      <c r="K810">
        <v>57273.09</v>
      </c>
      <c r="L810">
        <v>27894879</v>
      </c>
      <c r="M810">
        <v>27846196</v>
      </c>
      <c r="N810">
        <v>27894879</v>
      </c>
      <c r="O810">
        <v>27846196</v>
      </c>
      <c r="P810">
        <v>32817504.129999999</v>
      </c>
      <c r="Q810">
        <v>32760231.039999999</v>
      </c>
      <c r="R810" s="14">
        <f>_xlfn.XLOOKUP(Table2[[#This Row],[LoanID]],Table1[G-L ID],Table1[ManagerCode],-99)</f>
        <v>103</v>
      </c>
      <c r="T810"/>
    </row>
    <row r="811" spans="1:20" x14ac:dyDescent="0.25">
      <c r="A811">
        <v>20110731</v>
      </c>
      <c r="B811">
        <v>2011</v>
      </c>
      <c r="C811">
        <v>7</v>
      </c>
      <c r="D811">
        <v>1</v>
      </c>
      <c r="E811">
        <v>10280</v>
      </c>
      <c r="F811">
        <v>175560</v>
      </c>
      <c r="G811">
        <v>0</v>
      </c>
      <c r="H811">
        <v>0</v>
      </c>
      <c r="I811">
        <v>0</v>
      </c>
      <c r="J811">
        <v>0</v>
      </c>
      <c r="K811">
        <v>0</v>
      </c>
      <c r="L811">
        <v>31500032</v>
      </c>
      <c r="M811">
        <v>31500032</v>
      </c>
      <c r="N811">
        <v>31500032</v>
      </c>
      <c r="O811">
        <v>31500032</v>
      </c>
      <c r="P811">
        <v>35000000</v>
      </c>
      <c r="Q811">
        <v>35000000</v>
      </c>
      <c r="R811" s="14">
        <f>_xlfn.XLOOKUP(Table2[[#This Row],[LoanID]],Table1[G-L ID],Table1[ManagerCode],-99)</f>
        <v>103</v>
      </c>
      <c r="T811"/>
    </row>
    <row r="812" spans="1:20" x14ac:dyDescent="0.25">
      <c r="A812">
        <v>20110731</v>
      </c>
      <c r="B812">
        <v>2011</v>
      </c>
      <c r="C812">
        <v>7</v>
      </c>
      <c r="D812">
        <v>1</v>
      </c>
      <c r="E812">
        <v>10290</v>
      </c>
      <c r="F812">
        <v>165775</v>
      </c>
      <c r="G812">
        <v>0</v>
      </c>
      <c r="H812">
        <v>0</v>
      </c>
      <c r="I812">
        <v>0</v>
      </c>
      <c r="J812">
        <v>0</v>
      </c>
      <c r="K812">
        <v>0</v>
      </c>
      <c r="L812">
        <v>21250000</v>
      </c>
      <c r="M812">
        <v>21250000</v>
      </c>
      <c r="N812">
        <v>21250000</v>
      </c>
      <c r="O812">
        <v>21250000</v>
      </c>
      <c r="P812">
        <v>25000000</v>
      </c>
      <c r="Q812">
        <v>25000000</v>
      </c>
      <c r="R812" s="14">
        <f>_xlfn.XLOOKUP(Table2[[#This Row],[LoanID]],Table1[G-L ID],Table1[ManagerCode],-99)</f>
        <v>103</v>
      </c>
      <c r="T812"/>
    </row>
    <row r="813" spans="1:20" x14ac:dyDescent="0.25">
      <c r="A813">
        <v>20110731</v>
      </c>
      <c r="B813">
        <v>2011</v>
      </c>
      <c r="C813">
        <v>7</v>
      </c>
      <c r="D813">
        <v>1</v>
      </c>
      <c r="E813">
        <v>10300</v>
      </c>
      <c r="F813">
        <v>145053</v>
      </c>
      <c r="G813">
        <v>0</v>
      </c>
      <c r="H813">
        <v>0</v>
      </c>
      <c r="I813">
        <v>0</v>
      </c>
      <c r="J813">
        <v>0</v>
      </c>
      <c r="K813">
        <v>0</v>
      </c>
      <c r="L813">
        <v>31490116</v>
      </c>
      <c r="M813">
        <v>31099877</v>
      </c>
      <c r="N813">
        <v>31490116</v>
      </c>
      <c r="O813">
        <v>31099877</v>
      </c>
      <c r="P813">
        <v>35000000</v>
      </c>
      <c r="Q813">
        <v>35000000</v>
      </c>
      <c r="R813" s="14">
        <f>_xlfn.XLOOKUP(Table2[[#This Row],[LoanID]],Table1[G-L ID],Table1[ManagerCode],-99)</f>
        <v>103</v>
      </c>
      <c r="T813"/>
    </row>
    <row r="814" spans="1:20" x14ac:dyDescent="0.25">
      <c r="A814">
        <v>20110731</v>
      </c>
      <c r="B814">
        <v>2011</v>
      </c>
      <c r="C814">
        <v>7</v>
      </c>
      <c r="D814">
        <v>1</v>
      </c>
      <c r="E814">
        <v>10310</v>
      </c>
      <c r="F814">
        <v>48515.65</v>
      </c>
      <c r="G814">
        <v>40684.99</v>
      </c>
      <c r="H814">
        <v>0</v>
      </c>
      <c r="I814">
        <v>0</v>
      </c>
      <c r="J814">
        <v>-621767.53</v>
      </c>
      <c r="K814">
        <v>0</v>
      </c>
      <c r="L814">
        <v>13859050.119999999</v>
      </c>
      <c r="M814">
        <v>14521502.640000001</v>
      </c>
      <c r="N814">
        <v>13859050.119999999</v>
      </c>
      <c r="O814">
        <v>14521502.640000001</v>
      </c>
      <c r="P814">
        <v>13859050.119999999</v>
      </c>
      <c r="Q814">
        <v>14521502.640000001</v>
      </c>
      <c r="R814" s="14">
        <f>_xlfn.XLOOKUP(Table2[[#This Row],[LoanID]],Table1[G-L ID],Table1[ManagerCode],-99)</f>
        <v>183</v>
      </c>
      <c r="T814"/>
    </row>
    <row r="815" spans="1:20" x14ac:dyDescent="0.25">
      <c r="A815">
        <v>20110731</v>
      </c>
      <c r="B815">
        <v>2011</v>
      </c>
      <c r="C815">
        <v>7</v>
      </c>
      <c r="D815">
        <v>1</v>
      </c>
      <c r="E815">
        <v>10370</v>
      </c>
      <c r="F815">
        <v>5234</v>
      </c>
      <c r="G815">
        <v>0</v>
      </c>
      <c r="H815">
        <v>0</v>
      </c>
      <c r="I815">
        <v>0</v>
      </c>
      <c r="J815">
        <v>0</v>
      </c>
      <c r="K815">
        <v>34571.29</v>
      </c>
      <c r="L815">
        <v>2819898</v>
      </c>
      <c r="M815">
        <v>2788784</v>
      </c>
      <c r="N815">
        <v>2819898</v>
      </c>
      <c r="O815">
        <v>2788784</v>
      </c>
      <c r="P815">
        <v>3133220.18</v>
      </c>
      <c r="Q815">
        <v>3098648.89</v>
      </c>
      <c r="R815" s="14">
        <f>_xlfn.XLOOKUP(Table2[[#This Row],[LoanID]],Table1[G-L ID],Table1[ManagerCode],-99)</f>
        <v>103</v>
      </c>
      <c r="T815"/>
    </row>
    <row r="816" spans="1:20" x14ac:dyDescent="0.25">
      <c r="A816">
        <v>20110731</v>
      </c>
      <c r="B816">
        <v>2011</v>
      </c>
      <c r="C816">
        <v>7</v>
      </c>
      <c r="D816">
        <v>1</v>
      </c>
      <c r="E816">
        <v>10390</v>
      </c>
      <c r="F816">
        <v>118750</v>
      </c>
      <c r="G816">
        <v>0</v>
      </c>
      <c r="H816">
        <v>0</v>
      </c>
      <c r="I816">
        <v>0</v>
      </c>
      <c r="J816">
        <v>0</v>
      </c>
      <c r="K816">
        <v>0</v>
      </c>
      <c r="L816">
        <v>22500000</v>
      </c>
      <c r="M816">
        <v>22500000</v>
      </c>
      <c r="N816">
        <v>22500000</v>
      </c>
      <c r="O816">
        <v>22500000</v>
      </c>
      <c r="P816">
        <v>24993061.120000001</v>
      </c>
      <c r="Q816">
        <v>24993265.199999999</v>
      </c>
      <c r="R816" s="14">
        <f>_xlfn.XLOOKUP(Table2[[#This Row],[LoanID]],Table1[G-L ID],Table1[ManagerCode],-99)</f>
        <v>103</v>
      </c>
      <c r="T816"/>
    </row>
    <row r="817" spans="1:20" x14ac:dyDescent="0.25">
      <c r="A817">
        <v>20110731</v>
      </c>
      <c r="B817">
        <v>2011</v>
      </c>
      <c r="C817">
        <v>7</v>
      </c>
      <c r="D817">
        <v>1</v>
      </c>
      <c r="E817">
        <v>10450</v>
      </c>
      <c r="F817">
        <v>119914</v>
      </c>
      <c r="G817">
        <v>0</v>
      </c>
      <c r="H817">
        <v>0</v>
      </c>
      <c r="I817">
        <v>0</v>
      </c>
      <c r="J817">
        <v>0</v>
      </c>
      <c r="K817">
        <v>21900.89</v>
      </c>
      <c r="L817">
        <v>21294210</v>
      </c>
      <c r="M817">
        <v>21272528</v>
      </c>
      <c r="N817">
        <v>21294210</v>
      </c>
      <c r="O817">
        <v>21272528</v>
      </c>
      <c r="P817">
        <v>21509302.699999999</v>
      </c>
      <c r="Q817">
        <v>21487401.809999999</v>
      </c>
      <c r="R817" s="14">
        <f>_xlfn.XLOOKUP(Table2[[#This Row],[LoanID]],Table1[G-L ID],Table1[ManagerCode],-99)</f>
        <v>103</v>
      </c>
      <c r="T817"/>
    </row>
    <row r="818" spans="1:20" x14ac:dyDescent="0.25">
      <c r="A818">
        <v>20110731</v>
      </c>
      <c r="B818">
        <v>2011</v>
      </c>
      <c r="C818">
        <v>7</v>
      </c>
      <c r="D818">
        <v>1</v>
      </c>
      <c r="E818">
        <v>10520</v>
      </c>
      <c r="F818">
        <v>4600</v>
      </c>
      <c r="G818">
        <v>0</v>
      </c>
      <c r="H818">
        <v>0</v>
      </c>
      <c r="I818">
        <v>-12</v>
      </c>
      <c r="J818">
        <v>0</v>
      </c>
      <c r="K818">
        <v>81175.149999999994</v>
      </c>
      <c r="L818">
        <v>4084605</v>
      </c>
      <c r="M818">
        <v>4004241</v>
      </c>
      <c r="N818">
        <v>4084605</v>
      </c>
      <c r="O818">
        <v>4004241</v>
      </c>
      <c r="P818">
        <v>4125863.16</v>
      </c>
      <c r="Q818">
        <v>4044688.01</v>
      </c>
      <c r="R818" s="14">
        <f>_xlfn.XLOOKUP(Table2[[#This Row],[LoanID]],Table1[G-L ID],Table1[ManagerCode],-99)</f>
        <v>103</v>
      </c>
      <c r="T818"/>
    </row>
    <row r="819" spans="1:20" x14ac:dyDescent="0.25">
      <c r="A819">
        <v>20110731</v>
      </c>
      <c r="B819">
        <v>2011</v>
      </c>
      <c r="C819">
        <v>7</v>
      </c>
      <c r="D819">
        <v>1</v>
      </c>
      <c r="E819">
        <v>10530</v>
      </c>
      <c r="F819">
        <v>99674</v>
      </c>
      <c r="G819">
        <v>0</v>
      </c>
      <c r="H819">
        <v>0</v>
      </c>
      <c r="I819">
        <v>-261</v>
      </c>
      <c r="J819">
        <v>0</v>
      </c>
      <c r="K819">
        <v>1758794.93</v>
      </c>
      <c r="L819">
        <v>88499676</v>
      </c>
      <c r="M819">
        <v>86758471</v>
      </c>
      <c r="N819">
        <v>88499676</v>
      </c>
      <c r="O819">
        <v>86758471</v>
      </c>
      <c r="P819">
        <v>89393701.629999995</v>
      </c>
      <c r="Q819">
        <v>87634906.700000003</v>
      </c>
      <c r="R819" s="14">
        <f>_xlfn.XLOOKUP(Table2[[#This Row],[LoanID]],Table1[G-L ID],Table1[ManagerCode],-99)</f>
        <v>103</v>
      </c>
      <c r="T819"/>
    </row>
    <row r="820" spans="1:20" x14ac:dyDescent="0.25">
      <c r="A820">
        <v>20110731</v>
      </c>
      <c r="B820">
        <v>2011</v>
      </c>
      <c r="C820">
        <v>7</v>
      </c>
      <c r="D820">
        <v>1</v>
      </c>
      <c r="E820">
        <v>10540</v>
      </c>
      <c r="F820">
        <v>13801</v>
      </c>
      <c r="G820">
        <v>0</v>
      </c>
      <c r="H820">
        <v>0</v>
      </c>
      <c r="I820">
        <v>-36</v>
      </c>
      <c r="J820">
        <v>0</v>
      </c>
      <c r="K820">
        <v>243525.45</v>
      </c>
      <c r="L820">
        <v>12253814</v>
      </c>
      <c r="M820">
        <v>12012723</v>
      </c>
      <c r="N820">
        <v>12253814</v>
      </c>
      <c r="O820">
        <v>12012723</v>
      </c>
      <c r="P820">
        <v>12377589.460000001</v>
      </c>
      <c r="Q820">
        <v>12134064.01</v>
      </c>
      <c r="R820" s="14">
        <f>_xlfn.XLOOKUP(Table2[[#This Row],[LoanID]],Table1[G-L ID],Table1[ManagerCode],-99)</f>
        <v>103</v>
      </c>
      <c r="T820"/>
    </row>
    <row r="821" spans="1:20" x14ac:dyDescent="0.25">
      <c r="A821">
        <v>20110731</v>
      </c>
      <c r="B821">
        <v>2011</v>
      </c>
      <c r="C821">
        <v>7</v>
      </c>
      <c r="D821">
        <v>1</v>
      </c>
      <c r="E821">
        <v>10630</v>
      </c>
      <c r="F821">
        <v>49400</v>
      </c>
      <c r="G821">
        <v>0</v>
      </c>
      <c r="H821">
        <v>0</v>
      </c>
      <c r="I821">
        <v>0</v>
      </c>
      <c r="J821">
        <v>0</v>
      </c>
      <c r="K821">
        <v>13215.71</v>
      </c>
      <c r="L821">
        <v>9155638</v>
      </c>
      <c r="M821">
        <v>9142554</v>
      </c>
      <c r="N821">
        <v>9155638</v>
      </c>
      <c r="O821">
        <v>9142554</v>
      </c>
      <c r="P821">
        <v>9248118.9499999993</v>
      </c>
      <c r="Q821">
        <v>9234903.2400000002</v>
      </c>
      <c r="R821" s="14">
        <f>_xlfn.XLOOKUP(Table2[[#This Row],[LoanID]],Table1[G-L ID],Table1[ManagerCode],-99)</f>
        <v>103</v>
      </c>
      <c r="T821"/>
    </row>
    <row r="822" spans="1:20" x14ac:dyDescent="0.25">
      <c r="A822">
        <v>20110731</v>
      </c>
      <c r="B822">
        <v>2011</v>
      </c>
      <c r="C822">
        <v>7</v>
      </c>
      <c r="D822">
        <v>1</v>
      </c>
      <c r="E822">
        <v>10770</v>
      </c>
      <c r="F822">
        <v>0</v>
      </c>
      <c r="G822">
        <v>0</v>
      </c>
      <c r="H822">
        <v>0</v>
      </c>
      <c r="I822">
        <v>0</v>
      </c>
      <c r="J822">
        <v>0</v>
      </c>
      <c r="K822">
        <v>0</v>
      </c>
      <c r="L822">
        <v>115000000</v>
      </c>
      <c r="M822">
        <v>115000000</v>
      </c>
      <c r="N822">
        <v>115000000</v>
      </c>
      <c r="O822">
        <v>115000000</v>
      </c>
      <c r="P822">
        <v>115000000</v>
      </c>
      <c r="Q822">
        <v>115000000</v>
      </c>
      <c r="R822" s="14">
        <f>_xlfn.XLOOKUP(Table2[[#This Row],[LoanID]],Table1[G-L ID],Table1[ManagerCode],-99)</f>
        <v>103</v>
      </c>
      <c r="T822"/>
    </row>
    <row r="823" spans="1:20" x14ac:dyDescent="0.25">
      <c r="A823">
        <v>20110731</v>
      </c>
      <c r="B823">
        <v>2011</v>
      </c>
      <c r="C823">
        <v>7</v>
      </c>
      <c r="D823">
        <v>1</v>
      </c>
      <c r="E823">
        <v>10880</v>
      </c>
      <c r="F823">
        <v>284292</v>
      </c>
      <c r="G823">
        <v>0</v>
      </c>
      <c r="H823">
        <v>0</v>
      </c>
      <c r="I823">
        <v>0</v>
      </c>
      <c r="J823">
        <v>0</v>
      </c>
      <c r="K823">
        <v>0</v>
      </c>
      <c r="L823">
        <v>187826744</v>
      </c>
      <c r="M823">
        <v>189503592</v>
      </c>
      <c r="N823">
        <v>187826744</v>
      </c>
      <c r="O823">
        <v>189503592</v>
      </c>
      <c r="P823">
        <v>201744599.09999999</v>
      </c>
      <c r="Q823">
        <v>201744599.09999999</v>
      </c>
      <c r="R823" s="14">
        <f>_xlfn.XLOOKUP(Table2[[#This Row],[LoanID]],Table1[G-L ID],Table1[ManagerCode],-99)</f>
        <v>103</v>
      </c>
      <c r="T823"/>
    </row>
    <row r="824" spans="1:20" x14ac:dyDescent="0.25">
      <c r="A824">
        <v>20110731</v>
      </c>
      <c r="B824">
        <v>2011</v>
      </c>
      <c r="C824">
        <v>7</v>
      </c>
      <c r="D824">
        <v>1</v>
      </c>
      <c r="E824">
        <v>10900</v>
      </c>
      <c r="F824">
        <v>79354</v>
      </c>
      <c r="G824">
        <v>0</v>
      </c>
      <c r="H824">
        <v>0</v>
      </c>
      <c r="I824">
        <v>0</v>
      </c>
      <c r="J824">
        <v>0</v>
      </c>
      <c r="K824">
        <v>4263.21</v>
      </c>
      <c r="L824">
        <v>7802212</v>
      </c>
      <c r="M824">
        <v>8219894</v>
      </c>
      <c r="N824">
        <v>7802212</v>
      </c>
      <c r="O824">
        <v>8219894</v>
      </c>
      <c r="P824">
        <v>8656783.3000000007</v>
      </c>
      <c r="Q824">
        <v>8652520.0899999999</v>
      </c>
      <c r="R824" s="14">
        <f>_xlfn.XLOOKUP(Table2[[#This Row],[LoanID]],Table1[G-L ID],Table1[ManagerCode],-99)</f>
        <v>103</v>
      </c>
      <c r="T824"/>
    </row>
    <row r="825" spans="1:20" x14ac:dyDescent="0.25">
      <c r="A825">
        <v>20110731</v>
      </c>
      <c r="B825">
        <v>2011</v>
      </c>
      <c r="C825">
        <v>7</v>
      </c>
      <c r="D825">
        <v>1</v>
      </c>
      <c r="E825">
        <v>10950</v>
      </c>
      <c r="F825">
        <v>54029</v>
      </c>
      <c r="G825">
        <v>0</v>
      </c>
      <c r="H825">
        <v>0</v>
      </c>
      <c r="I825">
        <v>0</v>
      </c>
      <c r="J825">
        <v>0</v>
      </c>
      <c r="K825">
        <v>22994.09</v>
      </c>
      <c r="L825">
        <v>10769525</v>
      </c>
      <c r="M825">
        <v>10746761</v>
      </c>
      <c r="N825">
        <v>10769525</v>
      </c>
      <c r="O825">
        <v>10746761</v>
      </c>
      <c r="P825">
        <v>10878308.039999999</v>
      </c>
      <c r="Q825">
        <v>10855313.949999999</v>
      </c>
      <c r="R825" s="14">
        <f>_xlfn.XLOOKUP(Table2[[#This Row],[LoanID]],Table1[G-L ID],Table1[ManagerCode],-99)</f>
        <v>103</v>
      </c>
      <c r="T825"/>
    </row>
    <row r="826" spans="1:20" x14ac:dyDescent="0.25">
      <c r="A826">
        <v>20110731</v>
      </c>
      <c r="B826">
        <v>2011</v>
      </c>
      <c r="C826">
        <v>7</v>
      </c>
      <c r="D826">
        <v>1</v>
      </c>
      <c r="E826">
        <v>11180</v>
      </c>
      <c r="F826">
        <v>198304</v>
      </c>
      <c r="G826">
        <v>0</v>
      </c>
      <c r="H826">
        <v>499927</v>
      </c>
      <c r="I826">
        <v>-1666</v>
      </c>
      <c r="J826">
        <v>0</v>
      </c>
      <c r="K826">
        <v>0</v>
      </c>
      <c r="L826">
        <v>179973748</v>
      </c>
      <c r="M826">
        <v>169975207</v>
      </c>
      <c r="N826">
        <v>179973748</v>
      </c>
      <c r="O826">
        <v>169975207</v>
      </c>
      <c r="P826">
        <v>199970831.5</v>
      </c>
      <c r="Q826">
        <v>199970831.5</v>
      </c>
      <c r="R826" s="14">
        <f>_xlfn.XLOOKUP(Table2[[#This Row],[LoanID]],Table1[G-L ID],Table1[ManagerCode],-99)</f>
        <v>103</v>
      </c>
      <c r="T826"/>
    </row>
    <row r="827" spans="1:20" x14ac:dyDescent="0.25">
      <c r="A827">
        <v>20110731</v>
      </c>
      <c r="B827">
        <v>2011</v>
      </c>
      <c r="C827">
        <v>7</v>
      </c>
      <c r="D827">
        <v>1</v>
      </c>
      <c r="E827">
        <v>11200</v>
      </c>
      <c r="F827">
        <v>69880</v>
      </c>
      <c r="G827">
        <v>0</v>
      </c>
      <c r="H827">
        <v>0</v>
      </c>
      <c r="I827">
        <v>0</v>
      </c>
      <c r="J827">
        <v>0</v>
      </c>
      <c r="K827">
        <v>0</v>
      </c>
      <c r="L827">
        <v>11879576</v>
      </c>
      <c r="M827">
        <v>11879576</v>
      </c>
      <c r="N827">
        <v>11879576</v>
      </c>
      <c r="O827">
        <v>11879576</v>
      </c>
      <c r="P827">
        <v>13976000</v>
      </c>
      <c r="Q827">
        <v>13976000</v>
      </c>
      <c r="R827" s="14">
        <f>_xlfn.XLOOKUP(Table2[[#This Row],[LoanID]],Table1[G-L ID],Table1[ManagerCode],-99)</f>
        <v>103</v>
      </c>
      <c r="T827"/>
    </row>
    <row r="828" spans="1:20" x14ac:dyDescent="0.25">
      <c r="A828">
        <v>20110731</v>
      </c>
      <c r="B828">
        <v>2011</v>
      </c>
      <c r="C828">
        <v>7</v>
      </c>
      <c r="D828">
        <v>1</v>
      </c>
      <c r="E828">
        <v>11240</v>
      </c>
      <c r="F828">
        <v>236840</v>
      </c>
      <c r="G828">
        <v>0</v>
      </c>
      <c r="H828">
        <v>0</v>
      </c>
      <c r="I828">
        <v>0</v>
      </c>
      <c r="J828">
        <v>0</v>
      </c>
      <c r="K828">
        <v>0</v>
      </c>
      <c r="L828">
        <v>176334578</v>
      </c>
      <c r="M828">
        <v>177920767</v>
      </c>
      <c r="N828">
        <v>176334578</v>
      </c>
      <c r="O828">
        <v>177920767</v>
      </c>
      <c r="P828">
        <v>194929626.59999999</v>
      </c>
      <c r="Q828">
        <v>194929626.59999999</v>
      </c>
      <c r="R828" s="14">
        <f>_xlfn.XLOOKUP(Table2[[#This Row],[LoanID]],Table1[G-L ID],Table1[ManagerCode],-99)</f>
        <v>103</v>
      </c>
      <c r="T828"/>
    </row>
    <row r="829" spans="1:20" x14ac:dyDescent="0.25">
      <c r="A829">
        <v>20110731</v>
      </c>
      <c r="B829">
        <v>2011</v>
      </c>
      <c r="C829">
        <v>7</v>
      </c>
      <c r="D829">
        <v>1</v>
      </c>
      <c r="E829">
        <v>11280</v>
      </c>
      <c r="F829">
        <v>22518</v>
      </c>
      <c r="G829">
        <v>0</v>
      </c>
      <c r="H829">
        <v>0</v>
      </c>
      <c r="I829">
        <v>-157</v>
      </c>
      <c r="J829">
        <v>0</v>
      </c>
      <c r="K829">
        <v>0</v>
      </c>
      <c r="L829">
        <v>16985791</v>
      </c>
      <c r="M829">
        <v>17141334</v>
      </c>
      <c r="N829">
        <v>16985791</v>
      </c>
      <c r="O829">
        <v>17141334</v>
      </c>
      <c r="P829">
        <v>18791123.030000001</v>
      </c>
      <c r="Q829">
        <v>18791123.030000001</v>
      </c>
      <c r="R829" s="14">
        <f>_xlfn.XLOOKUP(Table2[[#This Row],[LoanID]],Table1[G-L ID],Table1[ManagerCode],-99)</f>
        <v>103</v>
      </c>
      <c r="T829"/>
    </row>
    <row r="830" spans="1:20" x14ac:dyDescent="0.25">
      <c r="A830">
        <v>20110731</v>
      </c>
      <c r="B830">
        <v>2011</v>
      </c>
      <c r="C830">
        <v>7</v>
      </c>
      <c r="D830">
        <v>1</v>
      </c>
      <c r="E830">
        <v>11300</v>
      </c>
      <c r="F830">
        <v>20266</v>
      </c>
      <c r="G830">
        <v>0</v>
      </c>
      <c r="H830">
        <v>0</v>
      </c>
      <c r="I830">
        <v>-141</v>
      </c>
      <c r="J830">
        <v>0</v>
      </c>
      <c r="K830">
        <v>0</v>
      </c>
      <c r="L830">
        <v>15287212</v>
      </c>
      <c r="M830">
        <v>15427201</v>
      </c>
      <c r="N830">
        <v>15287212</v>
      </c>
      <c r="O830">
        <v>15427201</v>
      </c>
      <c r="P830">
        <v>16912010.73</v>
      </c>
      <c r="Q830">
        <v>16912010.73</v>
      </c>
      <c r="R830" s="14">
        <f>_xlfn.XLOOKUP(Table2[[#This Row],[LoanID]],Table1[G-L ID],Table1[ManagerCode],-99)</f>
        <v>103</v>
      </c>
      <c r="T830"/>
    </row>
    <row r="831" spans="1:20" x14ac:dyDescent="0.25">
      <c r="A831">
        <v>20110731</v>
      </c>
      <c r="B831">
        <v>2011</v>
      </c>
      <c r="C831">
        <v>7</v>
      </c>
      <c r="D831">
        <v>1</v>
      </c>
      <c r="E831">
        <v>11310</v>
      </c>
      <c r="F831">
        <v>13511</v>
      </c>
      <c r="G831">
        <v>0</v>
      </c>
      <c r="H831">
        <v>0</v>
      </c>
      <c r="I831">
        <v>-94</v>
      </c>
      <c r="J831">
        <v>0</v>
      </c>
      <c r="K831">
        <v>0</v>
      </c>
      <c r="L831">
        <v>10196130</v>
      </c>
      <c r="M831">
        <v>10289052</v>
      </c>
      <c r="N831">
        <v>10196130</v>
      </c>
      <c r="O831">
        <v>10289052</v>
      </c>
      <c r="P831">
        <v>11274673.789999999</v>
      </c>
      <c r="Q831">
        <v>11274673.789999999</v>
      </c>
      <c r="R831" s="14">
        <f>_xlfn.XLOOKUP(Table2[[#This Row],[LoanID]],Table1[G-L ID],Table1[ManagerCode],-99)</f>
        <v>103</v>
      </c>
      <c r="T831"/>
    </row>
    <row r="832" spans="1:20" x14ac:dyDescent="0.25">
      <c r="A832">
        <v>20110731</v>
      </c>
      <c r="B832">
        <v>2011</v>
      </c>
      <c r="C832">
        <v>7</v>
      </c>
      <c r="D832">
        <v>1</v>
      </c>
      <c r="E832">
        <v>11380</v>
      </c>
      <c r="F832">
        <v>36438</v>
      </c>
      <c r="G832">
        <v>0</v>
      </c>
      <c r="H832">
        <v>0</v>
      </c>
      <c r="I832">
        <v>0</v>
      </c>
      <c r="J832">
        <v>0</v>
      </c>
      <c r="K832">
        <v>54261.52</v>
      </c>
      <c r="L832">
        <v>6228957</v>
      </c>
      <c r="M832">
        <v>6161728</v>
      </c>
      <c r="N832">
        <v>6228957</v>
      </c>
      <c r="O832">
        <v>6161728</v>
      </c>
      <c r="P832">
        <v>5514020.2800000003</v>
      </c>
      <c r="Q832">
        <v>5459758.7599999998</v>
      </c>
      <c r="R832" s="14">
        <f>_xlfn.XLOOKUP(Table2[[#This Row],[LoanID]],Table1[G-L ID],Table1[ManagerCode],-99)</f>
        <v>103</v>
      </c>
      <c r="T832"/>
    </row>
    <row r="833" spans="1:20" x14ac:dyDescent="0.25">
      <c r="A833">
        <v>20110731</v>
      </c>
      <c r="B833">
        <v>2011</v>
      </c>
      <c r="C833">
        <v>7</v>
      </c>
      <c r="D833">
        <v>1</v>
      </c>
      <c r="E833">
        <v>11630</v>
      </c>
      <c r="F833">
        <v>0</v>
      </c>
      <c r="G833">
        <v>13900</v>
      </c>
      <c r="H833">
        <v>262000</v>
      </c>
      <c r="I833">
        <v>0</v>
      </c>
      <c r="J833">
        <v>-4550000</v>
      </c>
      <c r="K833">
        <v>0</v>
      </c>
      <c r="L833">
        <v>0</v>
      </c>
      <c r="M833">
        <v>4563900</v>
      </c>
      <c r="N833">
        <v>0</v>
      </c>
      <c r="O833">
        <v>4563900</v>
      </c>
      <c r="P833">
        <v>0</v>
      </c>
      <c r="Q833">
        <v>4563900</v>
      </c>
      <c r="R833" s="14">
        <f>_xlfn.XLOOKUP(Table2[[#This Row],[LoanID]],Table1[G-L ID],Table1[ManagerCode],-99)</f>
        <v>183</v>
      </c>
      <c r="T833"/>
    </row>
    <row r="834" spans="1:20" x14ac:dyDescent="0.25">
      <c r="A834">
        <v>20110731</v>
      </c>
      <c r="B834">
        <v>2011</v>
      </c>
      <c r="C834">
        <v>7</v>
      </c>
      <c r="D834">
        <v>1</v>
      </c>
      <c r="E834">
        <v>11650</v>
      </c>
      <c r="F834">
        <v>37500</v>
      </c>
      <c r="G834">
        <v>0</v>
      </c>
      <c r="H834">
        <v>0</v>
      </c>
      <c r="I834">
        <v>0</v>
      </c>
      <c r="J834">
        <v>0</v>
      </c>
      <c r="K834">
        <v>0</v>
      </c>
      <c r="L834">
        <v>4800000</v>
      </c>
      <c r="M834">
        <v>4800000</v>
      </c>
      <c r="N834">
        <v>4800000</v>
      </c>
      <c r="O834">
        <v>4800000</v>
      </c>
      <c r="P834">
        <v>6000000</v>
      </c>
      <c r="Q834">
        <v>6000000</v>
      </c>
      <c r="R834" s="14">
        <f>_xlfn.XLOOKUP(Table2[[#This Row],[LoanID]],Table1[G-L ID],Table1[ManagerCode],-99)</f>
        <v>103</v>
      </c>
      <c r="T834"/>
    </row>
    <row r="835" spans="1:20" x14ac:dyDescent="0.25">
      <c r="A835">
        <v>20110731</v>
      </c>
      <c r="B835">
        <v>2011</v>
      </c>
      <c r="C835">
        <v>7</v>
      </c>
      <c r="D835">
        <v>1</v>
      </c>
      <c r="E835">
        <v>11780</v>
      </c>
      <c r="F835">
        <v>178175</v>
      </c>
      <c r="G835">
        <v>0</v>
      </c>
      <c r="H835">
        <v>0</v>
      </c>
      <c r="I835">
        <v>-1103</v>
      </c>
      <c r="J835">
        <v>0</v>
      </c>
      <c r="K835">
        <v>414638.03</v>
      </c>
      <c r="L835">
        <v>52965053</v>
      </c>
      <c r="M835">
        <v>52633343</v>
      </c>
      <c r="N835">
        <v>52965053</v>
      </c>
      <c r="O835">
        <v>52633343</v>
      </c>
      <c r="P835">
        <v>66206316.75</v>
      </c>
      <c r="Q835">
        <v>65791678.719999999</v>
      </c>
      <c r="R835" s="14">
        <f>_xlfn.XLOOKUP(Table2[[#This Row],[LoanID]],Table1[G-L ID],Table1[ManagerCode],-99)</f>
        <v>103</v>
      </c>
      <c r="T835"/>
    </row>
    <row r="836" spans="1:20" x14ac:dyDescent="0.25">
      <c r="A836">
        <v>20110731</v>
      </c>
      <c r="B836">
        <v>2011</v>
      </c>
      <c r="C836">
        <v>7</v>
      </c>
      <c r="D836">
        <v>1</v>
      </c>
      <c r="E836">
        <v>11800</v>
      </c>
      <c r="F836">
        <v>161065</v>
      </c>
      <c r="G836">
        <v>0</v>
      </c>
      <c r="H836">
        <v>0</v>
      </c>
      <c r="I836">
        <v>-271</v>
      </c>
      <c r="J836">
        <v>0</v>
      </c>
      <c r="K836">
        <v>58499.71</v>
      </c>
      <c r="L836">
        <v>29269801</v>
      </c>
      <c r="M836">
        <v>29217152</v>
      </c>
      <c r="N836">
        <v>29269801</v>
      </c>
      <c r="O836">
        <v>29217152</v>
      </c>
      <c r="P836">
        <v>32521969.02</v>
      </c>
      <c r="Q836">
        <v>32463469.309999999</v>
      </c>
      <c r="R836" s="14">
        <f>_xlfn.XLOOKUP(Table2[[#This Row],[LoanID]],Table1[G-L ID],Table1[ManagerCode],-99)</f>
        <v>103</v>
      </c>
      <c r="T836"/>
    </row>
    <row r="837" spans="1:20" x14ac:dyDescent="0.25">
      <c r="A837">
        <v>20110731</v>
      </c>
      <c r="B837">
        <v>2011</v>
      </c>
      <c r="C837">
        <v>7</v>
      </c>
      <c r="D837">
        <v>1</v>
      </c>
      <c r="E837">
        <v>11810</v>
      </c>
      <c r="F837">
        <v>51167</v>
      </c>
      <c r="G837">
        <v>0</v>
      </c>
      <c r="H837">
        <v>0</v>
      </c>
      <c r="I837">
        <v>0</v>
      </c>
      <c r="J837">
        <v>0</v>
      </c>
      <c r="K837">
        <v>0</v>
      </c>
      <c r="L837">
        <v>9500000</v>
      </c>
      <c r="M837">
        <v>9533407</v>
      </c>
      <c r="N837">
        <v>9500000</v>
      </c>
      <c r="O837">
        <v>9533407</v>
      </c>
      <c r="P837">
        <v>10000000</v>
      </c>
      <c r="Q837">
        <v>10000000</v>
      </c>
      <c r="R837" s="14">
        <f>_xlfn.XLOOKUP(Table2[[#This Row],[LoanID]],Table1[G-L ID],Table1[ManagerCode],-99)</f>
        <v>103</v>
      </c>
      <c r="T837"/>
    </row>
    <row r="838" spans="1:20" x14ac:dyDescent="0.25">
      <c r="A838">
        <v>20110731</v>
      </c>
      <c r="B838">
        <v>2011</v>
      </c>
      <c r="C838">
        <v>7</v>
      </c>
      <c r="D838">
        <v>1</v>
      </c>
      <c r="E838">
        <v>11930</v>
      </c>
      <c r="F838">
        <v>123346</v>
      </c>
      <c r="G838">
        <v>0</v>
      </c>
      <c r="H838">
        <v>0</v>
      </c>
      <c r="I838">
        <v>0</v>
      </c>
      <c r="J838">
        <v>0</v>
      </c>
      <c r="K838">
        <v>6940352.1399999997</v>
      </c>
      <c r="L838">
        <v>134466042</v>
      </c>
      <c r="M838">
        <v>127688536</v>
      </c>
      <c r="N838">
        <v>134466042</v>
      </c>
      <c r="O838">
        <v>127688536</v>
      </c>
      <c r="P838">
        <v>135032936</v>
      </c>
      <c r="Q838">
        <v>128092583.90000001</v>
      </c>
      <c r="R838" s="14">
        <f>_xlfn.XLOOKUP(Table2[[#This Row],[LoanID]],Table1[G-L ID],Table1[ManagerCode],-99)</f>
        <v>103</v>
      </c>
      <c r="T838"/>
    </row>
    <row r="839" spans="1:20" x14ac:dyDescent="0.25">
      <c r="A839">
        <v>20110731</v>
      </c>
      <c r="B839">
        <v>2011</v>
      </c>
      <c r="C839">
        <v>7</v>
      </c>
      <c r="D839">
        <v>1</v>
      </c>
      <c r="E839">
        <v>11940</v>
      </c>
      <c r="F839">
        <v>23200</v>
      </c>
      <c r="G839">
        <v>0</v>
      </c>
      <c r="H839">
        <v>0</v>
      </c>
      <c r="I839">
        <v>0</v>
      </c>
      <c r="J839">
        <v>0</v>
      </c>
      <c r="K839">
        <v>4194761.1500000004</v>
      </c>
      <c r="L839">
        <v>25151196</v>
      </c>
      <c r="M839">
        <v>20996032</v>
      </c>
      <c r="N839">
        <v>25151196</v>
      </c>
      <c r="O839">
        <v>20996032</v>
      </c>
      <c r="P839">
        <v>25250733.449999999</v>
      </c>
      <c r="Q839">
        <v>21058138.16</v>
      </c>
      <c r="R839" s="14">
        <f>_xlfn.XLOOKUP(Table2[[#This Row],[LoanID]],Table1[G-L ID],Table1[ManagerCode],-99)</f>
        <v>103</v>
      </c>
      <c r="T839"/>
    </row>
    <row r="840" spans="1:20" x14ac:dyDescent="0.25">
      <c r="A840">
        <v>20110731</v>
      </c>
      <c r="B840">
        <v>2011</v>
      </c>
      <c r="C840">
        <v>7</v>
      </c>
      <c r="D840">
        <v>1</v>
      </c>
      <c r="E840">
        <v>12000</v>
      </c>
      <c r="F840">
        <v>125525</v>
      </c>
      <c r="G840">
        <v>0</v>
      </c>
      <c r="H840">
        <v>0</v>
      </c>
      <c r="I840">
        <v>0</v>
      </c>
      <c r="J840">
        <v>0</v>
      </c>
      <c r="K840">
        <v>0</v>
      </c>
      <c r="L840">
        <v>22949819</v>
      </c>
      <c r="M840">
        <v>23082862</v>
      </c>
      <c r="N840">
        <v>22949819</v>
      </c>
      <c r="O840">
        <v>23082862</v>
      </c>
      <c r="P840">
        <v>25094635.329999998</v>
      </c>
      <c r="Q840">
        <v>25095329.77</v>
      </c>
      <c r="R840" s="14">
        <f>_xlfn.XLOOKUP(Table2[[#This Row],[LoanID]],Table1[G-L ID],Table1[ManagerCode],-99)</f>
        <v>103</v>
      </c>
      <c r="T840"/>
    </row>
    <row r="841" spans="1:20" x14ac:dyDescent="0.25">
      <c r="A841">
        <v>20110731</v>
      </c>
      <c r="B841">
        <v>2011</v>
      </c>
      <c r="C841">
        <v>7</v>
      </c>
      <c r="D841">
        <v>1</v>
      </c>
      <c r="E841">
        <v>12110</v>
      </c>
      <c r="F841">
        <v>105489.29</v>
      </c>
      <c r="G841">
        <v>0</v>
      </c>
      <c r="H841">
        <v>0</v>
      </c>
      <c r="I841">
        <v>0</v>
      </c>
      <c r="J841">
        <v>-2863843.84</v>
      </c>
      <c r="K841">
        <v>0</v>
      </c>
      <c r="L841">
        <v>13456206.390000001</v>
      </c>
      <c r="M841">
        <v>16320050.23</v>
      </c>
      <c r="N841">
        <v>13456206.390000001</v>
      </c>
      <c r="O841">
        <v>16320050.23</v>
      </c>
      <c r="P841">
        <v>13456206.390000001</v>
      </c>
      <c r="Q841">
        <v>16320050.23</v>
      </c>
      <c r="R841" s="14">
        <f>_xlfn.XLOOKUP(Table2[[#This Row],[LoanID]],Table1[G-L ID],Table1[ManagerCode],-99)</f>
        <v>183</v>
      </c>
      <c r="T841"/>
    </row>
    <row r="842" spans="1:20" x14ac:dyDescent="0.25">
      <c r="A842">
        <v>20110731</v>
      </c>
      <c r="B842">
        <v>2011</v>
      </c>
      <c r="C842">
        <v>7</v>
      </c>
      <c r="D842">
        <v>1</v>
      </c>
      <c r="E842">
        <v>12200</v>
      </c>
      <c r="F842">
        <v>90574</v>
      </c>
      <c r="G842">
        <v>0</v>
      </c>
      <c r="H842">
        <v>0</v>
      </c>
      <c r="I842">
        <v>0</v>
      </c>
      <c r="J842">
        <v>0</v>
      </c>
      <c r="K842">
        <v>31636</v>
      </c>
      <c r="L842">
        <v>21287480</v>
      </c>
      <c r="M842">
        <v>21214710</v>
      </c>
      <c r="N842">
        <v>21287480</v>
      </c>
      <c r="O842">
        <v>21214710</v>
      </c>
      <c r="P842">
        <v>19711666.18</v>
      </c>
      <c r="Q842">
        <v>19680379.300000001</v>
      </c>
      <c r="R842" s="14">
        <f>_xlfn.XLOOKUP(Table2[[#This Row],[LoanID]],Table1[G-L ID],Table1[ManagerCode],-99)</f>
        <v>103</v>
      </c>
      <c r="T842"/>
    </row>
    <row r="843" spans="1:20" x14ac:dyDescent="0.25">
      <c r="A843">
        <v>20110731</v>
      </c>
      <c r="B843">
        <v>2011</v>
      </c>
      <c r="C843">
        <v>7</v>
      </c>
      <c r="D843">
        <v>1</v>
      </c>
      <c r="E843">
        <v>12210</v>
      </c>
      <c r="F843">
        <v>727368</v>
      </c>
      <c r="G843">
        <v>0</v>
      </c>
      <c r="H843">
        <v>0</v>
      </c>
      <c r="I843">
        <v>0</v>
      </c>
      <c r="J843">
        <v>0</v>
      </c>
      <c r="K843">
        <v>176773.98</v>
      </c>
      <c r="L843">
        <v>138694492</v>
      </c>
      <c r="M843">
        <v>138363799</v>
      </c>
      <c r="N843">
        <v>138694492</v>
      </c>
      <c r="O843">
        <v>138363799</v>
      </c>
      <c r="P843">
        <v>117689357.59999999</v>
      </c>
      <c r="Q843">
        <v>117512583.59999999</v>
      </c>
      <c r="R843" s="14">
        <f>_xlfn.XLOOKUP(Table2[[#This Row],[LoanID]],Table1[G-L ID],Table1[ManagerCode],-99)</f>
        <v>103</v>
      </c>
      <c r="T843"/>
    </row>
    <row r="844" spans="1:20" x14ac:dyDescent="0.25">
      <c r="A844">
        <v>20110831</v>
      </c>
      <c r="B844">
        <v>2011</v>
      </c>
      <c r="C844">
        <v>8</v>
      </c>
      <c r="D844">
        <v>1</v>
      </c>
      <c r="E844">
        <v>10050</v>
      </c>
      <c r="F844">
        <v>153981</v>
      </c>
      <c r="G844">
        <v>0</v>
      </c>
      <c r="H844">
        <v>0</v>
      </c>
      <c r="I844">
        <v>-69</v>
      </c>
      <c r="J844">
        <v>0</v>
      </c>
      <c r="K844">
        <v>0</v>
      </c>
      <c r="L844">
        <v>33603237</v>
      </c>
      <c r="M844">
        <v>29780958</v>
      </c>
      <c r="N844">
        <v>33603237</v>
      </c>
      <c r="O844">
        <v>29780958</v>
      </c>
      <c r="P844">
        <v>33333334</v>
      </c>
      <c r="Q844">
        <v>33333334</v>
      </c>
      <c r="R844" s="14">
        <f>_xlfn.XLOOKUP(Table2[[#This Row],[LoanID]],Table1[G-L ID],Table1[ManagerCode],-99)</f>
        <v>103</v>
      </c>
      <c r="T844"/>
    </row>
    <row r="845" spans="1:20" x14ac:dyDescent="0.25">
      <c r="A845">
        <v>20110831</v>
      </c>
      <c r="B845">
        <v>2011</v>
      </c>
      <c r="C845">
        <v>8</v>
      </c>
      <c r="D845">
        <v>1</v>
      </c>
      <c r="E845">
        <v>10080</v>
      </c>
      <c r="F845">
        <v>351043</v>
      </c>
      <c r="G845">
        <v>0</v>
      </c>
      <c r="H845">
        <v>0</v>
      </c>
      <c r="I845">
        <v>-161</v>
      </c>
      <c r="J845">
        <v>0</v>
      </c>
      <c r="K845">
        <v>0</v>
      </c>
      <c r="L845">
        <v>73114154</v>
      </c>
      <c r="M845">
        <v>73986783</v>
      </c>
      <c r="N845">
        <v>73114154</v>
      </c>
      <c r="O845">
        <v>73986783</v>
      </c>
      <c r="P845">
        <v>75000000</v>
      </c>
      <c r="Q845">
        <v>75000000</v>
      </c>
      <c r="R845" s="14">
        <f>_xlfn.XLOOKUP(Table2[[#This Row],[LoanID]],Table1[G-L ID],Table1[ManagerCode],-99)</f>
        <v>103</v>
      </c>
      <c r="T845"/>
    </row>
    <row r="846" spans="1:20" x14ac:dyDescent="0.25">
      <c r="A846">
        <v>20110831</v>
      </c>
      <c r="B846">
        <v>2011</v>
      </c>
      <c r="C846">
        <v>8</v>
      </c>
      <c r="D846">
        <v>1</v>
      </c>
      <c r="E846">
        <v>10130</v>
      </c>
      <c r="F846">
        <v>36413</v>
      </c>
      <c r="G846">
        <v>0</v>
      </c>
      <c r="H846">
        <v>0</v>
      </c>
      <c r="I846">
        <v>0</v>
      </c>
      <c r="J846">
        <v>0</v>
      </c>
      <c r="K846">
        <v>31278.13</v>
      </c>
      <c r="L846">
        <v>8461671</v>
      </c>
      <c r="M846">
        <v>8350322</v>
      </c>
      <c r="N846">
        <v>8461671</v>
      </c>
      <c r="O846">
        <v>8350322</v>
      </c>
      <c r="P846">
        <v>8046975.54</v>
      </c>
      <c r="Q846">
        <v>8015697.4100000001</v>
      </c>
      <c r="R846" s="14">
        <f>_xlfn.XLOOKUP(Table2[[#This Row],[LoanID]],Table1[G-L ID],Table1[ManagerCode],-99)</f>
        <v>103</v>
      </c>
      <c r="T846"/>
    </row>
    <row r="847" spans="1:20" x14ac:dyDescent="0.25">
      <c r="A847">
        <v>20110831</v>
      </c>
      <c r="B847">
        <v>2011</v>
      </c>
      <c r="C847">
        <v>8</v>
      </c>
      <c r="D847">
        <v>1</v>
      </c>
      <c r="E847">
        <v>10140</v>
      </c>
      <c r="F847">
        <v>96026</v>
      </c>
      <c r="G847">
        <v>0</v>
      </c>
      <c r="H847">
        <v>0</v>
      </c>
      <c r="I847">
        <v>0</v>
      </c>
      <c r="J847">
        <v>0</v>
      </c>
      <c r="K847">
        <v>81797.919999999998</v>
      </c>
      <c r="L847">
        <v>22315433</v>
      </c>
      <c r="M847">
        <v>22022398</v>
      </c>
      <c r="N847">
        <v>22315433</v>
      </c>
      <c r="O847">
        <v>22022398</v>
      </c>
      <c r="P847">
        <v>21221306.859999999</v>
      </c>
      <c r="Q847">
        <v>21139508.940000001</v>
      </c>
      <c r="R847" s="14">
        <f>_xlfn.XLOOKUP(Table2[[#This Row],[LoanID]],Table1[G-L ID],Table1[ManagerCode],-99)</f>
        <v>103</v>
      </c>
      <c r="T847"/>
    </row>
    <row r="848" spans="1:20" x14ac:dyDescent="0.25">
      <c r="A848">
        <v>20110831</v>
      </c>
      <c r="B848">
        <v>2011</v>
      </c>
      <c r="C848">
        <v>8</v>
      </c>
      <c r="D848">
        <v>1</v>
      </c>
      <c r="E848">
        <v>10150</v>
      </c>
      <c r="F848">
        <v>243329</v>
      </c>
      <c r="G848">
        <v>0</v>
      </c>
      <c r="H848">
        <v>0</v>
      </c>
      <c r="I848">
        <v>0</v>
      </c>
      <c r="J848">
        <v>0</v>
      </c>
      <c r="K848">
        <v>69990.52</v>
      </c>
      <c r="L848">
        <v>52274142</v>
      </c>
      <c r="M848">
        <v>52204851</v>
      </c>
      <c r="N848">
        <v>52274142</v>
      </c>
      <c r="O848">
        <v>52204851</v>
      </c>
      <c r="P848">
        <v>52802057.82</v>
      </c>
      <c r="Q848">
        <v>52732067.299999997</v>
      </c>
      <c r="R848" s="14">
        <f>_xlfn.XLOOKUP(Table2[[#This Row],[LoanID]],Table1[G-L ID],Table1[ManagerCode],-99)</f>
        <v>103</v>
      </c>
      <c r="T848"/>
    </row>
    <row r="849" spans="1:20" x14ac:dyDescent="0.25">
      <c r="A849">
        <v>20110831</v>
      </c>
      <c r="B849">
        <v>2011</v>
      </c>
      <c r="C849">
        <v>8</v>
      </c>
      <c r="D849">
        <v>1</v>
      </c>
      <c r="E849">
        <v>10170</v>
      </c>
      <c r="F849">
        <v>250418</v>
      </c>
      <c r="G849">
        <v>0</v>
      </c>
      <c r="H849">
        <v>0</v>
      </c>
      <c r="I849">
        <v>-1200</v>
      </c>
      <c r="J849">
        <v>0</v>
      </c>
      <c r="K849">
        <v>65547.240000000005</v>
      </c>
      <c r="L849">
        <v>50906805</v>
      </c>
      <c r="M849">
        <v>48586501</v>
      </c>
      <c r="N849">
        <v>50906805</v>
      </c>
      <c r="O849">
        <v>48586501</v>
      </c>
      <c r="P849">
        <v>46455039.590000004</v>
      </c>
      <c r="Q849">
        <v>46389492.350000001</v>
      </c>
      <c r="R849" s="14">
        <f>_xlfn.XLOOKUP(Table2[[#This Row],[LoanID]],Table1[G-L ID],Table1[ManagerCode],-99)</f>
        <v>103</v>
      </c>
      <c r="T849"/>
    </row>
    <row r="850" spans="1:20" x14ac:dyDescent="0.25">
      <c r="A850">
        <v>20110831</v>
      </c>
      <c r="B850">
        <v>2011</v>
      </c>
      <c r="C850">
        <v>8</v>
      </c>
      <c r="D850">
        <v>1</v>
      </c>
      <c r="E850">
        <v>10230</v>
      </c>
      <c r="F850">
        <v>184003</v>
      </c>
      <c r="G850">
        <v>0</v>
      </c>
      <c r="H850">
        <v>0</v>
      </c>
      <c r="I850">
        <v>0</v>
      </c>
      <c r="J850">
        <v>0</v>
      </c>
      <c r="K850">
        <v>57594.77</v>
      </c>
      <c r="L850">
        <v>27846196</v>
      </c>
      <c r="M850">
        <v>27797241</v>
      </c>
      <c r="N850">
        <v>27846196</v>
      </c>
      <c r="O850">
        <v>27797241</v>
      </c>
      <c r="P850">
        <v>32760231.039999999</v>
      </c>
      <c r="Q850">
        <v>32702636.27</v>
      </c>
      <c r="R850" s="14">
        <f>_xlfn.XLOOKUP(Table2[[#This Row],[LoanID]],Table1[G-L ID],Table1[ManagerCode],-99)</f>
        <v>103</v>
      </c>
      <c r="T850"/>
    </row>
    <row r="851" spans="1:20" x14ac:dyDescent="0.25">
      <c r="A851">
        <v>20110831</v>
      </c>
      <c r="B851">
        <v>2011</v>
      </c>
      <c r="C851">
        <v>8</v>
      </c>
      <c r="D851">
        <v>1</v>
      </c>
      <c r="E851">
        <v>10280</v>
      </c>
      <c r="F851">
        <v>181412</v>
      </c>
      <c r="G851">
        <v>0</v>
      </c>
      <c r="H851">
        <v>0</v>
      </c>
      <c r="I851">
        <v>0</v>
      </c>
      <c r="J851">
        <v>0</v>
      </c>
      <c r="K851">
        <v>0</v>
      </c>
      <c r="L851">
        <v>31500032</v>
      </c>
      <c r="M851">
        <v>31500032</v>
      </c>
      <c r="N851">
        <v>31500032</v>
      </c>
      <c r="O851">
        <v>31500032</v>
      </c>
      <c r="P851">
        <v>35000000</v>
      </c>
      <c r="Q851">
        <v>35000000</v>
      </c>
      <c r="R851" s="14">
        <f>_xlfn.XLOOKUP(Table2[[#This Row],[LoanID]],Table1[G-L ID],Table1[ManagerCode],-99)</f>
        <v>103</v>
      </c>
      <c r="T851"/>
    </row>
    <row r="852" spans="1:20" x14ac:dyDescent="0.25">
      <c r="A852">
        <v>20110831</v>
      </c>
      <c r="B852">
        <v>2011</v>
      </c>
      <c r="C852">
        <v>8</v>
      </c>
      <c r="D852">
        <v>1</v>
      </c>
      <c r="E852">
        <v>10290</v>
      </c>
      <c r="F852">
        <v>171301</v>
      </c>
      <c r="G852">
        <v>0</v>
      </c>
      <c r="H852">
        <v>0</v>
      </c>
      <c r="I852">
        <v>0</v>
      </c>
      <c r="J852">
        <v>0</v>
      </c>
      <c r="K852">
        <v>0</v>
      </c>
      <c r="L852">
        <v>21250000</v>
      </c>
      <c r="M852">
        <v>21250000</v>
      </c>
      <c r="N852">
        <v>21250000</v>
      </c>
      <c r="O852">
        <v>21250000</v>
      </c>
      <c r="P852">
        <v>25000000</v>
      </c>
      <c r="Q852">
        <v>25000000</v>
      </c>
      <c r="R852" s="14">
        <f>_xlfn.XLOOKUP(Table2[[#This Row],[LoanID]],Table1[G-L ID],Table1[ManagerCode],-99)</f>
        <v>103</v>
      </c>
      <c r="T852"/>
    </row>
    <row r="853" spans="1:20" x14ac:dyDescent="0.25">
      <c r="A853">
        <v>20110831</v>
      </c>
      <c r="B853">
        <v>2011</v>
      </c>
      <c r="C853">
        <v>8</v>
      </c>
      <c r="D853">
        <v>1</v>
      </c>
      <c r="E853">
        <v>10300</v>
      </c>
      <c r="F853">
        <v>149888</v>
      </c>
      <c r="G853">
        <v>0</v>
      </c>
      <c r="H853">
        <v>0</v>
      </c>
      <c r="I853">
        <v>0</v>
      </c>
      <c r="J853">
        <v>0</v>
      </c>
      <c r="K853">
        <v>0</v>
      </c>
      <c r="L853">
        <v>31099877</v>
      </c>
      <c r="M853">
        <v>30716479</v>
      </c>
      <c r="N853">
        <v>31099877</v>
      </c>
      <c r="O853">
        <v>30716479</v>
      </c>
      <c r="P853">
        <v>35000000</v>
      </c>
      <c r="Q853">
        <v>35000000</v>
      </c>
      <c r="R853" s="14">
        <f>_xlfn.XLOOKUP(Table2[[#This Row],[LoanID]],Table1[G-L ID],Table1[ManagerCode],-99)</f>
        <v>103</v>
      </c>
      <c r="T853"/>
    </row>
    <row r="854" spans="1:20" x14ac:dyDescent="0.25">
      <c r="A854">
        <v>20110831</v>
      </c>
      <c r="B854">
        <v>2011</v>
      </c>
      <c r="C854">
        <v>8</v>
      </c>
      <c r="D854">
        <v>1</v>
      </c>
      <c r="E854">
        <v>10310</v>
      </c>
      <c r="F854">
        <v>57664.22</v>
      </c>
      <c r="G854">
        <v>0</v>
      </c>
      <c r="H854">
        <v>0</v>
      </c>
      <c r="I854">
        <v>0</v>
      </c>
      <c r="J854">
        <v>0</v>
      </c>
      <c r="K854">
        <v>0</v>
      </c>
      <c r="L854">
        <v>14521502.640000001</v>
      </c>
      <c r="M854">
        <v>14521502.640000001</v>
      </c>
      <c r="N854">
        <v>14521502.640000001</v>
      </c>
      <c r="O854">
        <v>14521502.640000001</v>
      </c>
      <c r="P854">
        <v>14521502.640000001</v>
      </c>
      <c r="Q854">
        <v>14521502.640000001</v>
      </c>
      <c r="R854" s="14">
        <f>_xlfn.XLOOKUP(Table2[[#This Row],[LoanID]],Table1[G-L ID],Table1[ManagerCode],-99)</f>
        <v>183</v>
      </c>
      <c r="T854"/>
    </row>
    <row r="855" spans="1:20" x14ac:dyDescent="0.25">
      <c r="A855">
        <v>20110831</v>
      </c>
      <c r="B855">
        <v>2011</v>
      </c>
      <c r="C855">
        <v>8</v>
      </c>
      <c r="D855">
        <v>1</v>
      </c>
      <c r="E855">
        <v>10370</v>
      </c>
      <c r="F855">
        <v>5176</v>
      </c>
      <c r="G855">
        <v>0</v>
      </c>
      <c r="H855">
        <v>0</v>
      </c>
      <c r="I855">
        <v>0</v>
      </c>
      <c r="J855">
        <v>0</v>
      </c>
      <c r="K855">
        <v>34776.400000000001</v>
      </c>
      <c r="L855">
        <v>2788784</v>
      </c>
      <c r="M855">
        <v>2757485</v>
      </c>
      <c r="N855">
        <v>2788784</v>
      </c>
      <c r="O855">
        <v>2757485</v>
      </c>
      <c r="P855">
        <v>3098648.89</v>
      </c>
      <c r="Q855">
        <v>3063872.49</v>
      </c>
      <c r="R855" s="14">
        <f>_xlfn.XLOOKUP(Table2[[#This Row],[LoanID]],Table1[G-L ID],Table1[ManagerCode],-99)</f>
        <v>103</v>
      </c>
      <c r="T855"/>
    </row>
    <row r="856" spans="1:20" x14ac:dyDescent="0.25">
      <c r="A856">
        <v>20110831</v>
      </c>
      <c r="B856">
        <v>2011</v>
      </c>
      <c r="C856">
        <v>8</v>
      </c>
      <c r="D856">
        <v>1</v>
      </c>
      <c r="E856">
        <v>10390</v>
      </c>
      <c r="F856">
        <v>118750</v>
      </c>
      <c r="G856">
        <v>0</v>
      </c>
      <c r="H856">
        <v>0</v>
      </c>
      <c r="I856">
        <v>0</v>
      </c>
      <c r="J856">
        <v>0</v>
      </c>
      <c r="K856">
        <v>0</v>
      </c>
      <c r="L856">
        <v>22500000</v>
      </c>
      <c r="M856">
        <v>22500000</v>
      </c>
      <c r="N856">
        <v>22500000</v>
      </c>
      <c r="O856">
        <v>22500000</v>
      </c>
      <c r="P856">
        <v>24993265.199999999</v>
      </c>
      <c r="Q856">
        <v>24993469.280000001</v>
      </c>
      <c r="R856" s="14">
        <f>_xlfn.XLOOKUP(Table2[[#This Row],[LoanID]],Table1[G-L ID],Table1[ManagerCode],-99)</f>
        <v>103</v>
      </c>
      <c r="T856"/>
    </row>
    <row r="857" spans="1:20" x14ac:dyDescent="0.25">
      <c r="A857">
        <v>20110831</v>
      </c>
      <c r="B857">
        <v>2011</v>
      </c>
      <c r="C857">
        <v>8</v>
      </c>
      <c r="D857">
        <v>1</v>
      </c>
      <c r="E857">
        <v>10450</v>
      </c>
      <c r="F857">
        <v>119792</v>
      </c>
      <c r="G857">
        <v>0</v>
      </c>
      <c r="H857">
        <v>0</v>
      </c>
      <c r="I857">
        <v>0</v>
      </c>
      <c r="J857">
        <v>0</v>
      </c>
      <c r="K857">
        <v>22022.98</v>
      </c>
      <c r="L857">
        <v>21272528</v>
      </c>
      <c r="M857">
        <v>21250725</v>
      </c>
      <c r="N857">
        <v>21272528</v>
      </c>
      <c r="O857">
        <v>21250725</v>
      </c>
      <c r="P857">
        <v>21487401.809999999</v>
      </c>
      <c r="Q857">
        <v>21465378.829999998</v>
      </c>
      <c r="R857" s="14">
        <f>_xlfn.XLOOKUP(Table2[[#This Row],[LoanID]],Table1[G-L ID],Table1[ManagerCode],-99)</f>
        <v>103</v>
      </c>
      <c r="T857"/>
    </row>
    <row r="858" spans="1:20" x14ac:dyDescent="0.25">
      <c r="A858">
        <v>20110831</v>
      </c>
      <c r="B858">
        <v>2011</v>
      </c>
      <c r="C858">
        <v>8</v>
      </c>
      <c r="D858">
        <v>1</v>
      </c>
      <c r="E858">
        <v>10520</v>
      </c>
      <c r="F858">
        <v>4738</v>
      </c>
      <c r="G858">
        <v>0</v>
      </c>
      <c r="H858">
        <v>0</v>
      </c>
      <c r="I858">
        <v>0</v>
      </c>
      <c r="J858">
        <v>0</v>
      </c>
      <c r="K858">
        <v>4044688.01</v>
      </c>
      <c r="L858">
        <v>4004241</v>
      </c>
      <c r="M858">
        <v>0</v>
      </c>
      <c r="N858">
        <v>4004241</v>
      </c>
      <c r="O858">
        <v>0</v>
      </c>
      <c r="P858">
        <v>4044688.01</v>
      </c>
      <c r="Q858">
        <v>0</v>
      </c>
      <c r="R858" s="14">
        <f>_xlfn.XLOOKUP(Table2[[#This Row],[LoanID]],Table1[G-L ID],Table1[ManagerCode],-99)</f>
        <v>103</v>
      </c>
      <c r="T858"/>
    </row>
    <row r="859" spans="1:20" x14ac:dyDescent="0.25">
      <c r="A859">
        <v>20110831</v>
      </c>
      <c r="B859">
        <v>2011</v>
      </c>
      <c r="C859">
        <v>8</v>
      </c>
      <c r="D859">
        <v>1</v>
      </c>
      <c r="E859">
        <v>10530</v>
      </c>
      <c r="F859">
        <v>103598</v>
      </c>
      <c r="G859">
        <v>0</v>
      </c>
      <c r="H859">
        <v>0</v>
      </c>
      <c r="I859">
        <v>0</v>
      </c>
      <c r="J859">
        <v>0</v>
      </c>
      <c r="K859">
        <v>87634906.700000003</v>
      </c>
      <c r="L859">
        <v>86758471</v>
      </c>
      <c r="M859">
        <v>0</v>
      </c>
      <c r="N859">
        <v>86758471</v>
      </c>
      <c r="O859">
        <v>0</v>
      </c>
      <c r="P859">
        <v>87634906.700000003</v>
      </c>
      <c r="Q859">
        <v>0</v>
      </c>
      <c r="R859" s="14">
        <f>_xlfn.XLOOKUP(Table2[[#This Row],[LoanID]],Table1[G-L ID],Table1[ManagerCode],-99)</f>
        <v>103</v>
      </c>
      <c r="T859"/>
    </row>
    <row r="860" spans="1:20" x14ac:dyDescent="0.25">
      <c r="A860">
        <v>20110831</v>
      </c>
      <c r="B860">
        <v>2011</v>
      </c>
      <c r="C860">
        <v>8</v>
      </c>
      <c r="D860">
        <v>1</v>
      </c>
      <c r="E860">
        <v>10540</v>
      </c>
      <c r="F860">
        <v>14344</v>
      </c>
      <c r="G860">
        <v>0</v>
      </c>
      <c r="H860">
        <v>0</v>
      </c>
      <c r="I860">
        <v>0</v>
      </c>
      <c r="J860">
        <v>0</v>
      </c>
      <c r="K860">
        <v>12134064.01</v>
      </c>
      <c r="L860">
        <v>12012723</v>
      </c>
      <c r="M860">
        <v>0</v>
      </c>
      <c r="N860">
        <v>12012723</v>
      </c>
      <c r="O860">
        <v>0</v>
      </c>
      <c r="P860">
        <v>12134064.01</v>
      </c>
      <c r="Q860">
        <v>0</v>
      </c>
      <c r="R860" s="14">
        <f>_xlfn.XLOOKUP(Table2[[#This Row],[LoanID]],Table1[G-L ID],Table1[ManagerCode],-99)</f>
        <v>103</v>
      </c>
      <c r="T860"/>
    </row>
    <row r="861" spans="1:20" x14ac:dyDescent="0.25">
      <c r="A861">
        <v>20110831</v>
      </c>
      <c r="B861">
        <v>2011</v>
      </c>
      <c r="C861">
        <v>8</v>
      </c>
      <c r="D861">
        <v>1</v>
      </c>
      <c r="E861">
        <v>10550</v>
      </c>
      <c r="F861">
        <v>0</v>
      </c>
      <c r="G861">
        <v>0</v>
      </c>
      <c r="H861">
        <v>0</v>
      </c>
      <c r="I861">
        <v>0</v>
      </c>
      <c r="J861">
        <v>-4040034</v>
      </c>
      <c r="K861">
        <v>0</v>
      </c>
      <c r="L861">
        <v>0</v>
      </c>
      <c r="M861">
        <v>3999634</v>
      </c>
      <c r="N861">
        <v>0</v>
      </c>
      <c r="O861">
        <v>3999634</v>
      </c>
      <c r="P861">
        <v>0</v>
      </c>
      <c r="Q861">
        <v>4021517.44</v>
      </c>
      <c r="R861" s="14">
        <f>_xlfn.XLOOKUP(Table2[[#This Row],[LoanID]],Table1[G-L ID],Table1[ManagerCode],-99)</f>
        <v>103</v>
      </c>
      <c r="T861"/>
    </row>
    <row r="862" spans="1:20" x14ac:dyDescent="0.25">
      <c r="A862">
        <v>20110831</v>
      </c>
      <c r="B862">
        <v>2011</v>
      </c>
      <c r="C862">
        <v>8</v>
      </c>
      <c r="D862">
        <v>1</v>
      </c>
      <c r="E862">
        <v>10560</v>
      </c>
      <c r="F862">
        <v>0</v>
      </c>
      <c r="G862">
        <v>0</v>
      </c>
      <c r="H862">
        <v>0</v>
      </c>
      <c r="I862">
        <v>0</v>
      </c>
      <c r="J862">
        <v>-99654178</v>
      </c>
      <c r="K862">
        <v>0</v>
      </c>
      <c r="L862">
        <v>0</v>
      </c>
      <c r="M862">
        <v>98657637</v>
      </c>
      <c r="N862">
        <v>0</v>
      </c>
      <c r="O862">
        <v>98657637</v>
      </c>
      <c r="P862">
        <v>0</v>
      </c>
      <c r="Q862">
        <v>99654178</v>
      </c>
      <c r="R862" s="14">
        <f>_xlfn.XLOOKUP(Table2[[#This Row],[LoanID]],Table1[G-L ID],Table1[ManagerCode],-99)</f>
        <v>103</v>
      </c>
      <c r="T862"/>
    </row>
    <row r="863" spans="1:20" x14ac:dyDescent="0.25">
      <c r="A863">
        <v>20110831</v>
      </c>
      <c r="B863">
        <v>2011</v>
      </c>
      <c r="C863">
        <v>8</v>
      </c>
      <c r="D863">
        <v>1</v>
      </c>
      <c r="E863">
        <v>10630</v>
      </c>
      <c r="F863">
        <v>49330</v>
      </c>
      <c r="G863">
        <v>0</v>
      </c>
      <c r="H863">
        <v>0</v>
      </c>
      <c r="I863">
        <v>0</v>
      </c>
      <c r="J863">
        <v>0</v>
      </c>
      <c r="K863">
        <v>13286.31</v>
      </c>
      <c r="L863">
        <v>9142554</v>
      </c>
      <c r="M863">
        <v>9129401</v>
      </c>
      <c r="N863">
        <v>9142554</v>
      </c>
      <c r="O863">
        <v>9129401</v>
      </c>
      <c r="P863">
        <v>9234903.2400000002</v>
      </c>
      <c r="Q863">
        <v>9221616.9299999997</v>
      </c>
      <c r="R863" s="14">
        <f>_xlfn.XLOOKUP(Table2[[#This Row],[LoanID]],Table1[G-L ID],Table1[ManagerCode],-99)</f>
        <v>103</v>
      </c>
      <c r="T863"/>
    </row>
    <row r="864" spans="1:20" x14ac:dyDescent="0.25">
      <c r="A864">
        <v>20110831</v>
      </c>
      <c r="B864">
        <v>2011</v>
      </c>
      <c r="C864">
        <v>8</v>
      </c>
      <c r="D864">
        <v>1</v>
      </c>
      <c r="E864">
        <v>10770</v>
      </c>
      <c r="F864">
        <v>0</v>
      </c>
      <c r="G864">
        <v>0</v>
      </c>
      <c r="H864">
        <v>0</v>
      </c>
      <c r="I864">
        <v>0</v>
      </c>
      <c r="J864">
        <v>0</v>
      </c>
      <c r="K864">
        <v>0</v>
      </c>
      <c r="L864">
        <v>115000000</v>
      </c>
      <c r="M864">
        <v>115000000</v>
      </c>
      <c r="N864">
        <v>115000000</v>
      </c>
      <c r="O864">
        <v>115000000</v>
      </c>
      <c r="P864">
        <v>115000000</v>
      </c>
      <c r="Q864">
        <v>115000000</v>
      </c>
      <c r="R864" s="14">
        <f>_xlfn.XLOOKUP(Table2[[#This Row],[LoanID]],Table1[G-L ID],Table1[ManagerCode],-99)</f>
        <v>103</v>
      </c>
      <c r="T864"/>
    </row>
    <row r="865" spans="1:20" x14ac:dyDescent="0.25">
      <c r="A865">
        <v>20110831</v>
      </c>
      <c r="B865">
        <v>2011</v>
      </c>
      <c r="C865">
        <v>8</v>
      </c>
      <c r="D865">
        <v>1</v>
      </c>
      <c r="E865">
        <v>10880</v>
      </c>
      <c r="F865">
        <v>311796</v>
      </c>
      <c r="G865">
        <v>0</v>
      </c>
      <c r="H865">
        <v>0</v>
      </c>
      <c r="I865">
        <v>0</v>
      </c>
      <c r="J865">
        <v>0</v>
      </c>
      <c r="K865">
        <v>0</v>
      </c>
      <c r="L865">
        <v>189503592</v>
      </c>
      <c r="M865">
        <v>191184834</v>
      </c>
      <c r="N865">
        <v>189503592</v>
      </c>
      <c r="O865">
        <v>191184834</v>
      </c>
      <c r="P865">
        <v>201744599.09999999</v>
      </c>
      <c r="Q865">
        <v>201744599.09999999</v>
      </c>
      <c r="R865" s="14">
        <f>_xlfn.XLOOKUP(Table2[[#This Row],[LoanID]],Table1[G-L ID],Table1[ManagerCode],-99)</f>
        <v>103</v>
      </c>
      <c r="T865"/>
    </row>
    <row r="866" spans="1:20" x14ac:dyDescent="0.25">
      <c r="A866">
        <v>20110831</v>
      </c>
      <c r="B866">
        <v>2011</v>
      </c>
      <c r="C866">
        <v>8</v>
      </c>
      <c r="D866">
        <v>1</v>
      </c>
      <c r="E866">
        <v>10900</v>
      </c>
      <c r="F866">
        <v>81959</v>
      </c>
      <c r="G866">
        <v>0</v>
      </c>
      <c r="H866">
        <v>0</v>
      </c>
      <c r="I866">
        <v>0</v>
      </c>
      <c r="J866">
        <v>0</v>
      </c>
      <c r="K866">
        <v>1658.47</v>
      </c>
      <c r="L866">
        <v>8219894</v>
      </c>
      <c r="M866">
        <v>8218319</v>
      </c>
      <c r="N866">
        <v>8219894</v>
      </c>
      <c r="O866">
        <v>8218319</v>
      </c>
      <c r="P866">
        <v>8652520.0899999999</v>
      </c>
      <c r="Q866">
        <v>8650861.6199999992</v>
      </c>
      <c r="R866" s="14">
        <f>_xlfn.XLOOKUP(Table2[[#This Row],[LoanID]],Table1[G-L ID],Table1[ManagerCode],-99)</f>
        <v>103</v>
      </c>
      <c r="T866"/>
    </row>
    <row r="867" spans="1:20" x14ac:dyDescent="0.25">
      <c r="A867">
        <v>20110831</v>
      </c>
      <c r="B867">
        <v>2011</v>
      </c>
      <c r="C867">
        <v>8</v>
      </c>
      <c r="D867">
        <v>1</v>
      </c>
      <c r="E867">
        <v>10950</v>
      </c>
      <c r="F867">
        <v>53915</v>
      </c>
      <c r="G867">
        <v>0</v>
      </c>
      <c r="H867">
        <v>0</v>
      </c>
      <c r="I867">
        <v>0</v>
      </c>
      <c r="J867">
        <v>0</v>
      </c>
      <c r="K867">
        <v>23108.29</v>
      </c>
      <c r="L867">
        <v>10746761</v>
      </c>
      <c r="M867">
        <v>10723884</v>
      </c>
      <c r="N867">
        <v>10746761</v>
      </c>
      <c r="O867">
        <v>10723884</v>
      </c>
      <c r="P867">
        <v>10855313.949999999</v>
      </c>
      <c r="Q867">
        <v>10832205.66</v>
      </c>
      <c r="R867" s="14">
        <f>_xlfn.XLOOKUP(Table2[[#This Row],[LoanID]],Table1[G-L ID],Table1[ManagerCode],-99)</f>
        <v>103</v>
      </c>
      <c r="T867"/>
    </row>
    <row r="868" spans="1:20" x14ac:dyDescent="0.25">
      <c r="A868">
        <v>20110831</v>
      </c>
      <c r="B868">
        <v>2011</v>
      </c>
      <c r="C868">
        <v>8</v>
      </c>
      <c r="D868">
        <v>1</v>
      </c>
      <c r="E868">
        <v>11180</v>
      </c>
      <c r="F868">
        <v>204226</v>
      </c>
      <c r="G868">
        <v>0</v>
      </c>
      <c r="H868">
        <v>0</v>
      </c>
      <c r="I868">
        <v>-1722</v>
      </c>
      <c r="J868">
        <v>0</v>
      </c>
      <c r="K868">
        <v>0</v>
      </c>
      <c r="L868">
        <v>169975207</v>
      </c>
      <c r="M868">
        <v>169975207</v>
      </c>
      <c r="N868">
        <v>169975207</v>
      </c>
      <c r="O868">
        <v>169975207</v>
      </c>
      <c r="P868">
        <v>199970831.5</v>
      </c>
      <c r="Q868">
        <v>199970831.5</v>
      </c>
      <c r="R868" s="14">
        <f>_xlfn.XLOOKUP(Table2[[#This Row],[LoanID]],Table1[G-L ID],Table1[ManagerCode],-99)</f>
        <v>103</v>
      </c>
      <c r="T868"/>
    </row>
    <row r="869" spans="1:20" x14ac:dyDescent="0.25">
      <c r="A869">
        <v>20110831</v>
      </c>
      <c r="B869">
        <v>2011</v>
      </c>
      <c r="C869">
        <v>8</v>
      </c>
      <c r="D869">
        <v>1</v>
      </c>
      <c r="E869">
        <v>11200</v>
      </c>
      <c r="F869">
        <v>69880</v>
      </c>
      <c r="G869">
        <v>0</v>
      </c>
      <c r="H869">
        <v>0</v>
      </c>
      <c r="I869">
        <v>0</v>
      </c>
      <c r="J869">
        <v>0</v>
      </c>
      <c r="K869">
        <v>0</v>
      </c>
      <c r="L869">
        <v>11879576</v>
      </c>
      <c r="M869">
        <v>11879576</v>
      </c>
      <c r="N869">
        <v>11879576</v>
      </c>
      <c r="O869">
        <v>11879576</v>
      </c>
      <c r="P869">
        <v>13976000</v>
      </c>
      <c r="Q869">
        <v>13976000</v>
      </c>
      <c r="R869" s="14">
        <f>_xlfn.XLOOKUP(Table2[[#This Row],[LoanID]],Table1[G-L ID],Table1[ManagerCode],-99)</f>
        <v>103</v>
      </c>
      <c r="T869"/>
    </row>
    <row r="870" spans="1:20" x14ac:dyDescent="0.25">
      <c r="A870">
        <v>20110831</v>
      </c>
      <c r="B870">
        <v>2011</v>
      </c>
      <c r="C870">
        <v>8</v>
      </c>
      <c r="D870">
        <v>1</v>
      </c>
      <c r="E870">
        <v>11240</v>
      </c>
      <c r="F870">
        <v>244566</v>
      </c>
      <c r="G870">
        <v>0</v>
      </c>
      <c r="H870">
        <v>0</v>
      </c>
      <c r="I870">
        <v>0</v>
      </c>
      <c r="J870">
        <v>0</v>
      </c>
      <c r="K870">
        <v>0</v>
      </c>
      <c r="L870">
        <v>177920767</v>
      </c>
      <c r="M870">
        <v>179531809</v>
      </c>
      <c r="N870">
        <v>177920767</v>
      </c>
      <c r="O870">
        <v>179531809</v>
      </c>
      <c r="P870">
        <v>194929626.59999999</v>
      </c>
      <c r="Q870">
        <v>194929626.59999999</v>
      </c>
      <c r="R870" s="14">
        <f>_xlfn.XLOOKUP(Table2[[#This Row],[LoanID]],Table1[G-L ID],Table1[ManagerCode],-99)</f>
        <v>103</v>
      </c>
      <c r="T870"/>
    </row>
    <row r="871" spans="1:20" x14ac:dyDescent="0.25">
      <c r="A871">
        <v>20110831</v>
      </c>
      <c r="B871">
        <v>2011</v>
      </c>
      <c r="C871">
        <v>8</v>
      </c>
      <c r="D871">
        <v>1</v>
      </c>
      <c r="E871">
        <v>11280</v>
      </c>
      <c r="F871">
        <v>23252</v>
      </c>
      <c r="G871">
        <v>0</v>
      </c>
      <c r="H871">
        <v>0</v>
      </c>
      <c r="I871">
        <v>-157</v>
      </c>
      <c r="J871">
        <v>0</v>
      </c>
      <c r="K871">
        <v>0</v>
      </c>
      <c r="L871">
        <v>17141334</v>
      </c>
      <c r="M871">
        <v>17297651</v>
      </c>
      <c r="N871">
        <v>17141334</v>
      </c>
      <c r="O871">
        <v>17297651</v>
      </c>
      <c r="P871">
        <v>18791123.030000001</v>
      </c>
      <c r="Q871">
        <v>18791123.030000001</v>
      </c>
      <c r="R871" s="14">
        <f>_xlfn.XLOOKUP(Table2[[#This Row],[LoanID]],Table1[G-L ID],Table1[ManagerCode],-99)</f>
        <v>103</v>
      </c>
      <c r="T871"/>
    </row>
    <row r="872" spans="1:20" x14ac:dyDescent="0.25">
      <c r="A872">
        <v>20110831</v>
      </c>
      <c r="B872">
        <v>2011</v>
      </c>
      <c r="C872">
        <v>8</v>
      </c>
      <c r="D872">
        <v>1</v>
      </c>
      <c r="E872">
        <v>11300</v>
      </c>
      <c r="F872">
        <v>20927</v>
      </c>
      <c r="G872">
        <v>0</v>
      </c>
      <c r="H872">
        <v>0</v>
      </c>
      <c r="I872">
        <v>-141</v>
      </c>
      <c r="J872">
        <v>0</v>
      </c>
      <c r="K872">
        <v>0</v>
      </c>
      <c r="L872">
        <v>15427201</v>
      </c>
      <c r="M872">
        <v>15567886</v>
      </c>
      <c r="N872">
        <v>15427201</v>
      </c>
      <c r="O872">
        <v>15567886</v>
      </c>
      <c r="P872">
        <v>16912010.73</v>
      </c>
      <c r="Q872">
        <v>16912010.73</v>
      </c>
      <c r="R872" s="14">
        <f>_xlfn.XLOOKUP(Table2[[#This Row],[LoanID]],Table1[G-L ID],Table1[ManagerCode],-99)</f>
        <v>103</v>
      </c>
      <c r="T872"/>
    </row>
    <row r="873" spans="1:20" x14ac:dyDescent="0.25">
      <c r="A873">
        <v>20110831</v>
      </c>
      <c r="B873">
        <v>2011</v>
      </c>
      <c r="C873">
        <v>8</v>
      </c>
      <c r="D873">
        <v>1</v>
      </c>
      <c r="E873">
        <v>11310</v>
      </c>
      <c r="F873">
        <v>13951</v>
      </c>
      <c r="G873">
        <v>0</v>
      </c>
      <c r="H873">
        <v>0</v>
      </c>
      <c r="I873">
        <v>-94</v>
      </c>
      <c r="J873">
        <v>0</v>
      </c>
      <c r="K873">
        <v>0</v>
      </c>
      <c r="L873">
        <v>10289052</v>
      </c>
      <c r="M873">
        <v>10382492</v>
      </c>
      <c r="N873">
        <v>10289052</v>
      </c>
      <c r="O873">
        <v>10382492</v>
      </c>
      <c r="P873">
        <v>11274673.789999999</v>
      </c>
      <c r="Q873">
        <v>11274673.789999999</v>
      </c>
      <c r="R873" s="14">
        <f>_xlfn.XLOOKUP(Table2[[#This Row],[LoanID]],Table1[G-L ID],Table1[ManagerCode],-99)</f>
        <v>103</v>
      </c>
      <c r="T873"/>
    </row>
    <row r="874" spans="1:20" x14ac:dyDescent="0.25">
      <c r="A874">
        <v>20110831</v>
      </c>
      <c r="B874">
        <v>2011</v>
      </c>
      <c r="C874">
        <v>8</v>
      </c>
      <c r="D874">
        <v>1</v>
      </c>
      <c r="E874">
        <v>11380</v>
      </c>
      <c r="F874">
        <v>36080</v>
      </c>
      <c r="G874">
        <v>0</v>
      </c>
      <c r="H874">
        <v>0</v>
      </c>
      <c r="I874">
        <v>0</v>
      </c>
      <c r="J874">
        <v>0</v>
      </c>
      <c r="K874">
        <v>54620.09</v>
      </c>
      <c r="L874">
        <v>6161728</v>
      </c>
      <c r="M874">
        <v>6060334</v>
      </c>
      <c r="N874">
        <v>6161728</v>
      </c>
      <c r="O874">
        <v>6060334</v>
      </c>
      <c r="P874">
        <v>5459758.7599999998</v>
      </c>
      <c r="Q874">
        <v>5405138.6699999999</v>
      </c>
      <c r="R874" s="14">
        <f>_xlfn.XLOOKUP(Table2[[#This Row],[LoanID]],Table1[G-L ID],Table1[ManagerCode],-99)</f>
        <v>103</v>
      </c>
      <c r="T874"/>
    </row>
    <row r="875" spans="1:20" x14ac:dyDescent="0.25">
      <c r="A875">
        <v>20110831</v>
      </c>
      <c r="B875">
        <v>2011</v>
      </c>
      <c r="C875">
        <v>8</v>
      </c>
      <c r="D875">
        <v>1</v>
      </c>
      <c r="E875">
        <v>11630</v>
      </c>
      <c r="F875">
        <v>22500</v>
      </c>
      <c r="G875">
        <v>22958.5</v>
      </c>
      <c r="H875">
        <v>0</v>
      </c>
      <c r="I875">
        <v>0</v>
      </c>
      <c r="J875">
        <v>0</v>
      </c>
      <c r="K875">
        <v>0</v>
      </c>
      <c r="L875">
        <v>4563900</v>
      </c>
      <c r="M875">
        <v>4586858.5</v>
      </c>
      <c r="N875">
        <v>4563900</v>
      </c>
      <c r="O875">
        <v>4586858.5</v>
      </c>
      <c r="P875">
        <v>4563900</v>
      </c>
      <c r="Q875">
        <v>4586858.5</v>
      </c>
      <c r="R875" s="14">
        <f>_xlfn.XLOOKUP(Table2[[#This Row],[LoanID]],Table1[G-L ID],Table1[ManagerCode],-99)</f>
        <v>183</v>
      </c>
      <c r="T875"/>
    </row>
    <row r="876" spans="1:20" x14ac:dyDescent="0.25">
      <c r="A876">
        <v>20110831</v>
      </c>
      <c r="B876">
        <v>2011</v>
      </c>
      <c r="C876">
        <v>8</v>
      </c>
      <c r="D876">
        <v>1</v>
      </c>
      <c r="E876">
        <v>11650</v>
      </c>
      <c r="F876">
        <v>37500</v>
      </c>
      <c r="G876">
        <v>0</v>
      </c>
      <c r="H876">
        <v>0</v>
      </c>
      <c r="I876">
        <v>0</v>
      </c>
      <c r="J876">
        <v>0</v>
      </c>
      <c r="K876">
        <v>0</v>
      </c>
      <c r="L876">
        <v>4800000</v>
      </c>
      <c r="M876">
        <v>4800000</v>
      </c>
      <c r="N876">
        <v>4800000</v>
      </c>
      <c r="O876">
        <v>4800000</v>
      </c>
      <c r="P876">
        <v>6000000</v>
      </c>
      <c r="Q876">
        <v>6000000</v>
      </c>
      <c r="R876" s="14">
        <f>_xlfn.XLOOKUP(Table2[[#This Row],[LoanID]],Table1[G-L ID],Table1[ManagerCode],-99)</f>
        <v>103</v>
      </c>
      <c r="T876"/>
    </row>
    <row r="877" spans="1:20" x14ac:dyDescent="0.25">
      <c r="A877">
        <v>20110831</v>
      </c>
      <c r="B877">
        <v>2011</v>
      </c>
      <c r="C877">
        <v>8</v>
      </c>
      <c r="D877">
        <v>1</v>
      </c>
      <c r="E877">
        <v>11780</v>
      </c>
      <c r="F877">
        <v>180584</v>
      </c>
      <c r="G877">
        <v>0</v>
      </c>
      <c r="H877">
        <v>0</v>
      </c>
      <c r="I877">
        <v>-1133</v>
      </c>
      <c r="J877">
        <v>0</v>
      </c>
      <c r="K877">
        <v>4283.79</v>
      </c>
      <c r="L877">
        <v>52633343</v>
      </c>
      <c r="M877">
        <v>52629916</v>
      </c>
      <c r="N877">
        <v>52633343</v>
      </c>
      <c r="O877">
        <v>52629916</v>
      </c>
      <c r="P877">
        <v>65791678.719999999</v>
      </c>
      <c r="Q877">
        <v>65787394.93</v>
      </c>
      <c r="R877" s="14">
        <f>_xlfn.XLOOKUP(Table2[[#This Row],[LoanID]],Table1[G-L ID],Table1[ManagerCode],-99)</f>
        <v>103</v>
      </c>
      <c r="T877"/>
    </row>
    <row r="878" spans="1:20" x14ac:dyDescent="0.25">
      <c r="A878">
        <v>20110831</v>
      </c>
      <c r="B878">
        <v>2011</v>
      </c>
      <c r="C878">
        <v>8</v>
      </c>
      <c r="D878">
        <v>1</v>
      </c>
      <c r="E878">
        <v>11800</v>
      </c>
      <c r="F878">
        <v>166135</v>
      </c>
      <c r="G878">
        <v>0</v>
      </c>
      <c r="H878">
        <v>0</v>
      </c>
      <c r="I878">
        <v>-280</v>
      </c>
      <c r="J878">
        <v>0</v>
      </c>
      <c r="K878">
        <v>54358.33</v>
      </c>
      <c r="L878">
        <v>29217152</v>
      </c>
      <c r="M878">
        <v>29168229</v>
      </c>
      <c r="N878">
        <v>29217152</v>
      </c>
      <c r="O878">
        <v>29168229</v>
      </c>
      <c r="P878">
        <v>32463469.309999999</v>
      </c>
      <c r="Q878">
        <v>32409110.98</v>
      </c>
      <c r="R878" s="14">
        <f>_xlfn.XLOOKUP(Table2[[#This Row],[LoanID]],Table1[G-L ID],Table1[ManagerCode],-99)</f>
        <v>103</v>
      </c>
      <c r="T878"/>
    </row>
    <row r="879" spans="1:20" x14ac:dyDescent="0.25">
      <c r="A879">
        <v>20110831</v>
      </c>
      <c r="B879">
        <v>2011</v>
      </c>
      <c r="C879">
        <v>8</v>
      </c>
      <c r="D879">
        <v>1</v>
      </c>
      <c r="E879">
        <v>11810</v>
      </c>
      <c r="F879">
        <v>51167</v>
      </c>
      <c r="G879">
        <v>0</v>
      </c>
      <c r="H879">
        <v>0</v>
      </c>
      <c r="I879">
        <v>0</v>
      </c>
      <c r="J879">
        <v>0</v>
      </c>
      <c r="K879">
        <v>0</v>
      </c>
      <c r="L879">
        <v>9533407</v>
      </c>
      <c r="M879">
        <v>9763250</v>
      </c>
      <c r="N879">
        <v>9533407</v>
      </c>
      <c r="O879">
        <v>9763250</v>
      </c>
      <c r="P879">
        <v>10000000</v>
      </c>
      <c r="Q879">
        <v>10000000</v>
      </c>
      <c r="R879" s="14">
        <f>_xlfn.XLOOKUP(Table2[[#This Row],[LoanID]],Table1[G-L ID],Table1[ManagerCode],-99)</f>
        <v>103</v>
      </c>
      <c r="T879"/>
    </row>
    <row r="880" spans="1:20" x14ac:dyDescent="0.25">
      <c r="A880">
        <v>20110831</v>
      </c>
      <c r="B880">
        <v>2011</v>
      </c>
      <c r="C880">
        <v>8</v>
      </c>
      <c r="D880">
        <v>1</v>
      </c>
      <c r="E880">
        <v>11930</v>
      </c>
      <c r="F880">
        <v>126395</v>
      </c>
      <c r="G880">
        <v>0</v>
      </c>
      <c r="H880">
        <v>0</v>
      </c>
      <c r="I880">
        <v>0</v>
      </c>
      <c r="J880">
        <v>0</v>
      </c>
      <c r="K880">
        <v>105304438.59999999</v>
      </c>
      <c r="L880">
        <v>127688536</v>
      </c>
      <c r="M880">
        <v>22682877</v>
      </c>
      <c r="N880">
        <v>127688536</v>
      </c>
      <c r="O880">
        <v>22682877</v>
      </c>
      <c r="P880">
        <v>128092583.90000001</v>
      </c>
      <c r="Q880">
        <v>22788145.309999999</v>
      </c>
      <c r="R880" s="14">
        <f>_xlfn.XLOOKUP(Table2[[#This Row],[LoanID]],Table1[G-L ID],Table1[ManagerCode],-99)</f>
        <v>103</v>
      </c>
      <c r="T880"/>
    </row>
    <row r="881" spans="1:20" x14ac:dyDescent="0.25">
      <c r="A881">
        <v>20110831</v>
      </c>
      <c r="B881">
        <v>2011</v>
      </c>
      <c r="C881">
        <v>8</v>
      </c>
      <c r="D881">
        <v>1</v>
      </c>
      <c r="E881">
        <v>11940</v>
      </c>
      <c r="F881">
        <v>23641</v>
      </c>
      <c r="G881">
        <v>0</v>
      </c>
      <c r="H881">
        <v>0</v>
      </c>
      <c r="I881">
        <v>0</v>
      </c>
      <c r="J881">
        <v>0</v>
      </c>
      <c r="K881">
        <v>0</v>
      </c>
      <c r="L881">
        <v>20996032</v>
      </c>
      <c r="M881">
        <v>20953350</v>
      </c>
      <c r="N881">
        <v>20996032</v>
      </c>
      <c r="O881">
        <v>20953350</v>
      </c>
      <c r="P881">
        <v>21058138.16</v>
      </c>
      <c r="Q881">
        <v>21060304.02</v>
      </c>
      <c r="R881" s="14">
        <f>_xlfn.XLOOKUP(Table2[[#This Row],[LoanID]],Table1[G-L ID],Table1[ManagerCode],-99)</f>
        <v>103</v>
      </c>
      <c r="T881"/>
    </row>
    <row r="882" spans="1:20" x14ac:dyDescent="0.25">
      <c r="A882">
        <v>20110831</v>
      </c>
      <c r="B882">
        <v>2011</v>
      </c>
      <c r="C882">
        <v>8</v>
      </c>
      <c r="D882">
        <v>1</v>
      </c>
      <c r="E882">
        <v>12000</v>
      </c>
      <c r="F882">
        <v>129709</v>
      </c>
      <c r="G882">
        <v>0</v>
      </c>
      <c r="H882">
        <v>0</v>
      </c>
      <c r="I882">
        <v>0</v>
      </c>
      <c r="J882">
        <v>0</v>
      </c>
      <c r="K882">
        <v>0</v>
      </c>
      <c r="L882">
        <v>23082862</v>
      </c>
      <c r="M882">
        <v>23238199</v>
      </c>
      <c r="N882">
        <v>23082862</v>
      </c>
      <c r="O882">
        <v>23238199</v>
      </c>
      <c r="P882">
        <v>25095329.77</v>
      </c>
      <c r="Q882">
        <v>25096024.219999999</v>
      </c>
      <c r="R882" s="14">
        <f>_xlfn.XLOOKUP(Table2[[#This Row],[LoanID]],Table1[G-L ID],Table1[ManagerCode],-99)</f>
        <v>103</v>
      </c>
      <c r="T882"/>
    </row>
    <row r="883" spans="1:20" x14ac:dyDescent="0.25">
      <c r="A883">
        <v>20110831</v>
      </c>
      <c r="B883">
        <v>2011</v>
      </c>
      <c r="C883">
        <v>8</v>
      </c>
      <c r="D883">
        <v>1</v>
      </c>
      <c r="E883">
        <v>12110</v>
      </c>
      <c r="F883">
        <v>120041.53</v>
      </c>
      <c r="G883">
        <v>0</v>
      </c>
      <c r="H883">
        <v>0</v>
      </c>
      <c r="I883">
        <v>0</v>
      </c>
      <c r="J883">
        <v>0</v>
      </c>
      <c r="K883">
        <v>0</v>
      </c>
      <c r="L883">
        <v>16320050.23</v>
      </c>
      <c r="M883">
        <v>16320050.23</v>
      </c>
      <c r="N883">
        <v>16320050.23</v>
      </c>
      <c r="O883">
        <v>16320050.23</v>
      </c>
      <c r="P883">
        <v>16320050.23</v>
      </c>
      <c r="Q883">
        <v>16320050.23</v>
      </c>
      <c r="R883" s="14">
        <f>_xlfn.XLOOKUP(Table2[[#This Row],[LoanID]],Table1[G-L ID],Table1[ManagerCode],-99)</f>
        <v>183</v>
      </c>
      <c r="T883"/>
    </row>
    <row r="884" spans="1:20" x14ac:dyDescent="0.25">
      <c r="A884">
        <v>20110831</v>
      </c>
      <c r="B884">
        <v>2011</v>
      </c>
      <c r="C884">
        <v>8</v>
      </c>
      <c r="D884">
        <v>1</v>
      </c>
      <c r="E884">
        <v>12200</v>
      </c>
      <c r="F884">
        <v>90428</v>
      </c>
      <c r="G884">
        <v>0</v>
      </c>
      <c r="H884">
        <v>0</v>
      </c>
      <c r="I884">
        <v>0</v>
      </c>
      <c r="J884">
        <v>0</v>
      </c>
      <c r="K884">
        <v>31781.26</v>
      </c>
      <c r="L884">
        <v>21214710</v>
      </c>
      <c r="M884">
        <v>20919033</v>
      </c>
      <c r="N884">
        <v>21214710</v>
      </c>
      <c r="O884">
        <v>20919033</v>
      </c>
      <c r="P884">
        <v>19680379.300000001</v>
      </c>
      <c r="Q884">
        <v>19648949.739999998</v>
      </c>
      <c r="R884" s="14">
        <f>_xlfn.XLOOKUP(Table2[[#This Row],[LoanID]],Table1[G-L ID],Table1[ManagerCode],-99)</f>
        <v>103</v>
      </c>
      <c r="T884"/>
    </row>
    <row r="885" spans="1:20" x14ac:dyDescent="0.25">
      <c r="A885">
        <v>20110831</v>
      </c>
      <c r="B885">
        <v>2011</v>
      </c>
      <c r="C885">
        <v>8</v>
      </c>
      <c r="D885">
        <v>1</v>
      </c>
      <c r="E885">
        <v>12210</v>
      </c>
      <c r="F885">
        <v>726276</v>
      </c>
      <c r="G885">
        <v>0</v>
      </c>
      <c r="H885">
        <v>0</v>
      </c>
      <c r="I885">
        <v>0</v>
      </c>
      <c r="J885">
        <v>0</v>
      </c>
      <c r="K885">
        <v>177735.93</v>
      </c>
      <c r="L885">
        <v>138363799</v>
      </c>
      <c r="M885">
        <v>136793101</v>
      </c>
      <c r="N885">
        <v>138363799</v>
      </c>
      <c r="O885">
        <v>136793101</v>
      </c>
      <c r="P885">
        <v>117512583.59999999</v>
      </c>
      <c r="Q885">
        <v>117334847.7</v>
      </c>
      <c r="R885" s="14">
        <f>_xlfn.XLOOKUP(Table2[[#This Row],[LoanID]],Table1[G-L ID],Table1[ManagerCode],-99)</f>
        <v>103</v>
      </c>
      <c r="T885"/>
    </row>
    <row r="886" spans="1:20" x14ac:dyDescent="0.25">
      <c r="A886">
        <v>20110930</v>
      </c>
      <c r="B886">
        <v>2011</v>
      </c>
      <c r="C886">
        <v>9</v>
      </c>
      <c r="D886">
        <v>1</v>
      </c>
      <c r="E886">
        <v>10050</v>
      </c>
      <c r="F886">
        <v>153981</v>
      </c>
      <c r="G886">
        <v>0</v>
      </c>
      <c r="H886">
        <v>0</v>
      </c>
      <c r="I886">
        <v>-138</v>
      </c>
      <c r="J886">
        <v>0</v>
      </c>
      <c r="K886">
        <v>0</v>
      </c>
      <c r="L886">
        <v>29780958</v>
      </c>
      <c r="M886">
        <v>30816524</v>
      </c>
      <c r="N886">
        <v>29780958</v>
      </c>
      <c r="O886">
        <v>30816524</v>
      </c>
      <c r="P886">
        <v>33333334</v>
      </c>
      <c r="Q886">
        <v>33333334</v>
      </c>
      <c r="R886" s="14">
        <f>_xlfn.XLOOKUP(Table2[[#This Row],[LoanID]],Table1[G-L ID],Table1[ManagerCode],-99)</f>
        <v>103</v>
      </c>
      <c r="T886"/>
    </row>
    <row r="887" spans="1:20" x14ac:dyDescent="0.25">
      <c r="A887">
        <v>20110930</v>
      </c>
      <c r="B887">
        <v>2011</v>
      </c>
      <c r="C887">
        <v>9</v>
      </c>
      <c r="D887">
        <v>1</v>
      </c>
      <c r="E887">
        <v>10080</v>
      </c>
      <c r="F887">
        <v>351043</v>
      </c>
      <c r="G887">
        <v>0</v>
      </c>
      <c r="H887">
        <v>0</v>
      </c>
      <c r="I887">
        <v>-161</v>
      </c>
      <c r="J887">
        <v>0</v>
      </c>
      <c r="K887">
        <v>0</v>
      </c>
      <c r="L887">
        <v>73986783</v>
      </c>
      <c r="M887">
        <v>73859395</v>
      </c>
      <c r="N887">
        <v>73986783</v>
      </c>
      <c r="O887">
        <v>73859395</v>
      </c>
      <c r="P887">
        <v>75000000</v>
      </c>
      <c r="Q887">
        <v>75000000</v>
      </c>
      <c r="R887" s="14">
        <f>_xlfn.XLOOKUP(Table2[[#This Row],[LoanID]],Table1[G-L ID],Table1[ManagerCode],-99)</f>
        <v>103</v>
      </c>
      <c r="T887"/>
    </row>
    <row r="888" spans="1:20" x14ac:dyDescent="0.25">
      <c r="A888">
        <v>20110930</v>
      </c>
      <c r="B888">
        <v>2011</v>
      </c>
      <c r="C888">
        <v>9</v>
      </c>
      <c r="D888">
        <v>1</v>
      </c>
      <c r="E888">
        <v>10130</v>
      </c>
      <c r="F888">
        <v>36271</v>
      </c>
      <c r="G888">
        <v>0</v>
      </c>
      <c r="H888">
        <v>0</v>
      </c>
      <c r="I888">
        <v>0</v>
      </c>
      <c r="J888">
        <v>0</v>
      </c>
      <c r="K888">
        <v>31419.66</v>
      </c>
      <c r="L888">
        <v>8350322</v>
      </c>
      <c r="M888">
        <v>8293594</v>
      </c>
      <c r="N888">
        <v>8350322</v>
      </c>
      <c r="O888">
        <v>8293594</v>
      </c>
      <c r="P888">
        <v>8015697.4100000001</v>
      </c>
      <c r="Q888">
        <v>7984277.75</v>
      </c>
      <c r="R888" s="14">
        <f>_xlfn.XLOOKUP(Table2[[#This Row],[LoanID]],Table1[G-L ID],Table1[ManagerCode],-99)</f>
        <v>103</v>
      </c>
      <c r="T888"/>
    </row>
    <row r="889" spans="1:20" x14ac:dyDescent="0.25">
      <c r="A889">
        <v>20110930</v>
      </c>
      <c r="B889">
        <v>2011</v>
      </c>
      <c r="C889">
        <v>9</v>
      </c>
      <c r="D889">
        <v>1</v>
      </c>
      <c r="E889">
        <v>10140</v>
      </c>
      <c r="F889">
        <v>95656</v>
      </c>
      <c r="G889">
        <v>0</v>
      </c>
      <c r="H889">
        <v>0</v>
      </c>
      <c r="I889">
        <v>0</v>
      </c>
      <c r="J889">
        <v>0</v>
      </c>
      <c r="K889">
        <v>82168.05</v>
      </c>
      <c r="L889">
        <v>22022398</v>
      </c>
      <c r="M889">
        <v>21873472</v>
      </c>
      <c r="N889">
        <v>22022398</v>
      </c>
      <c r="O889">
        <v>21873472</v>
      </c>
      <c r="P889">
        <v>21139508.940000001</v>
      </c>
      <c r="Q889">
        <v>21057340.890000001</v>
      </c>
      <c r="R889" s="14">
        <f>_xlfn.XLOOKUP(Table2[[#This Row],[LoanID]],Table1[G-L ID],Table1[ManagerCode],-99)</f>
        <v>103</v>
      </c>
      <c r="T889"/>
    </row>
    <row r="890" spans="1:20" x14ac:dyDescent="0.25">
      <c r="A890">
        <v>20110930</v>
      </c>
      <c r="B890">
        <v>2011</v>
      </c>
      <c r="C890">
        <v>9</v>
      </c>
      <c r="D890">
        <v>1</v>
      </c>
      <c r="E890">
        <v>10150</v>
      </c>
      <c r="F890">
        <v>243007</v>
      </c>
      <c r="G890">
        <v>0</v>
      </c>
      <c r="H890">
        <v>0</v>
      </c>
      <c r="I890">
        <v>0</v>
      </c>
      <c r="J890">
        <v>0</v>
      </c>
      <c r="K890">
        <v>70313.06</v>
      </c>
      <c r="L890">
        <v>52204851</v>
      </c>
      <c r="M890">
        <v>52135241</v>
      </c>
      <c r="N890">
        <v>52204851</v>
      </c>
      <c r="O890">
        <v>52135241</v>
      </c>
      <c r="P890">
        <v>52732067.299999997</v>
      </c>
      <c r="Q890">
        <v>52661754.240000002</v>
      </c>
      <c r="R890" s="14">
        <f>_xlfn.XLOOKUP(Table2[[#This Row],[LoanID]],Table1[G-L ID],Table1[ManagerCode],-99)</f>
        <v>103</v>
      </c>
      <c r="T890"/>
    </row>
    <row r="891" spans="1:20" x14ac:dyDescent="0.25">
      <c r="A891">
        <v>20110930</v>
      </c>
      <c r="B891">
        <v>2011</v>
      </c>
      <c r="C891">
        <v>9</v>
      </c>
      <c r="D891">
        <v>1</v>
      </c>
      <c r="E891">
        <v>10170</v>
      </c>
      <c r="F891">
        <v>250065</v>
      </c>
      <c r="G891">
        <v>0</v>
      </c>
      <c r="H891">
        <v>0</v>
      </c>
      <c r="I891">
        <v>-1198</v>
      </c>
      <c r="J891">
        <v>0</v>
      </c>
      <c r="K891">
        <v>65846.95</v>
      </c>
      <c r="L891">
        <v>48586501</v>
      </c>
      <c r="M891">
        <v>49871175</v>
      </c>
      <c r="N891">
        <v>48586501</v>
      </c>
      <c r="O891">
        <v>49871175</v>
      </c>
      <c r="P891">
        <v>46389492.350000001</v>
      </c>
      <c r="Q891">
        <v>46323645.399999999</v>
      </c>
      <c r="R891" s="14">
        <f>_xlfn.XLOOKUP(Table2[[#This Row],[LoanID]],Table1[G-L ID],Table1[ManagerCode],-99)</f>
        <v>103</v>
      </c>
      <c r="T891"/>
    </row>
    <row r="892" spans="1:20" x14ac:dyDescent="0.25">
      <c r="A892">
        <v>20110930</v>
      </c>
      <c r="B892">
        <v>2011</v>
      </c>
      <c r="C892">
        <v>9</v>
      </c>
      <c r="D892">
        <v>1</v>
      </c>
      <c r="E892">
        <v>10230</v>
      </c>
      <c r="F892">
        <v>183680</v>
      </c>
      <c r="G892">
        <v>0</v>
      </c>
      <c r="H892">
        <v>0</v>
      </c>
      <c r="I892">
        <v>0</v>
      </c>
      <c r="J892">
        <v>0</v>
      </c>
      <c r="K892">
        <v>57918.26</v>
      </c>
      <c r="L892">
        <v>27797241</v>
      </c>
      <c r="M892">
        <v>27748010</v>
      </c>
      <c r="N892">
        <v>27797241</v>
      </c>
      <c r="O892">
        <v>27748010</v>
      </c>
      <c r="P892">
        <v>32702636.27</v>
      </c>
      <c r="Q892">
        <v>32644718.010000002</v>
      </c>
      <c r="R892" s="14">
        <f>_xlfn.XLOOKUP(Table2[[#This Row],[LoanID]],Table1[G-L ID],Table1[ManagerCode],-99)</f>
        <v>103</v>
      </c>
      <c r="T892"/>
    </row>
    <row r="893" spans="1:20" x14ac:dyDescent="0.25">
      <c r="A893">
        <v>20110930</v>
      </c>
      <c r="B893">
        <v>2011</v>
      </c>
      <c r="C893">
        <v>9</v>
      </c>
      <c r="D893">
        <v>1</v>
      </c>
      <c r="E893">
        <v>10280</v>
      </c>
      <c r="F893">
        <v>181412</v>
      </c>
      <c r="G893">
        <v>0</v>
      </c>
      <c r="H893">
        <v>0</v>
      </c>
      <c r="I893">
        <v>0</v>
      </c>
      <c r="J893">
        <v>0</v>
      </c>
      <c r="K893">
        <v>0</v>
      </c>
      <c r="L893">
        <v>31500032</v>
      </c>
      <c r="M893">
        <v>33250033</v>
      </c>
      <c r="N893">
        <v>31500032</v>
      </c>
      <c r="O893">
        <v>33250033</v>
      </c>
      <c r="P893">
        <v>35000000</v>
      </c>
      <c r="Q893">
        <v>35000000</v>
      </c>
      <c r="R893" s="14">
        <f>_xlfn.XLOOKUP(Table2[[#This Row],[LoanID]],Table1[G-L ID],Table1[ManagerCode],-99)</f>
        <v>103</v>
      </c>
      <c r="T893"/>
    </row>
    <row r="894" spans="1:20" x14ac:dyDescent="0.25">
      <c r="A894">
        <v>20110930</v>
      </c>
      <c r="B894">
        <v>2011</v>
      </c>
      <c r="C894">
        <v>9</v>
      </c>
      <c r="D894">
        <v>1</v>
      </c>
      <c r="E894">
        <v>10290</v>
      </c>
      <c r="F894">
        <v>171301</v>
      </c>
      <c r="G894">
        <v>0</v>
      </c>
      <c r="H894">
        <v>0</v>
      </c>
      <c r="I894">
        <v>0</v>
      </c>
      <c r="J894">
        <v>0</v>
      </c>
      <c r="K894">
        <v>0</v>
      </c>
      <c r="L894">
        <v>21250000</v>
      </c>
      <c r="M894">
        <v>22500000</v>
      </c>
      <c r="N894">
        <v>21250000</v>
      </c>
      <c r="O894">
        <v>22500000</v>
      </c>
      <c r="P894">
        <v>25000000</v>
      </c>
      <c r="Q894">
        <v>25000000</v>
      </c>
      <c r="R894" s="14">
        <f>_xlfn.XLOOKUP(Table2[[#This Row],[LoanID]],Table1[G-L ID],Table1[ManagerCode],-99)</f>
        <v>103</v>
      </c>
      <c r="T894"/>
    </row>
    <row r="895" spans="1:20" x14ac:dyDescent="0.25">
      <c r="A895">
        <v>20110930</v>
      </c>
      <c r="B895">
        <v>2011</v>
      </c>
      <c r="C895">
        <v>9</v>
      </c>
      <c r="D895">
        <v>1</v>
      </c>
      <c r="E895">
        <v>10300</v>
      </c>
      <c r="F895">
        <v>149888</v>
      </c>
      <c r="G895">
        <v>0</v>
      </c>
      <c r="H895">
        <v>0</v>
      </c>
      <c r="I895">
        <v>0</v>
      </c>
      <c r="J895">
        <v>0</v>
      </c>
      <c r="K895">
        <v>0</v>
      </c>
      <c r="L895">
        <v>30716479</v>
      </c>
      <c r="M895">
        <v>33326285</v>
      </c>
      <c r="N895">
        <v>30716479</v>
      </c>
      <c r="O895">
        <v>33326285</v>
      </c>
      <c r="P895">
        <v>35000000</v>
      </c>
      <c r="Q895">
        <v>35000000</v>
      </c>
      <c r="R895" s="14">
        <f>_xlfn.XLOOKUP(Table2[[#This Row],[LoanID]],Table1[G-L ID],Table1[ManagerCode],-99)</f>
        <v>103</v>
      </c>
      <c r="T895"/>
    </row>
    <row r="896" spans="1:20" x14ac:dyDescent="0.25">
      <c r="A896">
        <v>20110930</v>
      </c>
      <c r="B896">
        <v>2011</v>
      </c>
      <c r="C896">
        <v>9</v>
      </c>
      <c r="D896">
        <v>1</v>
      </c>
      <c r="E896">
        <v>10310</v>
      </c>
      <c r="F896">
        <v>102001.15</v>
      </c>
      <c r="G896">
        <v>0</v>
      </c>
      <c r="H896">
        <v>0</v>
      </c>
      <c r="I896">
        <v>0</v>
      </c>
      <c r="J896">
        <v>-11258.66</v>
      </c>
      <c r="K896">
        <v>0</v>
      </c>
      <c r="L896">
        <v>14521502.640000001</v>
      </c>
      <c r="M896">
        <v>14532761.300000001</v>
      </c>
      <c r="N896">
        <v>14521502.640000001</v>
      </c>
      <c r="O896">
        <v>14532761.300000001</v>
      </c>
      <c r="P896">
        <v>14521502.640000001</v>
      </c>
      <c r="Q896">
        <v>14532761.300000001</v>
      </c>
      <c r="R896" s="14">
        <f>_xlfn.XLOOKUP(Table2[[#This Row],[LoanID]],Table1[G-L ID],Table1[ManagerCode],-99)</f>
        <v>183</v>
      </c>
      <c r="T896"/>
    </row>
    <row r="897" spans="1:20" x14ac:dyDescent="0.25">
      <c r="A897">
        <v>20110930</v>
      </c>
      <c r="B897">
        <v>2011</v>
      </c>
      <c r="C897">
        <v>9</v>
      </c>
      <c r="D897">
        <v>1</v>
      </c>
      <c r="E897">
        <v>10370</v>
      </c>
      <c r="F897">
        <v>5055</v>
      </c>
      <c r="G897">
        <v>0</v>
      </c>
      <c r="H897">
        <v>0</v>
      </c>
      <c r="I897">
        <v>0</v>
      </c>
      <c r="J897">
        <v>0</v>
      </c>
      <c r="K897">
        <v>36754.58</v>
      </c>
      <c r="L897">
        <v>2757485</v>
      </c>
      <c r="M897">
        <v>2724406</v>
      </c>
      <c r="N897">
        <v>2757485</v>
      </c>
      <c r="O897">
        <v>2724406</v>
      </c>
      <c r="P897">
        <v>3063872.49</v>
      </c>
      <c r="Q897">
        <v>3027117.91</v>
      </c>
      <c r="R897" s="14">
        <f>_xlfn.XLOOKUP(Table2[[#This Row],[LoanID]],Table1[G-L ID],Table1[ManagerCode],-99)</f>
        <v>103</v>
      </c>
      <c r="T897"/>
    </row>
    <row r="898" spans="1:20" x14ac:dyDescent="0.25">
      <c r="A898">
        <v>20110930</v>
      </c>
      <c r="B898">
        <v>2011</v>
      </c>
      <c r="C898">
        <v>9</v>
      </c>
      <c r="D898">
        <v>1</v>
      </c>
      <c r="E898">
        <v>10390</v>
      </c>
      <c r="F898">
        <v>118750</v>
      </c>
      <c r="G898">
        <v>0</v>
      </c>
      <c r="H898">
        <v>0</v>
      </c>
      <c r="I898">
        <v>0</v>
      </c>
      <c r="J898">
        <v>0</v>
      </c>
      <c r="K898">
        <v>0</v>
      </c>
      <c r="L898">
        <v>22500000</v>
      </c>
      <c r="M898">
        <v>22500000</v>
      </c>
      <c r="N898">
        <v>22500000</v>
      </c>
      <c r="O898">
        <v>22500000</v>
      </c>
      <c r="P898">
        <v>24993469.280000001</v>
      </c>
      <c r="Q898">
        <v>24993673.370000001</v>
      </c>
      <c r="R898" s="14">
        <f>_xlfn.XLOOKUP(Table2[[#This Row],[LoanID]],Table1[G-L ID],Table1[ManagerCode],-99)</f>
        <v>103</v>
      </c>
      <c r="T898"/>
    </row>
    <row r="899" spans="1:20" x14ac:dyDescent="0.25">
      <c r="A899">
        <v>20110930</v>
      </c>
      <c r="B899">
        <v>2011</v>
      </c>
      <c r="C899">
        <v>9</v>
      </c>
      <c r="D899">
        <v>1</v>
      </c>
      <c r="E899">
        <v>10450</v>
      </c>
      <c r="F899">
        <v>119669</v>
      </c>
      <c r="G899">
        <v>0</v>
      </c>
      <c r="H899">
        <v>0</v>
      </c>
      <c r="I899">
        <v>0</v>
      </c>
      <c r="J899">
        <v>0</v>
      </c>
      <c r="K899">
        <v>22145.759999999998</v>
      </c>
      <c r="L899">
        <v>21250725</v>
      </c>
      <c r="M899">
        <v>21228801</v>
      </c>
      <c r="N899">
        <v>21250725</v>
      </c>
      <c r="O899">
        <v>21228801</v>
      </c>
      <c r="P899">
        <v>21465378.829999998</v>
      </c>
      <c r="Q899">
        <v>21443233.07</v>
      </c>
      <c r="R899" s="14">
        <f>_xlfn.XLOOKUP(Table2[[#This Row],[LoanID]],Table1[G-L ID],Table1[ManagerCode],-99)</f>
        <v>103</v>
      </c>
      <c r="T899"/>
    </row>
    <row r="900" spans="1:20" x14ac:dyDescent="0.25">
      <c r="A900">
        <v>20110930</v>
      </c>
      <c r="B900">
        <v>2011</v>
      </c>
      <c r="C900">
        <v>9</v>
      </c>
      <c r="D900">
        <v>1</v>
      </c>
      <c r="E900">
        <v>10550</v>
      </c>
      <c r="F900">
        <v>21395</v>
      </c>
      <c r="G900">
        <v>0</v>
      </c>
      <c r="H900">
        <v>0</v>
      </c>
      <c r="I900">
        <v>-12</v>
      </c>
      <c r="J900">
        <v>0</v>
      </c>
      <c r="K900">
        <v>0</v>
      </c>
      <c r="L900">
        <v>3999634</v>
      </c>
      <c r="M900">
        <v>3999634</v>
      </c>
      <c r="N900">
        <v>3999634</v>
      </c>
      <c r="O900">
        <v>3999634</v>
      </c>
      <c r="P900">
        <v>4021517.44</v>
      </c>
      <c r="Q900">
        <v>4023200.79</v>
      </c>
      <c r="R900" s="14">
        <f>_xlfn.XLOOKUP(Table2[[#This Row],[LoanID]],Table1[G-L ID],Table1[ManagerCode],-99)</f>
        <v>103</v>
      </c>
      <c r="T900"/>
    </row>
    <row r="901" spans="1:20" x14ac:dyDescent="0.25">
      <c r="A901">
        <v>20110930</v>
      </c>
      <c r="B901">
        <v>2011</v>
      </c>
      <c r="C901">
        <v>9</v>
      </c>
      <c r="D901">
        <v>1</v>
      </c>
      <c r="E901">
        <v>10560</v>
      </c>
      <c r="F901">
        <v>527752</v>
      </c>
      <c r="G901">
        <v>0</v>
      </c>
      <c r="H901">
        <v>0</v>
      </c>
      <c r="I901">
        <v>-300</v>
      </c>
      <c r="J901">
        <v>0</v>
      </c>
      <c r="K901">
        <v>0</v>
      </c>
      <c r="L901">
        <v>98657637</v>
      </c>
      <c r="M901">
        <v>98657637</v>
      </c>
      <c r="N901">
        <v>98657637</v>
      </c>
      <c r="O901">
        <v>98657637</v>
      </c>
      <c r="P901">
        <v>99654178</v>
      </c>
      <c r="Q901">
        <v>99654178</v>
      </c>
      <c r="R901" s="14">
        <f>_xlfn.XLOOKUP(Table2[[#This Row],[LoanID]],Table1[G-L ID],Table1[ManagerCode],-99)</f>
        <v>103</v>
      </c>
      <c r="T901"/>
    </row>
    <row r="902" spans="1:20" x14ac:dyDescent="0.25">
      <c r="A902">
        <v>20110930</v>
      </c>
      <c r="B902">
        <v>2011</v>
      </c>
      <c r="C902">
        <v>9</v>
      </c>
      <c r="D902">
        <v>1</v>
      </c>
      <c r="E902">
        <v>10630</v>
      </c>
      <c r="F902">
        <v>49259</v>
      </c>
      <c r="G902">
        <v>0</v>
      </c>
      <c r="H902">
        <v>0</v>
      </c>
      <c r="I902">
        <v>0</v>
      </c>
      <c r="J902">
        <v>0</v>
      </c>
      <c r="K902">
        <v>13357.28</v>
      </c>
      <c r="L902">
        <v>9129401</v>
      </c>
      <c r="M902">
        <v>9588494</v>
      </c>
      <c r="N902">
        <v>9129401</v>
      </c>
      <c r="O902">
        <v>9588494</v>
      </c>
      <c r="P902">
        <v>9221616.9299999997</v>
      </c>
      <c r="Q902">
        <v>9208259.6500000004</v>
      </c>
      <c r="R902" s="14">
        <f>_xlfn.XLOOKUP(Table2[[#This Row],[LoanID]],Table1[G-L ID],Table1[ManagerCode],-99)</f>
        <v>103</v>
      </c>
      <c r="T902"/>
    </row>
    <row r="903" spans="1:20" x14ac:dyDescent="0.25">
      <c r="A903">
        <v>20110930</v>
      </c>
      <c r="B903">
        <v>2011</v>
      </c>
      <c r="C903">
        <v>9</v>
      </c>
      <c r="D903">
        <v>1</v>
      </c>
      <c r="E903">
        <v>10770</v>
      </c>
      <c r="F903">
        <v>0</v>
      </c>
      <c r="G903">
        <v>0</v>
      </c>
      <c r="H903">
        <v>0</v>
      </c>
      <c r="I903">
        <v>0</v>
      </c>
      <c r="J903">
        <v>0</v>
      </c>
      <c r="K903">
        <v>0</v>
      </c>
      <c r="L903">
        <v>115000000</v>
      </c>
      <c r="M903">
        <v>115000000</v>
      </c>
      <c r="N903">
        <v>115000000</v>
      </c>
      <c r="O903">
        <v>115000000</v>
      </c>
      <c r="P903">
        <v>115000000</v>
      </c>
      <c r="Q903">
        <v>115000000</v>
      </c>
      <c r="R903" s="14">
        <f>_xlfn.XLOOKUP(Table2[[#This Row],[LoanID]],Table1[G-L ID],Table1[ManagerCode],-99)</f>
        <v>103</v>
      </c>
      <c r="T903"/>
    </row>
    <row r="904" spans="1:20" x14ac:dyDescent="0.25">
      <c r="A904">
        <v>20110930</v>
      </c>
      <c r="B904">
        <v>2011</v>
      </c>
      <c r="C904">
        <v>9</v>
      </c>
      <c r="D904">
        <v>1</v>
      </c>
      <c r="E904">
        <v>10880</v>
      </c>
      <c r="F904">
        <v>277253</v>
      </c>
      <c r="G904">
        <v>0</v>
      </c>
      <c r="H904">
        <v>0</v>
      </c>
      <c r="I904">
        <v>0</v>
      </c>
      <c r="J904">
        <v>0</v>
      </c>
      <c r="K904">
        <v>0</v>
      </c>
      <c r="L904">
        <v>191184834</v>
      </c>
      <c r="M904">
        <v>191657369</v>
      </c>
      <c r="N904">
        <v>191184834</v>
      </c>
      <c r="O904">
        <v>191657369</v>
      </c>
      <c r="P904">
        <v>201744599.09999999</v>
      </c>
      <c r="Q904">
        <v>201744599.09999999</v>
      </c>
      <c r="R904" s="14">
        <f>_xlfn.XLOOKUP(Table2[[#This Row],[LoanID]],Table1[G-L ID],Table1[ManagerCode],-99)</f>
        <v>103</v>
      </c>
      <c r="T904"/>
    </row>
    <row r="905" spans="1:20" x14ac:dyDescent="0.25">
      <c r="A905">
        <v>20110930</v>
      </c>
      <c r="B905">
        <v>2011</v>
      </c>
      <c r="C905">
        <v>9</v>
      </c>
      <c r="D905">
        <v>1</v>
      </c>
      <c r="E905">
        <v>10900</v>
      </c>
      <c r="F905">
        <v>81943</v>
      </c>
      <c r="G905">
        <v>0</v>
      </c>
      <c r="H905">
        <v>0</v>
      </c>
      <c r="I905">
        <v>0</v>
      </c>
      <c r="J905">
        <v>0</v>
      </c>
      <c r="K905">
        <v>1674.18</v>
      </c>
      <c r="L905">
        <v>8218319</v>
      </c>
      <c r="M905">
        <v>8216728</v>
      </c>
      <c r="N905">
        <v>8218319</v>
      </c>
      <c r="O905">
        <v>8216728</v>
      </c>
      <c r="P905">
        <v>8650861.6199999992</v>
      </c>
      <c r="Q905">
        <v>8649187.4399999995</v>
      </c>
      <c r="R905" s="14">
        <f>_xlfn.XLOOKUP(Table2[[#This Row],[LoanID]],Table1[G-L ID],Table1[ManagerCode],-99)</f>
        <v>103</v>
      </c>
      <c r="T905"/>
    </row>
    <row r="906" spans="1:20" x14ac:dyDescent="0.25">
      <c r="A906">
        <v>20110930</v>
      </c>
      <c r="B906">
        <v>2011</v>
      </c>
      <c r="C906">
        <v>9</v>
      </c>
      <c r="D906">
        <v>1</v>
      </c>
      <c r="E906">
        <v>10950</v>
      </c>
      <c r="F906">
        <v>53800</v>
      </c>
      <c r="G906">
        <v>0</v>
      </c>
      <c r="H906">
        <v>0</v>
      </c>
      <c r="I906">
        <v>0</v>
      </c>
      <c r="J906">
        <v>0</v>
      </c>
      <c r="K906">
        <v>23223.07</v>
      </c>
      <c r="L906">
        <v>10723884</v>
      </c>
      <c r="M906">
        <v>10700893</v>
      </c>
      <c r="N906">
        <v>10723884</v>
      </c>
      <c r="O906">
        <v>10700893</v>
      </c>
      <c r="P906">
        <v>10832205.66</v>
      </c>
      <c r="Q906">
        <v>10808982.59</v>
      </c>
      <c r="R906" s="14">
        <f>_xlfn.XLOOKUP(Table2[[#This Row],[LoanID]],Table1[G-L ID],Table1[ManagerCode],-99)</f>
        <v>103</v>
      </c>
      <c r="T906"/>
    </row>
    <row r="907" spans="1:20" x14ac:dyDescent="0.25">
      <c r="A907">
        <v>20110930</v>
      </c>
      <c r="B907">
        <v>2011</v>
      </c>
      <c r="C907">
        <v>9</v>
      </c>
      <c r="D907">
        <v>1</v>
      </c>
      <c r="E907">
        <v>11110</v>
      </c>
      <c r="F907">
        <v>0</v>
      </c>
      <c r="G907">
        <v>0</v>
      </c>
      <c r="H907">
        <v>157429.98000000001</v>
      </c>
      <c r="I907">
        <v>0</v>
      </c>
      <c r="J907">
        <v>-1503320.7</v>
      </c>
      <c r="K907">
        <v>0</v>
      </c>
      <c r="L907">
        <v>0</v>
      </c>
      <c r="M907">
        <v>1503320.7</v>
      </c>
      <c r="N907">
        <v>0</v>
      </c>
      <c r="O907">
        <v>1503320.7</v>
      </c>
      <c r="P907">
        <v>0</v>
      </c>
      <c r="Q907">
        <v>1503320.7</v>
      </c>
      <c r="R907" s="14">
        <f>_xlfn.XLOOKUP(Table2[[#This Row],[LoanID]],Table1[G-L ID],Table1[ManagerCode],-99)</f>
        <v>183</v>
      </c>
      <c r="T907"/>
    </row>
    <row r="908" spans="1:20" x14ac:dyDescent="0.25">
      <c r="A908">
        <v>20110930</v>
      </c>
      <c r="B908">
        <v>2011</v>
      </c>
      <c r="C908">
        <v>9</v>
      </c>
      <c r="D908">
        <v>1</v>
      </c>
      <c r="E908">
        <v>11180</v>
      </c>
      <c r="F908">
        <v>207670</v>
      </c>
      <c r="G908">
        <v>0</v>
      </c>
      <c r="H908">
        <v>0</v>
      </c>
      <c r="I908">
        <v>-1722</v>
      </c>
      <c r="J908">
        <v>0</v>
      </c>
      <c r="K908">
        <v>0</v>
      </c>
      <c r="L908">
        <v>169975207</v>
      </c>
      <c r="M908">
        <v>170543691</v>
      </c>
      <c r="N908">
        <v>169975207</v>
      </c>
      <c r="O908">
        <v>170543691</v>
      </c>
      <c r="P908">
        <v>199970831.5</v>
      </c>
      <c r="Q908">
        <v>199970831.5</v>
      </c>
      <c r="R908" s="14">
        <f>_xlfn.XLOOKUP(Table2[[#This Row],[LoanID]],Table1[G-L ID],Table1[ManagerCode],-99)</f>
        <v>103</v>
      </c>
      <c r="T908"/>
    </row>
    <row r="909" spans="1:20" x14ac:dyDescent="0.25">
      <c r="A909">
        <v>20110930</v>
      </c>
      <c r="B909">
        <v>2011</v>
      </c>
      <c r="C909">
        <v>9</v>
      </c>
      <c r="D909">
        <v>1</v>
      </c>
      <c r="E909">
        <v>11200</v>
      </c>
      <c r="F909">
        <v>69880</v>
      </c>
      <c r="G909">
        <v>0</v>
      </c>
      <c r="H909">
        <v>0</v>
      </c>
      <c r="I909">
        <v>0</v>
      </c>
      <c r="J909">
        <v>0</v>
      </c>
      <c r="K909">
        <v>0</v>
      </c>
      <c r="L909">
        <v>11879576</v>
      </c>
      <c r="M909">
        <v>11946804</v>
      </c>
      <c r="N909">
        <v>11879576</v>
      </c>
      <c r="O909">
        <v>11946804</v>
      </c>
      <c r="P909">
        <v>13976000</v>
      </c>
      <c r="Q909">
        <v>13976000</v>
      </c>
      <c r="R909" s="14">
        <f>_xlfn.XLOOKUP(Table2[[#This Row],[LoanID]],Table1[G-L ID],Table1[ManagerCode],-99)</f>
        <v>103</v>
      </c>
      <c r="T909"/>
    </row>
    <row r="910" spans="1:20" x14ac:dyDescent="0.25">
      <c r="A910">
        <v>20110930</v>
      </c>
      <c r="B910">
        <v>2011</v>
      </c>
      <c r="C910">
        <v>9</v>
      </c>
      <c r="D910">
        <v>1</v>
      </c>
      <c r="E910">
        <v>11240</v>
      </c>
      <c r="F910">
        <v>248091</v>
      </c>
      <c r="G910">
        <v>0</v>
      </c>
      <c r="H910">
        <v>0</v>
      </c>
      <c r="I910">
        <v>0</v>
      </c>
      <c r="J910">
        <v>0</v>
      </c>
      <c r="K910">
        <v>0</v>
      </c>
      <c r="L910">
        <v>179531809</v>
      </c>
      <c r="M910">
        <v>181148170</v>
      </c>
      <c r="N910">
        <v>179531809</v>
      </c>
      <c r="O910">
        <v>181148170</v>
      </c>
      <c r="P910">
        <v>194929626.59999999</v>
      </c>
      <c r="Q910">
        <v>194929626.59999999</v>
      </c>
      <c r="R910" s="14">
        <f>_xlfn.XLOOKUP(Table2[[#This Row],[LoanID]],Table1[G-L ID],Table1[ManagerCode],-99)</f>
        <v>103</v>
      </c>
      <c r="T910"/>
    </row>
    <row r="911" spans="1:20" x14ac:dyDescent="0.25">
      <c r="A911">
        <v>20110930</v>
      </c>
      <c r="B911">
        <v>2011</v>
      </c>
      <c r="C911">
        <v>9</v>
      </c>
      <c r="D911">
        <v>1</v>
      </c>
      <c r="E911">
        <v>11280</v>
      </c>
      <c r="F911">
        <v>23592</v>
      </c>
      <c r="G911">
        <v>0</v>
      </c>
      <c r="H911">
        <v>0</v>
      </c>
      <c r="I911">
        <v>-157</v>
      </c>
      <c r="J911">
        <v>0</v>
      </c>
      <c r="K911">
        <v>0</v>
      </c>
      <c r="L911">
        <v>17297651</v>
      </c>
      <c r="M911">
        <v>17456951</v>
      </c>
      <c r="N911">
        <v>17297651</v>
      </c>
      <c r="O911">
        <v>17456951</v>
      </c>
      <c r="P911">
        <v>18791123.030000001</v>
      </c>
      <c r="Q911">
        <v>18791123.030000001</v>
      </c>
      <c r="R911" s="14">
        <f>_xlfn.XLOOKUP(Table2[[#This Row],[LoanID]],Table1[G-L ID],Table1[ManagerCode],-99)</f>
        <v>103</v>
      </c>
      <c r="T911"/>
    </row>
    <row r="912" spans="1:20" x14ac:dyDescent="0.25">
      <c r="A912">
        <v>20110930</v>
      </c>
      <c r="B912">
        <v>2011</v>
      </c>
      <c r="C912">
        <v>9</v>
      </c>
      <c r="D912">
        <v>1</v>
      </c>
      <c r="E912">
        <v>11300</v>
      </c>
      <c r="F912">
        <v>21233</v>
      </c>
      <c r="G912">
        <v>0</v>
      </c>
      <c r="H912">
        <v>0</v>
      </c>
      <c r="I912">
        <v>-141</v>
      </c>
      <c r="J912">
        <v>0</v>
      </c>
      <c r="K912">
        <v>0</v>
      </c>
      <c r="L912">
        <v>15567886</v>
      </c>
      <c r="M912">
        <v>15711256</v>
      </c>
      <c r="N912">
        <v>15567886</v>
      </c>
      <c r="O912">
        <v>15711256</v>
      </c>
      <c r="P912">
        <v>16912010.73</v>
      </c>
      <c r="Q912">
        <v>16912010.73</v>
      </c>
      <c r="R912" s="14">
        <f>_xlfn.XLOOKUP(Table2[[#This Row],[LoanID]],Table1[G-L ID],Table1[ManagerCode],-99)</f>
        <v>103</v>
      </c>
      <c r="T912"/>
    </row>
    <row r="913" spans="1:20" x14ac:dyDescent="0.25">
      <c r="A913">
        <v>20110930</v>
      </c>
      <c r="B913">
        <v>2011</v>
      </c>
      <c r="C913">
        <v>9</v>
      </c>
      <c r="D913">
        <v>1</v>
      </c>
      <c r="E913">
        <v>11310</v>
      </c>
      <c r="F913">
        <v>14155</v>
      </c>
      <c r="G913">
        <v>0</v>
      </c>
      <c r="H913">
        <v>0</v>
      </c>
      <c r="I913">
        <v>-94</v>
      </c>
      <c r="J913">
        <v>0</v>
      </c>
      <c r="K913">
        <v>0</v>
      </c>
      <c r="L913">
        <v>10382492</v>
      </c>
      <c r="M913">
        <v>10477707</v>
      </c>
      <c r="N913">
        <v>10382492</v>
      </c>
      <c r="O913">
        <v>10477707</v>
      </c>
      <c r="P913">
        <v>11274673.789999999</v>
      </c>
      <c r="Q913">
        <v>11274673.789999999</v>
      </c>
      <c r="R913" s="14">
        <f>_xlfn.XLOOKUP(Table2[[#This Row],[LoanID]],Table1[G-L ID],Table1[ManagerCode],-99)</f>
        <v>103</v>
      </c>
      <c r="T913"/>
    </row>
    <row r="914" spans="1:20" x14ac:dyDescent="0.25">
      <c r="A914">
        <v>20110930</v>
      </c>
      <c r="B914">
        <v>2011</v>
      </c>
      <c r="C914">
        <v>9</v>
      </c>
      <c r="D914">
        <v>1</v>
      </c>
      <c r="E914">
        <v>11380</v>
      </c>
      <c r="F914">
        <v>35719</v>
      </c>
      <c r="G914">
        <v>0</v>
      </c>
      <c r="H914">
        <v>0</v>
      </c>
      <c r="I914">
        <v>0</v>
      </c>
      <c r="J914">
        <v>0</v>
      </c>
      <c r="K914">
        <v>54981.04</v>
      </c>
      <c r="L914">
        <v>6060334</v>
      </c>
      <c r="M914">
        <v>6016442</v>
      </c>
      <c r="N914">
        <v>6060334</v>
      </c>
      <c r="O914">
        <v>6016442</v>
      </c>
      <c r="P914">
        <v>5405138.6699999999</v>
      </c>
      <c r="Q914">
        <v>5350157.63</v>
      </c>
      <c r="R914" s="14">
        <f>_xlfn.XLOOKUP(Table2[[#This Row],[LoanID]],Table1[G-L ID],Table1[ManagerCode],-99)</f>
        <v>103</v>
      </c>
      <c r="T914"/>
    </row>
    <row r="915" spans="1:20" x14ac:dyDescent="0.25">
      <c r="A915">
        <v>20110930</v>
      </c>
      <c r="B915">
        <v>2011</v>
      </c>
      <c r="C915">
        <v>9</v>
      </c>
      <c r="D915">
        <v>1</v>
      </c>
      <c r="E915">
        <v>11630</v>
      </c>
      <c r="F915">
        <v>45500</v>
      </c>
      <c r="G915">
        <v>23302.880000000001</v>
      </c>
      <c r="H915">
        <v>0</v>
      </c>
      <c r="I915">
        <v>0</v>
      </c>
      <c r="J915">
        <v>0</v>
      </c>
      <c r="K915">
        <v>0</v>
      </c>
      <c r="L915">
        <v>4586858.5</v>
      </c>
      <c r="M915">
        <v>4610161.38</v>
      </c>
      <c r="N915">
        <v>4586858.5</v>
      </c>
      <c r="O915">
        <v>4610161.38</v>
      </c>
      <c r="P915">
        <v>4586858.5</v>
      </c>
      <c r="Q915">
        <v>4610161.38</v>
      </c>
      <c r="R915" s="14">
        <f>_xlfn.XLOOKUP(Table2[[#This Row],[LoanID]],Table1[G-L ID],Table1[ManagerCode],-99)</f>
        <v>183</v>
      </c>
      <c r="T915"/>
    </row>
    <row r="916" spans="1:20" x14ac:dyDescent="0.25">
      <c r="A916">
        <v>20110930</v>
      </c>
      <c r="B916">
        <v>2011</v>
      </c>
      <c r="C916">
        <v>9</v>
      </c>
      <c r="D916">
        <v>1</v>
      </c>
      <c r="E916">
        <v>11650</v>
      </c>
      <c r="F916">
        <v>37500</v>
      </c>
      <c r="G916">
        <v>0</v>
      </c>
      <c r="H916">
        <v>0</v>
      </c>
      <c r="I916">
        <v>0</v>
      </c>
      <c r="J916">
        <v>0</v>
      </c>
      <c r="K916">
        <v>0</v>
      </c>
      <c r="L916">
        <v>4800000</v>
      </c>
      <c r="M916">
        <v>4800000</v>
      </c>
      <c r="N916">
        <v>4800000</v>
      </c>
      <c r="O916">
        <v>4800000</v>
      </c>
      <c r="P916">
        <v>6000000</v>
      </c>
      <c r="Q916">
        <v>6000000</v>
      </c>
      <c r="R916" s="14">
        <f>_xlfn.XLOOKUP(Table2[[#This Row],[LoanID]],Table1[G-L ID],Table1[ManagerCode],-99)</f>
        <v>103</v>
      </c>
      <c r="T916"/>
    </row>
    <row r="917" spans="1:20" x14ac:dyDescent="0.25">
      <c r="A917">
        <v>20110930</v>
      </c>
      <c r="B917">
        <v>2011</v>
      </c>
      <c r="C917">
        <v>9</v>
      </c>
      <c r="D917">
        <v>1</v>
      </c>
      <c r="E917">
        <v>11780</v>
      </c>
      <c r="F917">
        <v>184113</v>
      </c>
      <c r="G917">
        <v>0</v>
      </c>
      <c r="H917">
        <v>0</v>
      </c>
      <c r="I917">
        <v>-1133</v>
      </c>
      <c r="J917">
        <v>0</v>
      </c>
      <c r="K917">
        <v>136120.93</v>
      </c>
      <c r="L917">
        <v>52629916</v>
      </c>
      <c r="M917">
        <v>27603780</v>
      </c>
      <c r="N917">
        <v>52629916</v>
      </c>
      <c r="O917">
        <v>27603780</v>
      </c>
      <c r="P917">
        <v>65787394.93</v>
      </c>
      <c r="Q917">
        <v>65651274</v>
      </c>
      <c r="R917" s="14">
        <f>_xlfn.XLOOKUP(Table2[[#This Row],[LoanID]],Table1[G-L ID],Table1[ManagerCode],-99)</f>
        <v>103</v>
      </c>
      <c r="T917"/>
    </row>
    <row r="918" spans="1:20" x14ac:dyDescent="0.25">
      <c r="A918">
        <v>20110930</v>
      </c>
      <c r="B918">
        <v>2011</v>
      </c>
      <c r="C918">
        <v>9</v>
      </c>
      <c r="D918">
        <v>1</v>
      </c>
      <c r="E918">
        <v>11800</v>
      </c>
      <c r="F918">
        <v>165856</v>
      </c>
      <c r="G918">
        <v>0</v>
      </c>
      <c r="H918">
        <v>0</v>
      </c>
      <c r="I918">
        <v>-279</v>
      </c>
      <c r="J918">
        <v>0</v>
      </c>
      <c r="K918">
        <v>54585.59</v>
      </c>
      <c r="L918">
        <v>29168229</v>
      </c>
      <c r="M918">
        <v>29119102</v>
      </c>
      <c r="N918">
        <v>29168229</v>
      </c>
      <c r="O918">
        <v>29119102</v>
      </c>
      <c r="P918">
        <v>32409110.98</v>
      </c>
      <c r="Q918">
        <v>32354525.390000001</v>
      </c>
      <c r="R918" s="14">
        <f>_xlfn.XLOOKUP(Table2[[#This Row],[LoanID]],Table1[G-L ID],Table1[ManagerCode],-99)</f>
        <v>103</v>
      </c>
      <c r="T918"/>
    </row>
    <row r="919" spans="1:20" x14ac:dyDescent="0.25">
      <c r="A919">
        <v>20110930</v>
      </c>
      <c r="B919">
        <v>2011</v>
      </c>
      <c r="C919">
        <v>9</v>
      </c>
      <c r="D919">
        <v>1</v>
      </c>
      <c r="E919">
        <v>11810</v>
      </c>
      <c r="F919">
        <v>51167</v>
      </c>
      <c r="G919">
        <v>0</v>
      </c>
      <c r="H919">
        <v>0</v>
      </c>
      <c r="I919">
        <v>0</v>
      </c>
      <c r="J919">
        <v>0</v>
      </c>
      <c r="K919">
        <v>0</v>
      </c>
      <c r="L919">
        <v>9763250</v>
      </c>
      <c r="M919">
        <v>9781339</v>
      </c>
      <c r="N919">
        <v>9763250</v>
      </c>
      <c r="O919">
        <v>9781339</v>
      </c>
      <c r="P919">
        <v>10000000</v>
      </c>
      <c r="Q919">
        <v>10000000</v>
      </c>
      <c r="R919" s="14">
        <f>_xlfn.XLOOKUP(Table2[[#This Row],[LoanID]],Table1[G-L ID],Table1[ManagerCode],-99)</f>
        <v>103</v>
      </c>
      <c r="T919"/>
    </row>
    <row r="920" spans="1:20" x14ac:dyDescent="0.25">
      <c r="A920">
        <v>20110930</v>
      </c>
      <c r="B920">
        <v>2011</v>
      </c>
      <c r="C920">
        <v>9</v>
      </c>
      <c r="D920">
        <v>1</v>
      </c>
      <c r="E920">
        <v>11930</v>
      </c>
      <c r="F920">
        <v>28172</v>
      </c>
      <c r="G920">
        <v>0</v>
      </c>
      <c r="H920">
        <v>0</v>
      </c>
      <c r="I920">
        <v>0</v>
      </c>
      <c r="J920">
        <v>0</v>
      </c>
      <c r="K920">
        <v>22788145.309999999</v>
      </c>
      <c r="L920">
        <v>22682877</v>
      </c>
      <c r="M920">
        <v>0</v>
      </c>
      <c r="N920">
        <v>22682877</v>
      </c>
      <c r="O920">
        <v>0</v>
      </c>
      <c r="P920">
        <v>22788145.309999999</v>
      </c>
      <c r="Q920">
        <v>0</v>
      </c>
      <c r="R920" s="14">
        <f>_xlfn.XLOOKUP(Table2[[#This Row],[LoanID]],Table1[G-L ID],Table1[ManagerCode],-99)</f>
        <v>103</v>
      </c>
      <c r="T920"/>
    </row>
    <row r="921" spans="1:20" x14ac:dyDescent="0.25">
      <c r="A921">
        <v>20110930</v>
      </c>
      <c r="B921">
        <v>2011</v>
      </c>
      <c r="C921">
        <v>9</v>
      </c>
      <c r="D921">
        <v>1</v>
      </c>
      <c r="E921">
        <v>11940</v>
      </c>
      <c r="F921">
        <v>20096</v>
      </c>
      <c r="G921">
        <v>0</v>
      </c>
      <c r="H921">
        <v>0</v>
      </c>
      <c r="I921">
        <v>0</v>
      </c>
      <c r="J921">
        <v>0</v>
      </c>
      <c r="K921">
        <v>21062469.879999999</v>
      </c>
      <c r="L921">
        <v>20953350</v>
      </c>
      <c r="M921">
        <v>0</v>
      </c>
      <c r="N921">
        <v>20953350</v>
      </c>
      <c r="O921">
        <v>0</v>
      </c>
      <c r="P921">
        <v>21060304.02</v>
      </c>
      <c r="Q921">
        <v>0</v>
      </c>
      <c r="R921" s="14">
        <f>_xlfn.XLOOKUP(Table2[[#This Row],[LoanID]],Table1[G-L ID],Table1[ManagerCode],-99)</f>
        <v>103</v>
      </c>
      <c r="T921"/>
    </row>
    <row r="922" spans="1:20" x14ac:dyDescent="0.25">
      <c r="A922">
        <v>20110930</v>
      </c>
      <c r="B922">
        <v>2011</v>
      </c>
      <c r="C922">
        <v>9</v>
      </c>
      <c r="D922">
        <v>1</v>
      </c>
      <c r="E922">
        <v>12000</v>
      </c>
      <c r="F922">
        <v>7530461</v>
      </c>
      <c r="G922">
        <v>0</v>
      </c>
      <c r="H922">
        <v>0</v>
      </c>
      <c r="I922">
        <v>0</v>
      </c>
      <c r="J922">
        <v>0</v>
      </c>
      <c r="K922">
        <v>25096024.219999999</v>
      </c>
      <c r="L922">
        <v>23238199</v>
      </c>
      <c r="M922">
        <v>0</v>
      </c>
      <c r="N922">
        <v>23238199</v>
      </c>
      <c r="O922">
        <v>0</v>
      </c>
      <c r="P922">
        <v>25096024.219999999</v>
      </c>
      <c r="Q922">
        <v>0</v>
      </c>
      <c r="R922" s="14">
        <f>_xlfn.XLOOKUP(Table2[[#This Row],[LoanID]],Table1[G-L ID],Table1[ManagerCode],-99)</f>
        <v>103</v>
      </c>
      <c r="T922"/>
    </row>
    <row r="923" spans="1:20" x14ac:dyDescent="0.25">
      <c r="A923">
        <v>20110930</v>
      </c>
      <c r="B923">
        <v>2011</v>
      </c>
      <c r="C923">
        <v>9</v>
      </c>
      <c r="D923">
        <v>1</v>
      </c>
      <c r="E923">
        <v>12110</v>
      </c>
      <c r="F923">
        <v>130900.27</v>
      </c>
      <c r="G923">
        <v>0</v>
      </c>
      <c r="H923">
        <v>0</v>
      </c>
      <c r="I923">
        <v>0</v>
      </c>
      <c r="J923">
        <v>-2198571.2799999998</v>
      </c>
      <c r="K923">
        <v>0</v>
      </c>
      <c r="L923">
        <v>16320050.23</v>
      </c>
      <c r="M923">
        <v>18518621.510000002</v>
      </c>
      <c r="N923">
        <v>16320050.23</v>
      </c>
      <c r="O923">
        <v>18518621.510000002</v>
      </c>
      <c r="P923">
        <v>16320050.23</v>
      </c>
      <c r="Q923">
        <v>18518621.510000002</v>
      </c>
      <c r="R923" s="14">
        <f>_xlfn.XLOOKUP(Table2[[#This Row],[LoanID]],Table1[G-L ID],Table1[ManagerCode],-99)</f>
        <v>183</v>
      </c>
      <c r="T923"/>
    </row>
    <row r="924" spans="1:20" x14ac:dyDescent="0.25">
      <c r="A924">
        <v>20110930</v>
      </c>
      <c r="B924">
        <v>2011</v>
      </c>
      <c r="C924">
        <v>9</v>
      </c>
      <c r="D924">
        <v>1</v>
      </c>
      <c r="E924">
        <v>12200</v>
      </c>
      <c r="F924">
        <v>90282</v>
      </c>
      <c r="G924">
        <v>0</v>
      </c>
      <c r="H924">
        <v>0</v>
      </c>
      <c r="I924">
        <v>0</v>
      </c>
      <c r="J924">
        <v>0</v>
      </c>
      <c r="K924">
        <v>31927.19</v>
      </c>
      <c r="L924">
        <v>20919033</v>
      </c>
      <c r="M924">
        <v>20844289</v>
      </c>
      <c r="N924">
        <v>20919033</v>
      </c>
      <c r="O924">
        <v>20844289</v>
      </c>
      <c r="P924">
        <v>19648949.739999998</v>
      </c>
      <c r="Q924">
        <v>19617373.57</v>
      </c>
      <c r="R924" s="14">
        <f>_xlfn.XLOOKUP(Table2[[#This Row],[LoanID]],Table1[G-L ID],Table1[ManagerCode],-99)</f>
        <v>103</v>
      </c>
      <c r="T924"/>
    </row>
    <row r="925" spans="1:20" x14ac:dyDescent="0.25">
      <c r="A925">
        <v>20110930</v>
      </c>
      <c r="B925">
        <v>2011</v>
      </c>
      <c r="C925">
        <v>9</v>
      </c>
      <c r="D925">
        <v>1</v>
      </c>
      <c r="E925">
        <v>12210</v>
      </c>
      <c r="F925">
        <v>725177</v>
      </c>
      <c r="G925">
        <v>0</v>
      </c>
      <c r="H925">
        <v>0</v>
      </c>
      <c r="I925">
        <v>0</v>
      </c>
      <c r="J925">
        <v>0</v>
      </c>
      <c r="K925">
        <v>178703.11</v>
      </c>
      <c r="L925">
        <v>136793101</v>
      </c>
      <c r="M925">
        <v>137226090</v>
      </c>
      <c r="N925">
        <v>136793101</v>
      </c>
      <c r="O925">
        <v>137226090</v>
      </c>
      <c r="P925">
        <v>117334847.7</v>
      </c>
      <c r="Q925">
        <v>117156144.5</v>
      </c>
      <c r="R925" s="14">
        <f>_xlfn.XLOOKUP(Table2[[#This Row],[LoanID]],Table1[G-L ID],Table1[ManagerCode],-99)</f>
        <v>103</v>
      </c>
      <c r="T925"/>
    </row>
    <row r="926" spans="1:20" x14ac:dyDescent="0.25">
      <c r="A926">
        <v>20111031</v>
      </c>
      <c r="B926">
        <v>2011</v>
      </c>
      <c r="C926">
        <v>10</v>
      </c>
      <c r="D926">
        <v>1</v>
      </c>
      <c r="E926">
        <v>10050</v>
      </c>
      <c r="F926">
        <v>149014</v>
      </c>
      <c r="G926">
        <v>0</v>
      </c>
      <c r="H926">
        <v>0</v>
      </c>
      <c r="I926">
        <v>-69</v>
      </c>
      <c r="J926">
        <v>0</v>
      </c>
      <c r="K926">
        <v>0</v>
      </c>
      <c r="L926">
        <v>30816524</v>
      </c>
      <c r="M926">
        <v>31290623</v>
      </c>
      <c r="N926">
        <v>30816524</v>
      </c>
      <c r="O926">
        <v>31290623</v>
      </c>
      <c r="P926">
        <v>33333334</v>
      </c>
      <c r="Q926">
        <v>33333334</v>
      </c>
      <c r="R926" s="14">
        <f>_xlfn.XLOOKUP(Table2[[#This Row],[LoanID]],Table1[G-L ID],Table1[ManagerCode],-99)</f>
        <v>103</v>
      </c>
      <c r="T926"/>
    </row>
    <row r="927" spans="1:20" x14ac:dyDescent="0.25">
      <c r="A927">
        <v>20111031</v>
      </c>
      <c r="B927">
        <v>2011</v>
      </c>
      <c r="C927">
        <v>10</v>
      </c>
      <c r="D927">
        <v>1</v>
      </c>
      <c r="E927">
        <v>10080</v>
      </c>
      <c r="F927">
        <v>339719</v>
      </c>
      <c r="G927">
        <v>0</v>
      </c>
      <c r="H927">
        <v>0</v>
      </c>
      <c r="I927">
        <v>-156</v>
      </c>
      <c r="J927">
        <v>0</v>
      </c>
      <c r="K927">
        <v>0</v>
      </c>
      <c r="L927">
        <v>73859395</v>
      </c>
      <c r="M927">
        <v>73931408</v>
      </c>
      <c r="N927">
        <v>73859395</v>
      </c>
      <c r="O927">
        <v>73931408</v>
      </c>
      <c r="P927">
        <v>75000000</v>
      </c>
      <c r="Q927">
        <v>75000000</v>
      </c>
      <c r="R927" s="14">
        <f>_xlfn.XLOOKUP(Table2[[#This Row],[LoanID]],Table1[G-L ID],Table1[ManagerCode],-99)</f>
        <v>103</v>
      </c>
      <c r="T927"/>
    </row>
    <row r="928" spans="1:20" x14ac:dyDescent="0.25">
      <c r="A928">
        <v>20111031</v>
      </c>
      <c r="B928">
        <v>2011</v>
      </c>
      <c r="C928">
        <v>10</v>
      </c>
      <c r="D928">
        <v>1</v>
      </c>
      <c r="E928">
        <v>10130</v>
      </c>
      <c r="F928">
        <v>36129</v>
      </c>
      <c r="G928">
        <v>0</v>
      </c>
      <c r="H928">
        <v>0</v>
      </c>
      <c r="I928">
        <v>0</v>
      </c>
      <c r="J928">
        <v>0</v>
      </c>
      <c r="K928">
        <v>31561.83</v>
      </c>
      <c r="L928">
        <v>8293594</v>
      </c>
      <c r="M928">
        <v>8305535</v>
      </c>
      <c r="N928">
        <v>8293594</v>
      </c>
      <c r="O928">
        <v>8305535</v>
      </c>
      <c r="P928">
        <v>7984277.75</v>
      </c>
      <c r="Q928">
        <v>7952715.9199999999</v>
      </c>
      <c r="R928" s="14">
        <f>_xlfn.XLOOKUP(Table2[[#This Row],[LoanID]],Table1[G-L ID],Table1[ManagerCode],-99)</f>
        <v>103</v>
      </c>
      <c r="T928"/>
    </row>
    <row r="929" spans="1:20" x14ac:dyDescent="0.25">
      <c r="A929">
        <v>20111031</v>
      </c>
      <c r="B929">
        <v>2011</v>
      </c>
      <c r="C929">
        <v>10</v>
      </c>
      <c r="D929">
        <v>1</v>
      </c>
      <c r="E929">
        <v>10140</v>
      </c>
      <c r="F929">
        <v>95284</v>
      </c>
      <c r="G929">
        <v>0</v>
      </c>
      <c r="H929">
        <v>0</v>
      </c>
      <c r="I929">
        <v>0</v>
      </c>
      <c r="J929">
        <v>0</v>
      </c>
      <c r="K929">
        <v>82539.86</v>
      </c>
      <c r="L929">
        <v>21873472</v>
      </c>
      <c r="M929">
        <v>21905730</v>
      </c>
      <c r="N929">
        <v>21873472</v>
      </c>
      <c r="O929">
        <v>21905730</v>
      </c>
      <c r="P929">
        <v>21057340.890000001</v>
      </c>
      <c r="Q929">
        <v>20974801.030000001</v>
      </c>
      <c r="R929" s="14">
        <f>_xlfn.XLOOKUP(Table2[[#This Row],[LoanID]],Table1[G-L ID],Table1[ManagerCode],-99)</f>
        <v>103</v>
      </c>
      <c r="T929"/>
    </row>
    <row r="930" spans="1:20" x14ac:dyDescent="0.25">
      <c r="A930">
        <v>20111031</v>
      </c>
      <c r="B930">
        <v>2011</v>
      </c>
      <c r="C930">
        <v>10</v>
      </c>
      <c r="D930">
        <v>1</v>
      </c>
      <c r="E930">
        <v>10150</v>
      </c>
      <c r="F930">
        <v>242683</v>
      </c>
      <c r="G930">
        <v>0</v>
      </c>
      <c r="H930">
        <v>0</v>
      </c>
      <c r="I930">
        <v>0</v>
      </c>
      <c r="J930">
        <v>0</v>
      </c>
      <c r="K930">
        <v>70637.08</v>
      </c>
      <c r="L930">
        <v>52135241</v>
      </c>
      <c r="M930">
        <v>52065310</v>
      </c>
      <c r="N930">
        <v>52135241</v>
      </c>
      <c r="O930">
        <v>52065310</v>
      </c>
      <c r="P930">
        <v>52661754.240000002</v>
      </c>
      <c r="Q930">
        <v>52591117.159999996</v>
      </c>
      <c r="R930" s="14">
        <f>_xlfn.XLOOKUP(Table2[[#This Row],[LoanID]],Table1[G-L ID],Table1[ManagerCode],-99)</f>
        <v>103</v>
      </c>
      <c r="T930"/>
    </row>
    <row r="931" spans="1:20" x14ac:dyDescent="0.25">
      <c r="A931">
        <v>20111031</v>
      </c>
      <c r="B931">
        <v>2011</v>
      </c>
      <c r="C931">
        <v>10</v>
      </c>
      <c r="D931">
        <v>1</v>
      </c>
      <c r="E931">
        <v>10170</v>
      </c>
      <c r="F931">
        <v>241655</v>
      </c>
      <c r="G931">
        <v>0</v>
      </c>
      <c r="H931">
        <v>0</v>
      </c>
      <c r="I931">
        <v>-1158</v>
      </c>
      <c r="J931">
        <v>0</v>
      </c>
      <c r="K931">
        <v>72980.78</v>
      </c>
      <c r="L931">
        <v>49871175</v>
      </c>
      <c r="M931">
        <v>50224721</v>
      </c>
      <c r="N931">
        <v>49871175</v>
      </c>
      <c r="O931">
        <v>50224721</v>
      </c>
      <c r="P931">
        <v>46323645.399999999</v>
      </c>
      <c r="Q931">
        <v>46250664.619999997</v>
      </c>
      <c r="R931" s="14">
        <f>_xlfn.XLOOKUP(Table2[[#This Row],[LoanID]],Table1[G-L ID],Table1[ManagerCode],-99)</f>
        <v>103</v>
      </c>
      <c r="T931"/>
    </row>
    <row r="932" spans="1:20" x14ac:dyDescent="0.25">
      <c r="A932">
        <v>20111031</v>
      </c>
      <c r="B932">
        <v>2011</v>
      </c>
      <c r="C932">
        <v>10</v>
      </c>
      <c r="D932">
        <v>1</v>
      </c>
      <c r="E932">
        <v>10230</v>
      </c>
      <c r="F932">
        <v>183354</v>
      </c>
      <c r="G932">
        <v>0</v>
      </c>
      <c r="H932">
        <v>0</v>
      </c>
      <c r="I932">
        <v>0</v>
      </c>
      <c r="J932">
        <v>0</v>
      </c>
      <c r="K932">
        <v>58243.57</v>
      </c>
      <c r="L932">
        <v>27748010</v>
      </c>
      <c r="M932">
        <v>27698503</v>
      </c>
      <c r="N932">
        <v>27748010</v>
      </c>
      <c r="O932">
        <v>27698503</v>
      </c>
      <c r="P932">
        <v>32644718.010000002</v>
      </c>
      <c r="Q932">
        <v>32586474.440000001</v>
      </c>
      <c r="R932" s="14">
        <f>_xlfn.XLOOKUP(Table2[[#This Row],[LoanID]],Table1[G-L ID],Table1[ManagerCode],-99)</f>
        <v>103</v>
      </c>
      <c r="T932"/>
    </row>
    <row r="933" spans="1:20" x14ac:dyDescent="0.25">
      <c r="A933">
        <v>20111031</v>
      </c>
      <c r="B933">
        <v>2011</v>
      </c>
      <c r="C933">
        <v>10</v>
      </c>
      <c r="D933">
        <v>1</v>
      </c>
      <c r="E933">
        <v>10280</v>
      </c>
      <c r="F933">
        <v>175560</v>
      </c>
      <c r="G933">
        <v>0</v>
      </c>
      <c r="H933">
        <v>0</v>
      </c>
      <c r="I933">
        <v>0</v>
      </c>
      <c r="J933">
        <v>0</v>
      </c>
      <c r="K933">
        <v>0</v>
      </c>
      <c r="L933">
        <v>33250033</v>
      </c>
      <c r="M933">
        <v>33250033</v>
      </c>
      <c r="N933">
        <v>33250033</v>
      </c>
      <c r="O933">
        <v>33250033</v>
      </c>
      <c r="P933">
        <v>35000000</v>
      </c>
      <c r="Q933">
        <v>35000000</v>
      </c>
      <c r="R933" s="14">
        <f>_xlfn.XLOOKUP(Table2[[#This Row],[LoanID]],Table1[G-L ID],Table1[ManagerCode],-99)</f>
        <v>103</v>
      </c>
      <c r="T933"/>
    </row>
    <row r="934" spans="1:20" x14ac:dyDescent="0.25">
      <c r="A934">
        <v>20111031</v>
      </c>
      <c r="B934">
        <v>2011</v>
      </c>
      <c r="C934">
        <v>10</v>
      </c>
      <c r="D934">
        <v>1</v>
      </c>
      <c r="E934">
        <v>10290</v>
      </c>
      <c r="F934">
        <v>165775</v>
      </c>
      <c r="G934">
        <v>0</v>
      </c>
      <c r="H934">
        <v>0</v>
      </c>
      <c r="I934">
        <v>0</v>
      </c>
      <c r="J934">
        <v>0</v>
      </c>
      <c r="K934">
        <v>0</v>
      </c>
      <c r="L934">
        <v>22500000</v>
      </c>
      <c r="M934">
        <v>22500000</v>
      </c>
      <c r="N934">
        <v>22500000</v>
      </c>
      <c r="O934">
        <v>22500000</v>
      </c>
      <c r="P934">
        <v>25000000</v>
      </c>
      <c r="Q934">
        <v>25000000</v>
      </c>
      <c r="R934" s="14">
        <f>_xlfn.XLOOKUP(Table2[[#This Row],[LoanID]],Table1[G-L ID],Table1[ManagerCode],-99)</f>
        <v>103</v>
      </c>
      <c r="T934"/>
    </row>
    <row r="935" spans="1:20" x14ac:dyDescent="0.25">
      <c r="A935">
        <v>20111031</v>
      </c>
      <c r="B935">
        <v>2011</v>
      </c>
      <c r="C935">
        <v>10</v>
      </c>
      <c r="D935">
        <v>1</v>
      </c>
      <c r="E935">
        <v>10300</v>
      </c>
      <c r="F935">
        <v>145053</v>
      </c>
      <c r="G935">
        <v>0</v>
      </c>
      <c r="H935">
        <v>0</v>
      </c>
      <c r="I935">
        <v>0</v>
      </c>
      <c r="J935">
        <v>0</v>
      </c>
      <c r="K935">
        <v>0</v>
      </c>
      <c r="L935">
        <v>33326285</v>
      </c>
      <c r="M935">
        <v>33757007</v>
      </c>
      <c r="N935">
        <v>33326285</v>
      </c>
      <c r="O935">
        <v>33757007</v>
      </c>
      <c r="P935">
        <v>35000000</v>
      </c>
      <c r="Q935">
        <v>35000000</v>
      </c>
      <c r="R935" s="14">
        <f>_xlfn.XLOOKUP(Table2[[#This Row],[LoanID]],Table1[G-L ID],Table1[ManagerCode],-99)</f>
        <v>103</v>
      </c>
      <c r="T935"/>
    </row>
    <row r="936" spans="1:20" x14ac:dyDescent="0.25">
      <c r="A936">
        <v>20111031</v>
      </c>
      <c r="B936">
        <v>2011</v>
      </c>
      <c r="C936">
        <v>10</v>
      </c>
      <c r="D936">
        <v>1</v>
      </c>
      <c r="E936">
        <v>10310</v>
      </c>
      <c r="F936">
        <v>102011.31</v>
      </c>
      <c r="G936">
        <v>0</v>
      </c>
      <c r="H936">
        <v>0</v>
      </c>
      <c r="I936">
        <v>0</v>
      </c>
      <c r="J936">
        <v>0</v>
      </c>
      <c r="K936">
        <v>0</v>
      </c>
      <c r="L936">
        <v>14532761.300000001</v>
      </c>
      <c r="M936">
        <v>14532761.300000001</v>
      </c>
      <c r="N936">
        <v>14532761.300000001</v>
      </c>
      <c r="O936">
        <v>14532761.300000001</v>
      </c>
      <c r="P936">
        <v>14532761.300000001</v>
      </c>
      <c r="Q936">
        <v>14532761.300000001</v>
      </c>
      <c r="R936" s="14">
        <f>_xlfn.XLOOKUP(Table2[[#This Row],[LoanID]],Table1[G-L ID],Table1[ManagerCode],-99)</f>
        <v>183</v>
      </c>
      <c r="T936"/>
    </row>
    <row r="937" spans="1:20" x14ac:dyDescent="0.25">
      <c r="A937">
        <v>20111031</v>
      </c>
      <c r="B937">
        <v>2011</v>
      </c>
      <c r="C937">
        <v>10</v>
      </c>
      <c r="D937">
        <v>1</v>
      </c>
      <c r="E937">
        <v>10370</v>
      </c>
      <c r="F937">
        <v>0</v>
      </c>
      <c r="G937">
        <v>0</v>
      </c>
      <c r="H937">
        <v>0</v>
      </c>
      <c r="I937">
        <v>0</v>
      </c>
      <c r="J937">
        <v>0</v>
      </c>
      <c r="K937">
        <v>0</v>
      </c>
      <c r="L937">
        <v>2724406</v>
      </c>
      <c r="M937">
        <v>2724406</v>
      </c>
      <c r="N937">
        <v>2724406</v>
      </c>
      <c r="O937">
        <v>2724406</v>
      </c>
      <c r="P937">
        <v>3027117.91</v>
      </c>
      <c r="Q937">
        <v>3027117.91</v>
      </c>
      <c r="R937" s="14">
        <f>_xlfn.XLOOKUP(Table2[[#This Row],[LoanID]],Table1[G-L ID],Table1[ManagerCode],-99)</f>
        <v>103</v>
      </c>
      <c r="T937"/>
    </row>
    <row r="938" spans="1:20" x14ac:dyDescent="0.25">
      <c r="A938">
        <v>20111031</v>
      </c>
      <c r="B938">
        <v>2011</v>
      </c>
      <c r="C938">
        <v>10</v>
      </c>
      <c r="D938">
        <v>1</v>
      </c>
      <c r="E938">
        <v>10390</v>
      </c>
      <c r="F938">
        <v>118750</v>
      </c>
      <c r="G938">
        <v>0</v>
      </c>
      <c r="H938">
        <v>0</v>
      </c>
      <c r="I938">
        <v>0</v>
      </c>
      <c r="J938">
        <v>0</v>
      </c>
      <c r="K938">
        <v>0</v>
      </c>
      <c r="L938">
        <v>22500000</v>
      </c>
      <c r="M938">
        <v>22500000</v>
      </c>
      <c r="N938">
        <v>22500000</v>
      </c>
      <c r="O938">
        <v>22500000</v>
      </c>
      <c r="P938">
        <v>24993673.370000001</v>
      </c>
      <c r="Q938">
        <v>24993877.449999999</v>
      </c>
      <c r="R938" s="14">
        <f>_xlfn.XLOOKUP(Table2[[#This Row],[LoanID]],Table1[G-L ID],Table1[ManagerCode],-99)</f>
        <v>103</v>
      </c>
      <c r="T938"/>
    </row>
    <row r="939" spans="1:20" x14ac:dyDescent="0.25">
      <c r="A939">
        <v>20111031</v>
      </c>
      <c r="B939">
        <v>2011</v>
      </c>
      <c r="C939">
        <v>10</v>
      </c>
      <c r="D939">
        <v>1</v>
      </c>
      <c r="E939">
        <v>10450</v>
      </c>
      <c r="F939">
        <v>119546</v>
      </c>
      <c r="G939">
        <v>0</v>
      </c>
      <c r="H939">
        <v>0</v>
      </c>
      <c r="I939">
        <v>0</v>
      </c>
      <c r="J939">
        <v>0</v>
      </c>
      <c r="K939">
        <v>22269.23</v>
      </c>
      <c r="L939">
        <v>21228801</v>
      </c>
      <c r="M939">
        <v>21206754</v>
      </c>
      <c r="N939">
        <v>21228801</v>
      </c>
      <c r="O939">
        <v>21206754</v>
      </c>
      <c r="P939">
        <v>21443233.07</v>
      </c>
      <c r="Q939">
        <v>21420963.84</v>
      </c>
      <c r="R939" s="14">
        <f>_xlfn.XLOOKUP(Table2[[#This Row],[LoanID]],Table1[G-L ID],Table1[ManagerCode],-99)</f>
        <v>103</v>
      </c>
      <c r="T939"/>
    </row>
    <row r="940" spans="1:20" x14ac:dyDescent="0.25">
      <c r="A940">
        <v>20111031</v>
      </c>
      <c r="B940">
        <v>2011</v>
      </c>
      <c r="C940">
        <v>10</v>
      </c>
      <c r="D940">
        <v>1</v>
      </c>
      <c r="E940">
        <v>10550</v>
      </c>
      <c r="F940">
        <v>20717</v>
      </c>
      <c r="G940">
        <v>0</v>
      </c>
      <c r="H940">
        <v>0</v>
      </c>
      <c r="I940">
        <v>-12</v>
      </c>
      <c r="J940">
        <v>0</v>
      </c>
      <c r="K940">
        <v>0</v>
      </c>
      <c r="L940">
        <v>3999634</v>
      </c>
      <c r="M940">
        <v>3999634</v>
      </c>
      <c r="N940">
        <v>3999634</v>
      </c>
      <c r="O940">
        <v>3999634</v>
      </c>
      <c r="P940">
        <v>4023200.79</v>
      </c>
      <c r="Q940">
        <v>4024884.14</v>
      </c>
      <c r="R940" s="14">
        <f>_xlfn.XLOOKUP(Table2[[#This Row],[LoanID]],Table1[G-L ID],Table1[ManagerCode],-99)</f>
        <v>103</v>
      </c>
      <c r="T940"/>
    </row>
    <row r="941" spans="1:20" x14ac:dyDescent="0.25">
      <c r="A941">
        <v>20111031</v>
      </c>
      <c r="B941">
        <v>2011</v>
      </c>
      <c r="C941">
        <v>10</v>
      </c>
      <c r="D941">
        <v>1</v>
      </c>
      <c r="E941">
        <v>10560</v>
      </c>
      <c r="F941">
        <v>511018</v>
      </c>
      <c r="G941">
        <v>0</v>
      </c>
      <c r="H941">
        <v>0</v>
      </c>
      <c r="I941">
        <v>-291</v>
      </c>
      <c r="J941">
        <v>0</v>
      </c>
      <c r="K941">
        <v>0</v>
      </c>
      <c r="L941">
        <v>98657637</v>
      </c>
      <c r="M941">
        <v>98657637</v>
      </c>
      <c r="N941">
        <v>98657637</v>
      </c>
      <c r="O941">
        <v>98657637</v>
      </c>
      <c r="P941">
        <v>99654178</v>
      </c>
      <c r="Q941">
        <v>99654178</v>
      </c>
      <c r="R941" s="14">
        <f>_xlfn.XLOOKUP(Table2[[#This Row],[LoanID]],Table1[G-L ID],Table1[ManagerCode],-99)</f>
        <v>103</v>
      </c>
      <c r="T941"/>
    </row>
    <row r="942" spans="1:20" x14ac:dyDescent="0.25">
      <c r="A942">
        <v>20111031</v>
      </c>
      <c r="B942">
        <v>2011</v>
      </c>
      <c r="C942">
        <v>10</v>
      </c>
      <c r="D942">
        <v>1</v>
      </c>
      <c r="E942">
        <v>10630</v>
      </c>
      <c r="F942">
        <v>49187</v>
      </c>
      <c r="G942">
        <v>0</v>
      </c>
      <c r="H942">
        <v>0</v>
      </c>
      <c r="I942">
        <v>0</v>
      </c>
      <c r="J942">
        <v>0</v>
      </c>
      <c r="K942">
        <v>13428.63</v>
      </c>
      <c r="L942">
        <v>9588494</v>
      </c>
      <c r="M942">
        <v>9647303</v>
      </c>
      <c r="N942">
        <v>9588494</v>
      </c>
      <c r="O942">
        <v>9647303</v>
      </c>
      <c r="P942">
        <v>9208259.6500000004</v>
      </c>
      <c r="Q942">
        <v>9194831.0199999996</v>
      </c>
      <c r="R942" s="14">
        <f>_xlfn.XLOOKUP(Table2[[#This Row],[LoanID]],Table1[G-L ID],Table1[ManagerCode],-99)</f>
        <v>103</v>
      </c>
      <c r="T942"/>
    </row>
    <row r="943" spans="1:20" x14ac:dyDescent="0.25">
      <c r="A943">
        <v>20111031</v>
      </c>
      <c r="B943">
        <v>2011</v>
      </c>
      <c r="C943">
        <v>10</v>
      </c>
      <c r="D943">
        <v>1</v>
      </c>
      <c r="E943">
        <v>10770</v>
      </c>
      <c r="F943">
        <v>0</v>
      </c>
      <c r="G943">
        <v>0</v>
      </c>
      <c r="H943">
        <v>0</v>
      </c>
      <c r="I943">
        <v>0</v>
      </c>
      <c r="J943">
        <v>0</v>
      </c>
      <c r="K943">
        <v>0</v>
      </c>
      <c r="L943">
        <v>115000000</v>
      </c>
      <c r="M943">
        <v>115000000</v>
      </c>
      <c r="N943">
        <v>115000000</v>
      </c>
      <c r="O943">
        <v>115000000</v>
      </c>
      <c r="P943">
        <v>115000000</v>
      </c>
      <c r="Q943">
        <v>115000000</v>
      </c>
      <c r="R943" s="14">
        <f>_xlfn.XLOOKUP(Table2[[#This Row],[LoanID]],Table1[G-L ID],Table1[ManagerCode],-99)</f>
        <v>103</v>
      </c>
      <c r="T943"/>
    </row>
    <row r="944" spans="1:20" x14ac:dyDescent="0.25">
      <c r="A944">
        <v>20111031</v>
      </c>
      <c r="B944">
        <v>2011</v>
      </c>
      <c r="C944">
        <v>10</v>
      </c>
      <c r="D944">
        <v>1</v>
      </c>
      <c r="E944">
        <v>10880</v>
      </c>
      <c r="F944">
        <v>289504</v>
      </c>
      <c r="G944">
        <v>0</v>
      </c>
      <c r="H944">
        <v>0</v>
      </c>
      <c r="I944">
        <v>0</v>
      </c>
      <c r="J944">
        <v>0</v>
      </c>
      <c r="K944">
        <v>0</v>
      </c>
      <c r="L944">
        <v>191657369</v>
      </c>
      <c r="M944">
        <v>191657369</v>
      </c>
      <c r="N944">
        <v>191657369</v>
      </c>
      <c r="O944">
        <v>191657369</v>
      </c>
      <c r="P944">
        <v>201744599.09999999</v>
      </c>
      <c r="Q944">
        <v>201744599.09999999</v>
      </c>
      <c r="R944" s="14">
        <f>_xlfn.XLOOKUP(Table2[[#This Row],[LoanID]],Table1[G-L ID],Table1[ManagerCode],-99)</f>
        <v>103</v>
      </c>
      <c r="T944"/>
    </row>
    <row r="945" spans="1:20" x14ac:dyDescent="0.25">
      <c r="A945">
        <v>20111031</v>
      </c>
      <c r="B945">
        <v>2011</v>
      </c>
      <c r="C945">
        <v>10</v>
      </c>
      <c r="D945">
        <v>1</v>
      </c>
      <c r="E945">
        <v>10900</v>
      </c>
      <c r="F945">
        <v>79284</v>
      </c>
      <c r="G945">
        <v>0</v>
      </c>
      <c r="H945">
        <v>0</v>
      </c>
      <c r="I945">
        <v>0</v>
      </c>
      <c r="J945">
        <v>0</v>
      </c>
      <c r="K945">
        <v>4332.84</v>
      </c>
      <c r="L945">
        <v>8216728</v>
      </c>
      <c r="M945">
        <v>8212612</v>
      </c>
      <c r="N945">
        <v>8216728</v>
      </c>
      <c r="O945">
        <v>8212612</v>
      </c>
      <c r="P945">
        <v>8649187.4399999995</v>
      </c>
      <c r="Q945">
        <v>8644854.5999999996</v>
      </c>
      <c r="R945" s="14">
        <f>_xlfn.XLOOKUP(Table2[[#This Row],[LoanID]],Table1[G-L ID],Table1[ManagerCode],-99)</f>
        <v>103</v>
      </c>
      <c r="T945"/>
    </row>
    <row r="946" spans="1:20" x14ac:dyDescent="0.25">
      <c r="A946">
        <v>20111031</v>
      </c>
      <c r="B946">
        <v>2011</v>
      </c>
      <c r="C946">
        <v>10</v>
      </c>
      <c r="D946">
        <v>1</v>
      </c>
      <c r="E946">
        <v>10950</v>
      </c>
      <c r="F946">
        <v>53685</v>
      </c>
      <c r="G946">
        <v>0</v>
      </c>
      <c r="H946">
        <v>0</v>
      </c>
      <c r="I946">
        <v>0</v>
      </c>
      <c r="J946">
        <v>0</v>
      </c>
      <c r="K946">
        <v>23338.41</v>
      </c>
      <c r="L946">
        <v>10700893</v>
      </c>
      <c r="M946">
        <v>10677788</v>
      </c>
      <c r="N946">
        <v>10700893</v>
      </c>
      <c r="O946">
        <v>10677788</v>
      </c>
      <c r="P946">
        <v>10808982.59</v>
      </c>
      <c r="Q946">
        <v>10785644.18</v>
      </c>
      <c r="R946" s="14">
        <f>_xlfn.XLOOKUP(Table2[[#This Row],[LoanID]],Table1[G-L ID],Table1[ManagerCode],-99)</f>
        <v>103</v>
      </c>
      <c r="T946"/>
    </row>
    <row r="947" spans="1:20" x14ac:dyDescent="0.25">
      <c r="A947">
        <v>20111031</v>
      </c>
      <c r="B947">
        <v>2011</v>
      </c>
      <c r="C947">
        <v>10</v>
      </c>
      <c r="D947">
        <v>1</v>
      </c>
      <c r="E947">
        <v>10980</v>
      </c>
      <c r="F947">
        <v>0</v>
      </c>
      <c r="G947">
        <v>3772.4</v>
      </c>
      <c r="H947">
        <v>286740</v>
      </c>
      <c r="I947">
        <v>0</v>
      </c>
      <c r="J947">
        <v>-2263462.08</v>
      </c>
      <c r="K947">
        <v>0</v>
      </c>
      <c r="L947">
        <v>0</v>
      </c>
      <c r="M947">
        <v>2267234.48</v>
      </c>
      <c r="N947">
        <v>0</v>
      </c>
      <c r="O947">
        <v>2267234.48</v>
      </c>
      <c r="P947">
        <v>0</v>
      </c>
      <c r="Q947">
        <v>2267234.48</v>
      </c>
      <c r="R947" s="14">
        <f>_xlfn.XLOOKUP(Table2[[#This Row],[LoanID]],Table1[G-L ID],Table1[ManagerCode],-99)</f>
        <v>183</v>
      </c>
      <c r="T947"/>
    </row>
    <row r="948" spans="1:20" x14ac:dyDescent="0.25">
      <c r="A948">
        <v>20111031</v>
      </c>
      <c r="B948">
        <v>2011</v>
      </c>
      <c r="C948">
        <v>10</v>
      </c>
      <c r="D948">
        <v>1</v>
      </c>
      <c r="E948">
        <v>11110</v>
      </c>
      <c r="F948">
        <v>1252.77</v>
      </c>
      <c r="G948">
        <v>0</v>
      </c>
      <c r="H948">
        <v>0</v>
      </c>
      <c r="I948">
        <v>0</v>
      </c>
      <c r="J948">
        <v>0</v>
      </c>
      <c r="K948">
        <v>0</v>
      </c>
      <c r="L948">
        <v>1503320.7</v>
      </c>
      <c r="M948">
        <v>1503320.7</v>
      </c>
      <c r="N948">
        <v>1503320.7</v>
      </c>
      <c r="O948">
        <v>1503320.7</v>
      </c>
      <c r="P948">
        <v>1503320.7</v>
      </c>
      <c r="Q948">
        <v>1503320.7</v>
      </c>
      <c r="R948" s="14">
        <f>_xlfn.XLOOKUP(Table2[[#This Row],[LoanID]],Table1[G-L ID],Table1[ManagerCode],-99)</f>
        <v>183</v>
      </c>
      <c r="T948"/>
    </row>
    <row r="949" spans="1:20" x14ac:dyDescent="0.25">
      <c r="A949">
        <v>20111031</v>
      </c>
      <c r="B949">
        <v>2011</v>
      </c>
      <c r="C949">
        <v>10</v>
      </c>
      <c r="D949">
        <v>1</v>
      </c>
      <c r="E949">
        <v>11180</v>
      </c>
      <c r="F949">
        <v>204470</v>
      </c>
      <c r="G949">
        <v>0</v>
      </c>
      <c r="H949">
        <v>0</v>
      </c>
      <c r="I949">
        <v>-1666</v>
      </c>
      <c r="J949">
        <v>0</v>
      </c>
      <c r="K949">
        <v>0</v>
      </c>
      <c r="L949">
        <v>170543691</v>
      </c>
      <c r="M949">
        <v>173275832</v>
      </c>
      <c r="N949">
        <v>170543691</v>
      </c>
      <c r="O949">
        <v>173275832</v>
      </c>
      <c r="P949">
        <v>199970831.5</v>
      </c>
      <c r="Q949">
        <v>199970831.5</v>
      </c>
      <c r="R949" s="14">
        <f>_xlfn.XLOOKUP(Table2[[#This Row],[LoanID]],Table1[G-L ID],Table1[ManagerCode],-99)</f>
        <v>103</v>
      </c>
      <c r="T949"/>
    </row>
    <row r="950" spans="1:20" x14ac:dyDescent="0.25">
      <c r="A950">
        <v>20111031</v>
      </c>
      <c r="B950">
        <v>2011</v>
      </c>
      <c r="C950">
        <v>10</v>
      </c>
      <c r="D950">
        <v>1</v>
      </c>
      <c r="E950">
        <v>11200</v>
      </c>
      <c r="F950">
        <v>69880</v>
      </c>
      <c r="G950">
        <v>0</v>
      </c>
      <c r="H950">
        <v>0</v>
      </c>
      <c r="I950">
        <v>0</v>
      </c>
      <c r="J950">
        <v>0</v>
      </c>
      <c r="K950">
        <v>0</v>
      </c>
      <c r="L950">
        <v>11946804</v>
      </c>
      <c r="M950">
        <v>12088049</v>
      </c>
      <c r="N950">
        <v>11946804</v>
      </c>
      <c r="O950">
        <v>12088049</v>
      </c>
      <c r="P950">
        <v>13976000</v>
      </c>
      <c r="Q950">
        <v>13976000</v>
      </c>
      <c r="R950" s="14">
        <f>_xlfn.XLOOKUP(Table2[[#This Row],[LoanID]],Table1[G-L ID],Table1[ManagerCode],-99)</f>
        <v>103</v>
      </c>
      <c r="T950"/>
    </row>
    <row r="951" spans="1:20" x14ac:dyDescent="0.25">
      <c r="A951">
        <v>20111031</v>
      </c>
      <c r="B951">
        <v>2011</v>
      </c>
      <c r="C951">
        <v>10</v>
      </c>
      <c r="D951">
        <v>1</v>
      </c>
      <c r="E951">
        <v>11240</v>
      </c>
      <c r="F951">
        <v>243500</v>
      </c>
      <c r="G951">
        <v>0</v>
      </c>
      <c r="H951">
        <v>0</v>
      </c>
      <c r="I951">
        <v>0</v>
      </c>
      <c r="J951">
        <v>0</v>
      </c>
      <c r="K951">
        <v>0</v>
      </c>
      <c r="L951">
        <v>181148170</v>
      </c>
      <c r="M951">
        <v>182822623</v>
      </c>
      <c r="N951">
        <v>181148170</v>
      </c>
      <c r="O951">
        <v>182822623</v>
      </c>
      <c r="P951">
        <v>194929626.59999999</v>
      </c>
      <c r="Q951">
        <v>194929626.59999999</v>
      </c>
      <c r="R951" s="14">
        <f>_xlfn.XLOOKUP(Table2[[#This Row],[LoanID]],Table1[G-L ID],Table1[ManagerCode],-99)</f>
        <v>103</v>
      </c>
      <c r="T951"/>
    </row>
    <row r="952" spans="1:20" x14ac:dyDescent="0.25">
      <c r="A952">
        <v>20111031</v>
      </c>
      <c r="B952">
        <v>2011</v>
      </c>
      <c r="C952">
        <v>10</v>
      </c>
      <c r="D952">
        <v>1</v>
      </c>
      <c r="E952">
        <v>11280</v>
      </c>
      <c r="F952">
        <v>23160</v>
      </c>
      <c r="G952">
        <v>0</v>
      </c>
      <c r="H952">
        <v>0</v>
      </c>
      <c r="I952">
        <v>-157</v>
      </c>
      <c r="J952">
        <v>0</v>
      </c>
      <c r="K952">
        <v>0</v>
      </c>
      <c r="L952">
        <v>17456951</v>
      </c>
      <c r="M952">
        <v>17618235</v>
      </c>
      <c r="N952">
        <v>17456951</v>
      </c>
      <c r="O952">
        <v>17618235</v>
      </c>
      <c r="P952">
        <v>18791123.030000001</v>
      </c>
      <c r="Q952">
        <v>18791123.030000001</v>
      </c>
      <c r="R952" s="14">
        <f>_xlfn.XLOOKUP(Table2[[#This Row],[LoanID]],Table1[G-L ID],Table1[ManagerCode],-99)</f>
        <v>103</v>
      </c>
      <c r="T952"/>
    </row>
    <row r="953" spans="1:20" x14ac:dyDescent="0.25">
      <c r="A953">
        <v>20111031</v>
      </c>
      <c r="B953">
        <v>2011</v>
      </c>
      <c r="C953">
        <v>10</v>
      </c>
      <c r="D953">
        <v>1</v>
      </c>
      <c r="E953">
        <v>11300</v>
      </c>
      <c r="F953">
        <v>20844</v>
      </c>
      <c r="G953">
        <v>0</v>
      </c>
      <c r="H953">
        <v>0</v>
      </c>
      <c r="I953">
        <v>-141</v>
      </c>
      <c r="J953">
        <v>0</v>
      </c>
      <c r="K953">
        <v>0</v>
      </c>
      <c r="L953">
        <v>15711256</v>
      </c>
      <c r="M953">
        <v>15856411</v>
      </c>
      <c r="N953">
        <v>15711256</v>
      </c>
      <c r="O953">
        <v>15856411</v>
      </c>
      <c r="P953">
        <v>16912010.73</v>
      </c>
      <c r="Q953">
        <v>16912010.73</v>
      </c>
      <c r="R953" s="14">
        <f>_xlfn.XLOOKUP(Table2[[#This Row],[LoanID]],Table1[G-L ID],Table1[ManagerCode],-99)</f>
        <v>103</v>
      </c>
      <c r="T953"/>
    </row>
    <row r="954" spans="1:20" x14ac:dyDescent="0.25">
      <c r="A954">
        <v>20111031</v>
      </c>
      <c r="B954">
        <v>2011</v>
      </c>
      <c r="C954">
        <v>10</v>
      </c>
      <c r="D954">
        <v>1</v>
      </c>
      <c r="E954">
        <v>11310</v>
      </c>
      <c r="F954">
        <v>13896</v>
      </c>
      <c r="G954">
        <v>0</v>
      </c>
      <c r="H954">
        <v>0</v>
      </c>
      <c r="I954">
        <v>-94</v>
      </c>
      <c r="J954">
        <v>0</v>
      </c>
      <c r="K954">
        <v>0</v>
      </c>
      <c r="L954">
        <v>10477707</v>
      </c>
      <c r="M954">
        <v>10574082</v>
      </c>
      <c r="N954">
        <v>10477707</v>
      </c>
      <c r="O954">
        <v>10574082</v>
      </c>
      <c r="P954">
        <v>11274673.789999999</v>
      </c>
      <c r="Q954">
        <v>11274673.789999999</v>
      </c>
      <c r="R954" s="14">
        <f>_xlfn.XLOOKUP(Table2[[#This Row],[LoanID]],Table1[G-L ID],Table1[ManagerCode],-99)</f>
        <v>103</v>
      </c>
      <c r="T954"/>
    </row>
    <row r="955" spans="1:20" x14ac:dyDescent="0.25">
      <c r="A955">
        <v>20111031</v>
      </c>
      <c r="B955">
        <v>2011</v>
      </c>
      <c r="C955">
        <v>10</v>
      </c>
      <c r="D955">
        <v>1</v>
      </c>
      <c r="E955">
        <v>11380</v>
      </c>
      <c r="F955">
        <v>35356</v>
      </c>
      <c r="G955">
        <v>0</v>
      </c>
      <c r="H955">
        <v>0</v>
      </c>
      <c r="I955">
        <v>0</v>
      </c>
      <c r="J955">
        <v>0</v>
      </c>
      <c r="K955">
        <v>55344.37</v>
      </c>
      <c r="L955">
        <v>6016442</v>
      </c>
      <c r="M955">
        <v>5996157</v>
      </c>
      <c r="N955">
        <v>6016442</v>
      </c>
      <c r="O955">
        <v>5996157</v>
      </c>
      <c r="P955">
        <v>5350157.63</v>
      </c>
      <c r="Q955">
        <v>5294813.26</v>
      </c>
      <c r="R955" s="14">
        <f>_xlfn.XLOOKUP(Table2[[#This Row],[LoanID]],Table1[G-L ID],Table1[ManagerCode],-99)</f>
        <v>103</v>
      </c>
      <c r="T955"/>
    </row>
    <row r="956" spans="1:20" x14ac:dyDescent="0.25">
      <c r="A956">
        <v>20111031</v>
      </c>
      <c r="B956">
        <v>2011</v>
      </c>
      <c r="C956">
        <v>10</v>
      </c>
      <c r="D956">
        <v>1</v>
      </c>
      <c r="E956">
        <v>11630</v>
      </c>
      <c r="F956">
        <v>45500</v>
      </c>
      <c r="G956">
        <v>24447.06</v>
      </c>
      <c r="H956">
        <v>0</v>
      </c>
      <c r="I956">
        <v>0</v>
      </c>
      <c r="J956">
        <v>-397318.61</v>
      </c>
      <c r="K956">
        <v>0</v>
      </c>
      <c r="L956">
        <v>4610161.38</v>
      </c>
      <c r="M956">
        <v>5031927.05</v>
      </c>
      <c r="N956">
        <v>4610161.38</v>
      </c>
      <c r="O956">
        <v>5031927.05</v>
      </c>
      <c r="P956">
        <v>4610161.38</v>
      </c>
      <c r="Q956">
        <v>5031927.05</v>
      </c>
      <c r="R956" s="14">
        <f>_xlfn.XLOOKUP(Table2[[#This Row],[LoanID]],Table1[G-L ID],Table1[ManagerCode],-99)</f>
        <v>183</v>
      </c>
      <c r="T956"/>
    </row>
    <row r="957" spans="1:20" x14ac:dyDescent="0.25">
      <c r="A957">
        <v>20111031</v>
      </c>
      <c r="B957">
        <v>2011</v>
      </c>
      <c r="C957">
        <v>10</v>
      </c>
      <c r="D957">
        <v>1</v>
      </c>
      <c r="E957">
        <v>11650</v>
      </c>
      <c r="F957">
        <v>37500</v>
      </c>
      <c r="G957">
        <v>0</v>
      </c>
      <c r="H957">
        <v>0</v>
      </c>
      <c r="I957">
        <v>0</v>
      </c>
      <c r="J957">
        <v>-3000000</v>
      </c>
      <c r="K957">
        <v>0</v>
      </c>
      <c r="L957">
        <v>4800000</v>
      </c>
      <c r="M957">
        <v>7200000</v>
      </c>
      <c r="N957">
        <v>4800000</v>
      </c>
      <c r="O957">
        <v>7200000</v>
      </c>
      <c r="P957">
        <v>6000000</v>
      </c>
      <c r="Q957">
        <v>9000000</v>
      </c>
      <c r="R957" s="14">
        <f>_xlfn.XLOOKUP(Table2[[#This Row],[LoanID]],Table1[G-L ID],Table1[ManagerCode],-99)</f>
        <v>103</v>
      </c>
      <c r="T957"/>
    </row>
    <row r="958" spans="1:20" x14ac:dyDescent="0.25">
      <c r="A958">
        <v>20111031</v>
      </c>
      <c r="B958">
        <v>2011</v>
      </c>
      <c r="C958">
        <v>10</v>
      </c>
      <c r="D958">
        <v>1</v>
      </c>
      <c r="E958">
        <v>11780</v>
      </c>
      <c r="F958">
        <v>177806</v>
      </c>
      <c r="G958">
        <v>0</v>
      </c>
      <c r="H958">
        <v>0</v>
      </c>
      <c r="I958">
        <v>-1094</v>
      </c>
      <c r="J958">
        <v>0</v>
      </c>
      <c r="K958">
        <v>140756.38</v>
      </c>
      <c r="L958">
        <v>27603780</v>
      </c>
      <c r="M958">
        <v>27463024</v>
      </c>
      <c r="N958">
        <v>27603780</v>
      </c>
      <c r="O958">
        <v>27463024</v>
      </c>
      <c r="P958">
        <v>65651274</v>
      </c>
      <c r="Q958">
        <v>65510517.619999997</v>
      </c>
      <c r="R958" s="14">
        <f>_xlfn.XLOOKUP(Table2[[#This Row],[LoanID]],Table1[G-L ID],Table1[ManagerCode],-99)</f>
        <v>103</v>
      </c>
      <c r="T958"/>
    </row>
    <row r="959" spans="1:20" x14ac:dyDescent="0.25">
      <c r="A959">
        <v>20111031</v>
      </c>
      <c r="B959">
        <v>2011</v>
      </c>
      <c r="C959">
        <v>10</v>
      </c>
      <c r="D959">
        <v>1</v>
      </c>
      <c r="E959">
        <v>11800</v>
      </c>
      <c r="F959">
        <v>160236</v>
      </c>
      <c r="G959">
        <v>0</v>
      </c>
      <c r="H959">
        <v>0</v>
      </c>
      <c r="I959">
        <v>-270</v>
      </c>
      <c r="J959">
        <v>0</v>
      </c>
      <c r="K959">
        <v>59177.16</v>
      </c>
      <c r="L959">
        <v>29119102</v>
      </c>
      <c r="M959">
        <v>29065842</v>
      </c>
      <c r="N959">
        <v>29119102</v>
      </c>
      <c r="O959">
        <v>29065842</v>
      </c>
      <c r="P959">
        <v>32354525.390000001</v>
      </c>
      <c r="Q959">
        <v>32295348.23</v>
      </c>
      <c r="R959" s="14">
        <f>_xlfn.XLOOKUP(Table2[[#This Row],[LoanID]],Table1[G-L ID],Table1[ManagerCode],-99)</f>
        <v>103</v>
      </c>
      <c r="T959"/>
    </row>
    <row r="960" spans="1:20" x14ac:dyDescent="0.25">
      <c r="A960">
        <v>20111031</v>
      </c>
      <c r="B960">
        <v>2011</v>
      </c>
      <c r="C960">
        <v>10</v>
      </c>
      <c r="D960">
        <v>1</v>
      </c>
      <c r="E960">
        <v>11810</v>
      </c>
      <c r="F960">
        <v>51167</v>
      </c>
      <c r="G960">
        <v>0</v>
      </c>
      <c r="H960">
        <v>0</v>
      </c>
      <c r="I960">
        <v>0</v>
      </c>
      <c r="J960">
        <v>0</v>
      </c>
      <c r="K960">
        <v>0</v>
      </c>
      <c r="L960">
        <v>9781339</v>
      </c>
      <c r="M960">
        <v>9761927</v>
      </c>
      <c r="N960">
        <v>9781339</v>
      </c>
      <c r="O960">
        <v>9761927</v>
      </c>
      <c r="P960">
        <v>10000000</v>
      </c>
      <c r="Q960">
        <v>10000000</v>
      </c>
      <c r="R960" s="14">
        <f>_xlfn.XLOOKUP(Table2[[#This Row],[LoanID]],Table1[G-L ID],Table1[ManagerCode],-99)</f>
        <v>103</v>
      </c>
      <c r="T960"/>
    </row>
    <row r="961" spans="1:20" x14ac:dyDescent="0.25">
      <c r="A961">
        <v>20111031</v>
      </c>
      <c r="B961">
        <v>2011</v>
      </c>
      <c r="C961">
        <v>10</v>
      </c>
      <c r="D961">
        <v>1</v>
      </c>
      <c r="E961">
        <v>12110</v>
      </c>
      <c r="F961">
        <v>135416.19</v>
      </c>
      <c r="G961">
        <v>0</v>
      </c>
      <c r="H961">
        <v>0</v>
      </c>
      <c r="I961">
        <v>0</v>
      </c>
      <c r="J961">
        <v>-893348.54</v>
      </c>
      <c r="K961">
        <v>0</v>
      </c>
      <c r="L961">
        <v>18518621.510000002</v>
      </c>
      <c r="M961">
        <v>19411970.050000001</v>
      </c>
      <c r="N961">
        <v>18518621.510000002</v>
      </c>
      <c r="O961">
        <v>19411970.050000001</v>
      </c>
      <c r="P961">
        <v>18518621.510000002</v>
      </c>
      <c r="Q961">
        <v>19411970.050000001</v>
      </c>
      <c r="R961" s="14">
        <f>_xlfn.XLOOKUP(Table2[[#This Row],[LoanID]],Table1[G-L ID],Table1[ManagerCode],-99)</f>
        <v>183</v>
      </c>
      <c r="T961"/>
    </row>
    <row r="962" spans="1:20" x14ac:dyDescent="0.25">
      <c r="A962">
        <v>20111031</v>
      </c>
      <c r="B962">
        <v>2011</v>
      </c>
      <c r="C962">
        <v>10</v>
      </c>
      <c r="D962">
        <v>1</v>
      </c>
      <c r="E962">
        <v>12200</v>
      </c>
      <c r="F962">
        <v>90136</v>
      </c>
      <c r="G962">
        <v>0</v>
      </c>
      <c r="H962">
        <v>0</v>
      </c>
      <c r="I962">
        <v>0</v>
      </c>
      <c r="J962">
        <v>0</v>
      </c>
      <c r="K962">
        <v>32073.79</v>
      </c>
      <c r="L962">
        <v>20844289</v>
      </c>
      <c r="M962">
        <v>20982983</v>
      </c>
      <c r="N962">
        <v>20844289</v>
      </c>
      <c r="O962">
        <v>20982983</v>
      </c>
      <c r="P962">
        <v>19617373.57</v>
      </c>
      <c r="Q962">
        <v>19585653.379999999</v>
      </c>
      <c r="R962" s="14">
        <f>_xlfn.XLOOKUP(Table2[[#This Row],[LoanID]],Table1[G-L ID],Table1[ManagerCode],-99)</f>
        <v>103</v>
      </c>
      <c r="T962"/>
    </row>
    <row r="963" spans="1:20" x14ac:dyDescent="0.25">
      <c r="A963">
        <v>20111031</v>
      </c>
      <c r="B963">
        <v>2011</v>
      </c>
      <c r="C963">
        <v>10</v>
      </c>
      <c r="D963">
        <v>1</v>
      </c>
      <c r="E963">
        <v>12210</v>
      </c>
      <c r="F963">
        <v>724073</v>
      </c>
      <c r="G963">
        <v>0</v>
      </c>
      <c r="H963">
        <v>0</v>
      </c>
      <c r="I963">
        <v>0</v>
      </c>
      <c r="J963">
        <v>0</v>
      </c>
      <c r="K963">
        <v>179675.55</v>
      </c>
      <c r="L963">
        <v>137226090</v>
      </c>
      <c r="M963">
        <v>138654134</v>
      </c>
      <c r="N963">
        <v>137226090</v>
      </c>
      <c r="O963">
        <v>138654134</v>
      </c>
      <c r="P963">
        <v>117156144.5</v>
      </c>
      <c r="Q963">
        <v>116976469</v>
      </c>
      <c r="R963" s="14">
        <f>_xlfn.XLOOKUP(Table2[[#This Row],[LoanID]],Table1[G-L ID],Table1[ManagerCode],-99)</f>
        <v>103</v>
      </c>
      <c r="T963"/>
    </row>
    <row r="964" spans="1:20" x14ac:dyDescent="0.25">
      <c r="A964">
        <v>20111130</v>
      </c>
      <c r="B964">
        <v>2011</v>
      </c>
      <c r="C964">
        <v>11</v>
      </c>
      <c r="D964">
        <v>1</v>
      </c>
      <c r="E964">
        <v>10050</v>
      </c>
      <c r="F964">
        <v>153981</v>
      </c>
      <c r="G964">
        <v>0</v>
      </c>
      <c r="H964">
        <v>0</v>
      </c>
      <c r="I964">
        <v>-69</v>
      </c>
      <c r="J964">
        <v>0</v>
      </c>
      <c r="K964">
        <v>0</v>
      </c>
      <c r="L964">
        <v>31290623</v>
      </c>
      <c r="M964">
        <v>35406632</v>
      </c>
      <c r="N964">
        <v>31290623</v>
      </c>
      <c r="O964">
        <v>35406632</v>
      </c>
      <c r="P964">
        <v>33333334</v>
      </c>
      <c r="Q964">
        <v>33333334</v>
      </c>
      <c r="R964" s="14">
        <f>_xlfn.XLOOKUP(Table2[[#This Row],[LoanID]],Table1[G-L ID],Table1[ManagerCode],-99)</f>
        <v>103</v>
      </c>
      <c r="T964"/>
    </row>
    <row r="965" spans="1:20" x14ac:dyDescent="0.25">
      <c r="A965">
        <v>20111130</v>
      </c>
      <c r="B965">
        <v>2011</v>
      </c>
      <c r="C965">
        <v>11</v>
      </c>
      <c r="D965">
        <v>1</v>
      </c>
      <c r="E965">
        <v>10080</v>
      </c>
      <c r="F965">
        <v>351043</v>
      </c>
      <c r="G965">
        <v>0</v>
      </c>
      <c r="H965">
        <v>0</v>
      </c>
      <c r="I965">
        <v>-161</v>
      </c>
      <c r="J965">
        <v>0</v>
      </c>
      <c r="K965">
        <v>0</v>
      </c>
      <c r="L965">
        <v>73931408</v>
      </c>
      <c r="M965">
        <v>74073849</v>
      </c>
      <c r="N965">
        <v>73931408</v>
      </c>
      <c r="O965">
        <v>74073849</v>
      </c>
      <c r="P965">
        <v>75000000</v>
      </c>
      <c r="Q965">
        <v>75000000</v>
      </c>
      <c r="R965" s="14">
        <f>_xlfn.XLOOKUP(Table2[[#This Row],[LoanID]],Table1[G-L ID],Table1[ManagerCode],-99)</f>
        <v>103</v>
      </c>
      <c r="T965"/>
    </row>
    <row r="966" spans="1:20" x14ac:dyDescent="0.25">
      <c r="A966">
        <v>20111130</v>
      </c>
      <c r="B966">
        <v>2011</v>
      </c>
      <c r="C966">
        <v>11</v>
      </c>
      <c r="D966">
        <v>1</v>
      </c>
      <c r="E966">
        <v>10130</v>
      </c>
      <c r="F966">
        <v>35986</v>
      </c>
      <c r="G966">
        <v>0</v>
      </c>
      <c r="H966">
        <v>0</v>
      </c>
      <c r="I966">
        <v>0</v>
      </c>
      <c r="J966">
        <v>0</v>
      </c>
      <c r="K966">
        <v>31704.65</v>
      </c>
      <c r="L966">
        <v>8305535</v>
      </c>
      <c r="M966">
        <v>8240549</v>
      </c>
      <c r="N966">
        <v>8305535</v>
      </c>
      <c r="O966">
        <v>8240549</v>
      </c>
      <c r="P966">
        <v>7952715.9199999999</v>
      </c>
      <c r="Q966">
        <v>7921011.2699999996</v>
      </c>
      <c r="R966" s="14">
        <f>_xlfn.XLOOKUP(Table2[[#This Row],[LoanID]],Table1[G-L ID],Table1[ManagerCode],-99)</f>
        <v>103</v>
      </c>
      <c r="T966"/>
    </row>
    <row r="967" spans="1:20" x14ac:dyDescent="0.25">
      <c r="A967">
        <v>20111130</v>
      </c>
      <c r="B967">
        <v>2011</v>
      </c>
      <c r="C967">
        <v>11</v>
      </c>
      <c r="D967">
        <v>1</v>
      </c>
      <c r="E967">
        <v>10140</v>
      </c>
      <c r="F967">
        <v>94911</v>
      </c>
      <c r="G967">
        <v>0</v>
      </c>
      <c r="H967">
        <v>0</v>
      </c>
      <c r="I967">
        <v>0</v>
      </c>
      <c r="J967">
        <v>0</v>
      </c>
      <c r="K967">
        <v>82913.36</v>
      </c>
      <c r="L967">
        <v>21905730</v>
      </c>
      <c r="M967">
        <v>21735021</v>
      </c>
      <c r="N967">
        <v>21905730</v>
      </c>
      <c r="O967">
        <v>21735021</v>
      </c>
      <c r="P967">
        <v>20974801.030000001</v>
      </c>
      <c r="Q967">
        <v>20891887.670000002</v>
      </c>
      <c r="R967" s="14">
        <f>_xlfn.XLOOKUP(Table2[[#This Row],[LoanID]],Table1[G-L ID],Table1[ManagerCode],-99)</f>
        <v>103</v>
      </c>
      <c r="T967"/>
    </row>
    <row r="968" spans="1:20" x14ac:dyDescent="0.25">
      <c r="A968">
        <v>20111130</v>
      </c>
      <c r="B968">
        <v>2011</v>
      </c>
      <c r="C968">
        <v>11</v>
      </c>
      <c r="D968">
        <v>1</v>
      </c>
      <c r="E968">
        <v>10150</v>
      </c>
      <c r="F968">
        <v>242357</v>
      </c>
      <c r="G968">
        <v>0</v>
      </c>
      <c r="H968">
        <v>0</v>
      </c>
      <c r="I968">
        <v>0</v>
      </c>
      <c r="J968">
        <v>0</v>
      </c>
      <c r="K968">
        <v>70962.600000000006</v>
      </c>
      <c r="L968">
        <v>52065310</v>
      </c>
      <c r="M968">
        <v>51995057</v>
      </c>
      <c r="N968">
        <v>52065310</v>
      </c>
      <c r="O968">
        <v>51995057</v>
      </c>
      <c r="P968">
        <v>52591117.159999996</v>
      </c>
      <c r="Q968">
        <v>52520154.560000002</v>
      </c>
      <c r="R968" s="14">
        <f>_xlfn.XLOOKUP(Table2[[#This Row],[LoanID]],Table1[G-L ID],Table1[ManagerCode],-99)</f>
        <v>103</v>
      </c>
      <c r="T968"/>
    </row>
    <row r="969" spans="1:20" x14ac:dyDescent="0.25">
      <c r="A969">
        <v>20111130</v>
      </c>
      <c r="B969">
        <v>2011</v>
      </c>
      <c r="C969">
        <v>11</v>
      </c>
      <c r="D969">
        <v>1</v>
      </c>
      <c r="E969">
        <v>10170</v>
      </c>
      <c r="F969">
        <v>249317</v>
      </c>
      <c r="G969">
        <v>0</v>
      </c>
      <c r="H969">
        <v>0</v>
      </c>
      <c r="I969">
        <v>-1195</v>
      </c>
      <c r="J969">
        <v>0</v>
      </c>
      <c r="K969">
        <v>66481.740000000005</v>
      </c>
      <c r="L969">
        <v>50224721</v>
      </c>
      <c r="M969">
        <v>49904029</v>
      </c>
      <c r="N969">
        <v>50224721</v>
      </c>
      <c r="O969">
        <v>49904029</v>
      </c>
      <c r="P969">
        <v>46250664.619999997</v>
      </c>
      <c r="Q969">
        <v>46184182.880000003</v>
      </c>
      <c r="R969" s="14">
        <f>_xlfn.XLOOKUP(Table2[[#This Row],[LoanID]],Table1[G-L ID],Table1[ManagerCode],-99)</f>
        <v>103</v>
      </c>
      <c r="T969"/>
    </row>
    <row r="970" spans="1:20" x14ac:dyDescent="0.25">
      <c r="A970">
        <v>20111130</v>
      </c>
      <c r="B970">
        <v>2011</v>
      </c>
      <c r="C970">
        <v>11</v>
      </c>
      <c r="D970">
        <v>1</v>
      </c>
      <c r="E970">
        <v>10230</v>
      </c>
      <c r="F970">
        <v>183027</v>
      </c>
      <c r="G970">
        <v>0</v>
      </c>
      <c r="H970">
        <v>0</v>
      </c>
      <c r="I970">
        <v>0</v>
      </c>
      <c r="J970">
        <v>0</v>
      </c>
      <c r="K970">
        <v>58570.71</v>
      </c>
      <c r="L970">
        <v>27698503</v>
      </c>
      <c r="M970">
        <v>27648718</v>
      </c>
      <c r="N970">
        <v>27698503</v>
      </c>
      <c r="O970">
        <v>27648718</v>
      </c>
      <c r="P970">
        <v>32586474.440000001</v>
      </c>
      <c r="Q970">
        <v>32527903.73</v>
      </c>
      <c r="R970" s="14">
        <f>_xlfn.XLOOKUP(Table2[[#This Row],[LoanID]],Table1[G-L ID],Table1[ManagerCode],-99)</f>
        <v>103</v>
      </c>
      <c r="T970"/>
    </row>
    <row r="971" spans="1:20" x14ac:dyDescent="0.25">
      <c r="A971">
        <v>20111130</v>
      </c>
      <c r="B971">
        <v>2011</v>
      </c>
      <c r="C971">
        <v>11</v>
      </c>
      <c r="D971">
        <v>1</v>
      </c>
      <c r="E971">
        <v>10280</v>
      </c>
      <c r="F971">
        <v>181412</v>
      </c>
      <c r="G971">
        <v>0</v>
      </c>
      <c r="H971">
        <v>0</v>
      </c>
      <c r="I971">
        <v>0</v>
      </c>
      <c r="J971">
        <v>0</v>
      </c>
      <c r="K971">
        <v>0</v>
      </c>
      <c r="L971">
        <v>33250033</v>
      </c>
      <c r="M971">
        <v>33250033</v>
      </c>
      <c r="N971">
        <v>33250033</v>
      </c>
      <c r="O971">
        <v>33250033</v>
      </c>
      <c r="P971">
        <v>35000000</v>
      </c>
      <c r="Q971">
        <v>35000000</v>
      </c>
      <c r="R971" s="14">
        <f>_xlfn.XLOOKUP(Table2[[#This Row],[LoanID]],Table1[G-L ID],Table1[ManagerCode],-99)</f>
        <v>103</v>
      </c>
      <c r="T971"/>
    </row>
    <row r="972" spans="1:20" x14ac:dyDescent="0.25">
      <c r="A972">
        <v>20111130</v>
      </c>
      <c r="B972">
        <v>2011</v>
      </c>
      <c r="C972">
        <v>11</v>
      </c>
      <c r="D972">
        <v>1</v>
      </c>
      <c r="E972">
        <v>10290</v>
      </c>
      <c r="F972">
        <v>171301</v>
      </c>
      <c r="G972">
        <v>0</v>
      </c>
      <c r="H972">
        <v>0</v>
      </c>
      <c r="I972">
        <v>0</v>
      </c>
      <c r="J972">
        <v>0</v>
      </c>
      <c r="K972">
        <v>0</v>
      </c>
      <c r="L972">
        <v>22500000</v>
      </c>
      <c r="M972">
        <v>22500000</v>
      </c>
      <c r="N972">
        <v>22500000</v>
      </c>
      <c r="O972">
        <v>22500000</v>
      </c>
      <c r="P972">
        <v>25000000</v>
      </c>
      <c r="Q972">
        <v>25000000</v>
      </c>
      <c r="R972" s="14">
        <f>_xlfn.XLOOKUP(Table2[[#This Row],[LoanID]],Table1[G-L ID],Table1[ManagerCode],-99)</f>
        <v>103</v>
      </c>
      <c r="T972"/>
    </row>
    <row r="973" spans="1:20" x14ac:dyDescent="0.25">
      <c r="A973">
        <v>20111130</v>
      </c>
      <c r="B973">
        <v>2011</v>
      </c>
      <c r="C973">
        <v>11</v>
      </c>
      <c r="D973">
        <v>1</v>
      </c>
      <c r="E973">
        <v>10300</v>
      </c>
      <c r="F973">
        <v>149888</v>
      </c>
      <c r="G973">
        <v>0</v>
      </c>
      <c r="H973">
        <v>0</v>
      </c>
      <c r="I973">
        <v>0</v>
      </c>
      <c r="J973">
        <v>0</v>
      </c>
      <c r="K973">
        <v>0</v>
      </c>
      <c r="L973">
        <v>33757007</v>
      </c>
      <c r="M973">
        <v>33638421</v>
      </c>
      <c r="N973">
        <v>33757007</v>
      </c>
      <c r="O973">
        <v>33638421</v>
      </c>
      <c r="P973">
        <v>35000000</v>
      </c>
      <c r="Q973">
        <v>35000000</v>
      </c>
      <c r="R973" s="14">
        <f>_xlfn.XLOOKUP(Table2[[#This Row],[LoanID]],Table1[G-L ID],Table1[ManagerCode],-99)</f>
        <v>103</v>
      </c>
      <c r="T973"/>
    </row>
    <row r="974" spans="1:20" x14ac:dyDescent="0.25">
      <c r="A974">
        <v>20111130</v>
      </c>
      <c r="B974">
        <v>2011</v>
      </c>
      <c r="C974">
        <v>11</v>
      </c>
      <c r="D974">
        <v>1</v>
      </c>
      <c r="E974">
        <v>10310</v>
      </c>
      <c r="F974">
        <v>102062.14</v>
      </c>
      <c r="G974">
        <v>0</v>
      </c>
      <c r="H974">
        <v>0</v>
      </c>
      <c r="I974">
        <v>0</v>
      </c>
      <c r="J974">
        <v>0</v>
      </c>
      <c r="K974">
        <v>71284</v>
      </c>
      <c r="L974">
        <v>14532761.300000001</v>
      </c>
      <c r="M974">
        <v>14461477.300000001</v>
      </c>
      <c r="N974">
        <v>14532761.300000001</v>
      </c>
      <c r="O974">
        <v>14461477.300000001</v>
      </c>
      <c r="P974">
        <v>14532761.300000001</v>
      </c>
      <c r="Q974">
        <v>14461477.300000001</v>
      </c>
      <c r="R974" s="14">
        <f>_xlfn.XLOOKUP(Table2[[#This Row],[LoanID]],Table1[G-L ID],Table1[ManagerCode],-99)</f>
        <v>183</v>
      </c>
      <c r="T974"/>
    </row>
    <row r="975" spans="1:20" x14ac:dyDescent="0.25">
      <c r="A975">
        <v>20111130</v>
      </c>
      <c r="B975">
        <v>2011</v>
      </c>
      <c r="C975">
        <v>11</v>
      </c>
      <c r="D975">
        <v>1</v>
      </c>
      <c r="E975">
        <v>10370</v>
      </c>
      <c r="F975">
        <v>5187</v>
      </c>
      <c r="G975">
        <v>0</v>
      </c>
      <c r="H975">
        <v>0</v>
      </c>
      <c r="I975">
        <v>0</v>
      </c>
      <c r="J975">
        <v>0</v>
      </c>
      <c r="K975">
        <v>35200.800000000003</v>
      </c>
      <c r="L975">
        <v>2724406</v>
      </c>
      <c r="M975">
        <v>2692725</v>
      </c>
      <c r="N975">
        <v>2724406</v>
      </c>
      <c r="O975">
        <v>2692725</v>
      </c>
      <c r="P975">
        <v>3027117.91</v>
      </c>
      <c r="Q975">
        <v>2991917.11</v>
      </c>
      <c r="R975" s="14">
        <f>_xlfn.XLOOKUP(Table2[[#This Row],[LoanID]],Table1[G-L ID],Table1[ManagerCode],-99)</f>
        <v>103</v>
      </c>
      <c r="T975"/>
    </row>
    <row r="976" spans="1:20" x14ac:dyDescent="0.25">
      <c r="A976">
        <v>20111130</v>
      </c>
      <c r="B976">
        <v>2011</v>
      </c>
      <c r="C976">
        <v>11</v>
      </c>
      <c r="D976">
        <v>1</v>
      </c>
      <c r="E976">
        <v>10390</v>
      </c>
      <c r="F976">
        <v>118750</v>
      </c>
      <c r="G976">
        <v>0</v>
      </c>
      <c r="H976">
        <v>0</v>
      </c>
      <c r="I976">
        <v>0</v>
      </c>
      <c r="J976">
        <v>0</v>
      </c>
      <c r="K976">
        <v>0</v>
      </c>
      <c r="L976">
        <v>22500000</v>
      </c>
      <c r="M976">
        <v>22500000</v>
      </c>
      <c r="N976">
        <v>22500000</v>
      </c>
      <c r="O976">
        <v>22500000</v>
      </c>
      <c r="P976">
        <v>24993877.449999999</v>
      </c>
      <c r="Q976">
        <v>24994081.539999999</v>
      </c>
      <c r="R976" s="14">
        <f>_xlfn.XLOOKUP(Table2[[#This Row],[LoanID]],Table1[G-L ID],Table1[ManagerCode],-99)</f>
        <v>103</v>
      </c>
      <c r="T976"/>
    </row>
    <row r="977" spans="1:20" x14ac:dyDescent="0.25">
      <c r="A977">
        <v>20111130</v>
      </c>
      <c r="B977">
        <v>2011</v>
      </c>
      <c r="C977">
        <v>11</v>
      </c>
      <c r="D977">
        <v>1</v>
      </c>
      <c r="E977">
        <v>10450</v>
      </c>
      <c r="F977">
        <v>119422</v>
      </c>
      <c r="G977">
        <v>0</v>
      </c>
      <c r="H977">
        <v>0</v>
      </c>
      <c r="I977">
        <v>0</v>
      </c>
      <c r="J977">
        <v>0</v>
      </c>
      <c r="K977">
        <v>22393.38</v>
      </c>
      <c r="L977">
        <v>21206754</v>
      </c>
      <c r="M977">
        <v>21184585</v>
      </c>
      <c r="N977">
        <v>21206754</v>
      </c>
      <c r="O977">
        <v>21184585</v>
      </c>
      <c r="P977">
        <v>21420963.84</v>
      </c>
      <c r="Q977">
        <v>21398570.460000001</v>
      </c>
      <c r="R977" s="14">
        <f>_xlfn.XLOOKUP(Table2[[#This Row],[LoanID]],Table1[G-L ID],Table1[ManagerCode],-99)</f>
        <v>103</v>
      </c>
      <c r="T977"/>
    </row>
    <row r="978" spans="1:20" x14ac:dyDescent="0.25">
      <c r="A978">
        <v>20111130</v>
      </c>
      <c r="B978">
        <v>2011</v>
      </c>
      <c r="C978">
        <v>11</v>
      </c>
      <c r="D978">
        <v>1</v>
      </c>
      <c r="E978">
        <v>10550</v>
      </c>
      <c r="F978">
        <v>21420</v>
      </c>
      <c r="G978">
        <v>0</v>
      </c>
      <c r="H978">
        <v>0</v>
      </c>
      <c r="I978">
        <v>-12</v>
      </c>
      <c r="J978">
        <v>0</v>
      </c>
      <c r="K978">
        <v>0</v>
      </c>
      <c r="L978">
        <v>3999634</v>
      </c>
      <c r="M978">
        <v>3999634</v>
      </c>
      <c r="N978">
        <v>3999634</v>
      </c>
      <c r="O978">
        <v>3999634</v>
      </c>
      <c r="P978">
        <v>4024884.14</v>
      </c>
      <c r="Q978">
        <v>4026567.49</v>
      </c>
      <c r="R978" s="14">
        <f>_xlfn.XLOOKUP(Table2[[#This Row],[LoanID]],Table1[G-L ID],Table1[ManagerCode],-99)</f>
        <v>103</v>
      </c>
      <c r="T978"/>
    </row>
    <row r="979" spans="1:20" x14ac:dyDescent="0.25">
      <c r="A979">
        <v>20111130</v>
      </c>
      <c r="B979">
        <v>2011</v>
      </c>
      <c r="C979">
        <v>11</v>
      </c>
      <c r="D979">
        <v>1</v>
      </c>
      <c r="E979">
        <v>10560</v>
      </c>
      <c r="F979">
        <v>528353</v>
      </c>
      <c r="G979">
        <v>0</v>
      </c>
      <c r="H979">
        <v>0</v>
      </c>
      <c r="I979">
        <v>-300</v>
      </c>
      <c r="J979">
        <v>0</v>
      </c>
      <c r="K979">
        <v>0</v>
      </c>
      <c r="L979">
        <v>98657637</v>
      </c>
      <c r="M979">
        <v>98657637</v>
      </c>
      <c r="N979">
        <v>98657637</v>
      </c>
      <c r="O979">
        <v>98657637</v>
      </c>
      <c r="P979">
        <v>99654178</v>
      </c>
      <c r="Q979">
        <v>99654178</v>
      </c>
      <c r="R979" s="14">
        <f>_xlfn.XLOOKUP(Table2[[#This Row],[LoanID]],Table1[G-L ID],Table1[ManagerCode],-99)</f>
        <v>103</v>
      </c>
      <c r="T979"/>
    </row>
    <row r="980" spans="1:20" x14ac:dyDescent="0.25">
      <c r="A980">
        <v>20111130</v>
      </c>
      <c r="B980">
        <v>2011</v>
      </c>
      <c r="C980">
        <v>11</v>
      </c>
      <c r="D980">
        <v>1</v>
      </c>
      <c r="E980">
        <v>10630</v>
      </c>
      <c r="F980">
        <v>49116</v>
      </c>
      <c r="G980">
        <v>0</v>
      </c>
      <c r="H980">
        <v>0</v>
      </c>
      <c r="I980">
        <v>0</v>
      </c>
      <c r="J980">
        <v>0</v>
      </c>
      <c r="K980">
        <v>13500.36</v>
      </c>
      <c r="L980">
        <v>9647303</v>
      </c>
      <c r="M980">
        <v>9621166</v>
      </c>
      <c r="N980">
        <v>9647303</v>
      </c>
      <c r="O980">
        <v>9621166</v>
      </c>
      <c r="P980">
        <v>9194831.0199999996</v>
      </c>
      <c r="Q980">
        <v>9181330.6600000001</v>
      </c>
      <c r="R980" s="14">
        <f>_xlfn.XLOOKUP(Table2[[#This Row],[LoanID]],Table1[G-L ID],Table1[ManagerCode],-99)</f>
        <v>103</v>
      </c>
      <c r="T980"/>
    </row>
    <row r="981" spans="1:20" x14ac:dyDescent="0.25">
      <c r="A981">
        <v>20111130</v>
      </c>
      <c r="B981">
        <v>2011</v>
      </c>
      <c r="C981">
        <v>11</v>
      </c>
      <c r="D981">
        <v>1</v>
      </c>
      <c r="E981">
        <v>10770</v>
      </c>
      <c r="F981">
        <v>0</v>
      </c>
      <c r="G981">
        <v>0</v>
      </c>
      <c r="H981">
        <v>0</v>
      </c>
      <c r="I981">
        <v>0</v>
      </c>
      <c r="J981">
        <v>0</v>
      </c>
      <c r="K981">
        <v>0</v>
      </c>
      <c r="L981">
        <v>115000000</v>
      </c>
      <c r="M981">
        <v>109250000</v>
      </c>
      <c r="N981">
        <v>115000000</v>
      </c>
      <c r="O981">
        <v>109250000</v>
      </c>
      <c r="P981">
        <v>115000000</v>
      </c>
      <c r="Q981">
        <v>115000000</v>
      </c>
      <c r="R981" s="14">
        <f>_xlfn.XLOOKUP(Table2[[#This Row],[LoanID]],Table1[G-L ID],Table1[ManagerCode],-99)</f>
        <v>103</v>
      </c>
      <c r="T981"/>
    </row>
    <row r="982" spans="1:20" x14ac:dyDescent="0.25">
      <c r="A982">
        <v>20111130</v>
      </c>
      <c r="B982">
        <v>2011</v>
      </c>
      <c r="C982">
        <v>11</v>
      </c>
      <c r="D982">
        <v>1</v>
      </c>
      <c r="E982">
        <v>10880</v>
      </c>
      <c r="F982">
        <v>312390</v>
      </c>
      <c r="G982">
        <v>0</v>
      </c>
      <c r="H982">
        <v>0</v>
      </c>
      <c r="I982">
        <v>0</v>
      </c>
      <c r="J982">
        <v>0</v>
      </c>
      <c r="K982">
        <v>0</v>
      </c>
      <c r="L982">
        <v>191657369</v>
      </c>
      <c r="M982">
        <v>191657369</v>
      </c>
      <c r="N982">
        <v>191657369</v>
      </c>
      <c r="O982">
        <v>191657369</v>
      </c>
      <c r="P982">
        <v>201744599.09999999</v>
      </c>
      <c r="Q982">
        <v>201744599.09999999</v>
      </c>
      <c r="R982" s="14">
        <f>_xlfn.XLOOKUP(Table2[[#This Row],[LoanID]],Table1[G-L ID],Table1[ManagerCode],-99)</f>
        <v>103</v>
      </c>
      <c r="T982"/>
    </row>
    <row r="983" spans="1:20" x14ac:dyDescent="0.25">
      <c r="A983">
        <v>20111130</v>
      </c>
      <c r="B983">
        <v>2011</v>
      </c>
      <c r="C983">
        <v>11</v>
      </c>
      <c r="D983">
        <v>1</v>
      </c>
      <c r="E983">
        <v>10900</v>
      </c>
      <c r="F983">
        <v>81886</v>
      </c>
      <c r="G983">
        <v>0</v>
      </c>
      <c r="H983">
        <v>0</v>
      </c>
      <c r="I983">
        <v>0</v>
      </c>
      <c r="J983">
        <v>0</v>
      </c>
      <c r="K983">
        <v>1731.08</v>
      </c>
      <c r="L983">
        <v>8212612</v>
      </c>
      <c r="M983">
        <v>8210967</v>
      </c>
      <c r="N983">
        <v>8212612</v>
      </c>
      <c r="O983">
        <v>8210967</v>
      </c>
      <c r="P983">
        <v>8644854.5999999996</v>
      </c>
      <c r="Q983">
        <v>8643123.5199999996</v>
      </c>
      <c r="R983" s="14">
        <f>_xlfn.XLOOKUP(Table2[[#This Row],[LoanID]],Table1[G-L ID],Table1[ManagerCode],-99)</f>
        <v>103</v>
      </c>
      <c r="T983"/>
    </row>
    <row r="984" spans="1:20" x14ac:dyDescent="0.25">
      <c r="A984">
        <v>20111130</v>
      </c>
      <c r="B984">
        <v>2011</v>
      </c>
      <c r="C984">
        <v>11</v>
      </c>
      <c r="D984">
        <v>1</v>
      </c>
      <c r="E984">
        <v>10950</v>
      </c>
      <c r="F984">
        <v>53569</v>
      </c>
      <c r="G984">
        <v>0</v>
      </c>
      <c r="H984">
        <v>0</v>
      </c>
      <c r="I984">
        <v>0</v>
      </c>
      <c r="J984">
        <v>0</v>
      </c>
      <c r="K984">
        <v>23454.32</v>
      </c>
      <c r="L984">
        <v>10677788</v>
      </c>
      <c r="M984">
        <v>10654568</v>
      </c>
      <c r="N984">
        <v>10677788</v>
      </c>
      <c r="O984">
        <v>10654568</v>
      </c>
      <c r="P984">
        <v>10785644.18</v>
      </c>
      <c r="Q984">
        <v>10762189.859999999</v>
      </c>
      <c r="R984" s="14">
        <f>_xlfn.XLOOKUP(Table2[[#This Row],[LoanID]],Table1[G-L ID],Table1[ManagerCode],-99)</f>
        <v>103</v>
      </c>
      <c r="T984"/>
    </row>
    <row r="985" spans="1:20" x14ac:dyDescent="0.25">
      <c r="A985">
        <v>20111130</v>
      </c>
      <c r="B985">
        <v>2011</v>
      </c>
      <c r="C985">
        <v>11</v>
      </c>
      <c r="D985">
        <v>1</v>
      </c>
      <c r="E985">
        <v>10980</v>
      </c>
      <c r="F985">
        <v>17604.740000000002</v>
      </c>
      <c r="G985">
        <v>717863.02</v>
      </c>
      <c r="H985">
        <v>0</v>
      </c>
      <c r="I985">
        <v>0</v>
      </c>
      <c r="J985">
        <v>-711256.02</v>
      </c>
      <c r="K985">
        <v>0</v>
      </c>
      <c r="L985">
        <v>2267234.48</v>
      </c>
      <c r="M985">
        <v>2985097.5</v>
      </c>
      <c r="N985">
        <v>2267234.48</v>
      </c>
      <c r="O985">
        <v>2985097.5</v>
      </c>
      <c r="P985">
        <v>2267234.48</v>
      </c>
      <c r="Q985">
        <v>2985097.5</v>
      </c>
      <c r="R985" s="14">
        <f>_xlfn.XLOOKUP(Table2[[#This Row],[LoanID]],Table1[G-L ID],Table1[ManagerCode],-99)</f>
        <v>183</v>
      </c>
      <c r="T985"/>
    </row>
    <row r="986" spans="1:20" x14ac:dyDescent="0.25">
      <c r="A986">
        <v>20111130</v>
      </c>
      <c r="B986">
        <v>2011</v>
      </c>
      <c r="C986">
        <v>11</v>
      </c>
      <c r="D986">
        <v>1</v>
      </c>
      <c r="E986">
        <v>11110</v>
      </c>
      <c r="F986">
        <v>18791.509999999998</v>
      </c>
      <c r="G986">
        <v>0</v>
      </c>
      <c r="H986">
        <v>0</v>
      </c>
      <c r="I986">
        <v>0</v>
      </c>
      <c r="J986">
        <v>0</v>
      </c>
      <c r="K986">
        <v>0</v>
      </c>
      <c r="L986">
        <v>1503320.7</v>
      </c>
      <c r="M986">
        <v>1503320.7</v>
      </c>
      <c r="N986">
        <v>1503320.7</v>
      </c>
      <c r="O986">
        <v>1503320.7</v>
      </c>
      <c r="P986">
        <v>1503320.7</v>
      </c>
      <c r="Q986">
        <v>1503320.7</v>
      </c>
      <c r="R986" s="14">
        <f>_xlfn.XLOOKUP(Table2[[#This Row],[LoanID]],Table1[G-L ID],Table1[ManagerCode],-99)</f>
        <v>183</v>
      </c>
      <c r="T986"/>
    </row>
    <row r="987" spans="1:20" x14ac:dyDescent="0.25">
      <c r="A987">
        <v>20111130</v>
      </c>
      <c r="B987">
        <v>2011</v>
      </c>
      <c r="C987">
        <v>11</v>
      </c>
      <c r="D987">
        <v>1</v>
      </c>
      <c r="E987">
        <v>11180</v>
      </c>
      <c r="F987">
        <v>214041</v>
      </c>
      <c r="G987">
        <v>0</v>
      </c>
      <c r="H987">
        <v>0</v>
      </c>
      <c r="I987">
        <v>-1722</v>
      </c>
      <c r="J987">
        <v>0</v>
      </c>
      <c r="K987">
        <v>0</v>
      </c>
      <c r="L987">
        <v>173275832</v>
      </c>
      <c r="M987">
        <v>176026982</v>
      </c>
      <c r="N987">
        <v>173275832</v>
      </c>
      <c r="O987">
        <v>176026982</v>
      </c>
      <c r="P987">
        <v>199970831.5</v>
      </c>
      <c r="Q987">
        <v>199970831.5</v>
      </c>
      <c r="R987" s="14">
        <f>_xlfn.XLOOKUP(Table2[[#This Row],[LoanID]],Table1[G-L ID],Table1[ManagerCode],-99)</f>
        <v>103</v>
      </c>
      <c r="T987"/>
    </row>
    <row r="988" spans="1:20" x14ac:dyDescent="0.25">
      <c r="A988">
        <v>20111130</v>
      </c>
      <c r="B988">
        <v>2011</v>
      </c>
      <c r="C988">
        <v>11</v>
      </c>
      <c r="D988">
        <v>1</v>
      </c>
      <c r="E988">
        <v>11200</v>
      </c>
      <c r="F988">
        <v>69880</v>
      </c>
      <c r="G988">
        <v>0</v>
      </c>
      <c r="H988">
        <v>0</v>
      </c>
      <c r="I988">
        <v>0</v>
      </c>
      <c r="J988">
        <v>0</v>
      </c>
      <c r="K988">
        <v>0</v>
      </c>
      <c r="L988">
        <v>12088049</v>
      </c>
      <c r="M988">
        <v>12231628</v>
      </c>
      <c r="N988">
        <v>12088049</v>
      </c>
      <c r="O988">
        <v>12231628</v>
      </c>
      <c r="P988">
        <v>13976000</v>
      </c>
      <c r="Q988">
        <v>13976000</v>
      </c>
      <c r="R988" s="14">
        <f>_xlfn.XLOOKUP(Table2[[#This Row],[LoanID]],Table1[G-L ID],Table1[ManagerCode],-99)</f>
        <v>103</v>
      </c>
      <c r="T988"/>
    </row>
    <row r="989" spans="1:20" x14ac:dyDescent="0.25">
      <c r="A989">
        <v>20111130</v>
      </c>
      <c r="B989">
        <v>2011</v>
      </c>
      <c r="C989">
        <v>11</v>
      </c>
      <c r="D989">
        <v>1</v>
      </c>
      <c r="E989">
        <v>11240</v>
      </c>
      <c r="F989">
        <v>254134</v>
      </c>
      <c r="G989">
        <v>0</v>
      </c>
      <c r="H989">
        <v>0</v>
      </c>
      <c r="I989">
        <v>0</v>
      </c>
      <c r="J989">
        <v>0</v>
      </c>
      <c r="K989">
        <v>0</v>
      </c>
      <c r="L989">
        <v>182822623</v>
      </c>
      <c r="M989">
        <v>184499486</v>
      </c>
      <c r="N989">
        <v>182822623</v>
      </c>
      <c r="O989">
        <v>184499486</v>
      </c>
      <c r="P989">
        <v>194929626.59999999</v>
      </c>
      <c r="Q989">
        <v>194929626.59999999</v>
      </c>
      <c r="R989" s="14">
        <f>_xlfn.XLOOKUP(Table2[[#This Row],[LoanID]],Table1[G-L ID],Table1[ManagerCode],-99)</f>
        <v>103</v>
      </c>
      <c r="T989"/>
    </row>
    <row r="990" spans="1:20" x14ac:dyDescent="0.25">
      <c r="A990">
        <v>20111130</v>
      </c>
      <c r="B990">
        <v>2011</v>
      </c>
      <c r="C990">
        <v>11</v>
      </c>
      <c r="D990">
        <v>1</v>
      </c>
      <c r="E990">
        <v>11280</v>
      </c>
      <c r="F990">
        <v>24175</v>
      </c>
      <c r="G990">
        <v>0</v>
      </c>
      <c r="H990">
        <v>0</v>
      </c>
      <c r="I990">
        <v>-157</v>
      </c>
      <c r="J990">
        <v>0</v>
      </c>
      <c r="K990">
        <v>0</v>
      </c>
      <c r="L990">
        <v>17618235</v>
      </c>
      <c r="M990">
        <v>17779446</v>
      </c>
      <c r="N990">
        <v>17618235</v>
      </c>
      <c r="O990">
        <v>17779446</v>
      </c>
      <c r="P990">
        <v>18791123.030000001</v>
      </c>
      <c r="Q990">
        <v>18791123.030000001</v>
      </c>
      <c r="R990" s="14">
        <f>_xlfn.XLOOKUP(Table2[[#This Row],[LoanID]],Table1[G-L ID],Table1[ManagerCode],-99)</f>
        <v>103</v>
      </c>
      <c r="T990"/>
    </row>
    <row r="991" spans="1:20" x14ac:dyDescent="0.25">
      <c r="A991">
        <v>20111130</v>
      </c>
      <c r="B991">
        <v>2011</v>
      </c>
      <c r="C991">
        <v>11</v>
      </c>
      <c r="D991">
        <v>1</v>
      </c>
      <c r="E991">
        <v>11300</v>
      </c>
      <c r="F991">
        <v>21757</v>
      </c>
      <c r="G991">
        <v>0</v>
      </c>
      <c r="H991">
        <v>0</v>
      </c>
      <c r="I991">
        <v>-141</v>
      </c>
      <c r="J991">
        <v>0</v>
      </c>
      <c r="K991">
        <v>0</v>
      </c>
      <c r="L991">
        <v>15856411</v>
      </c>
      <c r="M991">
        <v>16001501</v>
      </c>
      <c r="N991">
        <v>15856411</v>
      </c>
      <c r="O991">
        <v>16001501</v>
      </c>
      <c r="P991">
        <v>16912010.73</v>
      </c>
      <c r="Q991">
        <v>16912010.73</v>
      </c>
      <c r="R991" s="14">
        <f>_xlfn.XLOOKUP(Table2[[#This Row],[LoanID]],Table1[G-L ID],Table1[ManagerCode],-99)</f>
        <v>103</v>
      </c>
      <c r="T991"/>
    </row>
    <row r="992" spans="1:20" x14ac:dyDescent="0.25">
      <c r="A992">
        <v>20111130</v>
      </c>
      <c r="B992">
        <v>2011</v>
      </c>
      <c r="C992">
        <v>11</v>
      </c>
      <c r="D992">
        <v>1</v>
      </c>
      <c r="E992">
        <v>11310</v>
      </c>
      <c r="F992">
        <v>14505</v>
      </c>
      <c r="G992">
        <v>0</v>
      </c>
      <c r="H992">
        <v>0</v>
      </c>
      <c r="I992">
        <v>-94</v>
      </c>
      <c r="J992">
        <v>0</v>
      </c>
      <c r="K992">
        <v>0</v>
      </c>
      <c r="L992">
        <v>10574082</v>
      </c>
      <c r="M992">
        <v>10670387</v>
      </c>
      <c r="N992">
        <v>10574082</v>
      </c>
      <c r="O992">
        <v>10670387</v>
      </c>
      <c r="P992">
        <v>11274673.789999999</v>
      </c>
      <c r="Q992">
        <v>11274673.789999999</v>
      </c>
      <c r="R992" s="14">
        <f>_xlfn.XLOOKUP(Table2[[#This Row],[LoanID]],Table1[G-L ID],Table1[ManagerCode],-99)</f>
        <v>103</v>
      </c>
      <c r="T992"/>
    </row>
    <row r="993" spans="1:20" x14ac:dyDescent="0.25">
      <c r="A993">
        <v>20111130</v>
      </c>
      <c r="B993">
        <v>2011</v>
      </c>
      <c r="C993">
        <v>11</v>
      </c>
      <c r="D993">
        <v>1</v>
      </c>
      <c r="E993">
        <v>11380</v>
      </c>
      <c r="F993">
        <v>34990</v>
      </c>
      <c r="G993">
        <v>0</v>
      </c>
      <c r="H993">
        <v>0</v>
      </c>
      <c r="I993">
        <v>0</v>
      </c>
      <c r="J993">
        <v>0</v>
      </c>
      <c r="K993">
        <v>55710.11</v>
      </c>
      <c r="L993">
        <v>5996157</v>
      </c>
      <c r="M993">
        <v>5912874</v>
      </c>
      <c r="N993">
        <v>5996157</v>
      </c>
      <c r="O993">
        <v>5912874</v>
      </c>
      <c r="P993">
        <v>5294813.26</v>
      </c>
      <c r="Q993">
        <v>5239103.1500000004</v>
      </c>
      <c r="R993" s="14">
        <f>_xlfn.XLOOKUP(Table2[[#This Row],[LoanID]],Table1[G-L ID],Table1[ManagerCode],-99)</f>
        <v>103</v>
      </c>
      <c r="T993"/>
    </row>
    <row r="994" spans="1:20" x14ac:dyDescent="0.25">
      <c r="A994">
        <v>20111130</v>
      </c>
      <c r="B994">
        <v>2011</v>
      </c>
      <c r="C994">
        <v>11</v>
      </c>
      <c r="D994">
        <v>1</v>
      </c>
      <c r="E994">
        <v>11630</v>
      </c>
      <c r="F994">
        <v>47089.27</v>
      </c>
      <c r="G994">
        <v>30384.13</v>
      </c>
      <c r="H994">
        <v>0</v>
      </c>
      <c r="I994">
        <v>0</v>
      </c>
      <c r="J994">
        <v>-3037431.67</v>
      </c>
      <c r="K994">
        <v>0</v>
      </c>
      <c r="L994">
        <v>5031927.05</v>
      </c>
      <c r="M994">
        <v>8099742.8499999996</v>
      </c>
      <c r="N994">
        <v>5031927.05</v>
      </c>
      <c r="O994">
        <v>8099742.8499999996</v>
      </c>
      <c r="P994">
        <v>5031927.05</v>
      </c>
      <c r="Q994">
        <v>8099742.8499999996</v>
      </c>
      <c r="R994" s="14">
        <f>_xlfn.XLOOKUP(Table2[[#This Row],[LoanID]],Table1[G-L ID],Table1[ManagerCode],-99)</f>
        <v>183</v>
      </c>
      <c r="T994"/>
    </row>
    <row r="995" spans="1:20" x14ac:dyDescent="0.25">
      <c r="A995">
        <v>20111130</v>
      </c>
      <c r="B995">
        <v>2011</v>
      </c>
      <c r="C995">
        <v>11</v>
      </c>
      <c r="D995">
        <v>1</v>
      </c>
      <c r="E995">
        <v>11650</v>
      </c>
      <c r="F995">
        <v>37500</v>
      </c>
      <c r="G995">
        <v>0</v>
      </c>
      <c r="H995">
        <v>0</v>
      </c>
      <c r="I995">
        <v>0</v>
      </c>
      <c r="J995">
        <v>-3000000</v>
      </c>
      <c r="K995">
        <v>0</v>
      </c>
      <c r="L995">
        <v>7200000</v>
      </c>
      <c r="M995">
        <v>9600000</v>
      </c>
      <c r="N995">
        <v>7200000</v>
      </c>
      <c r="O995">
        <v>9600000</v>
      </c>
      <c r="P995">
        <v>9000000</v>
      </c>
      <c r="Q995">
        <v>12000000</v>
      </c>
      <c r="R995" s="14">
        <f>_xlfn.XLOOKUP(Table2[[#This Row],[LoanID]],Table1[G-L ID],Table1[ManagerCode],-99)</f>
        <v>103</v>
      </c>
      <c r="T995"/>
    </row>
    <row r="996" spans="1:20" x14ac:dyDescent="0.25">
      <c r="A996">
        <v>20111130</v>
      </c>
      <c r="B996">
        <v>2011</v>
      </c>
      <c r="C996">
        <v>11</v>
      </c>
      <c r="D996">
        <v>1</v>
      </c>
      <c r="E996">
        <v>11780</v>
      </c>
      <c r="F996">
        <v>183338</v>
      </c>
      <c r="G996">
        <v>0</v>
      </c>
      <c r="H996">
        <v>0</v>
      </c>
      <c r="I996">
        <v>-1128</v>
      </c>
      <c r="J996">
        <v>0</v>
      </c>
      <c r="K996">
        <v>0</v>
      </c>
      <c r="L996">
        <v>27463024</v>
      </c>
      <c r="M996">
        <v>27463024</v>
      </c>
      <c r="N996">
        <v>27463024</v>
      </c>
      <c r="O996">
        <v>27463024</v>
      </c>
      <c r="P996">
        <v>65510517.619999997</v>
      </c>
      <c r="Q996">
        <v>65510517.619999997</v>
      </c>
      <c r="R996" s="14">
        <f>_xlfn.XLOOKUP(Table2[[#This Row],[LoanID]],Table1[G-L ID],Table1[ManagerCode],-99)</f>
        <v>103</v>
      </c>
      <c r="T996"/>
    </row>
    <row r="997" spans="1:20" x14ac:dyDescent="0.25">
      <c r="A997">
        <v>20111130</v>
      </c>
      <c r="B997">
        <v>2011</v>
      </c>
      <c r="C997">
        <v>11</v>
      </c>
      <c r="D997">
        <v>1</v>
      </c>
      <c r="E997">
        <v>11800</v>
      </c>
      <c r="F997">
        <v>165274</v>
      </c>
      <c r="G997">
        <v>0</v>
      </c>
      <c r="H997">
        <v>0</v>
      </c>
      <c r="I997">
        <v>-278</v>
      </c>
      <c r="J997">
        <v>0</v>
      </c>
      <c r="K997">
        <v>55061.2</v>
      </c>
      <c r="L997">
        <v>29065842</v>
      </c>
      <c r="M997">
        <v>29016287</v>
      </c>
      <c r="N997">
        <v>29065842</v>
      </c>
      <c r="O997">
        <v>29016287</v>
      </c>
      <c r="P997">
        <v>32295348.23</v>
      </c>
      <c r="Q997">
        <v>32240287.030000001</v>
      </c>
      <c r="R997" s="14">
        <f>_xlfn.XLOOKUP(Table2[[#This Row],[LoanID]],Table1[G-L ID],Table1[ManagerCode],-99)</f>
        <v>103</v>
      </c>
      <c r="T997"/>
    </row>
    <row r="998" spans="1:20" x14ac:dyDescent="0.25">
      <c r="A998">
        <v>20111130</v>
      </c>
      <c r="B998">
        <v>2011</v>
      </c>
      <c r="C998">
        <v>11</v>
      </c>
      <c r="D998">
        <v>1</v>
      </c>
      <c r="E998">
        <v>11810</v>
      </c>
      <c r="F998">
        <v>51167</v>
      </c>
      <c r="G998">
        <v>0</v>
      </c>
      <c r="H998">
        <v>0</v>
      </c>
      <c r="I998">
        <v>0</v>
      </c>
      <c r="J998">
        <v>0</v>
      </c>
      <c r="K998">
        <v>0</v>
      </c>
      <c r="L998">
        <v>9761927</v>
      </c>
      <c r="M998">
        <v>9798558</v>
      </c>
      <c r="N998">
        <v>9761927</v>
      </c>
      <c r="O998">
        <v>9798558</v>
      </c>
      <c r="P998">
        <v>10000000</v>
      </c>
      <c r="Q998">
        <v>10000000</v>
      </c>
      <c r="R998" s="14">
        <f>_xlfn.XLOOKUP(Table2[[#This Row],[LoanID]],Table1[G-L ID],Table1[ManagerCode],-99)</f>
        <v>103</v>
      </c>
      <c r="T998"/>
    </row>
    <row r="999" spans="1:20" x14ac:dyDescent="0.25">
      <c r="A999">
        <v>20111130</v>
      </c>
      <c r="B999">
        <v>2011</v>
      </c>
      <c r="C999">
        <v>11</v>
      </c>
      <c r="D999">
        <v>1</v>
      </c>
      <c r="E999">
        <v>12110</v>
      </c>
      <c r="F999">
        <v>138510.64000000001</v>
      </c>
      <c r="G999">
        <v>0</v>
      </c>
      <c r="H999">
        <v>0</v>
      </c>
      <c r="I999">
        <v>0</v>
      </c>
      <c r="J999">
        <v>0</v>
      </c>
      <c r="K999">
        <v>19411970.050000001</v>
      </c>
      <c r="L999">
        <v>19411970.050000001</v>
      </c>
      <c r="M999">
        <v>0</v>
      </c>
      <c r="N999">
        <v>19411970.050000001</v>
      </c>
      <c r="O999">
        <v>0</v>
      </c>
      <c r="P999">
        <v>19411970.050000001</v>
      </c>
      <c r="Q999">
        <v>0</v>
      </c>
      <c r="R999" s="14">
        <f>_xlfn.XLOOKUP(Table2[[#This Row],[LoanID]],Table1[G-L ID],Table1[ManagerCode],-99)</f>
        <v>183</v>
      </c>
      <c r="T999"/>
    </row>
    <row r="1000" spans="1:20" x14ac:dyDescent="0.25">
      <c r="A1000">
        <v>20111130</v>
      </c>
      <c r="B1000">
        <v>2011</v>
      </c>
      <c r="C1000">
        <v>11</v>
      </c>
      <c r="D1000">
        <v>1</v>
      </c>
      <c r="E1000">
        <v>12200</v>
      </c>
      <c r="F1000">
        <v>89988</v>
      </c>
      <c r="G1000">
        <v>0</v>
      </c>
      <c r="H1000">
        <v>0</v>
      </c>
      <c r="I1000">
        <v>0</v>
      </c>
      <c r="J1000">
        <v>0</v>
      </c>
      <c r="K1000">
        <v>32221.06</v>
      </c>
      <c r="L1000">
        <v>20982983</v>
      </c>
      <c r="M1000">
        <v>20851405</v>
      </c>
      <c r="N1000">
        <v>20982983</v>
      </c>
      <c r="O1000">
        <v>20851405</v>
      </c>
      <c r="P1000">
        <v>19585653.379999999</v>
      </c>
      <c r="Q1000">
        <v>19553785.239999998</v>
      </c>
      <c r="R1000" s="14">
        <f>_xlfn.XLOOKUP(Table2[[#This Row],[LoanID]],Table1[G-L ID],Table1[ManagerCode],-99)</f>
        <v>103</v>
      </c>
      <c r="T1000"/>
    </row>
    <row r="1001" spans="1:20" x14ac:dyDescent="0.25">
      <c r="A1001">
        <v>20111130</v>
      </c>
      <c r="B1001">
        <v>2011</v>
      </c>
      <c r="C1001">
        <v>11</v>
      </c>
      <c r="D1001">
        <v>1</v>
      </c>
      <c r="E1001">
        <v>12210</v>
      </c>
      <c r="F1001">
        <v>722962</v>
      </c>
      <c r="G1001">
        <v>0</v>
      </c>
      <c r="H1001">
        <v>0</v>
      </c>
      <c r="I1001">
        <v>0</v>
      </c>
      <c r="J1001">
        <v>0</v>
      </c>
      <c r="K1001">
        <v>180653.29</v>
      </c>
      <c r="L1001">
        <v>138654134</v>
      </c>
      <c r="M1001">
        <v>137773557</v>
      </c>
      <c r="N1001">
        <v>138654134</v>
      </c>
      <c r="O1001">
        <v>137773557</v>
      </c>
      <c r="P1001">
        <v>116976469</v>
      </c>
      <c r="Q1001">
        <v>116795815.7</v>
      </c>
      <c r="R1001" s="14">
        <f>_xlfn.XLOOKUP(Table2[[#This Row],[LoanID]],Table1[G-L ID],Table1[ManagerCode],-99)</f>
        <v>103</v>
      </c>
      <c r="T1001"/>
    </row>
    <row r="1002" spans="1:20" x14ac:dyDescent="0.25">
      <c r="A1002">
        <v>20111231</v>
      </c>
      <c r="B1002">
        <v>2011</v>
      </c>
      <c r="C1002">
        <v>12</v>
      </c>
      <c r="D1002">
        <v>1</v>
      </c>
      <c r="E1002">
        <v>10050</v>
      </c>
      <c r="F1002">
        <v>149014</v>
      </c>
      <c r="G1002">
        <v>0</v>
      </c>
      <c r="H1002">
        <v>0</v>
      </c>
      <c r="I1002">
        <v>-69</v>
      </c>
      <c r="J1002">
        <v>0</v>
      </c>
      <c r="K1002">
        <v>0</v>
      </c>
      <c r="L1002">
        <v>35406632</v>
      </c>
      <c r="M1002">
        <v>35772887</v>
      </c>
      <c r="N1002">
        <v>35406632</v>
      </c>
      <c r="O1002">
        <v>35772887</v>
      </c>
      <c r="P1002">
        <v>33333334</v>
      </c>
      <c r="Q1002">
        <v>33333334</v>
      </c>
      <c r="R1002" s="14">
        <f>_xlfn.XLOOKUP(Table2[[#This Row],[LoanID]],Table1[G-L ID],Table1[ManagerCode],-99)</f>
        <v>103</v>
      </c>
      <c r="T1002"/>
    </row>
    <row r="1003" spans="1:20" x14ac:dyDescent="0.25">
      <c r="A1003">
        <v>20111231</v>
      </c>
      <c r="B1003">
        <v>2011</v>
      </c>
      <c r="C1003">
        <v>12</v>
      </c>
      <c r="D1003">
        <v>1</v>
      </c>
      <c r="E1003">
        <v>10080</v>
      </c>
      <c r="F1003">
        <v>339719</v>
      </c>
      <c r="G1003">
        <v>0</v>
      </c>
      <c r="H1003">
        <v>0</v>
      </c>
      <c r="I1003">
        <v>-156</v>
      </c>
      <c r="J1003">
        <v>0</v>
      </c>
      <c r="K1003">
        <v>0</v>
      </c>
      <c r="L1003">
        <v>74073849</v>
      </c>
      <c r="M1003">
        <v>74249926</v>
      </c>
      <c r="N1003">
        <v>74073849</v>
      </c>
      <c r="O1003">
        <v>74249926</v>
      </c>
      <c r="P1003">
        <v>75000000</v>
      </c>
      <c r="Q1003">
        <v>75000000</v>
      </c>
      <c r="R1003" s="14">
        <f>_xlfn.XLOOKUP(Table2[[#This Row],[LoanID]],Table1[G-L ID],Table1[ManagerCode],-99)</f>
        <v>103</v>
      </c>
      <c r="T1003"/>
    </row>
    <row r="1004" spans="1:20" x14ac:dyDescent="0.25">
      <c r="A1004">
        <v>20111231</v>
      </c>
      <c r="B1004">
        <v>2011</v>
      </c>
      <c r="C1004">
        <v>12</v>
      </c>
      <c r="D1004">
        <v>1</v>
      </c>
      <c r="E1004">
        <v>10130</v>
      </c>
      <c r="F1004">
        <v>35843</v>
      </c>
      <c r="G1004">
        <v>0</v>
      </c>
      <c r="H1004">
        <v>0</v>
      </c>
      <c r="I1004">
        <v>0</v>
      </c>
      <c r="J1004">
        <v>0</v>
      </c>
      <c r="K1004">
        <v>31848.11</v>
      </c>
      <c r="L1004">
        <v>8240549</v>
      </c>
      <c r="M1004">
        <v>8185460</v>
      </c>
      <c r="N1004">
        <v>8240549</v>
      </c>
      <c r="O1004">
        <v>8185460</v>
      </c>
      <c r="P1004">
        <v>7921011.2699999996</v>
      </c>
      <c r="Q1004">
        <v>7889163.1600000001</v>
      </c>
      <c r="R1004" s="14">
        <f>_xlfn.XLOOKUP(Table2[[#This Row],[LoanID]],Table1[G-L ID],Table1[ManagerCode],-99)</f>
        <v>103</v>
      </c>
      <c r="T1004"/>
    </row>
    <row r="1005" spans="1:20" x14ac:dyDescent="0.25">
      <c r="A1005">
        <v>20111231</v>
      </c>
      <c r="B1005">
        <v>2011</v>
      </c>
      <c r="C1005">
        <v>12</v>
      </c>
      <c r="D1005">
        <v>1</v>
      </c>
      <c r="E1005">
        <v>10140</v>
      </c>
      <c r="F1005">
        <v>94536</v>
      </c>
      <c r="G1005">
        <v>0</v>
      </c>
      <c r="H1005">
        <v>0</v>
      </c>
      <c r="I1005">
        <v>0</v>
      </c>
      <c r="J1005">
        <v>0</v>
      </c>
      <c r="K1005">
        <v>83288.539999999994</v>
      </c>
      <c r="L1005">
        <v>21735021</v>
      </c>
      <c r="M1005">
        <v>21590426</v>
      </c>
      <c r="N1005">
        <v>21735021</v>
      </c>
      <c r="O1005">
        <v>21590426</v>
      </c>
      <c r="P1005">
        <v>20891887.670000002</v>
      </c>
      <c r="Q1005">
        <v>20808599.129999999</v>
      </c>
      <c r="R1005" s="14">
        <f>_xlfn.XLOOKUP(Table2[[#This Row],[LoanID]],Table1[G-L ID],Table1[ManagerCode],-99)</f>
        <v>103</v>
      </c>
      <c r="T1005"/>
    </row>
    <row r="1006" spans="1:20" x14ac:dyDescent="0.25">
      <c r="A1006">
        <v>20111231</v>
      </c>
      <c r="B1006">
        <v>2011</v>
      </c>
      <c r="C1006">
        <v>12</v>
      </c>
      <c r="D1006">
        <v>1</v>
      </c>
      <c r="E1006">
        <v>10150</v>
      </c>
      <c r="F1006">
        <v>242030</v>
      </c>
      <c r="G1006">
        <v>0</v>
      </c>
      <c r="H1006">
        <v>0</v>
      </c>
      <c r="I1006">
        <v>0</v>
      </c>
      <c r="J1006">
        <v>0</v>
      </c>
      <c r="K1006">
        <v>71289.62</v>
      </c>
      <c r="L1006">
        <v>51995057</v>
      </c>
      <c r="M1006">
        <v>51924480</v>
      </c>
      <c r="N1006">
        <v>51995057</v>
      </c>
      <c r="O1006">
        <v>51924480</v>
      </c>
      <c r="P1006">
        <v>52520154.560000002</v>
      </c>
      <c r="Q1006">
        <v>52448864.939999998</v>
      </c>
      <c r="R1006" s="14">
        <f>_xlfn.XLOOKUP(Table2[[#This Row],[LoanID]],Table1[G-L ID],Table1[ManagerCode],-99)</f>
        <v>103</v>
      </c>
      <c r="T1006"/>
    </row>
    <row r="1007" spans="1:20" x14ac:dyDescent="0.25">
      <c r="A1007">
        <v>20111231</v>
      </c>
      <c r="B1007">
        <v>2011</v>
      </c>
      <c r="C1007">
        <v>12</v>
      </c>
      <c r="D1007">
        <v>1</v>
      </c>
      <c r="E1007">
        <v>10170</v>
      </c>
      <c r="F1007">
        <v>240927</v>
      </c>
      <c r="G1007">
        <v>0</v>
      </c>
      <c r="H1007">
        <v>0</v>
      </c>
      <c r="I1007">
        <v>-1155</v>
      </c>
      <c r="J1007">
        <v>0</v>
      </c>
      <c r="K1007">
        <v>73597.899999999994</v>
      </c>
      <c r="L1007">
        <v>49904029</v>
      </c>
      <c r="M1007">
        <v>49659774</v>
      </c>
      <c r="N1007">
        <v>49904029</v>
      </c>
      <c r="O1007">
        <v>49659774</v>
      </c>
      <c r="P1007">
        <v>46184182.880000003</v>
      </c>
      <c r="Q1007">
        <v>46110584.979999997</v>
      </c>
      <c r="R1007" s="14">
        <f>_xlfn.XLOOKUP(Table2[[#This Row],[LoanID]],Table1[G-L ID],Table1[ManagerCode],-99)</f>
        <v>103</v>
      </c>
      <c r="T1007"/>
    </row>
    <row r="1008" spans="1:20" x14ac:dyDescent="0.25">
      <c r="A1008">
        <v>20111231</v>
      </c>
      <c r="B1008">
        <v>2011</v>
      </c>
      <c r="C1008">
        <v>12</v>
      </c>
      <c r="D1008">
        <v>1</v>
      </c>
      <c r="E1008">
        <v>10230</v>
      </c>
      <c r="F1008">
        <v>182698</v>
      </c>
      <c r="G1008">
        <v>0</v>
      </c>
      <c r="H1008">
        <v>0</v>
      </c>
      <c r="I1008">
        <v>0</v>
      </c>
      <c r="J1008">
        <v>0</v>
      </c>
      <c r="K1008">
        <v>58899.68</v>
      </c>
      <c r="L1008">
        <v>27648718</v>
      </c>
      <c r="M1008">
        <v>27598653</v>
      </c>
      <c r="N1008">
        <v>27648718</v>
      </c>
      <c r="O1008">
        <v>27598653</v>
      </c>
      <c r="P1008">
        <v>32527903.73</v>
      </c>
      <c r="Q1008">
        <v>32469004.050000001</v>
      </c>
      <c r="R1008" s="14">
        <f>_xlfn.XLOOKUP(Table2[[#This Row],[LoanID]],Table1[G-L ID],Table1[ManagerCode],-99)</f>
        <v>103</v>
      </c>
      <c r="T1008"/>
    </row>
    <row r="1009" spans="1:20" x14ac:dyDescent="0.25">
      <c r="A1009">
        <v>20111231</v>
      </c>
      <c r="B1009">
        <v>2011</v>
      </c>
      <c r="C1009">
        <v>12</v>
      </c>
      <c r="D1009">
        <v>1</v>
      </c>
      <c r="E1009">
        <v>10280</v>
      </c>
      <c r="F1009">
        <v>175560</v>
      </c>
      <c r="G1009">
        <v>0</v>
      </c>
      <c r="H1009">
        <v>0</v>
      </c>
      <c r="I1009">
        <v>0</v>
      </c>
      <c r="J1009">
        <v>0</v>
      </c>
      <c r="K1009">
        <v>0</v>
      </c>
      <c r="L1009">
        <v>33250033</v>
      </c>
      <c r="M1009">
        <v>33250033</v>
      </c>
      <c r="N1009">
        <v>33250033</v>
      </c>
      <c r="O1009">
        <v>33250033</v>
      </c>
      <c r="P1009">
        <v>35000000</v>
      </c>
      <c r="Q1009">
        <v>35000000</v>
      </c>
      <c r="R1009" s="14">
        <f>_xlfn.XLOOKUP(Table2[[#This Row],[LoanID]],Table1[G-L ID],Table1[ManagerCode],-99)</f>
        <v>103</v>
      </c>
      <c r="T1009"/>
    </row>
    <row r="1010" spans="1:20" x14ac:dyDescent="0.25">
      <c r="A1010">
        <v>20111231</v>
      </c>
      <c r="B1010">
        <v>2011</v>
      </c>
      <c r="C1010">
        <v>12</v>
      </c>
      <c r="D1010">
        <v>1</v>
      </c>
      <c r="E1010">
        <v>10290</v>
      </c>
      <c r="F1010">
        <v>165775</v>
      </c>
      <c r="G1010">
        <v>0</v>
      </c>
      <c r="H1010">
        <v>0</v>
      </c>
      <c r="I1010">
        <v>0</v>
      </c>
      <c r="J1010">
        <v>0</v>
      </c>
      <c r="K1010">
        <v>0</v>
      </c>
      <c r="L1010">
        <v>22500000</v>
      </c>
      <c r="M1010">
        <v>22500000</v>
      </c>
      <c r="N1010">
        <v>22500000</v>
      </c>
      <c r="O1010">
        <v>22500000</v>
      </c>
      <c r="P1010">
        <v>25000000</v>
      </c>
      <c r="Q1010">
        <v>25000000</v>
      </c>
      <c r="R1010" s="14">
        <f>_xlfn.XLOOKUP(Table2[[#This Row],[LoanID]],Table1[G-L ID],Table1[ManagerCode],-99)</f>
        <v>103</v>
      </c>
      <c r="T1010"/>
    </row>
    <row r="1011" spans="1:20" x14ac:dyDescent="0.25">
      <c r="A1011">
        <v>20111231</v>
      </c>
      <c r="B1011">
        <v>2011</v>
      </c>
      <c r="C1011">
        <v>12</v>
      </c>
      <c r="D1011">
        <v>1</v>
      </c>
      <c r="E1011">
        <v>10300</v>
      </c>
      <c r="F1011">
        <v>145053</v>
      </c>
      <c r="G1011">
        <v>0</v>
      </c>
      <c r="H1011">
        <v>0</v>
      </c>
      <c r="I1011">
        <v>0</v>
      </c>
      <c r="J1011">
        <v>0</v>
      </c>
      <c r="K1011">
        <v>0</v>
      </c>
      <c r="L1011">
        <v>33638421</v>
      </c>
      <c r="M1011">
        <v>34073601</v>
      </c>
      <c r="N1011">
        <v>33638421</v>
      </c>
      <c r="O1011">
        <v>34073601</v>
      </c>
      <c r="P1011">
        <v>35000000</v>
      </c>
      <c r="Q1011">
        <v>35000000</v>
      </c>
      <c r="R1011" s="14">
        <f>_xlfn.XLOOKUP(Table2[[#This Row],[LoanID]],Table1[G-L ID],Table1[ManagerCode],-99)</f>
        <v>103</v>
      </c>
      <c r="T1011"/>
    </row>
    <row r="1012" spans="1:20" x14ac:dyDescent="0.25">
      <c r="A1012">
        <v>20111231</v>
      </c>
      <c r="B1012">
        <v>2011</v>
      </c>
      <c r="C1012">
        <v>12</v>
      </c>
      <c r="D1012">
        <v>1</v>
      </c>
      <c r="E1012">
        <v>10310</v>
      </c>
      <c r="F1012">
        <v>101616.61</v>
      </c>
      <c r="G1012">
        <v>0</v>
      </c>
      <c r="H1012">
        <v>0</v>
      </c>
      <c r="I1012">
        <v>0</v>
      </c>
      <c r="J1012">
        <v>0</v>
      </c>
      <c r="K1012">
        <v>35882</v>
      </c>
      <c r="L1012">
        <v>14461477.300000001</v>
      </c>
      <c r="M1012">
        <v>14425595.300000001</v>
      </c>
      <c r="N1012">
        <v>14461477.300000001</v>
      </c>
      <c r="O1012">
        <v>14425595.300000001</v>
      </c>
      <c r="P1012">
        <v>14461477.300000001</v>
      </c>
      <c r="Q1012">
        <v>14425595.300000001</v>
      </c>
      <c r="R1012" s="14">
        <f>_xlfn.XLOOKUP(Table2[[#This Row],[LoanID]],Table1[G-L ID],Table1[ManagerCode],-99)</f>
        <v>183</v>
      </c>
      <c r="T1012"/>
    </row>
    <row r="1013" spans="1:20" x14ac:dyDescent="0.25">
      <c r="A1013">
        <v>20111231</v>
      </c>
      <c r="B1013">
        <v>2011</v>
      </c>
      <c r="C1013">
        <v>12</v>
      </c>
      <c r="D1013">
        <v>1</v>
      </c>
      <c r="E1013">
        <v>10370</v>
      </c>
      <c r="F1013">
        <v>10152</v>
      </c>
      <c r="G1013">
        <v>0</v>
      </c>
      <c r="H1013">
        <v>0</v>
      </c>
      <c r="I1013">
        <v>0</v>
      </c>
      <c r="J1013">
        <v>0</v>
      </c>
      <c r="K1013">
        <v>72797.89</v>
      </c>
      <c r="L1013">
        <v>2692725</v>
      </c>
      <c r="M1013">
        <v>2627207</v>
      </c>
      <c r="N1013">
        <v>2692725</v>
      </c>
      <c r="O1013">
        <v>2627207</v>
      </c>
      <c r="P1013">
        <v>2991917.11</v>
      </c>
      <c r="Q1013">
        <v>2919119.22</v>
      </c>
      <c r="R1013" s="14">
        <f>_xlfn.XLOOKUP(Table2[[#This Row],[LoanID]],Table1[G-L ID],Table1[ManagerCode],-99)</f>
        <v>103</v>
      </c>
      <c r="T1013"/>
    </row>
    <row r="1014" spans="1:20" x14ac:dyDescent="0.25">
      <c r="A1014">
        <v>20111231</v>
      </c>
      <c r="B1014">
        <v>2011</v>
      </c>
      <c r="C1014">
        <v>12</v>
      </c>
      <c r="D1014">
        <v>1</v>
      </c>
      <c r="E1014">
        <v>10390</v>
      </c>
      <c r="F1014">
        <v>118750</v>
      </c>
      <c r="G1014">
        <v>0</v>
      </c>
      <c r="H1014">
        <v>0</v>
      </c>
      <c r="I1014">
        <v>0</v>
      </c>
      <c r="J1014">
        <v>0</v>
      </c>
      <c r="K1014">
        <v>0</v>
      </c>
      <c r="L1014">
        <v>22500000</v>
      </c>
      <c r="M1014">
        <v>22500000</v>
      </c>
      <c r="N1014">
        <v>22500000</v>
      </c>
      <c r="O1014">
        <v>22500000</v>
      </c>
      <c r="P1014">
        <v>24994081.539999999</v>
      </c>
      <c r="Q1014">
        <v>24994285.620000001</v>
      </c>
      <c r="R1014" s="14">
        <f>_xlfn.XLOOKUP(Table2[[#This Row],[LoanID]],Table1[G-L ID],Table1[ManagerCode],-99)</f>
        <v>103</v>
      </c>
      <c r="T1014"/>
    </row>
    <row r="1015" spans="1:20" x14ac:dyDescent="0.25">
      <c r="A1015">
        <v>20111231</v>
      </c>
      <c r="B1015">
        <v>2011</v>
      </c>
      <c r="C1015">
        <v>12</v>
      </c>
      <c r="D1015">
        <v>1</v>
      </c>
      <c r="E1015">
        <v>10450</v>
      </c>
      <c r="F1015">
        <v>119297</v>
      </c>
      <c r="G1015">
        <v>0</v>
      </c>
      <c r="H1015">
        <v>0</v>
      </c>
      <c r="I1015">
        <v>0</v>
      </c>
      <c r="J1015">
        <v>0</v>
      </c>
      <c r="K1015">
        <v>22518.22</v>
      </c>
      <c r="L1015">
        <v>21184585</v>
      </c>
      <c r="M1015">
        <v>21162292</v>
      </c>
      <c r="N1015">
        <v>21184585</v>
      </c>
      <c r="O1015">
        <v>21162292</v>
      </c>
      <c r="P1015">
        <v>21398570.460000001</v>
      </c>
      <c r="Q1015">
        <v>21376052.239999998</v>
      </c>
      <c r="R1015" s="14">
        <f>_xlfn.XLOOKUP(Table2[[#This Row],[LoanID]],Table1[G-L ID],Table1[ManagerCode],-99)</f>
        <v>103</v>
      </c>
      <c r="T1015"/>
    </row>
    <row r="1016" spans="1:20" x14ac:dyDescent="0.25">
      <c r="A1016">
        <v>20111231</v>
      </c>
      <c r="B1016">
        <v>2011</v>
      </c>
      <c r="C1016">
        <v>12</v>
      </c>
      <c r="D1016">
        <v>1</v>
      </c>
      <c r="E1016">
        <v>10490</v>
      </c>
      <c r="F1016">
        <v>87500</v>
      </c>
      <c r="G1016">
        <v>0</v>
      </c>
      <c r="H1016">
        <v>0</v>
      </c>
      <c r="I1016">
        <v>0</v>
      </c>
      <c r="J1016">
        <v>-25000000</v>
      </c>
      <c r="K1016">
        <v>0</v>
      </c>
      <c r="L1016">
        <v>0</v>
      </c>
      <c r="M1016">
        <v>25000000</v>
      </c>
      <c r="N1016">
        <v>0</v>
      </c>
      <c r="O1016">
        <v>25000000</v>
      </c>
      <c r="P1016">
        <v>0</v>
      </c>
      <c r="Q1016">
        <v>25000000</v>
      </c>
      <c r="R1016" s="14">
        <f>_xlfn.XLOOKUP(Table2[[#This Row],[LoanID]],Table1[G-L ID],Table1[ManagerCode],-99)</f>
        <v>220</v>
      </c>
      <c r="T1016"/>
    </row>
    <row r="1017" spans="1:20" x14ac:dyDescent="0.25">
      <c r="A1017">
        <v>20111231</v>
      </c>
      <c r="B1017">
        <v>2011</v>
      </c>
      <c r="C1017">
        <v>12</v>
      </c>
      <c r="D1017">
        <v>1</v>
      </c>
      <c r="E1017">
        <v>10550</v>
      </c>
      <c r="F1017">
        <v>20717</v>
      </c>
      <c r="G1017">
        <v>0</v>
      </c>
      <c r="H1017">
        <v>0</v>
      </c>
      <c r="I1017">
        <v>-12</v>
      </c>
      <c r="J1017">
        <v>0</v>
      </c>
      <c r="K1017">
        <v>0</v>
      </c>
      <c r="L1017">
        <v>3999634</v>
      </c>
      <c r="M1017">
        <v>3999634</v>
      </c>
      <c r="N1017">
        <v>3999634</v>
      </c>
      <c r="O1017">
        <v>3999634</v>
      </c>
      <c r="P1017">
        <v>4026567.49</v>
      </c>
      <c r="Q1017">
        <v>4028250.84</v>
      </c>
      <c r="R1017" s="14">
        <f>_xlfn.XLOOKUP(Table2[[#This Row],[LoanID]],Table1[G-L ID],Table1[ManagerCode],-99)</f>
        <v>103</v>
      </c>
      <c r="T1017"/>
    </row>
    <row r="1018" spans="1:20" x14ac:dyDescent="0.25">
      <c r="A1018">
        <v>20111231</v>
      </c>
      <c r="B1018">
        <v>2011</v>
      </c>
      <c r="C1018">
        <v>12</v>
      </c>
      <c r="D1018">
        <v>1</v>
      </c>
      <c r="E1018">
        <v>10560</v>
      </c>
      <c r="F1018">
        <v>511018</v>
      </c>
      <c r="G1018">
        <v>0</v>
      </c>
      <c r="H1018">
        <v>0</v>
      </c>
      <c r="I1018">
        <v>-291</v>
      </c>
      <c r="J1018">
        <v>0</v>
      </c>
      <c r="K1018">
        <v>0</v>
      </c>
      <c r="L1018">
        <v>98657637</v>
      </c>
      <c r="M1018">
        <v>98657637</v>
      </c>
      <c r="N1018">
        <v>98657637</v>
      </c>
      <c r="O1018">
        <v>98657637</v>
      </c>
      <c r="P1018">
        <v>99654178</v>
      </c>
      <c r="Q1018">
        <v>99654178</v>
      </c>
      <c r="R1018" s="14">
        <f>_xlfn.XLOOKUP(Table2[[#This Row],[LoanID]],Table1[G-L ID],Table1[ManagerCode],-99)</f>
        <v>103</v>
      </c>
      <c r="T1018"/>
    </row>
    <row r="1019" spans="1:20" x14ac:dyDescent="0.25">
      <c r="A1019">
        <v>20111231</v>
      </c>
      <c r="B1019">
        <v>2011</v>
      </c>
      <c r="C1019">
        <v>12</v>
      </c>
      <c r="D1019">
        <v>1</v>
      </c>
      <c r="E1019">
        <v>10630</v>
      </c>
      <c r="F1019">
        <v>49044</v>
      </c>
      <c r="G1019">
        <v>0</v>
      </c>
      <c r="H1019">
        <v>0</v>
      </c>
      <c r="I1019">
        <v>0</v>
      </c>
      <c r="J1019">
        <v>0</v>
      </c>
      <c r="K1019">
        <v>13572.47</v>
      </c>
      <c r="L1019">
        <v>9621166</v>
      </c>
      <c r="M1019">
        <v>9597718</v>
      </c>
      <c r="N1019">
        <v>9621166</v>
      </c>
      <c r="O1019">
        <v>9597718</v>
      </c>
      <c r="P1019">
        <v>9181330.6600000001</v>
      </c>
      <c r="Q1019">
        <v>9167758.1899999995</v>
      </c>
      <c r="R1019" s="14">
        <f>_xlfn.XLOOKUP(Table2[[#This Row],[LoanID]],Table1[G-L ID],Table1[ManagerCode],-99)</f>
        <v>103</v>
      </c>
      <c r="T1019"/>
    </row>
    <row r="1020" spans="1:20" x14ac:dyDescent="0.25">
      <c r="A1020">
        <v>20111231</v>
      </c>
      <c r="B1020">
        <v>2011</v>
      </c>
      <c r="C1020">
        <v>12</v>
      </c>
      <c r="D1020">
        <v>1</v>
      </c>
      <c r="E1020">
        <v>10770</v>
      </c>
      <c r="F1020">
        <v>3152022</v>
      </c>
      <c r="G1020">
        <v>0</v>
      </c>
      <c r="H1020">
        <v>0</v>
      </c>
      <c r="I1020">
        <v>0</v>
      </c>
      <c r="J1020">
        <v>0</v>
      </c>
      <c r="K1020">
        <v>0</v>
      </c>
      <c r="L1020">
        <v>109250000</v>
      </c>
      <c r="M1020">
        <v>107158590</v>
      </c>
      <c r="N1020">
        <v>109250000</v>
      </c>
      <c r="O1020">
        <v>107158590</v>
      </c>
      <c r="P1020">
        <v>115000000</v>
      </c>
      <c r="Q1020">
        <v>115000000</v>
      </c>
      <c r="R1020" s="14">
        <f>_xlfn.XLOOKUP(Table2[[#This Row],[LoanID]],Table1[G-L ID],Table1[ManagerCode],-99)</f>
        <v>103</v>
      </c>
      <c r="T1020"/>
    </row>
    <row r="1021" spans="1:20" x14ac:dyDescent="0.25">
      <c r="A1021">
        <v>20111231</v>
      </c>
      <c r="B1021">
        <v>2011</v>
      </c>
      <c r="C1021">
        <v>12</v>
      </c>
      <c r="D1021">
        <v>1</v>
      </c>
      <c r="E1021">
        <v>10880</v>
      </c>
      <c r="F1021">
        <v>284079</v>
      </c>
      <c r="G1021">
        <v>0</v>
      </c>
      <c r="H1021">
        <v>0</v>
      </c>
      <c r="I1021">
        <v>0</v>
      </c>
      <c r="J1021">
        <v>0</v>
      </c>
      <c r="K1021">
        <v>0</v>
      </c>
      <c r="L1021">
        <v>191657369</v>
      </c>
      <c r="M1021">
        <v>194064689</v>
      </c>
      <c r="N1021">
        <v>191657369</v>
      </c>
      <c r="O1021">
        <v>194064689</v>
      </c>
      <c r="P1021">
        <v>201744599.09999999</v>
      </c>
      <c r="Q1021">
        <v>201744599.09999999</v>
      </c>
      <c r="R1021" s="14">
        <f>_xlfn.XLOOKUP(Table2[[#This Row],[LoanID]],Table1[G-L ID],Table1[ManagerCode],-99)</f>
        <v>103</v>
      </c>
      <c r="T1021"/>
    </row>
    <row r="1022" spans="1:20" x14ac:dyDescent="0.25">
      <c r="A1022">
        <v>20111231</v>
      </c>
      <c r="B1022">
        <v>2011</v>
      </c>
      <c r="C1022">
        <v>12</v>
      </c>
      <c r="D1022">
        <v>1</v>
      </c>
      <c r="E1022">
        <v>10900</v>
      </c>
      <c r="F1022">
        <v>161057</v>
      </c>
      <c r="G1022">
        <v>0</v>
      </c>
      <c r="H1022">
        <v>0</v>
      </c>
      <c r="I1022">
        <v>0</v>
      </c>
      <c r="J1022">
        <v>0</v>
      </c>
      <c r="K1022">
        <v>6177.47</v>
      </c>
      <c r="L1022">
        <v>8210967</v>
      </c>
      <c r="M1022">
        <v>8205099</v>
      </c>
      <c r="N1022">
        <v>8210967</v>
      </c>
      <c r="O1022">
        <v>8205099</v>
      </c>
      <c r="P1022">
        <v>8643123.5199999996</v>
      </c>
      <c r="Q1022">
        <v>8636946.0500000007</v>
      </c>
      <c r="R1022" s="14">
        <f>_xlfn.XLOOKUP(Table2[[#This Row],[LoanID]],Table1[G-L ID],Table1[ManagerCode],-99)</f>
        <v>103</v>
      </c>
      <c r="T1022"/>
    </row>
    <row r="1023" spans="1:20" x14ac:dyDescent="0.25">
      <c r="A1023">
        <v>20111231</v>
      </c>
      <c r="B1023">
        <v>2011</v>
      </c>
      <c r="C1023">
        <v>12</v>
      </c>
      <c r="D1023">
        <v>1</v>
      </c>
      <c r="E1023">
        <v>10950</v>
      </c>
      <c r="F1023">
        <v>53452</v>
      </c>
      <c r="G1023">
        <v>0</v>
      </c>
      <c r="H1023">
        <v>0</v>
      </c>
      <c r="I1023">
        <v>0</v>
      </c>
      <c r="J1023">
        <v>0</v>
      </c>
      <c r="K1023">
        <v>23570.81</v>
      </c>
      <c r="L1023">
        <v>10654568</v>
      </c>
      <c r="M1023">
        <v>10631233</v>
      </c>
      <c r="N1023">
        <v>10654568</v>
      </c>
      <c r="O1023">
        <v>10631233</v>
      </c>
      <c r="P1023">
        <v>10762189.859999999</v>
      </c>
      <c r="Q1023">
        <v>10738619.050000001</v>
      </c>
      <c r="R1023" s="14">
        <f>_xlfn.XLOOKUP(Table2[[#This Row],[LoanID]],Table1[G-L ID],Table1[ManagerCode],-99)</f>
        <v>103</v>
      </c>
      <c r="T1023"/>
    </row>
    <row r="1024" spans="1:20" x14ac:dyDescent="0.25">
      <c r="A1024">
        <v>20111231</v>
      </c>
      <c r="B1024">
        <v>2011</v>
      </c>
      <c r="C1024">
        <v>12</v>
      </c>
      <c r="D1024">
        <v>1</v>
      </c>
      <c r="E1024">
        <v>10980</v>
      </c>
      <c r="F1024">
        <v>30832.65</v>
      </c>
      <c r="G1024">
        <v>9256.27</v>
      </c>
      <c r="H1024">
        <v>0</v>
      </c>
      <c r="I1024">
        <v>0</v>
      </c>
      <c r="J1024">
        <v>-583178.43999999994</v>
      </c>
      <c r="K1024">
        <v>0</v>
      </c>
      <c r="L1024">
        <v>2985097.5</v>
      </c>
      <c r="M1024">
        <v>3577532.21</v>
      </c>
      <c r="N1024">
        <v>2985097.5</v>
      </c>
      <c r="O1024">
        <v>3577532.21</v>
      </c>
      <c r="P1024">
        <v>2985097.5</v>
      </c>
      <c r="Q1024">
        <v>3577532.21</v>
      </c>
      <c r="R1024" s="14">
        <f>_xlfn.XLOOKUP(Table2[[#This Row],[LoanID]],Table1[G-L ID],Table1[ManagerCode],-99)</f>
        <v>183</v>
      </c>
      <c r="T1024"/>
    </row>
    <row r="1025" spans="1:20" x14ac:dyDescent="0.25">
      <c r="A1025">
        <v>20111231</v>
      </c>
      <c r="B1025">
        <v>2011</v>
      </c>
      <c r="C1025">
        <v>12</v>
      </c>
      <c r="D1025">
        <v>1</v>
      </c>
      <c r="E1025">
        <v>11110</v>
      </c>
      <c r="F1025">
        <v>18791.509999999998</v>
      </c>
      <c r="G1025">
        <v>0</v>
      </c>
      <c r="H1025">
        <v>0</v>
      </c>
      <c r="I1025">
        <v>0</v>
      </c>
      <c r="J1025">
        <v>-5256940.6399999997</v>
      </c>
      <c r="K1025">
        <v>0</v>
      </c>
      <c r="L1025">
        <v>1503320.7</v>
      </c>
      <c r="M1025">
        <v>6760261.3399999999</v>
      </c>
      <c r="N1025">
        <v>1503320.7</v>
      </c>
      <c r="O1025">
        <v>6760261.3399999999</v>
      </c>
      <c r="P1025">
        <v>1503320.7</v>
      </c>
      <c r="Q1025">
        <v>6760261.3399999999</v>
      </c>
      <c r="R1025" s="14">
        <f>_xlfn.XLOOKUP(Table2[[#This Row],[LoanID]],Table1[G-L ID],Table1[ManagerCode],-99)</f>
        <v>183</v>
      </c>
      <c r="T1025"/>
    </row>
    <row r="1026" spans="1:20" x14ac:dyDescent="0.25">
      <c r="A1026">
        <v>20111231</v>
      </c>
      <c r="B1026">
        <v>2011</v>
      </c>
      <c r="C1026">
        <v>12</v>
      </c>
      <c r="D1026">
        <v>1</v>
      </c>
      <c r="E1026">
        <v>11180</v>
      </c>
      <c r="F1026">
        <v>207970</v>
      </c>
      <c r="G1026">
        <v>0</v>
      </c>
      <c r="H1026">
        <v>0</v>
      </c>
      <c r="I1026">
        <v>-1666</v>
      </c>
      <c r="J1026">
        <v>0</v>
      </c>
      <c r="K1026">
        <v>0</v>
      </c>
      <c r="L1026">
        <v>176026982</v>
      </c>
      <c r="M1026">
        <v>178846150</v>
      </c>
      <c r="N1026">
        <v>176026982</v>
      </c>
      <c r="O1026">
        <v>178846150</v>
      </c>
      <c r="P1026">
        <v>199970831.5</v>
      </c>
      <c r="Q1026">
        <v>199970831.5</v>
      </c>
      <c r="R1026" s="14">
        <f>_xlfn.XLOOKUP(Table2[[#This Row],[LoanID]],Table1[G-L ID],Table1[ManagerCode],-99)</f>
        <v>103</v>
      </c>
      <c r="T1026"/>
    </row>
    <row r="1027" spans="1:20" x14ac:dyDescent="0.25">
      <c r="A1027">
        <v>20111231</v>
      </c>
      <c r="B1027">
        <v>2011</v>
      </c>
      <c r="C1027">
        <v>12</v>
      </c>
      <c r="D1027">
        <v>1</v>
      </c>
      <c r="E1027">
        <v>11200</v>
      </c>
      <c r="F1027">
        <v>69880</v>
      </c>
      <c r="G1027">
        <v>0</v>
      </c>
      <c r="H1027">
        <v>0</v>
      </c>
      <c r="I1027">
        <v>0</v>
      </c>
      <c r="J1027">
        <v>0</v>
      </c>
      <c r="K1027">
        <v>0</v>
      </c>
      <c r="L1027">
        <v>12231628</v>
      </c>
      <c r="M1027">
        <v>12377578</v>
      </c>
      <c r="N1027">
        <v>12231628</v>
      </c>
      <c r="O1027">
        <v>12377578</v>
      </c>
      <c r="P1027">
        <v>13976000</v>
      </c>
      <c r="Q1027">
        <v>13976000</v>
      </c>
      <c r="R1027" s="14">
        <f>_xlfn.XLOOKUP(Table2[[#This Row],[LoanID]],Table1[G-L ID],Table1[ManagerCode],-99)</f>
        <v>103</v>
      </c>
      <c r="T1027"/>
    </row>
    <row r="1028" spans="1:20" x14ac:dyDescent="0.25">
      <c r="A1028">
        <v>20111231</v>
      </c>
      <c r="B1028">
        <v>2011</v>
      </c>
      <c r="C1028">
        <v>12</v>
      </c>
      <c r="D1028">
        <v>1</v>
      </c>
      <c r="E1028">
        <v>11240</v>
      </c>
      <c r="F1028">
        <v>246748</v>
      </c>
      <c r="G1028">
        <v>0</v>
      </c>
      <c r="H1028">
        <v>0</v>
      </c>
      <c r="I1028">
        <v>0</v>
      </c>
      <c r="J1028">
        <v>0</v>
      </c>
      <c r="K1028">
        <v>0</v>
      </c>
      <c r="L1028">
        <v>184499486</v>
      </c>
      <c r="M1028">
        <v>185183145</v>
      </c>
      <c r="N1028">
        <v>184499486</v>
      </c>
      <c r="O1028">
        <v>185183145</v>
      </c>
      <c r="P1028">
        <v>194929626.59999999</v>
      </c>
      <c r="Q1028">
        <v>194929626.59999999</v>
      </c>
      <c r="R1028" s="14">
        <f>_xlfn.XLOOKUP(Table2[[#This Row],[LoanID]],Table1[G-L ID],Table1[ManagerCode],-99)</f>
        <v>103</v>
      </c>
      <c r="T1028"/>
    </row>
    <row r="1029" spans="1:20" x14ac:dyDescent="0.25">
      <c r="A1029">
        <v>20111231</v>
      </c>
      <c r="B1029">
        <v>2011</v>
      </c>
      <c r="C1029">
        <v>12</v>
      </c>
      <c r="D1029">
        <v>1</v>
      </c>
      <c r="E1029">
        <v>11280</v>
      </c>
      <c r="F1029">
        <v>23473</v>
      </c>
      <c r="G1029">
        <v>0</v>
      </c>
      <c r="H1029">
        <v>0</v>
      </c>
      <c r="I1029">
        <v>-157</v>
      </c>
      <c r="J1029">
        <v>0</v>
      </c>
      <c r="K1029">
        <v>0</v>
      </c>
      <c r="L1029">
        <v>17779446</v>
      </c>
      <c r="M1029">
        <v>18507396</v>
      </c>
      <c r="N1029">
        <v>17779446</v>
      </c>
      <c r="O1029">
        <v>18507396</v>
      </c>
      <c r="P1029">
        <v>18791123.030000001</v>
      </c>
      <c r="Q1029">
        <v>18791123.030000001</v>
      </c>
      <c r="R1029" s="14">
        <f>_xlfn.XLOOKUP(Table2[[#This Row],[LoanID]],Table1[G-L ID],Table1[ManagerCode],-99)</f>
        <v>103</v>
      </c>
      <c r="T1029"/>
    </row>
    <row r="1030" spans="1:20" x14ac:dyDescent="0.25">
      <c r="A1030">
        <v>20111231</v>
      </c>
      <c r="B1030">
        <v>2011</v>
      </c>
      <c r="C1030">
        <v>12</v>
      </c>
      <c r="D1030">
        <v>1</v>
      </c>
      <c r="E1030">
        <v>11300</v>
      </c>
      <c r="F1030">
        <v>21126</v>
      </c>
      <c r="G1030">
        <v>0</v>
      </c>
      <c r="H1030">
        <v>0</v>
      </c>
      <c r="I1030">
        <v>-141</v>
      </c>
      <c r="J1030">
        <v>0</v>
      </c>
      <c r="K1030">
        <v>0</v>
      </c>
      <c r="L1030">
        <v>16001501</v>
      </c>
      <c r="M1030">
        <v>16656657</v>
      </c>
      <c r="N1030">
        <v>16001501</v>
      </c>
      <c r="O1030">
        <v>16656657</v>
      </c>
      <c r="P1030">
        <v>16912010.73</v>
      </c>
      <c r="Q1030">
        <v>16912010.73</v>
      </c>
      <c r="R1030" s="14">
        <f>_xlfn.XLOOKUP(Table2[[#This Row],[LoanID]],Table1[G-L ID],Table1[ManagerCode],-99)</f>
        <v>103</v>
      </c>
      <c r="T1030"/>
    </row>
    <row r="1031" spans="1:20" x14ac:dyDescent="0.25">
      <c r="A1031">
        <v>20111231</v>
      </c>
      <c r="B1031">
        <v>2011</v>
      </c>
      <c r="C1031">
        <v>12</v>
      </c>
      <c r="D1031">
        <v>1</v>
      </c>
      <c r="E1031">
        <v>11310</v>
      </c>
      <c r="F1031">
        <v>14084</v>
      </c>
      <c r="G1031">
        <v>0</v>
      </c>
      <c r="H1031">
        <v>0</v>
      </c>
      <c r="I1031">
        <v>-94</v>
      </c>
      <c r="J1031">
        <v>0</v>
      </c>
      <c r="K1031">
        <v>0</v>
      </c>
      <c r="L1031">
        <v>10670387</v>
      </c>
      <c r="M1031">
        <v>11106801</v>
      </c>
      <c r="N1031">
        <v>10670387</v>
      </c>
      <c r="O1031">
        <v>11106801</v>
      </c>
      <c r="P1031">
        <v>11274673.789999999</v>
      </c>
      <c r="Q1031">
        <v>11274673.789999999</v>
      </c>
      <c r="R1031" s="14">
        <f>_xlfn.XLOOKUP(Table2[[#This Row],[LoanID]],Table1[G-L ID],Table1[ManagerCode],-99)</f>
        <v>103</v>
      </c>
      <c r="T1031"/>
    </row>
    <row r="1032" spans="1:20" x14ac:dyDescent="0.25">
      <c r="A1032">
        <v>20111231</v>
      </c>
      <c r="B1032">
        <v>2011</v>
      </c>
      <c r="C1032">
        <v>12</v>
      </c>
      <c r="D1032">
        <v>1</v>
      </c>
      <c r="E1032">
        <v>11380</v>
      </c>
      <c r="F1032">
        <v>34622</v>
      </c>
      <c r="G1032">
        <v>0</v>
      </c>
      <c r="H1032">
        <v>0</v>
      </c>
      <c r="I1032">
        <v>0</v>
      </c>
      <c r="J1032">
        <v>0</v>
      </c>
      <c r="K1032">
        <v>56078.26</v>
      </c>
      <c r="L1032">
        <v>5912874</v>
      </c>
      <c r="M1032">
        <v>5852836</v>
      </c>
      <c r="N1032">
        <v>5912874</v>
      </c>
      <c r="O1032">
        <v>5852836</v>
      </c>
      <c r="P1032">
        <v>5239103.1500000004</v>
      </c>
      <c r="Q1032">
        <v>5183024.8899999997</v>
      </c>
      <c r="R1032" s="14">
        <f>_xlfn.XLOOKUP(Table2[[#This Row],[LoanID]],Table1[G-L ID],Table1[ManagerCode],-99)</f>
        <v>103</v>
      </c>
      <c r="T1032"/>
    </row>
    <row r="1033" spans="1:20" x14ac:dyDescent="0.25">
      <c r="A1033">
        <v>20111231</v>
      </c>
      <c r="B1033">
        <v>2011</v>
      </c>
      <c r="C1033">
        <v>12</v>
      </c>
      <c r="D1033">
        <v>1</v>
      </c>
      <c r="E1033">
        <v>11630</v>
      </c>
      <c r="F1033">
        <v>59748.46</v>
      </c>
      <c r="G1033">
        <v>30839.89</v>
      </c>
      <c r="H1033">
        <v>0</v>
      </c>
      <c r="I1033">
        <v>0</v>
      </c>
      <c r="J1033">
        <v>-1659540.7</v>
      </c>
      <c r="K1033">
        <v>0</v>
      </c>
      <c r="L1033">
        <v>8099742.8499999996</v>
      </c>
      <c r="M1033">
        <v>9790123.4399999995</v>
      </c>
      <c r="N1033">
        <v>8099742.8499999996</v>
      </c>
      <c r="O1033">
        <v>9790123.4399999995</v>
      </c>
      <c r="P1033">
        <v>8099742.8499999996</v>
      </c>
      <c r="Q1033">
        <v>9790123.4399999995</v>
      </c>
      <c r="R1033" s="14">
        <f>_xlfn.XLOOKUP(Table2[[#This Row],[LoanID]],Table1[G-L ID],Table1[ManagerCode],-99)</f>
        <v>183</v>
      </c>
      <c r="T1033"/>
    </row>
    <row r="1034" spans="1:20" x14ac:dyDescent="0.25">
      <c r="A1034">
        <v>20111231</v>
      </c>
      <c r="B1034">
        <v>2011</v>
      </c>
      <c r="C1034">
        <v>12</v>
      </c>
      <c r="D1034">
        <v>1</v>
      </c>
      <c r="E1034">
        <v>11650</v>
      </c>
      <c r="F1034">
        <v>74375</v>
      </c>
      <c r="G1034">
        <v>0</v>
      </c>
      <c r="H1034">
        <v>0</v>
      </c>
      <c r="I1034">
        <v>0</v>
      </c>
      <c r="J1034">
        <v>0</v>
      </c>
      <c r="K1034">
        <v>0</v>
      </c>
      <c r="L1034">
        <v>9600000</v>
      </c>
      <c r="M1034">
        <v>9600000</v>
      </c>
      <c r="N1034">
        <v>9600000</v>
      </c>
      <c r="O1034">
        <v>9600000</v>
      </c>
      <c r="P1034">
        <v>12000000</v>
      </c>
      <c r="Q1034">
        <v>12000000</v>
      </c>
      <c r="R1034" s="14">
        <f>_xlfn.XLOOKUP(Table2[[#This Row],[LoanID]],Table1[G-L ID],Table1[ManagerCode],-99)</f>
        <v>103</v>
      </c>
      <c r="T1034"/>
    </row>
    <row r="1035" spans="1:20" x14ac:dyDescent="0.25">
      <c r="A1035">
        <v>20111231</v>
      </c>
      <c r="B1035">
        <v>2011</v>
      </c>
      <c r="C1035">
        <v>12</v>
      </c>
      <c r="D1035">
        <v>1</v>
      </c>
      <c r="E1035">
        <v>11780</v>
      </c>
      <c r="F1035">
        <v>177424</v>
      </c>
      <c r="G1035">
        <v>0</v>
      </c>
      <c r="H1035">
        <v>0</v>
      </c>
      <c r="I1035">
        <v>-1092</v>
      </c>
      <c r="J1035">
        <v>0</v>
      </c>
      <c r="K1035">
        <v>141302.01</v>
      </c>
      <c r="L1035">
        <v>27463024</v>
      </c>
      <c r="M1035">
        <v>27603780</v>
      </c>
      <c r="N1035">
        <v>27463024</v>
      </c>
      <c r="O1035">
        <v>27603780</v>
      </c>
      <c r="P1035">
        <v>65510517.619999997</v>
      </c>
      <c r="Q1035">
        <v>65369215.609999999</v>
      </c>
      <c r="R1035" s="14">
        <f>_xlfn.XLOOKUP(Table2[[#This Row],[LoanID]],Table1[G-L ID],Table1[ManagerCode],-99)</f>
        <v>103</v>
      </c>
      <c r="T1035"/>
    </row>
    <row r="1036" spans="1:20" x14ac:dyDescent="0.25">
      <c r="A1036">
        <v>20111231</v>
      </c>
      <c r="B1036">
        <v>2011</v>
      </c>
      <c r="C1036">
        <v>12</v>
      </c>
      <c r="D1036">
        <v>1</v>
      </c>
      <c r="E1036">
        <v>11800</v>
      </c>
      <c r="F1036">
        <v>159670</v>
      </c>
      <c r="G1036">
        <v>0</v>
      </c>
      <c r="H1036">
        <v>0</v>
      </c>
      <c r="I1036">
        <v>-269</v>
      </c>
      <c r="J1036">
        <v>0</v>
      </c>
      <c r="K1036">
        <v>59639.35</v>
      </c>
      <c r="L1036">
        <v>29016287</v>
      </c>
      <c r="M1036">
        <v>28962612</v>
      </c>
      <c r="N1036">
        <v>29016287</v>
      </c>
      <c r="O1036">
        <v>28962612</v>
      </c>
      <c r="P1036">
        <v>32240287.030000001</v>
      </c>
      <c r="Q1036">
        <v>32180647.68</v>
      </c>
      <c r="R1036" s="14">
        <f>_xlfn.XLOOKUP(Table2[[#This Row],[LoanID]],Table1[G-L ID],Table1[ManagerCode],-99)</f>
        <v>103</v>
      </c>
      <c r="T1036"/>
    </row>
    <row r="1037" spans="1:20" x14ac:dyDescent="0.25">
      <c r="A1037">
        <v>20111231</v>
      </c>
      <c r="B1037">
        <v>2011</v>
      </c>
      <c r="C1037">
        <v>12</v>
      </c>
      <c r="D1037">
        <v>1</v>
      </c>
      <c r="E1037">
        <v>11810</v>
      </c>
      <c r="F1037">
        <v>51167</v>
      </c>
      <c r="G1037">
        <v>0</v>
      </c>
      <c r="H1037">
        <v>0</v>
      </c>
      <c r="I1037">
        <v>0</v>
      </c>
      <c r="J1037">
        <v>0</v>
      </c>
      <c r="K1037">
        <v>0</v>
      </c>
      <c r="L1037">
        <v>9798558</v>
      </c>
      <c r="M1037">
        <v>9871688</v>
      </c>
      <c r="N1037">
        <v>9798558</v>
      </c>
      <c r="O1037">
        <v>9871688</v>
      </c>
      <c r="P1037">
        <v>10000000</v>
      </c>
      <c r="Q1037">
        <v>10000000</v>
      </c>
      <c r="R1037" s="14">
        <f>_xlfn.XLOOKUP(Table2[[#This Row],[LoanID]],Table1[G-L ID],Table1[ManagerCode],-99)</f>
        <v>103</v>
      </c>
      <c r="T1037"/>
    </row>
    <row r="1038" spans="1:20" x14ac:dyDescent="0.25">
      <c r="A1038">
        <v>20111231</v>
      </c>
      <c r="B1038">
        <v>2011</v>
      </c>
      <c r="C1038">
        <v>12</v>
      </c>
      <c r="D1038">
        <v>1</v>
      </c>
      <c r="E1038">
        <v>12020</v>
      </c>
      <c r="F1038">
        <v>0</v>
      </c>
      <c r="G1038">
        <v>918.96</v>
      </c>
      <c r="H1038">
        <v>97500</v>
      </c>
      <c r="I1038">
        <v>0</v>
      </c>
      <c r="J1038">
        <v>-2050470.6</v>
      </c>
      <c r="K1038">
        <v>0</v>
      </c>
      <c r="L1038">
        <v>0</v>
      </c>
      <c r="M1038">
        <v>2051389.56</v>
      </c>
      <c r="N1038">
        <v>0</v>
      </c>
      <c r="O1038">
        <v>2051389.56</v>
      </c>
      <c r="P1038">
        <v>0</v>
      </c>
      <c r="Q1038">
        <v>2051389.56</v>
      </c>
      <c r="R1038" s="14">
        <f>_xlfn.XLOOKUP(Table2[[#This Row],[LoanID]],Table1[G-L ID],Table1[ManagerCode],-99)</f>
        <v>183</v>
      </c>
      <c r="T1038"/>
    </row>
    <row r="1039" spans="1:20" x14ac:dyDescent="0.25">
      <c r="A1039">
        <v>20111231</v>
      </c>
      <c r="B1039">
        <v>2011</v>
      </c>
      <c r="C1039">
        <v>12</v>
      </c>
      <c r="D1039">
        <v>1</v>
      </c>
      <c r="E1039">
        <v>12200</v>
      </c>
      <c r="F1039">
        <v>89841</v>
      </c>
      <c r="G1039">
        <v>0</v>
      </c>
      <c r="H1039">
        <v>0</v>
      </c>
      <c r="I1039">
        <v>0</v>
      </c>
      <c r="J1039">
        <v>0</v>
      </c>
      <c r="K1039">
        <v>32369.01</v>
      </c>
      <c r="L1039">
        <v>20851405</v>
      </c>
      <c r="M1039">
        <v>20754456</v>
      </c>
      <c r="N1039">
        <v>20851405</v>
      </c>
      <c r="O1039">
        <v>20754456</v>
      </c>
      <c r="P1039">
        <v>19553785.239999998</v>
      </c>
      <c r="Q1039">
        <v>19521771.719999999</v>
      </c>
      <c r="R1039" s="14">
        <f>_xlfn.XLOOKUP(Table2[[#This Row],[LoanID]],Table1[G-L ID],Table1[ManagerCode],-99)</f>
        <v>103</v>
      </c>
      <c r="T1039"/>
    </row>
    <row r="1040" spans="1:20" x14ac:dyDescent="0.25">
      <c r="A1040">
        <v>20111231</v>
      </c>
      <c r="B1040">
        <v>2011</v>
      </c>
      <c r="C1040">
        <v>12</v>
      </c>
      <c r="D1040">
        <v>1</v>
      </c>
      <c r="E1040">
        <v>12210</v>
      </c>
      <c r="F1040">
        <v>721846</v>
      </c>
      <c r="G1040">
        <v>0</v>
      </c>
      <c r="H1040">
        <v>0</v>
      </c>
      <c r="I1040">
        <v>0</v>
      </c>
      <c r="J1040">
        <v>0</v>
      </c>
      <c r="K1040">
        <v>181636.34</v>
      </c>
      <c r="L1040">
        <v>137773557</v>
      </c>
      <c r="M1040">
        <v>137744291</v>
      </c>
      <c r="N1040">
        <v>137773557</v>
      </c>
      <c r="O1040">
        <v>137744291</v>
      </c>
      <c r="P1040">
        <v>116795815.7</v>
      </c>
      <c r="Q1040">
        <v>116614179.40000001</v>
      </c>
      <c r="R1040" s="14">
        <f>_xlfn.XLOOKUP(Table2[[#This Row],[LoanID]],Table1[G-L ID],Table1[ManagerCode],-99)</f>
        <v>103</v>
      </c>
      <c r="T1040"/>
    </row>
    <row r="1041" spans="1:20" x14ac:dyDescent="0.25">
      <c r="A1041">
        <v>20120131</v>
      </c>
      <c r="B1041">
        <v>2012</v>
      </c>
      <c r="C1041">
        <v>1</v>
      </c>
      <c r="D1041">
        <v>1</v>
      </c>
      <c r="E1041">
        <v>10050</v>
      </c>
      <c r="F1041">
        <v>153981.01999999999</v>
      </c>
      <c r="G1041">
        <v>0</v>
      </c>
      <c r="H1041">
        <v>0</v>
      </c>
      <c r="I1041">
        <v>0</v>
      </c>
      <c r="J1041">
        <v>0</v>
      </c>
      <c r="K1041">
        <v>0</v>
      </c>
      <c r="L1041">
        <v>35772887</v>
      </c>
      <c r="M1041">
        <v>35913681.399999999</v>
      </c>
      <c r="N1041">
        <v>35772887</v>
      </c>
      <c r="O1041">
        <v>35913681.399999999</v>
      </c>
      <c r="P1041">
        <v>33333334</v>
      </c>
      <c r="Q1041">
        <v>33333334</v>
      </c>
      <c r="R1041" s="14">
        <f>_xlfn.XLOOKUP(Table2[[#This Row],[LoanID]],Table1[G-L ID],Table1[ManagerCode],-99)</f>
        <v>103</v>
      </c>
      <c r="T1041"/>
    </row>
    <row r="1042" spans="1:20" x14ac:dyDescent="0.25">
      <c r="A1042">
        <v>20120131</v>
      </c>
      <c r="B1042">
        <v>2012</v>
      </c>
      <c r="C1042">
        <v>1</v>
      </c>
      <c r="D1042">
        <v>1</v>
      </c>
      <c r="E1042">
        <v>10080</v>
      </c>
      <c r="F1042">
        <v>351042.71</v>
      </c>
      <c r="G1042">
        <v>0</v>
      </c>
      <c r="H1042">
        <v>0</v>
      </c>
      <c r="I1042">
        <v>-161.46</v>
      </c>
      <c r="J1042">
        <v>0</v>
      </c>
      <c r="K1042">
        <v>0</v>
      </c>
      <c r="L1042">
        <v>74249926</v>
      </c>
      <c r="M1042">
        <v>74249925.75</v>
      </c>
      <c r="N1042">
        <v>74249926</v>
      </c>
      <c r="O1042">
        <v>74249925.75</v>
      </c>
      <c r="P1042">
        <v>75000000</v>
      </c>
      <c r="Q1042">
        <v>75000000</v>
      </c>
      <c r="R1042" s="14">
        <f>_xlfn.XLOOKUP(Table2[[#This Row],[LoanID]],Table1[G-L ID],Table1[ManagerCode],-99)</f>
        <v>103</v>
      </c>
      <c r="T1042"/>
    </row>
    <row r="1043" spans="1:20" x14ac:dyDescent="0.25">
      <c r="A1043">
        <v>20120131</v>
      </c>
      <c r="B1043">
        <v>2012</v>
      </c>
      <c r="C1043">
        <v>1</v>
      </c>
      <c r="D1043">
        <v>1</v>
      </c>
      <c r="E1043">
        <v>10130</v>
      </c>
      <c r="F1043">
        <v>35698.46</v>
      </c>
      <c r="G1043">
        <v>0</v>
      </c>
      <c r="H1043">
        <v>0</v>
      </c>
      <c r="I1043">
        <v>0</v>
      </c>
      <c r="J1043">
        <v>0</v>
      </c>
      <c r="K1043">
        <v>31992.23</v>
      </c>
      <c r="L1043">
        <v>8185460</v>
      </c>
      <c r="M1043">
        <v>8161908.79</v>
      </c>
      <c r="N1043">
        <v>8185460</v>
      </c>
      <c r="O1043">
        <v>8161908.79</v>
      </c>
      <c r="P1043">
        <v>7889163.1600000001</v>
      </c>
      <c r="Q1043">
        <v>7857170.9299999997</v>
      </c>
      <c r="R1043" s="14">
        <f>_xlfn.XLOOKUP(Table2[[#This Row],[LoanID]],Table1[G-L ID],Table1[ManagerCode],-99)</f>
        <v>103</v>
      </c>
      <c r="T1043"/>
    </row>
    <row r="1044" spans="1:20" x14ac:dyDescent="0.25">
      <c r="A1044">
        <v>20120131</v>
      </c>
      <c r="B1044">
        <v>2012</v>
      </c>
      <c r="C1044">
        <v>1</v>
      </c>
      <c r="D1044">
        <v>1</v>
      </c>
      <c r="E1044">
        <v>10140</v>
      </c>
      <c r="F1044">
        <v>94158.91</v>
      </c>
      <c r="G1044">
        <v>0</v>
      </c>
      <c r="H1044">
        <v>0</v>
      </c>
      <c r="I1044">
        <v>0</v>
      </c>
      <c r="J1044">
        <v>0</v>
      </c>
      <c r="K1044">
        <v>83665.42</v>
      </c>
      <c r="L1044">
        <v>21590426</v>
      </c>
      <c r="M1044">
        <v>21529048.16</v>
      </c>
      <c r="N1044">
        <v>21590426</v>
      </c>
      <c r="O1044">
        <v>21529048.16</v>
      </c>
      <c r="P1044">
        <v>20808599.129999999</v>
      </c>
      <c r="Q1044">
        <v>20724933.710000001</v>
      </c>
      <c r="R1044" s="14">
        <f>_xlfn.XLOOKUP(Table2[[#This Row],[LoanID]],Table1[G-L ID],Table1[ManagerCode],-99)</f>
        <v>103</v>
      </c>
      <c r="T1044"/>
    </row>
    <row r="1045" spans="1:20" x14ac:dyDescent="0.25">
      <c r="A1045">
        <v>20120131</v>
      </c>
      <c r="B1045">
        <v>2012</v>
      </c>
      <c r="C1045">
        <v>1</v>
      </c>
      <c r="D1045">
        <v>1</v>
      </c>
      <c r="E1045">
        <v>10150</v>
      </c>
      <c r="F1045">
        <v>241701.85</v>
      </c>
      <c r="G1045">
        <v>0</v>
      </c>
      <c r="H1045">
        <v>0</v>
      </c>
      <c r="I1045">
        <v>0</v>
      </c>
      <c r="J1045">
        <v>0</v>
      </c>
      <c r="K1045">
        <v>71618.149999999994</v>
      </c>
      <c r="L1045">
        <v>51924480</v>
      </c>
      <c r="M1045">
        <v>51853578.030000001</v>
      </c>
      <c r="N1045">
        <v>51924480</v>
      </c>
      <c r="O1045">
        <v>51853578.030000001</v>
      </c>
      <c r="P1045">
        <v>52448864.939999998</v>
      </c>
      <c r="Q1045">
        <v>52377246.789999999</v>
      </c>
      <c r="R1045" s="14">
        <f>_xlfn.XLOOKUP(Table2[[#This Row],[LoanID]],Table1[G-L ID],Table1[ManagerCode],-99)</f>
        <v>103</v>
      </c>
      <c r="T1045"/>
    </row>
    <row r="1046" spans="1:20" x14ac:dyDescent="0.25">
      <c r="A1046">
        <v>20120131</v>
      </c>
      <c r="B1046">
        <v>2012</v>
      </c>
      <c r="C1046">
        <v>1</v>
      </c>
      <c r="D1046">
        <v>1</v>
      </c>
      <c r="E1046">
        <v>10170</v>
      </c>
      <c r="F1046">
        <v>248561.67</v>
      </c>
      <c r="G1046">
        <v>0</v>
      </c>
      <c r="H1046">
        <v>0</v>
      </c>
      <c r="I1046">
        <v>-1191.19</v>
      </c>
      <c r="J1046">
        <v>0</v>
      </c>
      <c r="K1046">
        <v>67122.259999999995</v>
      </c>
      <c r="L1046">
        <v>49659774</v>
      </c>
      <c r="M1046">
        <v>49525484.859999999</v>
      </c>
      <c r="N1046">
        <v>49659774</v>
      </c>
      <c r="O1046">
        <v>49525484.859999999</v>
      </c>
      <c r="P1046">
        <v>46110584.979999997</v>
      </c>
      <c r="Q1046">
        <v>46043462.719999999</v>
      </c>
      <c r="R1046" s="14">
        <f>_xlfn.XLOOKUP(Table2[[#This Row],[LoanID]],Table1[G-L ID],Table1[ManagerCode],-99)</f>
        <v>103</v>
      </c>
      <c r="T1046"/>
    </row>
    <row r="1047" spans="1:20" x14ac:dyDescent="0.25">
      <c r="A1047">
        <v>20120131</v>
      </c>
      <c r="B1047">
        <v>2012</v>
      </c>
      <c r="C1047">
        <v>1</v>
      </c>
      <c r="D1047">
        <v>1</v>
      </c>
      <c r="E1047">
        <v>10210</v>
      </c>
      <c r="F1047">
        <v>0</v>
      </c>
      <c r="G1047">
        <v>13000</v>
      </c>
      <c r="H1047">
        <v>105000</v>
      </c>
      <c r="I1047">
        <v>0</v>
      </c>
      <c r="J1047">
        <v>-4000000</v>
      </c>
      <c r="K1047">
        <v>0</v>
      </c>
      <c r="L1047">
        <v>0</v>
      </c>
      <c r="M1047">
        <v>4013000</v>
      </c>
      <c r="N1047">
        <v>0</v>
      </c>
      <c r="O1047">
        <v>4013000</v>
      </c>
      <c r="P1047">
        <v>0</v>
      </c>
      <c r="Q1047">
        <v>4013000</v>
      </c>
      <c r="R1047" s="14">
        <f>_xlfn.XLOOKUP(Table2[[#This Row],[LoanID]],Table1[G-L ID],Table1[ManagerCode],-99)</f>
        <v>183</v>
      </c>
      <c r="T1047"/>
    </row>
    <row r="1048" spans="1:20" x14ac:dyDescent="0.25">
      <c r="A1048">
        <v>20120131</v>
      </c>
      <c r="B1048">
        <v>2012</v>
      </c>
      <c r="C1048">
        <v>1</v>
      </c>
      <c r="D1048">
        <v>1</v>
      </c>
      <c r="E1048">
        <v>10230</v>
      </c>
      <c r="F1048">
        <v>182367.57</v>
      </c>
      <c r="G1048">
        <v>0</v>
      </c>
      <c r="H1048">
        <v>0</v>
      </c>
      <c r="I1048">
        <v>0</v>
      </c>
      <c r="J1048">
        <v>0</v>
      </c>
      <c r="K1048">
        <v>59230.5</v>
      </c>
      <c r="L1048">
        <v>27598653</v>
      </c>
      <c r="M1048">
        <v>27548307.5</v>
      </c>
      <c r="N1048">
        <v>27598653</v>
      </c>
      <c r="O1048">
        <v>27548307.5</v>
      </c>
      <c r="P1048">
        <v>32469004.050000001</v>
      </c>
      <c r="Q1048">
        <v>32409773.550000001</v>
      </c>
      <c r="R1048" s="14">
        <f>_xlfn.XLOOKUP(Table2[[#This Row],[LoanID]],Table1[G-L ID],Table1[ManagerCode],-99)</f>
        <v>103</v>
      </c>
      <c r="T1048"/>
    </row>
    <row r="1049" spans="1:20" x14ac:dyDescent="0.25">
      <c r="A1049">
        <v>20120131</v>
      </c>
      <c r="B1049">
        <v>2012</v>
      </c>
      <c r="C1049">
        <v>1</v>
      </c>
      <c r="D1049">
        <v>1</v>
      </c>
      <c r="E1049">
        <v>10280</v>
      </c>
      <c r="F1049">
        <v>181412</v>
      </c>
      <c r="G1049">
        <v>0</v>
      </c>
      <c r="H1049">
        <v>0</v>
      </c>
      <c r="I1049">
        <v>0</v>
      </c>
      <c r="J1049">
        <v>0</v>
      </c>
      <c r="K1049">
        <v>0</v>
      </c>
      <c r="L1049">
        <v>33250033</v>
      </c>
      <c r="M1049">
        <v>33250033.25</v>
      </c>
      <c r="N1049">
        <v>33250033</v>
      </c>
      <c r="O1049">
        <v>33250033.25</v>
      </c>
      <c r="P1049">
        <v>35000000</v>
      </c>
      <c r="Q1049">
        <v>35000000</v>
      </c>
      <c r="R1049" s="14">
        <f>_xlfn.XLOOKUP(Table2[[#This Row],[LoanID]],Table1[G-L ID],Table1[ManagerCode],-99)</f>
        <v>103</v>
      </c>
      <c r="T1049"/>
    </row>
    <row r="1050" spans="1:20" x14ac:dyDescent="0.25">
      <c r="A1050">
        <v>20120131</v>
      </c>
      <c r="B1050">
        <v>2012</v>
      </c>
      <c r="C1050">
        <v>1</v>
      </c>
      <c r="D1050">
        <v>1</v>
      </c>
      <c r="E1050">
        <v>10290</v>
      </c>
      <c r="F1050">
        <v>171300.83</v>
      </c>
      <c r="G1050">
        <v>0</v>
      </c>
      <c r="H1050">
        <v>0</v>
      </c>
      <c r="I1050">
        <v>0</v>
      </c>
      <c r="J1050">
        <v>0</v>
      </c>
      <c r="K1050">
        <v>0</v>
      </c>
      <c r="L1050">
        <v>22500000</v>
      </c>
      <c r="M1050">
        <v>22500000</v>
      </c>
      <c r="N1050">
        <v>22500000</v>
      </c>
      <c r="O1050">
        <v>22500000</v>
      </c>
      <c r="P1050">
        <v>25000000</v>
      </c>
      <c r="Q1050">
        <v>25000000</v>
      </c>
      <c r="R1050" s="14">
        <f>_xlfn.XLOOKUP(Table2[[#This Row],[LoanID]],Table1[G-L ID],Table1[ManagerCode],-99)</f>
        <v>103</v>
      </c>
      <c r="T1050"/>
    </row>
    <row r="1051" spans="1:20" x14ac:dyDescent="0.25">
      <c r="A1051">
        <v>20120131</v>
      </c>
      <c r="B1051">
        <v>2012</v>
      </c>
      <c r="C1051">
        <v>1</v>
      </c>
      <c r="D1051">
        <v>1</v>
      </c>
      <c r="E1051">
        <v>10300</v>
      </c>
      <c r="F1051">
        <v>149887.93</v>
      </c>
      <c r="G1051">
        <v>0</v>
      </c>
      <c r="H1051">
        <v>0</v>
      </c>
      <c r="I1051">
        <v>0</v>
      </c>
      <c r="J1051">
        <v>0</v>
      </c>
      <c r="K1051">
        <v>0</v>
      </c>
      <c r="L1051">
        <v>34073601</v>
      </c>
      <c r="M1051">
        <v>34026289.740000002</v>
      </c>
      <c r="N1051">
        <v>34073601</v>
      </c>
      <c r="O1051">
        <v>34026289.740000002</v>
      </c>
      <c r="P1051">
        <v>35000000</v>
      </c>
      <c r="Q1051">
        <v>35000000</v>
      </c>
      <c r="R1051" s="14">
        <f>_xlfn.XLOOKUP(Table2[[#This Row],[LoanID]],Table1[G-L ID],Table1[ManagerCode],-99)</f>
        <v>103</v>
      </c>
      <c r="T1051"/>
    </row>
    <row r="1052" spans="1:20" x14ac:dyDescent="0.25">
      <c r="A1052">
        <v>20120131</v>
      </c>
      <c r="B1052">
        <v>2012</v>
      </c>
      <c r="C1052">
        <v>1</v>
      </c>
      <c r="D1052">
        <v>1</v>
      </c>
      <c r="E1052">
        <v>10310</v>
      </c>
      <c r="F1052">
        <v>100931.87</v>
      </c>
      <c r="G1052">
        <v>0</v>
      </c>
      <c r="H1052">
        <v>0</v>
      </c>
      <c r="I1052">
        <v>0</v>
      </c>
      <c r="J1052">
        <v>0</v>
      </c>
      <c r="K1052">
        <v>19423</v>
      </c>
      <c r="L1052">
        <v>14425595.300000001</v>
      </c>
      <c r="M1052">
        <v>14406172.300000001</v>
      </c>
      <c r="N1052">
        <v>14425595.300000001</v>
      </c>
      <c r="O1052">
        <v>14406172.300000001</v>
      </c>
      <c r="P1052">
        <v>14425595.300000001</v>
      </c>
      <c r="Q1052">
        <v>14406172.300000001</v>
      </c>
      <c r="R1052" s="14">
        <f>_xlfn.XLOOKUP(Table2[[#This Row],[LoanID]],Table1[G-L ID],Table1[ManagerCode],-99)</f>
        <v>183</v>
      </c>
      <c r="T1052"/>
    </row>
    <row r="1053" spans="1:20" x14ac:dyDescent="0.25">
      <c r="A1053">
        <v>20120131</v>
      </c>
      <c r="B1053">
        <v>2012</v>
      </c>
      <c r="C1053">
        <v>1</v>
      </c>
      <c r="D1053">
        <v>1</v>
      </c>
      <c r="E1053">
        <v>10370</v>
      </c>
      <c r="F1053">
        <v>5153.0600000000004</v>
      </c>
      <c r="G1053">
        <v>0</v>
      </c>
      <c r="H1053">
        <v>0</v>
      </c>
      <c r="I1053">
        <v>-0.01</v>
      </c>
      <c r="J1053">
        <v>0</v>
      </c>
      <c r="K1053">
        <v>35841.56</v>
      </c>
      <c r="L1053">
        <v>2627207</v>
      </c>
      <c r="M1053">
        <v>2594949.9</v>
      </c>
      <c r="N1053">
        <v>2627207</v>
      </c>
      <c r="O1053">
        <v>2594949.9</v>
      </c>
      <c r="P1053">
        <v>2919119.22</v>
      </c>
      <c r="Q1053">
        <v>2883277.66</v>
      </c>
      <c r="R1053" s="14">
        <f>_xlfn.XLOOKUP(Table2[[#This Row],[LoanID]],Table1[G-L ID],Table1[ManagerCode],-99)</f>
        <v>103</v>
      </c>
      <c r="T1053"/>
    </row>
    <row r="1054" spans="1:20" x14ac:dyDescent="0.25">
      <c r="A1054">
        <v>20120131</v>
      </c>
      <c r="B1054">
        <v>2012</v>
      </c>
      <c r="C1054">
        <v>1</v>
      </c>
      <c r="D1054">
        <v>1</v>
      </c>
      <c r="E1054">
        <v>10390</v>
      </c>
      <c r="F1054">
        <v>118750</v>
      </c>
      <c r="G1054">
        <v>0</v>
      </c>
      <c r="H1054">
        <v>0</v>
      </c>
      <c r="I1054">
        <v>0</v>
      </c>
      <c r="J1054">
        <v>0</v>
      </c>
      <c r="K1054">
        <v>0</v>
      </c>
      <c r="L1054">
        <v>22500000</v>
      </c>
      <c r="M1054">
        <v>22500000</v>
      </c>
      <c r="N1054">
        <v>22500000</v>
      </c>
      <c r="O1054">
        <v>22500000</v>
      </c>
      <c r="P1054">
        <v>24994285.620000001</v>
      </c>
      <c r="Q1054">
        <v>24994489.710000001</v>
      </c>
      <c r="R1054" s="14">
        <f>_xlfn.XLOOKUP(Table2[[#This Row],[LoanID]],Table1[G-L ID],Table1[ManagerCode],-99)</f>
        <v>103</v>
      </c>
      <c r="T1054"/>
    </row>
    <row r="1055" spans="1:20" x14ac:dyDescent="0.25">
      <c r="A1055">
        <v>20120131</v>
      </c>
      <c r="B1055">
        <v>2012</v>
      </c>
      <c r="C1055">
        <v>1</v>
      </c>
      <c r="D1055">
        <v>1</v>
      </c>
      <c r="E1055">
        <v>10450</v>
      </c>
      <c r="F1055">
        <v>119171.49</v>
      </c>
      <c r="G1055">
        <v>0</v>
      </c>
      <c r="H1055">
        <v>0</v>
      </c>
      <c r="I1055">
        <v>0</v>
      </c>
      <c r="J1055">
        <v>0</v>
      </c>
      <c r="K1055">
        <v>22643.759999999998</v>
      </c>
      <c r="L1055">
        <v>21162292</v>
      </c>
      <c r="M1055">
        <v>21139874.399999999</v>
      </c>
      <c r="N1055">
        <v>21162292</v>
      </c>
      <c r="O1055">
        <v>21139874.399999999</v>
      </c>
      <c r="P1055">
        <v>21376052.239999998</v>
      </c>
      <c r="Q1055">
        <v>21353408.48</v>
      </c>
      <c r="R1055" s="14">
        <f>_xlfn.XLOOKUP(Table2[[#This Row],[LoanID]],Table1[G-L ID],Table1[ManagerCode],-99)</f>
        <v>103</v>
      </c>
      <c r="T1055"/>
    </row>
    <row r="1056" spans="1:20" x14ac:dyDescent="0.25">
      <c r="A1056">
        <v>20120131</v>
      </c>
      <c r="B1056">
        <v>2012</v>
      </c>
      <c r="C1056">
        <v>1</v>
      </c>
      <c r="D1056">
        <v>1</v>
      </c>
      <c r="E1056">
        <v>10490</v>
      </c>
      <c r="F1056">
        <v>0</v>
      </c>
      <c r="G1056">
        <v>0</v>
      </c>
      <c r="H1056">
        <v>0</v>
      </c>
      <c r="I1056">
        <v>0</v>
      </c>
      <c r="J1056">
        <v>0</v>
      </c>
      <c r="K1056">
        <v>0</v>
      </c>
      <c r="L1056">
        <v>25000000</v>
      </c>
      <c r="M1056">
        <v>25000000</v>
      </c>
      <c r="N1056">
        <v>25000000</v>
      </c>
      <c r="O1056">
        <v>25000000</v>
      </c>
      <c r="P1056">
        <v>25000000</v>
      </c>
      <c r="Q1056">
        <v>25000000</v>
      </c>
      <c r="R1056" s="14">
        <f>_xlfn.XLOOKUP(Table2[[#This Row],[LoanID]],Table1[G-L ID],Table1[ManagerCode],-99)</f>
        <v>220</v>
      </c>
      <c r="T1056"/>
    </row>
    <row r="1057" spans="1:20" x14ac:dyDescent="0.25">
      <c r="A1057">
        <v>20120131</v>
      </c>
      <c r="B1057">
        <v>2012</v>
      </c>
      <c r="C1057">
        <v>1</v>
      </c>
      <c r="D1057">
        <v>1</v>
      </c>
      <c r="E1057">
        <v>10550</v>
      </c>
      <c r="F1057">
        <v>21407.52</v>
      </c>
      <c r="G1057">
        <v>0</v>
      </c>
      <c r="H1057">
        <v>0</v>
      </c>
      <c r="I1057">
        <v>-12.18</v>
      </c>
      <c r="J1057">
        <v>0</v>
      </c>
      <c r="K1057">
        <v>0</v>
      </c>
      <c r="L1057">
        <v>3999634</v>
      </c>
      <c r="M1057">
        <v>3999633.92</v>
      </c>
      <c r="N1057">
        <v>3999634</v>
      </c>
      <c r="O1057">
        <v>3999633.92</v>
      </c>
      <c r="P1057">
        <v>4028250.84</v>
      </c>
      <c r="Q1057">
        <v>4040034.26</v>
      </c>
      <c r="R1057" s="14">
        <f>_xlfn.XLOOKUP(Table2[[#This Row],[LoanID]],Table1[G-L ID],Table1[ManagerCode],-99)</f>
        <v>103</v>
      </c>
      <c r="T1057"/>
    </row>
    <row r="1058" spans="1:20" x14ac:dyDescent="0.25">
      <c r="A1058">
        <v>20120131</v>
      </c>
      <c r="B1058">
        <v>2012</v>
      </c>
      <c r="C1058">
        <v>1</v>
      </c>
      <c r="D1058">
        <v>1</v>
      </c>
      <c r="E1058">
        <v>10560</v>
      </c>
      <c r="F1058">
        <v>528052.27</v>
      </c>
      <c r="G1058">
        <v>0</v>
      </c>
      <c r="H1058">
        <v>0</v>
      </c>
      <c r="I1058">
        <v>-300.35000000000002</v>
      </c>
      <c r="J1058">
        <v>0</v>
      </c>
      <c r="K1058">
        <v>0</v>
      </c>
      <c r="L1058">
        <v>98657637</v>
      </c>
      <c r="M1058">
        <v>98657636.510000005</v>
      </c>
      <c r="N1058">
        <v>98657637</v>
      </c>
      <c r="O1058">
        <v>98657636.510000005</v>
      </c>
      <c r="P1058">
        <v>99654178</v>
      </c>
      <c r="Q1058">
        <v>99654178</v>
      </c>
      <c r="R1058" s="14">
        <f>_xlfn.XLOOKUP(Table2[[#This Row],[LoanID]],Table1[G-L ID],Table1[ManagerCode],-99)</f>
        <v>103</v>
      </c>
      <c r="T1058"/>
    </row>
    <row r="1059" spans="1:20" x14ac:dyDescent="0.25">
      <c r="A1059">
        <v>20120131</v>
      </c>
      <c r="B1059">
        <v>2012</v>
      </c>
      <c r="C1059">
        <v>1</v>
      </c>
      <c r="D1059">
        <v>1</v>
      </c>
      <c r="E1059">
        <v>10630</v>
      </c>
      <c r="F1059">
        <v>48971.11</v>
      </c>
      <c r="G1059">
        <v>0</v>
      </c>
      <c r="H1059">
        <v>0</v>
      </c>
      <c r="I1059">
        <v>0</v>
      </c>
      <c r="J1059">
        <v>0</v>
      </c>
      <c r="K1059">
        <v>13644.97</v>
      </c>
      <c r="L1059">
        <v>9597718</v>
      </c>
      <c r="M1059">
        <v>9573400.4600000009</v>
      </c>
      <c r="N1059">
        <v>9597718</v>
      </c>
      <c r="O1059">
        <v>9573400.4600000009</v>
      </c>
      <c r="P1059">
        <v>9167758.1899999995</v>
      </c>
      <c r="Q1059">
        <v>9154113.2200000007</v>
      </c>
      <c r="R1059" s="14">
        <f>_xlfn.XLOOKUP(Table2[[#This Row],[LoanID]],Table1[G-L ID],Table1[ManagerCode],-99)</f>
        <v>103</v>
      </c>
      <c r="T1059"/>
    </row>
    <row r="1060" spans="1:20" x14ac:dyDescent="0.25">
      <c r="A1060">
        <v>20120131</v>
      </c>
      <c r="B1060">
        <v>2012</v>
      </c>
      <c r="C1060">
        <v>1</v>
      </c>
      <c r="D1060">
        <v>1</v>
      </c>
      <c r="E1060">
        <v>10770</v>
      </c>
      <c r="F1060">
        <v>297083.33</v>
      </c>
      <c r="G1060">
        <v>0</v>
      </c>
      <c r="H1060">
        <v>0</v>
      </c>
      <c r="I1060">
        <v>0</v>
      </c>
      <c r="J1060">
        <v>0</v>
      </c>
      <c r="K1060">
        <v>0</v>
      </c>
      <c r="L1060">
        <v>107158590</v>
      </c>
      <c r="M1060">
        <v>107999177.5</v>
      </c>
      <c r="N1060">
        <v>107158590</v>
      </c>
      <c r="O1060">
        <v>107999177.5</v>
      </c>
      <c r="P1060">
        <v>115000000</v>
      </c>
      <c r="Q1060">
        <v>115000000</v>
      </c>
      <c r="R1060" s="14">
        <f>_xlfn.XLOOKUP(Table2[[#This Row],[LoanID]],Table1[G-L ID],Table1[ManagerCode],-99)</f>
        <v>103</v>
      </c>
      <c r="T1060"/>
    </row>
    <row r="1061" spans="1:20" x14ac:dyDescent="0.25">
      <c r="A1061">
        <v>20120131</v>
      </c>
      <c r="B1061">
        <v>2012</v>
      </c>
      <c r="C1061">
        <v>1</v>
      </c>
      <c r="D1061">
        <v>1</v>
      </c>
      <c r="E1061">
        <v>10880</v>
      </c>
      <c r="F1061">
        <v>0</v>
      </c>
      <c r="G1061">
        <v>0</v>
      </c>
      <c r="H1061">
        <v>0</v>
      </c>
      <c r="I1061">
        <v>0</v>
      </c>
      <c r="J1061">
        <v>0</v>
      </c>
      <c r="K1061">
        <v>0</v>
      </c>
      <c r="L1061">
        <v>194064689</v>
      </c>
      <c r="M1061">
        <v>194735966.19999999</v>
      </c>
      <c r="N1061">
        <v>194064689</v>
      </c>
      <c r="O1061">
        <v>194735966.19999999</v>
      </c>
      <c r="P1061">
        <v>201744599.09999999</v>
      </c>
      <c r="Q1061">
        <v>201744599.09999999</v>
      </c>
      <c r="R1061" s="14">
        <f>_xlfn.XLOOKUP(Table2[[#This Row],[LoanID]],Table1[G-L ID],Table1[ManagerCode],-99)</f>
        <v>103</v>
      </c>
      <c r="T1061"/>
    </row>
    <row r="1062" spans="1:20" x14ac:dyDescent="0.25">
      <c r="A1062">
        <v>20120131</v>
      </c>
      <c r="B1062">
        <v>2012</v>
      </c>
      <c r="C1062">
        <v>1</v>
      </c>
      <c r="D1062">
        <v>1</v>
      </c>
      <c r="E1062">
        <v>10900</v>
      </c>
      <c r="F1062">
        <v>0</v>
      </c>
      <c r="G1062">
        <v>0</v>
      </c>
      <c r="H1062">
        <v>0</v>
      </c>
      <c r="I1062">
        <v>0</v>
      </c>
      <c r="J1062">
        <v>0</v>
      </c>
      <c r="K1062">
        <v>0</v>
      </c>
      <c r="L1062">
        <v>8205099</v>
      </c>
      <c r="M1062">
        <v>8205098.7800000003</v>
      </c>
      <c r="N1062">
        <v>8205099</v>
      </c>
      <c r="O1062">
        <v>8205098.7800000003</v>
      </c>
      <c r="P1062">
        <v>8636946.0500000007</v>
      </c>
      <c r="Q1062">
        <v>8636946.0500000007</v>
      </c>
      <c r="R1062" s="14">
        <f>_xlfn.XLOOKUP(Table2[[#This Row],[LoanID]],Table1[G-L ID],Table1[ManagerCode],-99)</f>
        <v>103</v>
      </c>
      <c r="T1062"/>
    </row>
    <row r="1063" spans="1:20" x14ac:dyDescent="0.25">
      <c r="A1063">
        <v>20120131</v>
      </c>
      <c r="B1063">
        <v>2012</v>
      </c>
      <c r="C1063">
        <v>1</v>
      </c>
      <c r="D1063">
        <v>1</v>
      </c>
      <c r="E1063">
        <v>10950</v>
      </c>
      <c r="F1063">
        <v>53335.14</v>
      </c>
      <c r="G1063">
        <v>0</v>
      </c>
      <c r="H1063">
        <v>0</v>
      </c>
      <c r="I1063">
        <v>0</v>
      </c>
      <c r="J1063">
        <v>0</v>
      </c>
      <c r="K1063">
        <v>23687.88</v>
      </c>
      <c r="L1063">
        <v>10631233</v>
      </c>
      <c r="M1063">
        <v>10607781.85</v>
      </c>
      <c r="N1063">
        <v>10631233</v>
      </c>
      <c r="O1063">
        <v>10607781.85</v>
      </c>
      <c r="P1063">
        <v>10738619.050000001</v>
      </c>
      <c r="Q1063">
        <v>10714931.17</v>
      </c>
      <c r="R1063" s="14">
        <f>_xlfn.XLOOKUP(Table2[[#This Row],[LoanID]],Table1[G-L ID],Table1[ManagerCode],-99)</f>
        <v>103</v>
      </c>
      <c r="T1063"/>
    </row>
    <row r="1064" spans="1:20" x14ac:dyDescent="0.25">
      <c r="A1064">
        <v>20120131</v>
      </c>
      <c r="B1064">
        <v>2012</v>
      </c>
      <c r="C1064">
        <v>1</v>
      </c>
      <c r="D1064">
        <v>1</v>
      </c>
      <c r="E1064">
        <v>10980</v>
      </c>
      <c r="F1064">
        <v>35639.47</v>
      </c>
      <c r="G1064">
        <v>7855.01</v>
      </c>
      <c r="H1064">
        <v>0</v>
      </c>
      <c r="I1064">
        <v>0</v>
      </c>
      <c r="J1064">
        <v>-440644.64</v>
      </c>
      <c r="K1064">
        <v>0</v>
      </c>
      <c r="L1064">
        <v>3577532.21</v>
      </c>
      <c r="M1064">
        <v>4026031.86</v>
      </c>
      <c r="N1064">
        <v>3577532.21</v>
      </c>
      <c r="O1064">
        <v>4026031.86</v>
      </c>
      <c r="P1064">
        <v>3577532.21</v>
      </c>
      <c r="Q1064">
        <v>4026031.86</v>
      </c>
      <c r="R1064" s="14">
        <f>_xlfn.XLOOKUP(Table2[[#This Row],[LoanID]],Table1[G-L ID],Table1[ManagerCode],-99)</f>
        <v>183</v>
      </c>
      <c r="T1064"/>
    </row>
    <row r="1065" spans="1:20" x14ac:dyDescent="0.25">
      <c r="A1065">
        <v>20120131</v>
      </c>
      <c r="B1065">
        <v>2012</v>
      </c>
      <c r="C1065">
        <v>1</v>
      </c>
      <c r="D1065">
        <v>1</v>
      </c>
      <c r="E1065">
        <v>11110</v>
      </c>
      <c r="F1065">
        <v>64205.72</v>
      </c>
      <c r="G1065">
        <v>0</v>
      </c>
      <c r="H1065">
        <v>0</v>
      </c>
      <c r="I1065">
        <v>0</v>
      </c>
      <c r="J1065">
        <v>-1649672.54</v>
      </c>
      <c r="K1065">
        <v>0</v>
      </c>
      <c r="L1065">
        <v>6760261.3399999999</v>
      </c>
      <c r="M1065">
        <v>8409933.8800000008</v>
      </c>
      <c r="N1065">
        <v>6760261.3399999999</v>
      </c>
      <c r="O1065">
        <v>8409933.8800000008</v>
      </c>
      <c r="P1065">
        <v>6760261.3399999999</v>
      </c>
      <c r="Q1065">
        <v>8409933.8800000008</v>
      </c>
      <c r="R1065" s="14">
        <f>_xlfn.XLOOKUP(Table2[[#This Row],[LoanID]],Table1[G-L ID],Table1[ManagerCode],-99)</f>
        <v>183</v>
      </c>
      <c r="T1065"/>
    </row>
    <row r="1066" spans="1:20" x14ac:dyDescent="0.25">
      <c r="A1066">
        <v>20120131</v>
      </c>
      <c r="B1066">
        <v>2012</v>
      </c>
      <c r="C1066">
        <v>1</v>
      </c>
      <c r="D1066">
        <v>1</v>
      </c>
      <c r="E1066">
        <v>11180</v>
      </c>
      <c r="F1066">
        <v>219895.7</v>
      </c>
      <c r="G1066">
        <v>0</v>
      </c>
      <c r="H1066">
        <v>0</v>
      </c>
      <c r="I1066">
        <v>-1721.97</v>
      </c>
      <c r="J1066">
        <v>0</v>
      </c>
      <c r="K1066">
        <v>0</v>
      </c>
      <c r="L1066">
        <v>178846150</v>
      </c>
      <c r="M1066">
        <v>179973748.30000001</v>
      </c>
      <c r="N1066">
        <v>178846150</v>
      </c>
      <c r="O1066">
        <v>179973748.30000001</v>
      </c>
      <c r="P1066">
        <v>199970831.5</v>
      </c>
      <c r="Q1066">
        <v>199970831.5</v>
      </c>
      <c r="R1066" s="14">
        <f>_xlfn.XLOOKUP(Table2[[#This Row],[LoanID]],Table1[G-L ID],Table1[ManagerCode],-99)</f>
        <v>103</v>
      </c>
      <c r="T1066"/>
    </row>
    <row r="1067" spans="1:20" x14ac:dyDescent="0.25">
      <c r="A1067">
        <v>20120131</v>
      </c>
      <c r="B1067">
        <v>2012</v>
      </c>
      <c r="C1067">
        <v>1</v>
      </c>
      <c r="D1067">
        <v>1</v>
      </c>
      <c r="E1067">
        <v>11200</v>
      </c>
      <c r="F1067">
        <v>69880</v>
      </c>
      <c r="G1067">
        <v>0</v>
      </c>
      <c r="H1067">
        <v>0</v>
      </c>
      <c r="I1067">
        <v>0</v>
      </c>
      <c r="J1067">
        <v>0</v>
      </c>
      <c r="K1067">
        <v>0</v>
      </c>
      <c r="L1067">
        <v>12377578</v>
      </c>
      <c r="M1067">
        <v>12524730.49</v>
      </c>
      <c r="N1067">
        <v>12377578</v>
      </c>
      <c r="O1067">
        <v>12524730.49</v>
      </c>
      <c r="P1067">
        <v>13976000</v>
      </c>
      <c r="Q1067">
        <v>13976000</v>
      </c>
      <c r="R1067" s="14">
        <f>_xlfn.XLOOKUP(Table2[[#This Row],[LoanID]],Table1[G-L ID],Table1[ManagerCode],-99)</f>
        <v>103</v>
      </c>
      <c r="T1067"/>
    </row>
    <row r="1068" spans="1:20" x14ac:dyDescent="0.25">
      <c r="A1068">
        <v>20120131</v>
      </c>
      <c r="B1068">
        <v>2012</v>
      </c>
      <c r="C1068">
        <v>1</v>
      </c>
      <c r="D1068">
        <v>1</v>
      </c>
      <c r="E1068">
        <v>11240</v>
      </c>
      <c r="F1068">
        <v>260009.05</v>
      </c>
      <c r="G1068">
        <v>0</v>
      </c>
      <c r="H1068">
        <v>0</v>
      </c>
      <c r="I1068">
        <v>0</v>
      </c>
      <c r="J1068">
        <v>0</v>
      </c>
      <c r="K1068">
        <v>0</v>
      </c>
      <c r="L1068">
        <v>185183145</v>
      </c>
      <c r="M1068">
        <v>185183145.30000001</v>
      </c>
      <c r="N1068">
        <v>185183145</v>
      </c>
      <c r="O1068">
        <v>185183145.30000001</v>
      </c>
      <c r="P1068">
        <v>194929626.59999999</v>
      </c>
      <c r="Q1068">
        <v>194929626.59999999</v>
      </c>
      <c r="R1068" s="14">
        <f>_xlfn.XLOOKUP(Table2[[#This Row],[LoanID]],Table1[G-L ID],Table1[ManagerCode],-99)</f>
        <v>103</v>
      </c>
      <c r="T1068"/>
    </row>
    <row r="1069" spans="1:20" x14ac:dyDescent="0.25">
      <c r="A1069">
        <v>20120131</v>
      </c>
      <c r="B1069">
        <v>2012</v>
      </c>
      <c r="C1069">
        <v>1</v>
      </c>
      <c r="D1069">
        <v>1</v>
      </c>
      <c r="E1069">
        <v>11280</v>
      </c>
      <c r="F1069">
        <v>24741.119999999999</v>
      </c>
      <c r="G1069">
        <v>0</v>
      </c>
      <c r="H1069">
        <v>0</v>
      </c>
      <c r="I1069">
        <v>-156.59</v>
      </c>
      <c r="J1069">
        <v>0</v>
      </c>
      <c r="K1069">
        <v>0</v>
      </c>
      <c r="L1069">
        <v>18507396</v>
      </c>
      <c r="M1069">
        <v>18566793.52</v>
      </c>
      <c r="N1069">
        <v>18507396</v>
      </c>
      <c r="O1069">
        <v>18566793.52</v>
      </c>
      <c r="P1069">
        <v>18791123.030000001</v>
      </c>
      <c r="Q1069">
        <v>18791123.030000001</v>
      </c>
      <c r="R1069" s="14">
        <f>_xlfn.XLOOKUP(Table2[[#This Row],[LoanID]],Table1[G-L ID],Table1[ManagerCode],-99)</f>
        <v>103</v>
      </c>
      <c r="T1069"/>
    </row>
    <row r="1070" spans="1:20" x14ac:dyDescent="0.25">
      <c r="A1070">
        <v>20120131</v>
      </c>
      <c r="B1070">
        <v>2012</v>
      </c>
      <c r="C1070">
        <v>1</v>
      </c>
      <c r="D1070">
        <v>1</v>
      </c>
      <c r="E1070">
        <v>11300</v>
      </c>
      <c r="F1070">
        <v>22267.01</v>
      </c>
      <c r="G1070">
        <v>0</v>
      </c>
      <c r="H1070">
        <v>0</v>
      </c>
      <c r="I1070">
        <v>-140.93</v>
      </c>
      <c r="J1070">
        <v>0</v>
      </c>
      <c r="K1070">
        <v>0</v>
      </c>
      <c r="L1070">
        <v>16656657</v>
      </c>
      <c r="M1070">
        <v>16710114.189999999</v>
      </c>
      <c r="N1070">
        <v>16656657</v>
      </c>
      <c r="O1070">
        <v>16710114.189999999</v>
      </c>
      <c r="P1070">
        <v>16912010.73</v>
      </c>
      <c r="Q1070">
        <v>16912010.73</v>
      </c>
      <c r="R1070" s="14">
        <f>_xlfn.XLOOKUP(Table2[[#This Row],[LoanID]],Table1[G-L ID],Table1[ManagerCode],-99)</f>
        <v>103</v>
      </c>
      <c r="T1070"/>
    </row>
    <row r="1071" spans="1:20" x14ac:dyDescent="0.25">
      <c r="A1071">
        <v>20120131</v>
      </c>
      <c r="B1071">
        <v>2012</v>
      </c>
      <c r="C1071">
        <v>1</v>
      </c>
      <c r="D1071">
        <v>1</v>
      </c>
      <c r="E1071">
        <v>11310</v>
      </c>
      <c r="F1071">
        <v>14844.67</v>
      </c>
      <c r="G1071">
        <v>0</v>
      </c>
      <c r="H1071">
        <v>0</v>
      </c>
      <c r="I1071">
        <v>-93.96</v>
      </c>
      <c r="J1071">
        <v>0</v>
      </c>
      <c r="K1071">
        <v>0</v>
      </c>
      <c r="L1071">
        <v>11106801</v>
      </c>
      <c r="M1071">
        <v>11141984.74</v>
      </c>
      <c r="N1071">
        <v>11106801</v>
      </c>
      <c r="O1071">
        <v>11141984.74</v>
      </c>
      <c r="P1071">
        <v>11274673.789999999</v>
      </c>
      <c r="Q1071">
        <v>11274673.789999999</v>
      </c>
      <c r="R1071" s="14">
        <f>_xlfn.XLOOKUP(Table2[[#This Row],[LoanID]],Table1[G-L ID],Table1[ManagerCode],-99)</f>
        <v>103</v>
      </c>
      <c r="T1071"/>
    </row>
    <row r="1072" spans="1:20" x14ac:dyDescent="0.25">
      <c r="A1072">
        <v>20120131</v>
      </c>
      <c r="B1072">
        <v>2012</v>
      </c>
      <c r="C1072">
        <v>1</v>
      </c>
      <c r="D1072">
        <v>1</v>
      </c>
      <c r="E1072">
        <v>11380</v>
      </c>
      <c r="F1072">
        <v>34251.15</v>
      </c>
      <c r="G1072">
        <v>0</v>
      </c>
      <c r="H1072">
        <v>0</v>
      </c>
      <c r="I1072">
        <v>0.01</v>
      </c>
      <c r="J1072">
        <v>0</v>
      </c>
      <c r="K1072">
        <v>56448.84</v>
      </c>
      <c r="L1072">
        <v>5852836</v>
      </c>
      <c r="M1072">
        <v>5798565.5300000003</v>
      </c>
      <c r="N1072">
        <v>5852836</v>
      </c>
      <c r="O1072">
        <v>5798565.5300000003</v>
      </c>
      <c r="P1072">
        <v>5183024.8899999997</v>
      </c>
      <c r="Q1072">
        <v>5126576.05</v>
      </c>
      <c r="R1072" s="14">
        <f>_xlfn.XLOOKUP(Table2[[#This Row],[LoanID]],Table1[G-L ID],Table1[ManagerCode],-99)</f>
        <v>103</v>
      </c>
      <c r="T1072"/>
    </row>
    <row r="1073" spans="1:20" x14ac:dyDescent="0.25">
      <c r="A1073">
        <v>20120131</v>
      </c>
      <c r="B1073">
        <v>2012</v>
      </c>
      <c r="C1073">
        <v>1</v>
      </c>
      <c r="D1073">
        <v>1</v>
      </c>
      <c r="E1073">
        <v>11630</v>
      </c>
      <c r="F1073">
        <v>70601.83</v>
      </c>
      <c r="G1073">
        <v>31302.49</v>
      </c>
      <c r="H1073">
        <v>0</v>
      </c>
      <c r="I1073">
        <v>0</v>
      </c>
      <c r="J1073">
        <v>-862876.69</v>
      </c>
      <c r="K1073">
        <v>0</v>
      </c>
      <c r="L1073">
        <v>9790123.4399999995</v>
      </c>
      <c r="M1073">
        <v>10684302.619999999</v>
      </c>
      <c r="N1073">
        <v>9790123.4399999995</v>
      </c>
      <c r="O1073">
        <v>10684302.619999999</v>
      </c>
      <c r="P1073">
        <v>9790123.4399999995</v>
      </c>
      <c r="Q1073">
        <v>10684302.619999999</v>
      </c>
      <c r="R1073" s="14">
        <f>_xlfn.XLOOKUP(Table2[[#This Row],[LoanID]],Table1[G-L ID],Table1[ManagerCode],-99)</f>
        <v>183</v>
      </c>
      <c r="T1073"/>
    </row>
    <row r="1074" spans="1:20" x14ac:dyDescent="0.25">
      <c r="A1074">
        <v>20120131</v>
      </c>
      <c r="B1074">
        <v>2012</v>
      </c>
      <c r="C1074">
        <v>1</v>
      </c>
      <c r="D1074">
        <v>1</v>
      </c>
      <c r="E1074">
        <v>11650</v>
      </c>
      <c r="F1074">
        <v>75000</v>
      </c>
      <c r="G1074">
        <v>0</v>
      </c>
      <c r="H1074">
        <v>0</v>
      </c>
      <c r="I1074">
        <v>0</v>
      </c>
      <c r="J1074">
        <v>0</v>
      </c>
      <c r="K1074">
        <v>0</v>
      </c>
      <c r="L1074">
        <v>9600000</v>
      </c>
      <c r="M1074">
        <v>9600000</v>
      </c>
      <c r="N1074">
        <v>9600000</v>
      </c>
      <c r="O1074">
        <v>9600000</v>
      </c>
      <c r="P1074">
        <v>12000000</v>
      </c>
      <c r="Q1074">
        <v>12000000</v>
      </c>
      <c r="R1074" s="14">
        <f>_xlfn.XLOOKUP(Table2[[#This Row],[LoanID]],Table1[G-L ID],Table1[ManagerCode],-99)</f>
        <v>103</v>
      </c>
      <c r="T1074"/>
    </row>
    <row r="1075" spans="1:20" x14ac:dyDescent="0.25">
      <c r="A1075">
        <v>20120131</v>
      </c>
      <c r="B1075">
        <v>2012</v>
      </c>
      <c r="C1075">
        <v>1</v>
      </c>
      <c r="D1075">
        <v>1</v>
      </c>
      <c r="E1075">
        <v>11780</v>
      </c>
      <c r="F1075">
        <v>186461.15</v>
      </c>
      <c r="G1075">
        <v>0</v>
      </c>
      <c r="H1075">
        <v>0</v>
      </c>
      <c r="I1075">
        <v>-1125.8</v>
      </c>
      <c r="J1075">
        <v>0</v>
      </c>
      <c r="K1075">
        <v>137248.69</v>
      </c>
      <c r="L1075">
        <v>27603780</v>
      </c>
      <c r="M1075">
        <v>27466531.309999999</v>
      </c>
      <c r="N1075">
        <v>27603780</v>
      </c>
      <c r="O1075">
        <v>27466531.309999999</v>
      </c>
      <c r="P1075">
        <v>65369215.609999999</v>
      </c>
      <c r="Q1075">
        <v>65231966.770000003</v>
      </c>
      <c r="R1075" s="14">
        <f>_xlfn.XLOOKUP(Table2[[#This Row],[LoanID]],Table1[G-L ID],Table1[ManagerCode],-99)</f>
        <v>103</v>
      </c>
      <c r="T1075"/>
    </row>
    <row r="1076" spans="1:20" x14ac:dyDescent="0.25">
      <c r="A1076">
        <v>20120131</v>
      </c>
      <c r="B1076">
        <v>2012</v>
      </c>
      <c r="C1076">
        <v>1</v>
      </c>
      <c r="D1076">
        <v>1</v>
      </c>
      <c r="E1076">
        <v>11800</v>
      </c>
      <c r="F1076">
        <v>164687.15</v>
      </c>
      <c r="G1076">
        <v>0</v>
      </c>
      <c r="H1076">
        <v>0</v>
      </c>
      <c r="I1076">
        <v>-277.11</v>
      </c>
      <c r="J1076">
        <v>0</v>
      </c>
      <c r="K1076">
        <v>55540.72</v>
      </c>
      <c r="L1076">
        <v>28962612</v>
      </c>
      <c r="M1076">
        <v>28912625.170000002</v>
      </c>
      <c r="N1076">
        <v>28962612</v>
      </c>
      <c r="O1076">
        <v>28912625.170000002</v>
      </c>
      <c r="P1076">
        <v>32180647.68</v>
      </c>
      <c r="Q1076">
        <v>32125106.960000001</v>
      </c>
      <c r="R1076" s="14">
        <f>_xlfn.XLOOKUP(Table2[[#This Row],[LoanID]],Table1[G-L ID],Table1[ManagerCode],-99)</f>
        <v>103</v>
      </c>
      <c r="T1076"/>
    </row>
    <row r="1077" spans="1:20" x14ac:dyDescent="0.25">
      <c r="A1077">
        <v>20120131</v>
      </c>
      <c r="B1077">
        <v>2012</v>
      </c>
      <c r="C1077">
        <v>1</v>
      </c>
      <c r="D1077">
        <v>1</v>
      </c>
      <c r="E1077">
        <v>11810</v>
      </c>
      <c r="F1077">
        <v>51166.67</v>
      </c>
      <c r="G1077">
        <v>0</v>
      </c>
      <c r="H1077">
        <v>0</v>
      </c>
      <c r="I1077">
        <v>0</v>
      </c>
      <c r="J1077">
        <v>0</v>
      </c>
      <c r="K1077">
        <v>0</v>
      </c>
      <c r="L1077">
        <v>9871688</v>
      </c>
      <c r="M1077">
        <v>9900000</v>
      </c>
      <c r="N1077">
        <v>9871688</v>
      </c>
      <c r="O1077">
        <v>9900000</v>
      </c>
      <c r="P1077">
        <v>10000000</v>
      </c>
      <c r="Q1077">
        <v>10000000</v>
      </c>
      <c r="R1077" s="14">
        <f>_xlfn.XLOOKUP(Table2[[#This Row],[LoanID]],Table1[G-L ID],Table1[ManagerCode],-99)</f>
        <v>103</v>
      </c>
      <c r="T1077"/>
    </row>
    <row r="1078" spans="1:20" x14ac:dyDescent="0.25">
      <c r="A1078">
        <v>20120131</v>
      </c>
      <c r="B1078">
        <v>2012</v>
      </c>
      <c r="C1078">
        <v>1</v>
      </c>
      <c r="D1078">
        <v>1</v>
      </c>
      <c r="E1078">
        <v>12020</v>
      </c>
      <c r="F1078">
        <v>1815</v>
      </c>
      <c r="G1078">
        <v>14117.83</v>
      </c>
      <c r="H1078">
        <v>0</v>
      </c>
      <c r="I1078">
        <v>0</v>
      </c>
      <c r="J1078">
        <v>0</v>
      </c>
      <c r="K1078">
        <v>0</v>
      </c>
      <c r="L1078">
        <v>2051389.56</v>
      </c>
      <c r="M1078">
        <v>2065507.39</v>
      </c>
      <c r="N1078">
        <v>2051389.56</v>
      </c>
      <c r="O1078">
        <v>2065507.39</v>
      </c>
      <c r="P1078">
        <v>2051389.56</v>
      </c>
      <c r="Q1078">
        <v>2065507.39</v>
      </c>
      <c r="R1078" s="14">
        <f>_xlfn.XLOOKUP(Table2[[#This Row],[LoanID]],Table1[G-L ID],Table1[ManagerCode],-99)</f>
        <v>183</v>
      </c>
      <c r="T1078"/>
    </row>
    <row r="1079" spans="1:20" x14ac:dyDescent="0.25">
      <c r="A1079">
        <v>20120131</v>
      </c>
      <c r="B1079">
        <v>2012</v>
      </c>
      <c r="C1079">
        <v>1</v>
      </c>
      <c r="D1079">
        <v>1</v>
      </c>
      <c r="E1079">
        <v>12210</v>
      </c>
      <c r="F1079">
        <v>720723.22</v>
      </c>
      <c r="G1079">
        <v>0</v>
      </c>
      <c r="H1079">
        <v>0</v>
      </c>
      <c r="I1079">
        <v>0</v>
      </c>
      <c r="J1079">
        <v>0</v>
      </c>
      <c r="K1079">
        <v>182624.74</v>
      </c>
      <c r="L1079">
        <v>137744291</v>
      </c>
      <c r="M1079">
        <v>137971327.59999999</v>
      </c>
      <c r="N1079">
        <v>137744291</v>
      </c>
      <c r="O1079">
        <v>137971327.59999999</v>
      </c>
      <c r="P1079">
        <v>116614179.40000001</v>
      </c>
      <c r="Q1079">
        <v>116431554.59999999</v>
      </c>
      <c r="R1079" s="14">
        <f>_xlfn.XLOOKUP(Table2[[#This Row],[LoanID]],Table1[G-L ID],Table1[ManagerCode],-99)</f>
        <v>103</v>
      </c>
      <c r="T1079"/>
    </row>
    <row r="1080" spans="1:20" x14ac:dyDescent="0.25">
      <c r="A1080">
        <v>20120229</v>
      </c>
      <c r="B1080">
        <v>2012</v>
      </c>
      <c r="C1080">
        <v>2</v>
      </c>
      <c r="D1080">
        <v>1</v>
      </c>
      <c r="E1080">
        <v>10050</v>
      </c>
      <c r="F1080">
        <v>153981.01999999999</v>
      </c>
      <c r="G1080">
        <v>0</v>
      </c>
      <c r="H1080">
        <v>0</v>
      </c>
      <c r="I1080">
        <v>0</v>
      </c>
      <c r="J1080">
        <v>0</v>
      </c>
      <c r="K1080">
        <v>0</v>
      </c>
      <c r="L1080">
        <v>35913681.399999999</v>
      </c>
      <c r="M1080">
        <v>36418333.210000001</v>
      </c>
      <c r="N1080">
        <v>35913681.399999999</v>
      </c>
      <c r="O1080">
        <v>36418333.210000001</v>
      </c>
      <c r="P1080">
        <v>33333334</v>
      </c>
      <c r="Q1080">
        <v>33333334</v>
      </c>
      <c r="R1080" s="14">
        <f>_xlfn.XLOOKUP(Table2[[#This Row],[LoanID]],Table1[G-L ID],Table1[ManagerCode],-99)</f>
        <v>103</v>
      </c>
      <c r="T1080"/>
    </row>
    <row r="1081" spans="1:20" x14ac:dyDescent="0.25">
      <c r="A1081">
        <v>20120229</v>
      </c>
      <c r="B1081">
        <v>2012</v>
      </c>
      <c r="C1081">
        <v>2</v>
      </c>
      <c r="D1081">
        <v>1</v>
      </c>
      <c r="E1081">
        <v>10080</v>
      </c>
      <c r="F1081">
        <v>351042.71</v>
      </c>
      <c r="G1081">
        <v>0</v>
      </c>
      <c r="H1081">
        <v>0</v>
      </c>
      <c r="I1081">
        <v>-161.46</v>
      </c>
      <c r="J1081">
        <v>0</v>
      </c>
      <c r="K1081">
        <v>0</v>
      </c>
      <c r="L1081">
        <v>74249925.75</v>
      </c>
      <c r="M1081">
        <v>74244520.950000003</v>
      </c>
      <c r="N1081">
        <v>74249925.75</v>
      </c>
      <c r="O1081">
        <v>74244520.950000003</v>
      </c>
      <c r="P1081">
        <v>75000000</v>
      </c>
      <c r="Q1081">
        <v>75000000</v>
      </c>
      <c r="R1081" s="14">
        <f>_xlfn.XLOOKUP(Table2[[#This Row],[LoanID]],Table1[G-L ID],Table1[ManagerCode],-99)</f>
        <v>103</v>
      </c>
      <c r="T1081"/>
    </row>
    <row r="1082" spans="1:20" x14ac:dyDescent="0.25">
      <c r="A1082">
        <v>20120229</v>
      </c>
      <c r="B1082">
        <v>2012</v>
      </c>
      <c r="C1082">
        <v>2</v>
      </c>
      <c r="D1082">
        <v>1</v>
      </c>
      <c r="E1082">
        <v>10130</v>
      </c>
      <c r="F1082">
        <v>35553.699999999997</v>
      </c>
      <c r="G1082">
        <v>0</v>
      </c>
      <c r="H1082">
        <v>0</v>
      </c>
      <c r="I1082">
        <v>0</v>
      </c>
      <c r="J1082">
        <v>0</v>
      </c>
      <c r="K1082">
        <v>32136.99</v>
      </c>
      <c r="L1082">
        <v>8161908.79</v>
      </c>
      <c r="M1082">
        <v>8145665.3799999999</v>
      </c>
      <c r="N1082">
        <v>8161908.79</v>
      </c>
      <c r="O1082">
        <v>8145665.3799999999</v>
      </c>
      <c r="P1082">
        <v>7857170.9299999997</v>
      </c>
      <c r="Q1082">
        <v>7825033.9400000004</v>
      </c>
      <c r="R1082" s="14">
        <f>_xlfn.XLOOKUP(Table2[[#This Row],[LoanID]],Table1[G-L ID],Table1[ManagerCode],-99)</f>
        <v>103</v>
      </c>
      <c r="T1082"/>
    </row>
    <row r="1083" spans="1:20" x14ac:dyDescent="0.25">
      <c r="A1083">
        <v>20120229</v>
      </c>
      <c r="B1083">
        <v>2012</v>
      </c>
      <c r="C1083">
        <v>2</v>
      </c>
      <c r="D1083">
        <v>1</v>
      </c>
      <c r="E1083">
        <v>10140</v>
      </c>
      <c r="F1083">
        <v>93780.33</v>
      </c>
      <c r="G1083">
        <v>0</v>
      </c>
      <c r="H1083">
        <v>0</v>
      </c>
      <c r="I1083">
        <v>0</v>
      </c>
      <c r="J1083">
        <v>0</v>
      </c>
      <c r="K1083">
        <v>84044</v>
      </c>
      <c r="L1083">
        <v>21529048.16</v>
      </c>
      <c r="M1083">
        <v>21486958.559999999</v>
      </c>
      <c r="N1083">
        <v>21529048.16</v>
      </c>
      <c r="O1083">
        <v>21486958.559999999</v>
      </c>
      <c r="P1083">
        <v>20724933.710000001</v>
      </c>
      <c r="Q1083">
        <v>20640889.710000001</v>
      </c>
      <c r="R1083" s="14">
        <f>_xlfn.XLOOKUP(Table2[[#This Row],[LoanID]],Table1[G-L ID],Table1[ManagerCode],-99)</f>
        <v>103</v>
      </c>
      <c r="T1083"/>
    </row>
    <row r="1084" spans="1:20" x14ac:dyDescent="0.25">
      <c r="A1084">
        <v>20120229</v>
      </c>
      <c r="B1084">
        <v>2012</v>
      </c>
      <c r="C1084">
        <v>2</v>
      </c>
      <c r="D1084">
        <v>1</v>
      </c>
      <c r="E1084">
        <v>10150</v>
      </c>
      <c r="F1084">
        <v>241371.81</v>
      </c>
      <c r="G1084">
        <v>0</v>
      </c>
      <c r="H1084">
        <v>0</v>
      </c>
      <c r="I1084">
        <v>0</v>
      </c>
      <c r="J1084">
        <v>0</v>
      </c>
      <c r="K1084">
        <v>71948.19</v>
      </c>
      <c r="L1084">
        <v>51853578.030000001</v>
      </c>
      <c r="M1084">
        <v>51782349.189999998</v>
      </c>
      <c r="N1084">
        <v>51853578.030000001</v>
      </c>
      <c r="O1084">
        <v>51782349.189999998</v>
      </c>
      <c r="P1084">
        <v>52377246.789999999</v>
      </c>
      <c r="Q1084">
        <v>52305298.600000001</v>
      </c>
      <c r="R1084" s="14">
        <f>_xlfn.XLOOKUP(Table2[[#This Row],[LoanID]],Table1[G-L ID],Table1[ManagerCode],-99)</f>
        <v>103</v>
      </c>
      <c r="T1084"/>
    </row>
    <row r="1085" spans="1:20" x14ac:dyDescent="0.25">
      <c r="A1085">
        <v>20120229</v>
      </c>
      <c r="B1085">
        <v>2012</v>
      </c>
      <c r="C1085">
        <v>2</v>
      </c>
      <c r="D1085">
        <v>1</v>
      </c>
      <c r="E1085">
        <v>10170</v>
      </c>
      <c r="F1085">
        <v>248199.84</v>
      </c>
      <c r="G1085">
        <v>0</v>
      </c>
      <c r="H1085">
        <v>0</v>
      </c>
      <c r="I1085">
        <v>-1189.46</v>
      </c>
      <c r="J1085">
        <v>0</v>
      </c>
      <c r="K1085">
        <v>67429.17</v>
      </c>
      <c r="L1085">
        <v>49525484.859999999</v>
      </c>
      <c r="M1085">
        <v>49624963.43</v>
      </c>
      <c r="N1085">
        <v>49525484.859999999</v>
      </c>
      <c r="O1085">
        <v>49624963.43</v>
      </c>
      <c r="P1085">
        <v>46043462.719999999</v>
      </c>
      <c r="Q1085">
        <v>45976033.549999997</v>
      </c>
      <c r="R1085" s="14">
        <f>_xlfn.XLOOKUP(Table2[[#This Row],[LoanID]],Table1[G-L ID],Table1[ManagerCode],-99)</f>
        <v>103</v>
      </c>
      <c r="T1085"/>
    </row>
    <row r="1086" spans="1:20" x14ac:dyDescent="0.25">
      <c r="A1086">
        <v>20120229</v>
      </c>
      <c r="B1086">
        <v>2012</v>
      </c>
      <c r="C1086">
        <v>2</v>
      </c>
      <c r="D1086">
        <v>1</v>
      </c>
      <c r="E1086">
        <v>10210</v>
      </c>
      <c r="F1086">
        <v>8666.67</v>
      </c>
      <c r="G1086">
        <v>30162.5</v>
      </c>
      <c r="H1086">
        <v>0</v>
      </c>
      <c r="I1086">
        <v>0</v>
      </c>
      <c r="J1086">
        <v>0</v>
      </c>
      <c r="K1086">
        <v>0</v>
      </c>
      <c r="L1086">
        <v>4013000</v>
      </c>
      <c r="M1086">
        <v>4043162.5</v>
      </c>
      <c r="N1086">
        <v>4013000</v>
      </c>
      <c r="O1086">
        <v>4043162.5</v>
      </c>
      <c r="P1086">
        <v>4013000</v>
      </c>
      <c r="Q1086">
        <v>4043162.5</v>
      </c>
      <c r="R1086" s="14">
        <f>_xlfn.XLOOKUP(Table2[[#This Row],[LoanID]],Table1[G-L ID],Table1[ManagerCode],-99)</f>
        <v>183</v>
      </c>
      <c r="T1086"/>
    </row>
    <row r="1087" spans="1:20" x14ac:dyDescent="0.25">
      <c r="A1087">
        <v>20120229</v>
      </c>
      <c r="B1087">
        <v>2012</v>
      </c>
      <c r="C1087">
        <v>2</v>
      </c>
      <c r="D1087">
        <v>1</v>
      </c>
      <c r="E1087">
        <v>10230</v>
      </c>
      <c r="F1087">
        <v>182034.89</v>
      </c>
      <c r="G1087">
        <v>0</v>
      </c>
      <c r="H1087">
        <v>0</v>
      </c>
      <c r="I1087">
        <v>0</v>
      </c>
      <c r="J1087">
        <v>0</v>
      </c>
      <c r="K1087">
        <v>59563.18</v>
      </c>
      <c r="L1087">
        <v>27548307.5</v>
      </c>
      <c r="M1087">
        <v>27497678.800000001</v>
      </c>
      <c r="N1087">
        <v>27548307.5</v>
      </c>
      <c r="O1087">
        <v>27497678.800000001</v>
      </c>
      <c r="P1087">
        <v>32409773.550000001</v>
      </c>
      <c r="Q1087">
        <v>32350210.370000001</v>
      </c>
      <c r="R1087" s="14">
        <f>_xlfn.XLOOKUP(Table2[[#This Row],[LoanID]],Table1[G-L ID],Table1[ManagerCode],-99)</f>
        <v>103</v>
      </c>
      <c r="T1087"/>
    </row>
    <row r="1088" spans="1:20" x14ac:dyDescent="0.25">
      <c r="A1088">
        <v>20120229</v>
      </c>
      <c r="B1088">
        <v>2012</v>
      </c>
      <c r="C1088">
        <v>2</v>
      </c>
      <c r="D1088">
        <v>1</v>
      </c>
      <c r="E1088">
        <v>10280</v>
      </c>
      <c r="F1088">
        <v>181412</v>
      </c>
      <c r="G1088">
        <v>0</v>
      </c>
      <c r="H1088">
        <v>0</v>
      </c>
      <c r="I1088">
        <v>0.01</v>
      </c>
      <c r="J1088">
        <v>0</v>
      </c>
      <c r="K1088">
        <v>0</v>
      </c>
      <c r="L1088">
        <v>33250033.25</v>
      </c>
      <c r="M1088">
        <v>33250033.25</v>
      </c>
      <c r="N1088">
        <v>33250033.25</v>
      </c>
      <c r="O1088">
        <v>33250033.25</v>
      </c>
      <c r="P1088">
        <v>35000000</v>
      </c>
      <c r="Q1088">
        <v>35000000</v>
      </c>
      <c r="R1088" s="14">
        <f>_xlfn.XLOOKUP(Table2[[#This Row],[LoanID]],Table1[G-L ID],Table1[ManagerCode],-99)</f>
        <v>103</v>
      </c>
      <c r="T1088"/>
    </row>
    <row r="1089" spans="1:20" x14ac:dyDescent="0.25">
      <c r="A1089">
        <v>20120229</v>
      </c>
      <c r="B1089">
        <v>2012</v>
      </c>
      <c r="C1089">
        <v>2</v>
      </c>
      <c r="D1089">
        <v>1</v>
      </c>
      <c r="E1089">
        <v>10290</v>
      </c>
      <c r="F1089">
        <v>171300.83</v>
      </c>
      <c r="G1089">
        <v>0</v>
      </c>
      <c r="H1089">
        <v>0</v>
      </c>
      <c r="I1089">
        <v>0</v>
      </c>
      <c r="J1089">
        <v>0</v>
      </c>
      <c r="K1089">
        <v>0</v>
      </c>
      <c r="L1089">
        <v>22500000</v>
      </c>
      <c r="M1089">
        <v>22500000</v>
      </c>
      <c r="N1089">
        <v>22500000</v>
      </c>
      <c r="O1089">
        <v>22500000</v>
      </c>
      <c r="P1089">
        <v>25000000</v>
      </c>
      <c r="Q1089">
        <v>25000000</v>
      </c>
      <c r="R1089" s="14">
        <f>_xlfn.XLOOKUP(Table2[[#This Row],[LoanID]],Table1[G-L ID],Table1[ManagerCode],-99)</f>
        <v>103</v>
      </c>
      <c r="T1089"/>
    </row>
    <row r="1090" spans="1:20" x14ac:dyDescent="0.25">
      <c r="A1090">
        <v>20120229</v>
      </c>
      <c r="B1090">
        <v>2012</v>
      </c>
      <c r="C1090">
        <v>2</v>
      </c>
      <c r="D1090">
        <v>1</v>
      </c>
      <c r="E1090">
        <v>10300</v>
      </c>
      <c r="F1090">
        <v>149887.93</v>
      </c>
      <c r="G1090">
        <v>0</v>
      </c>
      <c r="H1090">
        <v>0</v>
      </c>
      <c r="I1090">
        <v>0</v>
      </c>
      <c r="J1090">
        <v>0</v>
      </c>
      <c r="K1090">
        <v>0</v>
      </c>
      <c r="L1090">
        <v>34026289.740000002</v>
      </c>
      <c r="M1090">
        <v>34754544.609999999</v>
      </c>
      <c r="N1090">
        <v>34026289.740000002</v>
      </c>
      <c r="O1090">
        <v>34754544.609999999</v>
      </c>
      <c r="P1090">
        <v>35000000</v>
      </c>
      <c r="Q1090">
        <v>35000000</v>
      </c>
      <c r="R1090" s="14">
        <f>_xlfn.XLOOKUP(Table2[[#This Row],[LoanID]],Table1[G-L ID],Table1[ManagerCode],-99)</f>
        <v>103</v>
      </c>
      <c r="T1090"/>
    </row>
    <row r="1091" spans="1:20" x14ac:dyDescent="0.25">
      <c r="A1091">
        <v>20120229</v>
      </c>
      <c r="B1091">
        <v>2012</v>
      </c>
      <c r="C1091">
        <v>2</v>
      </c>
      <c r="D1091">
        <v>1</v>
      </c>
      <c r="E1091">
        <v>10310</v>
      </c>
      <c r="F1091">
        <v>100576.89</v>
      </c>
      <c r="G1091">
        <v>0</v>
      </c>
      <c r="H1091">
        <v>0</v>
      </c>
      <c r="I1091">
        <v>0</v>
      </c>
      <c r="J1091">
        <v>0</v>
      </c>
      <c r="K1091">
        <v>15717</v>
      </c>
      <c r="L1091">
        <v>14406172.300000001</v>
      </c>
      <c r="M1091">
        <v>14390455.300000001</v>
      </c>
      <c r="N1091">
        <v>14406172.300000001</v>
      </c>
      <c r="O1091">
        <v>14390455.300000001</v>
      </c>
      <c r="P1091">
        <v>14406172.300000001</v>
      </c>
      <c r="Q1091">
        <v>14390455.300000001</v>
      </c>
      <c r="R1091" s="14">
        <f>_xlfn.XLOOKUP(Table2[[#This Row],[LoanID]],Table1[G-L ID],Table1[ManagerCode],-99)</f>
        <v>183</v>
      </c>
      <c r="T1091"/>
    </row>
    <row r="1092" spans="1:20" x14ac:dyDescent="0.25">
      <c r="A1092">
        <v>20120229</v>
      </c>
      <c r="B1092">
        <v>2012</v>
      </c>
      <c r="C1092">
        <v>2</v>
      </c>
      <c r="D1092">
        <v>1</v>
      </c>
      <c r="E1092">
        <v>10370</v>
      </c>
      <c r="F1092">
        <v>0</v>
      </c>
      <c r="G1092">
        <v>0</v>
      </c>
      <c r="H1092">
        <v>0</v>
      </c>
      <c r="I1092">
        <v>0</v>
      </c>
      <c r="J1092">
        <v>0</v>
      </c>
      <c r="K1092">
        <v>0</v>
      </c>
      <c r="L1092">
        <v>2594949.9</v>
      </c>
      <c r="M1092">
        <v>2594949.9</v>
      </c>
      <c r="N1092">
        <v>2594949.9</v>
      </c>
      <c r="O1092">
        <v>2594949.9</v>
      </c>
      <c r="P1092">
        <v>2883277.66</v>
      </c>
      <c r="Q1092">
        <v>2883277.66</v>
      </c>
      <c r="R1092" s="14">
        <f>_xlfn.XLOOKUP(Table2[[#This Row],[LoanID]],Table1[G-L ID],Table1[ManagerCode],-99)</f>
        <v>103</v>
      </c>
      <c r="T1092"/>
    </row>
    <row r="1093" spans="1:20" x14ac:dyDescent="0.25">
      <c r="A1093">
        <v>20120229</v>
      </c>
      <c r="B1093">
        <v>2012</v>
      </c>
      <c r="C1093">
        <v>2</v>
      </c>
      <c r="D1093">
        <v>1</v>
      </c>
      <c r="E1093">
        <v>10390</v>
      </c>
      <c r="F1093">
        <v>118750</v>
      </c>
      <c r="G1093">
        <v>0</v>
      </c>
      <c r="H1093">
        <v>0</v>
      </c>
      <c r="I1093">
        <v>0</v>
      </c>
      <c r="J1093">
        <v>0</v>
      </c>
      <c r="K1093">
        <v>0</v>
      </c>
      <c r="L1093">
        <v>22500000</v>
      </c>
      <c r="M1093">
        <v>22500000</v>
      </c>
      <c r="N1093">
        <v>22500000</v>
      </c>
      <c r="O1093">
        <v>22500000</v>
      </c>
      <c r="P1093">
        <v>24994489.710000001</v>
      </c>
      <c r="Q1093">
        <v>24994693.789999999</v>
      </c>
      <c r="R1093" s="14">
        <f>_xlfn.XLOOKUP(Table2[[#This Row],[LoanID]],Table1[G-L ID],Table1[ManagerCode],-99)</f>
        <v>103</v>
      </c>
      <c r="T1093"/>
    </row>
    <row r="1094" spans="1:20" x14ac:dyDescent="0.25">
      <c r="A1094">
        <v>20120229</v>
      </c>
      <c r="B1094">
        <v>2012</v>
      </c>
      <c r="C1094">
        <v>2</v>
      </c>
      <c r="D1094">
        <v>1</v>
      </c>
      <c r="E1094">
        <v>10450</v>
      </c>
      <c r="F1094">
        <v>119045.25</v>
      </c>
      <c r="G1094">
        <v>0</v>
      </c>
      <c r="H1094">
        <v>0</v>
      </c>
      <c r="I1094">
        <v>0</v>
      </c>
      <c r="J1094">
        <v>0</v>
      </c>
      <c r="K1094">
        <v>22770</v>
      </c>
      <c r="L1094">
        <v>21139874.399999999</v>
      </c>
      <c r="M1094">
        <v>21117332.100000001</v>
      </c>
      <c r="N1094">
        <v>21139874.399999999</v>
      </c>
      <c r="O1094">
        <v>21117332.100000001</v>
      </c>
      <c r="P1094">
        <v>21353408.48</v>
      </c>
      <c r="Q1094">
        <v>21330638.48</v>
      </c>
      <c r="R1094" s="14">
        <f>_xlfn.XLOOKUP(Table2[[#This Row],[LoanID]],Table1[G-L ID],Table1[ManagerCode],-99)</f>
        <v>103</v>
      </c>
      <c r="T1094"/>
    </row>
    <row r="1095" spans="1:20" x14ac:dyDescent="0.25">
      <c r="A1095">
        <v>20120229</v>
      </c>
      <c r="B1095">
        <v>2012</v>
      </c>
      <c r="C1095">
        <v>2</v>
      </c>
      <c r="D1095">
        <v>1</v>
      </c>
      <c r="E1095">
        <v>10490</v>
      </c>
      <c r="F1095">
        <v>226041.67</v>
      </c>
      <c r="G1095">
        <v>0</v>
      </c>
      <c r="H1095">
        <v>0</v>
      </c>
      <c r="I1095">
        <v>0</v>
      </c>
      <c r="J1095">
        <v>0</v>
      </c>
      <c r="K1095">
        <v>0</v>
      </c>
      <c r="L1095">
        <v>25000000</v>
      </c>
      <c r="M1095">
        <v>25000000</v>
      </c>
      <c r="N1095">
        <v>25000000</v>
      </c>
      <c r="O1095">
        <v>25000000</v>
      </c>
      <c r="P1095">
        <v>25000000</v>
      </c>
      <c r="Q1095">
        <v>25000000</v>
      </c>
      <c r="R1095" s="14">
        <f>_xlfn.XLOOKUP(Table2[[#This Row],[LoanID]],Table1[G-L ID],Table1[ManagerCode],-99)</f>
        <v>220</v>
      </c>
      <c r="T1095"/>
    </row>
    <row r="1096" spans="1:20" x14ac:dyDescent="0.25">
      <c r="A1096">
        <v>20120229</v>
      </c>
      <c r="B1096">
        <v>2012</v>
      </c>
      <c r="C1096">
        <v>2</v>
      </c>
      <c r="D1096">
        <v>1</v>
      </c>
      <c r="E1096">
        <v>10550</v>
      </c>
      <c r="F1096">
        <v>21407.52</v>
      </c>
      <c r="G1096">
        <v>0</v>
      </c>
      <c r="H1096">
        <v>0</v>
      </c>
      <c r="I1096">
        <v>-12.18</v>
      </c>
      <c r="J1096">
        <v>0</v>
      </c>
      <c r="K1096">
        <v>0</v>
      </c>
      <c r="L1096">
        <v>3999633.92</v>
      </c>
      <c r="M1096">
        <v>3999633.92</v>
      </c>
      <c r="N1096">
        <v>3999633.92</v>
      </c>
      <c r="O1096">
        <v>3999633.92</v>
      </c>
      <c r="P1096">
        <v>4040034.26</v>
      </c>
      <c r="Q1096">
        <v>4040034.26</v>
      </c>
      <c r="R1096" s="14">
        <f>_xlfn.XLOOKUP(Table2[[#This Row],[LoanID]],Table1[G-L ID],Table1[ManagerCode],-99)</f>
        <v>103</v>
      </c>
      <c r="T1096"/>
    </row>
    <row r="1097" spans="1:20" x14ac:dyDescent="0.25">
      <c r="A1097">
        <v>20120229</v>
      </c>
      <c r="B1097">
        <v>2012</v>
      </c>
      <c r="C1097">
        <v>2</v>
      </c>
      <c r="D1097">
        <v>1</v>
      </c>
      <c r="E1097">
        <v>10560</v>
      </c>
      <c r="F1097">
        <v>528052.27</v>
      </c>
      <c r="G1097">
        <v>0</v>
      </c>
      <c r="H1097">
        <v>0</v>
      </c>
      <c r="I1097">
        <v>-300.35000000000002</v>
      </c>
      <c r="J1097">
        <v>0</v>
      </c>
      <c r="K1097">
        <v>0</v>
      </c>
      <c r="L1097">
        <v>98657636.510000005</v>
      </c>
      <c r="M1097">
        <v>98657636.510000005</v>
      </c>
      <c r="N1097">
        <v>98657636.510000005</v>
      </c>
      <c r="O1097">
        <v>98657636.510000005</v>
      </c>
      <c r="P1097">
        <v>99654178</v>
      </c>
      <c r="Q1097">
        <v>99654178</v>
      </c>
      <c r="R1097" s="14">
        <f>_xlfn.XLOOKUP(Table2[[#This Row],[LoanID]],Table1[G-L ID],Table1[ManagerCode],-99)</f>
        <v>103</v>
      </c>
      <c r="T1097"/>
    </row>
    <row r="1098" spans="1:20" x14ac:dyDescent="0.25">
      <c r="A1098">
        <v>20120229</v>
      </c>
      <c r="B1098">
        <v>2012</v>
      </c>
      <c r="C1098">
        <v>2</v>
      </c>
      <c r="D1098">
        <v>1</v>
      </c>
      <c r="E1098">
        <v>10630</v>
      </c>
      <c r="F1098">
        <v>48898.22</v>
      </c>
      <c r="G1098">
        <v>0</v>
      </c>
      <c r="H1098">
        <v>0</v>
      </c>
      <c r="I1098">
        <v>0</v>
      </c>
      <c r="J1098">
        <v>0</v>
      </c>
      <c r="K1098">
        <v>13717.86</v>
      </c>
      <c r="L1098">
        <v>9573400.4600000009</v>
      </c>
      <c r="M1098">
        <v>9593043.6400000006</v>
      </c>
      <c r="N1098">
        <v>9573400.4600000009</v>
      </c>
      <c r="O1098">
        <v>9593043.6400000006</v>
      </c>
      <c r="P1098">
        <v>9154113.2200000007</v>
      </c>
      <c r="Q1098">
        <v>9140395.3599999994</v>
      </c>
      <c r="R1098" s="14">
        <f>_xlfn.XLOOKUP(Table2[[#This Row],[LoanID]],Table1[G-L ID],Table1[ManagerCode],-99)</f>
        <v>103</v>
      </c>
      <c r="T1098"/>
    </row>
    <row r="1099" spans="1:20" x14ac:dyDescent="0.25">
      <c r="A1099">
        <v>20120229</v>
      </c>
      <c r="B1099">
        <v>2012</v>
      </c>
      <c r="C1099">
        <v>2</v>
      </c>
      <c r="D1099">
        <v>1</v>
      </c>
      <c r="E1099">
        <v>10770</v>
      </c>
      <c r="F1099">
        <v>299063.89</v>
      </c>
      <c r="G1099">
        <v>0</v>
      </c>
      <c r="H1099">
        <v>0</v>
      </c>
      <c r="I1099">
        <v>0</v>
      </c>
      <c r="J1099">
        <v>0</v>
      </c>
      <c r="K1099">
        <v>0</v>
      </c>
      <c r="L1099">
        <v>107999177.5</v>
      </c>
      <c r="M1099">
        <v>108841645</v>
      </c>
      <c r="N1099">
        <v>107999177.5</v>
      </c>
      <c r="O1099">
        <v>108841645</v>
      </c>
      <c r="P1099">
        <v>115000000</v>
      </c>
      <c r="Q1099">
        <v>115000000</v>
      </c>
      <c r="R1099" s="14">
        <f>_xlfn.XLOOKUP(Table2[[#This Row],[LoanID]],Table1[G-L ID],Table1[ManagerCode],-99)</f>
        <v>103</v>
      </c>
      <c r="T1099"/>
    </row>
    <row r="1100" spans="1:20" x14ac:dyDescent="0.25">
      <c r="A1100">
        <v>20120229</v>
      </c>
      <c r="B1100">
        <v>2012</v>
      </c>
      <c r="C1100">
        <v>2</v>
      </c>
      <c r="D1100">
        <v>1</v>
      </c>
      <c r="E1100">
        <v>10880</v>
      </c>
      <c r="F1100">
        <v>312009.23</v>
      </c>
      <c r="G1100">
        <v>0</v>
      </c>
      <c r="H1100">
        <v>0</v>
      </c>
      <c r="I1100">
        <v>0</v>
      </c>
      <c r="J1100">
        <v>0</v>
      </c>
      <c r="K1100">
        <v>0</v>
      </c>
      <c r="L1100">
        <v>194735966.19999999</v>
      </c>
      <c r="M1100">
        <v>195232958.69999999</v>
      </c>
      <c r="N1100">
        <v>194735966.19999999</v>
      </c>
      <c r="O1100">
        <v>195232958.69999999</v>
      </c>
      <c r="P1100">
        <v>201744599.09999999</v>
      </c>
      <c r="Q1100">
        <v>201744599.09999999</v>
      </c>
      <c r="R1100" s="14">
        <f>_xlfn.XLOOKUP(Table2[[#This Row],[LoanID]],Table1[G-L ID],Table1[ManagerCode],-99)</f>
        <v>103</v>
      </c>
      <c r="T1100"/>
    </row>
    <row r="1101" spans="1:20" x14ac:dyDescent="0.25">
      <c r="A1101">
        <v>20120229</v>
      </c>
      <c r="B1101">
        <v>2012</v>
      </c>
      <c r="C1101">
        <v>2</v>
      </c>
      <c r="D1101">
        <v>1</v>
      </c>
      <c r="E1101">
        <v>10900</v>
      </c>
      <c r="F1101">
        <v>81811.070000000007</v>
      </c>
      <c r="G1101">
        <v>0</v>
      </c>
      <c r="H1101">
        <v>0</v>
      </c>
      <c r="I1101">
        <v>0</v>
      </c>
      <c r="J1101">
        <v>0</v>
      </c>
      <c r="K1101">
        <v>1805.99</v>
      </c>
      <c r="L1101">
        <v>8205098.7800000003</v>
      </c>
      <c r="M1101">
        <v>8203383.04</v>
      </c>
      <c r="N1101">
        <v>8205098.7800000003</v>
      </c>
      <c r="O1101">
        <v>8203383.04</v>
      </c>
      <c r="P1101">
        <v>8636946.0500000007</v>
      </c>
      <c r="Q1101">
        <v>8635140.0600000005</v>
      </c>
      <c r="R1101" s="14">
        <f>_xlfn.XLOOKUP(Table2[[#This Row],[LoanID]],Table1[G-L ID],Table1[ManagerCode],-99)</f>
        <v>103</v>
      </c>
      <c r="T1101"/>
    </row>
    <row r="1102" spans="1:20" x14ac:dyDescent="0.25">
      <c r="A1102">
        <v>20120229</v>
      </c>
      <c r="B1102">
        <v>2012</v>
      </c>
      <c r="C1102">
        <v>2</v>
      </c>
      <c r="D1102">
        <v>1</v>
      </c>
      <c r="E1102">
        <v>10950</v>
      </c>
      <c r="F1102">
        <v>53217.49</v>
      </c>
      <c r="G1102">
        <v>0</v>
      </c>
      <c r="H1102">
        <v>0</v>
      </c>
      <c r="I1102">
        <v>0</v>
      </c>
      <c r="J1102">
        <v>0</v>
      </c>
      <c r="K1102">
        <v>23805.53</v>
      </c>
      <c r="L1102">
        <v>10607781.85</v>
      </c>
      <c r="M1102">
        <v>10584214.380000001</v>
      </c>
      <c r="N1102">
        <v>10607781.85</v>
      </c>
      <c r="O1102">
        <v>10584214.380000001</v>
      </c>
      <c r="P1102">
        <v>10714931.17</v>
      </c>
      <c r="Q1102">
        <v>10691125.640000001</v>
      </c>
      <c r="R1102" s="14">
        <f>_xlfn.XLOOKUP(Table2[[#This Row],[LoanID]],Table1[G-L ID],Table1[ManagerCode],-99)</f>
        <v>103</v>
      </c>
      <c r="T1102"/>
    </row>
    <row r="1103" spans="1:20" x14ac:dyDescent="0.25">
      <c r="A1103">
        <v>20120229</v>
      </c>
      <c r="B1103">
        <v>2012</v>
      </c>
      <c r="C1103">
        <v>2</v>
      </c>
      <c r="D1103">
        <v>1</v>
      </c>
      <c r="E1103">
        <v>10980</v>
      </c>
      <c r="F1103">
        <v>44213.18</v>
      </c>
      <c r="G1103">
        <v>10457.42</v>
      </c>
      <c r="H1103">
        <v>0</v>
      </c>
      <c r="I1103">
        <v>0</v>
      </c>
      <c r="J1103">
        <v>-504634.9</v>
      </c>
      <c r="K1103">
        <v>0</v>
      </c>
      <c r="L1103">
        <v>4026031.86</v>
      </c>
      <c r="M1103">
        <v>4541124.18</v>
      </c>
      <c r="N1103">
        <v>4026031.86</v>
      </c>
      <c r="O1103">
        <v>4541124.18</v>
      </c>
      <c r="P1103">
        <v>4026031.86</v>
      </c>
      <c r="Q1103">
        <v>4541124.18</v>
      </c>
      <c r="R1103" s="14">
        <f>_xlfn.XLOOKUP(Table2[[#This Row],[LoanID]],Table1[G-L ID],Table1[ManagerCode],-99)</f>
        <v>183</v>
      </c>
      <c r="T1103"/>
    </row>
    <row r="1104" spans="1:20" x14ac:dyDescent="0.25">
      <c r="A1104">
        <v>20120229</v>
      </c>
      <c r="B1104">
        <v>2012</v>
      </c>
      <c r="C1104">
        <v>2</v>
      </c>
      <c r="D1104">
        <v>1</v>
      </c>
      <c r="E1104">
        <v>11110</v>
      </c>
      <c r="F1104">
        <v>52187.5</v>
      </c>
      <c r="G1104">
        <v>0</v>
      </c>
      <c r="H1104">
        <v>0</v>
      </c>
      <c r="I1104">
        <v>0</v>
      </c>
      <c r="J1104">
        <v>-65388.75</v>
      </c>
      <c r="K1104">
        <v>0</v>
      </c>
      <c r="L1104">
        <v>8409933.8800000008</v>
      </c>
      <c r="M1104">
        <v>8475322.6300000008</v>
      </c>
      <c r="N1104">
        <v>8409933.8800000008</v>
      </c>
      <c r="O1104">
        <v>8475322.6300000008</v>
      </c>
      <c r="P1104">
        <v>8409933.8800000008</v>
      </c>
      <c r="Q1104">
        <v>8475322.6300000008</v>
      </c>
      <c r="R1104" s="14">
        <f>_xlfn.XLOOKUP(Table2[[#This Row],[LoanID]],Table1[G-L ID],Table1[ManagerCode],-99)</f>
        <v>183</v>
      </c>
      <c r="T1104"/>
    </row>
    <row r="1105" spans="1:20" x14ac:dyDescent="0.25">
      <c r="A1105">
        <v>20120229</v>
      </c>
      <c r="B1105">
        <v>2012</v>
      </c>
      <c r="C1105">
        <v>2</v>
      </c>
      <c r="D1105">
        <v>1</v>
      </c>
      <c r="E1105">
        <v>11140</v>
      </c>
      <c r="F1105">
        <v>0</v>
      </c>
      <c r="G1105">
        <v>0</v>
      </c>
      <c r="H1105">
        <v>0</v>
      </c>
      <c r="I1105">
        <v>0</v>
      </c>
      <c r="J1105">
        <v>-72436285</v>
      </c>
      <c r="K1105">
        <v>0</v>
      </c>
      <c r="L1105">
        <v>0</v>
      </c>
      <c r="M1105">
        <v>72436285</v>
      </c>
      <c r="N1105">
        <v>0</v>
      </c>
      <c r="O1105">
        <v>72436285</v>
      </c>
      <c r="P1105">
        <v>0</v>
      </c>
      <c r="Q1105">
        <v>72436285</v>
      </c>
      <c r="R1105" s="14">
        <f>_xlfn.XLOOKUP(Table2[[#This Row],[LoanID]],Table1[G-L ID],Table1[ManagerCode],-99)</f>
        <v>103</v>
      </c>
      <c r="T1105"/>
    </row>
    <row r="1106" spans="1:20" x14ac:dyDescent="0.25">
      <c r="A1106">
        <v>20120229</v>
      </c>
      <c r="B1106">
        <v>2012</v>
      </c>
      <c r="C1106">
        <v>2</v>
      </c>
      <c r="D1106">
        <v>1</v>
      </c>
      <c r="E1106">
        <v>11180</v>
      </c>
      <c r="F1106">
        <v>223167.45</v>
      </c>
      <c r="G1106">
        <v>0</v>
      </c>
      <c r="H1106">
        <v>0</v>
      </c>
      <c r="I1106">
        <v>-1721.97</v>
      </c>
      <c r="J1106">
        <v>0</v>
      </c>
      <c r="K1106">
        <v>0</v>
      </c>
      <c r="L1106">
        <v>179973748.30000001</v>
      </c>
      <c r="M1106">
        <v>179973748.30000001</v>
      </c>
      <c r="N1106">
        <v>179973748.30000001</v>
      </c>
      <c r="O1106">
        <v>179973748.30000001</v>
      </c>
      <c r="P1106">
        <v>199970831.5</v>
      </c>
      <c r="Q1106">
        <v>199970831.5</v>
      </c>
      <c r="R1106" s="14">
        <f>_xlfn.XLOOKUP(Table2[[#This Row],[LoanID]],Table1[G-L ID],Table1[ManagerCode],-99)</f>
        <v>103</v>
      </c>
      <c r="T1106"/>
    </row>
    <row r="1107" spans="1:20" x14ac:dyDescent="0.25">
      <c r="A1107">
        <v>20120229</v>
      </c>
      <c r="B1107">
        <v>2012</v>
      </c>
      <c r="C1107">
        <v>2</v>
      </c>
      <c r="D1107">
        <v>1</v>
      </c>
      <c r="E1107">
        <v>11200</v>
      </c>
      <c r="F1107">
        <v>69880</v>
      </c>
      <c r="G1107">
        <v>0</v>
      </c>
      <c r="H1107">
        <v>0</v>
      </c>
      <c r="I1107">
        <v>0</v>
      </c>
      <c r="J1107">
        <v>0</v>
      </c>
      <c r="K1107">
        <v>0</v>
      </c>
      <c r="L1107">
        <v>12524730.49</v>
      </c>
      <c r="M1107">
        <v>12578374.859999999</v>
      </c>
      <c r="N1107">
        <v>12524730.49</v>
      </c>
      <c r="O1107">
        <v>12578374.859999999</v>
      </c>
      <c r="P1107">
        <v>13976000</v>
      </c>
      <c r="Q1107">
        <v>13976000</v>
      </c>
      <c r="R1107" s="14">
        <f>_xlfn.XLOOKUP(Table2[[#This Row],[LoanID]],Table1[G-L ID],Table1[ManagerCode],-99)</f>
        <v>103</v>
      </c>
      <c r="T1107"/>
    </row>
    <row r="1108" spans="1:20" x14ac:dyDescent="0.25">
      <c r="A1108">
        <v>20120229</v>
      </c>
      <c r="B1108">
        <v>2012</v>
      </c>
      <c r="C1108">
        <v>2</v>
      </c>
      <c r="D1108">
        <v>1</v>
      </c>
      <c r="E1108">
        <v>11240</v>
      </c>
      <c r="F1108">
        <v>261855.47</v>
      </c>
      <c r="G1108">
        <v>0</v>
      </c>
      <c r="H1108">
        <v>0</v>
      </c>
      <c r="I1108">
        <v>0</v>
      </c>
      <c r="J1108">
        <v>0</v>
      </c>
      <c r="K1108">
        <v>0</v>
      </c>
      <c r="L1108">
        <v>185183145.30000001</v>
      </c>
      <c r="M1108">
        <v>185183145.30000001</v>
      </c>
      <c r="N1108">
        <v>185183145.30000001</v>
      </c>
      <c r="O1108">
        <v>185183145.30000001</v>
      </c>
      <c r="P1108">
        <v>194929626.59999999</v>
      </c>
      <c r="Q1108">
        <v>194929626.59999999</v>
      </c>
      <c r="R1108" s="14">
        <f>_xlfn.XLOOKUP(Table2[[#This Row],[LoanID]],Table1[G-L ID],Table1[ManagerCode],-99)</f>
        <v>103</v>
      </c>
      <c r="T1108"/>
    </row>
    <row r="1109" spans="1:20" x14ac:dyDescent="0.25">
      <c r="A1109">
        <v>20120229</v>
      </c>
      <c r="B1109">
        <v>2012</v>
      </c>
      <c r="C1109">
        <v>2</v>
      </c>
      <c r="D1109">
        <v>1</v>
      </c>
      <c r="E1109">
        <v>11280</v>
      </c>
      <c r="F1109">
        <v>24919.119999999999</v>
      </c>
      <c r="G1109">
        <v>0</v>
      </c>
      <c r="H1109">
        <v>0</v>
      </c>
      <c r="I1109">
        <v>-156.59</v>
      </c>
      <c r="J1109">
        <v>0</v>
      </c>
      <c r="K1109">
        <v>0</v>
      </c>
      <c r="L1109">
        <v>18566793.52</v>
      </c>
      <c r="M1109">
        <v>18603211.800000001</v>
      </c>
      <c r="N1109">
        <v>18566793.52</v>
      </c>
      <c r="O1109">
        <v>18603211.800000001</v>
      </c>
      <c r="P1109">
        <v>18791123.030000001</v>
      </c>
      <c r="Q1109">
        <v>18791123.030000001</v>
      </c>
      <c r="R1109" s="14">
        <f>_xlfn.XLOOKUP(Table2[[#This Row],[LoanID]],Table1[G-L ID],Table1[ManagerCode],-99)</f>
        <v>103</v>
      </c>
      <c r="T1109"/>
    </row>
    <row r="1110" spans="1:20" x14ac:dyDescent="0.25">
      <c r="A1110">
        <v>20120229</v>
      </c>
      <c r="B1110">
        <v>2012</v>
      </c>
      <c r="C1110">
        <v>2</v>
      </c>
      <c r="D1110">
        <v>1</v>
      </c>
      <c r="E1110">
        <v>11300</v>
      </c>
      <c r="F1110">
        <v>22427.21</v>
      </c>
      <c r="G1110">
        <v>0</v>
      </c>
      <c r="H1110">
        <v>0</v>
      </c>
      <c r="I1110">
        <v>-140.93</v>
      </c>
      <c r="J1110">
        <v>0</v>
      </c>
      <c r="K1110">
        <v>0</v>
      </c>
      <c r="L1110">
        <v>16710114.189999999</v>
      </c>
      <c r="M1110">
        <v>16742890.619999999</v>
      </c>
      <c r="N1110">
        <v>16710114.189999999</v>
      </c>
      <c r="O1110">
        <v>16742890.619999999</v>
      </c>
      <c r="P1110">
        <v>16912010.73</v>
      </c>
      <c r="Q1110">
        <v>16912010.73</v>
      </c>
      <c r="R1110" s="14">
        <f>_xlfn.XLOOKUP(Table2[[#This Row],[LoanID]],Table1[G-L ID],Table1[ManagerCode],-99)</f>
        <v>103</v>
      </c>
      <c r="T1110"/>
    </row>
    <row r="1111" spans="1:20" x14ac:dyDescent="0.25">
      <c r="A1111">
        <v>20120229</v>
      </c>
      <c r="B1111">
        <v>2012</v>
      </c>
      <c r="C1111">
        <v>2</v>
      </c>
      <c r="D1111">
        <v>1</v>
      </c>
      <c r="E1111">
        <v>11310</v>
      </c>
      <c r="F1111">
        <v>14951.47</v>
      </c>
      <c r="G1111">
        <v>0</v>
      </c>
      <c r="H1111">
        <v>0</v>
      </c>
      <c r="I1111">
        <v>-93.96</v>
      </c>
      <c r="J1111">
        <v>0</v>
      </c>
      <c r="K1111">
        <v>0</v>
      </c>
      <c r="L1111">
        <v>11141984.74</v>
      </c>
      <c r="M1111">
        <v>11161927.050000001</v>
      </c>
      <c r="N1111">
        <v>11141984.74</v>
      </c>
      <c r="O1111">
        <v>11161927.050000001</v>
      </c>
      <c r="P1111">
        <v>11274673.789999999</v>
      </c>
      <c r="Q1111">
        <v>11274673.789999999</v>
      </c>
      <c r="R1111" s="14">
        <f>_xlfn.XLOOKUP(Table2[[#This Row],[LoanID]],Table1[G-L ID],Table1[ManagerCode],-99)</f>
        <v>103</v>
      </c>
      <c r="T1111"/>
    </row>
    <row r="1112" spans="1:20" x14ac:dyDescent="0.25">
      <c r="A1112">
        <v>20120229</v>
      </c>
      <c r="B1112">
        <v>2012</v>
      </c>
      <c r="C1112">
        <v>2</v>
      </c>
      <c r="D1112">
        <v>1</v>
      </c>
      <c r="E1112">
        <v>11380</v>
      </c>
      <c r="F1112">
        <v>33878.120000000003</v>
      </c>
      <c r="G1112">
        <v>0</v>
      </c>
      <c r="H1112">
        <v>0</v>
      </c>
      <c r="I1112">
        <v>0</v>
      </c>
      <c r="J1112">
        <v>0</v>
      </c>
      <c r="K1112">
        <v>56821.88</v>
      </c>
      <c r="L1112">
        <v>5798565.5300000003</v>
      </c>
      <c r="M1112">
        <v>5752350.1200000001</v>
      </c>
      <c r="N1112">
        <v>5798565.5300000003</v>
      </c>
      <c r="O1112">
        <v>5752350.1200000001</v>
      </c>
      <c r="P1112">
        <v>5126576.05</v>
      </c>
      <c r="Q1112">
        <v>5069754.17</v>
      </c>
      <c r="R1112" s="14">
        <f>_xlfn.XLOOKUP(Table2[[#This Row],[LoanID]],Table1[G-L ID],Table1[ManagerCode],-99)</f>
        <v>103</v>
      </c>
      <c r="T1112"/>
    </row>
    <row r="1113" spans="1:20" x14ac:dyDescent="0.25">
      <c r="A1113">
        <v>20120229</v>
      </c>
      <c r="B1113">
        <v>2012</v>
      </c>
      <c r="C1113">
        <v>2</v>
      </c>
      <c r="D1113">
        <v>1</v>
      </c>
      <c r="E1113">
        <v>11630</v>
      </c>
      <c r="F1113">
        <v>78319.31</v>
      </c>
      <c r="G1113">
        <v>31772.02</v>
      </c>
      <c r="H1113">
        <v>0</v>
      </c>
      <c r="I1113">
        <v>0</v>
      </c>
      <c r="J1113">
        <v>-2947340.26</v>
      </c>
      <c r="K1113">
        <v>0</v>
      </c>
      <c r="L1113">
        <v>10684302.619999999</v>
      </c>
      <c r="M1113">
        <v>13663414.9</v>
      </c>
      <c r="N1113">
        <v>10684302.619999999</v>
      </c>
      <c r="O1113">
        <v>13663414.9</v>
      </c>
      <c r="P1113">
        <v>10684302.619999999</v>
      </c>
      <c r="Q1113">
        <v>13663414.9</v>
      </c>
      <c r="R1113" s="14">
        <f>_xlfn.XLOOKUP(Table2[[#This Row],[LoanID]],Table1[G-L ID],Table1[ManagerCode],-99)</f>
        <v>183</v>
      </c>
      <c r="T1113"/>
    </row>
    <row r="1114" spans="1:20" x14ac:dyDescent="0.25">
      <c r="A1114">
        <v>20120229</v>
      </c>
      <c r="B1114">
        <v>2012</v>
      </c>
      <c r="C1114">
        <v>2</v>
      </c>
      <c r="D1114">
        <v>1</v>
      </c>
      <c r="E1114">
        <v>11650</v>
      </c>
      <c r="F1114">
        <v>75000</v>
      </c>
      <c r="G1114">
        <v>0</v>
      </c>
      <c r="H1114">
        <v>0</v>
      </c>
      <c r="I1114">
        <v>0</v>
      </c>
      <c r="J1114">
        <v>0</v>
      </c>
      <c r="K1114">
        <v>0</v>
      </c>
      <c r="L1114">
        <v>9600000</v>
      </c>
      <c r="M1114">
        <v>9600000</v>
      </c>
      <c r="N1114">
        <v>9600000</v>
      </c>
      <c r="O1114">
        <v>9600000</v>
      </c>
      <c r="P1114">
        <v>12000000</v>
      </c>
      <c r="Q1114">
        <v>12000000</v>
      </c>
      <c r="R1114" s="14">
        <f>_xlfn.XLOOKUP(Table2[[#This Row],[LoanID]],Table1[G-L ID],Table1[ManagerCode],-99)</f>
        <v>103</v>
      </c>
      <c r="T1114"/>
    </row>
    <row r="1115" spans="1:20" x14ac:dyDescent="0.25">
      <c r="A1115">
        <v>20120229</v>
      </c>
      <c r="B1115">
        <v>2012</v>
      </c>
      <c r="C1115">
        <v>2</v>
      </c>
      <c r="D1115">
        <v>1</v>
      </c>
      <c r="E1115">
        <v>11780</v>
      </c>
      <c r="F1115">
        <v>186069.66</v>
      </c>
      <c r="G1115">
        <v>0</v>
      </c>
      <c r="H1115">
        <v>0</v>
      </c>
      <c r="I1115">
        <v>-1123.44</v>
      </c>
      <c r="J1115">
        <v>0</v>
      </c>
      <c r="K1115">
        <v>0</v>
      </c>
      <c r="L1115">
        <v>27466531.309999999</v>
      </c>
      <c r="M1115">
        <v>27466531.309999999</v>
      </c>
      <c r="N1115">
        <v>27466531.309999999</v>
      </c>
      <c r="O1115">
        <v>27466531.309999999</v>
      </c>
      <c r="P1115">
        <v>65231966.770000003</v>
      </c>
      <c r="Q1115">
        <v>65231966.770000003</v>
      </c>
      <c r="R1115" s="14">
        <f>_xlfn.XLOOKUP(Table2[[#This Row],[LoanID]],Table1[G-L ID],Table1[ManagerCode],-99)</f>
        <v>103</v>
      </c>
      <c r="T1115"/>
    </row>
    <row r="1116" spans="1:20" x14ac:dyDescent="0.25">
      <c r="A1116">
        <v>20120229</v>
      </c>
      <c r="B1116">
        <v>2012</v>
      </c>
      <c r="C1116">
        <v>2</v>
      </c>
      <c r="D1116">
        <v>1</v>
      </c>
      <c r="E1116">
        <v>11800</v>
      </c>
      <c r="F1116">
        <v>164402.91</v>
      </c>
      <c r="G1116">
        <v>0</v>
      </c>
      <c r="H1116">
        <v>0</v>
      </c>
      <c r="I1116">
        <v>-276.63</v>
      </c>
      <c r="J1116">
        <v>0</v>
      </c>
      <c r="K1116">
        <v>55772.92</v>
      </c>
      <c r="L1116">
        <v>28912625.170000002</v>
      </c>
      <c r="M1116">
        <v>28862429.489999998</v>
      </c>
      <c r="N1116">
        <v>28912625.170000002</v>
      </c>
      <c r="O1116">
        <v>28862429.489999998</v>
      </c>
      <c r="P1116">
        <v>32125106.960000001</v>
      </c>
      <c r="Q1116">
        <v>32069334.039999999</v>
      </c>
      <c r="R1116" s="14">
        <f>_xlfn.XLOOKUP(Table2[[#This Row],[LoanID]],Table1[G-L ID],Table1[ManagerCode],-99)</f>
        <v>103</v>
      </c>
      <c r="T1116"/>
    </row>
    <row r="1117" spans="1:20" x14ac:dyDescent="0.25">
      <c r="A1117">
        <v>20120229</v>
      </c>
      <c r="B1117">
        <v>2012</v>
      </c>
      <c r="C1117">
        <v>2</v>
      </c>
      <c r="D1117">
        <v>1</v>
      </c>
      <c r="E1117">
        <v>11810</v>
      </c>
      <c r="F1117">
        <v>51166.67</v>
      </c>
      <c r="G1117">
        <v>0</v>
      </c>
      <c r="H1117">
        <v>0</v>
      </c>
      <c r="I1117">
        <v>0</v>
      </c>
      <c r="J1117">
        <v>0</v>
      </c>
      <c r="K1117">
        <v>0</v>
      </c>
      <c r="L1117">
        <v>9900000</v>
      </c>
      <c r="M1117">
        <v>9867122.8000000007</v>
      </c>
      <c r="N1117">
        <v>9900000</v>
      </c>
      <c r="O1117">
        <v>9867122.8000000007</v>
      </c>
      <c r="P1117">
        <v>10000000</v>
      </c>
      <c r="Q1117">
        <v>10000000</v>
      </c>
      <c r="R1117" s="14">
        <f>_xlfn.XLOOKUP(Table2[[#This Row],[LoanID]],Table1[G-L ID],Table1[ManagerCode],-99)</f>
        <v>103</v>
      </c>
      <c r="T1117"/>
    </row>
    <row r="1118" spans="1:20" x14ac:dyDescent="0.25">
      <c r="A1118">
        <v>20120229</v>
      </c>
      <c r="B1118">
        <v>2012</v>
      </c>
      <c r="C1118">
        <v>2</v>
      </c>
      <c r="D1118">
        <v>1</v>
      </c>
      <c r="E1118">
        <v>11970</v>
      </c>
      <c r="F1118">
        <v>0</v>
      </c>
      <c r="G1118">
        <v>540.84</v>
      </c>
      <c r="H1118">
        <v>0</v>
      </c>
      <c r="I1118">
        <v>0</v>
      </c>
      <c r="J1118">
        <v>-141089.4</v>
      </c>
      <c r="K1118">
        <v>0</v>
      </c>
      <c r="L1118">
        <v>0</v>
      </c>
      <c r="M1118">
        <v>141630.24</v>
      </c>
      <c r="N1118">
        <v>0</v>
      </c>
      <c r="O1118">
        <v>141630.24</v>
      </c>
      <c r="P1118">
        <v>0</v>
      </c>
      <c r="Q1118">
        <v>141630.24</v>
      </c>
      <c r="R1118" s="14">
        <f>_xlfn.XLOOKUP(Table2[[#This Row],[LoanID]],Table1[G-L ID],Table1[ManagerCode],-99)</f>
        <v>183</v>
      </c>
      <c r="T1118"/>
    </row>
    <row r="1119" spans="1:20" x14ac:dyDescent="0.25">
      <c r="A1119">
        <v>20120229</v>
      </c>
      <c r="B1119">
        <v>2012</v>
      </c>
      <c r="C1119">
        <v>2</v>
      </c>
      <c r="D1119">
        <v>1</v>
      </c>
      <c r="E1119">
        <v>12020</v>
      </c>
      <c r="F1119">
        <v>13221.78</v>
      </c>
      <c r="G1119">
        <v>17786.59</v>
      </c>
      <c r="H1119">
        <v>0</v>
      </c>
      <c r="I1119">
        <v>0</v>
      </c>
      <c r="J1119">
        <v>-743135.54</v>
      </c>
      <c r="K1119">
        <v>0</v>
      </c>
      <c r="L1119">
        <v>2065507.39</v>
      </c>
      <c r="M1119">
        <v>2826429.52</v>
      </c>
      <c r="N1119">
        <v>2065507.39</v>
      </c>
      <c r="O1119">
        <v>2826429.52</v>
      </c>
      <c r="P1119">
        <v>2065507.39</v>
      </c>
      <c r="Q1119">
        <v>2826429.52</v>
      </c>
      <c r="R1119" s="14">
        <f>_xlfn.XLOOKUP(Table2[[#This Row],[LoanID]],Table1[G-L ID],Table1[ManagerCode],-99)</f>
        <v>183</v>
      </c>
      <c r="T1119"/>
    </row>
    <row r="1120" spans="1:20" x14ac:dyDescent="0.25">
      <c r="A1120">
        <v>20120229</v>
      </c>
      <c r="B1120">
        <v>2012</v>
      </c>
      <c r="C1120">
        <v>2</v>
      </c>
      <c r="D1120">
        <v>1</v>
      </c>
      <c r="E1120">
        <v>12210</v>
      </c>
      <c r="F1120">
        <v>719594.51</v>
      </c>
      <c r="G1120">
        <v>0</v>
      </c>
      <c r="H1120">
        <v>0</v>
      </c>
      <c r="I1120">
        <v>0</v>
      </c>
      <c r="J1120">
        <v>0</v>
      </c>
      <c r="K1120">
        <v>183618.53</v>
      </c>
      <c r="L1120">
        <v>137971327.59999999</v>
      </c>
      <c r="M1120">
        <v>138520583.80000001</v>
      </c>
      <c r="N1120">
        <v>137971327.59999999</v>
      </c>
      <c r="O1120">
        <v>138520583.80000001</v>
      </c>
      <c r="P1120">
        <v>116431554.59999999</v>
      </c>
      <c r="Q1120">
        <v>116247936.09999999</v>
      </c>
      <c r="R1120" s="14">
        <f>_xlfn.XLOOKUP(Table2[[#This Row],[LoanID]],Table1[G-L ID],Table1[ManagerCode],-99)</f>
        <v>103</v>
      </c>
      <c r="T1120"/>
    </row>
    <row r="1121" spans="1:20" x14ac:dyDescent="0.25">
      <c r="A1121">
        <v>20120331</v>
      </c>
      <c r="B1121">
        <v>2012</v>
      </c>
      <c r="C1121">
        <v>3</v>
      </c>
      <c r="D1121">
        <v>1</v>
      </c>
      <c r="E1121">
        <v>10050</v>
      </c>
      <c r="F1121">
        <v>144046.76</v>
      </c>
      <c r="G1121">
        <v>0</v>
      </c>
      <c r="H1121">
        <v>0</v>
      </c>
      <c r="I1121">
        <v>0</v>
      </c>
      <c r="J1121">
        <v>0</v>
      </c>
      <c r="K1121">
        <v>0</v>
      </c>
      <c r="L1121">
        <v>36418333.210000001</v>
      </c>
      <c r="M1121">
        <v>35929147.229999997</v>
      </c>
      <c r="N1121">
        <v>36418333.210000001</v>
      </c>
      <c r="O1121">
        <v>35929147.229999997</v>
      </c>
      <c r="P1121">
        <v>33333334</v>
      </c>
      <c r="Q1121">
        <v>33333334</v>
      </c>
      <c r="R1121" s="14">
        <f>_xlfn.XLOOKUP(Table2[[#This Row],[LoanID]],Table1[G-L ID],Table1[ManagerCode],-99)</f>
        <v>103</v>
      </c>
      <c r="T1121"/>
    </row>
    <row r="1122" spans="1:20" x14ac:dyDescent="0.25">
      <c r="A1122">
        <v>20120331</v>
      </c>
      <c r="B1122">
        <v>2012</v>
      </c>
      <c r="C1122">
        <v>3</v>
      </c>
      <c r="D1122">
        <v>1</v>
      </c>
      <c r="E1122">
        <v>10080</v>
      </c>
      <c r="F1122">
        <v>328394.78999999998</v>
      </c>
      <c r="G1122">
        <v>0</v>
      </c>
      <c r="H1122">
        <v>0</v>
      </c>
      <c r="I1122">
        <v>-151.04</v>
      </c>
      <c r="J1122">
        <v>0</v>
      </c>
      <c r="K1122">
        <v>0</v>
      </c>
      <c r="L1122">
        <v>74244520.950000003</v>
      </c>
      <c r="M1122">
        <v>74103003.200000003</v>
      </c>
      <c r="N1122">
        <v>74244520.950000003</v>
      </c>
      <c r="O1122">
        <v>74103003.200000003</v>
      </c>
      <c r="P1122">
        <v>75000000</v>
      </c>
      <c r="Q1122">
        <v>75000000</v>
      </c>
      <c r="R1122" s="14">
        <f>_xlfn.XLOOKUP(Table2[[#This Row],[LoanID]],Table1[G-L ID],Table1[ManagerCode],-99)</f>
        <v>103</v>
      </c>
      <c r="T1122"/>
    </row>
    <row r="1123" spans="1:20" x14ac:dyDescent="0.25">
      <c r="A1123">
        <v>20120331</v>
      </c>
      <c r="B1123">
        <v>2012</v>
      </c>
      <c r="C1123">
        <v>3</v>
      </c>
      <c r="D1123">
        <v>1</v>
      </c>
      <c r="E1123">
        <v>10130</v>
      </c>
      <c r="F1123">
        <v>35408.28</v>
      </c>
      <c r="G1123">
        <v>0</v>
      </c>
      <c r="H1123">
        <v>0</v>
      </c>
      <c r="I1123">
        <v>0</v>
      </c>
      <c r="J1123">
        <v>0</v>
      </c>
      <c r="K1123">
        <v>32282.41</v>
      </c>
      <c r="L1123">
        <v>8145665.3799999999</v>
      </c>
      <c r="M1123">
        <v>8106220.8399999999</v>
      </c>
      <c r="N1123">
        <v>8145665.3799999999</v>
      </c>
      <c r="O1123">
        <v>8106220.8399999999</v>
      </c>
      <c r="P1123">
        <v>7825033.9400000004</v>
      </c>
      <c r="Q1123">
        <v>7792751.5300000003</v>
      </c>
      <c r="R1123" s="14">
        <f>_xlfn.XLOOKUP(Table2[[#This Row],[LoanID]],Table1[G-L ID],Table1[ManagerCode],-99)</f>
        <v>103</v>
      </c>
      <c r="T1123"/>
    </row>
    <row r="1124" spans="1:20" x14ac:dyDescent="0.25">
      <c r="A1124">
        <v>20120331</v>
      </c>
      <c r="B1124">
        <v>2012</v>
      </c>
      <c r="C1124">
        <v>3</v>
      </c>
      <c r="D1124">
        <v>1</v>
      </c>
      <c r="E1124">
        <v>10140</v>
      </c>
      <c r="F1124">
        <v>93400.03</v>
      </c>
      <c r="G1124">
        <v>0</v>
      </c>
      <c r="H1124">
        <v>0</v>
      </c>
      <c r="I1124">
        <v>0</v>
      </c>
      <c r="J1124">
        <v>0</v>
      </c>
      <c r="K1124">
        <v>84424.3</v>
      </c>
      <c r="L1124">
        <v>21486958.559999999</v>
      </c>
      <c r="M1124">
        <v>21383651.98</v>
      </c>
      <c r="N1124">
        <v>21486958.559999999</v>
      </c>
      <c r="O1124">
        <v>21383651.98</v>
      </c>
      <c r="P1124">
        <v>20640889.710000001</v>
      </c>
      <c r="Q1124">
        <v>20556465.41</v>
      </c>
      <c r="R1124" s="14">
        <f>_xlfn.XLOOKUP(Table2[[#This Row],[LoanID]],Table1[G-L ID],Table1[ManagerCode],-99)</f>
        <v>103</v>
      </c>
      <c r="T1124"/>
    </row>
    <row r="1125" spans="1:20" x14ac:dyDescent="0.25">
      <c r="A1125">
        <v>20120331</v>
      </c>
      <c r="B1125">
        <v>2012</v>
      </c>
      <c r="C1125">
        <v>3</v>
      </c>
      <c r="D1125">
        <v>1</v>
      </c>
      <c r="E1125">
        <v>10150</v>
      </c>
      <c r="F1125">
        <v>241040.25</v>
      </c>
      <c r="G1125">
        <v>0</v>
      </c>
      <c r="H1125">
        <v>0</v>
      </c>
      <c r="I1125">
        <v>0</v>
      </c>
      <c r="J1125">
        <v>0</v>
      </c>
      <c r="K1125">
        <v>72279.75</v>
      </c>
      <c r="L1125">
        <v>51782349.189999998</v>
      </c>
      <c r="M1125">
        <v>51710792.079999998</v>
      </c>
      <c r="N1125">
        <v>51782349.189999998</v>
      </c>
      <c r="O1125">
        <v>51710792.079999998</v>
      </c>
      <c r="P1125">
        <v>52305298.600000001</v>
      </c>
      <c r="Q1125">
        <v>52233018.850000001</v>
      </c>
      <c r="R1125" s="14">
        <f>_xlfn.XLOOKUP(Table2[[#This Row],[LoanID]],Table1[G-L ID],Table1[ManagerCode],-99)</f>
        <v>103</v>
      </c>
      <c r="T1125"/>
    </row>
    <row r="1126" spans="1:20" x14ac:dyDescent="0.25">
      <c r="A1126">
        <v>20120331</v>
      </c>
      <c r="B1126">
        <v>2012</v>
      </c>
      <c r="C1126">
        <v>3</v>
      </c>
      <c r="D1126">
        <v>1</v>
      </c>
      <c r="E1126">
        <v>10170</v>
      </c>
      <c r="F1126">
        <v>231846.92</v>
      </c>
      <c r="G1126">
        <v>0</v>
      </c>
      <c r="H1126">
        <v>0</v>
      </c>
      <c r="I1126">
        <v>-1111.0899999999999</v>
      </c>
      <c r="J1126">
        <v>0</v>
      </c>
      <c r="K1126">
        <v>81300.42</v>
      </c>
      <c r="L1126">
        <v>49624963.43</v>
      </c>
      <c r="M1126">
        <v>49470674.5</v>
      </c>
      <c r="N1126">
        <v>49624963.43</v>
      </c>
      <c r="O1126">
        <v>49470674.5</v>
      </c>
      <c r="P1126">
        <v>45976033.549999997</v>
      </c>
      <c r="Q1126">
        <v>45894733.130000003</v>
      </c>
      <c r="R1126" s="14">
        <f>_xlfn.XLOOKUP(Table2[[#This Row],[LoanID]],Table1[G-L ID],Table1[ManagerCode],-99)</f>
        <v>103</v>
      </c>
      <c r="T1126"/>
    </row>
    <row r="1127" spans="1:20" x14ac:dyDescent="0.25">
      <c r="A1127">
        <v>20120331</v>
      </c>
      <c r="B1127">
        <v>2012</v>
      </c>
      <c r="C1127">
        <v>3</v>
      </c>
      <c r="D1127">
        <v>1</v>
      </c>
      <c r="E1127">
        <v>10210</v>
      </c>
      <c r="F1127">
        <v>20000</v>
      </c>
      <c r="G1127">
        <v>53376.6</v>
      </c>
      <c r="H1127">
        <v>0</v>
      </c>
      <c r="I1127">
        <v>0</v>
      </c>
      <c r="J1127">
        <v>-5948517.6699999999</v>
      </c>
      <c r="K1127">
        <v>0</v>
      </c>
      <c r="L1127">
        <v>4043162.5</v>
      </c>
      <c r="M1127">
        <v>10045056.77</v>
      </c>
      <c r="N1127">
        <v>4043162.5</v>
      </c>
      <c r="O1127">
        <v>10045056.77</v>
      </c>
      <c r="P1127">
        <v>4043162.5</v>
      </c>
      <c r="Q1127">
        <v>10045056.77</v>
      </c>
      <c r="R1127" s="14">
        <f>_xlfn.XLOOKUP(Table2[[#This Row],[LoanID]],Table1[G-L ID],Table1[ManagerCode],-99)</f>
        <v>183</v>
      </c>
      <c r="T1127"/>
    </row>
    <row r="1128" spans="1:20" x14ac:dyDescent="0.25">
      <c r="A1128">
        <v>20120331</v>
      </c>
      <c r="B1128">
        <v>2012</v>
      </c>
      <c r="C1128">
        <v>3</v>
      </c>
      <c r="D1128">
        <v>1</v>
      </c>
      <c r="E1128">
        <v>10230</v>
      </c>
      <c r="F1128">
        <v>181700.35</v>
      </c>
      <c r="G1128">
        <v>0</v>
      </c>
      <c r="H1128">
        <v>0</v>
      </c>
      <c r="I1128">
        <v>0</v>
      </c>
      <c r="J1128">
        <v>0</v>
      </c>
      <c r="K1128">
        <v>59897.72</v>
      </c>
      <c r="L1128">
        <v>27497678.800000001</v>
      </c>
      <c r="M1128">
        <v>27446765.760000002</v>
      </c>
      <c r="N1128">
        <v>27497678.800000001</v>
      </c>
      <c r="O1128">
        <v>27446765.760000002</v>
      </c>
      <c r="P1128">
        <v>32350210.370000001</v>
      </c>
      <c r="Q1128">
        <v>32290312.649999999</v>
      </c>
      <c r="R1128" s="14">
        <f>_xlfn.XLOOKUP(Table2[[#This Row],[LoanID]],Table1[G-L ID],Table1[ManagerCode],-99)</f>
        <v>103</v>
      </c>
      <c r="T1128"/>
    </row>
    <row r="1129" spans="1:20" x14ac:dyDescent="0.25">
      <c r="A1129">
        <v>20120331</v>
      </c>
      <c r="B1129">
        <v>2012</v>
      </c>
      <c r="C1129">
        <v>3</v>
      </c>
      <c r="D1129">
        <v>1</v>
      </c>
      <c r="E1129">
        <v>10280</v>
      </c>
      <c r="F1129">
        <v>169708</v>
      </c>
      <c r="G1129">
        <v>0</v>
      </c>
      <c r="H1129">
        <v>0</v>
      </c>
      <c r="I1129">
        <v>0</v>
      </c>
      <c r="J1129">
        <v>0</v>
      </c>
      <c r="K1129">
        <v>0</v>
      </c>
      <c r="L1129">
        <v>33250033.25</v>
      </c>
      <c r="M1129">
        <v>33250033.25</v>
      </c>
      <c r="N1129">
        <v>33250033.25</v>
      </c>
      <c r="O1129">
        <v>33250033.25</v>
      </c>
      <c r="P1129">
        <v>35000000</v>
      </c>
      <c r="Q1129">
        <v>35000000</v>
      </c>
      <c r="R1129" s="14">
        <f>_xlfn.XLOOKUP(Table2[[#This Row],[LoanID]],Table1[G-L ID],Table1[ManagerCode],-99)</f>
        <v>103</v>
      </c>
      <c r="T1129"/>
    </row>
    <row r="1130" spans="1:20" x14ac:dyDescent="0.25">
      <c r="A1130">
        <v>20120331</v>
      </c>
      <c r="B1130">
        <v>2012</v>
      </c>
      <c r="C1130">
        <v>3</v>
      </c>
      <c r="D1130">
        <v>1</v>
      </c>
      <c r="E1130">
        <v>10290</v>
      </c>
      <c r="F1130">
        <v>160249.17000000001</v>
      </c>
      <c r="G1130">
        <v>0</v>
      </c>
      <c r="H1130">
        <v>0</v>
      </c>
      <c r="I1130">
        <v>0</v>
      </c>
      <c r="J1130">
        <v>0</v>
      </c>
      <c r="K1130">
        <v>0</v>
      </c>
      <c r="L1130">
        <v>22500000</v>
      </c>
      <c r="M1130">
        <v>22500000</v>
      </c>
      <c r="N1130">
        <v>22500000</v>
      </c>
      <c r="O1130">
        <v>22500000</v>
      </c>
      <c r="P1130">
        <v>25000000</v>
      </c>
      <c r="Q1130">
        <v>25000000</v>
      </c>
      <c r="R1130" s="14">
        <f>_xlfn.XLOOKUP(Table2[[#This Row],[LoanID]],Table1[G-L ID],Table1[ManagerCode],-99)</f>
        <v>103</v>
      </c>
      <c r="T1130"/>
    </row>
    <row r="1131" spans="1:20" x14ac:dyDescent="0.25">
      <c r="A1131">
        <v>20120331</v>
      </c>
      <c r="B1131">
        <v>2012</v>
      </c>
      <c r="C1131">
        <v>3</v>
      </c>
      <c r="D1131">
        <v>1</v>
      </c>
      <c r="E1131">
        <v>10300</v>
      </c>
      <c r="F1131">
        <v>140217.76</v>
      </c>
      <c r="G1131">
        <v>0</v>
      </c>
      <c r="H1131">
        <v>0</v>
      </c>
      <c r="I1131">
        <v>-0.02</v>
      </c>
      <c r="J1131">
        <v>0</v>
      </c>
      <c r="K1131">
        <v>0</v>
      </c>
      <c r="L1131">
        <v>34754544.609999999</v>
      </c>
      <c r="M1131">
        <v>34101428.829999998</v>
      </c>
      <c r="N1131">
        <v>34754544.609999999</v>
      </c>
      <c r="O1131">
        <v>34101428.829999998</v>
      </c>
      <c r="P1131">
        <v>35000000</v>
      </c>
      <c r="Q1131">
        <v>35000000</v>
      </c>
      <c r="R1131" s="14">
        <f>_xlfn.XLOOKUP(Table2[[#This Row],[LoanID]],Table1[G-L ID],Table1[ManagerCode],-99)</f>
        <v>103</v>
      </c>
      <c r="T1131"/>
    </row>
    <row r="1132" spans="1:20" x14ac:dyDescent="0.25">
      <c r="A1132">
        <v>20120331</v>
      </c>
      <c r="B1132">
        <v>2012</v>
      </c>
      <c r="C1132">
        <v>3</v>
      </c>
      <c r="D1132">
        <v>1</v>
      </c>
      <c r="E1132">
        <v>10310</v>
      </c>
      <c r="F1132">
        <v>100414.29</v>
      </c>
      <c r="G1132">
        <v>0</v>
      </c>
      <c r="H1132">
        <v>0</v>
      </c>
      <c r="I1132">
        <v>0</v>
      </c>
      <c r="J1132">
        <v>0</v>
      </c>
      <c r="K1132">
        <v>0</v>
      </c>
      <c r="L1132">
        <v>14390455.300000001</v>
      </c>
      <c r="M1132">
        <v>14390455.300000001</v>
      </c>
      <c r="N1132">
        <v>14390455.300000001</v>
      </c>
      <c r="O1132">
        <v>14390455.300000001</v>
      </c>
      <c r="P1132">
        <v>14390455.300000001</v>
      </c>
      <c r="Q1132">
        <v>14390455.300000001</v>
      </c>
      <c r="R1132" s="14">
        <f>_xlfn.XLOOKUP(Table2[[#This Row],[LoanID]],Table1[G-L ID],Table1[ManagerCode],-99)</f>
        <v>183</v>
      </c>
      <c r="T1132"/>
    </row>
    <row r="1133" spans="1:20" x14ac:dyDescent="0.25">
      <c r="A1133">
        <v>20120331</v>
      </c>
      <c r="B1133">
        <v>2012</v>
      </c>
      <c r="C1133">
        <v>3</v>
      </c>
      <c r="D1133">
        <v>1</v>
      </c>
      <c r="E1133">
        <v>10370</v>
      </c>
      <c r="F1133">
        <v>9589.2999999999993</v>
      </c>
      <c r="G1133">
        <v>0</v>
      </c>
      <c r="H1133">
        <v>0</v>
      </c>
      <c r="I1133">
        <v>0</v>
      </c>
      <c r="J1133">
        <v>0</v>
      </c>
      <c r="K1133">
        <v>75817.509999999995</v>
      </c>
      <c r="L1133">
        <v>2594949.9</v>
      </c>
      <c r="M1133">
        <v>2526714.14</v>
      </c>
      <c r="N1133">
        <v>2594949.9</v>
      </c>
      <c r="O1133">
        <v>2526714.14</v>
      </c>
      <c r="P1133">
        <v>2883277.66</v>
      </c>
      <c r="Q1133">
        <v>2807460.15</v>
      </c>
      <c r="R1133" s="14">
        <f>_xlfn.XLOOKUP(Table2[[#This Row],[LoanID]],Table1[G-L ID],Table1[ManagerCode],-99)</f>
        <v>103</v>
      </c>
      <c r="T1133"/>
    </row>
    <row r="1134" spans="1:20" x14ac:dyDescent="0.25">
      <c r="A1134">
        <v>20120331</v>
      </c>
      <c r="B1134">
        <v>2012</v>
      </c>
      <c r="C1134">
        <v>3</v>
      </c>
      <c r="D1134">
        <v>1</v>
      </c>
      <c r="E1134">
        <v>10390</v>
      </c>
      <c r="F1134">
        <v>118750</v>
      </c>
      <c r="G1134">
        <v>0</v>
      </c>
      <c r="H1134">
        <v>0</v>
      </c>
      <c r="I1134">
        <v>0</v>
      </c>
      <c r="J1134">
        <v>0</v>
      </c>
      <c r="K1134">
        <v>0</v>
      </c>
      <c r="L1134">
        <v>22500000</v>
      </c>
      <c r="M1134">
        <v>22500000</v>
      </c>
      <c r="N1134">
        <v>22500000</v>
      </c>
      <c r="O1134">
        <v>22500000</v>
      </c>
      <c r="P1134">
        <v>24994693.789999999</v>
      </c>
      <c r="Q1134">
        <v>24994897.870000001</v>
      </c>
      <c r="R1134" s="14">
        <f>_xlfn.XLOOKUP(Table2[[#This Row],[LoanID]],Table1[G-L ID],Table1[ManagerCode],-99)</f>
        <v>103</v>
      </c>
      <c r="T1134"/>
    </row>
    <row r="1135" spans="1:20" x14ac:dyDescent="0.25">
      <c r="A1135">
        <v>20120331</v>
      </c>
      <c r="B1135">
        <v>2012</v>
      </c>
      <c r="C1135">
        <v>3</v>
      </c>
      <c r="D1135">
        <v>1</v>
      </c>
      <c r="E1135">
        <v>10450</v>
      </c>
      <c r="F1135">
        <v>118918.31</v>
      </c>
      <c r="G1135">
        <v>0</v>
      </c>
      <c r="H1135">
        <v>0</v>
      </c>
      <c r="I1135">
        <v>0</v>
      </c>
      <c r="J1135">
        <v>0</v>
      </c>
      <c r="K1135">
        <v>22896.94</v>
      </c>
      <c r="L1135">
        <v>21117332.100000001</v>
      </c>
      <c r="M1135">
        <v>21094664.120000001</v>
      </c>
      <c r="N1135">
        <v>21117332.100000001</v>
      </c>
      <c r="O1135">
        <v>21094664.120000001</v>
      </c>
      <c r="P1135">
        <v>21330638.48</v>
      </c>
      <c r="Q1135">
        <v>21307741.539999999</v>
      </c>
      <c r="R1135" s="14">
        <f>_xlfn.XLOOKUP(Table2[[#This Row],[LoanID]],Table1[G-L ID],Table1[ManagerCode],-99)</f>
        <v>103</v>
      </c>
      <c r="T1135"/>
    </row>
    <row r="1136" spans="1:20" x14ac:dyDescent="0.25">
      <c r="A1136">
        <v>20120331</v>
      </c>
      <c r="B1136">
        <v>2012</v>
      </c>
      <c r="C1136">
        <v>3</v>
      </c>
      <c r="D1136">
        <v>1</v>
      </c>
      <c r="E1136">
        <v>10490</v>
      </c>
      <c r="F1136">
        <v>211458.33</v>
      </c>
      <c r="G1136">
        <v>0</v>
      </c>
      <c r="H1136">
        <v>0</v>
      </c>
      <c r="I1136">
        <v>0</v>
      </c>
      <c r="J1136">
        <v>0</v>
      </c>
      <c r="K1136">
        <v>0</v>
      </c>
      <c r="L1136">
        <v>25000000</v>
      </c>
      <c r="M1136">
        <v>25000000</v>
      </c>
      <c r="N1136">
        <v>25000000</v>
      </c>
      <c r="O1136">
        <v>25000000</v>
      </c>
      <c r="P1136">
        <v>25000000</v>
      </c>
      <c r="Q1136">
        <v>25000000</v>
      </c>
      <c r="R1136" s="14">
        <f>_xlfn.XLOOKUP(Table2[[#This Row],[LoanID]],Table1[G-L ID],Table1[ManagerCode],-99)</f>
        <v>220</v>
      </c>
      <c r="T1136"/>
    </row>
    <row r="1137" spans="1:20" x14ac:dyDescent="0.25">
      <c r="A1137">
        <v>20120331</v>
      </c>
      <c r="B1137">
        <v>2012</v>
      </c>
      <c r="C1137">
        <v>3</v>
      </c>
      <c r="D1137">
        <v>1</v>
      </c>
      <c r="E1137">
        <v>10550</v>
      </c>
      <c r="F1137">
        <v>20026.39</v>
      </c>
      <c r="G1137">
        <v>0</v>
      </c>
      <c r="H1137">
        <v>0</v>
      </c>
      <c r="I1137">
        <v>-11.39</v>
      </c>
      <c r="J1137">
        <v>0</v>
      </c>
      <c r="K1137">
        <v>100295.37</v>
      </c>
      <c r="L1137">
        <v>3999633.92</v>
      </c>
      <c r="M1137">
        <v>3900341.5</v>
      </c>
      <c r="N1137">
        <v>3999633.92</v>
      </c>
      <c r="O1137">
        <v>3900341.5</v>
      </c>
      <c r="P1137">
        <v>4040034.26</v>
      </c>
      <c r="Q1137">
        <v>3939738.89</v>
      </c>
      <c r="R1137" s="14">
        <f>_xlfn.XLOOKUP(Table2[[#This Row],[LoanID]],Table1[G-L ID],Table1[ManagerCode],-99)</f>
        <v>103</v>
      </c>
      <c r="T1137"/>
    </row>
    <row r="1138" spans="1:20" x14ac:dyDescent="0.25">
      <c r="A1138">
        <v>20120331</v>
      </c>
      <c r="B1138">
        <v>2012</v>
      </c>
      <c r="C1138">
        <v>3</v>
      </c>
      <c r="D1138">
        <v>1</v>
      </c>
      <c r="E1138">
        <v>10560</v>
      </c>
      <c r="F1138">
        <v>493984.38</v>
      </c>
      <c r="G1138">
        <v>0</v>
      </c>
      <c r="H1138">
        <v>0</v>
      </c>
      <c r="I1138">
        <v>-280.97000000000003</v>
      </c>
      <c r="J1138">
        <v>0</v>
      </c>
      <c r="K1138">
        <v>2473952.98</v>
      </c>
      <c r="L1138">
        <v>98657636.510000005</v>
      </c>
      <c r="M1138">
        <v>96208423.060000002</v>
      </c>
      <c r="N1138">
        <v>98657636.510000005</v>
      </c>
      <c r="O1138">
        <v>96208423.060000002</v>
      </c>
      <c r="P1138">
        <v>99654178</v>
      </c>
      <c r="Q1138">
        <v>97180225.019999996</v>
      </c>
      <c r="R1138" s="14">
        <f>_xlfn.XLOOKUP(Table2[[#This Row],[LoanID]],Table1[G-L ID],Table1[ManagerCode],-99)</f>
        <v>103</v>
      </c>
      <c r="T1138"/>
    </row>
    <row r="1139" spans="1:20" x14ac:dyDescent="0.25">
      <c r="A1139">
        <v>20120331</v>
      </c>
      <c r="B1139">
        <v>2012</v>
      </c>
      <c r="C1139">
        <v>3</v>
      </c>
      <c r="D1139">
        <v>1</v>
      </c>
      <c r="E1139">
        <v>10630</v>
      </c>
      <c r="F1139">
        <v>48824.95</v>
      </c>
      <c r="G1139">
        <v>0</v>
      </c>
      <c r="H1139">
        <v>0</v>
      </c>
      <c r="I1139">
        <v>0.01</v>
      </c>
      <c r="J1139">
        <v>0</v>
      </c>
      <c r="K1139">
        <v>13791.13</v>
      </c>
      <c r="L1139">
        <v>9593043.6400000006</v>
      </c>
      <c r="M1139">
        <v>9573742.5800000001</v>
      </c>
      <c r="N1139">
        <v>9593043.6400000006</v>
      </c>
      <c r="O1139">
        <v>9573742.5800000001</v>
      </c>
      <c r="P1139">
        <v>9140395.3599999994</v>
      </c>
      <c r="Q1139">
        <v>9126604.2300000004</v>
      </c>
      <c r="R1139" s="14">
        <f>_xlfn.XLOOKUP(Table2[[#This Row],[LoanID]],Table1[G-L ID],Table1[ManagerCode],-99)</f>
        <v>103</v>
      </c>
      <c r="T1139"/>
    </row>
    <row r="1140" spans="1:20" x14ac:dyDescent="0.25">
      <c r="A1140">
        <v>20120331</v>
      </c>
      <c r="B1140">
        <v>2012</v>
      </c>
      <c r="C1140">
        <v>3</v>
      </c>
      <c r="D1140">
        <v>1</v>
      </c>
      <c r="E1140">
        <v>10770</v>
      </c>
      <c r="F1140">
        <v>276990.28000000003</v>
      </c>
      <c r="G1140">
        <v>0</v>
      </c>
      <c r="H1140">
        <v>0</v>
      </c>
      <c r="I1140">
        <v>0</v>
      </c>
      <c r="J1140">
        <v>0</v>
      </c>
      <c r="K1140">
        <v>0</v>
      </c>
      <c r="L1140">
        <v>108841645</v>
      </c>
      <c r="M1140">
        <v>109250000</v>
      </c>
      <c r="N1140">
        <v>108841645</v>
      </c>
      <c r="O1140">
        <v>109250000</v>
      </c>
      <c r="P1140">
        <v>115000000</v>
      </c>
      <c r="Q1140">
        <v>115000000</v>
      </c>
      <c r="R1140" s="14">
        <f>_xlfn.XLOOKUP(Table2[[#This Row],[LoanID]],Table1[G-L ID],Table1[ManagerCode],-99)</f>
        <v>103</v>
      </c>
      <c r="T1140"/>
    </row>
    <row r="1141" spans="1:20" x14ac:dyDescent="0.25">
      <c r="A1141">
        <v>20120331</v>
      </c>
      <c r="B1141">
        <v>2012</v>
      </c>
      <c r="C1141">
        <v>3</v>
      </c>
      <c r="D1141">
        <v>1</v>
      </c>
      <c r="E1141">
        <v>10880</v>
      </c>
      <c r="F1141">
        <v>286516.56</v>
      </c>
      <c r="G1141">
        <v>0</v>
      </c>
      <c r="H1141">
        <v>504361.5</v>
      </c>
      <c r="I1141">
        <v>0</v>
      </c>
      <c r="J1141">
        <v>0</v>
      </c>
      <c r="K1141">
        <v>0</v>
      </c>
      <c r="L1141">
        <v>195232958.69999999</v>
      </c>
      <c r="M1141">
        <v>195725675.19999999</v>
      </c>
      <c r="N1141">
        <v>195232958.69999999</v>
      </c>
      <c r="O1141">
        <v>195725675.19999999</v>
      </c>
      <c r="P1141">
        <v>201744599.09999999</v>
      </c>
      <c r="Q1141">
        <v>201744599.09999999</v>
      </c>
      <c r="R1141" s="14">
        <f>_xlfn.XLOOKUP(Table2[[#This Row],[LoanID]],Table1[G-L ID],Table1[ManagerCode],-99)</f>
        <v>103</v>
      </c>
      <c r="T1141"/>
    </row>
    <row r="1142" spans="1:20" x14ac:dyDescent="0.25">
      <c r="A1142">
        <v>20120331</v>
      </c>
      <c r="B1142">
        <v>2012</v>
      </c>
      <c r="C1142">
        <v>3</v>
      </c>
      <c r="D1142">
        <v>1</v>
      </c>
      <c r="E1142">
        <v>10900</v>
      </c>
      <c r="F1142">
        <v>76516.94</v>
      </c>
      <c r="G1142">
        <v>0</v>
      </c>
      <c r="H1142">
        <v>0</v>
      </c>
      <c r="I1142">
        <v>0</v>
      </c>
      <c r="J1142">
        <v>0</v>
      </c>
      <c r="K1142">
        <v>7100.12</v>
      </c>
      <c r="L1142">
        <v>8203383.04</v>
      </c>
      <c r="M1142">
        <v>8196637.96</v>
      </c>
      <c r="N1142">
        <v>8203383.04</v>
      </c>
      <c r="O1142">
        <v>8196637.96</v>
      </c>
      <c r="P1142">
        <v>8635140.0600000005</v>
      </c>
      <c r="Q1142">
        <v>8628039.9399999995</v>
      </c>
      <c r="R1142" s="14">
        <f>_xlfn.XLOOKUP(Table2[[#This Row],[LoanID]],Table1[G-L ID],Table1[ManagerCode],-99)</f>
        <v>103</v>
      </c>
      <c r="T1142"/>
    </row>
    <row r="1143" spans="1:20" x14ac:dyDescent="0.25">
      <c r="A1143">
        <v>20120331</v>
      </c>
      <c r="B1143">
        <v>2012</v>
      </c>
      <c r="C1143">
        <v>3</v>
      </c>
      <c r="D1143">
        <v>1</v>
      </c>
      <c r="E1143">
        <v>10950</v>
      </c>
      <c r="F1143">
        <v>53099.26</v>
      </c>
      <c r="G1143">
        <v>0</v>
      </c>
      <c r="H1143">
        <v>0</v>
      </c>
      <c r="I1143">
        <v>0</v>
      </c>
      <c r="J1143">
        <v>0</v>
      </c>
      <c r="K1143">
        <v>23923.759999999998</v>
      </c>
      <c r="L1143">
        <v>10584214.380000001</v>
      </c>
      <c r="M1143">
        <v>10560529.85</v>
      </c>
      <c r="N1143">
        <v>10584214.380000001</v>
      </c>
      <c r="O1143">
        <v>10560529.85</v>
      </c>
      <c r="P1143">
        <v>10691125.640000001</v>
      </c>
      <c r="Q1143">
        <v>10667201.880000001</v>
      </c>
      <c r="R1143" s="14">
        <f>_xlfn.XLOOKUP(Table2[[#This Row],[LoanID]],Table1[G-L ID],Table1[ManagerCode],-99)</f>
        <v>103</v>
      </c>
      <c r="T1143"/>
    </row>
    <row r="1144" spans="1:20" x14ac:dyDescent="0.25">
      <c r="A1144">
        <v>20120331</v>
      </c>
      <c r="B1144">
        <v>2012</v>
      </c>
      <c r="C1144">
        <v>3</v>
      </c>
      <c r="D1144">
        <v>1</v>
      </c>
      <c r="E1144">
        <v>10980</v>
      </c>
      <c r="F1144">
        <v>48801.24</v>
      </c>
      <c r="G1144">
        <v>11776.29</v>
      </c>
      <c r="H1144">
        <v>0</v>
      </c>
      <c r="I1144">
        <v>0</v>
      </c>
      <c r="J1144">
        <v>-563455.84</v>
      </c>
      <c r="K1144">
        <v>0</v>
      </c>
      <c r="L1144">
        <v>4541124.18</v>
      </c>
      <c r="M1144">
        <v>5116356.3099999996</v>
      </c>
      <c r="N1144">
        <v>4541124.18</v>
      </c>
      <c r="O1144">
        <v>5116356.3099999996</v>
      </c>
      <c r="P1144">
        <v>4541124.18</v>
      </c>
      <c r="Q1144">
        <v>5116356.3099999996</v>
      </c>
      <c r="R1144" s="14">
        <f>_xlfn.XLOOKUP(Table2[[#This Row],[LoanID]],Table1[G-L ID],Table1[ManagerCode],-99)</f>
        <v>183</v>
      </c>
      <c r="T1144"/>
    </row>
    <row r="1145" spans="1:20" x14ac:dyDescent="0.25">
      <c r="A1145">
        <v>20120331</v>
      </c>
      <c r="B1145">
        <v>2012</v>
      </c>
      <c r="C1145">
        <v>3</v>
      </c>
      <c r="D1145">
        <v>1</v>
      </c>
      <c r="E1145">
        <v>11110</v>
      </c>
      <c r="F1145">
        <v>72924.83</v>
      </c>
      <c r="G1145">
        <v>0</v>
      </c>
      <c r="H1145">
        <v>0</v>
      </c>
      <c r="I1145">
        <v>0</v>
      </c>
      <c r="J1145">
        <v>-1358881.74</v>
      </c>
      <c r="K1145">
        <v>0</v>
      </c>
      <c r="L1145">
        <v>8475322.6300000008</v>
      </c>
      <c r="M1145">
        <v>9834204.3699999992</v>
      </c>
      <c r="N1145">
        <v>8475322.6300000008</v>
      </c>
      <c r="O1145">
        <v>9834204.3699999992</v>
      </c>
      <c r="P1145">
        <v>8475322.6300000008</v>
      </c>
      <c r="Q1145">
        <v>9834204.3699999992</v>
      </c>
      <c r="R1145" s="14">
        <f>_xlfn.XLOOKUP(Table2[[#This Row],[LoanID]],Table1[G-L ID],Table1[ManagerCode],-99)</f>
        <v>183</v>
      </c>
      <c r="T1145"/>
    </row>
    <row r="1146" spans="1:20" x14ac:dyDescent="0.25">
      <c r="A1146">
        <v>20120331</v>
      </c>
      <c r="B1146">
        <v>2012</v>
      </c>
      <c r="C1146">
        <v>3</v>
      </c>
      <c r="D1146">
        <v>1</v>
      </c>
      <c r="E1146">
        <v>11140</v>
      </c>
      <c r="F1146">
        <v>0</v>
      </c>
      <c r="G1146">
        <v>0</v>
      </c>
      <c r="H1146">
        <v>0</v>
      </c>
      <c r="I1146">
        <v>0</v>
      </c>
      <c r="J1146">
        <v>0</v>
      </c>
      <c r="K1146">
        <v>0</v>
      </c>
      <c r="L1146">
        <v>72436285</v>
      </c>
      <c r="M1146">
        <v>72505596.819999993</v>
      </c>
      <c r="N1146">
        <v>72436285</v>
      </c>
      <c r="O1146">
        <v>72505596.819999993</v>
      </c>
      <c r="P1146">
        <v>72436285</v>
      </c>
      <c r="Q1146">
        <v>72436285</v>
      </c>
      <c r="R1146" s="14">
        <f>_xlfn.XLOOKUP(Table2[[#This Row],[LoanID]],Table1[G-L ID],Table1[ManagerCode],-99)</f>
        <v>103</v>
      </c>
      <c r="T1146"/>
    </row>
    <row r="1147" spans="1:20" x14ac:dyDescent="0.25">
      <c r="A1147">
        <v>20120331</v>
      </c>
      <c r="B1147">
        <v>2012</v>
      </c>
      <c r="C1147">
        <v>3</v>
      </c>
      <c r="D1147">
        <v>1</v>
      </c>
      <c r="E1147">
        <v>11180</v>
      </c>
      <c r="F1147">
        <v>202487.13</v>
      </c>
      <c r="G1147">
        <v>0</v>
      </c>
      <c r="H1147">
        <v>0</v>
      </c>
      <c r="I1147">
        <v>-1610.88</v>
      </c>
      <c r="J1147">
        <v>0</v>
      </c>
      <c r="K1147">
        <v>0</v>
      </c>
      <c r="L1147">
        <v>179973748.30000001</v>
      </c>
      <c r="M1147">
        <v>179973748.30000001</v>
      </c>
      <c r="N1147">
        <v>179973748.30000001</v>
      </c>
      <c r="O1147">
        <v>179973748.30000001</v>
      </c>
      <c r="P1147">
        <v>199970831.5</v>
      </c>
      <c r="Q1147">
        <v>199970831.5</v>
      </c>
      <c r="R1147" s="14">
        <f>_xlfn.XLOOKUP(Table2[[#This Row],[LoanID]],Table1[G-L ID],Table1[ManagerCode],-99)</f>
        <v>103</v>
      </c>
      <c r="T1147"/>
    </row>
    <row r="1148" spans="1:20" x14ac:dyDescent="0.25">
      <c r="A1148">
        <v>20120331</v>
      </c>
      <c r="B1148">
        <v>2012</v>
      </c>
      <c r="C1148">
        <v>3</v>
      </c>
      <c r="D1148">
        <v>1</v>
      </c>
      <c r="E1148">
        <v>11200</v>
      </c>
      <c r="F1148">
        <v>69880</v>
      </c>
      <c r="G1148">
        <v>0</v>
      </c>
      <c r="H1148">
        <v>0</v>
      </c>
      <c r="I1148">
        <v>0</v>
      </c>
      <c r="J1148">
        <v>0</v>
      </c>
      <c r="K1148">
        <v>0</v>
      </c>
      <c r="L1148">
        <v>12578374.859999999</v>
      </c>
      <c r="M1148">
        <v>12578374.859999999</v>
      </c>
      <c r="N1148">
        <v>12578374.859999999</v>
      </c>
      <c r="O1148">
        <v>12578374.859999999</v>
      </c>
      <c r="P1148">
        <v>13976000</v>
      </c>
      <c r="Q1148">
        <v>13976000</v>
      </c>
      <c r="R1148" s="14">
        <f>_xlfn.XLOOKUP(Table2[[#This Row],[LoanID]],Table1[G-L ID],Table1[ManagerCode],-99)</f>
        <v>103</v>
      </c>
      <c r="T1148"/>
    </row>
    <row r="1149" spans="1:20" x14ac:dyDescent="0.25">
      <c r="A1149">
        <v>20120331</v>
      </c>
      <c r="B1149">
        <v>2012</v>
      </c>
      <c r="C1149">
        <v>3</v>
      </c>
      <c r="D1149">
        <v>1</v>
      </c>
      <c r="E1149">
        <v>11240</v>
      </c>
      <c r="F1149">
        <v>238523.47</v>
      </c>
      <c r="G1149">
        <v>0</v>
      </c>
      <c r="H1149">
        <v>0</v>
      </c>
      <c r="I1149">
        <v>0</v>
      </c>
      <c r="J1149">
        <v>0</v>
      </c>
      <c r="K1149">
        <v>0</v>
      </c>
      <c r="L1149">
        <v>185183145.30000001</v>
      </c>
      <c r="M1149">
        <v>185183145.30000001</v>
      </c>
      <c r="N1149">
        <v>185183145.30000001</v>
      </c>
      <c r="O1149">
        <v>185183145.30000001</v>
      </c>
      <c r="P1149">
        <v>194929626.59999999</v>
      </c>
      <c r="Q1149">
        <v>194929626.59999999</v>
      </c>
      <c r="R1149" s="14">
        <f>_xlfn.XLOOKUP(Table2[[#This Row],[LoanID]],Table1[G-L ID],Table1[ManagerCode],-99)</f>
        <v>103</v>
      </c>
      <c r="T1149"/>
    </row>
    <row r="1150" spans="1:20" x14ac:dyDescent="0.25">
      <c r="A1150">
        <v>20120331</v>
      </c>
      <c r="B1150">
        <v>2012</v>
      </c>
      <c r="C1150">
        <v>3</v>
      </c>
      <c r="D1150">
        <v>1</v>
      </c>
      <c r="E1150">
        <v>11280</v>
      </c>
      <c r="F1150">
        <v>22690.799999999999</v>
      </c>
      <c r="G1150">
        <v>0</v>
      </c>
      <c r="H1150">
        <v>0</v>
      </c>
      <c r="I1150">
        <v>-156.59</v>
      </c>
      <c r="J1150">
        <v>0</v>
      </c>
      <c r="K1150">
        <v>0</v>
      </c>
      <c r="L1150">
        <v>18603211.800000001</v>
      </c>
      <c r="M1150">
        <v>18603211.800000001</v>
      </c>
      <c r="N1150">
        <v>18603211.800000001</v>
      </c>
      <c r="O1150">
        <v>18603211.800000001</v>
      </c>
      <c r="P1150">
        <v>18791123.030000001</v>
      </c>
      <c r="Q1150">
        <v>18791123.030000001</v>
      </c>
      <c r="R1150" s="14">
        <f>_xlfn.XLOOKUP(Table2[[#This Row],[LoanID]],Table1[G-L ID],Table1[ManagerCode],-99)</f>
        <v>103</v>
      </c>
      <c r="T1150"/>
    </row>
    <row r="1151" spans="1:20" x14ac:dyDescent="0.25">
      <c r="A1151">
        <v>20120331</v>
      </c>
      <c r="B1151">
        <v>2012</v>
      </c>
      <c r="C1151">
        <v>3</v>
      </c>
      <c r="D1151">
        <v>1</v>
      </c>
      <c r="E1151">
        <v>11300</v>
      </c>
      <c r="F1151">
        <v>20421.72</v>
      </c>
      <c r="G1151">
        <v>0</v>
      </c>
      <c r="H1151">
        <v>0</v>
      </c>
      <c r="I1151">
        <v>-140.93</v>
      </c>
      <c r="J1151">
        <v>0</v>
      </c>
      <c r="K1151">
        <v>0</v>
      </c>
      <c r="L1151">
        <v>16742890.619999999</v>
      </c>
      <c r="M1151">
        <v>16742890.619999999</v>
      </c>
      <c r="N1151">
        <v>16742890.619999999</v>
      </c>
      <c r="O1151">
        <v>16742890.619999999</v>
      </c>
      <c r="P1151">
        <v>16912010.73</v>
      </c>
      <c r="Q1151">
        <v>16912010.73</v>
      </c>
      <c r="R1151" s="14">
        <f>_xlfn.XLOOKUP(Table2[[#This Row],[LoanID]],Table1[G-L ID],Table1[ManagerCode],-99)</f>
        <v>103</v>
      </c>
      <c r="T1151"/>
    </row>
    <row r="1152" spans="1:20" x14ac:dyDescent="0.25">
      <c r="A1152">
        <v>20120331</v>
      </c>
      <c r="B1152">
        <v>2012</v>
      </c>
      <c r="C1152">
        <v>3</v>
      </c>
      <c r="D1152">
        <v>1</v>
      </c>
      <c r="E1152">
        <v>11310</v>
      </c>
      <c r="F1152">
        <v>13614.48</v>
      </c>
      <c r="G1152">
        <v>0</v>
      </c>
      <c r="H1152">
        <v>0</v>
      </c>
      <c r="I1152">
        <v>-93.96</v>
      </c>
      <c r="J1152">
        <v>0</v>
      </c>
      <c r="K1152">
        <v>0</v>
      </c>
      <c r="L1152">
        <v>11161927.050000001</v>
      </c>
      <c r="M1152">
        <v>11161927.050000001</v>
      </c>
      <c r="N1152">
        <v>11161927.050000001</v>
      </c>
      <c r="O1152">
        <v>11161927.050000001</v>
      </c>
      <c r="P1152">
        <v>11274673.789999999</v>
      </c>
      <c r="Q1152">
        <v>11274673.789999999</v>
      </c>
      <c r="R1152" s="14">
        <f>_xlfn.XLOOKUP(Table2[[#This Row],[LoanID]],Table1[G-L ID],Table1[ManagerCode],-99)</f>
        <v>103</v>
      </c>
      <c r="T1152"/>
    </row>
    <row r="1153" spans="1:20" x14ac:dyDescent="0.25">
      <c r="A1153">
        <v>20120331</v>
      </c>
      <c r="B1153">
        <v>2012</v>
      </c>
      <c r="C1153">
        <v>3</v>
      </c>
      <c r="D1153">
        <v>1</v>
      </c>
      <c r="E1153">
        <v>11380</v>
      </c>
      <c r="F1153">
        <v>33502.620000000003</v>
      </c>
      <c r="G1153">
        <v>0</v>
      </c>
      <c r="H1153">
        <v>0</v>
      </c>
      <c r="I1153">
        <v>0.01</v>
      </c>
      <c r="J1153">
        <v>0</v>
      </c>
      <c r="K1153">
        <v>57197.37</v>
      </c>
      <c r="L1153">
        <v>5752350.1200000001</v>
      </c>
      <c r="M1153">
        <v>5668185.1299999999</v>
      </c>
      <c r="N1153">
        <v>5752350.1200000001</v>
      </c>
      <c r="O1153">
        <v>5668185.1299999999</v>
      </c>
      <c r="P1153">
        <v>5069754.17</v>
      </c>
      <c r="Q1153">
        <v>5012556.8</v>
      </c>
      <c r="R1153" s="14">
        <f>_xlfn.XLOOKUP(Table2[[#This Row],[LoanID]],Table1[G-L ID],Table1[ManagerCode],-99)</f>
        <v>103</v>
      </c>
      <c r="T1153"/>
    </row>
    <row r="1154" spans="1:20" x14ac:dyDescent="0.25">
      <c r="A1154">
        <v>20120331</v>
      </c>
      <c r="B1154">
        <v>2012</v>
      </c>
      <c r="C1154">
        <v>3</v>
      </c>
      <c r="D1154">
        <v>1</v>
      </c>
      <c r="E1154">
        <v>11630</v>
      </c>
      <c r="F1154">
        <v>88500.23</v>
      </c>
      <c r="G1154">
        <v>32248.6</v>
      </c>
      <c r="H1154">
        <v>0</v>
      </c>
      <c r="I1154">
        <v>0</v>
      </c>
      <c r="J1154">
        <v>-2108454.65</v>
      </c>
      <c r="K1154">
        <v>0</v>
      </c>
      <c r="L1154">
        <v>13663414.9</v>
      </c>
      <c r="M1154">
        <v>15804118.15</v>
      </c>
      <c r="N1154">
        <v>13663414.9</v>
      </c>
      <c r="O1154">
        <v>15804118.15</v>
      </c>
      <c r="P1154">
        <v>13663414.9</v>
      </c>
      <c r="Q1154">
        <v>15804118.15</v>
      </c>
      <c r="R1154" s="14">
        <f>_xlfn.XLOOKUP(Table2[[#This Row],[LoanID]],Table1[G-L ID],Table1[ManagerCode],-99)</f>
        <v>183</v>
      </c>
      <c r="T1154"/>
    </row>
    <row r="1155" spans="1:20" x14ac:dyDescent="0.25">
      <c r="A1155">
        <v>20120331</v>
      </c>
      <c r="B1155">
        <v>2012</v>
      </c>
      <c r="C1155">
        <v>3</v>
      </c>
      <c r="D1155">
        <v>1</v>
      </c>
      <c r="E1155">
        <v>11650</v>
      </c>
      <c r="F1155">
        <v>75000</v>
      </c>
      <c r="G1155">
        <v>0</v>
      </c>
      <c r="H1155">
        <v>0</v>
      </c>
      <c r="I1155">
        <v>0</v>
      </c>
      <c r="J1155">
        <v>0</v>
      </c>
      <c r="K1155">
        <v>0</v>
      </c>
      <c r="L1155">
        <v>9600000</v>
      </c>
      <c r="M1155">
        <v>9600000</v>
      </c>
      <c r="N1155">
        <v>9600000</v>
      </c>
      <c r="O1155">
        <v>9600000</v>
      </c>
      <c r="P1155">
        <v>12000000</v>
      </c>
      <c r="Q1155">
        <v>12000000</v>
      </c>
      <c r="R1155" s="14">
        <f>_xlfn.XLOOKUP(Table2[[#This Row],[LoanID]],Table1[G-L ID],Table1[ManagerCode],-99)</f>
        <v>103</v>
      </c>
      <c r="T1155"/>
    </row>
    <row r="1156" spans="1:20" x14ac:dyDescent="0.25">
      <c r="A1156">
        <v>20120331</v>
      </c>
      <c r="B1156">
        <v>2012</v>
      </c>
      <c r="C1156">
        <v>3</v>
      </c>
      <c r="D1156">
        <v>1</v>
      </c>
      <c r="E1156">
        <v>11780</v>
      </c>
      <c r="F1156">
        <v>174065.16</v>
      </c>
      <c r="G1156">
        <v>0</v>
      </c>
      <c r="H1156">
        <v>0</v>
      </c>
      <c r="I1156">
        <v>-1050.96</v>
      </c>
      <c r="J1156">
        <v>0</v>
      </c>
      <c r="K1156">
        <v>150746.71</v>
      </c>
      <c r="L1156">
        <v>27466531.309999999</v>
      </c>
      <c r="M1156">
        <v>27603780</v>
      </c>
      <c r="N1156">
        <v>27466531.309999999</v>
      </c>
      <c r="O1156">
        <v>27603780</v>
      </c>
      <c r="P1156">
        <v>65231966.770000003</v>
      </c>
      <c r="Q1156">
        <v>65081220.060000002</v>
      </c>
      <c r="R1156" s="14">
        <f>_xlfn.XLOOKUP(Table2[[#This Row],[LoanID]],Table1[G-L ID],Table1[ManagerCode],-99)</f>
        <v>103</v>
      </c>
      <c r="T1156"/>
    </row>
    <row r="1157" spans="1:20" x14ac:dyDescent="0.25">
      <c r="A1157">
        <v>20120331</v>
      </c>
      <c r="B1157">
        <v>2012</v>
      </c>
      <c r="C1157">
        <v>3</v>
      </c>
      <c r="D1157">
        <v>1</v>
      </c>
      <c r="E1157">
        <v>11800</v>
      </c>
      <c r="F1157">
        <v>153529.26</v>
      </c>
      <c r="G1157">
        <v>0</v>
      </c>
      <c r="H1157">
        <v>0</v>
      </c>
      <c r="I1157">
        <v>-258.33999999999997</v>
      </c>
      <c r="J1157">
        <v>0</v>
      </c>
      <c r="K1157">
        <v>64655.9</v>
      </c>
      <c r="L1157">
        <v>28862429.489999998</v>
      </c>
      <c r="M1157">
        <v>28804239.120000001</v>
      </c>
      <c r="N1157">
        <v>28862429.489999998</v>
      </c>
      <c r="O1157">
        <v>28804239.120000001</v>
      </c>
      <c r="P1157">
        <v>32069334.039999999</v>
      </c>
      <c r="Q1157">
        <v>32004678.140000001</v>
      </c>
      <c r="R1157" s="14">
        <f>_xlfn.XLOOKUP(Table2[[#This Row],[LoanID]],Table1[G-L ID],Table1[ManagerCode],-99)</f>
        <v>103</v>
      </c>
      <c r="T1157"/>
    </row>
    <row r="1158" spans="1:20" x14ac:dyDescent="0.25">
      <c r="A1158">
        <v>20120331</v>
      </c>
      <c r="B1158">
        <v>2012</v>
      </c>
      <c r="C1158">
        <v>3</v>
      </c>
      <c r="D1158">
        <v>1</v>
      </c>
      <c r="E1158">
        <v>11810</v>
      </c>
      <c r="F1158">
        <v>51166.67</v>
      </c>
      <c r="G1158">
        <v>0</v>
      </c>
      <c r="H1158">
        <v>0</v>
      </c>
      <c r="I1158">
        <v>0</v>
      </c>
      <c r="J1158">
        <v>0</v>
      </c>
      <c r="K1158">
        <v>0</v>
      </c>
      <c r="L1158">
        <v>9867122.8000000007</v>
      </c>
      <c r="M1158">
        <v>9801181.8800000008</v>
      </c>
      <c r="N1158">
        <v>9867122.8000000007</v>
      </c>
      <c r="O1158">
        <v>9801181.8800000008</v>
      </c>
      <c r="P1158">
        <v>10000000</v>
      </c>
      <c r="Q1158">
        <v>10000000</v>
      </c>
      <c r="R1158" s="14">
        <f>_xlfn.XLOOKUP(Table2[[#This Row],[LoanID]],Table1[G-L ID],Table1[ManagerCode],-99)</f>
        <v>103</v>
      </c>
      <c r="T1158"/>
    </row>
    <row r="1159" spans="1:20" x14ac:dyDescent="0.25">
      <c r="A1159">
        <v>20120331</v>
      </c>
      <c r="B1159">
        <v>2012</v>
      </c>
      <c r="C1159">
        <v>3</v>
      </c>
      <c r="D1159">
        <v>1</v>
      </c>
      <c r="E1159">
        <v>11970</v>
      </c>
      <c r="F1159">
        <v>1081.69</v>
      </c>
      <c r="G1159">
        <v>1285.29</v>
      </c>
      <c r="H1159">
        <v>0</v>
      </c>
      <c r="I1159">
        <v>0</v>
      </c>
      <c r="J1159">
        <v>-228188.69</v>
      </c>
      <c r="K1159">
        <v>0</v>
      </c>
      <c r="L1159">
        <v>141630.24</v>
      </c>
      <c r="M1159">
        <v>371104.22</v>
      </c>
      <c r="N1159">
        <v>141630.24</v>
      </c>
      <c r="O1159">
        <v>371104.22</v>
      </c>
      <c r="P1159">
        <v>141630.24</v>
      </c>
      <c r="Q1159">
        <v>371104.22</v>
      </c>
      <c r="R1159" s="14">
        <f>_xlfn.XLOOKUP(Table2[[#This Row],[LoanID]],Table1[G-L ID],Table1[ManagerCode],-99)</f>
        <v>183</v>
      </c>
      <c r="T1159"/>
    </row>
    <row r="1160" spans="1:20" x14ac:dyDescent="0.25">
      <c r="A1160">
        <v>20120331</v>
      </c>
      <c r="B1160">
        <v>2012</v>
      </c>
      <c r="C1160">
        <v>3</v>
      </c>
      <c r="D1160">
        <v>1</v>
      </c>
      <c r="E1160">
        <v>12020</v>
      </c>
      <c r="F1160">
        <v>17786.580000000002</v>
      </c>
      <c r="G1160">
        <v>19988.07</v>
      </c>
      <c r="H1160">
        <v>0</v>
      </c>
      <c r="I1160">
        <v>0</v>
      </c>
      <c r="J1160">
        <v>-496698.2</v>
      </c>
      <c r="K1160">
        <v>0</v>
      </c>
      <c r="L1160">
        <v>2826429.52</v>
      </c>
      <c r="M1160">
        <v>3343115.79</v>
      </c>
      <c r="N1160">
        <v>2826429.52</v>
      </c>
      <c r="O1160">
        <v>3343115.79</v>
      </c>
      <c r="P1160">
        <v>2826429.52</v>
      </c>
      <c r="Q1160">
        <v>3343115.79</v>
      </c>
      <c r="R1160" s="14">
        <f>_xlfn.XLOOKUP(Table2[[#This Row],[LoanID]],Table1[G-L ID],Table1[ManagerCode],-99)</f>
        <v>183</v>
      </c>
      <c r="T1160"/>
    </row>
    <row r="1161" spans="1:20" x14ac:dyDescent="0.25">
      <c r="A1161">
        <v>20120331</v>
      </c>
      <c r="B1161">
        <v>2012</v>
      </c>
      <c r="C1161">
        <v>3</v>
      </c>
      <c r="D1161">
        <v>1</v>
      </c>
      <c r="E1161">
        <v>12210</v>
      </c>
      <c r="F1161">
        <v>718459.69</v>
      </c>
      <c r="G1161">
        <v>0</v>
      </c>
      <c r="H1161">
        <v>0</v>
      </c>
      <c r="I1161">
        <v>0</v>
      </c>
      <c r="J1161">
        <v>0</v>
      </c>
      <c r="K1161">
        <v>184617.72</v>
      </c>
      <c r="L1161">
        <v>138520583.80000001</v>
      </c>
      <c r="M1161">
        <v>138270858.5</v>
      </c>
      <c r="N1161">
        <v>138520583.80000001</v>
      </c>
      <c r="O1161">
        <v>138270858.5</v>
      </c>
      <c r="P1161">
        <v>116247936.09999999</v>
      </c>
      <c r="Q1161">
        <v>116063318.40000001</v>
      </c>
      <c r="R1161" s="14">
        <f>_xlfn.XLOOKUP(Table2[[#This Row],[LoanID]],Table1[G-L ID],Table1[ManagerCode],-99)</f>
        <v>103</v>
      </c>
      <c r="T1161"/>
    </row>
    <row r="1162" spans="1:20" x14ac:dyDescent="0.25">
      <c r="A1162">
        <v>20120430</v>
      </c>
      <c r="B1162">
        <v>2012</v>
      </c>
      <c r="C1162">
        <v>4</v>
      </c>
      <c r="D1162">
        <v>1</v>
      </c>
      <c r="E1162">
        <v>10050</v>
      </c>
      <c r="F1162">
        <v>153981.01999999999</v>
      </c>
      <c r="G1162">
        <v>0</v>
      </c>
      <c r="H1162">
        <v>0</v>
      </c>
      <c r="I1162">
        <v>0</v>
      </c>
      <c r="J1162">
        <v>0</v>
      </c>
      <c r="K1162">
        <v>0</v>
      </c>
      <c r="L1162">
        <v>35929147.229999997</v>
      </c>
      <c r="M1162">
        <v>35696343.079999998</v>
      </c>
      <c r="N1162">
        <v>35929147.229999997</v>
      </c>
      <c r="O1162">
        <v>35696343.079999998</v>
      </c>
      <c r="P1162">
        <v>33333334</v>
      </c>
      <c r="Q1162">
        <v>33333334</v>
      </c>
      <c r="R1162" s="14">
        <f>_xlfn.XLOOKUP(Table2[[#This Row],[LoanID]],Table1[G-L ID],Table1[ManagerCode],-99)</f>
        <v>103</v>
      </c>
      <c r="T1162"/>
    </row>
    <row r="1163" spans="1:20" x14ac:dyDescent="0.25">
      <c r="A1163">
        <v>20120430</v>
      </c>
      <c r="B1163">
        <v>2012</v>
      </c>
      <c r="C1163">
        <v>4</v>
      </c>
      <c r="D1163">
        <v>1</v>
      </c>
      <c r="E1163">
        <v>10080</v>
      </c>
      <c r="F1163">
        <v>351042.71</v>
      </c>
      <c r="G1163">
        <v>0</v>
      </c>
      <c r="H1163">
        <v>0</v>
      </c>
      <c r="I1163">
        <v>-161.46</v>
      </c>
      <c r="J1163">
        <v>0</v>
      </c>
      <c r="K1163">
        <v>0</v>
      </c>
      <c r="L1163">
        <v>74103003.200000003</v>
      </c>
      <c r="M1163">
        <v>74249925.75</v>
      </c>
      <c r="N1163">
        <v>74103003.200000003</v>
      </c>
      <c r="O1163">
        <v>74249925.75</v>
      </c>
      <c r="P1163">
        <v>75000000</v>
      </c>
      <c r="Q1163">
        <v>75000000</v>
      </c>
      <c r="R1163" s="14">
        <f>_xlfn.XLOOKUP(Table2[[#This Row],[LoanID]],Table1[G-L ID],Table1[ManagerCode],-99)</f>
        <v>103</v>
      </c>
      <c r="T1163"/>
    </row>
    <row r="1164" spans="1:20" x14ac:dyDescent="0.25">
      <c r="A1164">
        <v>20120430</v>
      </c>
      <c r="B1164">
        <v>2012</v>
      </c>
      <c r="C1164">
        <v>4</v>
      </c>
      <c r="D1164">
        <v>1</v>
      </c>
      <c r="E1164">
        <v>10130</v>
      </c>
      <c r="F1164">
        <v>35262.199999999997</v>
      </c>
      <c r="G1164">
        <v>0</v>
      </c>
      <c r="H1164">
        <v>0</v>
      </c>
      <c r="I1164">
        <v>0</v>
      </c>
      <c r="J1164">
        <v>0</v>
      </c>
      <c r="K1164">
        <v>32428.49</v>
      </c>
      <c r="L1164">
        <v>8106220.8399999999</v>
      </c>
      <c r="M1164">
        <v>8021469.9299999997</v>
      </c>
      <c r="N1164">
        <v>8106220.8399999999</v>
      </c>
      <c r="O1164">
        <v>8021469.9299999997</v>
      </c>
      <c r="P1164">
        <v>7792751.5300000003</v>
      </c>
      <c r="Q1164">
        <v>7760323.04</v>
      </c>
      <c r="R1164" s="14">
        <f>_xlfn.XLOOKUP(Table2[[#This Row],[LoanID]],Table1[G-L ID],Table1[ManagerCode],-99)</f>
        <v>103</v>
      </c>
      <c r="T1164"/>
    </row>
    <row r="1165" spans="1:20" x14ac:dyDescent="0.25">
      <c r="A1165">
        <v>20120430</v>
      </c>
      <c r="B1165">
        <v>2012</v>
      </c>
      <c r="C1165">
        <v>4</v>
      </c>
      <c r="D1165">
        <v>1</v>
      </c>
      <c r="E1165">
        <v>10140</v>
      </c>
      <c r="F1165">
        <v>93018.01</v>
      </c>
      <c r="G1165">
        <v>0</v>
      </c>
      <c r="H1165">
        <v>0</v>
      </c>
      <c r="I1165">
        <v>0</v>
      </c>
      <c r="J1165">
        <v>0</v>
      </c>
      <c r="K1165">
        <v>84806.32</v>
      </c>
      <c r="L1165">
        <v>21383651.98</v>
      </c>
      <c r="M1165">
        <v>21160793.699999999</v>
      </c>
      <c r="N1165">
        <v>21383651.98</v>
      </c>
      <c r="O1165">
        <v>21160793.699999999</v>
      </c>
      <c r="P1165">
        <v>20556465.41</v>
      </c>
      <c r="Q1165">
        <v>20471659.09</v>
      </c>
      <c r="R1165" s="14">
        <f>_xlfn.XLOOKUP(Table2[[#This Row],[LoanID]],Table1[G-L ID],Table1[ManagerCode],-99)</f>
        <v>103</v>
      </c>
      <c r="T1165"/>
    </row>
    <row r="1166" spans="1:20" x14ac:dyDescent="0.25">
      <c r="A1166">
        <v>20120430</v>
      </c>
      <c r="B1166">
        <v>2012</v>
      </c>
      <c r="C1166">
        <v>4</v>
      </c>
      <c r="D1166">
        <v>1</v>
      </c>
      <c r="E1166">
        <v>10150</v>
      </c>
      <c r="F1166">
        <v>240707.16</v>
      </c>
      <c r="G1166">
        <v>0</v>
      </c>
      <c r="H1166">
        <v>0</v>
      </c>
      <c r="I1166">
        <v>0</v>
      </c>
      <c r="J1166">
        <v>0</v>
      </c>
      <c r="K1166">
        <v>72612.84</v>
      </c>
      <c r="L1166">
        <v>51710792.079999998</v>
      </c>
      <c r="M1166">
        <v>51638905.240000002</v>
      </c>
      <c r="N1166">
        <v>51710792.079999998</v>
      </c>
      <c r="O1166">
        <v>51638905.240000002</v>
      </c>
      <c r="P1166">
        <v>52233018.850000001</v>
      </c>
      <c r="Q1166">
        <v>52160406.009999998</v>
      </c>
      <c r="R1166" s="14">
        <f>_xlfn.XLOOKUP(Table2[[#This Row],[LoanID]],Table1[G-L ID],Table1[ManagerCode],-99)</f>
        <v>103</v>
      </c>
      <c r="T1166"/>
    </row>
    <row r="1167" spans="1:20" x14ac:dyDescent="0.25">
      <c r="A1167">
        <v>20120430</v>
      </c>
      <c r="B1167">
        <v>2012</v>
      </c>
      <c r="C1167">
        <v>4</v>
      </c>
      <c r="D1167">
        <v>1</v>
      </c>
      <c r="E1167">
        <v>10170</v>
      </c>
      <c r="F1167">
        <v>247398.11</v>
      </c>
      <c r="G1167">
        <v>0</v>
      </c>
      <c r="H1167">
        <v>0</v>
      </c>
      <c r="I1167">
        <v>-1185.6099999999999</v>
      </c>
      <c r="J1167">
        <v>0</v>
      </c>
      <c r="K1167">
        <v>68109.240000000005</v>
      </c>
      <c r="L1167">
        <v>49470674.5</v>
      </c>
      <c r="M1167">
        <v>49017015.200000003</v>
      </c>
      <c r="N1167">
        <v>49470674.5</v>
      </c>
      <c r="O1167">
        <v>49017015.200000003</v>
      </c>
      <c r="P1167">
        <v>45894733.130000003</v>
      </c>
      <c r="Q1167">
        <v>45826623.890000001</v>
      </c>
      <c r="R1167" s="14">
        <f>_xlfn.XLOOKUP(Table2[[#This Row],[LoanID]],Table1[G-L ID],Table1[ManagerCode],-99)</f>
        <v>103</v>
      </c>
      <c r="T1167"/>
    </row>
    <row r="1168" spans="1:20" x14ac:dyDescent="0.25">
      <c r="A1168">
        <v>20120430</v>
      </c>
      <c r="B1168">
        <v>2012</v>
      </c>
      <c r="C1168">
        <v>4</v>
      </c>
      <c r="D1168">
        <v>1</v>
      </c>
      <c r="E1168">
        <v>10210</v>
      </c>
      <c r="F1168">
        <v>35224.720000000001</v>
      </c>
      <c r="G1168">
        <v>76005.539999999994</v>
      </c>
      <c r="H1168">
        <v>0</v>
      </c>
      <c r="I1168">
        <v>0</v>
      </c>
      <c r="J1168">
        <v>-35224.720000000001</v>
      </c>
      <c r="K1168">
        <v>0</v>
      </c>
      <c r="L1168">
        <v>10045056.77</v>
      </c>
      <c r="M1168">
        <v>10156287.029999999</v>
      </c>
      <c r="N1168">
        <v>10045056.77</v>
      </c>
      <c r="O1168">
        <v>10156287.029999999</v>
      </c>
      <c r="P1168">
        <v>10045056.77</v>
      </c>
      <c r="Q1168">
        <v>10156287.029999999</v>
      </c>
      <c r="R1168" s="14">
        <f>_xlfn.XLOOKUP(Table2[[#This Row],[LoanID]],Table1[G-L ID],Table1[ManagerCode],-99)</f>
        <v>183</v>
      </c>
      <c r="T1168"/>
    </row>
    <row r="1169" spans="1:20" x14ac:dyDescent="0.25">
      <c r="A1169">
        <v>20120430</v>
      </c>
      <c r="B1169">
        <v>2012</v>
      </c>
      <c r="C1169">
        <v>4</v>
      </c>
      <c r="D1169">
        <v>1</v>
      </c>
      <c r="E1169">
        <v>10230</v>
      </c>
      <c r="F1169">
        <v>181363.92</v>
      </c>
      <c r="G1169">
        <v>0</v>
      </c>
      <c r="H1169">
        <v>0</v>
      </c>
      <c r="I1169">
        <v>0</v>
      </c>
      <c r="J1169">
        <v>0</v>
      </c>
      <c r="K1169">
        <v>60234.15</v>
      </c>
      <c r="L1169">
        <v>27446765.760000002</v>
      </c>
      <c r="M1169">
        <v>27395566.710000001</v>
      </c>
      <c r="N1169">
        <v>27446765.760000002</v>
      </c>
      <c r="O1169">
        <v>27395566.710000001</v>
      </c>
      <c r="P1169">
        <v>32290312.649999999</v>
      </c>
      <c r="Q1169">
        <v>32230078.5</v>
      </c>
      <c r="R1169" s="14">
        <f>_xlfn.XLOOKUP(Table2[[#This Row],[LoanID]],Table1[G-L ID],Table1[ManagerCode],-99)</f>
        <v>103</v>
      </c>
      <c r="T1169"/>
    </row>
    <row r="1170" spans="1:20" x14ac:dyDescent="0.25">
      <c r="A1170">
        <v>20120430</v>
      </c>
      <c r="B1170">
        <v>2012</v>
      </c>
      <c r="C1170">
        <v>4</v>
      </c>
      <c r="D1170">
        <v>1</v>
      </c>
      <c r="E1170">
        <v>10280</v>
      </c>
      <c r="F1170">
        <v>181412</v>
      </c>
      <c r="G1170">
        <v>0</v>
      </c>
      <c r="H1170">
        <v>0</v>
      </c>
      <c r="I1170">
        <v>0</v>
      </c>
      <c r="J1170">
        <v>0</v>
      </c>
      <c r="K1170">
        <v>0</v>
      </c>
      <c r="L1170">
        <v>33250033.25</v>
      </c>
      <c r="M1170">
        <v>33250033.25</v>
      </c>
      <c r="N1170">
        <v>33250033.25</v>
      </c>
      <c r="O1170">
        <v>33250033.25</v>
      </c>
      <c r="P1170">
        <v>35000000</v>
      </c>
      <c r="Q1170">
        <v>35000000</v>
      </c>
      <c r="R1170" s="14">
        <f>_xlfn.XLOOKUP(Table2[[#This Row],[LoanID]],Table1[G-L ID],Table1[ManagerCode],-99)</f>
        <v>103</v>
      </c>
      <c r="T1170"/>
    </row>
    <row r="1171" spans="1:20" x14ac:dyDescent="0.25">
      <c r="A1171">
        <v>20120430</v>
      </c>
      <c r="B1171">
        <v>2012</v>
      </c>
      <c r="C1171">
        <v>4</v>
      </c>
      <c r="D1171">
        <v>1</v>
      </c>
      <c r="E1171">
        <v>10290</v>
      </c>
      <c r="F1171">
        <v>171300.83</v>
      </c>
      <c r="G1171">
        <v>0</v>
      </c>
      <c r="H1171">
        <v>0</v>
      </c>
      <c r="I1171">
        <v>0</v>
      </c>
      <c r="J1171">
        <v>0</v>
      </c>
      <c r="K1171">
        <v>0</v>
      </c>
      <c r="L1171">
        <v>22500000</v>
      </c>
      <c r="M1171">
        <v>22500000</v>
      </c>
      <c r="N1171">
        <v>22500000</v>
      </c>
      <c r="O1171">
        <v>22500000</v>
      </c>
      <c r="P1171">
        <v>25000000</v>
      </c>
      <c r="Q1171">
        <v>25000000</v>
      </c>
      <c r="R1171" s="14">
        <f>_xlfn.XLOOKUP(Table2[[#This Row],[LoanID]],Table1[G-L ID],Table1[ManagerCode],-99)</f>
        <v>103</v>
      </c>
      <c r="T1171"/>
    </row>
    <row r="1172" spans="1:20" x14ac:dyDescent="0.25">
      <c r="A1172">
        <v>20120430</v>
      </c>
      <c r="B1172">
        <v>2012</v>
      </c>
      <c r="C1172">
        <v>4</v>
      </c>
      <c r="D1172">
        <v>1</v>
      </c>
      <c r="E1172">
        <v>10300</v>
      </c>
      <c r="F1172">
        <v>149887.93</v>
      </c>
      <c r="G1172">
        <v>0</v>
      </c>
      <c r="H1172">
        <v>0</v>
      </c>
      <c r="I1172">
        <v>0</v>
      </c>
      <c r="J1172">
        <v>0</v>
      </c>
      <c r="K1172">
        <v>0</v>
      </c>
      <c r="L1172">
        <v>34101428.829999998</v>
      </c>
      <c r="M1172">
        <v>33687829.390000001</v>
      </c>
      <c r="N1172">
        <v>34101428.829999998</v>
      </c>
      <c r="O1172">
        <v>33687829.390000001</v>
      </c>
      <c r="P1172">
        <v>35000000</v>
      </c>
      <c r="Q1172">
        <v>35000000</v>
      </c>
      <c r="R1172" s="14">
        <f>_xlfn.XLOOKUP(Table2[[#This Row],[LoanID]],Table1[G-L ID],Table1[ManagerCode],-99)</f>
        <v>103</v>
      </c>
      <c r="T1172"/>
    </row>
    <row r="1173" spans="1:20" x14ac:dyDescent="0.25">
      <c r="A1173">
        <v>20120430</v>
      </c>
      <c r="B1173">
        <v>2012</v>
      </c>
      <c r="C1173">
        <v>4</v>
      </c>
      <c r="D1173">
        <v>1</v>
      </c>
      <c r="E1173">
        <v>10310</v>
      </c>
      <c r="F1173">
        <v>100283.31</v>
      </c>
      <c r="G1173">
        <v>0</v>
      </c>
      <c r="H1173">
        <v>0</v>
      </c>
      <c r="I1173">
        <v>0</v>
      </c>
      <c r="J1173">
        <v>0</v>
      </c>
      <c r="K1173">
        <v>85685</v>
      </c>
      <c r="L1173">
        <v>14390455.300000001</v>
      </c>
      <c r="M1173">
        <v>14304770.300000001</v>
      </c>
      <c r="N1173">
        <v>14390455.300000001</v>
      </c>
      <c r="O1173">
        <v>14304770.300000001</v>
      </c>
      <c r="P1173">
        <v>14390455.300000001</v>
      </c>
      <c r="Q1173">
        <v>14304770.300000001</v>
      </c>
      <c r="R1173" s="14">
        <f>_xlfn.XLOOKUP(Table2[[#This Row],[LoanID]],Table1[G-L ID],Table1[ManagerCode],-99)</f>
        <v>183</v>
      </c>
      <c r="T1173"/>
    </row>
    <row r="1174" spans="1:20" x14ac:dyDescent="0.25">
      <c r="A1174">
        <v>20120430</v>
      </c>
      <c r="B1174">
        <v>2012</v>
      </c>
      <c r="C1174">
        <v>4</v>
      </c>
      <c r="D1174">
        <v>1</v>
      </c>
      <c r="E1174">
        <v>10370</v>
      </c>
      <c r="F1174">
        <v>4679.1000000000004</v>
      </c>
      <c r="G1174">
        <v>0</v>
      </c>
      <c r="H1174">
        <v>0</v>
      </c>
      <c r="I1174">
        <v>0</v>
      </c>
      <c r="J1174">
        <v>0</v>
      </c>
      <c r="K1174">
        <v>38226.81</v>
      </c>
      <c r="L1174">
        <v>2526714.14</v>
      </c>
      <c r="M1174">
        <v>2492310</v>
      </c>
      <c r="N1174">
        <v>2526714.14</v>
      </c>
      <c r="O1174">
        <v>2492310</v>
      </c>
      <c r="P1174">
        <v>2807460.15</v>
      </c>
      <c r="Q1174">
        <v>2769233.34</v>
      </c>
      <c r="R1174" s="14">
        <f>_xlfn.XLOOKUP(Table2[[#This Row],[LoanID]],Table1[G-L ID],Table1[ManagerCode],-99)</f>
        <v>103</v>
      </c>
      <c r="T1174"/>
    </row>
    <row r="1175" spans="1:20" x14ac:dyDescent="0.25">
      <c r="A1175">
        <v>20120430</v>
      </c>
      <c r="B1175">
        <v>2012</v>
      </c>
      <c r="C1175">
        <v>4</v>
      </c>
      <c r="D1175">
        <v>1</v>
      </c>
      <c r="E1175">
        <v>10390</v>
      </c>
      <c r="F1175">
        <v>118750</v>
      </c>
      <c r="G1175">
        <v>0</v>
      </c>
      <c r="H1175">
        <v>0</v>
      </c>
      <c r="I1175">
        <v>0</v>
      </c>
      <c r="J1175">
        <v>0</v>
      </c>
      <c r="K1175">
        <v>0</v>
      </c>
      <c r="L1175">
        <v>22500000</v>
      </c>
      <c r="M1175">
        <v>22500000</v>
      </c>
      <c r="N1175">
        <v>22500000</v>
      </c>
      <c r="O1175">
        <v>22500000</v>
      </c>
      <c r="P1175">
        <v>24994897.870000001</v>
      </c>
      <c r="Q1175">
        <v>24995101.949999999</v>
      </c>
      <c r="R1175" s="14">
        <f>_xlfn.XLOOKUP(Table2[[#This Row],[LoanID]],Table1[G-L ID],Table1[ManagerCode],-99)</f>
        <v>103</v>
      </c>
      <c r="T1175"/>
    </row>
    <row r="1176" spans="1:20" x14ac:dyDescent="0.25">
      <c r="A1176">
        <v>20120430</v>
      </c>
      <c r="B1176">
        <v>2012</v>
      </c>
      <c r="C1176">
        <v>4</v>
      </c>
      <c r="D1176">
        <v>1</v>
      </c>
      <c r="E1176">
        <v>10450</v>
      </c>
      <c r="F1176">
        <v>118790.66</v>
      </c>
      <c r="G1176">
        <v>0</v>
      </c>
      <c r="H1176">
        <v>0</v>
      </c>
      <c r="I1176">
        <v>0</v>
      </c>
      <c r="J1176">
        <v>0</v>
      </c>
      <c r="K1176">
        <v>23024.59</v>
      </c>
      <c r="L1176">
        <v>21094664.120000001</v>
      </c>
      <c r="M1176">
        <v>21071869.780000001</v>
      </c>
      <c r="N1176">
        <v>21094664.120000001</v>
      </c>
      <c r="O1176">
        <v>21071869.780000001</v>
      </c>
      <c r="P1176">
        <v>21307741.539999999</v>
      </c>
      <c r="Q1176">
        <v>21284716.949999999</v>
      </c>
      <c r="R1176" s="14">
        <f>_xlfn.XLOOKUP(Table2[[#This Row],[LoanID]],Table1[G-L ID],Table1[ManagerCode],-99)</f>
        <v>103</v>
      </c>
      <c r="T1176"/>
    </row>
    <row r="1177" spans="1:20" x14ac:dyDescent="0.25">
      <c r="A1177">
        <v>20120430</v>
      </c>
      <c r="B1177">
        <v>2012</v>
      </c>
      <c r="C1177">
        <v>4</v>
      </c>
      <c r="D1177">
        <v>1</v>
      </c>
      <c r="E1177">
        <v>10490</v>
      </c>
      <c r="F1177">
        <v>226041.67</v>
      </c>
      <c r="G1177">
        <v>0</v>
      </c>
      <c r="H1177">
        <v>0</v>
      </c>
      <c r="I1177">
        <v>0</v>
      </c>
      <c r="J1177">
        <v>0</v>
      </c>
      <c r="K1177">
        <v>0</v>
      </c>
      <c r="L1177">
        <v>25000000</v>
      </c>
      <c r="M1177">
        <v>25000000</v>
      </c>
      <c r="N1177">
        <v>25000000</v>
      </c>
      <c r="O1177">
        <v>25000000</v>
      </c>
      <c r="P1177">
        <v>25000000</v>
      </c>
      <c r="Q1177">
        <v>25000000</v>
      </c>
      <c r="R1177" s="14">
        <f>_xlfn.XLOOKUP(Table2[[#This Row],[LoanID]],Table1[G-L ID],Table1[ManagerCode],-99)</f>
        <v>220</v>
      </c>
      <c r="T1177"/>
    </row>
    <row r="1178" spans="1:20" x14ac:dyDescent="0.25">
      <c r="A1178">
        <v>20120430</v>
      </c>
      <c r="B1178">
        <v>2012</v>
      </c>
      <c r="C1178">
        <v>4</v>
      </c>
      <c r="D1178">
        <v>1</v>
      </c>
      <c r="E1178">
        <v>10550</v>
      </c>
      <c r="F1178">
        <v>20911.060000000001</v>
      </c>
      <c r="G1178">
        <v>0</v>
      </c>
      <c r="H1178">
        <v>0</v>
      </c>
      <c r="I1178">
        <v>-11.87</v>
      </c>
      <c r="J1178">
        <v>0</v>
      </c>
      <c r="K1178">
        <v>89653.15</v>
      </c>
      <c r="L1178">
        <v>3900341.5</v>
      </c>
      <c r="M1178">
        <v>3811584.88</v>
      </c>
      <c r="N1178">
        <v>3900341.5</v>
      </c>
      <c r="O1178">
        <v>3811584.88</v>
      </c>
      <c r="P1178">
        <v>3939738.89</v>
      </c>
      <c r="Q1178">
        <v>3850085.74</v>
      </c>
      <c r="R1178" s="14">
        <f>_xlfn.XLOOKUP(Table2[[#This Row],[LoanID]],Table1[G-L ID],Table1[ManagerCode],-99)</f>
        <v>103</v>
      </c>
      <c r="T1178"/>
    </row>
    <row r="1179" spans="1:20" x14ac:dyDescent="0.25">
      <c r="A1179">
        <v>20120430</v>
      </c>
      <c r="B1179">
        <v>2012</v>
      </c>
      <c r="C1179">
        <v>4</v>
      </c>
      <c r="D1179">
        <v>1</v>
      </c>
      <c r="E1179">
        <v>10560</v>
      </c>
      <c r="F1179">
        <v>515806.46</v>
      </c>
      <c r="G1179">
        <v>0</v>
      </c>
      <c r="H1179">
        <v>0</v>
      </c>
      <c r="I1179">
        <v>-292.89</v>
      </c>
      <c r="J1179">
        <v>0</v>
      </c>
      <c r="K1179">
        <v>2211443.61</v>
      </c>
      <c r="L1179">
        <v>96208423.060000002</v>
      </c>
      <c r="M1179">
        <v>94019093.879999995</v>
      </c>
      <c r="N1179">
        <v>96208423.060000002</v>
      </c>
      <c r="O1179">
        <v>94019093.879999995</v>
      </c>
      <c r="P1179">
        <v>97180225.019999996</v>
      </c>
      <c r="Q1179">
        <v>94968781.409999996</v>
      </c>
      <c r="R1179" s="14">
        <f>_xlfn.XLOOKUP(Table2[[#This Row],[LoanID]],Table1[G-L ID],Table1[ManagerCode],-99)</f>
        <v>103</v>
      </c>
      <c r="T1179"/>
    </row>
    <row r="1180" spans="1:20" x14ac:dyDescent="0.25">
      <c r="A1180">
        <v>20120430</v>
      </c>
      <c r="B1180">
        <v>2012</v>
      </c>
      <c r="C1180">
        <v>4</v>
      </c>
      <c r="D1180">
        <v>1</v>
      </c>
      <c r="E1180">
        <v>10630</v>
      </c>
      <c r="F1180">
        <v>48751.28</v>
      </c>
      <c r="G1180">
        <v>0</v>
      </c>
      <c r="H1180">
        <v>0</v>
      </c>
      <c r="I1180">
        <v>0.02</v>
      </c>
      <c r="J1180">
        <v>0</v>
      </c>
      <c r="K1180">
        <v>13864.8</v>
      </c>
      <c r="L1180">
        <v>9573742.5800000001</v>
      </c>
      <c r="M1180">
        <v>9495588.5600000005</v>
      </c>
      <c r="N1180">
        <v>9573742.5800000001</v>
      </c>
      <c r="O1180">
        <v>9495588.5600000005</v>
      </c>
      <c r="P1180">
        <v>9126604.2300000004</v>
      </c>
      <c r="Q1180">
        <v>9112739.4299999997</v>
      </c>
      <c r="R1180" s="14">
        <f>_xlfn.XLOOKUP(Table2[[#This Row],[LoanID]],Table1[G-L ID],Table1[ManagerCode],-99)</f>
        <v>103</v>
      </c>
      <c r="T1180"/>
    </row>
    <row r="1181" spans="1:20" x14ac:dyDescent="0.25">
      <c r="A1181">
        <v>20120430</v>
      </c>
      <c r="B1181">
        <v>2012</v>
      </c>
      <c r="C1181">
        <v>4</v>
      </c>
      <c r="D1181">
        <v>1</v>
      </c>
      <c r="E1181">
        <v>10770</v>
      </c>
      <c r="F1181">
        <v>294112.5</v>
      </c>
      <c r="G1181">
        <v>0</v>
      </c>
      <c r="H1181">
        <v>0</v>
      </c>
      <c r="I1181">
        <v>0</v>
      </c>
      <c r="J1181">
        <v>0</v>
      </c>
      <c r="K1181">
        <v>0</v>
      </c>
      <c r="L1181">
        <v>109250000</v>
      </c>
      <c r="M1181">
        <v>109250000</v>
      </c>
      <c r="N1181">
        <v>109250000</v>
      </c>
      <c r="O1181">
        <v>109250000</v>
      </c>
      <c r="P1181">
        <v>115000000</v>
      </c>
      <c r="Q1181">
        <v>115000000</v>
      </c>
      <c r="R1181" s="14">
        <f>_xlfn.XLOOKUP(Table2[[#This Row],[LoanID]],Table1[G-L ID],Table1[ManagerCode],-99)</f>
        <v>103</v>
      </c>
      <c r="T1181"/>
    </row>
    <row r="1182" spans="1:20" x14ac:dyDescent="0.25">
      <c r="A1182">
        <v>20120430</v>
      </c>
      <c r="B1182">
        <v>2012</v>
      </c>
      <c r="C1182">
        <v>4</v>
      </c>
      <c r="D1182">
        <v>1</v>
      </c>
      <c r="E1182">
        <v>10880</v>
      </c>
      <c r="F1182">
        <v>302801.83</v>
      </c>
      <c r="G1182">
        <v>0</v>
      </c>
      <c r="H1182">
        <v>0</v>
      </c>
      <c r="I1182">
        <v>0</v>
      </c>
      <c r="J1182">
        <v>0</v>
      </c>
      <c r="K1182">
        <v>0</v>
      </c>
      <c r="L1182">
        <v>195725675.19999999</v>
      </c>
      <c r="M1182">
        <v>196259534.5</v>
      </c>
      <c r="N1182">
        <v>195725675.19999999</v>
      </c>
      <c r="O1182">
        <v>196259534.5</v>
      </c>
      <c r="P1182">
        <v>201744599.09999999</v>
      </c>
      <c r="Q1182">
        <v>201744599.09999999</v>
      </c>
      <c r="R1182" s="14">
        <f>_xlfn.XLOOKUP(Table2[[#This Row],[LoanID]],Table1[G-L ID],Table1[ManagerCode],-99)</f>
        <v>103</v>
      </c>
      <c r="T1182"/>
    </row>
    <row r="1183" spans="1:20" x14ac:dyDescent="0.25">
      <c r="A1183">
        <v>20120430</v>
      </c>
      <c r="B1183">
        <v>2012</v>
      </c>
      <c r="C1183">
        <v>4</v>
      </c>
      <c r="D1183">
        <v>1</v>
      </c>
      <c r="E1183">
        <v>10900</v>
      </c>
      <c r="F1183">
        <v>81726.710000000006</v>
      </c>
      <c r="G1183">
        <v>0</v>
      </c>
      <c r="H1183">
        <v>0</v>
      </c>
      <c r="I1183">
        <v>0</v>
      </c>
      <c r="J1183">
        <v>0</v>
      </c>
      <c r="K1183">
        <v>1890.35</v>
      </c>
      <c r="L1183">
        <v>8196637.96</v>
      </c>
      <c r="M1183">
        <v>8194842.1100000003</v>
      </c>
      <c r="N1183">
        <v>8196637.96</v>
      </c>
      <c r="O1183">
        <v>8194842.1100000003</v>
      </c>
      <c r="P1183">
        <v>8628039.9399999995</v>
      </c>
      <c r="Q1183">
        <v>8626149.5899999999</v>
      </c>
      <c r="R1183" s="14">
        <f>_xlfn.XLOOKUP(Table2[[#This Row],[LoanID]],Table1[G-L ID],Table1[ManagerCode],-99)</f>
        <v>103</v>
      </c>
      <c r="T1183"/>
    </row>
    <row r="1184" spans="1:20" x14ac:dyDescent="0.25">
      <c r="A1184">
        <v>20120430</v>
      </c>
      <c r="B1184">
        <v>2012</v>
      </c>
      <c r="C1184">
        <v>4</v>
      </c>
      <c r="D1184">
        <v>1</v>
      </c>
      <c r="E1184">
        <v>10950</v>
      </c>
      <c r="F1184">
        <v>52980.44</v>
      </c>
      <c r="G1184">
        <v>0</v>
      </c>
      <c r="H1184">
        <v>0</v>
      </c>
      <c r="I1184">
        <v>0</v>
      </c>
      <c r="J1184">
        <v>0</v>
      </c>
      <c r="K1184">
        <v>24042.58</v>
      </c>
      <c r="L1184">
        <v>10560529.85</v>
      </c>
      <c r="M1184">
        <v>10536727.720000001</v>
      </c>
      <c r="N1184">
        <v>10560529.85</v>
      </c>
      <c r="O1184">
        <v>10536727.720000001</v>
      </c>
      <c r="P1184">
        <v>10667201.880000001</v>
      </c>
      <c r="Q1184">
        <v>10643159.300000001</v>
      </c>
      <c r="R1184" s="14">
        <f>_xlfn.XLOOKUP(Table2[[#This Row],[LoanID]],Table1[G-L ID],Table1[ManagerCode],-99)</f>
        <v>103</v>
      </c>
      <c r="T1184"/>
    </row>
    <row r="1185" spans="1:20" x14ac:dyDescent="0.25">
      <c r="A1185">
        <v>20120430</v>
      </c>
      <c r="B1185">
        <v>2012</v>
      </c>
      <c r="C1185">
        <v>4</v>
      </c>
      <c r="D1185">
        <v>1</v>
      </c>
      <c r="E1185">
        <v>10980</v>
      </c>
      <c r="F1185">
        <v>54956.01</v>
      </c>
      <c r="G1185">
        <v>11497.49</v>
      </c>
      <c r="H1185">
        <v>0</v>
      </c>
      <c r="I1185">
        <v>0</v>
      </c>
      <c r="J1185">
        <v>-733171.99</v>
      </c>
      <c r="K1185">
        <v>0</v>
      </c>
      <c r="L1185">
        <v>5116356.3099999996</v>
      </c>
      <c r="M1185">
        <v>5861025.79</v>
      </c>
      <c r="N1185">
        <v>5116356.3099999996</v>
      </c>
      <c r="O1185">
        <v>5861025.79</v>
      </c>
      <c r="P1185">
        <v>5116356.3099999996</v>
      </c>
      <c r="Q1185">
        <v>5861025.79</v>
      </c>
      <c r="R1185" s="14">
        <f>_xlfn.XLOOKUP(Table2[[#This Row],[LoanID]],Table1[G-L ID],Table1[ManagerCode],-99)</f>
        <v>183</v>
      </c>
      <c r="T1185"/>
    </row>
    <row r="1186" spans="1:20" x14ac:dyDescent="0.25">
      <c r="A1186">
        <v>20120430</v>
      </c>
      <c r="B1186">
        <v>2012</v>
      </c>
      <c r="C1186">
        <v>4</v>
      </c>
      <c r="D1186">
        <v>1</v>
      </c>
      <c r="E1186">
        <v>11110</v>
      </c>
      <c r="F1186">
        <v>78859.55</v>
      </c>
      <c r="G1186">
        <v>0</v>
      </c>
      <c r="H1186">
        <v>0</v>
      </c>
      <c r="I1186">
        <v>0</v>
      </c>
      <c r="J1186">
        <v>-881212.62</v>
      </c>
      <c r="K1186">
        <v>0</v>
      </c>
      <c r="L1186">
        <v>9834204.3699999992</v>
      </c>
      <c r="M1186">
        <v>10715416.99</v>
      </c>
      <c r="N1186">
        <v>9834204.3699999992</v>
      </c>
      <c r="O1186">
        <v>10715416.99</v>
      </c>
      <c r="P1186">
        <v>9834204.3699999992</v>
      </c>
      <c r="Q1186">
        <v>10715416.99</v>
      </c>
      <c r="R1186" s="14">
        <f>_xlfn.XLOOKUP(Table2[[#This Row],[LoanID]],Table1[G-L ID],Table1[ManagerCode],-99)</f>
        <v>183</v>
      </c>
      <c r="T1186"/>
    </row>
    <row r="1187" spans="1:20" x14ac:dyDescent="0.25">
      <c r="A1187">
        <v>20120430</v>
      </c>
      <c r="B1187">
        <v>2012</v>
      </c>
      <c r="C1187">
        <v>4</v>
      </c>
      <c r="D1187">
        <v>1</v>
      </c>
      <c r="E1187">
        <v>11140</v>
      </c>
      <c r="F1187">
        <v>1247010.77</v>
      </c>
      <c r="G1187">
        <v>0</v>
      </c>
      <c r="H1187">
        <v>0</v>
      </c>
      <c r="I1187">
        <v>-0.01</v>
      </c>
      <c r="J1187">
        <v>0</v>
      </c>
      <c r="K1187">
        <v>0</v>
      </c>
      <c r="L1187">
        <v>72505596.819999993</v>
      </c>
      <c r="M1187">
        <v>70425565.430000007</v>
      </c>
      <c r="N1187">
        <v>72505596.819999993</v>
      </c>
      <c r="O1187">
        <v>70425565.430000007</v>
      </c>
      <c r="P1187">
        <v>72436285</v>
      </c>
      <c r="Q1187">
        <v>72436285</v>
      </c>
      <c r="R1187" s="14">
        <f>_xlfn.XLOOKUP(Table2[[#This Row],[LoanID]],Table1[G-L ID],Table1[ManagerCode],-99)</f>
        <v>103</v>
      </c>
      <c r="T1187"/>
    </row>
    <row r="1188" spans="1:20" x14ac:dyDescent="0.25">
      <c r="A1188">
        <v>20120430</v>
      </c>
      <c r="B1188">
        <v>2012</v>
      </c>
      <c r="C1188">
        <v>4</v>
      </c>
      <c r="D1188">
        <v>1</v>
      </c>
      <c r="E1188">
        <v>11180</v>
      </c>
      <c r="F1188">
        <v>214041</v>
      </c>
      <c r="G1188">
        <v>0</v>
      </c>
      <c r="H1188">
        <v>0</v>
      </c>
      <c r="I1188">
        <v>-1721.97</v>
      </c>
      <c r="J1188">
        <v>0</v>
      </c>
      <c r="K1188">
        <v>0</v>
      </c>
      <c r="L1188">
        <v>179973748.30000001</v>
      </c>
      <c r="M1188">
        <v>179973748.30000001</v>
      </c>
      <c r="N1188">
        <v>179973748.30000001</v>
      </c>
      <c r="O1188">
        <v>179973748.30000001</v>
      </c>
      <c r="P1188">
        <v>199970831.5</v>
      </c>
      <c r="Q1188">
        <v>199970831.5</v>
      </c>
      <c r="R1188" s="14">
        <f>_xlfn.XLOOKUP(Table2[[#This Row],[LoanID]],Table1[G-L ID],Table1[ManagerCode],-99)</f>
        <v>103</v>
      </c>
      <c r="T1188"/>
    </row>
    <row r="1189" spans="1:20" x14ac:dyDescent="0.25">
      <c r="A1189">
        <v>20120430</v>
      </c>
      <c r="B1189">
        <v>2012</v>
      </c>
      <c r="C1189">
        <v>4</v>
      </c>
      <c r="D1189">
        <v>1</v>
      </c>
      <c r="E1189">
        <v>11200</v>
      </c>
      <c r="F1189">
        <v>69880</v>
      </c>
      <c r="G1189">
        <v>0</v>
      </c>
      <c r="H1189">
        <v>0</v>
      </c>
      <c r="I1189">
        <v>0</v>
      </c>
      <c r="J1189">
        <v>0</v>
      </c>
      <c r="K1189">
        <v>0</v>
      </c>
      <c r="L1189">
        <v>12578374.859999999</v>
      </c>
      <c r="M1189">
        <v>12578374.859999999</v>
      </c>
      <c r="N1189">
        <v>12578374.859999999</v>
      </c>
      <c r="O1189">
        <v>12578374.859999999</v>
      </c>
      <c r="P1189">
        <v>13976000</v>
      </c>
      <c r="Q1189">
        <v>13976000</v>
      </c>
      <c r="R1189" s="14">
        <f>_xlfn.XLOOKUP(Table2[[#This Row],[LoanID]],Table1[G-L ID],Table1[ManagerCode],-99)</f>
        <v>103</v>
      </c>
      <c r="T1189"/>
    </row>
    <row r="1190" spans="1:20" x14ac:dyDescent="0.25">
      <c r="A1190">
        <v>20120430</v>
      </c>
      <c r="B1190">
        <v>2012</v>
      </c>
      <c r="C1190">
        <v>4</v>
      </c>
      <c r="D1190">
        <v>1</v>
      </c>
      <c r="E1190">
        <v>11240</v>
      </c>
      <c r="F1190">
        <v>253798.37</v>
      </c>
      <c r="G1190">
        <v>0</v>
      </c>
      <c r="H1190">
        <v>0</v>
      </c>
      <c r="I1190">
        <v>0</v>
      </c>
      <c r="J1190">
        <v>0</v>
      </c>
      <c r="K1190">
        <v>0</v>
      </c>
      <c r="L1190">
        <v>185183145.30000001</v>
      </c>
      <c r="M1190">
        <v>185183145.30000001</v>
      </c>
      <c r="N1190">
        <v>185183145.30000001</v>
      </c>
      <c r="O1190">
        <v>185183145.30000001</v>
      </c>
      <c r="P1190">
        <v>194929626.59999999</v>
      </c>
      <c r="Q1190">
        <v>194929626.59999999</v>
      </c>
      <c r="R1190" s="14">
        <f>_xlfn.XLOOKUP(Table2[[#This Row],[LoanID]],Table1[G-L ID],Table1[ManagerCode],-99)</f>
        <v>103</v>
      </c>
      <c r="T1190"/>
    </row>
    <row r="1191" spans="1:20" x14ac:dyDescent="0.25">
      <c r="A1191">
        <v>20120430</v>
      </c>
      <c r="B1191">
        <v>2012</v>
      </c>
      <c r="C1191">
        <v>4</v>
      </c>
      <c r="D1191">
        <v>1</v>
      </c>
      <c r="E1191">
        <v>11280</v>
      </c>
      <c r="F1191">
        <v>24142.42</v>
      </c>
      <c r="G1191">
        <v>0</v>
      </c>
      <c r="H1191">
        <v>0</v>
      </c>
      <c r="I1191">
        <v>-156.59</v>
      </c>
      <c r="J1191">
        <v>0</v>
      </c>
      <c r="K1191">
        <v>0</v>
      </c>
      <c r="L1191">
        <v>18603211.800000001</v>
      </c>
      <c r="M1191">
        <v>18603211.800000001</v>
      </c>
      <c r="N1191">
        <v>18603211.800000001</v>
      </c>
      <c r="O1191">
        <v>18603211.800000001</v>
      </c>
      <c r="P1191">
        <v>18791123.030000001</v>
      </c>
      <c r="Q1191">
        <v>18791123.030000001</v>
      </c>
      <c r="R1191" s="14">
        <f>_xlfn.XLOOKUP(Table2[[#This Row],[LoanID]],Table1[G-L ID],Table1[ManagerCode],-99)</f>
        <v>103</v>
      </c>
      <c r="T1191"/>
    </row>
    <row r="1192" spans="1:20" x14ac:dyDescent="0.25">
      <c r="A1192">
        <v>20120430</v>
      </c>
      <c r="B1192">
        <v>2012</v>
      </c>
      <c r="C1192">
        <v>4</v>
      </c>
      <c r="D1192">
        <v>1</v>
      </c>
      <c r="E1192">
        <v>11300</v>
      </c>
      <c r="F1192">
        <v>21728.18</v>
      </c>
      <c r="G1192">
        <v>0</v>
      </c>
      <c r="H1192">
        <v>0</v>
      </c>
      <c r="I1192">
        <v>-140.93</v>
      </c>
      <c r="J1192">
        <v>0</v>
      </c>
      <c r="K1192">
        <v>0</v>
      </c>
      <c r="L1192">
        <v>16742890.619999999</v>
      </c>
      <c r="M1192">
        <v>16742890.619999999</v>
      </c>
      <c r="N1192">
        <v>16742890.619999999</v>
      </c>
      <c r="O1192">
        <v>16742890.619999999</v>
      </c>
      <c r="P1192">
        <v>16912010.73</v>
      </c>
      <c r="Q1192">
        <v>16912010.73</v>
      </c>
      <c r="R1192" s="14">
        <f>_xlfn.XLOOKUP(Table2[[#This Row],[LoanID]],Table1[G-L ID],Table1[ManagerCode],-99)</f>
        <v>103</v>
      </c>
      <c r="T1192"/>
    </row>
    <row r="1193" spans="1:20" x14ac:dyDescent="0.25">
      <c r="A1193">
        <v>20120430</v>
      </c>
      <c r="B1193">
        <v>2012</v>
      </c>
      <c r="C1193">
        <v>4</v>
      </c>
      <c r="D1193">
        <v>1</v>
      </c>
      <c r="E1193">
        <v>11310</v>
      </c>
      <c r="F1193">
        <v>14485.45</v>
      </c>
      <c r="G1193">
        <v>0</v>
      </c>
      <c r="H1193">
        <v>0</v>
      </c>
      <c r="I1193">
        <v>-93.96</v>
      </c>
      <c r="J1193">
        <v>0</v>
      </c>
      <c r="K1193">
        <v>0</v>
      </c>
      <c r="L1193">
        <v>11161927.050000001</v>
      </c>
      <c r="M1193">
        <v>11161927.050000001</v>
      </c>
      <c r="N1193">
        <v>11161927.050000001</v>
      </c>
      <c r="O1193">
        <v>11161927.050000001</v>
      </c>
      <c r="P1193">
        <v>11274673.789999999</v>
      </c>
      <c r="Q1193">
        <v>11274673.789999999</v>
      </c>
      <c r="R1193" s="14">
        <f>_xlfn.XLOOKUP(Table2[[#This Row],[LoanID]],Table1[G-L ID],Table1[ManagerCode],-99)</f>
        <v>103</v>
      </c>
      <c r="T1193"/>
    </row>
    <row r="1194" spans="1:20" x14ac:dyDescent="0.25">
      <c r="A1194">
        <v>20120430</v>
      </c>
      <c r="B1194">
        <v>2012</v>
      </c>
      <c r="C1194">
        <v>4</v>
      </c>
      <c r="D1194">
        <v>1</v>
      </c>
      <c r="E1194">
        <v>11380</v>
      </c>
      <c r="F1194">
        <v>33124.65</v>
      </c>
      <c r="G1194">
        <v>0</v>
      </c>
      <c r="H1194">
        <v>0</v>
      </c>
      <c r="I1194">
        <v>-0.01</v>
      </c>
      <c r="J1194">
        <v>0</v>
      </c>
      <c r="K1194">
        <v>57575.35</v>
      </c>
      <c r="L1194">
        <v>5668185.1299999999</v>
      </c>
      <c r="M1194">
        <v>5579323.2300000004</v>
      </c>
      <c r="N1194">
        <v>5668185.1299999999</v>
      </c>
      <c r="O1194">
        <v>5579323.2300000004</v>
      </c>
      <c r="P1194">
        <v>5012556.8</v>
      </c>
      <c r="Q1194">
        <v>4954981.45</v>
      </c>
      <c r="R1194" s="14">
        <f>_xlfn.XLOOKUP(Table2[[#This Row],[LoanID]],Table1[G-L ID],Table1[ManagerCode],-99)</f>
        <v>103</v>
      </c>
      <c r="T1194"/>
    </row>
    <row r="1195" spans="1:20" x14ac:dyDescent="0.25">
      <c r="A1195">
        <v>20120430</v>
      </c>
      <c r="B1195">
        <v>2012</v>
      </c>
      <c r="C1195">
        <v>4</v>
      </c>
      <c r="D1195">
        <v>1</v>
      </c>
      <c r="E1195">
        <v>11630</v>
      </c>
      <c r="F1195">
        <v>99922.880000000005</v>
      </c>
      <c r="G1195">
        <v>32732.33</v>
      </c>
      <c r="H1195">
        <v>0</v>
      </c>
      <c r="I1195">
        <v>0</v>
      </c>
      <c r="J1195">
        <v>-1609712.08</v>
      </c>
      <c r="K1195">
        <v>0</v>
      </c>
      <c r="L1195">
        <v>15804118.15</v>
      </c>
      <c r="M1195">
        <v>17446562.559999999</v>
      </c>
      <c r="N1195">
        <v>15804118.15</v>
      </c>
      <c r="O1195">
        <v>17446562.559999999</v>
      </c>
      <c r="P1195">
        <v>15804118.15</v>
      </c>
      <c r="Q1195">
        <v>17446562.559999999</v>
      </c>
      <c r="R1195" s="14">
        <f>_xlfn.XLOOKUP(Table2[[#This Row],[LoanID]],Table1[G-L ID],Table1[ManagerCode],-99)</f>
        <v>183</v>
      </c>
      <c r="T1195"/>
    </row>
    <row r="1196" spans="1:20" x14ac:dyDescent="0.25">
      <c r="A1196">
        <v>20120430</v>
      </c>
      <c r="B1196">
        <v>2012</v>
      </c>
      <c r="C1196">
        <v>4</v>
      </c>
      <c r="D1196">
        <v>1</v>
      </c>
      <c r="E1196">
        <v>11650</v>
      </c>
      <c r="F1196">
        <v>75000</v>
      </c>
      <c r="G1196">
        <v>0</v>
      </c>
      <c r="H1196">
        <v>0</v>
      </c>
      <c r="I1196">
        <v>0</v>
      </c>
      <c r="J1196">
        <v>0</v>
      </c>
      <c r="K1196">
        <v>0</v>
      </c>
      <c r="L1196">
        <v>9600000</v>
      </c>
      <c r="M1196">
        <v>9600000</v>
      </c>
      <c r="N1196">
        <v>9600000</v>
      </c>
      <c r="O1196">
        <v>9600000</v>
      </c>
      <c r="P1196">
        <v>12000000</v>
      </c>
      <c r="Q1196">
        <v>12000000</v>
      </c>
      <c r="R1196" s="14">
        <f>_xlfn.XLOOKUP(Table2[[#This Row],[LoanID]],Table1[G-L ID],Table1[ManagerCode],-99)</f>
        <v>103</v>
      </c>
      <c r="T1196"/>
    </row>
    <row r="1197" spans="1:20" x14ac:dyDescent="0.25">
      <c r="A1197">
        <v>20120430</v>
      </c>
      <c r="B1197">
        <v>2012</v>
      </c>
      <c r="C1197">
        <v>4</v>
      </c>
      <c r="D1197">
        <v>1</v>
      </c>
      <c r="E1197">
        <v>11780</v>
      </c>
      <c r="F1197">
        <v>182137.03</v>
      </c>
      <c r="G1197">
        <v>0</v>
      </c>
      <c r="H1197">
        <v>0</v>
      </c>
      <c r="I1197">
        <v>-1120.8399999999999</v>
      </c>
      <c r="J1197">
        <v>0</v>
      </c>
      <c r="K1197">
        <v>138113.45000000001</v>
      </c>
      <c r="L1197">
        <v>27603780</v>
      </c>
      <c r="M1197">
        <v>27465666.550000001</v>
      </c>
      <c r="N1197">
        <v>27603780</v>
      </c>
      <c r="O1197">
        <v>27465666.550000001</v>
      </c>
      <c r="P1197">
        <v>65081220.060000002</v>
      </c>
      <c r="Q1197">
        <v>64943106.609999999</v>
      </c>
      <c r="R1197" s="14">
        <f>_xlfn.XLOOKUP(Table2[[#This Row],[LoanID]],Table1[G-L ID],Table1[ManagerCode],-99)</f>
        <v>103</v>
      </c>
      <c r="T1197"/>
    </row>
    <row r="1198" spans="1:20" x14ac:dyDescent="0.25">
      <c r="A1198">
        <v>20120430</v>
      </c>
      <c r="B1198">
        <v>2012</v>
      </c>
      <c r="C1198">
        <v>4</v>
      </c>
      <c r="D1198">
        <v>1</v>
      </c>
      <c r="E1198">
        <v>11800</v>
      </c>
      <c r="F1198">
        <v>163786.60999999999</v>
      </c>
      <c r="G1198">
        <v>0</v>
      </c>
      <c r="H1198">
        <v>0</v>
      </c>
      <c r="I1198">
        <v>-275.60000000000002</v>
      </c>
      <c r="J1198">
        <v>0</v>
      </c>
      <c r="K1198">
        <v>56276.4</v>
      </c>
      <c r="L1198">
        <v>28804239.120000001</v>
      </c>
      <c r="M1198">
        <v>28753590.300000001</v>
      </c>
      <c r="N1198">
        <v>28804239.120000001</v>
      </c>
      <c r="O1198">
        <v>28753590.300000001</v>
      </c>
      <c r="P1198">
        <v>32004678.140000001</v>
      </c>
      <c r="Q1198">
        <v>31948401.739999998</v>
      </c>
      <c r="R1198" s="14">
        <f>_xlfn.XLOOKUP(Table2[[#This Row],[LoanID]],Table1[G-L ID],Table1[ManagerCode],-99)</f>
        <v>103</v>
      </c>
      <c r="T1198"/>
    </row>
    <row r="1199" spans="1:20" x14ac:dyDescent="0.25">
      <c r="A1199">
        <v>20120430</v>
      </c>
      <c r="B1199">
        <v>2012</v>
      </c>
      <c r="C1199">
        <v>4</v>
      </c>
      <c r="D1199">
        <v>1</v>
      </c>
      <c r="E1199">
        <v>11810</v>
      </c>
      <c r="F1199">
        <v>51166.67</v>
      </c>
      <c r="G1199">
        <v>0</v>
      </c>
      <c r="H1199">
        <v>0</v>
      </c>
      <c r="I1199">
        <v>0</v>
      </c>
      <c r="J1199">
        <v>0</v>
      </c>
      <c r="K1199">
        <v>0</v>
      </c>
      <c r="L1199">
        <v>9801181.8800000008</v>
      </c>
      <c r="M1199">
        <v>9900000</v>
      </c>
      <c r="N1199">
        <v>9801181.8800000008</v>
      </c>
      <c r="O1199">
        <v>9900000</v>
      </c>
      <c r="P1199">
        <v>10000000</v>
      </c>
      <c r="Q1199">
        <v>10000000</v>
      </c>
      <c r="R1199" s="14">
        <f>_xlfn.XLOOKUP(Table2[[#This Row],[LoanID]],Table1[G-L ID],Table1[ManagerCode],-99)</f>
        <v>103</v>
      </c>
      <c r="T1199"/>
    </row>
    <row r="1200" spans="1:20" x14ac:dyDescent="0.25">
      <c r="A1200">
        <v>20120430</v>
      </c>
      <c r="B1200">
        <v>2012</v>
      </c>
      <c r="C1200">
        <v>4</v>
      </c>
      <c r="D1200">
        <v>1</v>
      </c>
      <c r="E1200">
        <v>11970</v>
      </c>
      <c r="F1200">
        <v>2554.36</v>
      </c>
      <c r="G1200">
        <v>2189.58</v>
      </c>
      <c r="H1200">
        <v>0</v>
      </c>
      <c r="I1200">
        <v>0</v>
      </c>
      <c r="J1200">
        <v>-104837.23</v>
      </c>
      <c r="K1200">
        <v>0</v>
      </c>
      <c r="L1200">
        <v>371104.22</v>
      </c>
      <c r="M1200">
        <v>478130.93</v>
      </c>
      <c r="N1200">
        <v>371104.22</v>
      </c>
      <c r="O1200">
        <v>478130.93</v>
      </c>
      <c r="P1200">
        <v>371104.22</v>
      </c>
      <c r="Q1200">
        <v>478130.93</v>
      </c>
      <c r="R1200" s="14">
        <f>_xlfn.XLOOKUP(Table2[[#This Row],[LoanID]],Table1[G-L ID],Table1[ManagerCode],-99)</f>
        <v>183</v>
      </c>
      <c r="T1200"/>
    </row>
    <row r="1201" spans="1:20" x14ac:dyDescent="0.25">
      <c r="A1201">
        <v>20120430</v>
      </c>
      <c r="B1201">
        <v>2012</v>
      </c>
      <c r="C1201">
        <v>4</v>
      </c>
      <c r="D1201">
        <v>1</v>
      </c>
      <c r="E1201">
        <v>12020</v>
      </c>
      <c r="F1201">
        <v>19988.09</v>
      </c>
      <c r="G1201">
        <v>27555.279999999999</v>
      </c>
      <c r="H1201">
        <v>0</v>
      </c>
      <c r="I1201">
        <v>0</v>
      </c>
      <c r="J1201">
        <v>-1204268.21</v>
      </c>
      <c r="K1201">
        <v>0</v>
      </c>
      <c r="L1201">
        <v>3343115.79</v>
      </c>
      <c r="M1201">
        <v>4574939.28</v>
      </c>
      <c r="N1201">
        <v>3343115.79</v>
      </c>
      <c r="O1201">
        <v>4574939.28</v>
      </c>
      <c r="P1201">
        <v>3343115.79</v>
      </c>
      <c r="Q1201">
        <v>4574939.28</v>
      </c>
      <c r="R1201" s="14">
        <f>_xlfn.XLOOKUP(Table2[[#This Row],[LoanID]],Table1[G-L ID],Table1[ManagerCode],-99)</f>
        <v>183</v>
      </c>
      <c r="T1201"/>
    </row>
    <row r="1202" spans="1:20" x14ac:dyDescent="0.25">
      <c r="A1202">
        <v>20120430</v>
      </c>
      <c r="B1202">
        <v>2012</v>
      </c>
      <c r="C1202">
        <v>4</v>
      </c>
      <c r="D1202">
        <v>1</v>
      </c>
      <c r="E1202">
        <v>12090</v>
      </c>
      <c r="F1202">
        <v>31914.17</v>
      </c>
      <c r="G1202">
        <v>0</v>
      </c>
      <c r="H1202">
        <v>0</v>
      </c>
      <c r="I1202">
        <v>0</v>
      </c>
      <c r="J1202">
        <v>-17500000</v>
      </c>
      <c r="K1202">
        <v>0</v>
      </c>
      <c r="L1202">
        <v>0</v>
      </c>
      <c r="M1202">
        <v>17500000</v>
      </c>
      <c r="N1202">
        <v>0</v>
      </c>
      <c r="O1202">
        <v>17500000</v>
      </c>
      <c r="P1202">
        <v>0</v>
      </c>
      <c r="Q1202">
        <v>17500000</v>
      </c>
      <c r="R1202" s="14">
        <f>_xlfn.XLOOKUP(Table2[[#This Row],[LoanID]],Table1[G-L ID],Table1[ManagerCode],-99)</f>
        <v>220</v>
      </c>
      <c r="T1202"/>
    </row>
    <row r="1203" spans="1:20" x14ac:dyDescent="0.25">
      <c r="A1203">
        <v>20120430</v>
      </c>
      <c r="B1203">
        <v>2012</v>
      </c>
      <c r="C1203">
        <v>4</v>
      </c>
      <c r="D1203">
        <v>1</v>
      </c>
      <c r="E1203">
        <v>12210</v>
      </c>
      <c r="F1203">
        <v>717318.67</v>
      </c>
      <c r="G1203">
        <v>0</v>
      </c>
      <c r="H1203">
        <v>0</v>
      </c>
      <c r="I1203">
        <v>0</v>
      </c>
      <c r="J1203">
        <v>0</v>
      </c>
      <c r="K1203">
        <v>185622.35</v>
      </c>
      <c r="L1203">
        <v>138270858.5</v>
      </c>
      <c r="M1203">
        <v>137186438.5</v>
      </c>
      <c r="N1203">
        <v>138270858.5</v>
      </c>
      <c r="O1203">
        <v>137186438.5</v>
      </c>
      <c r="P1203">
        <v>116063318.40000001</v>
      </c>
      <c r="Q1203">
        <v>115877696</v>
      </c>
      <c r="R1203" s="14">
        <f>_xlfn.XLOOKUP(Table2[[#This Row],[LoanID]],Table1[G-L ID],Table1[ManagerCode],-99)</f>
        <v>103</v>
      </c>
      <c r="T1203"/>
    </row>
    <row r="1204" spans="1:20" x14ac:dyDescent="0.25">
      <c r="A1204">
        <v>20120531</v>
      </c>
      <c r="B1204">
        <v>2012</v>
      </c>
      <c r="C1204">
        <v>5</v>
      </c>
      <c r="D1204">
        <v>1</v>
      </c>
      <c r="E1204">
        <v>10050</v>
      </c>
      <c r="F1204">
        <v>149013.89000000001</v>
      </c>
      <c r="G1204">
        <v>0</v>
      </c>
      <c r="H1204">
        <v>0</v>
      </c>
      <c r="I1204">
        <v>0</v>
      </c>
      <c r="J1204">
        <v>0</v>
      </c>
      <c r="K1204">
        <v>0</v>
      </c>
      <c r="L1204">
        <v>35696343.079999998</v>
      </c>
      <c r="M1204">
        <v>37291880.490000002</v>
      </c>
      <c r="N1204">
        <v>35696343.079999998</v>
      </c>
      <c r="O1204">
        <v>37291880.490000002</v>
      </c>
      <c r="P1204">
        <v>33333334</v>
      </c>
      <c r="Q1204">
        <v>33333334</v>
      </c>
      <c r="R1204" s="14">
        <f>_xlfn.XLOOKUP(Table2[[#This Row],[LoanID]],Table1[G-L ID],Table1[ManagerCode],-99)</f>
        <v>103</v>
      </c>
      <c r="T1204"/>
    </row>
    <row r="1205" spans="1:20" x14ac:dyDescent="0.25">
      <c r="A1205">
        <v>20120531</v>
      </c>
      <c r="B1205">
        <v>2012</v>
      </c>
      <c r="C1205">
        <v>5</v>
      </c>
      <c r="D1205">
        <v>1</v>
      </c>
      <c r="E1205">
        <v>10080</v>
      </c>
      <c r="F1205">
        <v>339718.75</v>
      </c>
      <c r="G1205">
        <v>0</v>
      </c>
      <c r="H1205">
        <v>0</v>
      </c>
      <c r="I1205">
        <v>-156.25</v>
      </c>
      <c r="J1205">
        <v>0</v>
      </c>
      <c r="K1205">
        <v>0</v>
      </c>
      <c r="L1205">
        <v>74249925.75</v>
      </c>
      <c r="M1205">
        <v>74249925.75</v>
      </c>
      <c r="N1205">
        <v>74249925.75</v>
      </c>
      <c r="O1205">
        <v>74249925.75</v>
      </c>
      <c r="P1205">
        <v>75000000</v>
      </c>
      <c r="Q1205">
        <v>75000000</v>
      </c>
      <c r="R1205" s="14">
        <f>_xlfn.XLOOKUP(Table2[[#This Row],[LoanID]],Table1[G-L ID],Table1[ManagerCode],-99)</f>
        <v>103</v>
      </c>
      <c r="T1205"/>
    </row>
    <row r="1206" spans="1:20" x14ac:dyDescent="0.25">
      <c r="A1206">
        <v>20120531</v>
      </c>
      <c r="B1206">
        <v>2012</v>
      </c>
      <c r="C1206">
        <v>5</v>
      </c>
      <c r="D1206">
        <v>1</v>
      </c>
      <c r="E1206">
        <v>10130</v>
      </c>
      <c r="F1206">
        <v>35115.46</v>
      </c>
      <c r="G1206">
        <v>0</v>
      </c>
      <c r="H1206">
        <v>0</v>
      </c>
      <c r="I1206">
        <v>0</v>
      </c>
      <c r="J1206">
        <v>0</v>
      </c>
      <c r="K1206">
        <v>32575.23</v>
      </c>
      <c r="L1206">
        <v>8021469.9299999997</v>
      </c>
      <c r="M1206">
        <v>7982641.4299999997</v>
      </c>
      <c r="N1206">
        <v>8021469.9299999997</v>
      </c>
      <c r="O1206">
        <v>7982641.4299999997</v>
      </c>
      <c r="P1206">
        <v>7760323.04</v>
      </c>
      <c r="Q1206">
        <v>7727747.8099999996</v>
      </c>
      <c r="R1206" s="14">
        <f>_xlfn.XLOOKUP(Table2[[#This Row],[LoanID]],Table1[G-L ID],Table1[ManagerCode],-99)</f>
        <v>103</v>
      </c>
      <c r="T1206"/>
    </row>
    <row r="1207" spans="1:20" x14ac:dyDescent="0.25">
      <c r="A1207">
        <v>20120531</v>
      </c>
      <c r="B1207">
        <v>2012</v>
      </c>
      <c r="C1207">
        <v>5</v>
      </c>
      <c r="D1207">
        <v>1</v>
      </c>
      <c r="E1207">
        <v>10140</v>
      </c>
      <c r="F1207">
        <v>92634.26</v>
      </c>
      <c r="G1207">
        <v>0</v>
      </c>
      <c r="H1207">
        <v>0</v>
      </c>
      <c r="I1207">
        <v>0</v>
      </c>
      <c r="J1207">
        <v>0</v>
      </c>
      <c r="K1207">
        <v>85190.07</v>
      </c>
      <c r="L1207">
        <v>21160793.699999999</v>
      </c>
      <c r="M1207">
        <v>21059115.93</v>
      </c>
      <c r="N1207">
        <v>21160793.699999999</v>
      </c>
      <c r="O1207">
        <v>21059115.93</v>
      </c>
      <c r="P1207">
        <v>20471659.09</v>
      </c>
      <c r="Q1207">
        <v>20386469.02</v>
      </c>
      <c r="R1207" s="14">
        <f>_xlfn.XLOOKUP(Table2[[#This Row],[LoanID]],Table1[G-L ID],Table1[ManagerCode],-99)</f>
        <v>103</v>
      </c>
      <c r="T1207"/>
    </row>
    <row r="1208" spans="1:20" x14ac:dyDescent="0.25">
      <c r="A1208">
        <v>20120531</v>
      </c>
      <c r="B1208">
        <v>2012</v>
      </c>
      <c r="C1208">
        <v>5</v>
      </c>
      <c r="D1208">
        <v>1</v>
      </c>
      <c r="E1208">
        <v>10150</v>
      </c>
      <c r="F1208">
        <v>240372.54</v>
      </c>
      <c r="G1208">
        <v>0</v>
      </c>
      <c r="H1208">
        <v>0</v>
      </c>
      <c r="I1208">
        <v>0</v>
      </c>
      <c r="J1208">
        <v>0</v>
      </c>
      <c r="K1208">
        <v>72947.460000000006</v>
      </c>
      <c r="L1208">
        <v>51638905.240000002</v>
      </c>
      <c r="M1208">
        <v>51566687.090000004</v>
      </c>
      <c r="N1208">
        <v>51638905.240000002</v>
      </c>
      <c r="O1208">
        <v>51566687.090000004</v>
      </c>
      <c r="P1208">
        <v>52160406.009999998</v>
      </c>
      <c r="Q1208">
        <v>52087458.549999997</v>
      </c>
      <c r="R1208" s="14">
        <f>_xlfn.XLOOKUP(Table2[[#This Row],[LoanID]],Table1[G-L ID],Table1[ManagerCode],-99)</f>
        <v>103</v>
      </c>
      <c r="T1208"/>
    </row>
    <row r="1209" spans="1:20" x14ac:dyDescent="0.25">
      <c r="A1209">
        <v>20120531</v>
      </c>
      <c r="B1209">
        <v>2012</v>
      </c>
      <c r="C1209">
        <v>5</v>
      </c>
      <c r="D1209">
        <v>1</v>
      </c>
      <c r="E1209">
        <v>10170</v>
      </c>
      <c r="F1209">
        <v>239062.22</v>
      </c>
      <c r="G1209">
        <v>0</v>
      </c>
      <c r="H1209">
        <v>0</v>
      </c>
      <c r="I1209">
        <v>-1145.67</v>
      </c>
      <c r="J1209">
        <v>0</v>
      </c>
      <c r="K1209">
        <v>75180.100000000006</v>
      </c>
      <c r="L1209">
        <v>49017015.200000003</v>
      </c>
      <c r="M1209">
        <v>48936074.420000002</v>
      </c>
      <c r="N1209">
        <v>49017015.200000003</v>
      </c>
      <c r="O1209">
        <v>48936074.420000002</v>
      </c>
      <c r="P1209">
        <v>45826623.890000001</v>
      </c>
      <c r="Q1209">
        <v>45751443.789999999</v>
      </c>
      <c r="R1209" s="14">
        <f>_xlfn.XLOOKUP(Table2[[#This Row],[LoanID]],Table1[G-L ID],Table1[ManagerCode],-99)</f>
        <v>103</v>
      </c>
      <c r="T1209"/>
    </row>
    <row r="1210" spans="1:20" x14ac:dyDescent="0.25">
      <c r="A1210">
        <v>20120531</v>
      </c>
      <c r="B1210">
        <v>2012</v>
      </c>
      <c r="C1210">
        <v>5</v>
      </c>
      <c r="D1210">
        <v>1</v>
      </c>
      <c r="E1210">
        <v>10210</v>
      </c>
      <c r="F1210">
        <v>49865.88</v>
      </c>
      <c r="G1210">
        <v>77296.679999999993</v>
      </c>
      <c r="H1210">
        <v>0</v>
      </c>
      <c r="I1210">
        <v>0</v>
      </c>
      <c r="J1210">
        <v>-49865.88</v>
      </c>
      <c r="K1210">
        <v>0</v>
      </c>
      <c r="L1210">
        <v>10156287.029999999</v>
      </c>
      <c r="M1210">
        <v>10283449.59</v>
      </c>
      <c r="N1210">
        <v>10156287.029999999</v>
      </c>
      <c r="O1210">
        <v>10283449.59</v>
      </c>
      <c r="P1210">
        <v>10156287.029999999</v>
      </c>
      <c r="Q1210">
        <v>10283449.59</v>
      </c>
      <c r="R1210" s="14">
        <f>_xlfn.XLOOKUP(Table2[[#This Row],[LoanID]],Table1[G-L ID],Table1[ManagerCode],-99)</f>
        <v>183</v>
      </c>
      <c r="T1210"/>
    </row>
    <row r="1211" spans="1:20" x14ac:dyDescent="0.25">
      <c r="A1211">
        <v>20120531</v>
      </c>
      <c r="B1211">
        <v>2012</v>
      </c>
      <c r="C1211">
        <v>5</v>
      </c>
      <c r="D1211">
        <v>1</v>
      </c>
      <c r="E1211">
        <v>10230</v>
      </c>
      <c r="F1211">
        <v>181025.61</v>
      </c>
      <c r="G1211">
        <v>0</v>
      </c>
      <c r="H1211">
        <v>0</v>
      </c>
      <c r="I1211">
        <v>0</v>
      </c>
      <c r="J1211">
        <v>0</v>
      </c>
      <c r="K1211">
        <v>60572.46</v>
      </c>
      <c r="L1211">
        <v>27395566.710000001</v>
      </c>
      <c r="M1211">
        <v>28055357.629999999</v>
      </c>
      <c r="N1211">
        <v>27395566.710000001</v>
      </c>
      <c r="O1211">
        <v>28055357.629999999</v>
      </c>
      <c r="P1211">
        <v>32230078.5</v>
      </c>
      <c r="Q1211">
        <v>32169506.039999999</v>
      </c>
      <c r="R1211" s="14">
        <f>_xlfn.XLOOKUP(Table2[[#This Row],[LoanID]],Table1[G-L ID],Table1[ManagerCode],-99)</f>
        <v>103</v>
      </c>
      <c r="T1211"/>
    </row>
    <row r="1212" spans="1:20" x14ac:dyDescent="0.25">
      <c r="A1212">
        <v>20120531</v>
      </c>
      <c r="B1212">
        <v>2012</v>
      </c>
      <c r="C1212">
        <v>5</v>
      </c>
      <c r="D1212">
        <v>1</v>
      </c>
      <c r="E1212">
        <v>10280</v>
      </c>
      <c r="F1212">
        <v>175560</v>
      </c>
      <c r="G1212">
        <v>0</v>
      </c>
      <c r="H1212">
        <v>0</v>
      </c>
      <c r="I1212">
        <v>0</v>
      </c>
      <c r="J1212">
        <v>0</v>
      </c>
      <c r="K1212">
        <v>0</v>
      </c>
      <c r="L1212">
        <v>33250033.25</v>
      </c>
      <c r="M1212">
        <v>33250033.25</v>
      </c>
      <c r="N1212">
        <v>33250033.25</v>
      </c>
      <c r="O1212">
        <v>33250033.25</v>
      </c>
      <c r="P1212">
        <v>35000000</v>
      </c>
      <c r="Q1212">
        <v>35000000</v>
      </c>
      <c r="R1212" s="14">
        <f>_xlfn.XLOOKUP(Table2[[#This Row],[LoanID]],Table1[G-L ID],Table1[ManagerCode],-99)</f>
        <v>103</v>
      </c>
      <c r="T1212"/>
    </row>
    <row r="1213" spans="1:20" x14ac:dyDescent="0.25">
      <c r="A1213">
        <v>20120531</v>
      </c>
      <c r="B1213">
        <v>2012</v>
      </c>
      <c r="C1213">
        <v>5</v>
      </c>
      <c r="D1213">
        <v>1</v>
      </c>
      <c r="E1213">
        <v>10290</v>
      </c>
      <c r="F1213">
        <v>165775</v>
      </c>
      <c r="G1213">
        <v>0</v>
      </c>
      <c r="H1213">
        <v>0</v>
      </c>
      <c r="I1213">
        <v>0</v>
      </c>
      <c r="J1213">
        <v>0</v>
      </c>
      <c r="K1213">
        <v>0</v>
      </c>
      <c r="L1213">
        <v>22500000</v>
      </c>
      <c r="M1213">
        <v>22548205.09</v>
      </c>
      <c r="N1213">
        <v>22500000</v>
      </c>
      <c r="O1213">
        <v>22548205.09</v>
      </c>
      <c r="P1213">
        <v>25000000</v>
      </c>
      <c r="Q1213">
        <v>25000000</v>
      </c>
      <c r="R1213" s="14">
        <f>_xlfn.XLOOKUP(Table2[[#This Row],[LoanID]],Table1[G-L ID],Table1[ManagerCode],-99)</f>
        <v>103</v>
      </c>
      <c r="T1213"/>
    </row>
    <row r="1214" spans="1:20" x14ac:dyDescent="0.25">
      <c r="A1214">
        <v>20120531</v>
      </c>
      <c r="B1214">
        <v>2012</v>
      </c>
      <c r="C1214">
        <v>5</v>
      </c>
      <c r="D1214">
        <v>1</v>
      </c>
      <c r="E1214">
        <v>10300</v>
      </c>
      <c r="F1214">
        <v>145052.82999999999</v>
      </c>
      <c r="G1214">
        <v>0</v>
      </c>
      <c r="H1214">
        <v>0</v>
      </c>
      <c r="I1214">
        <v>0</v>
      </c>
      <c r="J1214">
        <v>0</v>
      </c>
      <c r="K1214">
        <v>0</v>
      </c>
      <c r="L1214">
        <v>33687829.390000001</v>
      </c>
      <c r="M1214">
        <v>35697290.329999998</v>
      </c>
      <c r="N1214">
        <v>33687829.390000001</v>
      </c>
      <c r="O1214">
        <v>35697290.329999998</v>
      </c>
      <c r="P1214">
        <v>35000000</v>
      </c>
      <c r="Q1214">
        <v>35000000</v>
      </c>
      <c r="R1214" s="14">
        <f>_xlfn.XLOOKUP(Table2[[#This Row],[LoanID]],Table1[G-L ID],Table1[ManagerCode],-99)</f>
        <v>103</v>
      </c>
      <c r="T1214"/>
    </row>
    <row r="1215" spans="1:20" x14ac:dyDescent="0.25">
      <c r="A1215">
        <v>20120531</v>
      </c>
      <c r="B1215">
        <v>2012</v>
      </c>
      <c r="C1215">
        <v>5</v>
      </c>
      <c r="D1215">
        <v>1</v>
      </c>
      <c r="E1215">
        <v>10310</v>
      </c>
      <c r="F1215">
        <v>99864.85</v>
      </c>
      <c r="G1215">
        <v>0</v>
      </c>
      <c r="H1215">
        <v>0</v>
      </c>
      <c r="I1215">
        <v>0</v>
      </c>
      <c r="J1215">
        <v>0</v>
      </c>
      <c r="K1215">
        <v>21150</v>
      </c>
      <c r="L1215">
        <v>14304770.300000001</v>
      </c>
      <c r="M1215">
        <v>14283620.300000001</v>
      </c>
      <c r="N1215">
        <v>14304770.300000001</v>
      </c>
      <c r="O1215">
        <v>14283620.300000001</v>
      </c>
      <c r="P1215">
        <v>14304770.300000001</v>
      </c>
      <c r="Q1215">
        <v>14283620.300000001</v>
      </c>
      <c r="R1215" s="14">
        <f>_xlfn.XLOOKUP(Table2[[#This Row],[LoanID]],Table1[G-L ID],Table1[ManagerCode],-99)</f>
        <v>183</v>
      </c>
      <c r="T1215"/>
    </row>
    <row r="1216" spans="1:20" x14ac:dyDescent="0.25">
      <c r="A1216">
        <v>20120531</v>
      </c>
      <c r="B1216">
        <v>2012</v>
      </c>
      <c r="C1216">
        <v>5</v>
      </c>
      <c r="D1216">
        <v>1</v>
      </c>
      <c r="E1216">
        <v>10370</v>
      </c>
      <c r="F1216">
        <v>0.04</v>
      </c>
      <c r="G1216">
        <v>0</v>
      </c>
      <c r="H1216">
        <v>0</v>
      </c>
      <c r="I1216">
        <v>0</v>
      </c>
      <c r="J1216">
        <v>0</v>
      </c>
      <c r="K1216">
        <v>0</v>
      </c>
      <c r="L1216">
        <v>2492310</v>
      </c>
      <c r="M1216">
        <v>2594554.7000000002</v>
      </c>
      <c r="N1216">
        <v>2492310</v>
      </c>
      <c r="O1216">
        <v>2594554.7000000002</v>
      </c>
      <c r="P1216">
        <v>2769233.34</v>
      </c>
      <c r="Q1216">
        <v>2769233.34</v>
      </c>
      <c r="R1216" s="14">
        <f>_xlfn.XLOOKUP(Table2[[#This Row],[LoanID]],Table1[G-L ID],Table1[ManagerCode],-99)</f>
        <v>103</v>
      </c>
      <c r="T1216"/>
    </row>
    <row r="1217" spans="1:20" x14ac:dyDescent="0.25">
      <c r="A1217">
        <v>20120531</v>
      </c>
      <c r="B1217">
        <v>2012</v>
      </c>
      <c r="C1217">
        <v>5</v>
      </c>
      <c r="D1217">
        <v>1</v>
      </c>
      <c r="E1217">
        <v>10390</v>
      </c>
      <c r="F1217">
        <v>118750</v>
      </c>
      <c r="G1217">
        <v>0</v>
      </c>
      <c r="H1217">
        <v>0</v>
      </c>
      <c r="I1217">
        <v>0</v>
      </c>
      <c r="J1217">
        <v>0</v>
      </c>
      <c r="K1217">
        <v>0</v>
      </c>
      <c r="L1217">
        <v>22500000</v>
      </c>
      <c r="M1217">
        <v>23750000</v>
      </c>
      <c r="N1217">
        <v>22500000</v>
      </c>
      <c r="O1217">
        <v>23750000</v>
      </c>
      <c r="P1217">
        <v>24995101.949999999</v>
      </c>
      <c r="Q1217">
        <v>24995306.030000001</v>
      </c>
      <c r="R1217" s="14">
        <f>_xlfn.XLOOKUP(Table2[[#This Row],[LoanID]],Table1[G-L ID],Table1[ManagerCode],-99)</f>
        <v>103</v>
      </c>
      <c r="T1217"/>
    </row>
    <row r="1218" spans="1:20" x14ac:dyDescent="0.25">
      <c r="A1218">
        <v>20120531</v>
      </c>
      <c r="B1218">
        <v>2012</v>
      </c>
      <c r="C1218">
        <v>5</v>
      </c>
      <c r="D1218">
        <v>1</v>
      </c>
      <c r="E1218">
        <v>10450</v>
      </c>
      <c r="F1218">
        <v>118662.3</v>
      </c>
      <c r="G1218">
        <v>0</v>
      </c>
      <c r="H1218">
        <v>0</v>
      </c>
      <c r="I1218">
        <v>0</v>
      </c>
      <c r="J1218">
        <v>0</v>
      </c>
      <c r="K1218">
        <v>23152.95</v>
      </c>
      <c r="L1218">
        <v>21071869.780000001</v>
      </c>
      <c r="M1218">
        <v>21048948.359999999</v>
      </c>
      <c r="N1218">
        <v>21071869.780000001</v>
      </c>
      <c r="O1218">
        <v>21048948.359999999</v>
      </c>
      <c r="P1218">
        <v>21284716.949999999</v>
      </c>
      <c r="Q1218">
        <v>21261564</v>
      </c>
      <c r="R1218" s="14">
        <f>_xlfn.XLOOKUP(Table2[[#This Row],[LoanID]],Table1[G-L ID],Table1[ManagerCode],-99)</f>
        <v>103</v>
      </c>
      <c r="T1218"/>
    </row>
    <row r="1219" spans="1:20" x14ac:dyDescent="0.25">
      <c r="A1219">
        <v>20120531</v>
      </c>
      <c r="B1219">
        <v>2012</v>
      </c>
      <c r="C1219">
        <v>5</v>
      </c>
      <c r="D1219">
        <v>1</v>
      </c>
      <c r="E1219">
        <v>10490</v>
      </c>
      <c r="F1219">
        <v>218750</v>
      </c>
      <c r="G1219">
        <v>0</v>
      </c>
      <c r="H1219">
        <v>0</v>
      </c>
      <c r="I1219">
        <v>0</v>
      </c>
      <c r="J1219">
        <v>0</v>
      </c>
      <c r="K1219">
        <v>0</v>
      </c>
      <c r="L1219">
        <v>25000000</v>
      </c>
      <c r="M1219">
        <v>25000000</v>
      </c>
      <c r="N1219">
        <v>25000000</v>
      </c>
      <c r="O1219">
        <v>25000000</v>
      </c>
      <c r="P1219">
        <v>25000000</v>
      </c>
      <c r="Q1219">
        <v>25000000</v>
      </c>
      <c r="R1219" s="14">
        <f>_xlfn.XLOOKUP(Table2[[#This Row],[LoanID]],Table1[G-L ID],Table1[ManagerCode],-99)</f>
        <v>220</v>
      </c>
      <c r="T1219"/>
    </row>
    <row r="1220" spans="1:20" x14ac:dyDescent="0.25">
      <c r="A1220">
        <v>20120531</v>
      </c>
      <c r="B1220">
        <v>2012</v>
      </c>
      <c r="C1220">
        <v>5</v>
      </c>
      <c r="D1220">
        <v>1</v>
      </c>
      <c r="E1220">
        <v>10550</v>
      </c>
      <c r="F1220">
        <v>19742.919999999998</v>
      </c>
      <c r="G1220">
        <v>0</v>
      </c>
      <c r="H1220">
        <v>0</v>
      </c>
      <c r="I1220">
        <v>-11.23</v>
      </c>
      <c r="J1220">
        <v>0</v>
      </c>
      <c r="K1220">
        <v>0</v>
      </c>
      <c r="L1220">
        <v>3811584.88</v>
      </c>
      <c r="M1220">
        <v>3811584.88</v>
      </c>
      <c r="N1220">
        <v>3811584.88</v>
      </c>
      <c r="O1220">
        <v>3811584.88</v>
      </c>
      <c r="P1220">
        <v>3850085.74</v>
      </c>
      <c r="Q1220">
        <v>3850085.74</v>
      </c>
      <c r="R1220" s="14">
        <f>_xlfn.XLOOKUP(Table2[[#This Row],[LoanID]],Table1[G-L ID],Table1[ManagerCode],-99)</f>
        <v>103</v>
      </c>
      <c r="T1220"/>
    </row>
    <row r="1221" spans="1:20" x14ac:dyDescent="0.25">
      <c r="A1221">
        <v>20120531</v>
      </c>
      <c r="B1221">
        <v>2012</v>
      </c>
      <c r="C1221">
        <v>5</v>
      </c>
      <c r="D1221">
        <v>1</v>
      </c>
      <c r="E1221">
        <v>10560</v>
      </c>
      <c r="F1221">
        <v>486992</v>
      </c>
      <c r="G1221">
        <v>0</v>
      </c>
      <c r="H1221">
        <v>0</v>
      </c>
      <c r="I1221">
        <v>-276.99</v>
      </c>
      <c r="J1221">
        <v>0</v>
      </c>
      <c r="K1221">
        <v>0</v>
      </c>
      <c r="L1221">
        <v>94019093.879999995</v>
      </c>
      <c r="M1221">
        <v>94019093.879999995</v>
      </c>
      <c r="N1221">
        <v>94019093.879999995</v>
      </c>
      <c r="O1221">
        <v>94019093.879999995</v>
      </c>
      <c r="P1221">
        <v>94968781.409999996</v>
      </c>
      <c r="Q1221">
        <v>94968781.409999996</v>
      </c>
      <c r="R1221" s="14">
        <f>_xlfn.XLOOKUP(Table2[[#This Row],[LoanID]],Table1[G-L ID],Table1[ManagerCode],-99)</f>
        <v>103</v>
      </c>
      <c r="T1221"/>
    </row>
    <row r="1222" spans="1:20" x14ac:dyDescent="0.25">
      <c r="A1222">
        <v>20120531</v>
      </c>
      <c r="B1222">
        <v>2012</v>
      </c>
      <c r="C1222">
        <v>5</v>
      </c>
      <c r="D1222">
        <v>1</v>
      </c>
      <c r="E1222">
        <v>10630</v>
      </c>
      <c r="F1222">
        <v>48677.22</v>
      </c>
      <c r="G1222">
        <v>0</v>
      </c>
      <c r="H1222">
        <v>0</v>
      </c>
      <c r="I1222">
        <v>-0.01</v>
      </c>
      <c r="J1222">
        <v>0</v>
      </c>
      <c r="K1222">
        <v>13938.86</v>
      </c>
      <c r="L1222">
        <v>9495588.5600000005</v>
      </c>
      <c r="M1222">
        <v>9480001.0700000003</v>
      </c>
      <c r="N1222">
        <v>9495588.5600000005</v>
      </c>
      <c r="O1222">
        <v>9480001.0700000003</v>
      </c>
      <c r="P1222">
        <v>9112739.4299999997</v>
      </c>
      <c r="Q1222">
        <v>9098800.5700000003</v>
      </c>
      <c r="R1222" s="14">
        <f>_xlfn.XLOOKUP(Table2[[#This Row],[LoanID]],Table1[G-L ID],Table1[ManagerCode],-99)</f>
        <v>103</v>
      </c>
      <c r="T1222"/>
    </row>
    <row r="1223" spans="1:20" x14ac:dyDescent="0.25">
      <c r="A1223">
        <v>20120531</v>
      </c>
      <c r="B1223">
        <v>2012</v>
      </c>
      <c r="C1223">
        <v>5</v>
      </c>
      <c r="D1223">
        <v>1</v>
      </c>
      <c r="E1223">
        <v>10770</v>
      </c>
      <c r="F1223">
        <v>284625</v>
      </c>
      <c r="G1223">
        <v>0</v>
      </c>
      <c r="H1223">
        <v>0</v>
      </c>
      <c r="I1223">
        <v>0</v>
      </c>
      <c r="J1223">
        <v>0</v>
      </c>
      <c r="K1223">
        <v>0</v>
      </c>
      <c r="L1223">
        <v>109250000</v>
      </c>
      <c r="M1223">
        <v>109250000</v>
      </c>
      <c r="N1223">
        <v>109250000</v>
      </c>
      <c r="O1223">
        <v>109250000</v>
      </c>
      <c r="P1223">
        <v>115000000</v>
      </c>
      <c r="Q1223">
        <v>115000000</v>
      </c>
      <c r="R1223" s="14">
        <f>_xlfn.XLOOKUP(Table2[[#This Row],[LoanID]],Table1[G-L ID],Table1[ManagerCode],-99)</f>
        <v>103</v>
      </c>
      <c r="T1223"/>
    </row>
    <row r="1224" spans="1:20" x14ac:dyDescent="0.25">
      <c r="A1224">
        <v>20120531</v>
      </c>
      <c r="B1224">
        <v>2012</v>
      </c>
      <c r="C1224">
        <v>5</v>
      </c>
      <c r="D1224">
        <v>1</v>
      </c>
      <c r="E1224">
        <v>10880</v>
      </c>
      <c r="F1224">
        <v>302628.11</v>
      </c>
      <c r="G1224">
        <v>0</v>
      </c>
      <c r="H1224">
        <v>0</v>
      </c>
      <c r="I1224">
        <v>0</v>
      </c>
      <c r="J1224">
        <v>0</v>
      </c>
      <c r="K1224">
        <v>0</v>
      </c>
      <c r="L1224">
        <v>196259534.5</v>
      </c>
      <c r="M1224">
        <v>197891935.80000001</v>
      </c>
      <c r="N1224">
        <v>196259534.5</v>
      </c>
      <c r="O1224">
        <v>197891935.80000001</v>
      </c>
      <c r="P1224">
        <v>201744599.09999999</v>
      </c>
      <c r="Q1224">
        <v>201744599.09999999</v>
      </c>
      <c r="R1224" s="14">
        <f>_xlfn.XLOOKUP(Table2[[#This Row],[LoanID]],Table1[G-L ID],Table1[ManagerCode],-99)</f>
        <v>103</v>
      </c>
      <c r="T1224"/>
    </row>
    <row r="1225" spans="1:20" x14ac:dyDescent="0.25">
      <c r="A1225">
        <v>20120531</v>
      </c>
      <c r="B1225">
        <v>2012</v>
      </c>
      <c r="C1225">
        <v>5</v>
      </c>
      <c r="D1225">
        <v>1</v>
      </c>
      <c r="E1225">
        <v>10900</v>
      </c>
      <c r="F1225">
        <v>79073.039999999994</v>
      </c>
      <c r="G1225">
        <v>0</v>
      </c>
      <c r="H1225">
        <v>0</v>
      </c>
      <c r="I1225">
        <v>0</v>
      </c>
      <c r="J1225">
        <v>0</v>
      </c>
      <c r="K1225">
        <v>4544.0200000000004</v>
      </c>
      <c r="L1225">
        <v>8194842.1100000003</v>
      </c>
      <c r="M1225">
        <v>8190525.3099999996</v>
      </c>
      <c r="N1225">
        <v>8194842.1100000003</v>
      </c>
      <c r="O1225">
        <v>8190525.3099999996</v>
      </c>
      <c r="P1225">
        <v>8626149.5899999999</v>
      </c>
      <c r="Q1225">
        <v>8621605.5700000003</v>
      </c>
      <c r="R1225" s="14">
        <f>_xlfn.XLOOKUP(Table2[[#This Row],[LoanID]],Table1[G-L ID],Table1[ManagerCode],-99)</f>
        <v>103</v>
      </c>
      <c r="T1225"/>
    </row>
    <row r="1226" spans="1:20" x14ac:dyDescent="0.25">
      <c r="A1226">
        <v>20120531</v>
      </c>
      <c r="B1226">
        <v>2012</v>
      </c>
      <c r="C1226">
        <v>5</v>
      </c>
      <c r="D1226">
        <v>1</v>
      </c>
      <c r="E1226">
        <v>10950</v>
      </c>
      <c r="F1226">
        <v>52861.02</v>
      </c>
      <c r="G1226">
        <v>0</v>
      </c>
      <c r="H1226">
        <v>0</v>
      </c>
      <c r="I1226">
        <v>0</v>
      </c>
      <c r="J1226">
        <v>0</v>
      </c>
      <c r="K1226">
        <v>24162</v>
      </c>
      <c r="L1226">
        <v>10536727.720000001</v>
      </c>
      <c r="M1226">
        <v>10512807.33</v>
      </c>
      <c r="N1226">
        <v>10536727.720000001</v>
      </c>
      <c r="O1226">
        <v>10512807.33</v>
      </c>
      <c r="P1226">
        <v>10643159.300000001</v>
      </c>
      <c r="Q1226">
        <v>10618997.300000001</v>
      </c>
      <c r="R1226" s="14">
        <f>_xlfn.XLOOKUP(Table2[[#This Row],[LoanID]],Table1[G-L ID],Table1[ManagerCode],-99)</f>
        <v>103</v>
      </c>
      <c r="T1226"/>
    </row>
    <row r="1227" spans="1:20" x14ac:dyDescent="0.25">
      <c r="A1227">
        <v>20120531</v>
      </c>
      <c r="B1227">
        <v>2012</v>
      </c>
      <c r="C1227">
        <v>5</v>
      </c>
      <c r="D1227">
        <v>1</v>
      </c>
      <c r="E1227">
        <v>10980</v>
      </c>
      <c r="F1227">
        <v>62988.27</v>
      </c>
      <c r="G1227">
        <v>15065.99</v>
      </c>
      <c r="H1227">
        <v>0</v>
      </c>
      <c r="I1227">
        <v>0</v>
      </c>
      <c r="J1227">
        <v>-747349.22</v>
      </c>
      <c r="K1227">
        <v>0</v>
      </c>
      <c r="L1227">
        <v>5861025.79</v>
      </c>
      <c r="M1227">
        <v>6623441</v>
      </c>
      <c r="N1227">
        <v>5861025.79</v>
      </c>
      <c r="O1227">
        <v>6623441</v>
      </c>
      <c r="P1227">
        <v>5861025.79</v>
      </c>
      <c r="Q1227">
        <v>6623441</v>
      </c>
      <c r="R1227" s="14">
        <f>_xlfn.XLOOKUP(Table2[[#This Row],[LoanID]],Table1[G-L ID],Table1[ManagerCode],-99)</f>
        <v>183</v>
      </c>
      <c r="T1227"/>
    </row>
    <row r="1228" spans="1:20" x14ac:dyDescent="0.25">
      <c r="A1228">
        <v>20120531</v>
      </c>
      <c r="B1228">
        <v>2012</v>
      </c>
      <c r="C1228">
        <v>5</v>
      </c>
      <c r="D1228">
        <v>1</v>
      </c>
      <c r="E1228">
        <v>11110</v>
      </c>
      <c r="F1228">
        <v>83326.98</v>
      </c>
      <c r="G1228">
        <v>0</v>
      </c>
      <c r="H1228">
        <v>0</v>
      </c>
      <c r="I1228">
        <v>0</v>
      </c>
      <c r="J1228">
        <v>-738743</v>
      </c>
      <c r="K1228">
        <v>0</v>
      </c>
      <c r="L1228">
        <v>10715416.99</v>
      </c>
      <c r="M1228">
        <v>11454159.99</v>
      </c>
      <c r="N1228">
        <v>10715416.99</v>
      </c>
      <c r="O1228">
        <v>11454159.99</v>
      </c>
      <c r="P1228">
        <v>10715416.99</v>
      </c>
      <c r="Q1228">
        <v>11454159.99</v>
      </c>
      <c r="R1228" s="14">
        <f>_xlfn.XLOOKUP(Table2[[#This Row],[LoanID]],Table1[G-L ID],Table1[ManagerCode],-99)</f>
        <v>183</v>
      </c>
      <c r="T1228"/>
    </row>
    <row r="1229" spans="1:20" x14ac:dyDescent="0.25">
      <c r="A1229">
        <v>20120531</v>
      </c>
      <c r="B1229">
        <v>2012</v>
      </c>
      <c r="C1229">
        <v>5</v>
      </c>
      <c r="D1229">
        <v>1</v>
      </c>
      <c r="E1229">
        <v>11140</v>
      </c>
      <c r="F1229">
        <v>558363.03</v>
      </c>
      <c r="G1229">
        <v>0</v>
      </c>
      <c r="H1229">
        <v>0</v>
      </c>
      <c r="I1229">
        <v>0</v>
      </c>
      <c r="J1229">
        <v>0</v>
      </c>
      <c r="K1229">
        <v>0</v>
      </c>
      <c r="L1229">
        <v>70425565.430000007</v>
      </c>
      <c r="M1229">
        <v>70862758.290000007</v>
      </c>
      <c r="N1229">
        <v>70425565.430000007</v>
      </c>
      <c r="O1229">
        <v>70862758.290000007</v>
      </c>
      <c r="P1229">
        <v>72436285</v>
      </c>
      <c r="Q1229">
        <v>72436285</v>
      </c>
      <c r="R1229" s="14">
        <f>_xlfn.XLOOKUP(Table2[[#This Row],[LoanID]],Table1[G-L ID],Table1[ManagerCode],-99)</f>
        <v>103</v>
      </c>
      <c r="T1229"/>
    </row>
    <row r="1230" spans="1:20" x14ac:dyDescent="0.25">
      <c r="A1230">
        <v>20120531</v>
      </c>
      <c r="B1230">
        <v>2012</v>
      </c>
      <c r="C1230">
        <v>5</v>
      </c>
      <c r="D1230">
        <v>1</v>
      </c>
      <c r="E1230">
        <v>11180</v>
      </c>
      <c r="F1230">
        <v>206969.81</v>
      </c>
      <c r="G1230">
        <v>0</v>
      </c>
      <c r="H1230">
        <v>0</v>
      </c>
      <c r="I1230">
        <v>-1666.42</v>
      </c>
      <c r="J1230">
        <v>0</v>
      </c>
      <c r="K1230">
        <v>199970831.5</v>
      </c>
      <c r="L1230">
        <v>179973748.30000001</v>
      </c>
      <c r="M1230">
        <v>0</v>
      </c>
      <c r="N1230">
        <v>179973748.30000001</v>
      </c>
      <c r="O1230">
        <v>0</v>
      </c>
      <c r="P1230">
        <v>199970831.5</v>
      </c>
      <c r="Q1230">
        <v>0</v>
      </c>
      <c r="R1230" s="14">
        <f>_xlfn.XLOOKUP(Table2[[#This Row],[LoanID]],Table1[G-L ID],Table1[ManagerCode],-99)</f>
        <v>103</v>
      </c>
      <c r="T1230"/>
    </row>
    <row r="1231" spans="1:20" x14ac:dyDescent="0.25">
      <c r="A1231">
        <v>20120531</v>
      </c>
      <c r="B1231">
        <v>2012</v>
      </c>
      <c r="C1231">
        <v>5</v>
      </c>
      <c r="D1231">
        <v>1</v>
      </c>
      <c r="E1231">
        <v>11190</v>
      </c>
      <c r="F1231">
        <v>0</v>
      </c>
      <c r="G1231">
        <v>0</v>
      </c>
      <c r="H1231">
        <v>0</v>
      </c>
      <c r="I1231">
        <v>0</v>
      </c>
      <c r="J1231">
        <v>-199970831.5</v>
      </c>
      <c r="K1231">
        <v>0</v>
      </c>
      <c r="L1231">
        <v>0</v>
      </c>
      <c r="M1231">
        <v>189972289.90000001</v>
      </c>
      <c r="N1231">
        <v>0</v>
      </c>
      <c r="O1231">
        <v>189972289.90000001</v>
      </c>
      <c r="P1231">
        <v>0</v>
      </c>
      <c r="Q1231">
        <v>199970831.5</v>
      </c>
      <c r="R1231" s="14">
        <f>_xlfn.XLOOKUP(Table2[[#This Row],[LoanID]],Table1[G-L ID],Table1[ManagerCode],-99)</f>
        <v>103</v>
      </c>
      <c r="T1231"/>
    </row>
    <row r="1232" spans="1:20" x14ac:dyDescent="0.25">
      <c r="A1232">
        <v>20120531</v>
      </c>
      <c r="B1232">
        <v>2012</v>
      </c>
      <c r="C1232">
        <v>5</v>
      </c>
      <c r="D1232">
        <v>1</v>
      </c>
      <c r="E1232">
        <v>11200</v>
      </c>
      <c r="F1232">
        <v>69880</v>
      </c>
      <c r="G1232">
        <v>0</v>
      </c>
      <c r="H1232">
        <v>0</v>
      </c>
      <c r="I1232">
        <v>0</v>
      </c>
      <c r="J1232">
        <v>0</v>
      </c>
      <c r="K1232">
        <v>0</v>
      </c>
      <c r="L1232">
        <v>12578374.859999999</v>
      </c>
      <c r="M1232">
        <v>12578374.859999999</v>
      </c>
      <c r="N1232">
        <v>12578374.859999999</v>
      </c>
      <c r="O1232">
        <v>12578374.859999999</v>
      </c>
      <c r="P1232">
        <v>13976000</v>
      </c>
      <c r="Q1232">
        <v>13976000</v>
      </c>
      <c r="R1232" s="14">
        <f>_xlfn.XLOOKUP(Table2[[#This Row],[LoanID]],Table1[G-L ID],Table1[ManagerCode],-99)</f>
        <v>103</v>
      </c>
      <c r="T1232"/>
    </row>
    <row r="1233" spans="1:20" x14ac:dyDescent="0.25">
      <c r="A1233">
        <v>20120531</v>
      </c>
      <c r="B1233">
        <v>2012</v>
      </c>
      <c r="C1233">
        <v>5</v>
      </c>
      <c r="D1233">
        <v>1</v>
      </c>
      <c r="E1233">
        <v>11240</v>
      </c>
      <c r="F1233">
        <v>245448.89</v>
      </c>
      <c r="G1233">
        <v>0</v>
      </c>
      <c r="H1233">
        <v>0</v>
      </c>
      <c r="I1233">
        <v>0</v>
      </c>
      <c r="J1233">
        <v>0</v>
      </c>
      <c r="K1233">
        <v>0</v>
      </c>
      <c r="L1233">
        <v>185183145.30000001</v>
      </c>
      <c r="M1233">
        <v>185183145.30000001</v>
      </c>
      <c r="N1233">
        <v>185183145.30000001</v>
      </c>
      <c r="O1233">
        <v>185183145.30000001</v>
      </c>
      <c r="P1233">
        <v>194929626.59999999</v>
      </c>
      <c r="Q1233">
        <v>194929626.59999999</v>
      </c>
      <c r="R1233" s="14">
        <f>_xlfn.XLOOKUP(Table2[[#This Row],[LoanID]],Table1[G-L ID],Table1[ManagerCode],-99)</f>
        <v>103</v>
      </c>
      <c r="T1233"/>
    </row>
    <row r="1234" spans="1:20" x14ac:dyDescent="0.25">
      <c r="A1234">
        <v>20120531</v>
      </c>
      <c r="B1234">
        <v>2012</v>
      </c>
      <c r="C1234">
        <v>5</v>
      </c>
      <c r="D1234">
        <v>1</v>
      </c>
      <c r="E1234">
        <v>11280</v>
      </c>
      <c r="F1234">
        <v>23347.97</v>
      </c>
      <c r="G1234">
        <v>0</v>
      </c>
      <c r="H1234">
        <v>0</v>
      </c>
      <c r="I1234">
        <v>-156.59</v>
      </c>
      <c r="J1234">
        <v>0</v>
      </c>
      <c r="K1234">
        <v>0</v>
      </c>
      <c r="L1234">
        <v>18603211.800000001</v>
      </c>
      <c r="M1234">
        <v>18258737.050000001</v>
      </c>
      <c r="N1234">
        <v>18603211.800000001</v>
      </c>
      <c r="O1234">
        <v>18258737.050000001</v>
      </c>
      <c r="P1234">
        <v>18791123.030000001</v>
      </c>
      <c r="Q1234">
        <v>18791123.030000001</v>
      </c>
      <c r="R1234" s="14">
        <f>_xlfn.XLOOKUP(Table2[[#This Row],[LoanID]],Table1[G-L ID],Table1[ManagerCode],-99)</f>
        <v>103</v>
      </c>
      <c r="T1234"/>
    </row>
    <row r="1235" spans="1:20" x14ac:dyDescent="0.25">
      <c r="A1235">
        <v>20120531</v>
      </c>
      <c r="B1235">
        <v>2012</v>
      </c>
      <c r="C1235">
        <v>5</v>
      </c>
      <c r="D1235">
        <v>1</v>
      </c>
      <c r="E1235">
        <v>11300</v>
      </c>
      <c r="F1235">
        <v>21013.17</v>
      </c>
      <c r="G1235">
        <v>0</v>
      </c>
      <c r="H1235">
        <v>0</v>
      </c>
      <c r="I1235">
        <v>-140.93</v>
      </c>
      <c r="J1235">
        <v>0</v>
      </c>
      <c r="K1235">
        <v>0</v>
      </c>
      <c r="L1235">
        <v>16742890.619999999</v>
      </c>
      <c r="M1235">
        <v>16432863.41</v>
      </c>
      <c r="N1235">
        <v>16742890.619999999</v>
      </c>
      <c r="O1235">
        <v>16432863.41</v>
      </c>
      <c r="P1235">
        <v>16912010.73</v>
      </c>
      <c r="Q1235">
        <v>16912010.73</v>
      </c>
      <c r="R1235" s="14">
        <f>_xlfn.XLOOKUP(Table2[[#This Row],[LoanID]],Table1[G-L ID],Table1[ManagerCode],-99)</f>
        <v>103</v>
      </c>
      <c r="T1235"/>
    </row>
    <row r="1236" spans="1:20" x14ac:dyDescent="0.25">
      <c r="A1236">
        <v>20120531</v>
      </c>
      <c r="B1236">
        <v>2012</v>
      </c>
      <c r="C1236">
        <v>5</v>
      </c>
      <c r="D1236">
        <v>1</v>
      </c>
      <c r="E1236">
        <v>11310</v>
      </c>
      <c r="F1236">
        <v>14008.78</v>
      </c>
      <c r="G1236">
        <v>0</v>
      </c>
      <c r="H1236">
        <v>0</v>
      </c>
      <c r="I1236">
        <v>-93.96</v>
      </c>
      <c r="J1236">
        <v>0</v>
      </c>
      <c r="K1236">
        <v>0</v>
      </c>
      <c r="L1236">
        <v>11161927.050000001</v>
      </c>
      <c r="M1236">
        <v>10960707.359999999</v>
      </c>
      <c r="N1236">
        <v>11161927.050000001</v>
      </c>
      <c r="O1236">
        <v>10960707.359999999</v>
      </c>
      <c r="P1236">
        <v>11274673.789999999</v>
      </c>
      <c r="Q1236">
        <v>11274673.789999999</v>
      </c>
      <c r="R1236" s="14">
        <f>_xlfn.XLOOKUP(Table2[[#This Row],[LoanID]],Table1[G-L ID],Table1[ManagerCode],-99)</f>
        <v>103</v>
      </c>
      <c r="T1236"/>
    </row>
    <row r="1237" spans="1:20" x14ac:dyDescent="0.25">
      <c r="A1237">
        <v>20120531</v>
      </c>
      <c r="B1237">
        <v>2012</v>
      </c>
      <c r="C1237">
        <v>5</v>
      </c>
      <c r="D1237">
        <v>1</v>
      </c>
      <c r="E1237">
        <v>11380</v>
      </c>
      <c r="F1237">
        <v>32744.17</v>
      </c>
      <c r="G1237">
        <v>0</v>
      </c>
      <c r="H1237">
        <v>0</v>
      </c>
      <c r="I1237">
        <v>-0.01</v>
      </c>
      <c r="J1237">
        <v>0</v>
      </c>
      <c r="K1237">
        <v>57955.83</v>
      </c>
      <c r="L1237">
        <v>5579323.2300000004</v>
      </c>
      <c r="M1237">
        <v>5535105.5199999996</v>
      </c>
      <c r="N1237">
        <v>5579323.2300000004</v>
      </c>
      <c r="O1237">
        <v>5535105.5199999996</v>
      </c>
      <c r="P1237">
        <v>4954981.45</v>
      </c>
      <c r="Q1237">
        <v>4897025.62</v>
      </c>
      <c r="R1237" s="14">
        <f>_xlfn.XLOOKUP(Table2[[#This Row],[LoanID]],Table1[G-L ID],Table1[ManagerCode],-99)</f>
        <v>103</v>
      </c>
      <c r="T1237"/>
    </row>
    <row r="1238" spans="1:20" x14ac:dyDescent="0.25">
      <c r="A1238">
        <v>20120531</v>
      </c>
      <c r="B1238">
        <v>2012</v>
      </c>
      <c r="C1238">
        <v>5</v>
      </c>
      <c r="D1238">
        <v>1</v>
      </c>
      <c r="E1238">
        <v>11630</v>
      </c>
      <c r="F1238">
        <v>112060.54</v>
      </c>
      <c r="G1238">
        <v>33223.32</v>
      </c>
      <c r="H1238">
        <v>0</v>
      </c>
      <c r="I1238">
        <v>0</v>
      </c>
      <c r="J1238">
        <v>-3559848.23</v>
      </c>
      <c r="K1238">
        <v>0</v>
      </c>
      <c r="L1238">
        <v>17446562.559999999</v>
      </c>
      <c r="M1238">
        <v>21039634.109999999</v>
      </c>
      <c r="N1238">
        <v>17446562.559999999</v>
      </c>
      <c r="O1238">
        <v>21039634.109999999</v>
      </c>
      <c r="P1238">
        <v>17446562.559999999</v>
      </c>
      <c r="Q1238">
        <v>21039634.109999999</v>
      </c>
      <c r="R1238" s="14">
        <f>_xlfn.XLOOKUP(Table2[[#This Row],[LoanID]],Table1[G-L ID],Table1[ManagerCode],-99)</f>
        <v>183</v>
      </c>
      <c r="T1238"/>
    </row>
    <row r="1239" spans="1:20" x14ac:dyDescent="0.25">
      <c r="A1239">
        <v>20120531</v>
      </c>
      <c r="B1239">
        <v>2012</v>
      </c>
      <c r="C1239">
        <v>5</v>
      </c>
      <c r="D1239">
        <v>1</v>
      </c>
      <c r="E1239">
        <v>11650</v>
      </c>
      <c r="F1239">
        <v>75000</v>
      </c>
      <c r="G1239">
        <v>0</v>
      </c>
      <c r="H1239">
        <v>0</v>
      </c>
      <c r="I1239">
        <v>0</v>
      </c>
      <c r="J1239">
        <v>0</v>
      </c>
      <c r="K1239">
        <v>0</v>
      </c>
      <c r="L1239">
        <v>9600000</v>
      </c>
      <c r="M1239">
        <v>9600000</v>
      </c>
      <c r="N1239">
        <v>9600000</v>
      </c>
      <c r="O1239">
        <v>9600000</v>
      </c>
      <c r="P1239">
        <v>12000000</v>
      </c>
      <c r="Q1239">
        <v>12000000</v>
      </c>
      <c r="R1239" s="14">
        <f>_xlfn.XLOOKUP(Table2[[#This Row],[LoanID]],Table1[G-L ID],Table1[ManagerCode],-99)</f>
        <v>103</v>
      </c>
      <c r="T1239"/>
    </row>
    <row r="1240" spans="1:20" x14ac:dyDescent="0.25">
      <c r="A1240">
        <v>20120531</v>
      </c>
      <c r="B1240">
        <v>2012</v>
      </c>
      <c r="C1240">
        <v>5</v>
      </c>
      <c r="D1240">
        <v>1</v>
      </c>
      <c r="E1240">
        <v>11780</v>
      </c>
      <c r="F1240">
        <v>175887.58</v>
      </c>
      <c r="G1240">
        <v>0</v>
      </c>
      <c r="H1240">
        <v>0</v>
      </c>
      <c r="I1240">
        <v>-1082.3800000000001</v>
      </c>
      <c r="J1240">
        <v>0</v>
      </c>
      <c r="K1240">
        <v>13984.4</v>
      </c>
      <c r="L1240">
        <v>27465666.550000001</v>
      </c>
      <c r="M1240">
        <v>27451682.149999999</v>
      </c>
      <c r="N1240">
        <v>27465666.550000001</v>
      </c>
      <c r="O1240">
        <v>27451682.149999999</v>
      </c>
      <c r="P1240">
        <v>64943106.609999999</v>
      </c>
      <c r="Q1240">
        <v>64929122.210000001</v>
      </c>
      <c r="R1240" s="14">
        <f>_xlfn.XLOOKUP(Table2[[#This Row],[LoanID]],Table1[G-L ID],Table1[ManagerCode],-99)</f>
        <v>103</v>
      </c>
      <c r="T1240"/>
    </row>
    <row r="1241" spans="1:20" x14ac:dyDescent="0.25">
      <c r="A1241">
        <v>20120531</v>
      </c>
      <c r="B1241">
        <v>2012</v>
      </c>
      <c r="C1241">
        <v>5</v>
      </c>
      <c r="D1241">
        <v>1</v>
      </c>
      <c r="E1241">
        <v>11800</v>
      </c>
      <c r="F1241">
        <v>158224.46</v>
      </c>
      <c r="G1241">
        <v>0</v>
      </c>
      <c r="H1241">
        <v>0</v>
      </c>
      <c r="I1241">
        <v>-266.24</v>
      </c>
      <c r="J1241">
        <v>0</v>
      </c>
      <c r="K1241">
        <v>60820.27</v>
      </c>
      <c r="L1241">
        <v>28753590.300000001</v>
      </c>
      <c r="M1241">
        <v>30222324.170000002</v>
      </c>
      <c r="N1241">
        <v>28753590.300000001</v>
      </c>
      <c r="O1241">
        <v>30222324.170000002</v>
      </c>
      <c r="P1241">
        <v>31948401.739999998</v>
      </c>
      <c r="Q1241">
        <v>31887581.469999999</v>
      </c>
      <c r="R1241" s="14">
        <f>_xlfn.XLOOKUP(Table2[[#This Row],[LoanID]],Table1[G-L ID],Table1[ManagerCode],-99)</f>
        <v>103</v>
      </c>
      <c r="T1241"/>
    </row>
    <row r="1242" spans="1:20" x14ac:dyDescent="0.25">
      <c r="A1242">
        <v>20120531</v>
      </c>
      <c r="B1242">
        <v>2012</v>
      </c>
      <c r="C1242">
        <v>5</v>
      </c>
      <c r="D1242">
        <v>1</v>
      </c>
      <c r="E1242">
        <v>11810</v>
      </c>
      <c r="F1242">
        <v>51166.67</v>
      </c>
      <c r="G1242">
        <v>0</v>
      </c>
      <c r="H1242">
        <v>0</v>
      </c>
      <c r="I1242">
        <v>0</v>
      </c>
      <c r="J1242">
        <v>0</v>
      </c>
      <c r="K1242">
        <v>0</v>
      </c>
      <c r="L1242">
        <v>9900000</v>
      </c>
      <c r="M1242">
        <v>9900000</v>
      </c>
      <c r="N1242">
        <v>9900000</v>
      </c>
      <c r="O1242">
        <v>9900000</v>
      </c>
      <c r="P1242">
        <v>10000000</v>
      </c>
      <c r="Q1242">
        <v>10000000</v>
      </c>
      <c r="R1242" s="14">
        <f>_xlfn.XLOOKUP(Table2[[#This Row],[LoanID]],Table1[G-L ID],Table1[ManagerCode],-99)</f>
        <v>103</v>
      </c>
      <c r="T1242"/>
    </row>
    <row r="1243" spans="1:20" x14ac:dyDescent="0.25">
      <c r="A1243">
        <v>20120531</v>
      </c>
      <c r="B1243">
        <v>2012</v>
      </c>
      <c r="C1243">
        <v>5</v>
      </c>
      <c r="D1243">
        <v>1</v>
      </c>
      <c r="E1243">
        <v>11970</v>
      </c>
      <c r="F1243">
        <v>4324.3500000000004</v>
      </c>
      <c r="G1243">
        <v>3474.47</v>
      </c>
      <c r="H1243">
        <v>0</v>
      </c>
      <c r="I1243">
        <v>0</v>
      </c>
      <c r="J1243">
        <v>-390020.59</v>
      </c>
      <c r="K1243">
        <v>0</v>
      </c>
      <c r="L1243">
        <v>478130.93</v>
      </c>
      <c r="M1243">
        <v>871625.99</v>
      </c>
      <c r="N1243">
        <v>478130.93</v>
      </c>
      <c r="O1243">
        <v>871625.99</v>
      </c>
      <c r="P1243">
        <v>478130.93</v>
      </c>
      <c r="Q1243">
        <v>871625.99</v>
      </c>
      <c r="R1243" s="14">
        <f>_xlfn.XLOOKUP(Table2[[#This Row],[LoanID]],Table1[G-L ID],Table1[ManagerCode],-99)</f>
        <v>183</v>
      </c>
      <c r="T1243"/>
    </row>
    <row r="1244" spans="1:20" x14ac:dyDescent="0.25">
      <c r="A1244">
        <v>20120531</v>
      </c>
      <c r="B1244">
        <v>2012</v>
      </c>
      <c r="C1244">
        <v>5</v>
      </c>
      <c r="D1244">
        <v>1</v>
      </c>
      <c r="E1244">
        <v>12020</v>
      </c>
      <c r="F1244">
        <v>27555.279999999999</v>
      </c>
      <c r="G1244">
        <v>35776.589999999997</v>
      </c>
      <c r="H1244">
        <v>0</v>
      </c>
      <c r="I1244">
        <v>0</v>
      </c>
      <c r="J1244">
        <v>-1190249.53</v>
      </c>
      <c r="K1244">
        <v>0</v>
      </c>
      <c r="L1244">
        <v>4574939.28</v>
      </c>
      <c r="M1244">
        <v>5800965.4000000004</v>
      </c>
      <c r="N1244">
        <v>4574939.28</v>
      </c>
      <c r="O1244">
        <v>5800965.4000000004</v>
      </c>
      <c r="P1244">
        <v>4574939.28</v>
      </c>
      <c r="Q1244">
        <v>5800965.4000000004</v>
      </c>
      <c r="R1244" s="14">
        <f>_xlfn.XLOOKUP(Table2[[#This Row],[LoanID]],Table1[G-L ID],Table1[ManagerCode],-99)</f>
        <v>183</v>
      </c>
      <c r="T1244"/>
    </row>
    <row r="1245" spans="1:20" x14ac:dyDescent="0.25">
      <c r="A1245">
        <v>20120531</v>
      </c>
      <c r="B1245">
        <v>2012</v>
      </c>
      <c r="C1245">
        <v>5</v>
      </c>
      <c r="D1245">
        <v>1</v>
      </c>
      <c r="E1245">
        <v>12090</v>
      </c>
      <c r="F1245">
        <v>159556.25</v>
      </c>
      <c r="G1245">
        <v>0</v>
      </c>
      <c r="H1245">
        <v>0</v>
      </c>
      <c r="I1245">
        <v>0</v>
      </c>
      <c r="J1245">
        <v>0</v>
      </c>
      <c r="K1245">
        <v>0</v>
      </c>
      <c r="L1245">
        <v>17500000</v>
      </c>
      <c r="M1245">
        <v>17500000</v>
      </c>
      <c r="N1245">
        <v>17500000</v>
      </c>
      <c r="O1245">
        <v>17500000</v>
      </c>
      <c r="P1245">
        <v>17500000</v>
      </c>
      <c r="Q1245">
        <v>17500000</v>
      </c>
      <c r="R1245" s="14">
        <f>_xlfn.XLOOKUP(Table2[[#This Row],[LoanID]],Table1[G-L ID],Table1[ManagerCode],-99)</f>
        <v>220</v>
      </c>
      <c r="T1245"/>
    </row>
    <row r="1246" spans="1:20" x14ac:dyDescent="0.25">
      <c r="A1246">
        <v>20120531</v>
      </c>
      <c r="B1246">
        <v>2012</v>
      </c>
      <c r="C1246">
        <v>5</v>
      </c>
      <c r="D1246">
        <v>1</v>
      </c>
      <c r="E1246">
        <v>12210</v>
      </c>
      <c r="F1246">
        <v>716171.44</v>
      </c>
      <c r="G1246">
        <v>0</v>
      </c>
      <c r="H1246">
        <v>0</v>
      </c>
      <c r="I1246">
        <v>0</v>
      </c>
      <c r="J1246">
        <v>0</v>
      </c>
      <c r="K1246">
        <v>186632.44</v>
      </c>
      <c r="L1246">
        <v>137186438.5</v>
      </c>
      <c r="M1246">
        <v>137826460.59999999</v>
      </c>
      <c r="N1246">
        <v>137186438.5</v>
      </c>
      <c r="O1246">
        <v>137826460.59999999</v>
      </c>
      <c r="P1246">
        <v>115877696</v>
      </c>
      <c r="Q1246">
        <v>115691063.59999999</v>
      </c>
      <c r="R1246" s="14">
        <f>_xlfn.XLOOKUP(Table2[[#This Row],[LoanID]],Table1[G-L ID],Table1[ManagerCode],-99)</f>
        <v>103</v>
      </c>
      <c r="T1246"/>
    </row>
    <row r="1247" spans="1:20" x14ac:dyDescent="0.25">
      <c r="A1247">
        <v>20120630</v>
      </c>
      <c r="B1247">
        <v>2012</v>
      </c>
      <c r="C1247">
        <v>6</v>
      </c>
      <c r="D1247">
        <v>1</v>
      </c>
      <c r="E1247">
        <v>10050</v>
      </c>
      <c r="F1247">
        <v>153981.01999999999</v>
      </c>
      <c r="G1247">
        <v>0</v>
      </c>
      <c r="H1247">
        <v>0</v>
      </c>
      <c r="I1247">
        <v>0</v>
      </c>
      <c r="J1247">
        <v>0</v>
      </c>
      <c r="K1247">
        <v>0</v>
      </c>
      <c r="L1247">
        <v>37291880.490000002</v>
      </c>
      <c r="M1247">
        <v>36570708.140000001</v>
      </c>
      <c r="N1247">
        <v>37291880.490000002</v>
      </c>
      <c r="O1247">
        <v>36570708.140000001</v>
      </c>
      <c r="P1247">
        <v>33333334</v>
      </c>
      <c r="Q1247">
        <v>33333334</v>
      </c>
      <c r="R1247" s="14">
        <f>_xlfn.XLOOKUP(Table2[[#This Row],[LoanID]],Table1[G-L ID],Table1[ManagerCode],-99)</f>
        <v>103</v>
      </c>
      <c r="T1247"/>
    </row>
    <row r="1248" spans="1:20" x14ac:dyDescent="0.25">
      <c r="A1248">
        <v>20120630</v>
      </c>
      <c r="B1248">
        <v>2012</v>
      </c>
      <c r="C1248">
        <v>6</v>
      </c>
      <c r="D1248">
        <v>1</v>
      </c>
      <c r="E1248">
        <v>10060</v>
      </c>
      <c r="F1248">
        <v>0</v>
      </c>
      <c r="G1248">
        <v>0</v>
      </c>
      <c r="H1248">
        <v>0</v>
      </c>
      <c r="I1248">
        <v>0</v>
      </c>
      <c r="J1248">
        <v>-20000000</v>
      </c>
      <c r="K1248">
        <v>0</v>
      </c>
      <c r="L1248">
        <v>0</v>
      </c>
      <c r="M1248">
        <v>20000000</v>
      </c>
      <c r="N1248">
        <v>0</v>
      </c>
      <c r="O1248">
        <v>20000000</v>
      </c>
      <c r="P1248">
        <v>0</v>
      </c>
      <c r="Q1248">
        <v>20000000</v>
      </c>
      <c r="R1248" s="14">
        <f>_xlfn.XLOOKUP(Table2[[#This Row],[LoanID]],Table1[G-L ID],Table1[ManagerCode],-99)</f>
        <v>103</v>
      </c>
      <c r="T1248"/>
    </row>
    <row r="1249" spans="1:20" x14ac:dyDescent="0.25">
      <c r="A1249">
        <v>20120630</v>
      </c>
      <c r="B1249">
        <v>2012</v>
      </c>
      <c r="C1249">
        <v>6</v>
      </c>
      <c r="D1249">
        <v>1</v>
      </c>
      <c r="E1249">
        <v>10080</v>
      </c>
      <c r="F1249">
        <v>351042.71</v>
      </c>
      <c r="G1249">
        <v>0</v>
      </c>
      <c r="H1249">
        <v>0</v>
      </c>
      <c r="I1249">
        <v>-161.46</v>
      </c>
      <c r="J1249">
        <v>0</v>
      </c>
      <c r="K1249">
        <v>0</v>
      </c>
      <c r="L1249">
        <v>74249925.75</v>
      </c>
      <c r="M1249">
        <v>74249925.75</v>
      </c>
      <c r="N1249">
        <v>74249925.75</v>
      </c>
      <c r="O1249">
        <v>74249925.75</v>
      </c>
      <c r="P1249">
        <v>75000000</v>
      </c>
      <c r="Q1249">
        <v>75000000</v>
      </c>
      <c r="R1249" s="14">
        <f>_xlfn.XLOOKUP(Table2[[#This Row],[LoanID]],Table1[G-L ID],Table1[ManagerCode],-99)</f>
        <v>103</v>
      </c>
      <c r="T1249"/>
    </row>
    <row r="1250" spans="1:20" x14ac:dyDescent="0.25">
      <c r="A1250">
        <v>20120630</v>
      </c>
      <c r="B1250">
        <v>2012</v>
      </c>
      <c r="C1250">
        <v>6</v>
      </c>
      <c r="D1250">
        <v>1</v>
      </c>
      <c r="E1250">
        <v>10130</v>
      </c>
      <c r="F1250">
        <v>34968.06</v>
      </c>
      <c r="G1250">
        <v>0</v>
      </c>
      <c r="H1250">
        <v>0</v>
      </c>
      <c r="I1250">
        <v>0</v>
      </c>
      <c r="J1250">
        <v>0</v>
      </c>
      <c r="K1250">
        <v>32722.63</v>
      </c>
      <c r="L1250">
        <v>7982641.4299999997</v>
      </c>
      <c r="M1250">
        <v>7920316.5999999996</v>
      </c>
      <c r="N1250">
        <v>7982641.4299999997</v>
      </c>
      <c r="O1250">
        <v>7920316.5999999996</v>
      </c>
      <c r="P1250">
        <v>7727747.8099999996</v>
      </c>
      <c r="Q1250">
        <v>7695025.1799999997</v>
      </c>
      <c r="R1250" s="14">
        <f>_xlfn.XLOOKUP(Table2[[#This Row],[LoanID]],Table1[G-L ID],Table1[ManagerCode],-99)</f>
        <v>103</v>
      </c>
      <c r="T1250"/>
    </row>
    <row r="1251" spans="1:20" x14ac:dyDescent="0.25">
      <c r="A1251">
        <v>20120630</v>
      </c>
      <c r="B1251">
        <v>2012</v>
      </c>
      <c r="C1251">
        <v>6</v>
      </c>
      <c r="D1251">
        <v>1</v>
      </c>
      <c r="E1251">
        <v>10140</v>
      </c>
      <c r="F1251">
        <v>92248.77</v>
      </c>
      <c r="G1251">
        <v>0</v>
      </c>
      <c r="H1251">
        <v>0</v>
      </c>
      <c r="I1251">
        <v>0</v>
      </c>
      <c r="J1251">
        <v>0</v>
      </c>
      <c r="K1251">
        <v>85575.56</v>
      </c>
      <c r="L1251">
        <v>21059115.93</v>
      </c>
      <c r="M1251">
        <v>20895436.510000002</v>
      </c>
      <c r="N1251">
        <v>21059115.93</v>
      </c>
      <c r="O1251">
        <v>20895436.510000002</v>
      </c>
      <c r="P1251">
        <v>20386469.02</v>
      </c>
      <c r="Q1251">
        <v>20300893.460000001</v>
      </c>
      <c r="R1251" s="14">
        <f>_xlfn.XLOOKUP(Table2[[#This Row],[LoanID]],Table1[G-L ID],Table1[ManagerCode],-99)</f>
        <v>103</v>
      </c>
      <c r="T1251"/>
    </row>
    <row r="1252" spans="1:20" x14ac:dyDescent="0.25">
      <c r="A1252">
        <v>20120630</v>
      </c>
      <c r="B1252">
        <v>2012</v>
      </c>
      <c r="C1252">
        <v>6</v>
      </c>
      <c r="D1252">
        <v>1</v>
      </c>
      <c r="E1252">
        <v>10150</v>
      </c>
      <c r="F1252">
        <v>263613.28999999998</v>
      </c>
      <c r="G1252">
        <v>0</v>
      </c>
      <c r="H1252">
        <v>0</v>
      </c>
      <c r="I1252">
        <v>0</v>
      </c>
      <c r="J1252">
        <v>0</v>
      </c>
      <c r="K1252">
        <v>52087458.549999997</v>
      </c>
      <c r="L1252">
        <v>51566687.090000004</v>
      </c>
      <c r="M1252">
        <v>0</v>
      </c>
      <c r="N1252">
        <v>51566687.090000004</v>
      </c>
      <c r="O1252">
        <v>0</v>
      </c>
      <c r="P1252">
        <v>52087458.549999997</v>
      </c>
      <c r="Q1252">
        <v>0</v>
      </c>
      <c r="R1252" s="14">
        <f>_xlfn.XLOOKUP(Table2[[#This Row],[LoanID]],Table1[G-L ID],Table1[ManagerCode],-99)</f>
        <v>103</v>
      </c>
      <c r="T1252"/>
    </row>
    <row r="1253" spans="1:20" x14ac:dyDescent="0.25">
      <c r="A1253">
        <v>20120630</v>
      </c>
      <c r="B1253">
        <v>2012</v>
      </c>
      <c r="C1253">
        <v>6</v>
      </c>
      <c r="D1253">
        <v>1</v>
      </c>
      <c r="E1253">
        <v>10170</v>
      </c>
      <c r="F1253">
        <v>246625.7</v>
      </c>
      <c r="G1253">
        <v>0</v>
      </c>
      <c r="H1253">
        <v>0</v>
      </c>
      <c r="I1253">
        <v>-1181.9100000000001</v>
      </c>
      <c r="J1253">
        <v>0</v>
      </c>
      <c r="K1253">
        <v>68764.429999999993</v>
      </c>
      <c r="L1253">
        <v>48936074.420000002</v>
      </c>
      <c r="M1253">
        <v>48661054.950000003</v>
      </c>
      <c r="N1253">
        <v>48936074.420000002</v>
      </c>
      <c r="O1253">
        <v>48661054.950000003</v>
      </c>
      <c r="P1253">
        <v>45751443.789999999</v>
      </c>
      <c r="Q1253">
        <v>45682679.359999999</v>
      </c>
      <c r="R1253" s="14">
        <f>_xlfn.XLOOKUP(Table2[[#This Row],[LoanID]],Table1[G-L ID],Table1[ManagerCode],-99)</f>
        <v>103</v>
      </c>
      <c r="T1253"/>
    </row>
    <row r="1254" spans="1:20" x14ac:dyDescent="0.25">
      <c r="A1254">
        <v>20120630</v>
      </c>
      <c r="B1254">
        <v>2012</v>
      </c>
      <c r="C1254">
        <v>6</v>
      </c>
      <c r="D1254">
        <v>1</v>
      </c>
      <c r="E1254">
        <v>10210</v>
      </c>
      <c r="F1254">
        <v>50093.24</v>
      </c>
      <c r="G1254">
        <v>78625.55</v>
      </c>
      <c r="H1254">
        <v>0</v>
      </c>
      <c r="I1254">
        <v>0</v>
      </c>
      <c r="J1254">
        <v>-50093.24</v>
      </c>
      <c r="K1254">
        <v>0</v>
      </c>
      <c r="L1254">
        <v>10283449.59</v>
      </c>
      <c r="M1254">
        <v>10412168.380000001</v>
      </c>
      <c r="N1254">
        <v>10283449.59</v>
      </c>
      <c r="O1254">
        <v>10412168.380000001</v>
      </c>
      <c r="P1254">
        <v>10283449.59</v>
      </c>
      <c r="Q1254">
        <v>10412168.380000001</v>
      </c>
      <c r="R1254" s="14">
        <f>_xlfn.XLOOKUP(Table2[[#This Row],[LoanID]],Table1[G-L ID],Table1[ManagerCode],-99)</f>
        <v>183</v>
      </c>
      <c r="T1254"/>
    </row>
    <row r="1255" spans="1:20" x14ac:dyDescent="0.25">
      <c r="A1255">
        <v>20120630</v>
      </c>
      <c r="B1255">
        <v>2012</v>
      </c>
      <c r="C1255">
        <v>6</v>
      </c>
      <c r="D1255">
        <v>1</v>
      </c>
      <c r="E1255">
        <v>10230</v>
      </c>
      <c r="F1255">
        <v>180685.39</v>
      </c>
      <c r="G1255">
        <v>0</v>
      </c>
      <c r="H1255">
        <v>0</v>
      </c>
      <c r="I1255">
        <v>0</v>
      </c>
      <c r="J1255">
        <v>0</v>
      </c>
      <c r="K1255">
        <v>60912.68</v>
      </c>
      <c r="L1255">
        <v>28055357.629999999</v>
      </c>
      <c r="M1255">
        <v>30503163.690000001</v>
      </c>
      <c r="N1255">
        <v>28055357.629999999</v>
      </c>
      <c r="O1255">
        <v>30503163.690000001</v>
      </c>
      <c r="P1255">
        <v>32169506.039999999</v>
      </c>
      <c r="Q1255">
        <v>32108593.359999999</v>
      </c>
      <c r="R1255" s="14">
        <f>_xlfn.XLOOKUP(Table2[[#This Row],[LoanID]],Table1[G-L ID],Table1[ManagerCode],-99)</f>
        <v>103</v>
      </c>
      <c r="T1255"/>
    </row>
    <row r="1256" spans="1:20" x14ac:dyDescent="0.25">
      <c r="A1256">
        <v>20120630</v>
      </c>
      <c r="B1256">
        <v>2012</v>
      </c>
      <c r="C1256">
        <v>6</v>
      </c>
      <c r="D1256">
        <v>1</v>
      </c>
      <c r="E1256">
        <v>10280</v>
      </c>
      <c r="F1256">
        <v>181412</v>
      </c>
      <c r="G1256">
        <v>0</v>
      </c>
      <c r="H1256">
        <v>0</v>
      </c>
      <c r="I1256">
        <v>-0.01</v>
      </c>
      <c r="J1256">
        <v>0</v>
      </c>
      <c r="K1256">
        <v>0</v>
      </c>
      <c r="L1256">
        <v>33250033.25</v>
      </c>
      <c r="M1256">
        <v>33250033.25</v>
      </c>
      <c r="N1256">
        <v>33250033.25</v>
      </c>
      <c r="O1256">
        <v>33250033.25</v>
      </c>
      <c r="P1256">
        <v>35000000</v>
      </c>
      <c r="Q1256">
        <v>35000000</v>
      </c>
      <c r="R1256" s="14">
        <f>_xlfn.XLOOKUP(Table2[[#This Row],[LoanID]],Table1[G-L ID],Table1[ManagerCode],-99)</f>
        <v>103</v>
      </c>
      <c r="T1256"/>
    </row>
    <row r="1257" spans="1:20" x14ac:dyDescent="0.25">
      <c r="A1257">
        <v>20120630</v>
      </c>
      <c r="B1257">
        <v>2012</v>
      </c>
      <c r="C1257">
        <v>6</v>
      </c>
      <c r="D1257">
        <v>1</v>
      </c>
      <c r="E1257">
        <v>10290</v>
      </c>
      <c r="F1257">
        <v>171300.83</v>
      </c>
      <c r="G1257">
        <v>0</v>
      </c>
      <c r="H1257">
        <v>0</v>
      </c>
      <c r="I1257">
        <v>0</v>
      </c>
      <c r="J1257">
        <v>0</v>
      </c>
      <c r="K1257">
        <v>0</v>
      </c>
      <c r="L1257">
        <v>22548205.09</v>
      </c>
      <c r="M1257">
        <v>22500000</v>
      </c>
      <c r="N1257">
        <v>22548205.09</v>
      </c>
      <c r="O1257">
        <v>22500000</v>
      </c>
      <c r="P1257">
        <v>25000000</v>
      </c>
      <c r="Q1257">
        <v>25000000</v>
      </c>
      <c r="R1257" s="14">
        <f>_xlfn.XLOOKUP(Table2[[#This Row],[LoanID]],Table1[G-L ID],Table1[ManagerCode],-99)</f>
        <v>103</v>
      </c>
      <c r="T1257"/>
    </row>
    <row r="1258" spans="1:20" x14ac:dyDescent="0.25">
      <c r="A1258">
        <v>20120630</v>
      </c>
      <c r="B1258">
        <v>2012</v>
      </c>
      <c r="C1258">
        <v>6</v>
      </c>
      <c r="D1258">
        <v>1</v>
      </c>
      <c r="E1258">
        <v>10300</v>
      </c>
      <c r="F1258">
        <v>149887.93</v>
      </c>
      <c r="G1258">
        <v>0</v>
      </c>
      <c r="H1258">
        <v>0</v>
      </c>
      <c r="I1258">
        <v>0</v>
      </c>
      <c r="J1258">
        <v>0</v>
      </c>
      <c r="K1258">
        <v>0</v>
      </c>
      <c r="L1258">
        <v>35697290.329999998</v>
      </c>
      <c r="M1258">
        <v>35059264.759999998</v>
      </c>
      <c r="N1258">
        <v>35697290.329999998</v>
      </c>
      <c r="O1258">
        <v>35059264.759999998</v>
      </c>
      <c r="P1258">
        <v>35000000</v>
      </c>
      <c r="Q1258">
        <v>35000000</v>
      </c>
      <c r="R1258" s="14">
        <f>_xlfn.XLOOKUP(Table2[[#This Row],[LoanID]],Table1[G-L ID],Table1[ManagerCode],-99)</f>
        <v>103</v>
      </c>
      <c r="T1258"/>
    </row>
    <row r="1259" spans="1:20" x14ac:dyDescent="0.25">
      <c r="A1259">
        <v>20120630</v>
      </c>
      <c r="B1259">
        <v>2012</v>
      </c>
      <c r="C1259">
        <v>6</v>
      </c>
      <c r="D1259">
        <v>1</v>
      </c>
      <c r="E1259">
        <v>10310</v>
      </c>
      <c r="F1259">
        <v>99124.13</v>
      </c>
      <c r="G1259">
        <v>0</v>
      </c>
      <c r="H1259">
        <v>0</v>
      </c>
      <c r="I1259">
        <v>0</v>
      </c>
      <c r="J1259">
        <v>0</v>
      </c>
      <c r="K1259">
        <v>20452</v>
      </c>
      <c r="L1259">
        <v>14283620.300000001</v>
      </c>
      <c r="M1259">
        <v>14263168.300000001</v>
      </c>
      <c r="N1259">
        <v>14283620.300000001</v>
      </c>
      <c r="O1259">
        <v>14263168.300000001</v>
      </c>
      <c r="P1259">
        <v>14283620.300000001</v>
      </c>
      <c r="Q1259">
        <v>14263168.300000001</v>
      </c>
      <c r="R1259" s="14">
        <f>_xlfn.XLOOKUP(Table2[[#This Row],[LoanID]],Table1[G-L ID],Table1[ManagerCode],-99)</f>
        <v>183</v>
      </c>
      <c r="T1259"/>
    </row>
    <row r="1260" spans="1:20" x14ac:dyDescent="0.25">
      <c r="A1260">
        <v>20120630</v>
      </c>
      <c r="B1260">
        <v>2012</v>
      </c>
      <c r="C1260">
        <v>6</v>
      </c>
      <c r="D1260">
        <v>1</v>
      </c>
      <c r="E1260">
        <v>10370</v>
      </c>
      <c r="F1260">
        <v>4745.3900000000003</v>
      </c>
      <c r="G1260">
        <v>0</v>
      </c>
      <c r="H1260">
        <v>0</v>
      </c>
      <c r="I1260">
        <v>0</v>
      </c>
      <c r="J1260">
        <v>0</v>
      </c>
      <c r="K1260">
        <v>36730.839999999997</v>
      </c>
      <c r="L1260">
        <v>2594554.7000000002</v>
      </c>
      <c r="M1260">
        <v>2550218.59</v>
      </c>
      <c r="N1260">
        <v>2594554.7000000002</v>
      </c>
      <c r="O1260">
        <v>2550218.59</v>
      </c>
      <c r="P1260">
        <v>2769233.34</v>
      </c>
      <c r="Q1260">
        <v>2732502.5</v>
      </c>
      <c r="R1260" s="14">
        <f>_xlfn.XLOOKUP(Table2[[#This Row],[LoanID]],Table1[G-L ID],Table1[ManagerCode],-99)</f>
        <v>103</v>
      </c>
      <c r="T1260"/>
    </row>
    <row r="1261" spans="1:20" x14ac:dyDescent="0.25">
      <c r="A1261">
        <v>20120630</v>
      </c>
      <c r="B1261">
        <v>2012</v>
      </c>
      <c r="C1261">
        <v>6</v>
      </c>
      <c r="D1261">
        <v>1</v>
      </c>
      <c r="E1261">
        <v>10390</v>
      </c>
      <c r="F1261">
        <v>118750</v>
      </c>
      <c r="G1261">
        <v>0</v>
      </c>
      <c r="H1261">
        <v>0</v>
      </c>
      <c r="I1261">
        <v>0</v>
      </c>
      <c r="J1261">
        <v>0</v>
      </c>
      <c r="K1261">
        <v>0</v>
      </c>
      <c r="L1261">
        <v>23750000</v>
      </c>
      <c r="M1261">
        <v>23750000</v>
      </c>
      <c r="N1261">
        <v>23750000</v>
      </c>
      <c r="O1261">
        <v>23750000</v>
      </c>
      <c r="P1261">
        <v>24995306.030000001</v>
      </c>
      <c r="Q1261">
        <v>24995510.109999999</v>
      </c>
      <c r="R1261" s="14">
        <f>_xlfn.XLOOKUP(Table2[[#This Row],[LoanID]],Table1[G-L ID],Table1[ManagerCode],-99)</f>
        <v>103</v>
      </c>
      <c r="T1261"/>
    </row>
    <row r="1262" spans="1:20" x14ac:dyDescent="0.25">
      <c r="A1262">
        <v>20120630</v>
      </c>
      <c r="B1262">
        <v>2012</v>
      </c>
      <c r="C1262">
        <v>6</v>
      </c>
      <c r="D1262">
        <v>1</v>
      </c>
      <c r="E1262">
        <v>10450</v>
      </c>
      <c r="F1262">
        <v>118533.22</v>
      </c>
      <c r="G1262">
        <v>0</v>
      </c>
      <c r="H1262">
        <v>0</v>
      </c>
      <c r="I1262">
        <v>0</v>
      </c>
      <c r="J1262">
        <v>0</v>
      </c>
      <c r="K1262">
        <v>23282.03</v>
      </c>
      <c r="L1262">
        <v>21048948.359999999</v>
      </c>
      <c r="M1262">
        <v>21025899.149999999</v>
      </c>
      <c r="N1262">
        <v>21048948.359999999</v>
      </c>
      <c r="O1262">
        <v>21025899.149999999</v>
      </c>
      <c r="P1262">
        <v>21261564</v>
      </c>
      <c r="Q1262">
        <v>21238281.969999999</v>
      </c>
      <c r="R1262" s="14">
        <f>_xlfn.XLOOKUP(Table2[[#This Row],[LoanID]],Table1[G-L ID],Table1[ManagerCode],-99)</f>
        <v>103</v>
      </c>
      <c r="T1262"/>
    </row>
    <row r="1263" spans="1:20" x14ac:dyDescent="0.25">
      <c r="A1263">
        <v>20120630</v>
      </c>
      <c r="B1263">
        <v>2012</v>
      </c>
      <c r="C1263">
        <v>6</v>
      </c>
      <c r="D1263">
        <v>1</v>
      </c>
      <c r="E1263">
        <v>10490</v>
      </c>
      <c r="F1263">
        <v>226041.67</v>
      </c>
      <c r="G1263">
        <v>0</v>
      </c>
      <c r="H1263">
        <v>0</v>
      </c>
      <c r="I1263">
        <v>0</v>
      </c>
      <c r="J1263">
        <v>0</v>
      </c>
      <c r="K1263">
        <v>0</v>
      </c>
      <c r="L1263">
        <v>25000000</v>
      </c>
      <c r="M1263">
        <v>25000000</v>
      </c>
      <c r="N1263">
        <v>25000000</v>
      </c>
      <c r="O1263">
        <v>25000000</v>
      </c>
      <c r="P1263">
        <v>25000000</v>
      </c>
      <c r="Q1263">
        <v>25000000</v>
      </c>
      <c r="R1263" s="14">
        <f>_xlfn.XLOOKUP(Table2[[#This Row],[LoanID]],Table1[G-L ID],Table1[ManagerCode],-99)</f>
        <v>220</v>
      </c>
      <c r="T1263"/>
    </row>
    <row r="1264" spans="1:20" x14ac:dyDescent="0.25">
      <c r="A1264">
        <v>20120630</v>
      </c>
      <c r="B1264">
        <v>2012</v>
      </c>
      <c r="C1264">
        <v>6</v>
      </c>
      <c r="D1264">
        <v>1</v>
      </c>
      <c r="E1264">
        <v>10550</v>
      </c>
      <c r="F1264">
        <v>40802.04</v>
      </c>
      <c r="G1264">
        <v>0</v>
      </c>
      <c r="H1264">
        <v>0</v>
      </c>
      <c r="I1264">
        <v>-11.6</v>
      </c>
      <c r="J1264">
        <v>0</v>
      </c>
      <c r="K1264">
        <v>375652.78</v>
      </c>
      <c r="L1264">
        <v>3811584.88</v>
      </c>
      <c r="M1264">
        <v>3439688.63</v>
      </c>
      <c r="N1264">
        <v>3811584.88</v>
      </c>
      <c r="O1264">
        <v>3439688.63</v>
      </c>
      <c r="P1264">
        <v>3850085.74</v>
      </c>
      <c r="Q1264">
        <v>3474432.96</v>
      </c>
      <c r="R1264" s="14">
        <f>_xlfn.XLOOKUP(Table2[[#This Row],[LoanID]],Table1[G-L ID],Table1[ManagerCode],-99)</f>
        <v>103</v>
      </c>
      <c r="T1264"/>
    </row>
    <row r="1265" spans="1:20" x14ac:dyDescent="0.25">
      <c r="A1265">
        <v>20120630</v>
      </c>
      <c r="B1265">
        <v>2012</v>
      </c>
      <c r="C1265">
        <v>6</v>
      </c>
      <c r="D1265">
        <v>1</v>
      </c>
      <c r="E1265">
        <v>10560</v>
      </c>
      <c r="F1265">
        <v>503225.07</v>
      </c>
      <c r="G1265">
        <v>0</v>
      </c>
      <c r="H1265">
        <v>0</v>
      </c>
      <c r="I1265">
        <v>-286.23</v>
      </c>
      <c r="J1265">
        <v>0</v>
      </c>
      <c r="K1265">
        <v>9266101.9299999997</v>
      </c>
      <c r="L1265">
        <v>94019093.879999995</v>
      </c>
      <c r="M1265">
        <v>84845652.969999999</v>
      </c>
      <c r="N1265">
        <v>94019093.879999995</v>
      </c>
      <c r="O1265">
        <v>84845652.969999999</v>
      </c>
      <c r="P1265">
        <v>94968781.409999996</v>
      </c>
      <c r="Q1265">
        <v>85702679.480000004</v>
      </c>
      <c r="R1265" s="14">
        <f>_xlfn.XLOOKUP(Table2[[#This Row],[LoanID]],Table1[G-L ID],Table1[ManagerCode],-99)</f>
        <v>103</v>
      </c>
      <c r="T1265"/>
    </row>
    <row r="1266" spans="1:20" x14ac:dyDescent="0.25">
      <c r="A1266">
        <v>20120630</v>
      </c>
      <c r="B1266">
        <v>2012</v>
      </c>
      <c r="C1266">
        <v>6</v>
      </c>
      <c r="D1266">
        <v>1</v>
      </c>
      <c r="E1266">
        <v>10630</v>
      </c>
      <c r="F1266">
        <v>48602.76</v>
      </c>
      <c r="G1266">
        <v>0</v>
      </c>
      <c r="H1266">
        <v>0</v>
      </c>
      <c r="I1266">
        <v>-0.01</v>
      </c>
      <c r="J1266">
        <v>0</v>
      </c>
      <c r="K1266">
        <v>14013.32</v>
      </c>
      <c r="L1266">
        <v>9480001.0700000003</v>
      </c>
      <c r="M1266">
        <v>9443943.6300000008</v>
      </c>
      <c r="N1266">
        <v>9480001.0700000003</v>
      </c>
      <c r="O1266">
        <v>9443943.6300000008</v>
      </c>
      <c r="P1266">
        <v>9098800.5700000003</v>
      </c>
      <c r="Q1266">
        <v>9084787.25</v>
      </c>
      <c r="R1266" s="14">
        <f>_xlfn.XLOOKUP(Table2[[#This Row],[LoanID]],Table1[G-L ID],Table1[ManagerCode],-99)</f>
        <v>103</v>
      </c>
      <c r="T1266"/>
    </row>
    <row r="1267" spans="1:20" x14ac:dyDescent="0.25">
      <c r="A1267">
        <v>20120630</v>
      </c>
      <c r="B1267">
        <v>2012</v>
      </c>
      <c r="C1267">
        <v>6</v>
      </c>
      <c r="D1267">
        <v>1</v>
      </c>
      <c r="E1267">
        <v>10770</v>
      </c>
      <c r="F1267">
        <v>293122.21999999997</v>
      </c>
      <c r="G1267">
        <v>0</v>
      </c>
      <c r="H1267">
        <v>0</v>
      </c>
      <c r="I1267">
        <v>0</v>
      </c>
      <c r="J1267">
        <v>0</v>
      </c>
      <c r="K1267">
        <v>0</v>
      </c>
      <c r="L1267">
        <v>109250000</v>
      </c>
      <c r="M1267">
        <v>109250000</v>
      </c>
      <c r="N1267">
        <v>109250000</v>
      </c>
      <c r="O1267">
        <v>109250000</v>
      </c>
      <c r="P1267">
        <v>115000000</v>
      </c>
      <c r="Q1267">
        <v>115000000</v>
      </c>
      <c r="R1267" s="14">
        <f>_xlfn.XLOOKUP(Table2[[#This Row],[LoanID]],Table1[G-L ID],Table1[ManagerCode],-99)</f>
        <v>103</v>
      </c>
      <c r="T1267"/>
    </row>
    <row r="1268" spans="1:20" x14ac:dyDescent="0.25">
      <c r="A1268">
        <v>20120630</v>
      </c>
      <c r="B1268">
        <v>2012</v>
      </c>
      <c r="C1268">
        <v>6</v>
      </c>
      <c r="D1268">
        <v>1</v>
      </c>
      <c r="E1268">
        <v>10880</v>
      </c>
      <c r="F1268">
        <v>292361.55</v>
      </c>
      <c r="G1268">
        <v>0</v>
      </c>
      <c r="H1268">
        <v>0</v>
      </c>
      <c r="I1268">
        <v>0</v>
      </c>
      <c r="J1268">
        <v>0</v>
      </c>
      <c r="K1268">
        <v>0</v>
      </c>
      <c r="L1268">
        <v>197891935.80000001</v>
      </c>
      <c r="M1268">
        <v>197973428.40000001</v>
      </c>
      <c r="N1268">
        <v>197891935.80000001</v>
      </c>
      <c r="O1268">
        <v>197973428.40000001</v>
      </c>
      <c r="P1268">
        <v>201744599.09999999</v>
      </c>
      <c r="Q1268">
        <v>201744599.09999999</v>
      </c>
      <c r="R1268" s="14">
        <f>_xlfn.XLOOKUP(Table2[[#This Row],[LoanID]],Table1[G-L ID],Table1[ManagerCode],-99)</f>
        <v>103</v>
      </c>
      <c r="T1268"/>
    </row>
    <row r="1269" spans="1:20" x14ac:dyDescent="0.25">
      <c r="A1269">
        <v>20120630</v>
      </c>
      <c r="B1269">
        <v>2012</v>
      </c>
      <c r="C1269">
        <v>6</v>
      </c>
      <c r="D1269">
        <v>1</v>
      </c>
      <c r="E1269">
        <v>10900</v>
      </c>
      <c r="F1269">
        <v>81665.759999999995</v>
      </c>
      <c r="G1269">
        <v>0</v>
      </c>
      <c r="H1269">
        <v>0</v>
      </c>
      <c r="I1269">
        <v>0</v>
      </c>
      <c r="J1269">
        <v>0</v>
      </c>
      <c r="K1269">
        <v>1951.3</v>
      </c>
      <c r="L1269">
        <v>8190525.3099999996</v>
      </c>
      <c r="M1269">
        <v>8188671.5599999996</v>
      </c>
      <c r="N1269">
        <v>8190525.3099999996</v>
      </c>
      <c r="O1269">
        <v>8188671.5599999996</v>
      </c>
      <c r="P1269">
        <v>8621605.5700000003</v>
      </c>
      <c r="Q1269">
        <v>8619654.2699999996</v>
      </c>
      <c r="R1269" s="14">
        <f>_xlfn.XLOOKUP(Table2[[#This Row],[LoanID]],Table1[G-L ID],Table1[ManagerCode],-99)</f>
        <v>103</v>
      </c>
      <c r="T1269"/>
    </row>
    <row r="1270" spans="1:20" x14ac:dyDescent="0.25">
      <c r="A1270">
        <v>20120630</v>
      </c>
      <c r="B1270">
        <v>2012</v>
      </c>
      <c r="C1270">
        <v>6</v>
      </c>
      <c r="D1270">
        <v>1</v>
      </c>
      <c r="E1270">
        <v>10950</v>
      </c>
      <c r="F1270">
        <v>52741.02</v>
      </c>
      <c r="G1270">
        <v>0</v>
      </c>
      <c r="H1270">
        <v>0</v>
      </c>
      <c r="I1270">
        <v>0</v>
      </c>
      <c r="J1270">
        <v>0</v>
      </c>
      <c r="K1270">
        <v>24282</v>
      </c>
      <c r="L1270">
        <v>10512807.33</v>
      </c>
      <c r="M1270">
        <v>10488768.15</v>
      </c>
      <c r="N1270">
        <v>10512807.33</v>
      </c>
      <c r="O1270">
        <v>10488768.15</v>
      </c>
      <c r="P1270">
        <v>10618997.300000001</v>
      </c>
      <c r="Q1270">
        <v>10594715.300000001</v>
      </c>
      <c r="R1270" s="14">
        <f>_xlfn.XLOOKUP(Table2[[#This Row],[LoanID]],Table1[G-L ID],Table1[ManagerCode],-99)</f>
        <v>103</v>
      </c>
      <c r="T1270"/>
    </row>
    <row r="1271" spans="1:20" x14ac:dyDescent="0.25">
      <c r="A1271">
        <v>20120630</v>
      </c>
      <c r="B1271">
        <v>2012</v>
      </c>
      <c r="C1271">
        <v>6</v>
      </c>
      <c r="D1271">
        <v>1</v>
      </c>
      <c r="E1271">
        <v>10980</v>
      </c>
      <c r="F1271">
        <v>70307.899999999994</v>
      </c>
      <c r="G1271">
        <v>16820.28</v>
      </c>
      <c r="H1271">
        <v>0</v>
      </c>
      <c r="I1271">
        <v>0</v>
      </c>
      <c r="J1271">
        <v>-740749.85</v>
      </c>
      <c r="K1271">
        <v>0</v>
      </c>
      <c r="L1271">
        <v>6623441</v>
      </c>
      <c r="M1271">
        <v>7381011.1299999999</v>
      </c>
      <c r="N1271">
        <v>6623441</v>
      </c>
      <c r="O1271">
        <v>7381011.1299999999</v>
      </c>
      <c r="P1271">
        <v>6623441</v>
      </c>
      <c r="Q1271">
        <v>7381011.1299999999</v>
      </c>
      <c r="R1271" s="14">
        <f>_xlfn.XLOOKUP(Table2[[#This Row],[LoanID]],Table1[G-L ID],Table1[ManagerCode],-99)</f>
        <v>183</v>
      </c>
      <c r="T1271"/>
    </row>
    <row r="1272" spans="1:20" x14ac:dyDescent="0.25">
      <c r="A1272">
        <v>20120630</v>
      </c>
      <c r="B1272">
        <v>2012</v>
      </c>
      <c r="C1272">
        <v>6</v>
      </c>
      <c r="D1272">
        <v>1</v>
      </c>
      <c r="E1272">
        <v>11110</v>
      </c>
      <c r="F1272">
        <v>85705.09</v>
      </c>
      <c r="G1272">
        <v>0</v>
      </c>
      <c r="H1272">
        <v>0</v>
      </c>
      <c r="I1272">
        <v>0</v>
      </c>
      <c r="J1272">
        <v>-898386.56</v>
      </c>
      <c r="K1272">
        <v>0</v>
      </c>
      <c r="L1272">
        <v>11454159.99</v>
      </c>
      <c r="M1272">
        <v>12352546.550000001</v>
      </c>
      <c r="N1272">
        <v>11454159.99</v>
      </c>
      <c r="O1272">
        <v>12352546.550000001</v>
      </c>
      <c r="P1272">
        <v>11454159.99</v>
      </c>
      <c r="Q1272">
        <v>12352546.550000001</v>
      </c>
      <c r="R1272" s="14">
        <f>_xlfn.XLOOKUP(Table2[[#This Row],[LoanID]],Table1[G-L ID],Table1[ManagerCode],-99)</f>
        <v>183</v>
      </c>
      <c r="T1272"/>
    </row>
    <row r="1273" spans="1:20" x14ac:dyDescent="0.25">
      <c r="A1273">
        <v>20120630</v>
      </c>
      <c r="B1273">
        <v>2012</v>
      </c>
      <c r="C1273">
        <v>6</v>
      </c>
      <c r="D1273">
        <v>1</v>
      </c>
      <c r="E1273">
        <v>11140</v>
      </c>
      <c r="F1273">
        <v>1693701.19</v>
      </c>
      <c r="G1273">
        <v>0</v>
      </c>
      <c r="H1273">
        <v>0</v>
      </c>
      <c r="I1273">
        <v>0</v>
      </c>
      <c r="J1273">
        <v>0</v>
      </c>
      <c r="K1273">
        <v>0</v>
      </c>
      <c r="L1273">
        <v>70862758.290000007</v>
      </c>
      <c r="M1273">
        <v>70145899.840000004</v>
      </c>
      <c r="N1273">
        <v>70862758.290000007</v>
      </c>
      <c r="O1273">
        <v>70145899.840000004</v>
      </c>
      <c r="P1273">
        <v>72436285</v>
      </c>
      <c r="Q1273">
        <v>72436285</v>
      </c>
      <c r="R1273" s="14">
        <f>_xlfn.XLOOKUP(Table2[[#This Row],[LoanID]],Table1[G-L ID],Table1[ManagerCode],-99)</f>
        <v>103</v>
      </c>
      <c r="T1273"/>
    </row>
    <row r="1274" spans="1:20" x14ac:dyDescent="0.25">
      <c r="A1274">
        <v>20120630</v>
      </c>
      <c r="B1274">
        <v>2012</v>
      </c>
      <c r="C1274">
        <v>6</v>
      </c>
      <c r="D1274">
        <v>1</v>
      </c>
      <c r="E1274">
        <v>11190</v>
      </c>
      <c r="F1274">
        <v>289441.11</v>
      </c>
      <c r="G1274">
        <v>0</v>
      </c>
      <c r="H1274">
        <v>0</v>
      </c>
      <c r="I1274">
        <v>-1721.97</v>
      </c>
      <c r="J1274">
        <v>0</v>
      </c>
      <c r="K1274">
        <v>0</v>
      </c>
      <c r="L1274">
        <v>189972289.90000001</v>
      </c>
      <c r="M1274">
        <v>189972289.90000001</v>
      </c>
      <c r="N1274">
        <v>189972289.90000001</v>
      </c>
      <c r="O1274">
        <v>189972289.90000001</v>
      </c>
      <c r="P1274">
        <v>199970831.5</v>
      </c>
      <c r="Q1274">
        <v>199970831.5</v>
      </c>
      <c r="R1274" s="14">
        <f>_xlfn.XLOOKUP(Table2[[#This Row],[LoanID]],Table1[G-L ID],Table1[ManagerCode],-99)</f>
        <v>103</v>
      </c>
      <c r="T1274"/>
    </row>
    <row r="1275" spans="1:20" x14ac:dyDescent="0.25">
      <c r="A1275">
        <v>20120630</v>
      </c>
      <c r="B1275">
        <v>2012</v>
      </c>
      <c r="C1275">
        <v>6</v>
      </c>
      <c r="D1275">
        <v>1</v>
      </c>
      <c r="E1275">
        <v>11200</v>
      </c>
      <c r="F1275">
        <v>69880</v>
      </c>
      <c r="G1275">
        <v>0</v>
      </c>
      <c r="H1275">
        <v>0</v>
      </c>
      <c r="I1275">
        <v>0</v>
      </c>
      <c r="J1275">
        <v>0</v>
      </c>
      <c r="K1275">
        <v>0</v>
      </c>
      <c r="L1275">
        <v>12578374.859999999</v>
      </c>
      <c r="M1275">
        <v>12578374.859999999</v>
      </c>
      <c r="N1275">
        <v>12578374.859999999</v>
      </c>
      <c r="O1275">
        <v>12578374.859999999</v>
      </c>
      <c r="P1275">
        <v>13976000</v>
      </c>
      <c r="Q1275">
        <v>13976000</v>
      </c>
      <c r="R1275" s="14">
        <f>_xlfn.XLOOKUP(Table2[[#This Row],[LoanID]],Table1[G-L ID],Table1[ManagerCode],-99)</f>
        <v>103</v>
      </c>
      <c r="T1275"/>
    </row>
    <row r="1276" spans="1:20" x14ac:dyDescent="0.25">
      <c r="A1276">
        <v>20120630</v>
      </c>
      <c r="B1276">
        <v>2012</v>
      </c>
      <c r="C1276">
        <v>6</v>
      </c>
      <c r="D1276">
        <v>1</v>
      </c>
      <c r="E1276">
        <v>11240</v>
      </c>
      <c r="F1276">
        <v>253294.8</v>
      </c>
      <c r="G1276">
        <v>0</v>
      </c>
      <c r="H1276">
        <v>0</v>
      </c>
      <c r="I1276">
        <v>0.01</v>
      </c>
      <c r="J1276">
        <v>0</v>
      </c>
      <c r="K1276">
        <v>0</v>
      </c>
      <c r="L1276">
        <v>185183145.30000001</v>
      </c>
      <c r="M1276">
        <v>185183145.30000001</v>
      </c>
      <c r="N1276">
        <v>185183145.30000001</v>
      </c>
      <c r="O1276">
        <v>185183145.30000001</v>
      </c>
      <c r="P1276">
        <v>194929626.59999999</v>
      </c>
      <c r="Q1276">
        <v>194929626.59999999</v>
      </c>
      <c r="R1276" s="14">
        <f>_xlfn.XLOOKUP(Table2[[#This Row],[LoanID]],Table1[G-L ID],Table1[ManagerCode],-99)</f>
        <v>103</v>
      </c>
      <c r="T1276"/>
    </row>
    <row r="1277" spans="1:20" x14ac:dyDescent="0.25">
      <c r="A1277">
        <v>20120630</v>
      </c>
      <c r="B1277">
        <v>2012</v>
      </c>
      <c r="C1277">
        <v>6</v>
      </c>
      <c r="D1277">
        <v>1</v>
      </c>
      <c r="E1277">
        <v>11280</v>
      </c>
      <c r="F1277">
        <v>24093.87</v>
      </c>
      <c r="G1277">
        <v>0</v>
      </c>
      <c r="H1277">
        <v>0</v>
      </c>
      <c r="I1277">
        <v>-156.59</v>
      </c>
      <c r="J1277">
        <v>0</v>
      </c>
      <c r="K1277">
        <v>0</v>
      </c>
      <c r="L1277">
        <v>18258737.050000001</v>
      </c>
      <c r="M1277">
        <v>18259589.16</v>
      </c>
      <c r="N1277">
        <v>18258737.050000001</v>
      </c>
      <c r="O1277">
        <v>18259589.16</v>
      </c>
      <c r="P1277">
        <v>18791123.030000001</v>
      </c>
      <c r="Q1277">
        <v>18791123.030000001</v>
      </c>
      <c r="R1277" s="14">
        <f>_xlfn.XLOOKUP(Table2[[#This Row],[LoanID]],Table1[G-L ID],Table1[ManagerCode],-99)</f>
        <v>103</v>
      </c>
      <c r="T1277"/>
    </row>
    <row r="1278" spans="1:20" x14ac:dyDescent="0.25">
      <c r="A1278">
        <v>20120630</v>
      </c>
      <c r="B1278">
        <v>2012</v>
      </c>
      <c r="C1278">
        <v>6</v>
      </c>
      <c r="D1278">
        <v>1</v>
      </c>
      <c r="E1278">
        <v>11300</v>
      </c>
      <c r="F1278">
        <v>21684.49</v>
      </c>
      <c r="G1278">
        <v>0</v>
      </c>
      <c r="H1278">
        <v>0</v>
      </c>
      <c r="I1278">
        <v>-140.93</v>
      </c>
      <c r="J1278">
        <v>0</v>
      </c>
      <c r="K1278">
        <v>0</v>
      </c>
      <c r="L1278">
        <v>16432863.41</v>
      </c>
      <c r="M1278">
        <v>16433630.27</v>
      </c>
      <c r="N1278">
        <v>16432863.41</v>
      </c>
      <c r="O1278">
        <v>16433630.27</v>
      </c>
      <c r="P1278">
        <v>16912010.73</v>
      </c>
      <c r="Q1278">
        <v>16912010.73</v>
      </c>
      <c r="R1278" s="14">
        <f>_xlfn.XLOOKUP(Table2[[#This Row],[LoanID]],Table1[G-L ID],Table1[ManagerCode],-99)</f>
        <v>103</v>
      </c>
      <c r="T1278"/>
    </row>
    <row r="1279" spans="1:20" x14ac:dyDescent="0.25">
      <c r="A1279">
        <v>20120630</v>
      </c>
      <c r="B1279">
        <v>2012</v>
      </c>
      <c r="C1279">
        <v>6</v>
      </c>
      <c r="D1279">
        <v>1</v>
      </c>
      <c r="E1279">
        <v>11310</v>
      </c>
      <c r="F1279">
        <v>14456.32</v>
      </c>
      <c r="G1279">
        <v>0</v>
      </c>
      <c r="H1279">
        <v>0</v>
      </c>
      <c r="I1279">
        <v>-93.96</v>
      </c>
      <c r="J1279">
        <v>0</v>
      </c>
      <c r="K1279">
        <v>0</v>
      </c>
      <c r="L1279">
        <v>10960707.359999999</v>
      </c>
      <c r="M1279">
        <v>10960775.93</v>
      </c>
      <c r="N1279">
        <v>10960707.359999999</v>
      </c>
      <c r="O1279">
        <v>10960775.93</v>
      </c>
      <c r="P1279">
        <v>11274673.789999999</v>
      </c>
      <c r="Q1279">
        <v>11274673.789999999</v>
      </c>
      <c r="R1279" s="14">
        <f>_xlfn.XLOOKUP(Table2[[#This Row],[LoanID]],Table1[G-L ID],Table1[ManagerCode],-99)</f>
        <v>103</v>
      </c>
      <c r="T1279"/>
    </row>
    <row r="1280" spans="1:20" x14ac:dyDescent="0.25">
      <c r="A1280">
        <v>20120630</v>
      </c>
      <c r="B1280">
        <v>2012</v>
      </c>
      <c r="C1280">
        <v>6</v>
      </c>
      <c r="D1280">
        <v>1</v>
      </c>
      <c r="E1280">
        <v>11380</v>
      </c>
      <c r="F1280">
        <v>32361.18</v>
      </c>
      <c r="G1280">
        <v>0</v>
      </c>
      <c r="H1280">
        <v>0</v>
      </c>
      <c r="I1280">
        <v>0.01</v>
      </c>
      <c r="J1280">
        <v>0</v>
      </c>
      <c r="K1280">
        <v>58338.82</v>
      </c>
      <c r="L1280">
        <v>5535105.5199999996</v>
      </c>
      <c r="M1280">
        <v>5445785.5899999999</v>
      </c>
      <c r="N1280">
        <v>5535105.5199999996</v>
      </c>
      <c r="O1280">
        <v>5445785.5899999999</v>
      </c>
      <c r="P1280">
        <v>4897025.62</v>
      </c>
      <c r="Q1280">
        <v>4838686.8</v>
      </c>
      <c r="R1280" s="14">
        <f>_xlfn.XLOOKUP(Table2[[#This Row],[LoanID]],Table1[G-L ID],Table1[ManagerCode],-99)</f>
        <v>103</v>
      </c>
      <c r="T1280"/>
    </row>
    <row r="1281" spans="1:20" x14ac:dyDescent="0.25">
      <c r="A1281">
        <v>20120630</v>
      </c>
      <c r="B1281">
        <v>2012</v>
      </c>
      <c r="C1281">
        <v>6</v>
      </c>
      <c r="D1281">
        <v>1</v>
      </c>
      <c r="E1281">
        <v>11630</v>
      </c>
      <c r="F1281">
        <v>124450.71</v>
      </c>
      <c r="G1281">
        <v>33721.67</v>
      </c>
      <c r="H1281">
        <v>0</v>
      </c>
      <c r="I1281">
        <v>0</v>
      </c>
      <c r="J1281">
        <v>-1882497.29</v>
      </c>
      <c r="K1281">
        <v>0</v>
      </c>
      <c r="L1281">
        <v>21039634.109999999</v>
      </c>
      <c r="M1281">
        <v>22955853.07</v>
      </c>
      <c r="N1281">
        <v>21039634.109999999</v>
      </c>
      <c r="O1281">
        <v>22955853.07</v>
      </c>
      <c r="P1281">
        <v>21039634.109999999</v>
      </c>
      <c r="Q1281">
        <v>22955853.07</v>
      </c>
      <c r="R1281" s="14">
        <f>_xlfn.XLOOKUP(Table2[[#This Row],[LoanID]],Table1[G-L ID],Table1[ManagerCode],-99)</f>
        <v>183</v>
      </c>
      <c r="T1281"/>
    </row>
    <row r="1282" spans="1:20" x14ac:dyDescent="0.25">
      <c r="A1282">
        <v>20120630</v>
      </c>
      <c r="B1282">
        <v>2012</v>
      </c>
      <c r="C1282">
        <v>6</v>
      </c>
      <c r="D1282">
        <v>1</v>
      </c>
      <c r="E1282">
        <v>11650</v>
      </c>
      <c r="F1282">
        <v>75000</v>
      </c>
      <c r="G1282">
        <v>0</v>
      </c>
      <c r="H1282">
        <v>0</v>
      </c>
      <c r="I1282">
        <v>0</v>
      </c>
      <c r="J1282">
        <v>0</v>
      </c>
      <c r="K1282">
        <v>0</v>
      </c>
      <c r="L1282">
        <v>9600000</v>
      </c>
      <c r="M1282">
        <v>9600000</v>
      </c>
      <c r="N1282">
        <v>9600000</v>
      </c>
      <c r="O1282">
        <v>9600000</v>
      </c>
      <c r="P1282">
        <v>12000000</v>
      </c>
      <c r="Q1282">
        <v>12000000</v>
      </c>
      <c r="R1282" s="14">
        <f>_xlfn.XLOOKUP(Table2[[#This Row],[LoanID]],Table1[G-L ID],Table1[ManagerCode],-99)</f>
        <v>103</v>
      </c>
      <c r="T1282"/>
    </row>
    <row r="1283" spans="1:20" x14ac:dyDescent="0.25">
      <c r="A1283">
        <v>20120630</v>
      </c>
      <c r="B1283">
        <v>2012</v>
      </c>
      <c r="C1283">
        <v>6</v>
      </c>
      <c r="D1283">
        <v>1</v>
      </c>
      <c r="E1283">
        <v>11780</v>
      </c>
      <c r="F1283">
        <v>181711.35999999999</v>
      </c>
      <c r="G1283">
        <v>0</v>
      </c>
      <c r="H1283">
        <v>0</v>
      </c>
      <c r="I1283">
        <v>-1118.22</v>
      </c>
      <c r="J1283">
        <v>0</v>
      </c>
      <c r="K1283">
        <v>138684.1</v>
      </c>
      <c r="L1283">
        <v>27451682.149999999</v>
      </c>
      <c r="M1283">
        <v>27603780</v>
      </c>
      <c r="N1283">
        <v>27451682.149999999</v>
      </c>
      <c r="O1283">
        <v>27603780</v>
      </c>
      <c r="P1283">
        <v>64929122.210000001</v>
      </c>
      <c r="Q1283">
        <v>64790438.109999999</v>
      </c>
      <c r="R1283" s="14">
        <f>_xlfn.XLOOKUP(Table2[[#This Row],[LoanID]],Table1[G-L ID],Table1[ManagerCode],-99)</f>
        <v>103</v>
      </c>
      <c r="T1283"/>
    </row>
    <row r="1284" spans="1:20" x14ac:dyDescent="0.25">
      <c r="A1284">
        <v>20120630</v>
      </c>
      <c r="B1284">
        <v>2012</v>
      </c>
      <c r="C1284">
        <v>6</v>
      </c>
      <c r="D1284">
        <v>1</v>
      </c>
      <c r="E1284">
        <v>11800</v>
      </c>
      <c r="F1284">
        <v>163187.35999999999</v>
      </c>
      <c r="G1284">
        <v>0</v>
      </c>
      <c r="H1284">
        <v>0</v>
      </c>
      <c r="I1284">
        <v>-274.58999999999997</v>
      </c>
      <c r="J1284">
        <v>0</v>
      </c>
      <c r="K1284">
        <v>56765.94</v>
      </c>
      <c r="L1284">
        <v>30222324.170000002</v>
      </c>
      <c r="M1284">
        <v>29571959.170000002</v>
      </c>
      <c r="N1284">
        <v>30222324.170000002</v>
      </c>
      <c r="O1284">
        <v>29571959.170000002</v>
      </c>
      <c r="P1284">
        <v>31887581.469999999</v>
      </c>
      <c r="Q1284">
        <v>31830815.530000001</v>
      </c>
      <c r="R1284" s="14">
        <f>_xlfn.XLOOKUP(Table2[[#This Row],[LoanID]],Table1[G-L ID],Table1[ManagerCode],-99)</f>
        <v>103</v>
      </c>
      <c r="T1284"/>
    </row>
    <row r="1285" spans="1:20" x14ac:dyDescent="0.25">
      <c r="A1285">
        <v>20120630</v>
      </c>
      <c r="B1285">
        <v>2012</v>
      </c>
      <c r="C1285">
        <v>6</v>
      </c>
      <c r="D1285">
        <v>1</v>
      </c>
      <c r="E1285">
        <v>11810</v>
      </c>
      <c r="F1285">
        <v>51166.67</v>
      </c>
      <c r="G1285">
        <v>0</v>
      </c>
      <c r="H1285">
        <v>0</v>
      </c>
      <c r="I1285">
        <v>0</v>
      </c>
      <c r="J1285">
        <v>0</v>
      </c>
      <c r="K1285">
        <v>9691.42</v>
      </c>
      <c r="L1285">
        <v>9900000</v>
      </c>
      <c r="M1285">
        <v>9890405.5</v>
      </c>
      <c r="N1285">
        <v>9900000</v>
      </c>
      <c r="O1285">
        <v>9890405.5</v>
      </c>
      <c r="P1285">
        <v>10000000</v>
      </c>
      <c r="Q1285">
        <v>9990308.5800000001</v>
      </c>
      <c r="R1285" s="14">
        <f>_xlfn.XLOOKUP(Table2[[#This Row],[LoanID]],Table1[G-L ID],Table1[ManagerCode],-99)</f>
        <v>103</v>
      </c>
      <c r="T1285"/>
    </row>
    <row r="1286" spans="1:20" x14ac:dyDescent="0.25">
      <c r="A1286">
        <v>20120630</v>
      </c>
      <c r="B1286">
        <v>2012</v>
      </c>
      <c r="C1286">
        <v>6</v>
      </c>
      <c r="D1286">
        <v>1</v>
      </c>
      <c r="E1286">
        <v>11970</v>
      </c>
      <c r="F1286">
        <v>6828.47</v>
      </c>
      <c r="G1286">
        <v>4560.1000000000004</v>
      </c>
      <c r="H1286">
        <v>0</v>
      </c>
      <c r="I1286">
        <v>0</v>
      </c>
      <c r="J1286">
        <v>-45940.92</v>
      </c>
      <c r="K1286">
        <v>0</v>
      </c>
      <c r="L1286">
        <v>871625.99</v>
      </c>
      <c r="M1286">
        <v>922127.01</v>
      </c>
      <c r="N1286">
        <v>871625.99</v>
      </c>
      <c r="O1286">
        <v>922127.01</v>
      </c>
      <c r="P1286">
        <v>871625.99</v>
      </c>
      <c r="Q1286">
        <v>922127.01</v>
      </c>
      <c r="R1286" s="14">
        <f>_xlfn.XLOOKUP(Table2[[#This Row],[LoanID]],Table1[G-L ID],Table1[ManagerCode],-99)</f>
        <v>183</v>
      </c>
      <c r="T1286"/>
    </row>
    <row r="1287" spans="1:20" x14ac:dyDescent="0.25">
      <c r="A1287">
        <v>20120630</v>
      </c>
      <c r="B1287">
        <v>2012</v>
      </c>
      <c r="C1287">
        <v>6</v>
      </c>
      <c r="D1287">
        <v>1</v>
      </c>
      <c r="E1287">
        <v>12020</v>
      </c>
      <c r="F1287">
        <v>35776.69</v>
      </c>
      <c r="G1287">
        <v>46159.22</v>
      </c>
      <c r="H1287">
        <v>0</v>
      </c>
      <c r="I1287">
        <v>0</v>
      </c>
      <c r="J1287">
        <v>-1494028.26</v>
      </c>
      <c r="K1287">
        <v>0</v>
      </c>
      <c r="L1287">
        <v>5800965.4000000004</v>
      </c>
      <c r="M1287">
        <v>7341152.8799999999</v>
      </c>
      <c r="N1287">
        <v>5800965.4000000004</v>
      </c>
      <c r="O1287">
        <v>7341152.8799999999</v>
      </c>
      <c r="P1287">
        <v>5800965.4000000004</v>
      </c>
      <c r="Q1287">
        <v>7341152.8799999999</v>
      </c>
      <c r="R1287" s="14">
        <f>_xlfn.XLOOKUP(Table2[[#This Row],[LoanID]],Table1[G-L ID],Table1[ManagerCode],-99)</f>
        <v>183</v>
      </c>
      <c r="T1287"/>
    </row>
    <row r="1288" spans="1:20" x14ac:dyDescent="0.25">
      <c r="A1288">
        <v>20120630</v>
      </c>
      <c r="B1288">
        <v>2012</v>
      </c>
      <c r="C1288">
        <v>6</v>
      </c>
      <c r="D1288">
        <v>1</v>
      </c>
      <c r="E1288">
        <v>12090</v>
      </c>
      <c r="F1288">
        <v>164844.65</v>
      </c>
      <c r="G1288">
        <v>0</v>
      </c>
      <c r="H1288">
        <v>0</v>
      </c>
      <c r="I1288">
        <v>0</v>
      </c>
      <c r="J1288">
        <v>0</v>
      </c>
      <c r="K1288">
        <v>0</v>
      </c>
      <c r="L1288">
        <v>17500000</v>
      </c>
      <c r="M1288">
        <v>17500000</v>
      </c>
      <c r="N1288">
        <v>17500000</v>
      </c>
      <c r="O1288">
        <v>17500000</v>
      </c>
      <c r="P1288">
        <v>17500000</v>
      </c>
      <c r="Q1288">
        <v>17500000</v>
      </c>
      <c r="R1288" s="14">
        <f>_xlfn.XLOOKUP(Table2[[#This Row],[LoanID]],Table1[G-L ID],Table1[ManagerCode],-99)</f>
        <v>220</v>
      </c>
      <c r="T1288"/>
    </row>
    <row r="1289" spans="1:20" x14ac:dyDescent="0.25">
      <c r="A1289">
        <v>20120630</v>
      </c>
      <c r="B1289">
        <v>2012</v>
      </c>
      <c r="C1289">
        <v>6</v>
      </c>
      <c r="D1289">
        <v>1</v>
      </c>
      <c r="E1289">
        <v>12210</v>
      </c>
      <c r="F1289">
        <v>715017.98</v>
      </c>
      <c r="G1289">
        <v>0</v>
      </c>
      <c r="H1289">
        <v>0</v>
      </c>
      <c r="I1289">
        <v>0</v>
      </c>
      <c r="J1289">
        <v>0</v>
      </c>
      <c r="K1289">
        <v>187648.04</v>
      </c>
      <c r="L1289">
        <v>137826460.59999999</v>
      </c>
      <c r="M1289">
        <v>136746757.40000001</v>
      </c>
      <c r="N1289">
        <v>137826460.59999999</v>
      </c>
      <c r="O1289">
        <v>136746757.40000001</v>
      </c>
      <c r="P1289">
        <v>115691063.59999999</v>
      </c>
      <c r="Q1289">
        <v>115503415.5</v>
      </c>
      <c r="R1289" s="14">
        <f>_xlfn.XLOOKUP(Table2[[#This Row],[LoanID]],Table1[G-L ID],Table1[ManagerCode],-99)</f>
        <v>103</v>
      </c>
      <c r="T1289"/>
    </row>
    <row r="1290" spans="1:20" x14ac:dyDescent="0.25">
      <c r="A1290">
        <v>20120731</v>
      </c>
      <c r="B1290">
        <v>2012</v>
      </c>
      <c r="C1290">
        <v>7</v>
      </c>
      <c r="D1290">
        <v>1</v>
      </c>
      <c r="E1290">
        <v>10050</v>
      </c>
      <c r="F1290">
        <v>149013.89000000001</v>
      </c>
      <c r="G1290">
        <v>0</v>
      </c>
      <c r="H1290">
        <v>0</v>
      </c>
      <c r="I1290">
        <v>0</v>
      </c>
      <c r="J1290">
        <v>0</v>
      </c>
      <c r="K1290">
        <v>0</v>
      </c>
      <c r="L1290">
        <v>36570708.140000001</v>
      </c>
      <c r="M1290">
        <v>37145208.469999999</v>
      </c>
      <c r="N1290">
        <v>36570708.140000001</v>
      </c>
      <c r="O1290">
        <v>37145208.469999999</v>
      </c>
      <c r="P1290">
        <v>33333334</v>
      </c>
      <c r="Q1290">
        <v>33333334</v>
      </c>
      <c r="R1290" s="14">
        <f>_xlfn.XLOOKUP(Table2[[#This Row],[LoanID]],Table1[G-L ID],Table1[ManagerCode],-99)</f>
        <v>103</v>
      </c>
      <c r="T1290"/>
    </row>
    <row r="1291" spans="1:20" x14ac:dyDescent="0.25">
      <c r="A1291">
        <v>20120731</v>
      </c>
      <c r="B1291">
        <v>2012</v>
      </c>
      <c r="C1291">
        <v>7</v>
      </c>
      <c r="D1291">
        <v>1</v>
      </c>
      <c r="E1291">
        <v>10060</v>
      </c>
      <c r="F1291">
        <v>23770.5</v>
      </c>
      <c r="G1291">
        <v>0</v>
      </c>
      <c r="H1291">
        <v>0</v>
      </c>
      <c r="I1291">
        <v>-0.01</v>
      </c>
      <c r="J1291">
        <v>0</v>
      </c>
      <c r="K1291">
        <v>0</v>
      </c>
      <c r="L1291">
        <v>20000000</v>
      </c>
      <c r="M1291">
        <v>20000000</v>
      </c>
      <c r="N1291">
        <v>20000000</v>
      </c>
      <c r="O1291">
        <v>20000000</v>
      </c>
      <c r="P1291">
        <v>20000000</v>
      </c>
      <c r="Q1291">
        <v>20000000</v>
      </c>
      <c r="R1291" s="14">
        <f>_xlfn.XLOOKUP(Table2[[#This Row],[LoanID]],Table1[G-L ID],Table1[ManagerCode],-99)</f>
        <v>103</v>
      </c>
      <c r="T1291"/>
    </row>
    <row r="1292" spans="1:20" x14ac:dyDescent="0.25">
      <c r="A1292">
        <v>20120731</v>
      </c>
      <c r="B1292">
        <v>2012</v>
      </c>
      <c r="C1292">
        <v>7</v>
      </c>
      <c r="D1292">
        <v>1</v>
      </c>
      <c r="E1292">
        <v>10080</v>
      </c>
      <c r="F1292">
        <v>339718.75</v>
      </c>
      <c r="G1292">
        <v>0</v>
      </c>
      <c r="H1292">
        <v>0</v>
      </c>
      <c r="I1292">
        <v>-156.25</v>
      </c>
      <c r="J1292">
        <v>0</v>
      </c>
      <c r="K1292">
        <v>0</v>
      </c>
      <c r="L1292">
        <v>74249925.75</v>
      </c>
      <c r="M1292">
        <v>74249925.75</v>
      </c>
      <c r="N1292">
        <v>74249925.75</v>
      </c>
      <c r="O1292">
        <v>74249925.75</v>
      </c>
      <c r="P1292">
        <v>75000000</v>
      </c>
      <c r="Q1292">
        <v>75000000</v>
      </c>
      <c r="R1292" s="14">
        <f>_xlfn.XLOOKUP(Table2[[#This Row],[LoanID]],Table1[G-L ID],Table1[ManagerCode],-99)</f>
        <v>103</v>
      </c>
      <c r="T1292"/>
    </row>
    <row r="1293" spans="1:20" x14ac:dyDescent="0.25">
      <c r="A1293">
        <v>20120731</v>
      </c>
      <c r="B1293">
        <v>2012</v>
      </c>
      <c r="C1293">
        <v>7</v>
      </c>
      <c r="D1293">
        <v>1</v>
      </c>
      <c r="E1293">
        <v>10130</v>
      </c>
      <c r="F1293">
        <v>34819.99</v>
      </c>
      <c r="G1293">
        <v>0</v>
      </c>
      <c r="H1293">
        <v>0</v>
      </c>
      <c r="I1293">
        <v>0</v>
      </c>
      <c r="J1293">
        <v>0</v>
      </c>
      <c r="K1293">
        <v>32870.699999999997</v>
      </c>
      <c r="L1293">
        <v>7920316.5999999996</v>
      </c>
      <c r="M1293">
        <v>7876752.3799999999</v>
      </c>
      <c r="N1293">
        <v>7920316.5999999996</v>
      </c>
      <c r="O1293">
        <v>7876752.3799999999</v>
      </c>
      <c r="P1293">
        <v>7695025.1799999997</v>
      </c>
      <c r="Q1293">
        <v>7662154.4800000004</v>
      </c>
      <c r="R1293" s="14">
        <f>_xlfn.XLOOKUP(Table2[[#This Row],[LoanID]],Table1[G-L ID],Table1[ManagerCode],-99)</f>
        <v>103</v>
      </c>
      <c r="T1293"/>
    </row>
    <row r="1294" spans="1:20" x14ac:dyDescent="0.25">
      <c r="A1294">
        <v>20120731</v>
      </c>
      <c r="B1294">
        <v>2012</v>
      </c>
      <c r="C1294">
        <v>7</v>
      </c>
      <c r="D1294">
        <v>1</v>
      </c>
      <c r="E1294">
        <v>10140</v>
      </c>
      <c r="F1294">
        <v>91861.54</v>
      </c>
      <c r="G1294">
        <v>0</v>
      </c>
      <c r="H1294">
        <v>0</v>
      </c>
      <c r="I1294">
        <v>0</v>
      </c>
      <c r="J1294">
        <v>0</v>
      </c>
      <c r="K1294">
        <v>85962.79</v>
      </c>
      <c r="L1294">
        <v>20895436.510000002</v>
      </c>
      <c r="M1294">
        <v>20781266.050000001</v>
      </c>
      <c r="N1294">
        <v>20895436.510000002</v>
      </c>
      <c r="O1294">
        <v>20781266.050000001</v>
      </c>
      <c r="P1294">
        <v>20300893.460000001</v>
      </c>
      <c r="Q1294">
        <v>20214930.670000002</v>
      </c>
      <c r="R1294" s="14">
        <f>_xlfn.XLOOKUP(Table2[[#This Row],[LoanID]],Table1[G-L ID],Table1[ManagerCode],-99)</f>
        <v>103</v>
      </c>
      <c r="T1294"/>
    </row>
    <row r="1295" spans="1:20" x14ac:dyDescent="0.25">
      <c r="A1295">
        <v>20120731</v>
      </c>
      <c r="B1295">
        <v>2012</v>
      </c>
      <c r="C1295">
        <v>7</v>
      </c>
      <c r="D1295">
        <v>1</v>
      </c>
      <c r="E1295">
        <v>10170</v>
      </c>
      <c r="F1295">
        <v>238311.31</v>
      </c>
      <c r="G1295">
        <v>0</v>
      </c>
      <c r="H1295">
        <v>0</v>
      </c>
      <c r="I1295">
        <v>-1142.07</v>
      </c>
      <c r="J1295">
        <v>0</v>
      </c>
      <c r="K1295">
        <v>75817.05</v>
      </c>
      <c r="L1295">
        <v>48661054.950000003</v>
      </c>
      <c r="M1295">
        <v>48532229.100000001</v>
      </c>
      <c r="N1295">
        <v>48661054.950000003</v>
      </c>
      <c r="O1295">
        <v>48532229.100000001</v>
      </c>
      <c r="P1295">
        <v>45682679.359999999</v>
      </c>
      <c r="Q1295">
        <v>45606862.310000002</v>
      </c>
      <c r="R1295" s="14">
        <f>_xlfn.XLOOKUP(Table2[[#This Row],[LoanID]],Table1[G-L ID],Table1[ManagerCode],-99)</f>
        <v>103</v>
      </c>
      <c r="T1295"/>
    </row>
    <row r="1296" spans="1:20" x14ac:dyDescent="0.25">
      <c r="A1296">
        <v>20120731</v>
      </c>
      <c r="B1296">
        <v>2012</v>
      </c>
      <c r="C1296">
        <v>7</v>
      </c>
      <c r="D1296">
        <v>1</v>
      </c>
      <c r="E1296">
        <v>10210</v>
      </c>
      <c r="F1296">
        <v>50335.02</v>
      </c>
      <c r="G1296">
        <v>79997.850000000006</v>
      </c>
      <c r="H1296">
        <v>0</v>
      </c>
      <c r="I1296">
        <v>0</v>
      </c>
      <c r="J1296">
        <v>-50335.02</v>
      </c>
      <c r="K1296">
        <v>0</v>
      </c>
      <c r="L1296">
        <v>10412168.380000001</v>
      </c>
      <c r="M1296">
        <v>10542501.25</v>
      </c>
      <c r="N1296">
        <v>10412168.380000001</v>
      </c>
      <c r="O1296">
        <v>10542501.25</v>
      </c>
      <c r="P1296">
        <v>10412168.380000001</v>
      </c>
      <c r="Q1296">
        <v>10542501.25</v>
      </c>
      <c r="R1296" s="14">
        <f>_xlfn.XLOOKUP(Table2[[#This Row],[LoanID]],Table1[G-L ID],Table1[ManagerCode],-99)</f>
        <v>183</v>
      </c>
      <c r="T1296"/>
    </row>
    <row r="1297" spans="1:20" x14ac:dyDescent="0.25">
      <c r="A1297">
        <v>20120731</v>
      </c>
      <c r="B1297">
        <v>2012</v>
      </c>
      <c r="C1297">
        <v>7</v>
      </c>
      <c r="D1297">
        <v>1</v>
      </c>
      <c r="E1297">
        <v>10220</v>
      </c>
      <c r="F1297">
        <v>325000</v>
      </c>
      <c r="G1297">
        <v>0</v>
      </c>
      <c r="H1297">
        <v>0</v>
      </c>
      <c r="I1297">
        <v>0</v>
      </c>
      <c r="J1297">
        <v>-100000000</v>
      </c>
      <c r="K1297">
        <v>0</v>
      </c>
      <c r="L1297">
        <v>0</v>
      </c>
      <c r="M1297">
        <v>99000000</v>
      </c>
      <c r="N1297">
        <v>0</v>
      </c>
      <c r="O1297">
        <v>99000000</v>
      </c>
      <c r="P1297">
        <v>0</v>
      </c>
      <c r="Q1297">
        <v>100000000</v>
      </c>
      <c r="R1297" s="14">
        <f>_xlfn.XLOOKUP(Table2[[#This Row],[LoanID]],Table1[G-L ID],Table1[ManagerCode],-99)</f>
        <v>103</v>
      </c>
      <c r="T1297"/>
    </row>
    <row r="1298" spans="1:20" x14ac:dyDescent="0.25">
      <c r="A1298">
        <v>20120731</v>
      </c>
      <c r="B1298">
        <v>2012</v>
      </c>
      <c r="C1298">
        <v>7</v>
      </c>
      <c r="D1298">
        <v>1</v>
      </c>
      <c r="E1298">
        <v>10230</v>
      </c>
      <c r="F1298">
        <v>180343.27</v>
      </c>
      <c r="G1298">
        <v>0</v>
      </c>
      <c r="H1298">
        <v>0</v>
      </c>
      <c r="I1298">
        <v>0</v>
      </c>
      <c r="J1298">
        <v>0</v>
      </c>
      <c r="K1298">
        <v>61254.8</v>
      </c>
      <c r="L1298">
        <v>30503163.690000001</v>
      </c>
      <c r="M1298">
        <v>30444971.629999999</v>
      </c>
      <c r="N1298">
        <v>30503163.690000001</v>
      </c>
      <c r="O1298">
        <v>30444971.629999999</v>
      </c>
      <c r="P1298">
        <v>32108593.359999999</v>
      </c>
      <c r="Q1298">
        <v>32047338.559999999</v>
      </c>
      <c r="R1298" s="14">
        <f>_xlfn.XLOOKUP(Table2[[#This Row],[LoanID]],Table1[G-L ID],Table1[ManagerCode],-99)</f>
        <v>103</v>
      </c>
      <c r="T1298"/>
    </row>
    <row r="1299" spans="1:20" x14ac:dyDescent="0.25">
      <c r="A1299">
        <v>20120731</v>
      </c>
      <c r="B1299">
        <v>2012</v>
      </c>
      <c r="C1299">
        <v>7</v>
      </c>
      <c r="D1299">
        <v>1</v>
      </c>
      <c r="E1299">
        <v>10280</v>
      </c>
      <c r="F1299">
        <v>175560</v>
      </c>
      <c r="G1299">
        <v>0</v>
      </c>
      <c r="H1299">
        <v>9070.6</v>
      </c>
      <c r="I1299">
        <v>0.01</v>
      </c>
      <c r="J1299">
        <v>0</v>
      </c>
      <c r="K1299">
        <v>0</v>
      </c>
      <c r="L1299">
        <v>33250033.25</v>
      </c>
      <c r="M1299">
        <v>33250033.25</v>
      </c>
      <c r="N1299">
        <v>33250033.25</v>
      </c>
      <c r="O1299">
        <v>33250033.25</v>
      </c>
      <c r="P1299">
        <v>35000000</v>
      </c>
      <c r="Q1299">
        <v>35000000</v>
      </c>
      <c r="R1299" s="14">
        <f>_xlfn.XLOOKUP(Table2[[#This Row],[LoanID]],Table1[G-L ID],Table1[ManagerCode],-99)</f>
        <v>103</v>
      </c>
      <c r="T1299"/>
    </row>
    <row r="1300" spans="1:20" x14ac:dyDescent="0.25">
      <c r="A1300">
        <v>20120731</v>
      </c>
      <c r="B1300">
        <v>2012</v>
      </c>
      <c r="C1300">
        <v>7</v>
      </c>
      <c r="D1300">
        <v>1</v>
      </c>
      <c r="E1300">
        <v>10290</v>
      </c>
      <c r="F1300">
        <v>165775</v>
      </c>
      <c r="G1300">
        <v>0</v>
      </c>
      <c r="H1300">
        <v>8565.0400000000009</v>
      </c>
      <c r="I1300">
        <v>0</v>
      </c>
      <c r="J1300">
        <v>0</v>
      </c>
      <c r="K1300">
        <v>0</v>
      </c>
      <c r="L1300">
        <v>22500000</v>
      </c>
      <c r="M1300">
        <v>23324128.27</v>
      </c>
      <c r="N1300">
        <v>22500000</v>
      </c>
      <c r="O1300">
        <v>23324128.27</v>
      </c>
      <c r="P1300">
        <v>25000000</v>
      </c>
      <c r="Q1300">
        <v>25000000</v>
      </c>
      <c r="R1300" s="14">
        <f>_xlfn.XLOOKUP(Table2[[#This Row],[LoanID]],Table1[G-L ID],Table1[ManagerCode],-99)</f>
        <v>103</v>
      </c>
      <c r="T1300"/>
    </row>
    <row r="1301" spans="1:20" x14ac:dyDescent="0.25">
      <c r="A1301">
        <v>20120731</v>
      </c>
      <c r="B1301">
        <v>2012</v>
      </c>
      <c r="C1301">
        <v>7</v>
      </c>
      <c r="D1301">
        <v>1</v>
      </c>
      <c r="E1301">
        <v>10300</v>
      </c>
      <c r="F1301">
        <v>145052.85</v>
      </c>
      <c r="G1301">
        <v>0</v>
      </c>
      <c r="H1301">
        <v>7494.4</v>
      </c>
      <c r="I1301">
        <v>-0.01</v>
      </c>
      <c r="J1301">
        <v>0</v>
      </c>
      <c r="K1301">
        <v>0</v>
      </c>
      <c r="L1301">
        <v>35059264.759999998</v>
      </c>
      <c r="M1301">
        <v>35931190.07</v>
      </c>
      <c r="N1301">
        <v>35059264.759999998</v>
      </c>
      <c r="O1301">
        <v>35931190.07</v>
      </c>
      <c r="P1301">
        <v>35000000</v>
      </c>
      <c r="Q1301">
        <v>35000000</v>
      </c>
      <c r="R1301" s="14">
        <f>_xlfn.XLOOKUP(Table2[[#This Row],[LoanID]],Table1[G-L ID],Table1[ManagerCode],-99)</f>
        <v>103</v>
      </c>
      <c r="T1301"/>
    </row>
    <row r="1302" spans="1:20" x14ac:dyDescent="0.25">
      <c r="A1302">
        <v>20120731</v>
      </c>
      <c r="B1302">
        <v>2012</v>
      </c>
      <c r="C1302">
        <v>7</v>
      </c>
      <c r="D1302">
        <v>1</v>
      </c>
      <c r="E1302">
        <v>10310</v>
      </c>
      <c r="F1302">
        <v>98837.09</v>
      </c>
      <c r="G1302">
        <v>0</v>
      </c>
      <c r="H1302">
        <v>0</v>
      </c>
      <c r="I1302">
        <v>0</v>
      </c>
      <c r="J1302">
        <v>0</v>
      </c>
      <c r="K1302">
        <v>21774</v>
      </c>
      <c r="L1302">
        <v>14263168.300000001</v>
      </c>
      <c r="M1302">
        <v>14241394.300000001</v>
      </c>
      <c r="N1302">
        <v>14263168.300000001</v>
      </c>
      <c r="O1302">
        <v>14241394.300000001</v>
      </c>
      <c r="P1302">
        <v>14263168.300000001</v>
      </c>
      <c r="Q1302">
        <v>14241394.300000001</v>
      </c>
      <c r="R1302" s="14">
        <f>_xlfn.XLOOKUP(Table2[[#This Row],[LoanID]],Table1[G-L ID],Table1[ManagerCode],-99)</f>
        <v>183</v>
      </c>
      <c r="T1302"/>
    </row>
    <row r="1303" spans="1:20" x14ac:dyDescent="0.25">
      <c r="A1303">
        <v>20120731</v>
      </c>
      <c r="B1303">
        <v>2012</v>
      </c>
      <c r="C1303">
        <v>7</v>
      </c>
      <c r="D1303">
        <v>1</v>
      </c>
      <c r="E1303">
        <v>10370</v>
      </c>
      <c r="F1303">
        <v>9170.7999999999993</v>
      </c>
      <c r="G1303">
        <v>0</v>
      </c>
      <c r="H1303">
        <v>0</v>
      </c>
      <c r="I1303">
        <v>0</v>
      </c>
      <c r="J1303">
        <v>0</v>
      </c>
      <c r="K1303">
        <v>75835.320000000007</v>
      </c>
      <c r="L1303">
        <v>2550218.59</v>
      </c>
      <c r="M1303">
        <v>2511590.7000000002</v>
      </c>
      <c r="N1303">
        <v>2550218.59</v>
      </c>
      <c r="O1303">
        <v>2511590.7000000002</v>
      </c>
      <c r="P1303">
        <v>2732502.5</v>
      </c>
      <c r="Q1303">
        <v>2656667.1800000002</v>
      </c>
      <c r="R1303" s="14">
        <f>_xlfn.XLOOKUP(Table2[[#This Row],[LoanID]],Table1[G-L ID],Table1[ManagerCode],-99)</f>
        <v>103</v>
      </c>
      <c r="T1303"/>
    </row>
    <row r="1304" spans="1:20" x14ac:dyDescent="0.25">
      <c r="A1304">
        <v>20120731</v>
      </c>
      <c r="B1304">
        <v>2012</v>
      </c>
      <c r="C1304">
        <v>7</v>
      </c>
      <c r="D1304">
        <v>1</v>
      </c>
      <c r="E1304">
        <v>10390</v>
      </c>
      <c r="F1304">
        <v>118750</v>
      </c>
      <c r="G1304">
        <v>0</v>
      </c>
      <c r="H1304">
        <v>0</v>
      </c>
      <c r="I1304">
        <v>0</v>
      </c>
      <c r="J1304">
        <v>0</v>
      </c>
      <c r="K1304">
        <v>0</v>
      </c>
      <c r="L1304">
        <v>23750000</v>
      </c>
      <c r="M1304">
        <v>23750000</v>
      </c>
      <c r="N1304">
        <v>23750000</v>
      </c>
      <c r="O1304">
        <v>23750000</v>
      </c>
      <c r="P1304">
        <v>24995510.109999999</v>
      </c>
      <c r="Q1304">
        <v>24995714.190000001</v>
      </c>
      <c r="R1304" s="14">
        <f>_xlfn.XLOOKUP(Table2[[#This Row],[LoanID]],Table1[G-L ID],Table1[ManagerCode],-99)</f>
        <v>103</v>
      </c>
      <c r="T1304"/>
    </row>
    <row r="1305" spans="1:20" x14ac:dyDescent="0.25">
      <c r="A1305">
        <v>20120731</v>
      </c>
      <c r="B1305">
        <v>2012</v>
      </c>
      <c r="C1305">
        <v>7</v>
      </c>
      <c r="D1305">
        <v>1</v>
      </c>
      <c r="E1305">
        <v>10450</v>
      </c>
      <c r="F1305">
        <v>118403.42</v>
      </c>
      <c r="G1305">
        <v>0</v>
      </c>
      <c r="H1305">
        <v>0</v>
      </c>
      <c r="I1305">
        <v>0</v>
      </c>
      <c r="J1305">
        <v>0</v>
      </c>
      <c r="K1305">
        <v>23411.83</v>
      </c>
      <c r="L1305">
        <v>21025899.149999999</v>
      </c>
      <c r="M1305">
        <v>21002721.440000001</v>
      </c>
      <c r="N1305">
        <v>21025899.149999999</v>
      </c>
      <c r="O1305">
        <v>21002721.440000001</v>
      </c>
      <c r="P1305">
        <v>21238281.969999999</v>
      </c>
      <c r="Q1305">
        <v>21214870.140000001</v>
      </c>
      <c r="R1305" s="14">
        <f>_xlfn.XLOOKUP(Table2[[#This Row],[LoanID]],Table1[G-L ID],Table1[ManagerCode],-99)</f>
        <v>103</v>
      </c>
      <c r="T1305"/>
    </row>
    <row r="1306" spans="1:20" x14ac:dyDescent="0.25">
      <c r="A1306">
        <v>20120731</v>
      </c>
      <c r="B1306">
        <v>2012</v>
      </c>
      <c r="C1306">
        <v>7</v>
      </c>
      <c r="D1306">
        <v>1</v>
      </c>
      <c r="E1306">
        <v>10490</v>
      </c>
      <c r="F1306">
        <v>218750</v>
      </c>
      <c r="G1306">
        <v>0</v>
      </c>
      <c r="H1306">
        <v>0</v>
      </c>
      <c r="I1306">
        <v>0</v>
      </c>
      <c r="J1306">
        <v>0</v>
      </c>
      <c r="K1306">
        <v>0</v>
      </c>
      <c r="L1306">
        <v>25000000</v>
      </c>
      <c r="M1306">
        <v>25000000</v>
      </c>
      <c r="N1306">
        <v>25000000</v>
      </c>
      <c r="O1306">
        <v>25000000</v>
      </c>
      <c r="P1306">
        <v>25000000</v>
      </c>
      <c r="Q1306">
        <v>25000000</v>
      </c>
      <c r="R1306" s="14">
        <f>_xlfn.XLOOKUP(Table2[[#This Row],[LoanID]],Table1[G-L ID],Table1[ManagerCode],-99)</f>
        <v>220</v>
      </c>
      <c r="T1306"/>
    </row>
    <row r="1307" spans="1:20" x14ac:dyDescent="0.25">
      <c r="A1307">
        <v>20120731</v>
      </c>
      <c r="B1307">
        <v>2012</v>
      </c>
      <c r="C1307">
        <v>7</v>
      </c>
      <c r="D1307">
        <v>1</v>
      </c>
      <c r="E1307">
        <v>10550</v>
      </c>
      <c r="F1307">
        <v>19742.919999999998</v>
      </c>
      <c r="G1307">
        <v>0</v>
      </c>
      <c r="H1307">
        <v>0</v>
      </c>
      <c r="I1307">
        <v>-11.23</v>
      </c>
      <c r="J1307">
        <v>0</v>
      </c>
      <c r="K1307">
        <v>0</v>
      </c>
      <c r="L1307">
        <v>3439688.63</v>
      </c>
      <c r="M1307">
        <v>3439688.63</v>
      </c>
      <c r="N1307">
        <v>3439688.63</v>
      </c>
      <c r="O1307">
        <v>3439688.63</v>
      </c>
      <c r="P1307">
        <v>3474432.96</v>
      </c>
      <c r="Q1307">
        <v>3474432.96</v>
      </c>
      <c r="R1307" s="14">
        <f>_xlfn.XLOOKUP(Table2[[#This Row],[LoanID]],Table1[G-L ID],Table1[ManagerCode],-99)</f>
        <v>103</v>
      </c>
      <c r="T1307"/>
    </row>
    <row r="1308" spans="1:20" x14ac:dyDescent="0.25">
      <c r="A1308">
        <v>20120731</v>
      </c>
      <c r="B1308">
        <v>2012</v>
      </c>
      <c r="C1308">
        <v>7</v>
      </c>
      <c r="D1308">
        <v>1</v>
      </c>
      <c r="E1308">
        <v>10560</v>
      </c>
      <c r="F1308">
        <v>486992</v>
      </c>
      <c r="G1308">
        <v>0</v>
      </c>
      <c r="H1308">
        <v>0</v>
      </c>
      <c r="I1308">
        <v>-276.99</v>
      </c>
      <c r="J1308">
        <v>0</v>
      </c>
      <c r="K1308">
        <v>0</v>
      </c>
      <c r="L1308">
        <v>84845652.969999999</v>
      </c>
      <c r="M1308">
        <v>84845652.969999999</v>
      </c>
      <c r="N1308">
        <v>84845652.969999999</v>
      </c>
      <c r="O1308">
        <v>84845652.969999999</v>
      </c>
      <c r="P1308">
        <v>85702679.480000004</v>
      </c>
      <c r="Q1308">
        <v>85702679.480000004</v>
      </c>
      <c r="R1308" s="14">
        <f>_xlfn.XLOOKUP(Table2[[#This Row],[LoanID]],Table1[G-L ID],Table1[ManagerCode],-99)</f>
        <v>103</v>
      </c>
      <c r="T1308"/>
    </row>
    <row r="1309" spans="1:20" x14ac:dyDescent="0.25">
      <c r="A1309">
        <v>20120731</v>
      </c>
      <c r="B1309">
        <v>2012</v>
      </c>
      <c r="C1309">
        <v>7</v>
      </c>
      <c r="D1309">
        <v>1</v>
      </c>
      <c r="E1309">
        <v>10630</v>
      </c>
      <c r="F1309">
        <v>48527.91</v>
      </c>
      <c r="G1309">
        <v>0</v>
      </c>
      <c r="H1309">
        <v>0</v>
      </c>
      <c r="I1309">
        <v>0.02</v>
      </c>
      <c r="J1309">
        <v>0</v>
      </c>
      <c r="K1309">
        <v>14088.17</v>
      </c>
      <c r="L1309">
        <v>9443943.6300000008</v>
      </c>
      <c r="M1309">
        <v>9422425.4600000009</v>
      </c>
      <c r="N1309">
        <v>9443943.6300000008</v>
      </c>
      <c r="O1309">
        <v>9422425.4600000009</v>
      </c>
      <c r="P1309">
        <v>9084787.25</v>
      </c>
      <c r="Q1309">
        <v>9070699.0800000001</v>
      </c>
      <c r="R1309" s="14">
        <f>_xlfn.XLOOKUP(Table2[[#This Row],[LoanID]],Table1[G-L ID],Table1[ManagerCode],-99)</f>
        <v>103</v>
      </c>
      <c r="T1309"/>
    </row>
    <row r="1310" spans="1:20" x14ac:dyDescent="0.25">
      <c r="A1310">
        <v>20120731</v>
      </c>
      <c r="B1310">
        <v>2012</v>
      </c>
      <c r="C1310">
        <v>7</v>
      </c>
      <c r="D1310">
        <v>1</v>
      </c>
      <c r="E1310">
        <v>10770</v>
      </c>
      <c r="F1310">
        <v>283666.67</v>
      </c>
      <c r="G1310">
        <v>0</v>
      </c>
      <c r="H1310">
        <v>0</v>
      </c>
      <c r="I1310">
        <v>0</v>
      </c>
      <c r="J1310">
        <v>0</v>
      </c>
      <c r="K1310">
        <v>0</v>
      </c>
      <c r="L1310">
        <v>109250000</v>
      </c>
      <c r="M1310">
        <v>109250000</v>
      </c>
      <c r="N1310">
        <v>109250000</v>
      </c>
      <c r="O1310">
        <v>109250000</v>
      </c>
      <c r="P1310">
        <v>115000000</v>
      </c>
      <c r="Q1310">
        <v>115000000</v>
      </c>
      <c r="R1310" s="14">
        <f>_xlfn.XLOOKUP(Table2[[#This Row],[LoanID]],Table1[G-L ID],Table1[ManagerCode],-99)</f>
        <v>103</v>
      </c>
      <c r="T1310"/>
    </row>
    <row r="1311" spans="1:20" x14ac:dyDescent="0.25">
      <c r="A1311">
        <v>20120731</v>
      </c>
      <c r="B1311">
        <v>2012</v>
      </c>
      <c r="C1311">
        <v>7</v>
      </c>
      <c r="D1311">
        <v>1</v>
      </c>
      <c r="E1311">
        <v>10880</v>
      </c>
      <c r="F1311">
        <v>292361.55</v>
      </c>
      <c r="G1311">
        <v>0</v>
      </c>
      <c r="H1311">
        <v>0</v>
      </c>
      <c r="I1311">
        <v>0</v>
      </c>
      <c r="J1311">
        <v>0</v>
      </c>
      <c r="K1311">
        <v>0</v>
      </c>
      <c r="L1311">
        <v>197973428.40000001</v>
      </c>
      <c r="M1311">
        <v>198725675.30000001</v>
      </c>
      <c r="N1311">
        <v>197973428.40000001</v>
      </c>
      <c r="O1311">
        <v>198725675.30000001</v>
      </c>
      <c r="P1311">
        <v>201744599.09999999</v>
      </c>
      <c r="Q1311">
        <v>201744599.09999999</v>
      </c>
      <c r="R1311" s="14">
        <f>_xlfn.XLOOKUP(Table2[[#This Row],[LoanID]],Table1[G-L ID],Table1[ManagerCode],-99)</f>
        <v>103</v>
      </c>
      <c r="T1311"/>
    </row>
    <row r="1312" spans="1:20" x14ac:dyDescent="0.25">
      <c r="A1312">
        <v>20120731</v>
      </c>
      <c r="B1312">
        <v>2012</v>
      </c>
      <c r="C1312">
        <v>7</v>
      </c>
      <c r="D1312">
        <v>1</v>
      </c>
      <c r="E1312">
        <v>10900</v>
      </c>
      <c r="F1312">
        <v>79013.5</v>
      </c>
      <c r="G1312">
        <v>0</v>
      </c>
      <c r="H1312">
        <v>0</v>
      </c>
      <c r="I1312">
        <v>0</v>
      </c>
      <c r="J1312">
        <v>0</v>
      </c>
      <c r="K1312">
        <v>4603.5600000000004</v>
      </c>
      <c r="L1312">
        <v>8188671.5599999996</v>
      </c>
      <c r="M1312">
        <v>8184298.1600000001</v>
      </c>
      <c r="N1312">
        <v>8188671.5599999996</v>
      </c>
      <c r="O1312">
        <v>8184298.1600000001</v>
      </c>
      <c r="P1312">
        <v>8619654.2699999996</v>
      </c>
      <c r="Q1312">
        <v>8615050.7100000009</v>
      </c>
      <c r="R1312" s="14">
        <f>_xlfn.XLOOKUP(Table2[[#This Row],[LoanID]],Table1[G-L ID],Table1[ManagerCode],-99)</f>
        <v>103</v>
      </c>
      <c r="T1312"/>
    </row>
    <row r="1313" spans="1:20" x14ac:dyDescent="0.25">
      <c r="A1313">
        <v>20120731</v>
      </c>
      <c r="B1313">
        <v>2012</v>
      </c>
      <c r="C1313">
        <v>7</v>
      </c>
      <c r="D1313">
        <v>1</v>
      </c>
      <c r="E1313">
        <v>10950</v>
      </c>
      <c r="F1313">
        <v>52620.42</v>
      </c>
      <c r="G1313">
        <v>0</v>
      </c>
      <c r="H1313">
        <v>0</v>
      </c>
      <c r="I1313">
        <v>0</v>
      </c>
      <c r="J1313">
        <v>0</v>
      </c>
      <c r="K1313">
        <v>24402.6</v>
      </c>
      <c r="L1313">
        <v>10488768.15</v>
      </c>
      <c r="M1313">
        <v>10464609.58</v>
      </c>
      <c r="N1313">
        <v>10488768.15</v>
      </c>
      <c r="O1313">
        <v>10464609.58</v>
      </c>
      <c r="P1313">
        <v>10594715.300000001</v>
      </c>
      <c r="Q1313">
        <v>10570312.699999999</v>
      </c>
      <c r="R1313" s="14">
        <f>_xlfn.XLOOKUP(Table2[[#This Row],[LoanID]],Table1[G-L ID],Table1[ManagerCode],-99)</f>
        <v>103</v>
      </c>
      <c r="T1313"/>
    </row>
    <row r="1314" spans="1:20" x14ac:dyDescent="0.25">
      <c r="A1314">
        <v>20120731</v>
      </c>
      <c r="B1314">
        <v>2012</v>
      </c>
      <c r="C1314">
        <v>7</v>
      </c>
      <c r="D1314">
        <v>1</v>
      </c>
      <c r="E1314">
        <v>10980</v>
      </c>
      <c r="F1314">
        <v>78494.66</v>
      </c>
      <c r="G1314">
        <v>18277.68</v>
      </c>
      <c r="H1314">
        <v>0</v>
      </c>
      <c r="I1314">
        <v>0</v>
      </c>
      <c r="J1314">
        <v>-1650780.81</v>
      </c>
      <c r="K1314">
        <v>0</v>
      </c>
      <c r="L1314">
        <v>7381011.1299999999</v>
      </c>
      <c r="M1314">
        <v>9050069.6199999992</v>
      </c>
      <c r="N1314">
        <v>7381011.1299999999</v>
      </c>
      <c r="O1314">
        <v>9050069.6199999992</v>
      </c>
      <c r="P1314">
        <v>7381011.1299999999</v>
      </c>
      <c r="Q1314">
        <v>9050069.6199999992</v>
      </c>
      <c r="R1314" s="14">
        <f>_xlfn.XLOOKUP(Table2[[#This Row],[LoanID]],Table1[G-L ID],Table1[ManagerCode],-99)</f>
        <v>183</v>
      </c>
      <c r="T1314"/>
    </row>
    <row r="1315" spans="1:20" x14ac:dyDescent="0.25">
      <c r="A1315">
        <v>20120731</v>
      </c>
      <c r="B1315">
        <v>2012</v>
      </c>
      <c r="C1315">
        <v>7</v>
      </c>
      <c r="D1315">
        <v>1</v>
      </c>
      <c r="E1315">
        <v>11110</v>
      </c>
      <c r="F1315">
        <v>90389</v>
      </c>
      <c r="G1315">
        <v>0</v>
      </c>
      <c r="H1315">
        <v>0</v>
      </c>
      <c r="I1315">
        <v>0</v>
      </c>
      <c r="J1315">
        <v>-90389</v>
      </c>
      <c r="K1315">
        <v>0</v>
      </c>
      <c r="L1315">
        <v>12352546.550000001</v>
      </c>
      <c r="M1315">
        <v>12442935.550000001</v>
      </c>
      <c r="N1315">
        <v>12352546.550000001</v>
      </c>
      <c r="O1315">
        <v>12442935.550000001</v>
      </c>
      <c r="P1315">
        <v>12352546.550000001</v>
      </c>
      <c r="Q1315">
        <v>12442935.550000001</v>
      </c>
      <c r="R1315" s="14">
        <f>_xlfn.XLOOKUP(Table2[[#This Row],[LoanID]],Table1[G-L ID],Table1[ManagerCode],-99)</f>
        <v>183</v>
      </c>
      <c r="T1315"/>
    </row>
    <row r="1316" spans="1:20" x14ac:dyDescent="0.25">
      <c r="A1316">
        <v>20120731</v>
      </c>
      <c r="B1316">
        <v>2012</v>
      </c>
      <c r="C1316">
        <v>7</v>
      </c>
      <c r="D1316">
        <v>1</v>
      </c>
      <c r="E1316">
        <v>11140</v>
      </c>
      <c r="F1316">
        <v>576975.13</v>
      </c>
      <c r="G1316">
        <v>0</v>
      </c>
      <c r="H1316">
        <v>0</v>
      </c>
      <c r="I1316">
        <v>0</v>
      </c>
      <c r="J1316">
        <v>0</v>
      </c>
      <c r="K1316">
        <v>0</v>
      </c>
      <c r="L1316">
        <v>70145899.840000004</v>
      </c>
      <c r="M1316">
        <v>70307455.939999998</v>
      </c>
      <c r="N1316">
        <v>70145899.840000004</v>
      </c>
      <c r="O1316">
        <v>70307455.939999998</v>
      </c>
      <c r="P1316">
        <v>72436285</v>
      </c>
      <c r="Q1316">
        <v>72436285</v>
      </c>
      <c r="R1316" s="14">
        <f>_xlfn.XLOOKUP(Table2[[#This Row],[LoanID]],Table1[G-L ID],Table1[ManagerCode],-99)</f>
        <v>103</v>
      </c>
      <c r="T1316"/>
    </row>
    <row r="1317" spans="1:20" x14ac:dyDescent="0.25">
      <c r="A1317">
        <v>20120731</v>
      </c>
      <c r="B1317">
        <v>2012</v>
      </c>
      <c r="C1317">
        <v>7</v>
      </c>
      <c r="D1317">
        <v>1</v>
      </c>
      <c r="E1317">
        <v>11190</v>
      </c>
      <c r="F1317">
        <v>429987.28</v>
      </c>
      <c r="G1317">
        <v>0</v>
      </c>
      <c r="H1317">
        <v>0</v>
      </c>
      <c r="I1317">
        <v>-1666.42</v>
      </c>
      <c r="J1317">
        <v>0</v>
      </c>
      <c r="K1317">
        <v>0</v>
      </c>
      <c r="L1317">
        <v>189972289.90000001</v>
      </c>
      <c r="M1317">
        <v>189972289.90000001</v>
      </c>
      <c r="N1317">
        <v>189972289.90000001</v>
      </c>
      <c r="O1317">
        <v>189972289.90000001</v>
      </c>
      <c r="P1317">
        <v>199970831.5</v>
      </c>
      <c r="Q1317">
        <v>199970831.5</v>
      </c>
      <c r="R1317" s="14">
        <f>_xlfn.XLOOKUP(Table2[[#This Row],[LoanID]],Table1[G-L ID],Table1[ManagerCode],-99)</f>
        <v>103</v>
      </c>
      <c r="T1317"/>
    </row>
    <row r="1318" spans="1:20" x14ac:dyDescent="0.25">
      <c r="A1318">
        <v>20120731</v>
      </c>
      <c r="B1318">
        <v>2012</v>
      </c>
      <c r="C1318">
        <v>7</v>
      </c>
      <c r="D1318">
        <v>1</v>
      </c>
      <c r="E1318">
        <v>11200</v>
      </c>
      <c r="F1318">
        <v>69880</v>
      </c>
      <c r="G1318">
        <v>0</v>
      </c>
      <c r="H1318">
        <v>0</v>
      </c>
      <c r="I1318">
        <v>0</v>
      </c>
      <c r="J1318">
        <v>0</v>
      </c>
      <c r="K1318">
        <v>0</v>
      </c>
      <c r="L1318">
        <v>12578374.859999999</v>
      </c>
      <c r="M1318">
        <v>12578374.859999999</v>
      </c>
      <c r="N1318">
        <v>12578374.859999999</v>
      </c>
      <c r="O1318">
        <v>12578374.859999999</v>
      </c>
      <c r="P1318">
        <v>13976000</v>
      </c>
      <c r="Q1318">
        <v>13976000</v>
      </c>
      <c r="R1318" s="14">
        <f>_xlfn.XLOOKUP(Table2[[#This Row],[LoanID]],Table1[G-L ID],Table1[ManagerCode],-99)</f>
        <v>103</v>
      </c>
      <c r="T1318"/>
    </row>
    <row r="1319" spans="1:20" x14ac:dyDescent="0.25">
      <c r="A1319">
        <v>20120731</v>
      </c>
      <c r="B1319">
        <v>2012</v>
      </c>
      <c r="C1319">
        <v>7</v>
      </c>
      <c r="D1319">
        <v>1</v>
      </c>
      <c r="E1319">
        <v>11220</v>
      </c>
      <c r="F1319">
        <v>130812.5</v>
      </c>
      <c r="G1319">
        <v>0</v>
      </c>
      <c r="H1319">
        <v>258750</v>
      </c>
      <c r="I1319">
        <v>0</v>
      </c>
      <c r="J1319">
        <v>-34500000</v>
      </c>
      <c r="K1319">
        <v>0</v>
      </c>
      <c r="L1319">
        <v>0</v>
      </c>
      <c r="M1319">
        <v>34500000</v>
      </c>
      <c r="N1319">
        <v>0</v>
      </c>
      <c r="O1319">
        <v>34500000</v>
      </c>
      <c r="P1319">
        <v>0</v>
      </c>
      <c r="Q1319">
        <v>34500000</v>
      </c>
      <c r="R1319" s="14">
        <f>_xlfn.XLOOKUP(Table2[[#This Row],[LoanID]],Table1[G-L ID],Table1[ManagerCode],-99)</f>
        <v>220</v>
      </c>
      <c r="T1319"/>
    </row>
    <row r="1320" spans="1:20" x14ac:dyDescent="0.25">
      <c r="A1320">
        <v>20120731</v>
      </c>
      <c r="B1320">
        <v>2012</v>
      </c>
      <c r="C1320">
        <v>7</v>
      </c>
      <c r="D1320">
        <v>1</v>
      </c>
      <c r="E1320">
        <v>11240</v>
      </c>
      <c r="F1320">
        <v>253294.8</v>
      </c>
      <c r="G1320">
        <v>0</v>
      </c>
      <c r="H1320">
        <v>0</v>
      </c>
      <c r="I1320">
        <v>0</v>
      </c>
      <c r="J1320">
        <v>0</v>
      </c>
      <c r="K1320">
        <v>0</v>
      </c>
      <c r="L1320">
        <v>185183145.30000001</v>
      </c>
      <c r="M1320">
        <v>185183145.30000001</v>
      </c>
      <c r="N1320">
        <v>185183145.30000001</v>
      </c>
      <c r="O1320">
        <v>185183145.30000001</v>
      </c>
      <c r="P1320">
        <v>194929626.59999999</v>
      </c>
      <c r="Q1320">
        <v>194929626.59999999</v>
      </c>
      <c r="R1320" s="14">
        <f>_xlfn.XLOOKUP(Table2[[#This Row],[LoanID]],Table1[G-L ID],Table1[ManagerCode],-99)</f>
        <v>103</v>
      </c>
      <c r="T1320"/>
    </row>
    <row r="1321" spans="1:20" x14ac:dyDescent="0.25">
      <c r="A1321">
        <v>20120731</v>
      </c>
      <c r="B1321">
        <v>2012</v>
      </c>
      <c r="C1321">
        <v>7</v>
      </c>
      <c r="D1321">
        <v>1</v>
      </c>
      <c r="E1321">
        <v>11280</v>
      </c>
      <c r="F1321">
        <v>23363.63</v>
      </c>
      <c r="G1321">
        <v>0</v>
      </c>
      <c r="H1321">
        <v>0</v>
      </c>
      <c r="I1321">
        <v>-156.59</v>
      </c>
      <c r="J1321">
        <v>0</v>
      </c>
      <c r="K1321">
        <v>0</v>
      </c>
      <c r="L1321">
        <v>18259589.16</v>
      </c>
      <c r="M1321">
        <v>18345875.98</v>
      </c>
      <c r="N1321">
        <v>18259589.16</v>
      </c>
      <c r="O1321">
        <v>18345875.98</v>
      </c>
      <c r="P1321">
        <v>18791123.030000001</v>
      </c>
      <c r="Q1321">
        <v>18791123.030000001</v>
      </c>
      <c r="R1321" s="14">
        <f>_xlfn.XLOOKUP(Table2[[#This Row],[LoanID]],Table1[G-L ID],Table1[ManagerCode],-99)</f>
        <v>103</v>
      </c>
      <c r="T1321"/>
    </row>
    <row r="1322" spans="1:20" x14ac:dyDescent="0.25">
      <c r="A1322">
        <v>20120731</v>
      </c>
      <c r="B1322">
        <v>2012</v>
      </c>
      <c r="C1322">
        <v>7</v>
      </c>
      <c r="D1322">
        <v>1</v>
      </c>
      <c r="E1322">
        <v>11300</v>
      </c>
      <c r="F1322">
        <v>21027.27</v>
      </c>
      <c r="G1322">
        <v>0</v>
      </c>
      <c r="H1322">
        <v>0</v>
      </c>
      <c r="I1322">
        <v>-140.93</v>
      </c>
      <c r="J1322">
        <v>0</v>
      </c>
      <c r="K1322">
        <v>0</v>
      </c>
      <c r="L1322">
        <v>16433630.27</v>
      </c>
      <c r="M1322">
        <v>16511288.41</v>
      </c>
      <c r="N1322">
        <v>16433630.27</v>
      </c>
      <c r="O1322">
        <v>16511288.41</v>
      </c>
      <c r="P1322">
        <v>16912010.73</v>
      </c>
      <c r="Q1322">
        <v>16912010.73</v>
      </c>
      <c r="R1322" s="14">
        <f>_xlfn.XLOOKUP(Table2[[#This Row],[LoanID]],Table1[G-L ID],Table1[ManagerCode],-99)</f>
        <v>103</v>
      </c>
      <c r="T1322"/>
    </row>
    <row r="1323" spans="1:20" x14ac:dyDescent="0.25">
      <c r="A1323">
        <v>20120731</v>
      </c>
      <c r="B1323">
        <v>2012</v>
      </c>
      <c r="C1323">
        <v>7</v>
      </c>
      <c r="D1323">
        <v>1</v>
      </c>
      <c r="E1323">
        <v>11310</v>
      </c>
      <c r="F1323">
        <v>14018.18</v>
      </c>
      <c r="G1323">
        <v>0</v>
      </c>
      <c r="H1323">
        <v>0</v>
      </c>
      <c r="I1323">
        <v>-93.96</v>
      </c>
      <c r="J1323">
        <v>0</v>
      </c>
      <c r="K1323">
        <v>0</v>
      </c>
      <c r="L1323">
        <v>10960775.93</v>
      </c>
      <c r="M1323">
        <v>11012126.91</v>
      </c>
      <c r="N1323">
        <v>10960775.93</v>
      </c>
      <c r="O1323">
        <v>11012126.91</v>
      </c>
      <c r="P1323">
        <v>11274673.789999999</v>
      </c>
      <c r="Q1323">
        <v>11274673.789999999</v>
      </c>
      <c r="R1323" s="14">
        <f>_xlfn.XLOOKUP(Table2[[#This Row],[LoanID]],Table1[G-L ID],Table1[ManagerCode],-99)</f>
        <v>103</v>
      </c>
      <c r="T1323"/>
    </row>
    <row r="1324" spans="1:20" x14ac:dyDescent="0.25">
      <c r="A1324">
        <v>20120731</v>
      </c>
      <c r="B1324">
        <v>2012</v>
      </c>
      <c r="C1324">
        <v>7</v>
      </c>
      <c r="D1324">
        <v>1</v>
      </c>
      <c r="E1324">
        <v>11380</v>
      </c>
      <c r="F1324">
        <v>31975.66</v>
      </c>
      <c r="G1324">
        <v>0</v>
      </c>
      <c r="H1324">
        <v>0</v>
      </c>
      <c r="I1324">
        <v>0</v>
      </c>
      <c r="J1324">
        <v>0</v>
      </c>
      <c r="K1324">
        <v>58724.34</v>
      </c>
      <c r="L1324">
        <v>5445785.5899999999</v>
      </c>
      <c r="M1324">
        <v>5393157.8799999999</v>
      </c>
      <c r="N1324">
        <v>5445785.5899999999</v>
      </c>
      <c r="O1324">
        <v>5393157.8799999999</v>
      </c>
      <c r="P1324">
        <v>4838686.8</v>
      </c>
      <c r="Q1324">
        <v>4779962.46</v>
      </c>
      <c r="R1324" s="14">
        <f>_xlfn.XLOOKUP(Table2[[#This Row],[LoanID]],Table1[G-L ID],Table1[ManagerCode],-99)</f>
        <v>103</v>
      </c>
      <c r="T1324"/>
    </row>
    <row r="1325" spans="1:20" x14ac:dyDescent="0.25">
      <c r="A1325">
        <v>20120731</v>
      </c>
      <c r="B1325">
        <v>2012</v>
      </c>
      <c r="C1325">
        <v>7</v>
      </c>
      <c r="D1325">
        <v>1</v>
      </c>
      <c r="E1325">
        <v>11620</v>
      </c>
      <c r="F1325">
        <v>0</v>
      </c>
      <c r="G1325">
        <v>1803.52</v>
      </c>
      <c r="H1325">
        <v>96831.27</v>
      </c>
      <c r="I1325">
        <v>0</v>
      </c>
      <c r="J1325">
        <v>-4000000</v>
      </c>
      <c r="K1325">
        <v>0</v>
      </c>
      <c r="L1325">
        <v>0</v>
      </c>
      <c r="M1325">
        <v>4001803.52</v>
      </c>
      <c r="N1325">
        <v>0</v>
      </c>
      <c r="O1325">
        <v>4001803.52</v>
      </c>
      <c r="P1325">
        <v>0</v>
      </c>
      <c r="Q1325">
        <v>4001803.52</v>
      </c>
      <c r="R1325" s="14">
        <f>_xlfn.XLOOKUP(Table2[[#This Row],[LoanID]],Table1[G-L ID],Table1[ManagerCode],-99)</f>
        <v>183</v>
      </c>
      <c r="T1325"/>
    </row>
    <row r="1326" spans="1:20" x14ac:dyDescent="0.25">
      <c r="A1326">
        <v>20120731</v>
      </c>
      <c r="B1326">
        <v>2012</v>
      </c>
      <c r="C1326">
        <v>7</v>
      </c>
      <c r="D1326">
        <v>1</v>
      </c>
      <c r="E1326">
        <v>11630</v>
      </c>
      <c r="F1326">
        <v>135104.95000000001</v>
      </c>
      <c r="G1326">
        <v>34227.49</v>
      </c>
      <c r="H1326">
        <v>0</v>
      </c>
      <c r="I1326">
        <v>0</v>
      </c>
      <c r="J1326">
        <v>-816357.28</v>
      </c>
      <c r="K1326">
        <v>0</v>
      </c>
      <c r="L1326">
        <v>22955853.07</v>
      </c>
      <c r="M1326">
        <v>23806437.84</v>
      </c>
      <c r="N1326">
        <v>22955853.07</v>
      </c>
      <c r="O1326">
        <v>23806437.84</v>
      </c>
      <c r="P1326">
        <v>22955853.07</v>
      </c>
      <c r="Q1326">
        <v>23806437.84</v>
      </c>
      <c r="R1326" s="14">
        <f>_xlfn.XLOOKUP(Table2[[#This Row],[LoanID]],Table1[G-L ID],Table1[ManagerCode],-99)</f>
        <v>183</v>
      </c>
      <c r="T1326"/>
    </row>
    <row r="1327" spans="1:20" x14ac:dyDescent="0.25">
      <c r="A1327">
        <v>20120731</v>
      </c>
      <c r="B1327">
        <v>2012</v>
      </c>
      <c r="C1327">
        <v>7</v>
      </c>
      <c r="D1327">
        <v>1</v>
      </c>
      <c r="E1327">
        <v>11650</v>
      </c>
      <c r="F1327">
        <v>75000</v>
      </c>
      <c r="G1327">
        <v>0</v>
      </c>
      <c r="H1327">
        <v>0</v>
      </c>
      <c r="I1327">
        <v>0</v>
      </c>
      <c r="J1327">
        <v>0</v>
      </c>
      <c r="K1327">
        <v>0</v>
      </c>
      <c r="L1327">
        <v>9600000</v>
      </c>
      <c r="M1327">
        <v>9600000</v>
      </c>
      <c r="N1327">
        <v>9600000</v>
      </c>
      <c r="O1327">
        <v>9600000</v>
      </c>
      <c r="P1327">
        <v>12000000</v>
      </c>
      <c r="Q1327">
        <v>12000000</v>
      </c>
      <c r="R1327" s="14">
        <f>_xlfn.XLOOKUP(Table2[[#This Row],[LoanID]],Table1[G-L ID],Table1[ManagerCode],-99)</f>
        <v>103</v>
      </c>
      <c r="T1327"/>
    </row>
    <row r="1328" spans="1:20" x14ac:dyDescent="0.25">
      <c r="A1328">
        <v>20120731</v>
      </c>
      <c r="B1328">
        <v>2012</v>
      </c>
      <c r="C1328">
        <v>7</v>
      </c>
      <c r="D1328">
        <v>1</v>
      </c>
      <c r="E1328">
        <v>11780</v>
      </c>
      <c r="F1328">
        <v>0</v>
      </c>
      <c r="G1328">
        <v>0</v>
      </c>
      <c r="H1328">
        <v>0</v>
      </c>
      <c r="I1328">
        <v>-1079.8399999999999</v>
      </c>
      <c r="J1328">
        <v>0</v>
      </c>
      <c r="K1328">
        <v>0</v>
      </c>
      <c r="L1328">
        <v>27603780</v>
      </c>
      <c r="M1328">
        <v>27460538.239999998</v>
      </c>
      <c r="N1328">
        <v>27603780</v>
      </c>
      <c r="O1328">
        <v>27460538.239999998</v>
      </c>
      <c r="P1328">
        <v>64790438.109999999</v>
      </c>
      <c r="Q1328">
        <v>64790438.109999999</v>
      </c>
      <c r="R1328" s="14">
        <f>_xlfn.XLOOKUP(Table2[[#This Row],[LoanID]],Table1[G-L ID],Table1[ManagerCode],-99)</f>
        <v>103</v>
      </c>
      <c r="T1328"/>
    </row>
    <row r="1329" spans="1:20" x14ac:dyDescent="0.25">
      <c r="A1329">
        <v>20120731</v>
      </c>
      <c r="B1329">
        <v>2012</v>
      </c>
      <c r="C1329">
        <v>7</v>
      </c>
      <c r="D1329">
        <v>1</v>
      </c>
      <c r="E1329">
        <v>11800</v>
      </c>
      <c r="F1329">
        <v>157642.10999999999</v>
      </c>
      <c r="G1329">
        <v>0</v>
      </c>
      <c r="H1329">
        <v>0</v>
      </c>
      <c r="I1329">
        <v>-265.26</v>
      </c>
      <c r="J1329">
        <v>0</v>
      </c>
      <c r="K1329">
        <v>61296</v>
      </c>
      <c r="L1329">
        <v>29571959.170000002</v>
      </c>
      <c r="M1329">
        <v>30181073.719999999</v>
      </c>
      <c r="N1329">
        <v>29571959.170000002</v>
      </c>
      <c r="O1329">
        <v>30181073.719999999</v>
      </c>
      <c r="P1329">
        <v>31830815.530000001</v>
      </c>
      <c r="Q1329">
        <v>31769519.530000001</v>
      </c>
      <c r="R1329" s="14">
        <f>_xlfn.XLOOKUP(Table2[[#This Row],[LoanID]],Table1[G-L ID],Table1[ManagerCode],-99)</f>
        <v>103</v>
      </c>
      <c r="T1329"/>
    </row>
    <row r="1330" spans="1:20" x14ac:dyDescent="0.25">
      <c r="A1330">
        <v>20120731</v>
      </c>
      <c r="B1330">
        <v>2012</v>
      </c>
      <c r="C1330">
        <v>7</v>
      </c>
      <c r="D1330">
        <v>1</v>
      </c>
      <c r="E1330">
        <v>11810</v>
      </c>
      <c r="F1330">
        <v>51117.08</v>
      </c>
      <c r="G1330">
        <v>0</v>
      </c>
      <c r="H1330">
        <v>0</v>
      </c>
      <c r="I1330">
        <v>0</v>
      </c>
      <c r="J1330">
        <v>0</v>
      </c>
      <c r="K1330">
        <v>9741.01</v>
      </c>
      <c r="L1330">
        <v>9890405.5</v>
      </c>
      <c r="M1330">
        <v>9880761.9000000004</v>
      </c>
      <c r="N1330">
        <v>9890405.5</v>
      </c>
      <c r="O1330">
        <v>9880761.9000000004</v>
      </c>
      <c r="P1330">
        <v>9990308.5800000001</v>
      </c>
      <c r="Q1330">
        <v>9980567.5700000003</v>
      </c>
      <c r="R1330" s="14">
        <f>_xlfn.XLOOKUP(Table2[[#This Row],[LoanID]],Table1[G-L ID],Table1[ManagerCode],-99)</f>
        <v>103</v>
      </c>
      <c r="T1330"/>
    </row>
    <row r="1331" spans="1:20" x14ac:dyDescent="0.25">
      <c r="A1331">
        <v>20120731</v>
      </c>
      <c r="B1331">
        <v>2012</v>
      </c>
      <c r="C1331">
        <v>7</v>
      </c>
      <c r="D1331">
        <v>1</v>
      </c>
      <c r="E1331">
        <v>11970</v>
      </c>
      <c r="F1331">
        <v>8895.48</v>
      </c>
      <c r="G1331">
        <v>17641.689999999999</v>
      </c>
      <c r="H1331">
        <v>0</v>
      </c>
      <c r="I1331">
        <v>0</v>
      </c>
      <c r="J1331">
        <v>-3521464.34</v>
      </c>
      <c r="K1331">
        <v>0</v>
      </c>
      <c r="L1331">
        <v>922127.01</v>
      </c>
      <c r="M1331">
        <v>4461233.04</v>
      </c>
      <c r="N1331">
        <v>922127.01</v>
      </c>
      <c r="O1331">
        <v>4461233.04</v>
      </c>
      <c r="P1331">
        <v>922127.01</v>
      </c>
      <c r="Q1331">
        <v>4461233.04</v>
      </c>
      <c r="R1331" s="14">
        <f>_xlfn.XLOOKUP(Table2[[#This Row],[LoanID]],Table1[G-L ID],Table1[ManagerCode],-99)</f>
        <v>183</v>
      </c>
      <c r="T1331"/>
    </row>
    <row r="1332" spans="1:20" x14ac:dyDescent="0.25">
      <c r="A1332">
        <v>20120731</v>
      </c>
      <c r="B1332">
        <v>2012</v>
      </c>
      <c r="C1332">
        <v>7</v>
      </c>
      <c r="D1332">
        <v>1</v>
      </c>
      <c r="E1332">
        <v>12020</v>
      </c>
      <c r="F1332">
        <v>46159.22</v>
      </c>
      <c r="G1332">
        <v>55222.080000000002</v>
      </c>
      <c r="H1332">
        <v>0</v>
      </c>
      <c r="I1332">
        <v>0</v>
      </c>
      <c r="J1332">
        <v>-1577803.52</v>
      </c>
      <c r="K1332">
        <v>0</v>
      </c>
      <c r="L1332">
        <v>7341152.8799999999</v>
      </c>
      <c r="M1332">
        <v>8974178.4800000004</v>
      </c>
      <c r="N1332">
        <v>7341152.8799999999</v>
      </c>
      <c r="O1332">
        <v>8974178.4800000004</v>
      </c>
      <c r="P1332">
        <v>7341152.8799999999</v>
      </c>
      <c r="Q1332">
        <v>8974178.4800000004</v>
      </c>
      <c r="R1332" s="14">
        <f>_xlfn.XLOOKUP(Table2[[#This Row],[LoanID]],Table1[G-L ID],Table1[ManagerCode],-99)</f>
        <v>183</v>
      </c>
      <c r="T1332"/>
    </row>
    <row r="1333" spans="1:20" x14ac:dyDescent="0.25">
      <c r="A1333">
        <v>20120731</v>
      </c>
      <c r="B1333">
        <v>2012</v>
      </c>
      <c r="C1333">
        <v>7</v>
      </c>
      <c r="D1333">
        <v>1</v>
      </c>
      <c r="E1333">
        <v>12090</v>
      </c>
      <c r="F1333">
        <v>159570.82999999999</v>
      </c>
      <c r="G1333">
        <v>0</v>
      </c>
      <c r="H1333">
        <v>0</v>
      </c>
      <c r="I1333">
        <v>0</v>
      </c>
      <c r="J1333">
        <v>0</v>
      </c>
      <c r="K1333">
        <v>0</v>
      </c>
      <c r="L1333">
        <v>17500000</v>
      </c>
      <c r="M1333">
        <v>17500000</v>
      </c>
      <c r="N1333">
        <v>17500000</v>
      </c>
      <c r="O1333">
        <v>17500000</v>
      </c>
      <c r="P1333">
        <v>17500000</v>
      </c>
      <c r="Q1333">
        <v>17500000</v>
      </c>
      <c r="R1333" s="14">
        <f>_xlfn.XLOOKUP(Table2[[#This Row],[LoanID]],Table1[G-L ID],Table1[ManagerCode],-99)</f>
        <v>220</v>
      </c>
      <c r="T1333"/>
    </row>
    <row r="1334" spans="1:20" x14ac:dyDescent="0.25">
      <c r="A1334">
        <v>20120731</v>
      </c>
      <c r="B1334">
        <v>2012</v>
      </c>
      <c r="C1334">
        <v>7</v>
      </c>
      <c r="D1334">
        <v>1</v>
      </c>
      <c r="E1334">
        <v>12130</v>
      </c>
      <c r="F1334">
        <v>0</v>
      </c>
      <c r="G1334">
        <v>0</v>
      </c>
      <c r="H1334">
        <v>188108.18</v>
      </c>
      <c r="I1334">
        <v>0</v>
      </c>
      <c r="J1334">
        <v>-579020.9</v>
      </c>
      <c r="K1334">
        <v>0</v>
      </c>
      <c r="L1334">
        <v>0</v>
      </c>
      <c r="M1334">
        <v>579020.9</v>
      </c>
      <c r="N1334">
        <v>0</v>
      </c>
      <c r="O1334">
        <v>579020.9</v>
      </c>
      <c r="P1334">
        <v>0</v>
      </c>
      <c r="Q1334">
        <v>579020.9</v>
      </c>
      <c r="R1334" s="14">
        <f>_xlfn.XLOOKUP(Table2[[#This Row],[LoanID]],Table1[G-L ID],Table1[ManagerCode],-99)</f>
        <v>183</v>
      </c>
      <c r="T1334"/>
    </row>
    <row r="1335" spans="1:20" x14ac:dyDescent="0.25">
      <c r="A1335">
        <v>20120731</v>
      </c>
      <c r="B1335">
        <v>2012</v>
      </c>
      <c r="C1335">
        <v>7</v>
      </c>
      <c r="D1335">
        <v>1</v>
      </c>
      <c r="E1335">
        <v>12210</v>
      </c>
      <c r="F1335">
        <v>713858.24</v>
      </c>
      <c r="G1335">
        <v>0</v>
      </c>
      <c r="H1335">
        <v>0</v>
      </c>
      <c r="I1335">
        <v>0</v>
      </c>
      <c r="J1335">
        <v>0</v>
      </c>
      <c r="K1335">
        <v>188669.15</v>
      </c>
      <c r="L1335">
        <v>136746757.40000001</v>
      </c>
      <c r="M1335">
        <v>137134832.40000001</v>
      </c>
      <c r="N1335">
        <v>136746757.40000001</v>
      </c>
      <c r="O1335">
        <v>137134832.40000001</v>
      </c>
      <c r="P1335">
        <v>115503415.5</v>
      </c>
      <c r="Q1335">
        <v>115314746.40000001</v>
      </c>
      <c r="R1335" s="14">
        <f>_xlfn.XLOOKUP(Table2[[#This Row],[LoanID]],Table1[G-L ID],Table1[ManagerCode],-99)</f>
        <v>103</v>
      </c>
      <c r="T1335"/>
    </row>
    <row r="1336" spans="1:20" x14ac:dyDescent="0.25">
      <c r="A1336">
        <v>20120831</v>
      </c>
      <c r="B1336">
        <v>2012</v>
      </c>
      <c r="C1336">
        <v>8</v>
      </c>
      <c r="D1336">
        <v>1</v>
      </c>
      <c r="E1336">
        <v>10050</v>
      </c>
      <c r="F1336">
        <v>153981.01999999999</v>
      </c>
      <c r="G1336">
        <v>0</v>
      </c>
      <c r="H1336">
        <v>0</v>
      </c>
      <c r="I1336">
        <v>0</v>
      </c>
      <c r="J1336">
        <v>0</v>
      </c>
      <c r="K1336">
        <v>0</v>
      </c>
      <c r="L1336">
        <v>37145208.469999999</v>
      </c>
      <c r="M1336">
        <v>37122947.420000002</v>
      </c>
      <c r="N1336">
        <v>37145208.469999999</v>
      </c>
      <c r="O1336">
        <v>37122947.420000002</v>
      </c>
      <c r="P1336">
        <v>33333334</v>
      </c>
      <c r="Q1336">
        <v>33333334</v>
      </c>
      <c r="R1336" s="14">
        <f>_xlfn.XLOOKUP(Table2[[#This Row],[LoanID]],Table1[G-L ID],Table1[ManagerCode],-99)</f>
        <v>103</v>
      </c>
      <c r="T1336"/>
    </row>
    <row r="1337" spans="1:20" x14ac:dyDescent="0.25">
      <c r="A1337">
        <v>20120831</v>
      </c>
      <c r="B1337">
        <v>2012</v>
      </c>
      <c r="C1337">
        <v>8</v>
      </c>
      <c r="D1337">
        <v>1</v>
      </c>
      <c r="E1337">
        <v>10060</v>
      </c>
      <c r="F1337">
        <v>120833.33</v>
      </c>
      <c r="G1337">
        <v>0</v>
      </c>
      <c r="H1337">
        <v>0</v>
      </c>
      <c r="I1337">
        <v>0</v>
      </c>
      <c r="J1337">
        <v>0</v>
      </c>
      <c r="K1337">
        <v>0</v>
      </c>
      <c r="L1337">
        <v>20000000</v>
      </c>
      <c r="M1337">
        <v>19839714.280000001</v>
      </c>
      <c r="N1337">
        <v>20000000</v>
      </c>
      <c r="O1337">
        <v>19839714.280000001</v>
      </c>
      <c r="P1337">
        <v>20000000</v>
      </c>
      <c r="Q1337">
        <v>20000000</v>
      </c>
      <c r="R1337" s="14">
        <f>_xlfn.XLOOKUP(Table2[[#This Row],[LoanID]],Table1[G-L ID],Table1[ManagerCode],-99)</f>
        <v>103</v>
      </c>
      <c r="T1337"/>
    </row>
    <row r="1338" spans="1:20" x14ac:dyDescent="0.25">
      <c r="A1338">
        <v>20120831</v>
      </c>
      <c r="B1338">
        <v>2012</v>
      </c>
      <c r="C1338">
        <v>8</v>
      </c>
      <c r="D1338">
        <v>1</v>
      </c>
      <c r="E1338">
        <v>10080</v>
      </c>
      <c r="F1338">
        <v>351042.71</v>
      </c>
      <c r="G1338">
        <v>0</v>
      </c>
      <c r="H1338">
        <v>0</v>
      </c>
      <c r="I1338">
        <v>-161.46</v>
      </c>
      <c r="J1338">
        <v>0</v>
      </c>
      <c r="K1338">
        <v>0</v>
      </c>
      <c r="L1338">
        <v>74249925.75</v>
      </c>
      <c r="M1338">
        <v>74249925.75</v>
      </c>
      <c r="N1338">
        <v>74249925.75</v>
      </c>
      <c r="O1338">
        <v>74249925.75</v>
      </c>
      <c r="P1338">
        <v>75000000</v>
      </c>
      <c r="Q1338">
        <v>75000000</v>
      </c>
      <c r="R1338" s="14">
        <f>_xlfn.XLOOKUP(Table2[[#This Row],[LoanID]],Table1[G-L ID],Table1[ManagerCode],-99)</f>
        <v>103</v>
      </c>
      <c r="T1338"/>
    </row>
    <row r="1339" spans="1:20" x14ac:dyDescent="0.25">
      <c r="A1339">
        <v>20120831</v>
      </c>
      <c r="B1339">
        <v>2012</v>
      </c>
      <c r="C1339">
        <v>8</v>
      </c>
      <c r="D1339">
        <v>1</v>
      </c>
      <c r="E1339">
        <v>10130</v>
      </c>
      <c r="F1339">
        <v>34671.25</v>
      </c>
      <c r="G1339">
        <v>0</v>
      </c>
      <c r="H1339">
        <v>0</v>
      </c>
      <c r="I1339">
        <v>0</v>
      </c>
      <c r="J1339">
        <v>0</v>
      </c>
      <c r="K1339">
        <v>33019.440000000002</v>
      </c>
      <c r="L1339">
        <v>7876752.3799999999</v>
      </c>
      <c r="M1339">
        <v>7834948.6900000004</v>
      </c>
      <c r="N1339">
        <v>7876752.3799999999</v>
      </c>
      <c r="O1339">
        <v>7834948.6900000004</v>
      </c>
      <c r="P1339">
        <v>7662154.4800000004</v>
      </c>
      <c r="Q1339">
        <v>7629135.04</v>
      </c>
      <c r="R1339" s="14">
        <f>_xlfn.XLOOKUP(Table2[[#This Row],[LoanID]],Table1[G-L ID],Table1[ManagerCode],-99)</f>
        <v>103</v>
      </c>
      <c r="T1339"/>
    </row>
    <row r="1340" spans="1:20" x14ac:dyDescent="0.25">
      <c r="A1340">
        <v>20120831</v>
      </c>
      <c r="B1340">
        <v>2012</v>
      </c>
      <c r="C1340">
        <v>8</v>
      </c>
      <c r="D1340">
        <v>1</v>
      </c>
      <c r="E1340">
        <v>10140</v>
      </c>
      <c r="F1340">
        <v>91472.56</v>
      </c>
      <c r="G1340">
        <v>0</v>
      </c>
      <c r="H1340">
        <v>0</v>
      </c>
      <c r="I1340">
        <v>0</v>
      </c>
      <c r="J1340">
        <v>0</v>
      </c>
      <c r="K1340">
        <v>86351.77</v>
      </c>
      <c r="L1340">
        <v>20781266.050000001</v>
      </c>
      <c r="M1340">
        <v>20671744.100000001</v>
      </c>
      <c r="N1340">
        <v>20781266.050000001</v>
      </c>
      <c r="O1340">
        <v>20671744.100000001</v>
      </c>
      <c r="P1340">
        <v>20214930.670000002</v>
      </c>
      <c r="Q1340">
        <v>20128578.899999999</v>
      </c>
      <c r="R1340" s="14">
        <f>_xlfn.XLOOKUP(Table2[[#This Row],[LoanID]],Table1[G-L ID],Table1[ManagerCode],-99)</f>
        <v>103</v>
      </c>
      <c r="T1340"/>
    </row>
    <row r="1341" spans="1:20" x14ac:dyDescent="0.25">
      <c r="A1341">
        <v>20120831</v>
      </c>
      <c r="B1341">
        <v>2012</v>
      </c>
      <c r="C1341">
        <v>8</v>
      </c>
      <c r="D1341">
        <v>1</v>
      </c>
      <c r="E1341">
        <v>10170</v>
      </c>
      <c r="F1341">
        <v>245846.32</v>
      </c>
      <c r="G1341">
        <v>0</v>
      </c>
      <c r="H1341">
        <v>0</v>
      </c>
      <c r="I1341">
        <v>-1178.18</v>
      </c>
      <c r="J1341">
        <v>0</v>
      </c>
      <c r="K1341">
        <v>69425.53</v>
      </c>
      <c r="L1341">
        <v>48532229.100000001</v>
      </c>
      <c r="M1341">
        <v>48561923.700000003</v>
      </c>
      <c r="N1341">
        <v>48532229.100000001</v>
      </c>
      <c r="O1341">
        <v>48561923.700000003</v>
      </c>
      <c r="P1341">
        <v>45606862.310000002</v>
      </c>
      <c r="Q1341">
        <v>45537436.780000001</v>
      </c>
      <c r="R1341" s="14">
        <f>_xlfn.XLOOKUP(Table2[[#This Row],[LoanID]],Table1[G-L ID],Table1[ManagerCode],-99)</f>
        <v>103</v>
      </c>
      <c r="T1341"/>
    </row>
    <row r="1342" spans="1:20" x14ac:dyDescent="0.25">
      <c r="A1342">
        <v>20120831</v>
      </c>
      <c r="B1342">
        <v>2012</v>
      </c>
      <c r="C1342">
        <v>8</v>
      </c>
      <c r="D1342">
        <v>1</v>
      </c>
      <c r="E1342">
        <v>10210</v>
      </c>
      <c r="F1342">
        <v>50594.68</v>
      </c>
      <c r="G1342">
        <v>81376.710000000006</v>
      </c>
      <c r="H1342">
        <v>0</v>
      </c>
      <c r="I1342">
        <v>0</v>
      </c>
      <c r="J1342">
        <v>-50594.68</v>
      </c>
      <c r="K1342">
        <v>0</v>
      </c>
      <c r="L1342">
        <v>10542501.25</v>
      </c>
      <c r="M1342">
        <v>10674472.640000001</v>
      </c>
      <c r="N1342">
        <v>10542501.25</v>
      </c>
      <c r="O1342">
        <v>10674472.640000001</v>
      </c>
      <c r="P1342">
        <v>10542501.25</v>
      </c>
      <c r="Q1342">
        <v>10674472.640000001</v>
      </c>
      <c r="R1342" s="14">
        <f>_xlfn.XLOOKUP(Table2[[#This Row],[LoanID]],Table1[G-L ID],Table1[ManagerCode],-99)</f>
        <v>183</v>
      </c>
      <c r="T1342"/>
    </row>
    <row r="1343" spans="1:20" x14ac:dyDescent="0.25">
      <c r="A1343">
        <v>20120831</v>
      </c>
      <c r="B1343">
        <v>2012</v>
      </c>
      <c r="C1343">
        <v>8</v>
      </c>
      <c r="D1343">
        <v>1</v>
      </c>
      <c r="E1343">
        <v>10220</v>
      </c>
      <c r="F1343">
        <v>559722.22</v>
      </c>
      <c r="G1343">
        <v>0</v>
      </c>
      <c r="H1343">
        <v>0</v>
      </c>
      <c r="I1343">
        <v>0</v>
      </c>
      <c r="J1343">
        <v>0</v>
      </c>
      <c r="K1343">
        <v>0</v>
      </c>
      <c r="L1343">
        <v>99000000</v>
      </c>
      <c r="M1343">
        <v>99000000</v>
      </c>
      <c r="N1343">
        <v>99000000</v>
      </c>
      <c r="O1343">
        <v>99000000</v>
      </c>
      <c r="P1343">
        <v>100000000</v>
      </c>
      <c r="Q1343">
        <v>100000000</v>
      </c>
      <c r="R1343" s="14">
        <f>_xlfn.XLOOKUP(Table2[[#This Row],[LoanID]],Table1[G-L ID],Table1[ManagerCode],-99)</f>
        <v>103</v>
      </c>
      <c r="T1343"/>
    </row>
    <row r="1344" spans="1:20" x14ac:dyDescent="0.25">
      <c r="A1344">
        <v>20120831</v>
      </c>
      <c r="B1344">
        <v>2012</v>
      </c>
      <c r="C1344">
        <v>8</v>
      </c>
      <c r="D1344">
        <v>1</v>
      </c>
      <c r="E1344">
        <v>10230</v>
      </c>
      <c r="F1344">
        <v>179999.22</v>
      </c>
      <c r="G1344">
        <v>0</v>
      </c>
      <c r="H1344">
        <v>0</v>
      </c>
      <c r="I1344">
        <v>0</v>
      </c>
      <c r="J1344">
        <v>0</v>
      </c>
      <c r="K1344">
        <v>61598.85</v>
      </c>
      <c r="L1344">
        <v>30444971.629999999</v>
      </c>
      <c r="M1344">
        <v>30386452.719999999</v>
      </c>
      <c r="N1344">
        <v>30444971.629999999</v>
      </c>
      <c r="O1344">
        <v>30386452.719999999</v>
      </c>
      <c r="P1344">
        <v>32047338.559999999</v>
      </c>
      <c r="Q1344">
        <v>31985739.710000001</v>
      </c>
      <c r="R1344" s="14">
        <f>_xlfn.XLOOKUP(Table2[[#This Row],[LoanID]],Table1[G-L ID],Table1[ManagerCode],-99)</f>
        <v>103</v>
      </c>
      <c r="T1344"/>
    </row>
    <row r="1345" spans="1:20" x14ac:dyDescent="0.25">
      <c r="A1345">
        <v>20120831</v>
      </c>
      <c r="B1345">
        <v>2012</v>
      </c>
      <c r="C1345">
        <v>8</v>
      </c>
      <c r="D1345">
        <v>1</v>
      </c>
      <c r="E1345">
        <v>10280</v>
      </c>
      <c r="F1345">
        <v>181412</v>
      </c>
      <c r="G1345">
        <v>0</v>
      </c>
      <c r="H1345">
        <v>0</v>
      </c>
      <c r="I1345">
        <v>0</v>
      </c>
      <c r="J1345">
        <v>0</v>
      </c>
      <c r="K1345">
        <v>0</v>
      </c>
      <c r="L1345">
        <v>33250033.25</v>
      </c>
      <c r="M1345">
        <v>33250033.25</v>
      </c>
      <c r="N1345">
        <v>33250033.25</v>
      </c>
      <c r="O1345">
        <v>33250033.25</v>
      </c>
      <c r="P1345">
        <v>35000000</v>
      </c>
      <c r="Q1345">
        <v>35000000</v>
      </c>
      <c r="R1345" s="14">
        <f>_xlfn.XLOOKUP(Table2[[#This Row],[LoanID]],Table1[G-L ID],Table1[ManagerCode],-99)</f>
        <v>103</v>
      </c>
      <c r="T1345"/>
    </row>
    <row r="1346" spans="1:20" x14ac:dyDescent="0.25">
      <c r="A1346">
        <v>20120831</v>
      </c>
      <c r="B1346">
        <v>2012</v>
      </c>
      <c r="C1346">
        <v>8</v>
      </c>
      <c r="D1346">
        <v>1</v>
      </c>
      <c r="E1346">
        <v>10290</v>
      </c>
      <c r="F1346">
        <v>171300.83</v>
      </c>
      <c r="G1346">
        <v>0</v>
      </c>
      <c r="H1346">
        <v>0</v>
      </c>
      <c r="I1346">
        <v>0</v>
      </c>
      <c r="J1346">
        <v>0</v>
      </c>
      <c r="K1346">
        <v>0</v>
      </c>
      <c r="L1346">
        <v>23324128.27</v>
      </c>
      <c r="M1346">
        <v>23705261.120000001</v>
      </c>
      <c r="N1346">
        <v>23324128.27</v>
      </c>
      <c r="O1346">
        <v>23705261.120000001</v>
      </c>
      <c r="P1346">
        <v>25000000</v>
      </c>
      <c r="Q1346">
        <v>25000000</v>
      </c>
      <c r="R1346" s="14">
        <f>_xlfn.XLOOKUP(Table2[[#This Row],[LoanID]],Table1[G-L ID],Table1[ManagerCode],-99)</f>
        <v>103</v>
      </c>
      <c r="T1346"/>
    </row>
    <row r="1347" spans="1:20" x14ac:dyDescent="0.25">
      <c r="A1347">
        <v>20120831</v>
      </c>
      <c r="B1347">
        <v>2012</v>
      </c>
      <c r="C1347">
        <v>8</v>
      </c>
      <c r="D1347">
        <v>1</v>
      </c>
      <c r="E1347">
        <v>10300</v>
      </c>
      <c r="F1347">
        <v>149887.93</v>
      </c>
      <c r="G1347">
        <v>0</v>
      </c>
      <c r="H1347">
        <v>0</v>
      </c>
      <c r="I1347">
        <v>0</v>
      </c>
      <c r="J1347">
        <v>0</v>
      </c>
      <c r="K1347">
        <v>0</v>
      </c>
      <c r="L1347">
        <v>35931190.07</v>
      </c>
      <c r="M1347">
        <v>35357342.219999999</v>
      </c>
      <c r="N1347">
        <v>35931190.07</v>
      </c>
      <c r="O1347">
        <v>35357342.219999999</v>
      </c>
      <c r="P1347">
        <v>35000000</v>
      </c>
      <c r="Q1347">
        <v>35000000</v>
      </c>
      <c r="R1347" s="14">
        <f>_xlfn.XLOOKUP(Table2[[#This Row],[LoanID]],Table1[G-L ID],Table1[ManagerCode],-99)</f>
        <v>103</v>
      </c>
      <c r="T1347"/>
    </row>
    <row r="1348" spans="1:20" x14ac:dyDescent="0.25">
      <c r="A1348">
        <v>20120831</v>
      </c>
      <c r="B1348">
        <v>2012</v>
      </c>
      <c r="C1348">
        <v>8</v>
      </c>
      <c r="D1348">
        <v>1</v>
      </c>
      <c r="E1348">
        <v>10310</v>
      </c>
      <c r="F1348">
        <v>98528.92</v>
      </c>
      <c r="G1348">
        <v>0</v>
      </c>
      <c r="H1348">
        <v>0</v>
      </c>
      <c r="I1348">
        <v>0</v>
      </c>
      <c r="J1348">
        <v>-341784.32000000001</v>
      </c>
      <c r="K1348">
        <v>22177</v>
      </c>
      <c r="L1348">
        <v>14241394.300000001</v>
      </c>
      <c r="M1348">
        <v>14561001.619999999</v>
      </c>
      <c r="N1348">
        <v>14241394.300000001</v>
      </c>
      <c r="O1348">
        <v>14561001.619999999</v>
      </c>
      <c r="P1348">
        <v>14241394.300000001</v>
      </c>
      <c r="Q1348">
        <v>14561001.619999999</v>
      </c>
      <c r="R1348" s="14">
        <f>_xlfn.XLOOKUP(Table2[[#This Row],[LoanID]],Table1[G-L ID],Table1[ManagerCode],-99)</f>
        <v>183</v>
      </c>
      <c r="T1348"/>
    </row>
    <row r="1349" spans="1:20" x14ac:dyDescent="0.25">
      <c r="A1349">
        <v>20120831</v>
      </c>
      <c r="B1349">
        <v>2012</v>
      </c>
      <c r="C1349">
        <v>8</v>
      </c>
      <c r="D1349">
        <v>1</v>
      </c>
      <c r="E1349">
        <v>10370</v>
      </c>
      <c r="F1349">
        <v>4575.37</v>
      </c>
      <c r="G1349">
        <v>0</v>
      </c>
      <c r="H1349">
        <v>0</v>
      </c>
      <c r="I1349">
        <v>0</v>
      </c>
      <c r="J1349">
        <v>0</v>
      </c>
      <c r="K1349">
        <v>37398.71</v>
      </c>
      <c r="L1349">
        <v>2511590.7000000002</v>
      </c>
      <c r="M1349">
        <v>2488305.06</v>
      </c>
      <c r="N1349">
        <v>2511590.7000000002</v>
      </c>
      <c r="O1349">
        <v>2488305.06</v>
      </c>
      <c r="P1349">
        <v>2656667.1800000002</v>
      </c>
      <c r="Q1349">
        <v>2619268.4700000002</v>
      </c>
      <c r="R1349" s="14">
        <f>_xlfn.XLOOKUP(Table2[[#This Row],[LoanID]],Table1[G-L ID],Table1[ManagerCode],-99)</f>
        <v>103</v>
      </c>
      <c r="T1349"/>
    </row>
    <row r="1350" spans="1:20" x14ac:dyDescent="0.25">
      <c r="A1350">
        <v>20120831</v>
      </c>
      <c r="B1350">
        <v>2012</v>
      </c>
      <c r="C1350">
        <v>8</v>
      </c>
      <c r="D1350">
        <v>1</v>
      </c>
      <c r="E1350">
        <v>10390</v>
      </c>
      <c r="F1350">
        <v>118750</v>
      </c>
      <c r="G1350">
        <v>0</v>
      </c>
      <c r="H1350">
        <v>0</v>
      </c>
      <c r="I1350">
        <v>0</v>
      </c>
      <c r="J1350">
        <v>0</v>
      </c>
      <c r="K1350">
        <v>0</v>
      </c>
      <c r="L1350">
        <v>23750000</v>
      </c>
      <c r="M1350">
        <v>23750000</v>
      </c>
      <c r="N1350">
        <v>23750000</v>
      </c>
      <c r="O1350">
        <v>23750000</v>
      </c>
      <c r="P1350">
        <v>24995714.190000001</v>
      </c>
      <c r="Q1350">
        <v>24995918.27</v>
      </c>
      <c r="R1350" s="14">
        <f>_xlfn.XLOOKUP(Table2[[#This Row],[LoanID]],Table1[G-L ID],Table1[ManagerCode],-99)</f>
        <v>103</v>
      </c>
      <c r="T1350"/>
    </row>
    <row r="1351" spans="1:20" x14ac:dyDescent="0.25">
      <c r="A1351">
        <v>20120831</v>
      </c>
      <c r="B1351">
        <v>2012</v>
      </c>
      <c r="C1351">
        <v>8</v>
      </c>
      <c r="D1351">
        <v>1</v>
      </c>
      <c r="E1351">
        <v>10450</v>
      </c>
      <c r="F1351">
        <v>1599785.53</v>
      </c>
      <c r="G1351">
        <v>0</v>
      </c>
      <c r="H1351">
        <v>0</v>
      </c>
      <c r="I1351">
        <v>0</v>
      </c>
      <c r="J1351">
        <v>0</v>
      </c>
      <c r="K1351">
        <v>21214870.140000001</v>
      </c>
      <c r="L1351">
        <v>21002721.440000001</v>
      </c>
      <c r="M1351">
        <v>0</v>
      </c>
      <c r="N1351">
        <v>21002721.440000001</v>
      </c>
      <c r="O1351">
        <v>0</v>
      </c>
      <c r="P1351">
        <v>21214870.140000001</v>
      </c>
      <c r="Q1351">
        <v>0</v>
      </c>
      <c r="R1351" s="14">
        <f>_xlfn.XLOOKUP(Table2[[#This Row],[LoanID]],Table1[G-L ID],Table1[ManagerCode],-99)</f>
        <v>103</v>
      </c>
      <c r="T1351"/>
    </row>
    <row r="1352" spans="1:20" x14ac:dyDescent="0.25">
      <c r="A1352">
        <v>20120831</v>
      </c>
      <c r="B1352">
        <v>2012</v>
      </c>
      <c r="C1352">
        <v>8</v>
      </c>
      <c r="D1352">
        <v>1</v>
      </c>
      <c r="E1352">
        <v>10490</v>
      </c>
      <c r="F1352">
        <v>226041.67</v>
      </c>
      <c r="G1352">
        <v>0</v>
      </c>
      <c r="H1352">
        <v>0</v>
      </c>
      <c r="I1352">
        <v>0</v>
      </c>
      <c r="J1352">
        <v>0</v>
      </c>
      <c r="K1352">
        <v>0</v>
      </c>
      <c r="L1352">
        <v>25000000</v>
      </c>
      <c r="M1352">
        <v>25000000</v>
      </c>
      <c r="N1352">
        <v>25000000</v>
      </c>
      <c r="O1352">
        <v>25000000</v>
      </c>
      <c r="P1352">
        <v>25000000</v>
      </c>
      <c r="Q1352">
        <v>25000000</v>
      </c>
      <c r="R1352" s="14">
        <f>_xlfn.XLOOKUP(Table2[[#This Row],[LoanID]],Table1[G-L ID],Table1[ManagerCode],-99)</f>
        <v>220</v>
      </c>
      <c r="T1352"/>
    </row>
    <row r="1353" spans="1:20" x14ac:dyDescent="0.25">
      <c r="A1353">
        <v>20120831</v>
      </c>
      <c r="B1353">
        <v>2012</v>
      </c>
      <c r="C1353">
        <v>8</v>
      </c>
      <c r="D1353">
        <v>1</v>
      </c>
      <c r="E1353">
        <v>10550</v>
      </c>
      <c r="F1353">
        <v>18410.490000000002</v>
      </c>
      <c r="G1353">
        <v>0</v>
      </c>
      <c r="H1353">
        <v>8686.08</v>
      </c>
      <c r="I1353">
        <v>-10.47</v>
      </c>
      <c r="J1353">
        <v>0</v>
      </c>
      <c r="K1353">
        <v>0</v>
      </c>
      <c r="L1353">
        <v>3439688.63</v>
      </c>
      <c r="M1353">
        <v>3439688.63</v>
      </c>
      <c r="N1353">
        <v>3439688.63</v>
      </c>
      <c r="O1353">
        <v>3439688.63</v>
      </c>
      <c r="P1353">
        <v>3474432.96</v>
      </c>
      <c r="Q1353">
        <v>3474432.96</v>
      </c>
      <c r="R1353" s="14">
        <f>_xlfn.XLOOKUP(Table2[[#This Row],[LoanID]],Table1[G-L ID],Table1[ManagerCode],-99)</f>
        <v>103</v>
      </c>
      <c r="T1353"/>
    </row>
    <row r="1354" spans="1:20" x14ac:dyDescent="0.25">
      <c r="A1354">
        <v>20120831</v>
      </c>
      <c r="B1354">
        <v>2012</v>
      </c>
      <c r="C1354">
        <v>8</v>
      </c>
      <c r="D1354">
        <v>1</v>
      </c>
      <c r="E1354">
        <v>10560</v>
      </c>
      <c r="F1354">
        <v>454125.41</v>
      </c>
      <c r="G1354">
        <v>0</v>
      </c>
      <c r="H1354">
        <v>214256.7</v>
      </c>
      <c r="I1354">
        <v>-258.3</v>
      </c>
      <c r="J1354">
        <v>0</v>
      </c>
      <c r="K1354">
        <v>0</v>
      </c>
      <c r="L1354">
        <v>84845652.969999999</v>
      </c>
      <c r="M1354">
        <v>84845652.969999999</v>
      </c>
      <c r="N1354">
        <v>84845652.969999999</v>
      </c>
      <c r="O1354">
        <v>84845652.969999999</v>
      </c>
      <c r="P1354">
        <v>85702679.480000004</v>
      </c>
      <c r="Q1354">
        <v>85702679.480000004</v>
      </c>
      <c r="R1354" s="14">
        <f>_xlfn.XLOOKUP(Table2[[#This Row],[LoanID]],Table1[G-L ID],Table1[ManagerCode],-99)</f>
        <v>103</v>
      </c>
      <c r="T1354"/>
    </row>
    <row r="1355" spans="1:20" x14ac:dyDescent="0.25">
      <c r="A1355">
        <v>20120831</v>
      </c>
      <c r="B1355">
        <v>2012</v>
      </c>
      <c r="C1355">
        <v>8</v>
      </c>
      <c r="D1355">
        <v>1</v>
      </c>
      <c r="E1355">
        <v>10630</v>
      </c>
      <c r="F1355">
        <v>48452.65</v>
      </c>
      <c r="G1355">
        <v>0</v>
      </c>
      <c r="H1355">
        <v>0</v>
      </c>
      <c r="I1355">
        <v>-0.02</v>
      </c>
      <c r="J1355">
        <v>0</v>
      </c>
      <c r="K1355">
        <v>14163.43</v>
      </c>
      <c r="L1355">
        <v>9422425.4600000009</v>
      </c>
      <c r="M1355">
        <v>9397407.1999999993</v>
      </c>
      <c r="N1355">
        <v>9422425.4600000009</v>
      </c>
      <c r="O1355">
        <v>9397407.1999999993</v>
      </c>
      <c r="P1355">
        <v>9070699.0800000001</v>
      </c>
      <c r="Q1355">
        <v>9056535.6500000004</v>
      </c>
      <c r="R1355" s="14">
        <f>_xlfn.XLOOKUP(Table2[[#This Row],[LoanID]],Table1[G-L ID],Table1[ManagerCode],-99)</f>
        <v>103</v>
      </c>
      <c r="T1355"/>
    </row>
    <row r="1356" spans="1:20" x14ac:dyDescent="0.25">
      <c r="A1356">
        <v>20120831</v>
      </c>
      <c r="B1356">
        <v>2012</v>
      </c>
      <c r="C1356">
        <v>8</v>
      </c>
      <c r="D1356">
        <v>1</v>
      </c>
      <c r="E1356">
        <v>10770</v>
      </c>
      <c r="F1356">
        <v>294112.5</v>
      </c>
      <c r="G1356">
        <v>0</v>
      </c>
      <c r="H1356">
        <v>0</v>
      </c>
      <c r="I1356">
        <v>0</v>
      </c>
      <c r="J1356">
        <v>0</v>
      </c>
      <c r="K1356">
        <v>0</v>
      </c>
      <c r="L1356">
        <v>109250000</v>
      </c>
      <c r="M1356">
        <v>109250000</v>
      </c>
      <c r="N1356">
        <v>109250000</v>
      </c>
      <c r="O1356">
        <v>109250000</v>
      </c>
      <c r="P1356">
        <v>115000000</v>
      </c>
      <c r="Q1356">
        <v>115000000</v>
      </c>
      <c r="R1356" s="14">
        <f>_xlfn.XLOOKUP(Table2[[#This Row],[LoanID]],Table1[G-L ID],Table1[ManagerCode],-99)</f>
        <v>103</v>
      </c>
      <c r="T1356"/>
    </row>
    <row r="1357" spans="1:20" x14ac:dyDescent="0.25">
      <c r="A1357">
        <v>20120831</v>
      </c>
      <c r="B1357">
        <v>2012</v>
      </c>
      <c r="C1357">
        <v>8</v>
      </c>
      <c r="D1357">
        <v>1</v>
      </c>
      <c r="E1357">
        <v>10880</v>
      </c>
      <c r="F1357">
        <v>303323</v>
      </c>
      <c r="G1357">
        <v>0</v>
      </c>
      <c r="H1357">
        <v>0</v>
      </c>
      <c r="I1357">
        <v>0</v>
      </c>
      <c r="J1357">
        <v>0</v>
      </c>
      <c r="K1357">
        <v>0</v>
      </c>
      <c r="L1357">
        <v>198725675.30000001</v>
      </c>
      <c r="M1357">
        <v>199673154.90000001</v>
      </c>
      <c r="N1357">
        <v>198725675.30000001</v>
      </c>
      <c r="O1357">
        <v>199673154.90000001</v>
      </c>
      <c r="P1357">
        <v>201744599.09999999</v>
      </c>
      <c r="Q1357">
        <v>201744599.09999999</v>
      </c>
      <c r="R1357" s="14">
        <f>_xlfn.XLOOKUP(Table2[[#This Row],[LoanID]],Table1[G-L ID],Table1[ManagerCode],-99)</f>
        <v>103</v>
      </c>
      <c r="T1357"/>
    </row>
    <row r="1358" spans="1:20" x14ac:dyDescent="0.25">
      <c r="A1358">
        <v>20120831</v>
      </c>
      <c r="B1358">
        <v>2012</v>
      </c>
      <c r="C1358">
        <v>8</v>
      </c>
      <c r="D1358">
        <v>1</v>
      </c>
      <c r="E1358">
        <v>10900</v>
      </c>
      <c r="F1358">
        <v>81603.67</v>
      </c>
      <c r="G1358">
        <v>0</v>
      </c>
      <c r="H1358">
        <v>0</v>
      </c>
      <c r="I1358">
        <v>0</v>
      </c>
      <c r="J1358">
        <v>0</v>
      </c>
      <c r="K1358">
        <v>2013.39</v>
      </c>
      <c r="L1358">
        <v>8184298.1600000001</v>
      </c>
      <c r="M1358">
        <v>8182385.46</v>
      </c>
      <c r="N1358">
        <v>8184298.1600000001</v>
      </c>
      <c r="O1358">
        <v>8182385.46</v>
      </c>
      <c r="P1358">
        <v>8615050.7100000009</v>
      </c>
      <c r="Q1358">
        <v>8613037.3200000003</v>
      </c>
      <c r="R1358" s="14">
        <f>_xlfn.XLOOKUP(Table2[[#This Row],[LoanID]],Table1[G-L ID],Table1[ManagerCode],-99)</f>
        <v>103</v>
      </c>
      <c r="T1358"/>
    </row>
    <row r="1359" spans="1:20" x14ac:dyDescent="0.25">
      <c r="A1359">
        <v>20120831</v>
      </c>
      <c r="B1359">
        <v>2012</v>
      </c>
      <c r="C1359">
        <v>8</v>
      </c>
      <c r="D1359">
        <v>1</v>
      </c>
      <c r="E1359">
        <v>10950</v>
      </c>
      <c r="F1359">
        <v>52499.22</v>
      </c>
      <c r="G1359">
        <v>0</v>
      </c>
      <c r="H1359">
        <v>0</v>
      </c>
      <c r="I1359">
        <v>0</v>
      </c>
      <c r="J1359">
        <v>0</v>
      </c>
      <c r="K1359">
        <v>24523.8</v>
      </c>
      <c r="L1359">
        <v>10464609.58</v>
      </c>
      <c r="M1359">
        <v>10440331.01</v>
      </c>
      <c r="N1359">
        <v>10464609.58</v>
      </c>
      <c r="O1359">
        <v>10440331.01</v>
      </c>
      <c r="P1359">
        <v>10570312.699999999</v>
      </c>
      <c r="Q1359">
        <v>10545788.9</v>
      </c>
      <c r="R1359" s="14">
        <f>_xlfn.XLOOKUP(Table2[[#This Row],[LoanID]],Table1[G-L ID],Table1[ManagerCode],-99)</f>
        <v>103</v>
      </c>
      <c r="T1359"/>
    </row>
    <row r="1360" spans="1:20" x14ac:dyDescent="0.25">
      <c r="A1360">
        <v>20120831</v>
      </c>
      <c r="B1360">
        <v>2012</v>
      </c>
      <c r="C1360">
        <v>8</v>
      </c>
      <c r="D1360">
        <v>1</v>
      </c>
      <c r="E1360">
        <v>10980</v>
      </c>
      <c r="F1360">
        <v>85724.33</v>
      </c>
      <c r="G1360">
        <v>18302.5</v>
      </c>
      <c r="H1360">
        <v>0</v>
      </c>
      <c r="I1360">
        <v>0</v>
      </c>
      <c r="J1360">
        <v>-2342020.33</v>
      </c>
      <c r="K1360">
        <v>0</v>
      </c>
      <c r="L1360">
        <v>9050069.6199999992</v>
      </c>
      <c r="M1360">
        <v>11410392.449999999</v>
      </c>
      <c r="N1360">
        <v>9050069.6199999992</v>
      </c>
      <c r="O1360">
        <v>11410392.449999999</v>
      </c>
      <c r="P1360">
        <v>9050069.6199999992</v>
      </c>
      <c r="Q1360">
        <v>11410392.449999999</v>
      </c>
      <c r="R1360" s="14">
        <f>_xlfn.XLOOKUP(Table2[[#This Row],[LoanID]],Table1[G-L ID],Table1[ManagerCode],-99)</f>
        <v>183</v>
      </c>
      <c r="T1360"/>
    </row>
    <row r="1361" spans="1:20" x14ac:dyDescent="0.25">
      <c r="A1361">
        <v>20120831</v>
      </c>
      <c r="B1361">
        <v>2012</v>
      </c>
      <c r="C1361">
        <v>8</v>
      </c>
      <c r="D1361">
        <v>1</v>
      </c>
      <c r="E1361">
        <v>11110</v>
      </c>
      <c r="F1361">
        <v>93150.81</v>
      </c>
      <c r="G1361">
        <v>0</v>
      </c>
      <c r="H1361">
        <v>0</v>
      </c>
      <c r="I1361">
        <v>0</v>
      </c>
      <c r="J1361">
        <v>-614025.81000000006</v>
      </c>
      <c r="K1361">
        <v>0</v>
      </c>
      <c r="L1361">
        <v>12442935.550000001</v>
      </c>
      <c r="M1361">
        <v>13056961.359999999</v>
      </c>
      <c r="N1361">
        <v>12442935.550000001</v>
      </c>
      <c r="O1361">
        <v>13056961.359999999</v>
      </c>
      <c r="P1361">
        <v>12442935.550000001</v>
      </c>
      <c r="Q1361">
        <v>13056961.359999999</v>
      </c>
      <c r="R1361" s="14">
        <f>_xlfn.XLOOKUP(Table2[[#This Row],[LoanID]],Table1[G-L ID],Table1[ManagerCode],-99)</f>
        <v>183</v>
      </c>
      <c r="T1361"/>
    </row>
    <row r="1362" spans="1:20" x14ac:dyDescent="0.25">
      <c r="A1362">
        <v>20120831</v>
      </c>
      <c r="B1362">
        <v>2012</v>
      </c>
      <c r="C1362">
        <v>8</v>
      </c>
      <c r="D1362">
        <v>1</v>
      </c>
      <c r="E1362">
        <v>11140</v>
      </c>
      <c r="F1362">
        <v>576975.13</v>
      </c>
      <c r="G1362">
        <v>0</v>
      </c>
      <c r="H1362">
        <v>0</v>
      </c>
      <c r="I1362">
        <v>0</v>
      </c>
      <c r="J1362">
        <v>0</v>
      </c>
      <c r="K1362">
        <v>0</v>
      </c>
      <c r="L1362">
        <v>70307455.939999998</v>
      </c>
      <c r="M1362">
        <v>70990297.969999999</v>
      </c>
      <c r="N1362">
        <v>70307455.939999998</v>
      </c>
      <c r="O1362">
        <v>70990297.969999999</v>
      </c>
      <c r="P1362">
        <v>72436285</v>
      </c>
      <c r="Q1362">
        <v>72436285</v>
      </c>
      <c r="R1362" s="14">
        <f>_xlfn.XLOOKUP(Table2[[#This Row],[LoanID]],Table1[G-L ID],Table1[ManagerCode],-99)</f>
        <v>103</v>
      </c>
      <c r="T1362"/>
    </row>
    <row r="1363" spans="1:20" x14ac:dyDescent="0.25">
      <c r="A1363">
        <v>20120831</v>
      </c>
      <c r="B1363">
        <v>2012</v>
      </c>
      <c r="C1363">
        <v>8</v>
      </c>
      <c r="D1363">
        <v>1</v>
      </c>
      <c r="E1363">
        <v>11190</v>
      </c>
      <c r="F1363">
        <v>1343654.01</v>
      </c>
      <c r="G1363">
        <v>0</v>
      </c>
      <c r="H1363">
        <v>0</v>
      </c>
      <c r="I1363">
        <v>-1721.97</v>
      </c>
      <c r="J1363">
        <v>0</v>
      </c>
      <c r="K1363">
        <v>0</v>
      </c>
      <c r="L1363">
        <v>189972289.90000001</v>
      </c>
      <c r="M1363">
        <v>189972289.90000001</v>
      </c>
      <c r="N1363">
        <v>189972289.90000001</v>
      </c>
      <c r="O1363">
        <v>189972289.90000001</v>
      </c>
      <c r="P1363">
        <v>199970831.5</v>
      </c>
      <c r="Q1363">
        <v>199970831.5</v>
      </c>
      <c r="R1363" s="14">
        <f>_xlfn.XLOOKUP(Table2[[#This Row],[LoanID]],Table1[G-L ID],Table1[ManagerCode],-99)</f>
        <v>103</v>
      </c>
      <c r="T1363"/>
    </row>
    <row r="1364" spans="1:20" x14ac:dyDescent="0.25">
      <c r="A1364">
        <v>20120831</v>
      </c>
      <c r="B1364">
        <v>2012</v>
      </c>
      <c r="C1364">
        <v>8</v>
      </c>
      <c r="D1364">
        <v>1</v>
      </c>
      <c r="E1364">
        <v>11200</v>
      </c>
      <c r="F1364">
        <v>69880</v>
      </c>
      <c r="G1364">
        <v>0</v>
      </c>
      <c r="H1364">
        <v>0</v>
      </c>
      <c r="I1364">
        <v>0</v>
      </c>
      <c r="J1364">
        <v>0</v>
      </c>
      <c r="K1364">
        <v>0</v>
      </c>
      <c r="L1364">
        <v>12578374.859999999</v>
      </c>
      <c r="M1364">
        <v>12578374.859999999</v>
      </c>
      <c r="N1364">
        <v>12578374.859999999</v>
      </c>
      <c r="O1364">
        <v>12578374.859999999</v>
      </c>
      <c r="P1364">
        <v>13976000</v>
      </c>
      <c r="Q1364">
        <v>13976000</v>
      </c>
      <c r="R1364" s="14">
        <f>_xlfn.XLOOKUP(Table2[[#This Row],[LoanID]],Table1[G-L ID],Table1[ManagerCode],-99)</f>
        <v>103</v>
      </c>
      <c r="T1364"/>
    </row>
    <row r="1365" spans="1:20" x14ac:dyDescent="0.25">
      <c r="A1365">
        <v>20120831</v>
      </c>
      <c r="B1365">
        <v>2012</v>
      </c>
      <c r="C1365">
        <v>8</v>
      </c>
      <c r="D1365">
        <v>1</v>
      </c>
      <c r="E1365">
        <v>11220</v>
      </c>
      <c r="F1365">
        <v>311937.5</v>
      </c>
      <c r="G1365">
        <v>0</v>
      </c>
      <c r="H1365">
        <v>0</v>
      </c>
      <c r="I1365">
        <v>0</v>
      </c>
      <c r="J1365">
        <v>0</v>
      </c>
      <c r="K1365">
        <v>0</v>
      </c>
      <c r="L1365">
        <v>34500000</v>
      </c>
      <c r="M1365">
        <v>34500000</v>
      </c>
      <c r="N1365">
        <v>34500000</v>
      </c>
      <c r="O1365">
        <v>34500000</v>
      </c>
      <c r="P1365">
        <v>34500000</v>
      </c>
      <c r="Q1365">
        <v>34500000</v>
      </c>
      <c r="R1365" s="14">
        <f>_xlfn.XLOOKUP(Table2[[#This Row],[LoanID]],Table1[G-L ID],Table1[ManagerCode],-99)</f>
        <v>220</v>
      </c>
      <c r="T1365"/>
    </row>
    <row r="1366" spans="1:20" x14ac:dyDescent="0.25">
      <c r="A1366">
        <v>20120831</v>
      </c>
      <c r="B1366">
        <v>2012</v>
      </c>
      <c r="C1366">
        <v>8</v>
      </c>
      <c r="D1366">
        <v>1</v>
      </c>
      <c r="E1366">
        <v>11240</v>
      </c>
      <c r="F1366">
        <v>245448.89</v>
      </c>
      <c r="G1366">
        <v>0</v>
      </c>
      <c r="H1366">
        <v>0</v>
      </c>
      <c r="I1366">
        <v>0</v>
      </c>
      <c r="J1366">
        <v>0</v>
      </c>
      <c r="K1366">
        <v>0</v>
      </c>
      <c r="L1366">
        <v>185183145.30000001</v>
      </c>
      <c r="M1366">
        <v>194929626.59999999</v>
      </c>
      <c r="N1366">
        <v>185183145.30000001</v>
      </c>
      <c r="O1366">
        <v>194929626.59999999</v>
      </c>
      <c r="P1366">
        <v>194929626.59999999</v>
      </c>
      <c r="Q1366">
        <v>194929626.59999999</v>
      </c>
      <c r="R1366" s="14">
        <f>_xlfn.XLOOKUP(Table2[[#This Row],[LoanID]],Table1[G-L ID],Table1[ManagerCode],-99)</f>
        <v>103</v>
      </c>
      <c r="T1366"/>
    </row>
    <row r="1367" spans="1:20" x14ac:dyDescent="0.25">
      <c r="A1367">
        <v>20120831</v>
      </c>
      <c r="B1367">
        <v>2012</v>
      </c>
      <c r="C1367">
        <v>8</v>
      </c>
      <c r="D1367">
        <v>1</v>
      </c>
      <c r="E1367">
        <v>11280</v>
      </c>
      <c r="F1367">
        <v>24255.69</v>
      </c>
      <c r="G1367">
        <v>0</v>
      </c>
      <c r="H1367">
        <v>0</v>
      </c>
      <c r="I1367">
        <v>-156.59</v>
      </c>
      <c r="J1367">
        <v>0</v>
      </c>
      <c r="K1367">
        <v>0</v>
      </c>
      <c r="L1367">
        <v>18345875.98</v>
      </c>
      <c r="M1367">
        <v>18459673.699999999</v>
      </c>
      <c r="N1367">
        <v>18345875.98</v>
      </c>
      <c r="O1367">
        <v>18459673.699999999</v>
      </c>
      <c r="P1367">
        <v>18791123.030000001</v>
      </c>
      <c r="Q1367">
        <v>18791123.030000001</v>
      </c>
      <c r="R1367" s="14">
        <f>_xlfn.XLOOKUP(Table2[[#This Row],[LoanID]],Table1[G-L ID],Table1[ManagerCode],-99)</f>
        <v>103</v>
      </c>
      <c r="T1367"/>
    </row>
    <row r="1368" spans="1:20" x14ac:dyDescent="0.25">
      <c r="A1368">
        <v>20120831</v>
      </c>
      <c r="B1368">
        <v>2012</v>
      </c>
      <c r="C1368">
        <v>8</v>
      </c>
      <c r="D1368">
        <v>1</v>
      </c>
      <c r="E1368">
        <v>11300</v>
      </c>
      <c r="F1368">
        <v>21830.12</v>
      </c>
      <c r="G1368">
        <v>0</v>
      </c>
      <c r="H1368">
        <v>0</v>
      </c>
      <c r="I1368">
        <v>-140.93</v>
      </c>
      <c r="J1368">
        <v>0</v>
      </c>
      <c r="K1368">
        <v>0</v>
      </c>
      <c r="L1368">
        <v>16511288.41</v>
      </c>
      <c r="M1368">
        <v>16613706.33</v>
      </c>
      <c r="N1368">
        <v>16511288.41</v>
      </c>
      <c r="O1368">
        <v>16613706.33</v>
      </c>
      <c r="P1368">
        <v>16912010.73</v>
      </c>
      <c r="Q1368">
        <v>16912010.73</v>
      </c>
      <c r="R1368" s="14">
        <f>_xlfn.XLOOKUP(Table2[[#This Row],[LoanID]],Table1[G-L ID],Table1[ManagerCode],-99)</f>
        <v>103</v>
      </c>
      <c r="T1368"/>
    </row>
    <row r="1369" spans="1:20" x14ac:dyDescent="0.25">
      <c r="A1369">
        <v>20120831</v>
      </c>
      <c r="B1369">
        <v>2012</v>
      </c>
      <c r="C1369">
        <v>8</v>
      </c>
      <c r="D1369">
        <v>1</v>
      </c>
      <c r="E1369">
        <v>11310</v>
      </c>
      <c r="F1369">
        <v>14553.41</v>
      </c>
      <c r="G1369">
        <v>0</v>
      </c>
      <c r="H1369">
        <v>0</v>
      </c>
      <c r="I1369">
        <v>-93.96</v>
      </c>
      <c r="J1369">
        <v>0</v>
      </c>
      <c r="K1369">
        <v>0</v>
      </c>
      <c r="L1369">
        <v>11012126.91</v>
      </c>
      <c r="M1369">
        <v>11079936.880000001</v>
      </c>
      <c r="N1369">
        <v>11012126.91</v>
      </c>
      <c r="O1369">
        <v>11079936.880000001</v>
      </c>
      <c r="P1369">
        <v>11274673.789999999</v>
      </c>
      <c r="Q1369">
        <v>11274673.789999999</v>
      </c>
      <c r="R1369" s="14">
        <f>_xlfn.XLOOKUP(Table2[[#This Row],[LoanID]],Table1[G-L ID],Table1[ManagerCode],-99)</f>
        <v>103</v>
      </c>
      <c r="T1369"/>
    </row>
    <row r="1370" spans="1:20" x14ac:dyDescent="0.25">
      <c r="A1370">
        <v>20120831</v>
      </c>
      <c r="B1370">
        <v>2012</v>
      </c>
      <c r="C1370">
        <v>8</v>
      </c>
      <c r="D1370">
        <v>1</v>
      </c>
      <c r="E1370">
        <v>11380</v>
      </c>
      <c r="F1370">
        <v>31587.59</v>
      </c>
      <c r="G1370">
        <v>0</v>
      </c>
      <c r="H1370">
        <v>0</v>
      </c>
      <c r="I1370">
        <v>0</v>
      </c>
      <c r="J1370">
        <v>0</v>
      </c>
      <c r="K1370">
        <v>59112.41</v>
      </c>
      <c r="L1370">
        <v>5393157.8799999999</v>
      </c>
      <c r="M1370">
        <v>5327300.07</v>
      </c>
      <c r="N1370">
        <v>5393157.8799999999</v>
      </c>
      <c r="O1370">
        <v>5327300.07</v>
      </c>
      <c r="P1370">
        <v>4779962.46</v>
      </c>
      <c r="Q1370">
        <v>4720850.05</v>
      </c>
      <c r="R1370" s="14">
        <f>_xlfn.XLOOKUP(Table2[[#This Row],[LoanID]],Table1[G-L ID],Table1[ManagerCode],-99)</f>
        <v>103</v>
      </c>
      <c r="T1370"/>
    </row>
    <row r="1371" spans="1:20" x14ac:dyDescent="0.25">
      <c r="A1371">
        <v>20120831</v>
      </c>
      <c r="B1371">
        <v>2012</v>
      </c>
      <c r="C1371">
        <v>8</v>
      </c>
      <c r="D1371">
        <v>1</v>
      </c>
      <c r="E1371">
        <v>11620</v>
      </c>
      <c r="F1371">
        <v>4444.4399999999996</v>
      </c>
      <c r="G1371">
        <v>16962.72</v>
      </c>
      <c r="H1371">
        <v>0</v>
      </c>
      <c r="I1371">
        <v>0</v>
      </c>
      <c r="J1371">
        <v>-4444.4399999999996</v>
      </c>
      <c r="K1371">
        <v>0</v>
      </c>
      <c r="L1371">
        <v>4001803.52</v>
      </c>
      <c r="M1371">
        <v>4018766.24</v>
      </c>
      <c r="N1371">
        <v>4001803.52</v>
      </c>
      <c r="O1371">
        <v>4018766.24</v>
      </c>
      <c r="P1371">
        <v>4001803.52</v>
      </c>
      <c r="Q1371">
        <v>4018766.24</v>
      </c>
      <c r="R1371" s="14">
        <f>_xlfn.XLOOKUP(Table2[[#This Row],[LoanID]],Table1[G-L ID],Table1[ManagerCode],-99)</f>
        <v>183</v>
      </c>
      <c r="T1371"/>
    </row>
    <row r="1372" spans="1:20" x14ac:dyDescent="0.25">
      <c r="A1372">
        <v>20120831</v>
      </c>
      <c r="B1372">
        <v>2012</v>
      </c>
      <c r="C1372">
        <v>8</v>
      </c>
      <c r="D1372">
        <v>1</v>
      </c>
      <c r="E1372">
        <v>11630</v>
      </c>
      <c r="F1372">
        <v>146309.85999999999</v>
      </c>
      <c r="G1372">
        <v>34740.910000000003</v>
      </c>
      <c r="H1372">
        <v>0</v>
      </c>
      <c r="I1372">
        <v>0</v>
      </c>
      <c r="J1372">
        <v>-379516.05</v>
      </c>
      <c r="K1372">
        <v>0</v>
      </c>
      <c r="L1372">
        <v>23806437.84</v>
      </c>
      <c r="M1372">
        <v>24220694.800000001</v>
      </c>
      <c r="N1372">
        <v>23806437.84</v>
      </c>
      <c r="O1372">
        <v>24220694.800000001</v>
      </c>
      <c r="P1372">
        <v>23806437.84</v>
      </c>
      <c r="Q1372">
        <v>24220694.800000001</v>
      </c>
      <c r="R1372" s="14">
        <f>_xlfn.XLOOKUP(Table2[[#This Row],[LoanID]],Table1[G-L ID],Table1[ManagerCode],-99)</f>
        <v>183</v>
      </c>
      <c r="T1372"/>
    </row>
    <row r="1373" spans="1:20" x14ac:dyDescent="0.25">
      <c r="A1373">
        <v>20120831</v>
      </c>
      <c r="B1373">
        <v>2012</v>
      </c>
      <c r="C1373">
        <v>8</v>
      </c>
      <c r="D1373">
        <v>1</v>
      </c>
      <c r="E1373">
        <v>11650</v>
      </c>
      <c r="F1373">
        <v>75000</v>
      </c>
      <c r="G1373">
        <v>0</v>
      </c>
      <c r="H1373">
        <v>0</v>
      </c>
      <c r="I1373">
        <v>0</v>
      </c>
      <c r="J1373">
        <v>0</v>
      </c>
      <c r="K1373">
        <v>0</v>
      </c>
      <c r="L1373">
        <v>9600000</v>
      </c>
      <c r="M1373">
        <v>9600000</v>
      </c>
      <c r="N1373">
        <v>9600000</v>
      </c>
      <c r="O1373">
        <v>9600000</v>
      </c>
      <c r="P1373">
        <v>12000000</v>
      </c>
      <c r="Q1373">
        <v>12000000</v>
      </c>
      <c r="R1373" s="14">
        <f>_xlfn.XLOOKUP(Table2[[#This Row],[LoanID]],Table1[G-L ID],Table1[ManagerCode],-99)</f>
        <v>103</v>
      </c>
      <c r="T1373"/>
    </row>
    <row r="1374" spans="1:20" x14ac:dyDescent="0.25">
      <c r="A1374">
        <v>20120831</v>
      </c>
      <c r="B1374">
        <v>2012</v>
      </c>
      <c r="C1374">
        <v>8</v>
      </c>
      <c r="D1374">
        <v>1</v>
      </c>
      <c r="E1374">
        <v>11780</v>
      </c>
      <c r="F1374">
        <v>356797.34</v>
      </c>
      <c r="G1374">
        <v>0</v>
      </c>
      <c r="H1374">
        <v>0</v>
      </c>
      <c r="I1374">
        <v>-1113.3599999999999</v>
      </c>
      <c r="J1374">
        <v>0</v>
      </c>
      <c r="K1374">
        <v>0</v>
      </c>
      <c r="L1374">
        <v>27460538.239999998</v>
      </c>
      <c r="M1374">
        <v>27603780</v>
      </c>
      <c r="N1374">
        <v>27460538.239999998</v>
      </c>
      <c r="O1374">
        <v>27603780</v>
      </c>
      <c r="P1374">
        <v>64790438.109999999</v>
      </c>
      <c r="Q1374">
        <v>64790438.109999999</v>
      </c>
      <c r="R1374" s="14">
        <f>_xlfn.XLOOKUP(Table2[[#This Row],[LoanID]],Table1[G-L ID],Table1[ManagerCode],-99)</f>
        <v>103</v>
      </c>
      <c r="T1374"/>
    </row>
    <row r="1375" spans="1:20" x14ac:dyDescent="0.25">
      <c r="A1375">
        <v>20120831</v>
      </c>
      <c r="B1375">
        <v>2012</v>
      </c>
      <c r="C1375">
        <v>8</v>
      </c>
      <c r="D1375">
        <v>1</v>
      </c>
      <c r="E1375">
        <v>11800</v>
      </c>
      <c r="F1375">
        <v>162583.16</v>
      </c>
      <c r="G1375">
        <v>0</v>
      </c>
      <c r="H1375">
        <v>0</v>
      </c>
      <c r="I1375">
        <v>-273.57</v>
      </c>
      <c r="J1375">
        <v>0</v>
      </c>
      <c r="K1375">
        <v>57259.53</v>
      </c>
      <c r="L1375">
        <v>30181073.719999999</v>
      </c>
      <c r="M1375">
        <v>30126677.129999999</v>
      </c>
      <c r="N1375">
        <v>30181073.719999999</v>
      </c>
      <c r="O1375">
        <v>30126677.129999999</v>
      </c>
      <c r="P1375">
        <v>31769519.530000001</v>
      </c>
      <c r="Q1375">
        <v>31712260</v>
      </c>
      <c r="R1375" s="14">
        <f>_xlfn.XLOOKUP(Table2[[#This Row],[LoanID]],Table1[G-L ID],Table1[ManagerCode],-99)</f>
        <v>103</v>
      </c>
      <c r="T1375"/>
    </row>
    <row r="1376" spans="1:20" x14ac:dyDescent="0.25">
      <c r="A1376">
        <v>20120831</v>
      </c>
      <c r="B1376">
        <v>2012</v>
      </c>
      <c r="C1376">
        <v>8</v>
      </c>
      <c r="D1376">
        <v>1</v>
      </c>
      <c r="E1376">
        <v>11810</v>
      </c>
      <c r="F1376">
        <v>51067.24</v>
      </c>
      <c r="G1376">
        <v>0</v>
      </c>
      <c r="H1376">
        <v>0</v>
      </c>
      <c r="I1376">
        <v>0</v>
      </c>
      <c r="J1376">
        <v>0</v>
      </c>
      <c r="K1376">
        <v>9790.85</v>
      </c>
      <c r="L1376">
        <v>9880761.9000000004</v>
      </c>
      <c r="M1376">
        <v>9871068.9600000009</v>
      </c>
      <c r="N1376">
        <v>9880761.9000000004</v>
      </c>
      <c r="O1376">
        <v>9871068.9600000009</v>
      </c>
      <c r="P1376">
        <v>9980567.5700000003</v>
      </c>
      <c r="Q1376">
        <v>9970776.7200000007</v>
      </c>
      <c r="R1376" s="14">
        <f>_xlfn.XLOOKUP(Table2[[#This Row],[LoanID]],Table1[G-L ID],Table1[ManagerCode],-99)</f>
        <v>103</v>
      </c>
      <c r="T1376"/>
    </row>
    <row r="1377" spans="1:20" x14ac:dyDescent="0.25">
      <c r="A1377">
        <v>20120831</v>
      </c>
      <c r="B1377">
        <v>2012</v>
      </c>
      <c r="C1377">
        <v>8</v>
      </c>
      <c r="D1377">
        <v>1</v>
      </c>
      <c r="E1377">
        <v>11970</v>
      </c>
      <c r="F1377">
        <v>34921.879999999997</v>
      </c>
      <c r="G1377">
        <v>24012.89</v>
      </c>
      <c r="H1377">
        <v>0</v>
      </c>
      <c r="I1377">
        <v>0</v>
      </c>
      <c r="J1377">
        <v>-402801.67</v>
      </c>
      <c r="K1377">
        <v>0</v>
      </c>
      <c r="L1377">
        <v>4461233.04</v>
      </c>
      <c r="M1377">
        <v>4888047.5999999996</v>
      </c>
      <c r="N1377">
        <v>4461233.04</v>
      </c>
      <c r="O1377">
        <v>4888047.5999999996</v>
      </c>
      <c r="P1377">
        <v>4461233.04</v>
      </c>
      <c r="Q1377">
        <v>4888047.5999999996</v>
      </c>
      <c r="R1377" s="14">
        <f>_xlfn.XLOOKUP(Table2[[#This Row],[LoanID]],Table1[G-L ID],Table1[ManagerCode],-99)</f>
        <v>183</v>
      </c>
      <c r="T1377"/>
    </row>
    <row r="1378" spans="1:20" x14ac:dyDescent="0.25">
      <c r="A1378">
        <v>20120831</v>
      </c>
      <c r="B1378">
        <v>2012</v>
      </c>
      <c r="C1378">
        <v>8</v>
      </c>
      <c r="D1378">
        <v>1</v>
      </c>
      <c r="E1378">
        <v>12020</v>
      </c>
      <c r="F1378">
        <v>55222.09</v>
      </c>
      <c r="G1378">
        <v>59430.93</v>
      </c>
      <c r="H1378">
        <v>0</v>
      </c>
      <c r="I1378">
        <v>0</v>
      </c>
      <c r="J1378">
        <v>-210870.86</v>
      </c>
      <c r="K1378">
        <v>0</v>
      </c>
      <c r="L1378">
        <v>8974178.4800000004</v>
      </c>
      <c r="M1378">
        <v>9244480.2699999996</v>
      </c>
      <c r="N1378">
        <v>8974178.4800000004</v>
      </c>
      <c r="O1378">
        <v>9244480.2699999996</v>
      </c>
      <c r="P1378">
        <v>8974178.4800000004</v>
      </c>
      <c r="Q1378">
        <v>9244480.2699999996</v>
      </c>
      <c r="R1378" s="14">
        <f>_xlfn.XLOOKUP(Table2[[#This Row],[LoanID]],Table1[G-L ID],Table1[ManagerCode],-99)</f>
        <v>183</v>
      </c>
      <c r="T1378"/>
    </row>
    <row r="1379" spans="1:20" x14ac:dyDescent="0.25">
      <c r="A1379">
        <v>20120831</v>
      </c>
      <c r="B1379">
        <v>2012</v>
      </c>
      <c r="C1379">
        <v>8</v>
      </c>
      <c r="D1379">
        <v>1</v>
      </c>
      <c r="E1379">
        <v>12090</v>
      </c>
      <c r="F1379">
        <v>164995.35</v>
      </c>
      <c r="G1379">
        <v>0</v>
      </c>
      <c r="H1379">
        <v>0</v>
      </c>
      <c r="I1379">
        <v>0</v>
      </c>
      <c r="J1379">
        <v>0</v>
      </c>
      <c r="K1379">
        <v>0</v>
      </c>
      <c r="L1379">
        <v>17500000</v>
      </c>
      <c r="M1379">
        <v>17500000</v>
      </c>
      <c r="N1379">
        <v>17500000</v>
      </c>
      <c r="O1379">
        <v>17500000</v>
      </c>
      <c r="P1379">
        <v>17500000</v>
      </c>
      <c r="Q1379">
        <v>17500000</v>
      </c>
      <c r="R1379" s="14">
        <f>_xlfn.XLOOKUP(Table2[[#This Row],[LoanID]],Table1[G-L ID],Table1[ManagerCode],-99)</f>
        <v>220</v>
      </c>
      <c r="T1379"/>
    </row>
    <row r="1380" spans="1:20" x14ac:dyDescent="0.25">
      <c r="A1380">
        <v>20120831</v>
      </c>
      <c r="B1380">
        <v>2012</v>
      </c>
      <c r="C1380">
        <v>8</v>
      </c>
      <c r="D1380">
        <v>1</v>
      </c>
      <c r="E1380">
        <v>12130</v>
      </c>
      <c r="F1380">
        <v>3377.62</v>
      </c>
      <c r="G1380">
        <v>0</v>
      </c>
      <c r="H1380">
        <v>0</v>
      </c>
      <c r="I1380">
        <v>0</v>
      </c>
      <c r="J1380">
        <v>-3377.62</v>
      </c>
      <c r="K1380">
        <v>0</v>
      </c>
      <c r="L1380">
        <v>579020.9</v>
      </c>
      <c r="M1380">
        <v>582398.52</v>
      </c>
      <c r="N1380">
        <v>579020.9</v>
      </c>
      <c r="O1380">
        <v>582398.52</v>
      </c>
      <c r="P1380">
        <v>579020.9</v>
      </c>
      <c r="Q1380">
        <v>582398.52</v>
      </c>
      <c r="R1380" s="14">
        <f>_xlfn.XLOOKUP(Table2[[#This Row],[LoanID]],Table1[G-L ID],Table1[ManagerCode],-99)</f>
        <v>183</v>
      </c>
      <c r="T1380"/>
    </row>
    <row r="1381" spans="1:20" x14ac:dyDescent="0.25">
      <c r="A1381">
        <v>20120831</v>
      </c>
      <c r="B1381">
        <v>2012</v>
      </c>
      <c r="C1381">
        <v>8</v>
      </c>
      <c r="D1381">
        <v>1</v>
      </c>
      <c r="E1381">
        <v>12210</v>
      </c>
      <c r="F1381">
        <v>712692.2</v>
      </c>
      <c r="G1381">
        <v>0</v>
      </c>
      <c r="H1381">
        <v>0</v>
      </c>
      <c r="I1381">
        <v>0</v>
      </c>
      <c r="J1381">
        <v>0</v>
      </c>
      <c r="K1381">
        <v>189695.82</v>
      </c>
      <c r="L1381">
        <v>137134832.40000001</v>
      </c>
      <c r="M1381">
        <v>137027945.80000001</v>
      </c>
      <c r="N1381">
        <v>137134832.40000001</v>
      </c>
      <c r="O1381">
        <v>137027945.80000001</v>
      </c>
      <c r="P1381">
        <v>115314746.40000001</v>
      </c>
      <c r="Q1381">
        <v>115125050.59999999</v>
      </c>
      <c r="R1381" s="14">
        <f>_xlfn.XLOOKUP(Table2[[#This Row],[LoanID]],Table1[G-L ID],Table1[ManagerCode],-99)</f>
        <v>103</v>
      </c>
      <c r="T1381"/>
    </row>
    <row r="1382" spans="1:20" x14ac:dyDescent="0.25">
      <c r="A1382">
        <v>20120930</v>
      </c>
      <c r="B1382">
        <v>2012</v>
      </c>
      <c r="C1382">
        <v>9</v>
      </c>
      <c r="D1382">
        <v>1</v>
      </c>
      <c r="E1382">
        <v>10050</v>
      </c>
      <c r="F1382">
        <v>153981.01999999999</v>
      </c>
      <c r="G1382">
        <v>0</v>
      </c>
      <c r="H1382">
        <v>0</v>
      </c>
      <c r="I1382">
        <v>0</v>
      </c>
      <c r="J1382">
        <v>0</v>
      </c>
      <c r="K1382">
        <v>0</v>
      </c>
      <c r="L1382">
        <v>37122947.420000002</v>
      </c>
      <c r="M1382">
        <v>37899548.390000001</v>
      </c>
      <c r="N1382">
        <v>37122947.420000002</v>
      </c>
      <c r="O1382">
        <v>37899548.390000001</v>
      </c>
      <c r="P1382">
        <v>33333334</v>
      </c>
      <c r="Q1382">
        <v>33333334</v>
      </c>
      <c r="R1382" s="14">
        <f>_xlfn.XLOOKUP(Table2[[#This Row],[LoanID]],Table1[G-L ID],Table1[ManagerCode],-99)</f>
        <v>103</v>
      </c>
      <c r="T1382"/>
    </row>
    <row r="1383" spans="1:20" x14ac:dyDescent="0.25">
      <c r="A1383">
        <v>20120930</v>
      </c>
      <c r="B1383">
        <v>2012</v>
      </c>
      <c r="C1383">
        <v>9</v>
      </c>
      <c r="D1383">
        <v>1</v>
      </c>
      <c r="E1383">
        <v>10060</v>
      </c>
      <c r="F1383">
        <v>120833.33</v>
      </c>
      <c r="G1383">
        <v>0</v>
      </c>
      <c r="H1383">
        <v>0</v>
      </c>
      <c r="I1383">
        <v>0</v>
      </c>
      <c r="J1383">
        <v>0</v>
      </c>
      <c r="K1383">
        <v>0</v>
      </c>
      <c r="L1383">
        <v>19839714.280000001</v>
      </c>
      <c r="M1383">
        <v>19844571.41</v>
      </c>
      <c r="N1383">
        <v>19839714.280000001</v>
      </c>
      <c r="O1383">
        <v>19844571.41</v>
      </c>
      <c r="P1383">
        <v>20000000</v>
      </c>
      <c r="Q1383">
        <v>20000000</v>
      </c>
      <c r="R1383" s="14">
        <f>_xlfn.XLOOKUP(Table2[[#This Row],[LoanID]],Table1[G-L ID],Table1[ManagerCode],-99)</f>
        <v>103</v>
      </c>
      <c r="T1383"/>
    </row>
    <row r="1384" spans="1:20" x14ac:dyDescent="0.25">
      <c r="A1384">
        <v>20120930</v>
      </c>
      <c r="B1384">
        <v>2012</v>
      </c>
      <c r="C1384">
        <v>9</v>
      </c>
      <c r="D1384">
        <v>1</v>
      </c>
      <c r="E1384">
        <v>10080</v>
      </c>
      <c r="F1384">
        <v>351042.71</v>
      </c>
      <c r="G1384">
        <v>0</v>
      </c>
      <c r="H1384">
        <v>0</v>
      </c>
      <c r="I1384">
        <v>-161.46</v>
      </c>
      <c r="J1384">
        <v>0</v>
      </c>
      <c r="K1384">
        <v>0</v>
      </c>
      <c r="L1384">
        <v>74249925.75</v>
      </c>
      <c r="M1384">
        <v>74249925.75</v>
      </c>
      <c r="N1384">
        <v>74249925.75</v>
      </c>
      <c r="O1384">
        <v>74249925.75</v>
      </c>
      <c r="P1384">
        <v>75000000</v>
      </c>
      <c r="Q1384">
        <v>75000000</v>
      </c>
      <c r="R1384" s="14">
        <f>_xlfn.XLOOKUP(Table2[[#This Row],[LoanID]],Table1[G-L ID],Table1[ManagerCode],-99)</f>
        <v>103</v>
      </c>
      <c r="T1384"/>
    </row>
    <row r="1385" spans="1:20" x14ac:dyDescent="0.25">
      <c r="A1385">
        <v>20120930</v>
      </c>
      <c r="B1385">
        <v>2012</v>
      </c>
      <c r="C1385">
        <v>9</v>
      </c>
      <c r="D1385">
        <v>1</v>
      </c>
      <c r="E1385">
        <v>10130</v>
      </c>
      <c r="F1385">
        <v>34521.839999999997</v>
      </c>
      <c r="G1385">
        <v>0</v>
      </c>
      <c r="H1385">
        <v>0</v>
      </c>
      <c r="I1385">
        <v>0</v>
      </c>
      <c r="J1385">
        <v>0</v>
      </c>
      <c r="K1385">
        <v>33168.85</v>
      </c>
      <c r="L1385">
        <v>7834948.6900000004</v>
      </c>
      <c r="M1385">
        <v>7808341.1399999997</v>
      </c>
      <c r="N1385">
        <v>7834948.6900000004</v>
      </c>
      <c r="O1385">
        <v>7808341.1399999997</v>
      </c>
      <c r="P1385">
        <v>7629135.04</v>
      </c>
      <c r="Q1385">
        <v>7595966.1900000004</v>
      </c>
      <c r="R1385" s="14">
        <f>_xlfn.XLOOKUP(Table2[[#This Row],[LoanID]],Table1[G-L ID],Table1[ManagerCode],-99)</f>
        <v>103</v>
      </c>
      <c r="T1385"/>
    </row>
    <row r="1386" spans="1:20" x14ac:dyDescent="0.25">
      <c r="A1386">
        <v>20120930</v>
      </c>
      <c r="B1386">
        <v>2012</v>
      </c>
      <c r="C1386">
        <v>9</v>
      </c>
      <c r="D1386">
        <v>1</v>
      </c>
      <c r="E1386">
        <v>10140</v>
      </c>
      <c r="F1386">
        <v>91081.82</v>
      </c>
      <c r="G1386">
        <v>0</v>
      </c>
      <c r="H1386">
        <v>0</v>
      </c>
      <c r="I1386">
        <v>0</v>
      </c>
      <c r="J1386">
        <v>0</v>
      </c>
      <c r="K1386">
        <v>86742.51</v>
      </c>
      <c r="L1386">
        <v>20671744.100000001</v>
      </c>
      <c r="M1386">
        <v>20602328.68</v>
      </c>
      <c r="N1386">
        <v>20671744.100000001</v>
      </c>
      <c r="O1386">
        <v>20602328.68</v>
      </c>
      <c r="P1386">
        <v>20128578.899999999</v>
      </c>
      <c r="Q1386">
        <v>20041836.390000001</v>
      </c>
      <c r="R1386" s="14">
        <f>_xlfn.XLOOKUP(Table2[[#This Row],[LoanID]],Table1[G-L ID],Table1[ManagerCode],-99)</f>
        <v>103</v>
      </c>
      <c r="T1386"/>
    </row>
    <row r="1387" spans="1:20" x14ac:dyDescent="0.25">
      <c r="A1387">
        <v>20120930</v>
      </c>
      <c r="B1387">
        <v>2012</v>
      </c>
      <c r="C1387">
        <v>9</v>
      </c>
      <c r="D1387">
        <v>1</v>
      </c>
      <c r="E1387">
        <v>10170</v>
      </c>
      <c r="F1387">
        <v>245472.08</v>
      </c>
      <c r="G1387">
        <v>0</v>
      </c>
      <c r="H1387">
        <v>0</v>
      </c>
      <c r="I1387">
        <v>-1176.3800000000001</v>
      </c>
      <c r="J1387">
        <v>0</v>
      </c>
      <c r="K1387">
        <v>69742.98</v>
      </c>
      <c r="L1387">
        <v>48561923.700000003</v>
      </c>
      <c r="M1387">
        <v>48639679.359999999</v>
      </c>
      <c r="N1387">
        <v>48561923.700000003</v>
      </c>
      <c r="O1387">
        <v>48639679.359999999</v>
      </c>
      <c r="P1387">
        <v>45537436.780000001</v>
      </c>
      <c r="Q1387">
        <v>45467693.799999997</v>
      </c>
      <c r="R1387" s="14">
        <f>_xlfn.XLOOKUP(Table2[[#This Row],[LoanID]],Table1[G-L ID],Table1[ManagerCode],-99)</f>
        <v>103</v>
      </c>
      <c r="T1387"/>
    </row>
    <row r="1388" spans="1:20" x14ac:dyDescent="0.25">
      <c r="A1388">
        <v>20120930</v>
      </c>
      <c r="B1388">
        <v>2012</v>
      </c>
      <c r="C1388">
        <v>9</v>
      </c>
      <c r="D1388">
        <v>1</v>
      </c>
      <c r="E1388">
        <v>10210</v>
      </c>
      <c r="F1388">
        <v>50847.26</v>
      </c>
      <c r="G1388">
        <v>82774.7</v>
      </c>
      <c r="H1388">
        <v>0</v>
      </c>
      <c r="I1388">
        <v>0</v>
      </c>
      <c r="J1388">
        <v>-50847.26</v>
      </c>
      <c r="K1388">
        <v>0</v>
      </c>
      <c r="L1388">
        <v>10674472.640000001</v>
      </c>
      <c r="M1388">
        <v>10808094.6</v>
      </c>
      <c r="N1388">
        <v>10674472.640000001</v>
      </c>
      <c r="O1388">
        <v>10808094.6</v>
      </c>
      <c r="P1388">
        <v>10674472.640000001</v>
      </c>
      <c r="Q1388">
        <v>10808094.6</v>
      </c>
      <c r="R1388" s="14">
        <f>_xlfn.XLOOKUP(Table2[[#This Row],[LoanID]],Table1[G-L ID],Table1[ManagerCode],-99)</f>
        <v>183</v>
      </c>
      <c r="T1388"/>
    </row>
    <row r="1389" spans="1:20" x14ac:dyDescent="0.25">
      <c r="A1389">
        <v>20120930</v>
      </c>
      <c r="B1389">
        <v>2012</v>
      </c>
      <c r="C1389">
        <v>9</v>
      </c>
      <c r="D1389">
        <v>1</v>
      </c>
      <c r="E1389">
        <v>10220</v>
      </c>
      <c r="F1389">
        <v>559722.22</v>
      </c>
      <c r="G1389">
        <v>0</v>
      </c>
      <c r="H1389">
        <v>0</v>
      </c>
      <c r="I1389">
        <v>0</v>
      </c>
      <c r="J1389">
        <v>0</v>
      </c>
      <c r="K1389">
        <v>0</v>
      </c>
      <c r="L1389">
        <v>99000000</v>
      </c>
      <c r="M1389">
        <v>99000000</v>
      </c>
      <c r="N1389">
        <v>99000000</v>
      </c>
      <c r="O1389">
        <v>99000000</v>
      </c>
      <c r="P1389">
        <v>100000000</v>
      </c>
      <c r="Q1389">
        <v>100000000</v>
      </c>
      <c r="R1389" s="14">
        <f>_xlfn.XLOOKUP(Table2[[#This Row],[LoanID]],Table1[G-L ID],Table1[ManagerCode],-99)</f>
        <v>103</v>
      </c>
      <c r="T1389"/>
    </row>
    <row r="1390" spans="1:20" x14ac:dyDescent="0.25">
      <c r="A1390">
        <v>20120930</v>
      </c>
      <c r="B1390">
        <v>2012</v>
      </c>
      <c r="C1390">
        <v>9</v>
      </c>
      <c r="D1390">
        <v>1</v>
      </c>
      <c r="E1390">
        <v>10230</v>
      </c>
      <c r="F1390">
        <v>179653.24</v>
      </c>
      <c r="G1390">
        <v>0</v>
      </c>
      <c r="H1390">
        <v>0</v>
      </c>
      <c r="I1390">
        <v>0</v>
      </c>
      <c r="J1390">
        <v>0</v>
      </c>
      <c r="K1390">
        <v>61944.83</v>
      </c>
      <c r="L1390">
        <v>30386452.719999999</v>
      </c>
      <c r="M1390">
        <v>30327605.129999999</v>
      </c>
      <c r="N1390">
        <v>30386452.719999999</v>
      </c>
      <c r="O1390">
        <v>30327605.129999999</v>
      </c>
      <c r="P1390">
        <v>31985739.710000001</v>
      </c>
      <c r="Q1390">
        <v>31923794.879999999</v>
      </c>
      <c r="R1390" s="14">
        <f>_xlfn.XLOOKUP(Table2[[#This Row],[LoanID]],Table1[G-L ID],Table1[ManagerCode],-99)</f>
        <v>103</v>
      </c>
      <c r="T1390"/>
    </row>
    <row r="1391" spans="1:20" x14ac:dyDescent="0.25">
      <c r="A1391">
        <v>20120930</v>
      </c>
      <c r="B1391">
        <v>2012</v>
      </c>
      <c r="C1391">
        <v>9</v>
      </c>
      <c r="D1391">
        <v>1</v>
      </c>
      <c r="E1391">
        <v>10280</v>
      </c>
      <c r="F1391">
        <v>181412</v>
      </c>
      <c r="G1391">
        <v>0</v>
      </c>
      <c r="H1391">
        <v>2500</v>
      </c>
      <c r="I1391">
        <v>0</v>
      </c>
      <c r="J1391">
        <v>0</v>
      </c>
      <c r="K1391">
        <v>0</v>
      </c>
      <c r="L1391">
        <v>33250033.25</v>
      </c>
      <c r="M1391">
        <v>33695829.710000001</v>
      </c>
      <c r="N1391">
        <v>33250033.25</v>
      </c>
      <c r="O1391">
        <v>33695829.710000001</v>
      </c>
      <c r="P1391">
        <v>35000000</v>
      </c>
      <c r="Q1391">
        <v>35000000</v>
      </c>
      <c r="R1391" s="14">
        <f>_xlfn.XLOOKUP(Table2[[#This Row],[LoanID]],Table1[G-L ID],Table1[ManagerCode],-99)</f>
        <v>103</v>
      </c>
      <c r="T1391"/>
    </row>
    <row r="1392" spans="1:20" x14ac:dyDescent="0.25">
      <c r="A1392">
        <v>20120930</v>
      </c>
      <c r="B1392">
        <v>2012</v>
      </c>
      <c r="C1392">
        <v>9</v>
      </c>
      <c r="D1392">
        <v>1</v>
      </c>
      <c r="E1392">
        <v>10290</v>
      </c>
      <c r="F1392">
        <v>171300.83</v>
      </c>
      <c r="G1392">
        <v>0</v>
      </c>
      <c r="H1392">
        <v>0</v>
      </c>
      <c r="I1392">
        <v>0</v>
      </c>
      <c r="J1392">
        <v>0</v>
      </c>
      <c r="K1392">
        <v>0</v>
      </c>
      <c r="L1392">
        <v>23705261.120000001</v>
      </c>
      <c r="M1392">
        <v>23750000</v>
      </c>
      <c r="N1392">
        <v>23705261.120000001</v>
      </c>
      <c r="O1392">
        <v>23750000</v>
      </c>
      <c r="P1392">
        <v>25000000</v>
      </c>
      <c r="Q1392">
        <v>25000000</v>
      </c>
      <c r="R1392" s="14">
        <f>_xlfn.XLOOKUP(Table2[[#This Row],[LoanID]],Table1[G-L ID],Table1[ManagerCode],-99)</f>
        <v>103</v>
      </c>
      <c r="T1392"/>
    </row>
    <row r="1393" spans="1:20" x14ac:dyDescent="0.25">
      <c r="A1393">
        <v>20120930</v>
      </c>
      <c r="B1393">
        <v>2012</v>
      </c>
      <c r="C1393">
        <v>9</v>
      </c>
      <c r="D1393">
        <v>1</v>
      </c>
      <c r="E1393">
        <v>10300</v>
      </c>
      <c r="F1393">
        <v>149887.93</v>
      </c>
      <c r="G1393">
        <v>0</v>
      </c>
      <c r="H1393">
        <v>0</v>
      </c>
      <c r="I1393">
        <v>0</v>
      </c>
      <c r="J1393">
        <v>0</v>
      </c>
      <c r="K1393">
        <v>0</v>
      </c>
      <c r="L1393">
        <v>35357342.219999999</v>
      </c>
      <c r="M1393">
        <v>36286893.460000001</v>
      </c>
      <c r="N1393">
        <v>35357342.219999999</v>
      </c>
      <c r="O1393">
        <v>36286893.460000001</v>
      </c>
      <c r="P1393">
        <v>35000000</v>
      </c>
      <c r="Q1393">
        <v>35000000</v>
      </c>
      <c r="R1393" s="14">
        <f>_xlfn.XLOOKUP(Table2[[#This Row],[LoanID]],Table1[G-L ID],Table1[ManagerCode],-99)</f>
        <v>103</v>
      </c>
      <c r="T1393"/>
    </row>
    <row r="1394" spans="1:20" x14ac:dyDescent="0.25">
      <c r="A1394">
        <v>20120930</v>
      </c>
      <c r="B1394">
        <v>2012</v>
      </c>
      <c r="C1394">
        <v>9</v>
      </c>
      <c r="D1394">
        <v>1</v>
      </c>
      <c r="E1394">
        <v>10310</v>
      </c>
      <c r="F1394">
        <v>99145.39</v>
      </c>
      <c r="G1394">
        <v>0</v>
      </c>
      <c r="H1394">
        <v>0</v>
      </c>
      <c r="I1394">
        <v>0</v>
      </c>
      <c r="J1394">
        <v>0</v>
      </c>
      <c r="K1394">
        <v>22290</v>
      </c>
      <c r="L1394">
        <v>14561001.619999999</v>
      </c>
      <c r="M1394">
        <v>14538711.619999999</v>
      </c>
      <c r="N1394">
        <v>14561001.619999999</v>
      </c>
      <c r="O1394">
        <v>14538711.619999999</v>
      </c>
      <c r="P1394">
        <v>14561001.619999999</v>
      </c>
      <c r="Q1394">
        <v>14538711.619999999</v>
      </c>
      <c r="R1394" s="14">
        <f>_xlfn.XLOOKUP(Table2[[#This Row],[LoanID]],Table1[G-L ID],Table1[ManagerCode],-99)</f>
        <v>183</v>
      </c>
      <c r="T1394"/>
    </row>
    <row r="1395" spans="1:20" x14ac:dyDescent="0.25">
      <c r="A1395">
        <v>20120930</v>
      </c>
      <c r="B1395">
        <v>2012</v>
      </c>
      <c r="C1395">
        <v>9</v>
      </c>
      <c r="D1395">
        <v>1</v>
      </c>
      <c r="E1395">
        <v>10370</v>
      </c>
      <c r="F1395">
        <v>4343.62</v>
      </c>
      <c r="G1395">
        <v>0</v>
      </c>
      <c r="H1395">
        <v>0</v>
      </c>
      <c r="I1395">
        <v>0</v>
      </c>
      <c r="J1395">
        <v>0</v>
      </c>
      <c r="K1395">
        <v>39307.339999999997</v>
      </c>
      <c r="L1395">
        <v>2488305.06</v>
      </c>
      <c r="M1395">
        <v>2450963.0699999998</v>
      </c>
      <c r="N1395">
        <v>2488305.06</v>
      </c>
      <c r="O1395">
        <v>2450963.0699999998</v>
      </c>
      <c r="P1395">
        <v>2619268.4700000002</v>
      </c>
      <c r="Q1395">
        <v>2579961.13</v>
      </c>
      <c r="R1395" s="14">
        <f>_xlfn.XLOOKUP(Table2[[#This Row],[LoanID]],Table1[G-L ID],Table1[ManagerCode],-99)</f>
        <v>103</v>
      </c>
      <c r="T1395"/>
    </row>
    <row r="1396" spans="1:20" x14ac:dyDescent="0.25">
      <c r="A1396">
        <v>20120930</v>
      </c>
      <c r="B1396">
        <v>2012</v>
      </c>
      <c r="C1396">
        <v>9</v>
      </c>
      <c r="D1396">
        <v>1</v>
      </c>
      <c r="E1396">
        <v>10390</v>
      </c>
      <c r="F1396">
        <v>118750</v>
      </c>
      <c r="G1396">
        <v>0</v>
      </c>
      <c r="H1396">
        <v>0</v>
      </c>
      <c r="I1396">
        <v>0</v>
      </c>
      <c r="J1396">
        <v>0</v>
      </c>
      <c r="K1396">
        <v>0</v>
      </c>
      <c r="L1396">
        <v>23750000</v>
      </c>
      <c r="M1396">
        <v>23750000</v>
      </c>
      <c r="N1396">
        <v>23750000</v>
      </c>
      <c r="O1396">
        <v>23750000</v>
      </c>
      <c r="P1396">
        <v>24995918.27</v>
      </c>
      <c r="Q1396">
        <v>24996122.350000001</v>
      </c>
      <c r="R1396" s="14">
        <f>_xlfn.XLOOKUP(Table2[[#This Row],[LoanID]],Table1[G-L ID],Table1[ManagerCode],-99)</f>
        <v>103</v>
      </c>
      <c r="T1396"/>
    </row>
    <row r="1397" spans="1:20" x14ac:dyDescent="0.25">
      <c r="A1397">
        <v>20120930</v>
      </c>
      <c r="B1397">
        <v>2012</v>
      </c>
      <c r="C1397">
        <v>9</v>
      </c>
      <c r="D1397">
        <v>1</v>
      </c>
      <c r="E1397">
        <v>10490</v>
      </c>
      <c r="F1397">
        <v>226041.67</v>
      </c>
      <c r="G1397">
        <v>0</v>
      </c>
      <c r="H1397">
        <v>0</v>
      </c>
      <c r="I1397">
        <v>0</v>
      </c>
      <c r="J1397">
        <v>0</v>
      </c>
      <c r="K1397">
        <v>0</v>
      </c>
      <c r="L1397">
        <v>25000000</v>
      </c>
      <c r="M1397">
        <v>25000000</v>
      </c>
      <c r="N1397">
        <v>25000000</v>
      </c>
      <c r="O1397">
        <v>25000000</v>
      </c>
      <c r="P1397">
        <v>25000000</v>
      </c>
      <c r="Q1397">
        <v>25000000</v>
      </c>
      <c r="R1397" s="14">
        <f>_xlfn.XLOOKUP(Table2[[#This Row],[LoanID]],Table1[G-L ID],Table1[ManagerCode],-99)</f>
        <v>220</v>
      </c>
      <c r="T1397"/>
    </row>
    <row r="1398" spans="1:20" x14ac:dyDescent="0.25">
      <c r="A1398">
        <v>20120930</v>
      </c>
      <c r="B1398">
        <v>2012</v>
      </c>
      <c r="C1398">
        <v>9</v>
      </c>
      <c r="D1398">
        <v>1</v>
      </c>
      <c r="E1398">
        <v>10550</v>
      </c>
      <c r="F1398">
        <v>18410.490000000002</v>
      </c>
      <c r="G1398">
        <v>0</v>
      </c>
      <c r="H1398">
        <v>0</v>
      </c>
      <c r="I1398">
        <v>-10.47</v>
      </c>
      <c r="J1398">
        <v>0</v>
      </c>
      <c r="K1398">
        <v>0</v>
      </c>
      <c r="L1398">
        <v>3439688.63</v>
      </c>
      <c r="M1398">
        <v>3474432.96</v>
      </c>
      <c r="N1398">
        <v>3439688.63</v>
      </c>
      <c r="O1398">
        <v>3474432.96</v>
      </c>
      <c r="P1398">
        <v>3474432.96</v>
      </c>
      <c r="Q1398">
        <v>3474432.96</v>
      </c>
      <c r="R1398" s="14">
        <f>_xlfn.XLOOKUP(Table2[[#This Row],[LoanID]],Table1[G-L ID],Table1[ManagerCode],-99)</f>
        <v>103</v>
      </c>
      <c r="T1398"/>
    </row>
    <row r="1399" spans="1:20" x14ac:dyDescent="0.25">
      <c r="A1399">
        <v>20120930</v>
      </c>
      <c r="B1399">
        <v>2012</v>
      </c>
      <c r="C1399">
        <v>9</v>
      </c>
      <c r="D1399">
        <v>1</v>
      </c>
      <c r="E1399">
        <v>10560</v>
      </c>
      <c r="F1399">
        <v>454125.41</v>
      </c>
      <c r="G1399">
        <v>0</v>
      </c>
      <c r="H1399">
        <v>0</v>
      </c>
      <c r="I1399">
        <v>-258.3</v>
      </c>
      <c r="J1399">
        <v>0</v>
      </c>
      <c r="K1399">
        <v>0</v>
      </c>
      <c r="L1399">
        <v>84845652.969999999</v>
      </c>
      <c r="M1399">
        <v>84845652.969999999</v>
      </c>
      <c r="N1399">
        <v>84845652.969999999</v>
      </c>
      <c r="O1399">
        <v>84845652.969999999</v>
      </c>
      <c r="P1399">
        <v>85702679.480000004</v>
      </c>
      <c r="Q1399">
        <v>85702679.480000004</v>
      </c>
      <c r="R1399" s="14">
        <f>_xlfn.XLOOKUP(Table2[[#This Row],[LoanID]],Table1[G-L ID],Table1[ManagerCode],-99)</f>
        <v>103</v>
      </c>
      <c r="T1399"/>
    </row>
    <row r="1400" spans="1:20" x14ac:dyDescent="0.25">
      <c r="A1400">
        <v>20120930</v>
      </c>
      <c r="B1400">
        <v>2012</v>
      </c>
      <c r="C1400">
        <v>9</v>
      </c>
      <c r="D1400">
        <v>1</v>
      </c>
      <c r="E1400">
        <v>10630</v>
      </c>
      <c r="F1400">
        <v>48376.99</v>
      </c>
      <c r="G1400">
        <v>0</v>
      </c>
      <c r="H1400">
        <v>0</v>
      </c>
      <c r="I1400">
        <v>0</v>
      </c>
      <c r="J1400">
        <v>0</v>
      </c>
      <c r="K1400">
        <v>14239.09</v>
      </c>
      <c r="L1400">
        <v>9397407.1999999993</v>
      </c>
      <c r="M1400">
        <v>9396162.4700000007</v>
      </c>
      <c r="N1400">
        <v>9397407.1999999993</v>
      </c>
      <c r="O1400">
        <v>9396162.4700000007</v>
      </c>
      <c r="P1400">
        <v>9056535.6500000004</v>
      </c>
      <c r="Q1400">
        <v>9042296.5600000005</v>
      </c>
      <c r="R1400" s="14">
        <f>_xlfn.XLOOKUP(Table2[[#This Row],[LoanID]],Table1[G-L ID],Table1[ManagerCode],-99)</f>
        <v>103</v>
      </c>
      <c r="T1400"/>
    </row>
    <row r="1401" spans="1:20" x14ac:dyDescent="0.25">
      <c r="A1401">
        <v>20120930</v>
      </c>
      <c r="B1401">
        <v>2012</v>
      </c>
      <c r="C1401">
        <v>9</v>
      </c>
      <c r="D1401">
        <v>1</v>
      </c>
      <c r="E1401">
        <v>10770</v>
      </c>
      <c r="F1401">
        <v>294112.5</v>
      </c>
      <c r="G1401">
        <v>0</v>
      </c>
      <c r="H1401">
        <v>0</v>
      </c>
      <c r="I1401">
        <v>0</v>
      </c>
      <c r="J1401">
        <v>0</v>
      </c>
      <c r="K1401">
        <v>0</v>
      </c>
      <c r="L1401">
        <v>109250000</v>
      </c>
      <c r="M1401">
        <v>109250000</v>
      </c>
      <c r="N1401">
        <v>109250000</v>
      </c>
      <c r="O1401">
        <v>109250000</v>
      </c>
      <c r="P1401">
        <v>115000000</v>
      </c>
      <c r="Q1401">
        <v>115000000</v>
      </c>
      <c r="R1401" s="14">
        <f>_xlfn.XLOOKUP(Table2[[#This Row],[LoanID]],Table1[G-L ID],Table1[ManagerCode],-99)</f>
        <v>103</v>
      </c>
      <c r="T1401"/>
    </row>
    <row r="1402" spans="1:20" x14ac:dyDescent="0.25">
      <c r="A1402">
        <v>20120930</v>
      </c>
      <c r="B1402">
        <v>2012</v>
      </c>
      <c r="C1402">
        <v>9</v>
      </c>
      <c r="D1402">
        <v>1</v>
      </c>
      <c r="E1402">
        <v>10880</v>
      </c>
      <c r="F1402">
        <v>303149.28000000003</v>
      </c>
      <c r="G1402">
        <v>0</v>
      </c>
      <c r="H1402">
        <v>0</v>
      </c>
      <c r="I1402">
        <v>0</v>
      </c>
      <c r="J1402">
        <v>0</v>
      </c>
      <c r="K1402">
        <v>0</v>
      </c>
      <c r="L1402">
        <v>199673154.90000001</v>
      </c>
      <c r="M1402">
        <v>199727153.09999999</v>
      </c>
      <c r="N1402">
        <v>199673154.90000001</v>
      </c>
      <c r="O1402">
        <v>199727153.09999999</v>
      </c>
      <c r="P1402">
        <v>201744599.09999999</v>
      </c>
      <c r="Q1402">
        <v>201744599.09999999</v>
      </c>
      <c r="R1402" s="14">
        <f>_xlfn.XLOOKUP(Table2[[#This Row],[LoanID]],Table1[G-L ID],Table1[ManagerCode],-99)</f>
        <v>103</v>
      </c>
      <c r="T1402"/>
    </row>
    <row r="1403" spans="1:20" x14ac:dyDescent="0.25">
      <c r="A1403">
        <v>20120930</v>
      </c>
      <c r="B1403">
        <v>2012</v>
      </c>
      <c r="C1403">
        <v>9</v>
      </c>
      <c r="D1403">
        <v>1</v>
      </c>
      <c r="E1403">
        <v>10900</v>
      </c>
      <c r="F1403">
        <v>81584.600000000006</v>
      </c>
      <c r="G1403">
        <v>0</v>
      </c>
      <c r="H1403">
        <v>0</v>
      </c>
      <c r="I1403">
        <v>0</v>
      </c>
      <c r="J1403">
        <v>0</v>
      </c>
      <c r="K1403">
        <v>2032.46</v>
      </c>
      <c r="L1403">
        <v>8182385.46</v>
      </c>
      <c r="M1403">
        <v>8180454.6100000003</v>
      </c>
      <c r="N1403">
        <v>8182385.46</v>
      </c>
      <c r="O1403">
        <v>8180454.6100000003</v>
      </c>
      <c r="P1403">
        <v>8613037.3200000003</v>
      </c>
      <c r="Q1403">
        <v>8611004.8599999994</v>
      </c>
      <c r="R1403" s="14">
        <f>_xlfn.XLOOKUP(Table2[[#This Row],[LoanID]],Table1[G-L ID],Table1[ManagerCode],-99)</f>
        <v>103</v>
      </c>
      <c r="T1403"/>
    </row>
    <row r="1404" spans="1:20" x14ac:dyDescent="0.25">
      <c r="A1404">
        <v>20120930</v>
      </c>
      <c r="B1404">
        <v>2012</v>
      </c>
      <c r="C1404">
        <v>9</v>
      </c>
      <c r="D1404">
        <v>1</v>
      </c>
      <c r="E1404">
        <v>10950</v>
      </c>
      <c r="F1404">
        <v>52377.42</v>
      </c>
      <c r="G1404">
        <v>0</v>
      </c>
      <c r="H1404">
        <v>0</v>
      </c>
      <c r="I1404">
        <v>0</v>
      </c>
      <c r="J1404">
        <v>0</v>
      </c>
      <c r="K1404">
        <v>24645.599999999999</v>
      </c>
      <c r="L1404">
        <v>10440331.01</v>
      </c>
      <c r="M1404">
        <v>10415931.869999999</v>
      </c>
      <c r="N1404">
        <v>10440331.01</v>
      </c>
      <c r="O1404">
        <v>10415931.869999999</v>
      </c>
      <c r="P1404">
        <v>10545788.9</v>
      </c>
      <c r="Q1404">
        <v>10521143.300000001</v>
      </c>
      <c r="R1404" s="14">
        <f>_xlfn.XLOOKUP(Table2[[#This Row],[LoanID]],Table1[G-L ID],Table1[ManagerCode],-99)</f>
        <v>103</v>
      </c>
      <c r="T1404"/>
    </row>
    <row r="1405" spans="1:20" x14ac:dyDescent="0.25">
      <c r="A1405">
        <v>20120930</v>
      </c>
      <c r="B1405">
        <v>2012</v>
      </c>
      <c r="C1405">
        <v>9</v>
      </c>
      <c r="D1405">
        <v>1</v>
      </c>
      <c r="E1405">
        <v>10980</v>
      </c>
      <c r="F1405">
        <v>96432.47</v>
      </c>
      <c r="G1405">
        <v>18302.5</v>
      </c>
      <c r="H1405">
        <v>0</v>
      </c>
      <c r="I1405">
        <v>0</v>
      </c>
      <c r="J1405">
        <v>-1786725.26</v>
      </c>
      <c r="K1405">
        <v>0</v>
      </c>
      <c r="L1405">
        <v>11410392.449999999</v>
      </c>
      <c r="M1405">
        <v>13215420.210000001</v>
      </c>
      <c r="N1405">
        <v>11410392.449999999</v>
      </c>
      <c r="O1405">
        <v>13215420.210000001</v>
      </c>
      <c r="P1405">
        <v>11410392.449999999</v>
      </c>
      <c r="Q1405">
        <v>13215420.210000001</v>
      </c>
      <c r="R1405" s="14">
        <f>_xlfn.XLOOKUP(Table2[[#This Row],[LoanID]],Table1[G-L ID],Table1[ManagerCode],-99)</f>
        <v>183</v>
      </c>
      <c r="T1405"/>
    </row>
    <row r="1406" spans="1:20" x14ac:dyDescent="0.25">
      <c r="A1406">
        <v>20120930</v>
      </c>
      <c r="B1406">
        <v>2012</v>
      </c>
      <c r="C1406">
        <v>9</v>
      </c>
      <c r="D1406">
        <v>1</v>
      </c>
      <c r="E1406">
        <v>11110</v>
      </c>
      <c r="F1406">
        <v>96129.98</v>
      </c>
      <c r="G1406">
        <v>0</v>
      </c>
      <c r="H1406">
        <v>0</v>
      </c>
      <c r="I1406">
        <v>0</v>
      </c>
      <c r="J1406">
        <v>-307471.96000000002</v>
      </c>
      <c r="K1406">
        <v>0</v>
      </c>
      <c r="L1406">
        <v>13056961.359999999</v>
      </c>
      <c r="M1406">
        <v>13364433.32</v>
      </c>
      <c r="N1406">
        <v>13056961.359999999</v>
      </c>
      <c r="O1406">
        <v>13364433.32</v>
      </c>
      <c r="P1406">
        <v>13056961.359999999</v>
      </c>
      <c r="Q1406">
        <v>13364433.32</v>
      </c>
      <c r="R1406" s="14">
        <f>_xlfn.XLOOKUP(Table2[[#This Row],[LoanID]],Table1[G-L ID],Table1[ManagerCode],-99)</f>
        <v>183</v>
      </c>
      <c r="T1406"/>
    </row>
    <row r="1407" spans="1:20" x14ac:dyDescent="0.25">
      <c r="A1407">
        <v>20120930</v>
      </c>
      <c r="B1407">
        <v>2012</v>
      </c>
      <c r="C1407">
        <v>9</v>
      </c>
      <c r="D1407">
        <v>1</v>
      </c>
      <c r="E1407">
        <v>11140</v>
      </c>
      <c r="F1407">
        <v>558363.03</v>
      </c>
      <c r="G1407">
        <v>0</v>
      </c>
      <c r="H1407">
        <v>0</v>
      </c>
      <c r="I1407">
        <v>0</v>
      </c>
      <c r="J1407">
        <v>0</v>
      </c>
      <c r="K1407">
        <v>0</v>
      </c>
      <c r="L1407">
        <v>70990297.969999999</v>
      </c>
      <c r="M1407">
        <v>71489019.230000004</v>
      </c>
      <c r="N1407">
        <v>70990297.969999999</v>
      </c>
      <c r="O1407">
        <v>71489019.230000004</v>
      </c>
      <c r="P1407">
        <v>72436285</v>
      </c>
      <c r="Q1407">
        <v>72436285</v>
      </c>
      <c r="R1407" s="14">
        <f>_xlfn.XLOOKUP(Table2[[#This Row],[LoanID]],Table1[G-L ID],Table1[ManagerCode],-99)</f>
        <v>103</v>
      </c>
      <c r="T1407"/>
    </row>
    <row r="1408" spans="1:20" x14ac:dyDescent="0.25">
      <c r="A1408">
        <v>20120930</v>
      </c>
      <c r="B1408">
        <v>2012</v>
      </c>
      <c r="C1408">
        <v>9</v>
      </c>
      <c r="D1408">
        <v>1</v>
      </c>
      <c r="E1408">
        <v>11190</v>
      </c>
      <c r="F1408">
        <v>1343654.01</v>
      </c>
      <c r="G1408">
        <v>0</v>
      </c>
      <c r="H1408">
        <v>0</v>
      </c>
      <c r="I1408">
        <v>-1721.97</v>
      </c>
      <c r="J1408">
        <v>0</v>
      </c>
      <c r="K1408">
        <v>0</v>
      </c>
      <c r="L1408">
        <v>189972289.90000001</v>
      </c>
      <c r="M1408">
        <v>189972289.90000001</v>
      </c>
      <c r="N1408">
        <v>189972289.90000001</v>
      </c>
      <c r="O1408">
        <v>189972289.90000001</v>
      </c>
      <c r="P1408">
        <v>199970831.5</v>
      </c>
      <c r="Q1408">
        <v>199970831.5</v>
      </c>
      <c r="R1408" s="14">
        <f>_xlfn.XLOOKUP(Table2[[#This Row],[LoanID]],Table1[G-L ID],Table1[ManagerCode],-99)</f>
        <v>103</v>
      </c>
      <c r="T1408"/>
    </row>
    <row r="1409" spans="1:20" x14ac:dyDescent="0.25">
      <c r="A1409">
        <v>20120930</v>
      </c>
      <c r="B1409">
        <v>2012</v>
      </c>
      <c r="C1409">
        <v>9</v>
      </c>
      <c r="D1409">
        <v>1</v>
      </c>
      <c r="E1409">
        <v>11200</v>
      </c>
      <c r="F1409">
        <v>69880</v>
      </c>
      <c r="G1409">
        <v>0</v>
      </c>
      <c r="H1409">
        <v>0</v>
      </c>
      <c r="I1409">
        <v>0</v>
      </c>
      <c r="J1409">
        <v>0</v>
      </c>
      <c r="K1409">
        <v>0</v>
      </c>
      <c r="L1409">
        <v>12578374.859999999</v>
      </c>
      <c r="M1409">
        <v>12578374.859999999</v>
      </c>
      <c r="N1409">
        <v>12578374.859999999</v>
      </c>
      <c r="O1409">
        <v>12578374.859999999</v>
      </c>
      <c r="P1409">
        <v>13976000</v>
      </c>
      <c r="Q1409">
        <v>13976000</v>
      </c>
      <c r="R1409" s="14">
        <f>_xlfn.XLOOKUP(Table2[[#This Row],[LoanID]],Table1[G-L ID],Table1[ManagerCode],-99)</f>
        <v>103</v>
      </c>
      <c r="T1409"/>
    </row>
    <row r="1410" spans="1:20" x14ac:dyDescent="0.25">
      <c r="A1410">
        <v>20120930</v>
      </c>
      <c r="B1410">
        <v>2012</v>
      </c>
      <c r="C1410">
        <v>9</v>
      </c>
      <c r="D1410">
        <v>1</v>
      </c>
      <c r="E1410">
        <v>11220</v>
      </c>
      <c r="F1410">
        <v>311937.5</v>
      </c>
      <c r="G1410">
        <v>0</v>
      </c>
      <c r="H1410">
        <v>0</v>
      </c>
      <c r="I1410">
        <v>0</v>
      </c>
      <c r="J1410">
        <v>0</v>
      </c>
      <c r="K1410">
        <v>0</v>
      </c>
      <c r="L1410">
        <v>34500000</v>
      </c>
      <c r="M1410">
        <v>34500000</v>
      </c>
      <c r="N1410">
        <v>34500000</v>
      </c>
      <c r="O1410">
        <v>34500000</v>
      </c>
      <c r="P1410">
        <v>34500000</v>
      </c>
      <c r="Q1410">
        <v>34500000</v>
      </c>
      <c r="R1410" s="14">
        <f>_xlfn.XLOOKUP(Table2[[#This Row],[LoanID]],Table1[G-L ID],Table1[ManagerCode],-99)</f>
        <v>220</v>
      </c>
      <c r="T1410"/>
    </row>
    <row r="1411" spans="1:20" x14ac:dyDescent="0.25">
      <c r="A1411">
        <v>20120930</v>
      </c>
      <c r="B1411">
        <v>2012</v>
      </c>
      <c r="C1411">
        <v>9</v>
      </c>
      <c r="D1411">
        <v>1</v>
      </c>
      <c r="E1411">
        <v>11230</v>
      </c>
      <c r="F1411">
        <v>253462.66</v>
      </c>
      <c r="G1411">
        <v>0</v>
      </c>
      <c r="H1411">
        <v>0</v>
      </c>
      <c r="I1411">
        <v>0</v>
      </c>
      <c r="J1411">
        <v>-194929626.59999999</v>
      </c>
      <c r="K1411">
        <v>0</v>
      </c>
      <c r="L1411">
        <v>0</v>
      </c>
      <c r="M1411">
        <v>175436664</v>
      </c>
      <c r="N1411">
        <v>0</v>
      </c>
      <c r="O1411">
        <v>175436664</v>
      </c>
      <c r="P1411">
        <v>0</v>
      </c>
      <c r="Q1411">
        <v>194929626.59999999</v>
      </c>
      <c r="R1411" s="14">
        <f>_xlfn.XLOOKUP(Table2[[#This Row],[LoanID]],Table1[G-L ID],Table1[ManagerCode],-99)</f>
        <v>103</v>
      </c>
      <c r="T1411"/>
    </row>
    <row r="1412" spans="1:20" x14ac:dyDescent="0.25">
      <c r="A1412">
        <v>20120930</v>
      </c>
      <c r="B1412">
        <v>2012</v>
      </c>
      <c r="C1412">
        <v>9</v>
      </c>
      <c r="D1412">
        <v>1</v>
      </c>
      <c r="E1412">
        <v>11240</v>
      </c>
      <c r="F1412">
        <v>999328.38</v>
      </c>
      <c r="G1412">
        <v>0</v>
      </c>
      <c r="H1412">
        <v>0</v>
      </c>
      <c r="I1412">
        <v>0</v>
      </c>
      <c r="J1412">
        <v>0</v>
      </c>
      <c r="K1412">
        <v>194929626.59999999</v>
      </c>
      <c r="L1412">
        <v>194929626.59999999</v>
      </c>
      <c r="M1412">
        <v>0</v>
      </c>
      <c r="N1412">
        <v>194929626.59999999</v>
      </c>
      <c r="O1412">
        <v>0</v>
      </c>
      <c r="P1412">
        <v>194929626.59999999</v>
      </c>
      <c r="Q1412">
        <v>0</v>
      </c>
      <c r="R1412" s="14">
        <f>_xlfn.XLOOKUP(Table2[[#This Row],[LoanID]],Table1[G-L ID],Table1[ManagerCode],-99)</f>
        <v>103</v>
      </c>
      <c r="T1412"/>
    </row>
    <row r="1413" spans="1:20" x14ac:dyDescent="0.25">
      <c r="A1413">
        <v>20120930</v>
      </c>
      <c r="B1413">
        <v>2012</v>
      </c>
      <c r="C1413">
        <v>9</v>
      </c>
      <c r="D1413">
        <v>1</v>
      </c>
      <c r="E1413">
        <v>11280</v>
      </c>
      <c r="F1413">
        <v>24110.05</v>
      </c>
      <c r="G1413">
        <v>0</v>
      </c>
      <c r="H1413">
        <v>0</v>
      </c>
      <c r="I1413">
        <v>-156.59</v>
      </c>
      <c r="J1413">
        <v>0</v>
      </c>
      <c r="K1413">
        <v>0</v>
      </c>
      <c r="L1413">
        <v>18459673.699999999</v>
      </c>
      <c r="M1413">
        <v>18526753.09</v>
      </c>
      <c r="N1413">
        <v>18459673.699999999</v>
      </c>
      <c r="O1413">
        <v>18526753.09</v>
      </c>
      <c r="P1413">
        <v>18791123.030000001</v>
      </c>
      <c r="Q1413">
        <v>18791123.030000001</v>
      </c>
      <c r="R1413" s="14">
        <f>_xlfn.XLOOKUP(Table2[[#This Row],[LoanID]],Table1[G-L ID],Table1[ManagerCode],-99)</f>
        <v>103</v>
      </c>
      <c r="T1413"/>
    </row>
    <row r="1414" spans="1:20" x14ac:dyDescent="0.25">
      <c r="A1414">
        <v>20120930</v>
      </c>
      <c r="B1414">
        <v>2012</v>
      </c>
      <c r="C1414">
        <v>9</v>
      </c>
      <c r="D1414">
        <v>1</v>
      </c>
      <c r="E1414">
        <v>11300</v>
      </c>
      <c r="F1414">
        <v>21699.05</v>
      </c>
      <c r="G1414">
        <v>0</v>
      </c>
      <c r="H1414">
        <v>0</v>
      </c>
      <c r="I1414">
        <v>-140.93</v>
      </c>
      <c r="J1414">
        <v>0</v>
      </c>
      <c r="K1414">
        <v>0</v>
      </c>
      <c r="L1414">
        <v>16613706.33</v>
      </c>
      <c r="M1414">
        <v>16674077.84</v>
      </c>
      <c r="N1414">
        <v>16613706.33</v>
      </c>
      <c r="O1414">
        <v>16674077.84</v>
      </c>
      <c r="P1414">
        <v>16912010.73</v>
      </c>
      <c r="Q1414">
        <v>16912010.73</v>
      </c>
      <c r="R1414" s="14">
        <f>_xlfn.XLOOKUP(Table2[[#This Row],[LoanID]],Table1[G-L ID],Table1[ManagerCode],-99)</f>
        <v>103</v>
      </c>
      <c r="T1414"/>
    </row>
    <row r="1415" spans="1:20" x14ac:dyDescent="0.25">
      <c r="A1415">
        <v>20120930</v>
      </c>
      <c r="B1415">
        <v>2012</v>
      </c>
      <c r="C1415">
        <v>9</v>
      </c>
      <c r="D1415">
        <v>1</v>
      </c>
      <c r="E1415">
        <v>11310</v>
      </c>
      <c r="F1415">
        <v>14466.03</v>
      </c>
      <c r="G1415">
        <v>0</v>
      </c>
      <c r="H1415">
        <v>0</v>
      </c>
      <c r="I1415">
        <v>-93.96</v>
      </c>
      <c r="J1415">
        <v>0</v>
      </c>
      <c r="K1415">
        <v>0</v>
      </c>
      <c r="L1415">
        <v>11079936.880000001</v>
      </c>
      <c r="M1415">
        <v>11119688.050000001</v>
      </c>
      <c r="N1415">
        <v>11079936.880000001</v>
      </c>
      <c r="O1415">
        <v>11119688.050000001</v>
      </c>
      <c r="P1415">
        <v>11274673.789999999</v>
      </c>
      <c r="Q1415">
        <v>11274673.789999999</v>
      </c>
      <c r="R1415" s="14">
        <f>_xlfn.XLOOKUP(Table2[[#This Row],[LoanID]],Table1[G-L ID],Table1[ManagerCode],-99)</f>
        <v>103</v>
      </c>
      <c r="T1415"/>
    </row>
    <row r="1416" spans="1:20" x14ac:dyDescent="0.25">
      <c r="A1416">
        <v>20120930</v>
      </c>
      <c r="B1416">
        <v>2012</v>
      </c>
      <c r="C1416">
        <v>9</v>
      </c>
      <c r="D1416">
        <v>1</v>
      </c>
      <c r="E1416">
        <v>11380</v>
      </c>
      <c r="F1416">
        <v>31196.95</v>
      </c>
      <c r="G1416">
        <v>0</v>
      </c>
      <c r="H1416">
        <v>0</v>
      </c>
      <c r="I1416">
        <v>0.01</v>
      </c>
      <c r="J1416">
        <v>0</v>
      </c>
      <c r="K1416">
        <v>59503.05</v>
      </c>
      <c r="L1416">
        <v>5327300.07</v>
      </c>
      <c r="M1416">
        <v>5288363.6500000004</v>
      </c>
      <c r="N1416">
        <v>5327300.07</v>
      </c>
      <c r="O1416">
        <v>5288363.6500000004</v>
      </c>
      <c r="P1416">
        <v>4720850.05</v>
      </c>
      <c r="Q1416">
        <v>4661347</v>
      </c>
      <c r="R1416" s="14">
        <f>_xlfn.XLOOKUP(Table2[[#This Row],[LoanID]],Table1[G-L ID],Table1[ManagerCode],-99)</f>
        <v>103</v>
      </c>
      <c r="T1416"/>
    </row>
    <row r="1417" spans="1:20" x14ac:dyDescent="0.25">
      <c r="A1417">
        <v>20120930</v>
      </c>
      <c r="B1417">
        <v>2012</v>
      </c>
      <c r="C1417">
        <v>9</v>
      </c>
      <c r="D1417">
        <v>1</v>
      </c>
      <c r="E1417">
        <v>11620</v>
      </c>
      <c r="F1417">
        <v>33359.26</v>
      </c>
      <c r="G1417">
        <v>12669.44</v>
      </c>
      <c r="H1417">
        <v>0</v>
      </c>
      <c r="I1417">
        <v>0</v>
      </c>
      <c r="J1417">
        <v>0</v>
      </c>
      <c r="K1417">
        <v>0</v>
      </c>
      <c r="L1417">
        <v>4018766.24</v>
      </c>
      <c r="M1417">
        <v>4031435.68</v>
      </c>
      <c r="N1417">
        <v>4018766.24</v>
      </c>
      <c r="O1417">
        <v>4031435.68</v>
      </c>
      <c r="P1417">
        <v>4018766.24</v>
      </c>
      <c r="Q1417">
        <v>4031435.68</v>
      </c>
      <c r="R1417" s="14">
        <f>_xlfn.XLOOKUP(Table2[[#This Row],[LoanID]],Table1[G-L ID],Table1[ManagerCode],-99)</f>
        <v>183</v>
      </c>
      <c r="T1417"/>
    </row>
    <row r="1418" spans="1:20" x14ac:dyDescent="0.25">
      <c r="A1418">
        <v>20120930</v>
      </c>
      <c r="B1418">
        <v>2012</v>
      </c>
      <c r="C1418">
        <v>9</v>
      </c>
      <c r="D1418">
        <v>1</v>
      </c>
      <c r="E1418">
        <v>11630</v>
      </c>
      <c r="F1418">
        <v>147447.73000000001</v>
      </c>
      <c r="G1418">
        <v>-159813.98000000001</v>
      </c>
      <c r="H1418">
        <v>0</v>
      </c>
      <c r="I1418">
        <v>0</v>
      </c>
      <c r="J1418">
        <v>-815320.75</v>
      </c>
      <c r="K1418">
        <v>0</v>
      </c>
      <c r="L1418">
        <v>24220694.800000001</v>
      </c>
      <c r="M1418">
        <v>24876201.57</v>
      </c>
      <c r="N1418">
        <v>24220694.800000001</v>
      </c>
      <c r="O1418">
        <v>24876201.57</v>
      </c>
      <c r="P1418">
        <v>24220694.800000001</v>
      </c>
      <c r="Q1418">
        <v>24876201.57</v>
      </c>
      <c r="R1418" s="14">
        <f>_xlfn.XLOOKUP(Table2[[#This Row],[LoanID]],Table1[G-L ID],Table1[ManagerCode],-99)</f>
        <v>183</v>
      </c>
      <c r="T1418"/>
    </row>
    <row r="1419" spans="1:20" x14ac:dyDescent="0.25">
      <c r="A1419">
        <v>20120930</v>
      </c>
      <c r="B1419">
        <v>2012</v>
      </c>
      <c r="C1419">
        <v>9</v>
      </c>
      <c r="D1419">
        <v>1</v>
      </c>
      <c r="E1419">
        <v>11650</v>
      </c>
      <c r="F1419">
        <v>75000</v>
      </c>
      <c r="G1419">
        <v>0</v>
      </c>
      <c r="H1419">
        <v>0</v>
      </c>
      <c r="I1419">
        <v>0</v>
      </c>
      <c r="J1419">
        <v>0</v>
      </c>
      <c r="K1419">
        <v>0</v>
      </c>
      <c r="L1419">
        <v>9600000</v>
      </c>
      <c r="M1419">
        <v>9600000</v>
      </c>
      <c r="N1419">
        <v>9600000</v>
      </c>
      <c r="O1419">
        <v>9600000</v>
      </c>
      <c r="P1419">
        <v>12000000</v>
      </c>
      <c r="Q1419">
        <v>12000000</v>
      </c>
      <c r="R1419" s="14">
        <f>_xlfn.XLOOKUP(Table2[[#This Row],[LoanID]],Table1[G-L ID],Table1[ManagerCode],-99)</f>
        <v>103</v>
      </c>
      <c r="T1419"/>
    </row>
    <row r="1420" spans="1:20" x14ac:dyDescent="0.25">
      <c r="A1420">
        <v>20120930</v>
      </c>
      <c r="B1420">
        <v>2012</v>
      </c>
      <c r="C1420">
        <v>9</v>
      </c>
      <c r="D1420">
        <v>1</v>
      </c>
      <c r="E1420">
        <v>11780</v>
      </c>
      <c r="F1420">
        <v>181323.24</v>
      </c>
      <c r="G1420">
        <v>0</v>
      </c>
      <c r="H1420">
        <v>0</v>
      </c>
      <c r="I1420">
        <v>-1115.8399999999999</v>
      </c>
      <c r="J1420">
        <v>0</v>
      </c>
      <c r="K1420">
        <v>3991.49</v>
      </c>
      <c r="L1420">
        <v>27603780</v>
      </c>
      <c r="M1420">
        <v>27599788.510000002</v>
      </c>
      <c r="N1420">
        <v>27603780</v>
      </c>
      <c r="O1420">
        <v>27599788.510000002</v>
      </c>
      <c r="P1420">
        <v>64790438.109999999</v>
      </c>
      <c r="Q1420">
        <v>64786446.619999997</v>
      </c>
      <c r="R1420" s="14">
        <f>_xlfn.XLOOKUP(Table2[[#This Row],[LoanID]],Table1[G-L ID],Table1[ManagerCode],-99)</f>
        <v>103</v>
      </c>
      <c r="T1420"/>
    </row>
    <row r="1421" spans="1:20" x14ac:dyDescent="0.25">
      <c r="A1421">
        <v>20120930</v>
      </c>
      <c r="B1421">
        <v>2012</v>
      </c>
      <c r="C1421">
        <v>9</v>
      </c>
      <c r="D1421">
        <v>1</v>
      </c>
      <c r="E1421">
        <v>11800</v>
      </c>
      <c r="F1421">
        <v>162290.13</v>
      </c>
      <c r="G1421">
        <v>0</v>
      </c>
      <c r="H1421">
        <v>0</v>
      </c>
      <c r="I1421">
        <v>-273.08</v>
      </c>
      <c r="J1421">
        <v>0</v>
      </c>
      <c r="K1421">
        <v>57498.91</v>
      </c>
      <c r="L1421">
        <v>30126677.129999999</v>
      </c>
      <c r="M1421">
        <v>30072053.100000001</v>
      </c>
      <c r="N1421">
        <v>30126677.129999999</v>
      </c>
      <c r="O1421">
        <v>30072053.100000001</v>
      </c>
      <c r="P1421">
        <v>31712260</v>
      </c>
      <c r="Q1421">
        <v>31654761.09</v>
      </c>
      <c r="R1421" s="14">
        <f>_xlfn.XLOOKUP(Table2[[#This Row],[LoanID]],Table1[G-L ID],Table1[ManagerCode],-99)</f>
        <v>103</v>
      </c>
      <c r="T1421"/>
    </row>
    <row r="1422" spans="1:20" x14ac:dyDescent="0.25">
      <c r="A1422">
        <v>20120930</v>
      </c>
      <c r="B1422">
        <v>2012</v>
      </c>
      <c r="C1422">
        <v>9</v>
      </c>
      <c r="D1422">
        <v>1</v>
      </c>
      <c r="E1422">
        <v>11810</v>
      </c>
      <c r="F1422">
        <v>51017.14</v>
      </c>
      <c r="G1422">
        <v>0</v>
      </c>
      <c r="H1422">
        <v>0</v>
      </c>
      <c r="I1422">
        <v>0</v>
      </c>
      <c r="J1422">
        <v>0</v>
      </c>
      <c r="K1422">
        <v>9840.9500000000007</v>
      </c>
      <c r="L1422">
        <v>9871068.9600000009</v>
      </c>
      <c r="M1422">
        <v>9861326.4199999999</v>
      </c>
      <c r="N1422">
        <v>9871068.9600000009</v>
      </c>
      <c r="O1422">
        <v>9861326.4199999999</v>
      </c>
      <c r="P1422">
        <v>9970776.7200000007</v>
      </c>
      <c r="Q1422">
        <v>9960935.7699999996</v>
      </c>
      <c r="R1422" s="14">
        <f>_xlfn.XLOOKUP(Table2[[#This Row],[LoanID]],Table1[G-L ID],Table1[ManagerCode],-99)</f>
        <v>103</v>
      </c>
      <c r="T1422"/>
    </row>
    <row r="1423" spans="1:20" x14ac:dyDescent="0.25">
      <c r="A1423">
        <v>20120930</v>
      </c>
      <c r="B1423">
        <v>2012</v>
      </c>
      <c r="C1423">
        <v>9</v>
      </c>
      <c r="D1423">
        <v>1</v>
      </c>
      <c r="E1423">
        <v>11970</v>
      </c>
      <c r="F1423">
        <v>47135.02</v>
      </c>
      <c r="G1423">
        <v>28604.78</v>
      </c>
      <c r="H1423">
        <v>0</v>
      </c>
      <c r="I1423">
        <v>0</v>
      </c>
      <c r="J1423">
        <v>-1157668.6299999999</v>
      </c>
      <c r="K1423">
        <v>0</v>
      </c>
      <c r="L1423">
        <v>4888047.5999999996</v>
      </c>
      <c r="M1423">
        <v>6074321.0099999998</v>
      </c>
      <c r="N1423">
        <v>4888047.5999999996</v>
      </c>
      <c r="O1423">
        <v>6074321.0099999998</v>
      </c>
      <c r="P1423">
        <v>4888047.5999999996</v>
      </c>
      <c r="Q1423">
        <v>6074321.0099999998</v>
      </c>
      <c r="R1423" s="14">
        <f>_xlfn.XLOOKUP(Table2[[#This Row],[LoanID]],Table1[G-L ID],Table1[ManagerCode],-99)</f>
        <v>183</v>
      </c>
      <c r="T1423"/>
    </row>
    <row r="1424" spans="1:20" x14ac:dyDescent="0.25">
      <c r="A1424">
        <v>20120930</v>
      </c>
      <c r="B1424">
        <v>2012</v>
      </c>
      <c r="C1424">
        <v>9</v>
      </c>
      <c r="D1424">
        <v>1</v>
      </c>
      <c r="E1424">
        <v>12020</v>
      </c>
      <c r="F1424">
        <v>59430.94</v>
      </c>
      <c r="G1424">
        <v>60060.84</v>
      </c>
      <c r="H1424">
        <v>0</v>
      </c>
      <c r="I1424">
        <v>0</v>
      </c>
      <c r="J1424">
        <v>-59430.93</v>
      </c>
      <c r="K1424">
        <v>0</v>
      </c>
      <c r="L1424">
        <v>9244480.2699999996</v>
      </c>
      <c r="M1424">
        <v>9363972.0399999991</v>
      </c>
      <c r="N1424">
        <v>9244480.2699999996</v>
      </c>
      <c r="O1424">
        <v>9363972.0399999991</v>
      </c>
      <c r="P1424">
        <v>9244480.2699999996</v>
      </c>
      <c r="Q1424">
        <v>9363972.0399999991</v>
      </c>
      <c r="R1424" s="14">
        <f>_xlfn.XLOOKUP(Table2[[#This Row],[LoanID]],Table1[G-L ID],Table1[ManagerCode],-99)</f>
        <v>183</v>
      </c>
      <c r="T1424"/>
    </row>
    <row r="1425" spans="1:20" x14ac:dyDescent="0.25">
      <c r="A1425">
        <v>20120930</v>
      </c>
      <c r="B1425">
        <v>2012</v>
      </c>
      <c r="C1425">
        <v>9</v>
      </c>
      <c r="D1425">
        <v>1</v>
      </c>
      <c r="E1425">
        <v>12090</v>
      </c>
      <c r="F1425">
        <v>164859.72</v>
      </c>
      <c r="G1425">
        <v>0</v>
      </c>
      <c r="H1425">
        <v>0</v>
      </c>
      <c r="I1425">
        <v>0</v>
      </c>
      <c r="J1425">
        <v>0</v>
      </c>
      <c r="K1425">
        <v>0</v>
      </c>
      <c r="L1425">
        <v>17500000</v>
      </c>
      <c r="M1425">
        <v>17500000</v>
      </c>
      <c r="N1425">
        <v>17500000</v>
      </c>
      <c r="O1425">
        <v>17500000</v>
      </c>
      <c r="P1425">
        <v>17500000</v>
      </c>
      <c r="Q1425">
        <v>17500000</v>
      </c>
      <c r="R1425" s="14">
        <f>_xlfn.XLOOKUP(Table2[[#This Row],[LoanID]],Table1[G-L ID],Table1[ManagerCode],-99)</f>
        <v>220</v>
      </c>
      <c r="T1425"/>
    </row>
    <row r="1426" spans="1:20" x14ac:dyDescent="0.25">
      <c r="A1426">
        <v>20120930</v>
      </c>
      <c r="B1426">
        <v>2012</v>
      </c>
      <c r="C1426">
        <v>9</v>
      </c>
      <c r="D1426">
        <v>1</v>
      </c>
      <c r="E1426">
        <v>12100</v>
      </c>
      <c r="F1426">
        <v>0</v>
      </c>
      <c r="G1426">
        <v>713.85</v>
      </c>
      <c r="H1426">
        <v>102000</v>
      </c>
      <c r="I1426">
        <v>0</v>
      </c>
      <c r="J1426">
        <v>-604674.74</v>
      </c>
      <c r="K1426">
        <v>0</v>
      </c>
      <c r="L1426">
        <v>0</v>
      </c>
      <c r="M1426">
        <v>605388.59</v>
      </c>
      <c r="N1426">
        <v>0</v>
      </c>
      <c r="O1426">
        <v>605388.59</v>
      </c>
      <c r="P1426">
        <v>0</v>
      </c>
      <c r="Q1426">
        <v>605388.59</v>
      </c>
      <c r="R1426" s="14">
        <f>_xlfn.XLOOKUP(Table2[[#This Row],[LoanID]],Table1[G-L ID],Table1[ManagerCode],-99)</f>
        <v>183</v>
      </c>
      <c r="T1426"/>
    </row>
    <row r="1427" spans="1:20" x14ac:dyDescent="0.25">
      <c r="A1427">
        <v>20120930</v>
      </c>
      <c r="B1427">
        <v>2012</v>
      </c>
      <c r="C1427">
        <v>9</v>
      </c>
      <c r="D1427">
        <v>1</v>
      </c>
      <c r="E1427">
        <v>12130</v>
      </c>
      <c r="F1427">
        <v>7267.32</v>
      </c>
      <c r="G1427">
        <v>0</v>
      </c>
      <c r="H1427">
        <v>0</v>
      </c>
      <c r="I1427">
        <v>0</v>
      </c>
      <c r="J1427">
        <v>-2268153.6800000002</v>
      </c>
      <c r="K1427">
        <v>0</v>
      </c>
      <c r="L1427">
        <v>582398.52</v>
      </c>
      <c r="M1427">
        <v>2850552.2</v>
      </c>
      <c r="N1427">
        <v>582398.52</v>
      </c>
      <c r="O1427">
        <v>2850552.2</v>
      </c>
      <c r="P1427">
        <v>582398.52</v>
      </c>
      <c r="Q1427">
        <v>2850552.2</v>
      </c>
      <c r="R1427" s="14">
        <f>_xlfn.XLOOKUP(Table2[[#This Row],[LoanID]],Table1[G-L ID],Table1[ManagerCode],-99)</f>
        <v>183</v>
      </c>
      <c r="T1427"/>
    </row>
    <row r="1428" spans="1:20" x14ac:dyDescent="0.25">
      <c r="A1428">
        <v>20120930</v>
      </c>
      <c r="B1428">
        <v>2012</v>
      </c>
      <c r="C1428">
        <v>9</v>
      </c>
      <c r="D1428">
        <v>1</v>
      </c>
      <c r="E1428">
        <v>12210</v>
      </c>
      <c r="F1428">
        <v>711519.79</v>
      </c>
      <c r="G1428">
        <v>0</v>
      </c>
      <c r="H1428">
        <v>0</v>
      </c>
      <c r="I1428">
        <v>0</v>
      </c>
      <c r="J1428">
        <v>0</v>
      </c>
      <c r="K1428">
        <v>190728.09</v>
      </c>
      <c r="L1428">
        <v>137027945.80000001</v>
      </c>
      <c r="M1428">
        <v>138051394.69999999</v>
      </c>
      <c r="N1428">
        <v>137027945.80000001</v>
      </c>
      <c r="O1428">
        <v>138051394.69999999</v>
      </c>
      <c r="P1428">
        <v>115125050.59999999</v>
      </c>
      <c r="Q1428">
        <v>114934322.5</v>
      </c>
      <c r="R1428" s="14">
        <f>_xlfn.XLOOKUP(Table2[[#This Row],[LoanID]],Table1[G-L ID],Table1[ManagerCode],-99)</f>
        <v>103</v>
      </c>
      <c r="T1428"/>
    </row>
    <row r="1429" spans="1:20" x14ac:dyDescent="0.25">
      <c r="A1429">
        <v>20120930</v>
      </c>
      <c r="B1429">
        <v>2012</v>
      </c>
      <c r="C1429">
        <v>9</v>
      </c>
      <c r="D1429">
        <v>1</v>
      </c>
      <c r="E1429">
        <v>12230</v>
      </c>
      <c r="F1429">
        <v>0</v>
      </c>
      <c r="G1429">
        <v>0</v>
      </c>
      <c r="H1429">
        <v>570000</v>
      </c>
      <c r="I1429">
        <v>0</v>
      </c>
      <c r="J1429">
        <v>-54000000</v>
      </c>
      <c r="K1429">
        <v>0</v>
      </c>
      <c r="L1429">
        <v>0</v>
      </c>
      <c r="M1429">
        <v>54000000</v>
      </c>
      <c r="N1429">
        <v>0</v>
      </c>
      <c r="O1429">
        <v>54000000</v>
      </c>
      <c r="P1429">
        <v>0</v>
      </c>
      <c r="Q1429">
        <v>54000000</v>
      </c>
      <c r="R1429" s="14">
        <f>_xlfn.XLOOKUP(Table2[[#This Row],[LoanID]],Table1[G-L ID],Table1[ManagerCode],-99)</f>
        <v>183</v>
      </c>
      <c r="T1429"/>
    </row>
    <row r="1430" spans="1:20" x14ac:dyDescent="0.25">
      <c r="A1430">
        <v>20121031</v>
      </c>
      <c r="B1430">
        <v>2012</v>
      </c>
      <c r="C1430">
        <v>10</v>
      </c>
      <c r="D1430">
        <v>1</v>
      </c>
      <c r="E1430">
        <v>10050</v>
      </c>
      <c r="F1430">
        <v>149013.89000000001</v>
      </c>
      <c r="G1430">
        <v>0</v>
      </c>
      <c r="H1430">
        <v>0</v>
      </c>
      <c r="I1430">
        <v>0</v>
      </c>
      <c r="J1430">
        <v>0</v>
      </c>
      <c r="K1430">
        <v>0</v>
      </c>
      <c r="L1430">
        <v>37899548.390000001</v>
      </c>
      <c r="M1430">
        <v>37975525.560000002</v>
      </c>
      <c r="N1430">
        <v>37899548.390000001</v>
      </c>
      <c r="O1430">
        <v>37975525.560000002</v>
      </c>
      <c r="P1430">
        <v>33333334</v>
      </c>
      <c r="Q1430">
        <v>33333334</v>
      </c>
      <c r="R1430" s="14">
        <f>_xlfn.XLOOKUP(Table2[[#This Row],[LoanID]],Table1[G-L ID],Table1[ManagerCode],-99)</f>
        <v>103</v>
      </c>
      <c r="T1430"/>
    </row>
    <row r="1431" spans="1:20" x14ac:dyDescent="0.25">
      <c r="A1431">
        <v>20121031</v>
      </c>
      <c r="B1431">
        <v>2012</v>
      </c>
      <c r="C1431">
        <v>10</v>
      </c>
      <c r="D1431">
        <v>1</v>
      </c>
      <c r="E1431">
        <v>10060</v>
      </c>
      <c r="F1431">
        <v>120833.33</v>
      </c>
      <c r="G1431">
        <v>0</v>
      </c>
      <c r="H1431">
        <v>0</v>
      </c>
      <c r="I1431">
        <v>0</v>
      </c>
      <c r="J1431">
        <v>0</v>
      </c>
      <c r="K1431">
        <v>0</v>
      </c>
      <c r="L1431">
        <v>19844571.41</v>
      </c>
      <c r="M1431">
        <v>19849428.550000001</v>
      </c>
      <c r="N1431">
        <v>19844571.41</v>
      </c>
      <c r="O1431">
        <v>19849428.550000001</v>
      </c>
      <c r="P1431">
        <v>20000000</v>
      </c>
      <c r="Q1431">
        <v>20000000</v>
      </c>
      <c r="R1431" s="14">
        <f>_xlfn.XLOOKUP(Table2[[#This Row],[LoanID]],Table1[G-L ID],Table1[ManagerCode],-99)</f>
        <v>103</v>
      </c>
      <c r="T1431"/>
    </row>
    <row r="1432" spans="1:20" x14ac:dyDescent="0.25">
      <c r="A1432">
        <v>20121031</v>
      </c>
      <c r="B1432">
        <v>2012</v>
      </c>
      <c r="C1432">
        <v>10</v>
      </c>
      <c r="D1432">
        <v>1</v>
      </c>
      <c r="E1432">
        <v>10080</v>
      </c>
      <c r="F1432">
        <v>339718.75</v>
      </c>
      <c r="G1432">
        <v>0</v>
      </c>
      <c r="H1432">
        <v>0</v>
      </c>
      <c r="I1432">
        <v>-156.25</v>
      </c>
      <c r="J1432">
        <v>0</v>
      </c>
      <c r="K1432">
        <v>0</v>
      </c>
      <c r="L1432">
        <v>74249925.75</v>
      </c>
      <c r="M1432">
        <v>74249925.75</v>
      </c>
      <c r="N1432">
        <v>74249925.75</v>
      </c>
      <c r="O1432">
        <v>74249925.75</v>
      </c>
      <c r="P1432">
        <v>75000000</v>
      </c>
      <c r="Q1432">
        <v>75000000</v>
      </c>
      <c r="R1432" s="14">
        <f>_xlfn.XLOOKUP(Table2[[#This Row],[LoanID]],Table1[G-L ID],Table1[ManagerCode],-99)</f>
        <v>103</v>
      </c>
      <c r="T1432"/>
    </row>
    <row r="1433" spans="1:20" x14ac:dyDescent="0.25">
      <c r="A1433">
        <v>20121031</v>
      </c>
      <c r="B1433">
        <v>2012</v>
      </c>
      <c r="C1433">
        <v>10</v>
      </c>
      <c r="D1433">
        <v>1</v>
      </c>
      <c r="E1433">
        <v>10130</v>
      </c>
      <c r="F1433">
        <v>34371.75</v>
      </c>
      <c r="G1433">
        <v>0</v>
      </c>
      <c r="H1433">
        <v>0</v>
      </c>
      <c r="I1433">
        <v>0</v>
      </c>
      <c r="J1433">
        <v>0</v>
      </c>
      <c r="K1433">
        <v>33318.94</v>
      </c>
      <c r="L1433">
        <v>7808341.1399999997</v>
      </c>
      <c r="M1433">
        <v>7761041.6900000004</v>
      </c>
      <c r="N1433">
        <v>7808341.1399999997</v>
      </c>
      <c r="O1433">
        <v>7761041.6900000004</v>
      </c>
      <c r="P1433">
        <v>7595966.1900000004</v>
      </c>
      <c r="Q1433">
        <v>7562647.25</v>
      </c>
      <c r="R1433" s="14">
        <f>_xlfn.XLOOKUP(Table2[[#This Row],[LoanID]],Table1[G-L ID],Table1[ManagerCode],-99)</f>
        <v>103</v>
      </c>
      <c r="T1433"/>
    </row>
    <row r="1434" spans="1:20" x14ac:dyDescent="0.25">
      <c r="A1434">
        <v>20121031</v>
      </c>
      <c r="B1434">
        <v>2012</v>
      </c>
      <c r="C1434">
        <v>10</v>
      </c>
      <c r="D1434">
        <v>1</v>
      </c>
      <c r="E1434">
        <v>10140</v>
      </c>
      <c r="F1434">
        <v>90689.31</v>
      </c>
      <c r="G1434">
        <v>0</v>
      </c>
      <c r="H1434">
        <v>0</v>
      </c>
      <c r="I1434">
        <v>0</v>
      </c>
      <c r="J1434">
        <v>0</v>
      </c>
      <c r="K1434">
        <v>87135.02</v>
      </c>
      <c r="L1434">
        <v>20602328.68</v>
      </c>
      <c r="M1434">
        <v>20478308.879999999</v>
      </c>
      <c r="N1434">
        <v>20602328.68</v>
      </c>
      <c r="O1434">
        <v>20478308.879999999</v>
      </c>
      <c r="P1434">
        <v>20041836.390000001</v>
      </c>
      <c r="Q1434">
        <v>19954701.370000001</v>
      </c>
      <c r="R1434" s="14">
        <f>_xlfn.XLOOKUP(Table2[[#This Row],[LoanID]],Table1[G-L ID],Table1[ManagerCode],-99)</f>
        <v>103</v>
      </c>
      <c r="T1434"/>
    </row>
    <row r="1435" spans="1:20" x14ac:dyDescent="0.25">
      <c r="A1435">
        <v>20121031</v>
      </c>
      <c r="B1435">
        <v>2012</v>
      </c>
      <c r="C1435">
        <v>10</v>
      </c>
      <c r="D1435">
        <v>1</v>
      </c>
      <c r="E1435">
        <v>10170</v>
      </c>
      <c r="F1435">
        <v>237189.8</v>
      </c>
      <c r="G1435">
        <v>0</v>
      </c>
      <c r="H1435">
        <v>0</v>
      </c>
      <c r="I1435">
        <v>-1136.69</v>
      </c>
      <c r="J1435">
        <v>0</v>
      </c>
      <c r="K1435">
        <v>76768.36</v>
      </c>
      <c r="L1435">
        <v>48639679.359999999</v>
      </c>
      <c r="M1435">
        <v>48459075.270000003</v>
      </c>
      <c r="N1435">
        <v>48639679.359999999</v>
      </c>
      <c r="O1435">
        <v>48459075.270000003</v>
      </c>
      <c r="P1435">
        <v>45467693.799999997</v>
      </c>
      <c r="Q1435">
        <v>45390925.439999998</v>
      </c>
      <c r="R1435" s="14">
        <f>_xlfn.XLOOKUP(Table2[[#This Row],[LoanID]],Table1[G-L ID],Table1[ManagerCode],-99)</f>
        <v>103</v>
      </c>
      <c r="T1435"/>
    </row>
    <row r="1436" spans="1:20" x14ac:dyDescent="0.25">
      <c r="A1436">
        <v>20121031</v>
      </c>
      <c r="B1436">
        <v>2012</v>
      </c>
      <c r="C1436">
        <v>10</v>
      </c>
      <c r="D1436">
        <v>1</v>
      </c>
      <c r="E1436">
        <v>10210</v>
      </c>
      <c r="F1436">
        <v>51101.120000000003</v>
      </c>
      <c r="G1436">
        <v>84192.06</v>
      </c>
      <c r="H1436">
        <v>0</v>
      </c>
      <c r="I1436">
        <v>0</v>
      </c>
      <c r="J1436">
        <v>-51101.120000000003</v>
      </c>
      <c r="K1436">
        <v>0</v>
      </c>
      <c r="L1436">
        <v>10808094.6</v>
      </c>
      <c r="M1436">
        <v>10943387.779999999</v>
      </c>
      <c r="N1436">
        <v>10808094.6</v>
      </c>
      <c r="O1436">
        <v>10943387.779999999</v>
      </c>
      <c r="P1436">
        <v>10808094.6</v>
      </c>
      <c r="Q1436">
        <v>10943387.779999999</v>
      </c>
      <c r="R1436" s="14">
        <f>_xlfn.XLOOKUP(Table2[[#This Row],[LoanID]],Table1[G-L ID],Table1[ManagerCode],-99)</f>
        <v>183</v>
      </c>
      <c r="T1436"/>
    </row>
    <row r="1437" spans="1:20" x14ac:dyDescent="0.25">
      <c r="A1437">
        <v>20121031</v>
      </c>
      <c r="B1437">
        <v>2012</v>
      </c>
      <c r="C1437">
        <v>10</v>
      </c>
      <c r="D1437">
        <v>1</v>
      </c>
      <c r="E1437">
        <v>10220</v>
      </c>
      <c r="F1437">
        <v>541666.67000000004</v>
      </c>
      <c r="G1437">
        <v>0</v>
      </c>
      <c r="H1437">
        <v>0</v>
      </c>
      <c r="I1437">
        <v>0</v>
      </c>
      <c r="J1437">
        <v>0</v>
      </c>
      <c r="K1437">
        <v>0</v>
      </c>
      <c r="L1437">
        <v>99000000</v>
      </c>
      <c r="M1437">
        <v>99000000</v>
      </c>
      <c r="N1437">
        <v>99000000</v>
      </c>
      <c r="O1437">
        <v>99000000</v>
      </c>
      <c r="P1437">
        <v>100000000</v>
      </c>
      <c r="Q1437">
        <v>100000000</v>
      </c>
      <c r="R1437" s="14">
        <f>_xlfn.XLOOKUP(Table2[[#This Row],[LoanID]],Table1[G-L ID],Table1[ManagerCode],-99)</f>
        <v>103</v>
      </c>
      <c r="T1437"/>
    </row>
    <row r="1438" spans="1:20" x14ac:dyDescent="0.25">
      <c r="A1438">
        <v>20121031</v>
      </c>
      <c r="B1438">
        <v>2012</v>
      </c>
      <c r="C1438">
        <v>10</v>
      </c>
      <c r="D1438">
        <v>1</v>
      </c>
      <c r="E1438">
        <v>10230</v>
      </c>
      <c r="F1438">
        <v>179305.31</v>
      </c>
      <c r="G1438">
        <v>0</v>
      </c>
      <c r="H1438">
        <v>0</v>
      </c>
      <c r="I1438">
        <v>0</v>
      </c>
      <c r="J1438">
        <v>0</v>
      </c>
      <c r="K1438">
        <v>62292.76</v>
      </c>
      <c r="L1438">
        <v>30327605.129999999</v>
      </c>
      <c r="M1438">
        <v>30268427.02</v>
      </c>
      <c r="N1438">
        <v>30327605.129999999</v>
      </c>
      <c r="O1438">
        <v>30268427.02</v>
      </c>
      <c r="P1438">
        <v>31923794.879999999</v>
      </c>
      <c r="Q1438">
        <v>31861502.120000001</v>
      </c>
      <c r="R1438" s="14">
        <f>_xlfn.XLOOKUP(Table2[[#This Row],[LoanID]],Table1[G-L ID],Table1[ManagerCode],-99)</f>
        <v>103</v>
      </c>
      <c r="T1438"/>
    </row>
    <row r="1439" spans="1:20" x14ac:dyDescent="0.25">
      <c r="A1439">
        <v>20121031</v>
      </c>
      <c r="B1439">
        <v>2012</v>
      </c>
      <c r="C1439">
        <v>10</v>
      </c>
      <c r="D1439">
        <v>1</v>
      </c>
      <c r="E1439">
        <v>10280</v>
      </c>
      <c r="F1439">
        <v>175560</v>
      </c>
      <c r="G1439">
        <v>0</v>
      </c>
      <c r="H1439">
        <v>0</v>
      </c>
      <c r="I1439">
        <v>-0.01</v>
      </c>
      <c r="J1439">
        <v>0</v>
      </c>
      <c r="K1439">
        <v>0</v>
      </c>
      <c r="L1439">
        <v>33695829.710000001</v>
      </c>
      <c r="M1439">
        <v>33564539.109999999</v>
      </c>
      <c r="N1439">
        <v>33695829.710000001</v>
      </c>
      <c r="O1439">
        <v>33564539.109999999</v>
      </c>
      <c r="P1439">
        <v>35000000</v>
      </c>
      <c r="Q1439">
        <v>35000000</v>
      </c>
      <c r="R1439" s="14">
        <f>_xlfn.XLOOKUP(Table2[[#This Row],[LoanID]],Table1[G-L ID],Table1[ManagerCode],-99)</f>
        <v>103</v>
      </c>
      <c r="T1439"/>
    </row>
    <row r="1440" spans="1:20" x14ac:dyDescent="0.25">
      <c r="A1440">
        <v>20121031</v>
      </c>
      <c r="B1440">
        <v>2012</v>
      </c>
      <c r="C1440">
        <v>10</v>
      </c>
      <c r="D1440">
        <v>1</v>
      </c>
      <c r="E1440">
        <v>10290</v>
      </c>
      <c r="F1440">
        <v>165775</v>
      </c>
      <c r="G1440">
        <v>0</v>
      </c>
      <c r="H1440">
        <v>0</v>
      </c>
      <c r="I1440">
        <v>0</v>
      </c>
      <c r="J1440">
        <v>0</v>
      </c>
      <c r="K1440">
        <v>0</v>
      </c>
      <c r="L1440">
        <v>23750000</v>
      </c>
      <c r="M1440">
        <v>23750000</v>
      </c>
      <c r="N1440">
        <v>23750000</v>
      </c>
      <c r="O1440">
        <v>23750000</v>
      </c>
      <c r="P1440">
        <v>25000000</v>
      </c>
      <c r="Q1440">
        <v>25000000</v>
      </c>
      <c r="R1440" s="14">
        <f>_xlfn.XLOOKUP(Table2[[#This Row],[LoanID]],Table1[G-L ID],Table1[ManagerCode],-99)</f>
        <v>103</v>
      </c>
      <c r="T1440"/>
    </row>
    <row r="1441" spans="1:20" x14ac:dyDescent="0.25">
      <c r="A1441">
        <v>20121031</v>
      </c>
      <c r="B1441">
        <v>2012</v>
      </c>
      <c r="C1441">
        <v>10</v>
      </c>
      <c r="D1441">
        <v>1</v>
      </c>
      <c r="E1441">
        <v>10300</v>
      </c>
      <c r="F1441">
        <v>145052.82999999999</v>
      </c>
      <c r="G1441">
        <v>0</v>
      </c>
      <c r="H1441">
        <v>0</v>
      </c>
      <c r="I1441">
        <v>0</v>
      </c>
      <c r="J1441">
        <v>0</v>
      </c>
      <c r="K1441">
        <v>0</v>
      </c>
      <c r="L1441">
        <v>36286893.460000001</v>
      </c>
      <c r="M1441">
        <v>36464099.18</v>
      </c>
      <c r="N1441">
        <v>36286893.460000001</v>
      </c>
      <c r="O1441">
        <v>36464099.18</v>
      </c>
      <c r="P1441">
        <v>35000000</v>
      </c>
      <c r="Q1441">
        <v>35000000</v>
      </c>
      <c r="R1441" s="14">
        <f>_xlfn.XLOOKUP(Table2[[#This Row],[LoanID]],Table1[G-L ID],Table1[ManagerCode],-99)</f>
        <v>103</v>
      </c>
      <c r="T1441"/>
    </row>
    <row r="1442" spans="1:20" x14ac:dyDescent="0.25">
      <c r="A1442">
        <v>20121031</v>
      </c>
      <c r="B1442">
        <v>2012</v>
      </c>
      <c r="C1442">
        <v>10</v>
      </c>
      <c r="D1442">
        <v>1</v>
      </c>
      <c r="E1442">
        <v>10310</v>
      </c>
      <c r="F1442">
        <v>99864.14</v>
      </c>
      <c r="G1442">
        <v>0</v>
      </c>
      <c r="H1442">
        <v>0</v>
      </c>
      <c r="I1442">
        <v>0</v>
      </c>
      <c r="J1442">
        <v>-18375.099999999999</v>
      </c>
      <c r="K1442">
        <v>22643</v>
      </c>
      <c r="L1442">
        <v>14538711.619999999</v>
      </c>
      <c r="M1442">
        <v>14534443.720000001</v>
      </c>
      <c r="N1442">
        <v>14538711.619999999</v>
      </c>
      <c r="O1442">
        <v>14534443.720000001</v>
      </c>
      <c r="P1442">
        <v>14538711.619999999</v>
      </c>
      <c r="Q1442">
        <v>14534443.720000001</v>
      </c>
      <c r="R1442" s="14">
        <f>_xlfn.XLOOKUP(Table2[[#This Row],[LoanID]],Table1[G-L ID],Table1[ManagerCode],-99)</f>
        <v>183</v>
      </c>
      <c r="T1442"/>
    </row>
    <row r="1443" spans="1:20" x14ac:dyDescent="0.25">
      <c r="A1443">
        <v>20121031</v>
      </c>
      <c r="B1443">
        <v>2012</v>
      </c>
      <c r="C1443">
        <v>10</v>
      </c>
      <c r="D1443">
        <v>1</v>
      </c>
      <c r="E1443">
        <v>10370</v>
      </c>
      <c r="F1443">
        <v>4376.62</v>
      </c>
      <c r="G1443">
        <v>0</v>
      </c>
      <c r="H1443">
        <v>0</v>
      </c>
      <c r="I1443">
        <v>0</v>
      </c>
      <c r="J1443">
        <v>0</v>
      </c>
      <c r="K1443">
        <v>37853.81</v>
      </c>
      <c r="L1443">
        <v>2450963.0699999998</v>
      </c>
      <c r="M1443">
        <v>2415001.96</v>
      </c>
      <c r="N1443">
        <v>2450963.0699999998</v>
      </c>
      <c r="O1443">
        <v>2415001.96</v>
      </c>
      <c r="P1443">
        <v>2579961.13</v>
      </c>
      <c r="Q1443">
        <v>2542107.3199999998</v>
      </c>
      <c r="R1443" s="14">
        <f>_xlfn.XLOOKUP(Table2[[#This Row],[LoanID]],Table1[G-L ID],Table1[ManagerCode],-99)</f>
        <v>103</v>
      </c>
      <c r="T1443"/>
    </row>
    <row r="1444" spans="1:20" x14ac:dyDescent="0.25">
      <c r="A1444">
        <v>20121031</v>
      </c>
      <c r="B1444">
        <v>2012</v>
      </c>
      <c r="C1444">
        <v>10</v>
      </c>
      <c r="D1444">
        <v>1</v>
      </c>
      <c r="E1444">
        <v>10390</v>
      </c>
      <c r="F1444">
        <v>118750</v>
      </c>
      <c r="G1444">
        <v>0</v>
      </c>
      <c r="H1444">
        <v>0</v>
      </c>
      <c r="I1444">
        <v>0</v>
      </c>
      <c r="J1444">
        <v>0</v>
      </c>
      <c r="K1444">
        <v>0</v>
      </c>
      <c r="L1444">
        <v>23750000</v>
      </c>
      <c r="M1444">
        <v>23750000</v>
      </c>
      <c r="N1444">
        <v>23750000</v>
      </c>
      <c r="O1444">
        <v>23750000</v>
      </c>
      <c r="P1444">
        <v>24996122.350000001</v>
      </c>
      <c r="Q1444">
        <v>24996326.43</v>
      </c>
      <c r="R1444" s="14">
        <f>_xlfn.XLOOKUP(Table2[[#This Row],[LoanID]],Table1[G-L ID],Table1[ManagerCode],-99)</f>
        <v>103</v>
      </c>
      <c r="T1444"/>
    </row>
    <row r="1445" spans="1:20" x14ac:dyDescent="0.25">
      <c r="A1445">
        <v>20121031</v>
      </c>
      <c r="B1445">
        <v>2012</v>
      </c>
      <c r="C1445">
        <v>10</v>
      </c>
      <c r="D1445">
        <v>1</v>
      </c>
      <c r="E1445">
        <v>10490</v>
      </c>
      <c r="F1445">
        <v>218750</v>
      </c>
      <c r="G1445">
        <v>0</v>
      </c>
      <c r="H1445">
        <v>0</v>
      </c>
      <c r="I1445">
        <v>0</v>
      </c>
      <c r="J1445">
        <v>0</v>
      </c>
      <c r="K1445">
        <v>0</v>
      </c>
      <c r="L1445">
        <v>25000000</v>
      </c>
      <c r="M1445">
        <v>25000000</v>
      </c>
      <c r="N1445">
        <v>25000000</v>
      </c>
      <c r="O1445">
        <v>25000000</v>
      </c>
      <c r="P1445">
        <v>25000000</v>
      </c>
      <c r="Q1445">
        <v>25000000</v>
      </c>
      <c r="R1445" s="14">
        <f>_xlfn.XLOOKUP(Table2[[#This Row],[LoanID]],Table1[G-L ID],Table1[ManagerCode],-99)</f>
        <v>220</v>
      </c>
      <c r="T1445"/>
    </row>
    <row r="1446" spans="1:20" x14ac:dyDescent="0.25">
      <c r="A1446">
        <v>20121031</v>
      </c>
      <c r="B1446">
        <v>2012</v>
      </c>
      <c r="C1446">
        <v>10</v>
      </c>
      <c r="D1446">
        <v>1</v>
      </c>
      <c r="E1446">
        <v>10550</v>
      </c>
      <c r="F1446">
        <v>17816.599999999999</v>
      </c>
      <c r="G1446">
        <v>0</v>
      </c>
      <c r="H1446">
        <v>0</v>
      </c>
      <c r="I1446">
        <v>-10.130000000000001</v>
      </c>
      <c r="J1446">
        <v>0</v>
      </c>
      <c r="K1446">
        <v>407958.4</v>
      </c>
      <c r="L1446">
        <v>3474432.96</v>
      </c>
      <c r="M1446">
        <v>3066474.56</v>
      </c>
      <c r="N1446">
        <v>3474432.96</v>
      </c>
      <c r="O1446">
        <v>3066474.56</v>
      </c>
      <c r="P1446">
        <v>3474432.96</v>
      </c>
      <c r="Q1446">
        <v>3066474.56</v>
      </c>
      <c r="R1446" s="14">
        <f>_xlfn.XLOOKUP(Table2[[#This Row],[LoanID]],Table1[G-L ID],Table1[ManagerCode],-99)</f>
        <v>103</v>
      </c>
      <c r="T1446"/>
    </row>
    <row r="1447" spans="1:20" x14ac:dyDescent="0.25">
      <c r="A1447">
        <v>20121031</v>
      </c>
      <c r="B1447">
        <v>2012</v>
      </c>
      <c r="C1447">
        <v>10</v>
      </c>
      <c r="D1447">
        <v>1</v>
      </c>
      <c r="E1447">
        <v>10560</v>
      </c>
      <c r="F1447">
        <v>439476.2</v>
      </c>
      <c r="G1447">
        <v>0</v>
      </c>
      <c r="H1447">
        <v>0</v>
      </c>
      <c r="I1447">
        <v>-249.96</v>
      </c>
      <c r="J1447">
        <v>0</v>
      </c>
      <c r="K1447">
        <v>10062973.970000001</v>
      </c>
      <c r="L1447">
        <v>84845652.969999999</v>
      </c>
      <c r="M1447">
        <v>75639705.510000005</v>
      </c>
      <c r="N1447">
        <v>84845652.969999999</v>
      </c>
      <c r="O1447">
        <v>75639705.510000005</v>
      </c>
      <c r="P1447">
        <v>85702679.480000004</v>
      </c>
      <c r="Q1447">
        <v>75639705.510000005</v>
      </c>
      <c r="R1447" s="14">
        <f>_xlfn.XLOOKUP(Table2[[#This Row],[LoanID]],Table1[G-L ID],Table1[ManagerCode],-99)</f>
        <v>103</v>
      </c>
      <c r="T1447"/>
    </row>
    <row r="1448" spans="1:20" x14ac:dyDescent="0.25">
      <c r="A1448">
        <v>20121031</v>
      </c>
      <c r="B1448">
        <v>2012</v>
      </c>
      <c r="C1448">
        <v>10</v>
      </c>
      <c r="D1448">
        <v>1</v>
      </c>
      <c r="E1448">
        <v>10630</v>
      </c>
      <c r="F1448">
        <v>48300.93</v>
      </c>
      <c r="G1448">
        <v>0</v>
      </c>
      <c r="H1448">
        <v>0</v>
      </c>
      <c r="I1448">
        <v>0</v>
      </c>
      <c r="J1448">
        <v>0</v>
      </c>
      <c r="K1448">
        <v>14315.15</v>
      </c>
      <c r="L1448">
        <v>9396162.4700000007</v>
      </c>
      <c r="M1448">
        <v>9389285.0999999996</v>
      </c>
      <c r="N1448">
        <v>9396162.4700000007</v>
      </c>
      <c r="O1448">
        <v>9389285.0999999996</v>
      </c>
      <c r="P1448">
        <v>9042296.5600000005</v>
      </c>
      <c r="Q1448">
        <v>9027981.4100000001</v>
      </c>
      <c r="R1448" s="14">
        <f>_xlfn.XLOOKUP(Table2[[#This Row],[LoanID]],Table1[G-L ID],Table1[ManagerCode],-99)</f>
        <v>103</v>
      </c>
      <c r="T1448"/>
    </row>
    <row r="1449" spans="1:20" x14ac:dyDescent="0.25">
      <c r="A1449">
        <v>20121031</v>
      </c>
      <c r="B1449">
        <v>2012</v>
      </c>
      <c r="C1449">
        <v>10</v>
      </c>
      <c r="D1449">
        <v>1</v>
      </c>
      <c r="E1449">
        <v>10690</v>
      </c>
      <c r="F1449">
        <v>0</v>
      </c>
      <c r="G1449">
        <v>732.91</v>
      </c>
      <c r="H1449">
        <v>185000</v>
      </c>
      <c r="I1449">
        <v>0</v>
      </c>
      <c r="J1449">
        <v>-1055388.04</v>
      </c>
      <c r="K1449">
        <v>0</v>
      </c>
      <c r="L1449">
        <v>0</v>
      </c>
      <c r="M1449">
        <v>1056120.95</v>
      </c>
      <c r="N1449">
        <v>0</v>
      </c>
      <c r="O1449">
        <v>1056120.95</v>
      </c>
      <c r="P1449">
        <v>0</v>
      </c>
      <c r="Q1449">
        <v>1056120.95</v>
      </c>
      <c r="R1449" s="14">
        <f>_xlfn.XLOOKUP(Table2[[#This Row],[LoanID]],Table1[G-L ID],Table1[ManagerCode],-99)</f>
        <v>183</v>
      </c>
      <c r="T1449"/>
    </row>
    <row r="1450" spans="1:20" x14ac:dyDescent="0.25">
      <c r="A1450">
        <v>20121031</v>
      </c>
      <c r="B1450">
        <v>2012</v>
      </c>
      <c r="C1450">
        <v>10</v>
      </c>
      <c r="D1450">
        <v>1</v>
      </c>
      <c r="E1450">
        <v>10770</v>
      </c>
      <c r="F1450">
        <v>571166.67000000004</v>
      </c>
      <c r="G1450">
        <v>0</v>
      </c>
      <c r="H1450">
        <v>0</v>
      </c>
      <c r="I1450">
        <v>0</v>
      </c>
      <c r="J1450">
        <v>0</v>
      </c>
      <c r="K1450">
        <v>0</v>
      </c>
      <c r="L1450">
        <v>109250000</v>
      </c>
      <c r="M1450">
        <v>109250000</v>
      </c>
      <c r="N1450">
        <v>109250000</v>
      </c>
      <c r="O1450">
        <v>109250000</v>
      </c>
      <c r="P1450">
        <v>115000000</v>
      </c>
      <c r="Q1450">
        <v>115000000</v>
      </c>
      <c r="R1450" s="14">
        <f>_xlfn.XLOOKUP(Table2[[#This Row],[LoanID]],Table1[G-L ID],Table1[ManagerCode],-99)</f>
        <v>103</v>
      </c>
      <c r="T1450"/>
    </row>
    <row r="1451" spans="1:20" x14ac:dyDescent="0.25">
      <c r="A1451">
        <v>20121031</v>
      </c>
      <c r="B1451">
        <v>2012</v>
      </c>
      <c r="C1451">
        <v>10</v>
      </c>
      <c r="D1451">
        <v>1</v>
      </c>
      <c r="E1451">
        <v>10880</v>
      </c>
      <c r="F1451">
        <v>319748.38</v>
      </c>
      <c r="G1451">
        <v>0</v>
      </c>
      <c r="H1451">
        <v>0</v>
      </c>
      <c r="I1451">
        <v>0</v>
      </c>
      <c r="J1451">
        <v>0</v>
      </c>
      <c r="K1451">
        <v>0</v>
      </c>
      <c r="L1451">
        <v>199727153.09999999</v>
      </c>
      <c r="M1451">
        <v>199727153.09999999</v>
      </c>
      <c r="N1451">
        <v>199727153.09999999</v>
      </c>
      <c r="O1451">
        <v>199727153.09999999</v>
      </c>
      <c r="P1451">
        <v>201744599.09999999</v>
      </c>
      <c r="Q1451">
        <v>201744599.09999999</v>
      </c>
      <c r="R1451" s="14">
        <f>_xlfn.XLOOKUP(Table2[[#This Row],[LoanID]],Table1[G-L ID],Table1[ManagerCode],-99)</f>
        <v>103</v>
      </c>
      <c r="T1451"/>
    </row>
    <row r="1452" spans="1:20" x14ac:dyDescent="0.25">
      <c r="A1452">
        <v>20121031</v>
      </c>
      <c r="B1452">
        <v>2012</v>
      </c>
      <c r="C1452">
        <v>10</v>
      </c>
      <c r="D1452">
        <v>1</v>
      </c>
      <c r="E1452">
        <v>10900</v>
      </c>
      <c r="F1452">
        <v>78934.210000000006</v>
      </c>
      <c r="G1452">
        <v>0</v>
      </c>
      <c r="H1452">
        <v>0</v>
      </c>
      <c r="I1452">
        <v>0</v>
      </c>
      <c r="J1452">
        <v>0</v>
      </c>
      <c r="K1452">
        <v>4682.8500000000004</v>
      </c>
      <c r="L1452">
        <v>8180454.6100000003</v>
      </c>
      <c r="M1452">
        <v>8176005.9199999999</v>
      </c>
      <c r="N1452">
        <v>8180454.6100000003</v>
      </c>
      <c r="O1452">
        <v>8176005.9199999999</v>
      </c>
      <c r="P1452">
        <v>8611004.8599999994</v>
      </c>
      <c r="Q1452">
        <v>8606322.0099999998</v>
      </c>
      <c r="R1452" s="14">
        <f>_xlfn.XLOOKUP(Table2[[#This Row],[LoanID]],Table1[G-L ID],Table1[ManagerCode],-99)</f>
        <v>103</v>
      </c>
      <c r="T1452"/>
    </row>
    <row r="1453" spans="1:20" x14ac:dyDescent="0.25">
      <c r="A1453">
        <v>20121031</v>
      </c>
      <c r="B1453">
        <v>2012</v>
      </c>
      <c r="C1453">
        <v>10</v>
      </c>
      <c r="D1453">
        <v>1</v>
      </c>
      <c r="E1453">
        <v>10950</v>
      </c>
      <c r="F1453">
        <v>52255.01</v>
      </c>
      <c r="G1453">
        <v>0</v>
      </c>
      <c r="H1453">
        <v>0</v>
      </c>
      <c r="I1453">
        <v>0</v>
      </c>
      <c r="J1453">
        <v>0</v>
      </c>
      <c r="K1453">
        <v>24768.01</v>
      </c>
      <c r="L1453">
        <v>10415931.869999999</v>
      </c>
      <c r="M1453">
        <v>10391411.529999999</v>
      </c>
      <c r="N1453">
        <v>10415931.869999999</v>
      </c>
      <c r="O1453">
        <v>10391411.529999999</v>
      </c>
      <c r="P1453">
        <v>10521143.300000001</v>
      </c>
      <c r="Q1453">
        <v>10496375.289999999</v>
      </c>
      <c r="R1453" s="14">
        <f>_xlfn.XLOOKUP(Table2[[#This Row],[LoanID]],Table1[G-L ID],Table1[ManagerCode],-99)</f>
        <v>103</v>
      </c>
      <c r="T1453"/>
    </row>
    <row r="1454" spans="1:20" x14ac:dyDescent="0.25">
      <c r="A1454">
        <v>20121031</v>
      </c>
      <c r="B1454">
        <v>2012</v>
      </c>
      <c r="C1454">
        <v>10</v>
      </c>
      <c r="D1454">
        <v>1</v>
      </c>
      <c r="E1454">
        <v>10980</v>
      </c>
      <c r="F1454">
        <v>106674.55</v>
      </c>
      <c r="G1454">
        <v>18302.5</v>
      </c>
      <c r="H1454">
        <v>0</v>
      </c>
      <c r="I1454">
        <v>0</v>
      </c>
      <c r="J1454">
        <v>-1489369.33</v>
      </c>
      <c r="K1454">
        <v>0</v>
      </c>
      <c r="L1454">
        <v>13215420.210000001</v>
      </c>
      <c r="M1454">
        <v>14723092.039999999</v>
      </c>
      <c r="N1454">
        <v>13215420.210000001</v>
      </c>
      <c r="O1454">
        <v>14723092.039999999</v>
      </c>
      <c r="P1454">
        <v>13215420.210000001</v>
      </c>
      <c r="Q1454">
        <v>14723092.039999999</v>
      </c>
      <c r="R1454" s="14">
        <f>_xlfn.XLOOKUP(Table2[[#This Row],[LoanID]],Table1[G-L ID],Table1[ManagerCode],-99)</f>
        <v>183</v>
      </c>
      <c r="T1454"/>
    </row>
    <row r="1455" spans="1:20" x14ac:dyDescent="0.25">
      <c r="A1455">
        <v>20121031</v>
      </c>
      <c r="B1455">
        <v>2012</v>
      </c>
      <c r="C1455">
        <v>10</v>
      </c>
      <c r="D1455">
        <v>1</v>
      </c>
      <c r="E1455">
        <v>11110</v>
      </c>
      <c r="F1455">
        <v>97323.35</v>
      </c>
      <c r="G1455">
        <v>0</v>
      </c>
      <c r="H1455">
        <v>0</v>
      </c>
      <c r="I1455">
        <v>0</v>
      </c>
      <c r="J1455">
        <v>-307910.51</v>
      </c>
      <c r="K1455">
        <v>0</v>
      </c>
      <c r="L1455">
        <v>13364433.32</v>
      </c>
      <c r="M1455">
        <v>13672343.83</v>
      </c>
      <c r="N1455">
        <v>13364433.32</v>
      </c>
      <c r="O1455">
        <v>13672343.83</v>
      </c>
      <c r="P1455">
        <v>13364433.32</v>
      </c>
      <c r="Q1455">
        <v>13672343.83</v>
      </c>
      <c r="R1455" s="14">
        <f>_xlfn.XLOOKUP(Table2[[#This Row],[LoanID]],Table1[G-L ID],Table1[ManagerCode],-99)</f>
        <v>183</v>
      </c>
      <c r="T1455"/>
    </row>
    <row r="1456" spans="1:20" x14ac:dyDescent="0.25">
      <c r="A1456">
        <v>20121031</v>
      </c>
      <c r="B1456">
        <v>2012</v>
      </c>
      <c r="C1456">
        <v>10</v>
      </c>
      <c r="D1456">
        <v>1</v>
      </c>
      <c r="E1456">
        <v>11140</v>
      </c>
      <c r="F1456">
        <v>576975.13</v>
      </c>
      <c r="G1456">
        <v>0</v>
      </c>
      <c r="H1456">
        <v>0</v>
      </c>
      <c r="I1456">
        <v>0</v>
      </c>
      <c r="J1456">
        <v>0</v>
      </c>
      <c r="K1456">
        <v>0</v>
      </c>
      <c r="L1456">
        <v>71489019.230000004</v>
      </c>
      <c r="M1456">
        <v>71217305.870000005</v>
      </c>
      <c r="N1456">
        <v>71489019.230000004</v>
      </c>
      <c r="O1456">
        <v>71217305.870000005</v>
      </c>
      <c r="P1456">
        <v>72436285</v>
      </c>
      <c r="Q1456">
        <v>72436285</v>
      </c>
      <c r="R1456" s="14">
        <f>_xlfn.XLOOKUP(Table2[[#This Row],[LoanID]],Table1[G-L ID],Table1[ManagerCode],-99)</f>
        <v>103</v>
      </c>
      <c r="T1456"/>
    </row>
    <row r="1457" spans="1:20" x14ac:dyDescent="0.25">
      <c r="A1457">
        <v>20121031</v>
      </c>
      <c r="B1457">
        <v>2012</v>
      </c>
      <c r="C1457">
        <v>10</v>
      </c>
      <c r="D1457">
        <v>1</v>
      </c>
      <c r="E1457">
        <v>11190</v>
      </c>
      <c r="F1457">
        <v>1300310.33</v>
      </c>
      <c r="G1457">
        <v>0</v>
      </c>
      <c r="H1457">
        <v>0</v>
      </c>
      <c r="I1457">
        <v>-1666.42</v>
      </c>
      <c r="J1457">
        <v>0</v>
      </c>
      <c r="K1457">
        <v>0</v>
      </c>
      <c r="L1457">
        <v>189972289.90000001</v>
      </c>
      <c r="M1457">
        <v>189972289.90000001</v>
      </c>
      <c r="N1457">
        <v>189972289.90000001</v>
      </c>
      <c r="O1457">
        <v>189972289.90000001</v>
      </c>
      <c r="P1457">
        <v>199970831.5</v>
      </c>
      <c r="Q1457">
        <v>199970831.5</v>
      </c>
      <c r="R1457" s="14">
        <f>_xlfn.XLOOKUP(Table2[[#This Row],[LoanID]],Table1[G-L ID],Table1[ManagerCode],-99)</f>
        <v>103</v>
      </c>
      <c r="T1457"/>
    </row>
    <row r="1458" spans="1:20" x14ac:dyDescent="0.25">
      <c r="A1458">
        <v>20121031</v>
      </c>
      <c r="B1458">
        <v>2012</v>
      </c>
      <c r="C1458">
        <v>10</v>
      </c>
      <c r="D1458">
        <v>1</v>
      </c>
      <c r="E1458">
        <v>11200</v>
      </c>
      <c r="F1458">
        <v>69880</v>
      </c>
      <c r="G1458">
        <v>0</v>
      </c>
      <c r="H1458">
        <v>0</v>
      </c>
      <c r="I1458">
        <v>0</v>
      </c>
      <c r="J1458">
        <v>0</v>
      </c>
      <c r="K1458">
        <v>3000000</v>
      </c>
      <c r="L1458">
        <v>12578374.859999999</v>
      </c>
      <c r="M1458">
        <v>9878380.2599999998</v>
      </c>
      <c r="N1458">
        <v>12578374.859999999</v>
      </c>
      <c r="O1458">
        <v>9878380.2599999998</v>
      </c>
      <c r="P1458">
        <v>13976000</v>
      </c>
      <c r="Q1458">
        <v>10976000</v>
      </c>
      <c r="R1458" s="14">
        <f>_xlfn.XLOOKUP(Table2[[#This Row],[LoanID]],Table1[G-L ID],Table1[ManagerCode],-99)</f>
        <v>103</v>
      </c>
      <c r="T1458"/>
    </row>
    <row r="1459" spans="1:20" x14ac:dyDescent="0.25">
      <c r="A1459">
        <v>20121031</v>
      </c>
      <c r="B1459">
        <v>2012</v>
      </c>
      <c r="C1459">
        <v>10</v>
      </c>
      <c r="D1459">
        <v>1</v>
      </c>
      <c r="E1459">
        <v>11220</v>
      </c>
      <c r="F1459">
        <v>301875</v>
      </c>
      <c r="G1459">
        <v>0</v>
      </c>
      <c r="H1459">
        <v>0</v>
      </c>
      <c r="I1459">
        <v>0</v>
      </c>
      <c r="J1459">
        <v>0</v>
      </c>
      <c r="K1459">
        <v>0</v>
      </c>
      <c r="L1459">
        <v>34500000</v>
      </c>
      <c r="M1459">
        <v>34500000</v>
      </c>
      <c r="N1459">
        <v>34500000</v>
      </c>
      <c r="O1459">
        <v>34500000</v>
      </c>
      <c r="P1459">
        <v>34500000</v>
      </c>
      <c r="Q1459">
        <v>34500000</v>
      </c>
      <c r="R1459" s="14">
        <f>_xlfn.XLOOKUP(Table2[[#This Row],[LoanID]],Table1[G-L ID],Table1[ManagerCode],-99)</f>
        <v>220</v>
      </c>
      <c r="T1459"/>
    </row>
    <row r="1460" spans="1:20" x14ac:dyDescent="0.25">
      <c r="A1460">
        <v>20121031</v>
      </c>
      <c r="B1460">
        <v>2012</v>
      </c>
      <c r="C1460">
        <v>10</v>
      </c>
      <c r="D1460">
        <v>1</v>
      </c>
      <c r="E1460">
        <v>11230</v>
      </c>
      <c r="F1460">
        <v>242112.35</v>
      </c>
      <c r="G1460">
        <v>0</v>
      </c>
      <c r="H1460">
        <v>0</v>
      </c>
      <c r="I1460">
        <v>0</v>
      </c>
      <c r="J1460">
        <v>0</v>
      </c>
      <c r="K1460">
        <v>0</v>
      </c>
      <c r="L1460">
        <v>175436664</v>
      </c>
      <c r="M1460">
        <v>175436664</v>
      </c>
      <c r="N1460">
        <v>175436664</v>
      </c>
      <c r="O1460">
        <v>175436664</v>
      </c>
      <c r="P1460">
        <v>194929626.59999999</v>
      </c>
      <c r="Q1460">
        <v>194929626.59999999</v>
      </c>
      <c r="R1460" s="14">
        <f>_xlfn.XLOOKUP(Table2[[#This Row],[LoanID]],Table1[G-L ID],Table1[ManagerCode],-99)</f>
        <v>103</v>
      </c>
      <c r="T1460"/>
    </row>
    <row r="1461" spans="1:20" x14ac:dyDescent="0.25">
      <c r="A1461">
        <v>20121031</v>
      </c>
      <c r="B1461">
        <v>2012</v>
      </c>
      <c r="C1461">
        <v>10</v>
      </c>
      <c r="D1461">
        <v>1</v>
      </c>
      <c r="E1461">
        <v>11280</v>
      </c>
      <c r="F1461">
        <v>23034.78</v>
      </c>
      <c r="G1461">
        <v>0</v>
      </c>
      <c r="H1461">
        <v>0</v>
      </c>
      <c r="I1461">
        <v>-156.59</v>
      </c>
      <c r="J1461">
        <v>0</v>
      </c>
      <c r="K1461">
        <v>0</v>
      </c>
      <c r="L1461">
        <v>18526753.09</v>
      </c>
      <c r="M1461">
        <v>18558694.829999998</v>
      </c>
      <c r="N1461">
        <v>18526753.09</v>
      </c>
      <c r="O1461">
        <v>18558694.829999998</v>
      </c>
      <c r="P1461">
        <v>18791123.030000001</v>
      </c>
      <c r="Q1461">
        <v>18791123.030000001</v>
      </c>
      <c r="R1461" s="14">
        <f>_xlfn.XLOOKUP(Table2[[#This Row],[LoanID]],Table1[G-L ID],Table1[ManagerCode],-99)</f>
        <v>103</v>
      </c>
      <c r="T1461"/>
    </row>
    <row r="1462" spans="1:20" x14ac:dyDescent="0.25">
      <c r="A1462">
        <v>20121031</v>
      </c>
      <c r="B1462">
        <v>2012</v>
      </c>
      <c r="C1462">
        <v>10</v>
      </c>
      <c r="D1462">
        <v>1</v>
      </c>
      <c r="E1462">
        <v>11300</v>
      </c>
      <c r="F1462">
        <v>20731.310000000001</v>
      </c>
      <c r="G1462">
        <v>0</v>
      </c>
      <c r="H1462">
        <v>0</v>
      </c>
      <c r="I1462">
        <v>-140.93</v>
      </c>
      <c r="J1462">
        <v>0</v>
      </c>
      <c r="K1462">
        <v>0</v>
      </c>
      <c r="L1462">
        <v>16674077.84</v>
      </c>
      <c r="M1462">
        <v>16702825.33</v>
      </c>
      <c r="N1462">
        <v>16674077.84</v>
      </c>
      <c r="O1462">
        <v>16702825.33</v>
      </c>
      <c r="P1462">
        <v>16912010.73</v>
      </c>
      <c r="Q1462">
        <v>16912010.73</v>
      </c>
      <c r="R1462" s="14">
        <f>_xlfn.XLOOKUP(Table2[[#This Row],[LoanID]],Table1[G-L ID],Table1[ManagerCode],-99)</f>
        <v>103</v>
      </c>
      <c r="T1462"/>
    </row>
    <row r="1463" spans="1:20" x14ac:dyDescent="0.25">
      <c r="A1463">
        <v>20121031</v>
      </c>
      <c r="B1463">
        <v>2012</v>
      </c>
      <c r="C1463">
        <v>10</v>
      </c>
      <c r="D1463">
        <v>1</v>
      </c>
      <c r="E1463">
        <v>11310</v>
      </c>
      <c r="F1463">
        <v>13820.87</v>
      </c>
      <c r="G1463">
        <v>0</v>
      </c>
      <c r="H1463">
        <v>0</v>
      </c>
      <c r="I1463">
        <v>-93.96</v>
      </c>
      <c r="J1463">
        <v>0</v>
      </c>
      <c r="K1463">
        <v>0</v>
      </c>
      <c r="L1463">
        <v>11119688.050000001</v>
      </c>
      <c r="M1463">
        <v>11138388.15</v>
      </c>
      <c r="N1463">
        <v>11119688.050000001</v>
      </c>
      <c r="O1463">
        <v>11138388.15</v>
      </c>
      <c r="P1463">
        <v>11274673.789999999</v>
      </c>
      <c r="Q1463">
        <v>11274673.789999999</v>
      </c>
      <c r="R1463" s="14">
        <f>_xlfn.XLOOKUP(Table2[[#This Row],[LoanID]],Table1[G-L ID],Table1[ManagerCode],-99)</f>
        <v>103</v>
      </c>
      <c r="T1463"/>
    </row>
    <row r="1464" spans="1:20" x14ac:dyDescent="0.25">
      <c r="A1464">
        <v>20121031</v>
      </c>
      <c r="B1464">
        <v>2012</v>
      </c>
      <c r="C1464">
        <v>10</v>
      </c>
      <c r="D1464">
        <v>1</v>
      </c>
      <c r="E1464">
        <v>11380</v>
      </c>
      <c r="F1464">
        <v>30803.73</v>
      </c>
      <c r="G1464">
        <v>0</v>
      </c>
      <c r="H1464">
        <v>0</v>
      </c>
      <c r="I1464">
        <v>0</v>
      </c>
      <c r="J1464">
        <v>0</v>
      </c>
      <c r="K1464">
        <v>59896.27</v>
      </c>
      <c r="L1464">
        <v>5288363.6500000004</v>
      </c>
      <c r="M1464">
        <v>5224941.8</v>
      </c>
      <c r="N1464">
        <v>5288363.6500000004</v>
      </c>
      <c r="O1464">
        <v>5224941.8</v>
      </c>
      <c r="P1464">
        <v>4661347</v>
      </c>
      <c r="Q1464">
        <v>4601450.7300000004</v>
      </c>
      <c r="R1464" s="14">
        <f>_xlfn.XLOOKUP(Table2[[#This Row],[LoanID]],Table1[G-L ID],Table1[ManagerCode],-99)</f>
        <v>103</v>
      </c>
      <c r="T1464"/>
    </row>
    <row r="1465" spans="1:20" x14ac:dyDescent="0.25">
      <c r="A1465">
        <v>20121031</v>
      </c>
      <c r="B1465">
        <v>2012</v>
      </c>
      <c r="C1465">
        <v>10</v>
      </c>
      <c r="D1465">
        <v>1</v>
      </c>
      <c r="E1465">
        <v>11620</v>
      </c>
      <c r="F1465">
        <v>33370.370000000003</v>
      </c>
      <c r="G1465">
        <v>13128.74</v>
      </c>
      <c r="H1465">
        <v>0</v>
      </c>
      <c r="I1465">
        <v>0</v>
      </c>
      <c r="J1465">
        <v>-125363.45</v>
      </c>
      <c r="K1465">
        <v>0</v>
      </c>
      <c r="L1465">
        <v>4031435.68</v>
      </c>
      <c r="M1465">
        <v>4169927.87</v>
      </c>
      <c r="N1465">
        <v>4031435.68</v>
      </c>
      <c r="O1465">
        <v>4169927.87</v>
      </c>
      <c r="P1465">
        <v>4031435.68</v>
      </c>
      <c r="Q1465">
        <v>4169927.87</v>
      </c>
      <c r="R1465" s="14">
        <f>_xlfn.XLOOKUP(Table2[[#This Row],[LoanID]],Table1[G-L ID],Table1[ManagerCode],-99)</f>
        <v>183</v>
      </c>
      <c r="T1465"/>
    </row>
    <row r="1466" spans="1:20" x14ac:dyDescent="0.25">
      <c r="A1466">
        <v>20121031</v>
      </c>
      <c r="B1466">
        <v>2012</v>
      </c>
      <c r="C1466">
        <v>10</v>
      </c>
      <c r="D1466">
        <v>1</v>
      </c>
      <c r="E1466">
        <v>11630</v>
      </c>
      <c r="F1466">
        <v>336919.81</v>
      </c>
      <c r="G1466">
        <v>0</v>
      </c>
      <c r="H1466">
        <v>0</v>
      </c>
      <c r="I1466">
        <v>0</v>
      </c>
      <c r="J1466">
        <v>-1314677.2</v>
      </c>
      <c r="K1466">
        <v>0</v>
      </c>
      <c r="L1466">
        <v>24876201.57</v>
      </c>
      <c r="M1466">
        <v>26190878.77</v>
      </c>
      <c r="N1466">
        <v>24876201.57</v>
      </c>
      <c r="O1466">
        <v>26190878.77</v>
      </c>
      <c r="P1466">
        <v>24876201.57</v>
      </c>
      <c r="Q1466">
        <v>26190878.77</v>
      </c>
      <c r="R1466" s="14">
        <f>_xlfn.XLOOKUP(Table2[[#This Row],[LoanID]],Table1[G-L ID],Table1[ManagerCode],-99)</f>
        <v>183</v>
      </c>
      <c r="T1466"/>
    </row>
    <row r="1467" spans="1:20" x14ac:dyDescent="0.25">
      <c r="A1467">
        <v>20121031</v>
      </c>
      <c r="B1467">
        <v>2012</v>
      </c>
      <c r="C1467">
        <v>10</v>
      </c>
      <c r="D1467">
        <v>1</v>
      </c>
      <c r="E1467">
        <v>11650</v>
      </c>
      <c r="F1467">
        <v>75000</v>
      </c>
      <c r="G1467">
        <v>0</v>
      </c>
      <c r="H1467">
        <v>0</v>
      </c>
      <c r="I1467">
        <v>0</v>
      </c>
      <c r="J1467">
        <v>0</v>
      </c>
      <c r="K1467">
        <v>0</v>
      </c>
      <c r="L1467">
        <v>9600000</v>
      </c>
      <c r="M1467">
        <v>9600000</v>
      </c>
      <c r="N1467">
        <v>9600000</v>
      </c>
      <c r="O1467">
        <v>9600000</v>
      </c>
      <c r="P1467">
        <v>12000000</v>
      </c>
      <c r="Q1467">
        <v>12000000</v>
      </c>
      <c r="R1467" s="14">
        <f>_xlfn.XLOOKUP(Table2[[#This Row],[LoanID]],Table1[G-L ID],Table1[ManagerCode],-99)</f>
        <v>103</v>
      </c>
      <c r="T1467"/>
    </row>
    <row r="1468" spans="1:20" x14ac:dyDescent="0.25">
      <c r="A1468">
        <v>20121031</v>
      </c>
      <c r="B1468">
        <v>2012</v>
      </c>
      <c r="C1468">
        <v>10</v>
      </c>
      <c r="D1468">
        <v>1</v>
      </c>
      <c r="E1468">
        <v>11770</v>
      </c>
      <c r="F1468">
        <v>94444.44</v>
      </c>
      <c r="G1468">
        <v>0</v>
      </c>
      <c r="H1468">
        <v>680000</v>
      </c>
      <c r="I1468">
        <v>0</v>
      </c>
      <c r="J1468">
        <v>-68000000</v>
      </c>
      <c r="K1468">
        <v>0</v>
      </c>
      <c r="L1468">
        <v>0</v>
      </c>
      <c r="M1468">
        <v>68000000</v>
      </c>
      <c r="N1468">
        <v>0</v>
      </c>
      <c r="O1468">
        <v>68000000</v>
      </c>
      <c r="P1468">
        <v>0</v>
      </c>
      <c r="Q1468">
        <v>68000000</v>
      </c>
      <c r="R1468" s="14">
        <f>_xlfn.XLOOKUP(Table2[[#This Row],[LoanID]],Table1[G-L ID],Table1[ManagerCode],-99)</f>
        <v>119</v>
      </c>
      <c r="T1468"/>
    </row>
    <row r="1469" spans="1:20" x14ac:dyDescent="0.25">
      <c r="A1469">
        <v>20121031</v>
      </c>
      <c r="B1469">
        <v>2012</v>
      </c>
      <c r="C1469">
        <v>10</v>
      </c>
      <c r="D1469">
        <v>1</v>
      </c>
      <c r="E1469">
        <v>11780</v>
      </c>
      <c r="F1469">
        <v>175463.29</v>
      </c>
      <c r="G1469">
        <v>0</v>
      </c>
      <c r="H1469">
        <v>0</v>
      </c>
      <c r="I1469">
        <v>-1079.78</v>
      </c>
      <c r="J1469">
        <v>0</v>
      </c>
      <c r="K1469">
        <v>0</v>
      </c>
      <c r="L1469">
        <v>27599788.510000002</v>
      </c>
      <c r="M1469">
        <v>27599788.510000002</v>
      </c>
      <c r="N1469">
        <v>27599788.510000002</v>
      </c>
      <c r="O1469">
        <v>27599788.510000002</v>
      </c>
      <c r="P1469">
        <v>64786446.619999997</v>
      </c>
      <c r="Q1469">
        <v>64786446.619999997</v>
      </c>
      <c r="R1469" s="14">
        <f>_xlfn.XLOOKUP(Table2[[#This Row],[LoanID]],Table1[G-L ID],Table1[ManagerCode],-99)</f>
        <v>103</v>
      </c>
      <c r="T1469"/>
    </row>
    <row r="1470" spans="1:20" x14ac:dyDescent="0.25">
      <c r="A1470">
        <v>20121031</v>
      </c>
      <c r="B1470">
        <v>2012</v>
      </c>
      <c r="C1470">
        <v>10</v>
      </c>
      <c r="D1470">
        <v>1</v>
      </c>
      <c r="E1470">
        <v>11800</v>
      </c>
      <c r="F1470">
        <v>156770.20000000001</v>
      </c>
      <c r="G1470">
        <v>0</v>
      </c>
      <c r="H1470">
        <v>0</v>
      </c>
      <c r="I1470">
        <v>-263.79000000000002</v>
      </c>
      <c r="J1470">
        <v>0</v>
      </c>
      <c r="K1470">
        <v>62008.29</v>
      </c>
      <c r="L1470">
        <v>30072053.100000001</v>
      </c>
      <c r="M1470">
        <v>30013145.199999999</v>
      </c>
      <c r="N1470">
        <v>30072053.100000001</v>
      </c>
      <c r="O1470">
        <v>30013145.199999999</v>
      </c>
      <c r="P1470">
        <v>31654761.09</v>
      </c>
      <c r="Q1470">
        <v>31592752.800000001</v>
      </c>
      <c r="R1470" s="14">
        <f>_xlfn.XLOOKUP(Table2[[#This Row],[LoanID]],Table1[G-L ID],Table1[ManagerCode],-99)</f>
        <v>103</v>
      </c>
      <c r="T1470"/>
    </row>
    <row r="1471" spans="1:20" x14ac:dyDescent="0.25">
      <c r="A1471">
        <v>20121031</v>
      </c>
      <c r="B1471">
        <v>2012</v>
      </c>
      <c r="C1471">
        <v>10</v>
      </c>
      <c r="D1471">
        <v>1</v>
      </c>
      <c r="E1471">
        <v>11810</v>
      </c>
      <c r="F1471">
        <v>50966.79</v>
      </c>
      <c r="G1471">
        <v>0</v>
      </c>
      <c r="H1471">
        <v>0</v>
      </c>
      <c r="I1471">
        <v>0</v>
      </c>
      <c r="J1471">
        <v>0</v>
      </c>
      <c r="K1471">
        <v>9891.2999999999993</v>
      </c>
      <c r="L1471">
        <v>9861326.4199999999</v>
      </c>
      <c r="M1471">
        <v>9851534.0399999991</v>
      </c>
      <c r="N1471">
        <v>9861326.4199999999</v>
      </c>
      <c r="O1471">
        <v>9851534.0399999991</v>
      </c>
      <c r="P1471">
        <v>9960935.7699999996</v>
      </c>
      <c r="Q1471">
        <v>9951044.4700000007</v>
      </c>
      <c r="R1471" s="14">
        <f>_xlfn.XLOOKUP(Table2[[#This Row],[LoanID]],Table1[G-L ID],Table1[ManagerCode],-99)</f>
        <v>103</v>
      </c>
      <c r="T1471"/>
    </row>
    <row r="1472" spans="1:20" x14ac:dyDescent="0.25">
      <c r="A1472">
        <v>20121031</v>
      </c>
      <c r="B1472">
        <v>2012</v>
      </c>
      <c r="C1472">
        <v>10</v>
      </c>
      <c r="D1472">
        <v>1</v>
      </c>
      <c r="E1472">
        <v>11840</v>
      </c>
      <c r="F1472">
        <v>0</v>
      </c>
      <c r="G1472">
        <v>39924.5</v>
      </c>
      <c r="H1472">
        <v>105000</v>
      </c>
      <c r="I1472">
        <v>0</v>
      </c>
      <c r="J1472">
        <v>-7686000</v>
      </c>
      <c r="K1472">
        <v>0</v>
      </c>
      <c r="L1472">
        <v>0</v>
      </c>
      <c r="M1472">
        <v>7725924.5</v>
      </c>
      <c r="N1472">
        <v>0</v>
      </c>
      <c r="O1472">
        <v>7725924.5</v>
      </c>
      <c r="P1472">
        <v>0</v>
      </c>
      <c r="Q1472">
        <v>7725924.5</v>
      </c>
      <c r="R1472" s="14">
        <f>_xlfn.XLOOKUP(Table2[[#This Row],[LoanID]],Table1[G-L ID],Table1[ManagerCode],-99)</f>
        <v>183</v>
      </c>
      <c r="T1472"/>
    </row>
    <row r="1473" spans="1:20" x14ac:dyDescent="0.25">
      <c r="A1473">
        <v>20121031</v>
      </c>
      <c r="B1473">
        <v>2012</v>
      </c>
      <c r="C1473">
        <v>10</v>
      </c>
      <c r="D1473">
        <v>1</v>
      </c>
      <c r="E1473">
        <v>11970</v>
      </c>
      <c r="F1473">
        <v>55598.47</v>
      </c>
      <c r="G1473">
        <v>35394.33</v>
      </c>
      <c r="H1473">
        <v>0</v>
      </c>
      <c r="I1473">
        <v>0</v>
      </c>
      <c r="J1473">
        <v>-1557485.32</v>
      </c>
      <c r="K1473">
        <v>0</v>
      </c>
      <c r="L1473">
        <v>6074321.0099999998</v>
      </c>
      <c r="M1473">
        <v>7667200.6600000001</v>
      </c>
      <c r="N1473">
        <v>6074321.0099999998</v>
      </c>
      <c r="O1473">
        <v>7667200.6600000001</v>
      </c>
      <c r="P1473">
        <v>6074321.0099999998</v>
      </c>
      <c r="Q1473">
        <v>7667200.6600000001</v>
      </c>
      <c r="R1473" s="14">
        <f>_xlfn.XLOOKUP(Table2[[#This Row],[LoanID]],Table1[G-L ID],Table1[ManagerCode],-99)</f>
        <v>183</v>
      </c>
      <c r="T1473"/>
    </row>
    <row r="1474" spans="1:20" x14ac:dyDescent="0.25">
      <c r="A1474">
        <v>20121031</v>
      </c>
      <c r="B1474">
        <v>2012</v>
      </c>
      <c r="C1474">
        <v>10</v>
      </c>
      <c r="D1474">
        <v>1</v>
      </c>
      <c r="E1474">
        <v>12020</v>
      </c>
      <c r="F1474">
        <v>60060.84</v>
      </c>
      <c r="G1474">
        <v>60459.99</v>
      </c>
      <c r="H1474">
        <v>0</v>
      </c>
      <c r="I1474">
        <v>0</v>
      </c>
      <c r="J1474">
        <v>-60060.84</v>
      </c>
      <c r="K1474">
        <v>0</v>
      </c>
      <c r="L1474">
        <v>9363972.0399999991</v>
      </c>
      <c r="M1474">
        <v>9484492.8699999992</v>
      </c>
      <c r="N1474">
        <v>9363972.0399999991</v>
      </c>
      <c r="O1474">
        <v>9484492.8699999992</v>
      </c>
      <c r="P1474">
        <v>9363972.0399999991</v>
      </c>
      <c r="Q1474">
        <v>9484492.8699999992</v>
      </c>
      <c r="R1474" s="14">
        <f>_xlfn.XLOOKUP(Table2[[#This Row],[LoanID]],Table1[G-L ID],Table1[ManagerCode],-99)</f>
        <v>183</v>
      </c>
      <c r="T1474"/>
    </row>
    <row r="1475" spans="1:20" x14ac:dyDescent="0.25">
      <c r="A1475">
        <v>20121031</v>
      </c>
      <c r="B1475">
        <v>2012</v>
      </c>
      <c r="C1475">
        <v>10</v>
      </c>
      <c r="D1475">
        <v>1</v>
      </c>
      <c r="E1475">
        <v>12090</v>
      </c>
      <c r="F1475">
        <v>159264.57999999999</v>
      </c>
      <c r="G1475">
        <v>0</v>
      </c>
      <c r="H1475">
        <v>0</v>
      </c>
      <c r="I1475">
        <v>0</v>
      </c>
      <c r="J1475">
        <v>0</v>
      </c>
      <c r="K1475">
        <v>0</v>
      </c>
      <c r="L1475">
        <v>17500000</v>
      </c>
      <c r="M1475">
        <v>17500000</v>
      </c>
      <c r="N1475">
        <v>17500000</v>
      </c>
      <c r="O1475">
        <v>17500000</v>
      </c>
      <c r="P1475">
        <v>17500000</v>
      </c>
      <c r="Q1475">
        <v>17500000</v>
      </c>
      <c r="R1475" s="14">
        <f>_xlfn.XLOOKUP(Table2[[#This Row],[LoanID]],Table1[G-L ID],Table1[ManagerCode],-99)</f>
        <v>220</v>
      </c>
      <c r="T1475"/>
    </row>
    <row r="1476" spans="1:20" x14ac:dyDescent="0.25">
      <c r="A1476">
        <v>20121031</v>
      </c>
      <c r="B1476">
        <v>2012</v>
      </c>
      <c r="C1476">
        <v>10</v>
      </c>
      <c r="D1476">
        <v>1</v>
      </c>
      <c r="E1476">
        <v>12100</v>
      </c>
      <c r="F1476">
        <v>503.9</v>
      </c>
      <c r="G1476">
        <v>4294.2299999999996</v>
      </c>
      <c r="H1476">
        <v>0</v>
      </c>
      <c r="I1476">
        <v>0</v>
      </c>
      <c r="J1476">
        <v>-503.9</v>
      </c>
      <c r="K1476">
        <v>0</v>
      </c>
      <c r="L1476">
        <v>605388.59</v>
      </c>
      <c r="M1476">
        <v>610186.72</v>
      </c>
      <c r="N1476">
        <v>605388.59</v>
      </c>
      <c r="O1476">
        <v>610186.72</v>
      </c>
      <c r="P1476">
        <v>605388.59</v>
      </c>
      <c r="Q1476">
        <v>610186.72</v>
      </c>
      <c r="R1476" s="14">
        <f>_xlfn.XLOOKUP(Table2[[#This Row],[LoanID]],Table1[G-L ID],Table1[ManagerCode],-99)</f>
        <v>183</v>
      </c>
      <c r="T1476"/>
    </row>
    <row r="1477" spans="1:20" x14ac:dyDescent="0.25">
      <c r="A1477">
        <v>20121031</v>
      </c>
      <c r="B1477">
        <v>2012</v>
      </c>
      <c r="C1477">
        <v>10</v>
      </c>
      <c r="D1477">
        <v>1</v>
      </c>
      <c r="E1477">
        <v>12130</v>
      </c>
      <c r="F1477">
        <v>20268.68</v>
      </c>
      <c r="G1477">
        <v>0</v>
      </c>
      <c r="H1477">
        <v>0</v>
      </c>
      <c r="I1477">
        <v>0</v>
      </c>
      <c r="J1477">
        <v>-535148.11</v>
      </c>
      <c r="K1477">
        <v>0</v>
      </c>
      <c r="L1477">
        <v>2850552.2</v>
      </c>
      <c r="M1477">
        <v>3385700.31</v>
      </c>
      <c r="N1477">
        <v>2850552.2</v>
      </c>
      <c r="O1477">
        <v>3385700.31</v>
      </c>
      <c r="P1477">
        <v>2850552.2</v>
      </c>
      <c r="Q1477">
        <v>3385700.31</v>
      </c>
      <c r="R1477" s="14">
        <f>_xlfn.XLOOKUP(Table2[[#This Row],[LoanID]],Table1[G-L ID],Table1[ManagerCode],-99)</f>
        <v>183</v>
      </c>
      <c r="T1477"/>
    </row>
    <row r="1478" spans="1:20" x14ac:dyDescent="0.25">
      <c r="A1478">
        <v>20121031</v>
      </c>
      <c r="B1478">
        <v>2012</v>
      </c>
      <c r="C1478">
        <v>10</v>
      </c>
      <c r="D1478">
        <v>1</v>
      </c>
      <c r="E1478">
        <v>12210</v>
      </c>
      <c r="F1478">
        <v>710341.02</v>
      </c>
      <c r="G1478">
        <v>0</v>
      </c>
      <c r="H1478">
        <v>0</v>
      </c>
      <c r="I1478">
        <v>0</v>
      </c>
      <c r="J1478">
        <v>0</v>
      </c>
      <c r="K1478">
        <v>191765.97</v>
      </c>
      <c r="L1478">
        <v>138051394.69999999</v>
      </c>
      <c r="M1478">
        <v>138068692.19999999</v>
      </c>
      <c r="N1478">
        <v>138051394.69999999</v>
      </c>
      <c r="O1478">
        <v>138068692.19999999</v>
      </c>
      <c r="P1478">
        <v>114934322.5</v>
      </c>
      <c r="Q1478">
        <v>114742556.5</v>
      </c>
      <c r="R1478" s="14">
        <f>_xlfn.XLOOKUP(Table2[[#This Row],[LoanID]],Table1[G-L ID],Table1[ManagerCode],-99)</f>
        <v>103</v>
      </c>
      <c r="T1478"/>
    </row>
    <row r="1479" spans="1:20" x14ac:dyDescent="0.25">
      <c r="A1479">
        <v>20121031</v>
      </c>
      <c r="B1479">
        <v>2012</v>
      </c>
      <c r="C1479">
        <v>10</v>
      </c>
      <c r="D1479">
        <v>1</v>
      </c>
      <c r="E1479">
        <v>12230</v>
      </c>
      <c r="F1479">
        <v>54375</v>
      </c>
      <c r="G1479">
        <v>0</v>
      </c>
      <c r="H1479">
        <v>0</v>
      </c>
      <c r="I1479">
        <v>0</v>
      </c>
      <c r="J1479">
        <v>-383094</v>
      </c>
      <c r="K1479">
        <v>0</v>
      </c>
      <c r="L1479">
        <v>54000000</v>
      </c>
      <c r="M1479">
        <v>54383094</v>
      </c>
      <c r="N1479">
        <v>54000000</v>
      </c>
      <c r="O1479">
        <v>54383094</v>
      </c>
      <c r="P1479">
        <v>54000000</v>
      </c>
      <c r="Q1479">
        <v>54383094</v>
      </c>
      <c r="R1479" s="14">
        <f>_xlfn.XLOOKUP(Table2[[#This Row],[LoanID]],Table1[G-L ID],Table1[ManagerCode],-99)</f>
        <v>183</v>
      </c>
      <c r="T1479"/>
    </row>
    <row r="1480" spans="1:20" x14ac:dyDescent="0.25">
      <c r="A1480">
        <v>20121130</v>
      </c>
      <c r="B1480">
        <v>2012</v>
      </c>
      <c r="C1480">
        <v>11</v>
      </c>
      <c r="D1480">
        <v>1</v>
      </c>
      <c r="E1480">
        <v>10050</v>
      </c>
      <c r="F1480">
        <v>153981.01999999999</v>
      </c>
      <c r="G1480">
        <v>0</v>
      </c>
      <c r="H1480">
        <v>0</v>
      </c>
      <c r="I1480">
        <v>0</v>
      </c>
      <c r="J1480">
        <v>0</v>
      </c>
      <c r="K1480">
        <v>0</v>
      </c>
      <c r="L1480">
        <v>37975525.560000002</v>
      </c>
      <c r="M1480">
        <v>38788129.719999999</v>
      </c>
      <c r="N1480">
        <v>37975525.560000002</v>
      </c>
      <c r="O1480">
        <v>38788129.719999999</v>
      </c>
      <c r="P1480">
        <v>33333334</v>
      </c>
      <c r="Q1480">
        <v>33333334</v>
      </c>
      <c r="R1480" s="14">
        <f>_xlfn.XLOOKUP(Table2[[#This Row],[LoanID]],Table1[G-L ID],Table1[ManagerCode],-99)</f>
        <v>103</v>
      </c>
      <c r="T1480"/>
    </row>
    <row r="1481" spans="1:20" x14ac:dyDescent="0.25">
      <c r="A1481">
        <v>20121130</v>
      </c>
      <c r="B1481">
        <v>2012</v>
      </c>
      <c r="C1481">
        <v>11</v>
      </c>
      <c r="D1481">
        <v>1</v>
      </c>
      <c r="E1481">
        <v>10060</v>
      </c>
      <c r="F1481">
        <v>120833.33</v>
      </c>
      <c r="G1481">
        <v>0</v>
      </c>
      <c r="H1481">
        <v>0</v>
      </c>
      <c r="I1481">
        <v>0</v>
      </c>
      <c r="J1481">
        <v>0</v>
      </c>
      <c r="K1481">
        <v>0</v>
      </c>
      <c r="L1481">
        <v>19849428.550000001</v>
      </c>
      <c r="M1481">
        <v>19854285.719999999</v>
      </c>
      <c r="N1481">
        <v>19849428.550000001</v>
      </c>
      <c r="O1481">
        <v>19854285.719999999</v>
      </c>
      <c r="P1481">
        <v>20000000</v>
      </c>
      <c r="Q1481">
        <v>20000000</v>
      </c>
      <c r="R1481" s="14">
        <f>_xlfn.XLOOKUP(Table2[[#This Row],[LoanID]],Table1[G-L ID],Table1[ManagerCode],-99)</f>
        <v>103</v>
      </c>
      <c r="T1481"/>
    </row>
    <row r="1482" spans="1:20" x14ac:dyDescent="0.25">
      <c r="A1482">
        <v>20121130</v>
      </c>
      <c r="B1482">
        <v>2012</v>
      </c>
      <c r="C1482">
        <v>11</v>
      </c>
      <c r="D1482">
        <v>1</v>
      </c>
      <c r="E1482">
        <v>10080</v>
      </c>
      <c r="F1482">
        <v>351042.71</v>
      </c>
      <c r="G1482">
        <v>0</v>
      </c>
      <c r="H1482">
        <v>0</v>
      </c>
      <c r="I1482">
        <v>-161.46</v>
      </c>
      <c r="J1482">
        <v>0</v>
      </c>
      <c r="K1482">
        <v>0</v>
      </c>
      <c r="L1482">
        <v>74249925.75</v>
      </c>
      <c r="M1482">
        <v>74249925.75</v>
      </c>
      <c r="N1482">
        <v>74249925.75</v>
      </c>
      <c r="O1482">
        <v>74249925.75</v>
      </c>
      <c r="P1482">
        <v>75000000</v>
      </c>
      <c r="Q1482">
        <v>75000000</v>
      </c>
      <c r="R1482" s="14">
        <f>_xlfn.XLOOKUP(Table2[[#This Row],[LoanID]],Table1[G-L ID],Table1[ManagerCode],-99)</f>
        <v>103</v>
      </c>
      <c r="T1482"/>
    </row>
    <row r="1483" spans="1:20" x14ac:dyDescent="0.25">
      <c r="A1483">
        <v>20121130</v>
      </c>
      <c r="B1483">
        <v>2012</v>
      </c>
      <c r="C1483">
        <v>11</v>
      </c>
      <c r="D1483">
        <v>1</v>
      </c>
      <c r="E1483">
        <v>10130</v>
      </c>
      <c r="F1483">
        <v>34220.980000000003</v>
      </c>
      <c r="G1483">
        <v>0</v>
      </c>
      <c r="H1483">
        <v>0</v>
      </c>
      <c r="I1483">
        <v>0</v>
      </c>
      <c r="J1483">
        <v>0</v>
      </c>
      <c r="K1483">
        <v>33469.71</v>
      </c>
      <c r="L1483">
        <v>7761041.6900000004</v>
      </c>
      <c r="M1483">
        <v>7720195.2699999996</v>
      </c>
      <c r="N1483">
        <v>7761041.6900000004</v>
      </c>
      <c r="O1483">
        <v>7720195.2699999996</v>
      </c>
      <c r="P1483">
        <v>7562647.25</v>
      </c>
      <c r="Q1483">
        <v>7529177.54</v>
      </c>
      <c r="R1483" s="14">
        <f>_xlfn.XLOOKUP(Table2[[#This Row],[LoanID]],Table1[G-L ID],Table1[ManagerCode],-99)</f>
        <v>103</v>
      </c>
      <c r="T1483"/>
    </row>
    <row r="1484" spans="1:20" x14ac:dyDescent="0.25">
      <c r="A1484">
        <v>20121130</v>
      </c>
      <c r="B1484">
        <v>2012</v>
      </c>
      <c r="C1484">
        <v>11</v>
      </c>
      <c r="D1484">
        <v>1</v>
      </c>
      <c r="E1484">
        <v>10140</v>
      </c>
      <c r="F1484">
        <v>90295.02</v>
      </c>
      <c r="G1484">
        <v>0</v>
      </c>
      <c r="H1484">
        <v>0</v>
      </c>
      <c r="I1484">
        <v>0</v>
      </c>
      <c r="J1484">
        <v>0</v>
      </c>
      <c r="K1484">
        <v>87529.31</v>
      </c>
      <c r="L1484">
        <v>20478308.879999999</v>
      </c>
      <c r="M1484">
        <v>20371322.050000001</v>
      </c>
      <c r="N1484">
        <v>20478308.879999999</v>
      </c>
      <c r="O1484">
        <v>20371322.050000001</v>
      </c>
      <c r="P1484">
        <v>19954701.370000001</v>
      </c>
      <c r="Q1484">
        <v>19867172.059999999</v>
      </c>
      <c r="R1484" s="14">
        <f>_xlfn.XLOOKUP(Table2[[#This Row],[LoanID]],Table1[G-L ID],Table1[ManagerCode],-99)</f>
        <v>103</v>
      </c>
      <c r="T1484"/>
    </row>
    <row r="1485" spans="1:20" x14ac:dyDescent="0.25">
      <c r="A1485">
        <v>20121130</v>
      </c>
      <c r="B1485">
        <v>2012</v>
      </c>
      <c r="C1485">
        <v>11</v>
      </c>
      <c r="D1485">
        <v>1</v>
      </c>
      <c r="E1485">
        <v>10170</v>
      </c>
      <c r="F1485">
        <v>244682.31</v>
      </c>
      <c r="G1485">
        <v>0</v>
      </c>
      <c r="H1485">
        <v>0</v>
      </c>
      <c r="I1485">
        <v>-1172.5999999999999</v>
      </c>
      <c r="J1485">
        <v>0</v>
      </c>
      <c r="K1485">
        <v>70412.899999999994</v>
      </c>
      <c r="L1485">
        <v>48459075.270000003</v>
      </c>
      <c r="M1485">
        <v>48422110.079999998</v>
      </c>
      <c r="N1485">
        <v>48459075.270000003</v>
      </c>
      <c r="O1485">
        <v>48422110.079999998</v>
      </c>
      <c r="P1485">
        <v>45390925.439999998</v>
      </c>
      <c r="Q1485">
        <v>45320512.539999999</v>
      </c>
      <c r="R1485" s="14">
        <f>_xlfn.XLOOKUP(Table2[[#This Row],[LoanID]],Table1[G-L ID],Table1[ManagerCode],-99)</f>
        <v>103</v>
      </c>
      <c r="T1485"/>
    </row>
    <row r="1486" spans="1:20" x14ac:dyDescent="0.25">
      <c r="A1486">
        <v>20121130</v>
      </c>
      <c r="B1486">
        <v>2012</v>
      </c>
      <c r="C1486">
        <v>11</v>
      </c>
      <c r="D1486">
        <v>1</v>
      </c>
      <c r="E1486">
        <v>10210</v>
      </c>
      <c r="F1486">
        <v>51356.25</v>
      </c>
      <c r="G1486">
        <v>85641.91</v>
      </c>
      <c r="H1486">
        <v>0</v>
      </c>
      <c r="I1486">
        <v>0</v>
      </c>
      <c r="J1486">
        <v>-51356.25</v>
      </c>
      <c r="K1486">
        <v>0</v>
      </c>
      <c r="L1486">
        <v>10943387.779999999</v>
      </c>
      <c r="M1486">
        <v>11080385.939999999</v>
      </c>
      <c r="N1486">
        <v>10943387.779999999</v>
      </c>
      <c r="O1486">
        <v>11080385.939999999</v>
      </c>
      <c r="P1486">
        <v>10943387.779999999</v>
      </c>
      <c r="Q1486">
        <v>11080385.939999999</v>
      </c>
      <c r="R1486" s="14">
        <f>_xlfn.XLOOKUP(Table2[[#This Row],[LoanID]],Table1[G-L ID],Table1[ManagerCode],-99)</f>
        <v>183</v>
      </c>
      <c r="T1486"/>
    </row>
    <row r="1487" spans="1:20" x14ac:dyDescent="0.25">
      <c r="A1487">
        <v>20121130</v>
      </c>
      <c r="B1487">
        <v>2012</v>
      </c>
      <c r="C1487">
        <v>11</v>
      </c>
      <c r="D1487">
        <v>1</v>
      </c>
      <c r="E1487">
        <v>10220</v>
      </c>
      <c r="F1487">
        <v>559722.22</v>
      </c>
      <c r="G1487">
        <v>0</v>
      </c>
      <c r="H1487">
        <v>0</v>
      </c>
      <c r="I1487">
        <v>0</v>
      </c>
      <c r="J1487">
        <v>0</v>
      </c>
      <c r="K1487">
        <v>0</v>
      </c>
      <c r="L1487">
        <v>99000000</v>
      </c>
      <c r="M1487">
        <v>99000000</v>
      </c>
      <c r="N1487">
        <v>99000000</v>
      </c>
      <c r="O1487">
        <v>99000000</v>
      </c>
      <c r="P1487">
        <v>100000000</v>
      </c>
      <c r="Q1487">
        <v>100000000</v>
      </c>
      <c r="R1487" s="14">
        <f>_xlfn.XLOOKUP(Table2[[#This Row],[LoanID]],Table1[G-L ID],Table1[ManagerCode],-99)</f>
        <v>103</v>
      </c>
      <c r="T1487"/>
    </row>
    <row r="1488" spans="1:20" x14ac:dyDescent="0.25">
      <c r="A1488">
        <v>20121130</v>
      </c>
      <c r="B1488">
        <v>2012</v>
      </c>
      <c r="C1488">
        <v>11</v>
      </c>
      <c r="D1488">
        <v>1</v>
      </c>
      <c r="E1488">
        <v>10230</v>
      </c>
      <c r="F1488">
        <v>178955.44</v>
      </c>
      <c r="G1488">
        <v>0</v>
      </c>
      <c r="H1488">
        <v>0</v>
      </c>
      <c r="I1488">
        <v>0</v>
      </c>
      <c r="J1488">
        <v>0</v>
      </c>
      <c r="K1488">
        <v>62642.63</v>
      </c>
      <c r="L1488">
        <v>30268427.02</v>
      </c>
      <c r="M1488">
        <v>30208916.5</v>
      </c>
      <c r="N1488">
        <v>30268427.02</v>
      </c>
      <c r="O1488">
        <v>30208916.5</v>
      </c>
      <c r="P1488">
        <v>31861502.120000001</v>
      </c>
      <c r="Q1488">
        <v>31798859.489999998</v>
      </c>
      <c r="R1488" s="14">
        <f>_xlfn.XLOOKUP(Table2[[#This Row],[LoanID]],Table1[G-L ID],Table1[ManagerCode],-99)</f>
        <v>103</v>
      </c>
      <c r="T1488"/>
    </row>
    <row r="1489" spans="1:20" x14ac:dyDescent="0.25">
      <c r="A1489">
        <v>20121130</v>
      </c>
      <c r="B1489">
        <v>2012</v>
      </c>
      <c r="C1489">
        <v>11</v>
      </c>
      <c r="D1489">
        <v>1</v>
      </c>
      <c r="E1489">
        <v>10280</v>
      </c>
      <c r="F1489">
        <v>181412</v>
      </c>
      <c r="G1489">
        <v>0</v>
      </c>
      <c r="H1489">
        <v>11570.6</v>
      </c>
      <c r="I1489">
        <v>-0.01</v>
      </c>
      <c r="J1489">
        <v>0</v>
      </c>
      <c r="K1489">
        <v>0</v>
      </c>
      <c r="L1489">
        <v>33564539.109999999</v>
      </c>
      <c r="M1489">
        <v>33820930.590000004</v>
      </c>
      <c r="N1489">
        <v>33564539.109999999</v>
      </c>
      <c r="O1489">
        <v>33820930.590000004</v>
      </c>
      <c r="P1489">
        <v>35000000</v>
      </c>
      <c r="Q1489">
        <v>35000000</v>
      </c>
      <c r="R1489" s="14">
        <f>_xlfn.XLOOKUP(Table2[[#This Row],[LoanID]],Table1[G-L ID],Table1[ManagerCode],-99)</f>
        <v>103</v>
      </c>
      <c r="T1489"/>
    </row>
    <row r="1490" spans="1:20" x14ac:dyDescent="0.25">
      <c r="A1490">
        <v>20121130</v>
      </c>
      <c r="B1490">
        <v>2012</v>
      </c>
      <c r="C1490">
        <v>11</v>
      </c>
      <c r="D1490">
        <v>1</v>
      </c>
      <c r="E1490">
        <v>10290</v>
      </c>
      <c r="F1490">
        <v>171300.83</v>
      </c>
      <c r="G1490">
        <v>0</v>
      </c>
      <c r="H1490">
        <v>8565.0400000000009</v>
      </c>
      <c r="I1490">
        <v>0</v>
      </c>
      <c r="J1490">
        <v>0</v>
      </c>
      <c r="K1490">
        <v>0</v>
      </c>
      <c r="L1490">
        <v>23750000</v>
      </c>
      <c r="M1490">
        <v>23750000</v>
      </c>
      <c r="N1490">
        <v>23750000</v>
      </c>
      <c r="O1490">
        <v>23750000</v>
      </c>
      <c r="P1490">
        <v>25000000</v>
      </c>
      <c r="Q1490">
        <v>25000000</v>
      </c>
      <c r="R1490" s="14">
        <f>_xlfn.XLOOKUP(Table2[[#This Row],[LoanID]],Table1[G-L ID],Table1[ManagerCode],-99)</f>
        <v>103</v>
      </c>
      <c r="T1490"/>
    </row>
    <row r="1491" spans="1:20" x14ac:dyDescent="0.25">
      <c r="A1491">
        <v>20121130</v>
      </c>
      <c r="B1491">
        <v>2012</v>
      </c>
      <c r="C1491">
        <v>11</v>
      </c>
      <c r="D1491">
        <v>1</v>
      </c>
      <c r="E1491">
        <v>10300</v>
      </c>
      <c r="F1491">
        <v>149887.93</v>
      </c>
      <c r="G1491">
        <v>0</v>
      </c>
      <c r="H1491">
        <v>7494.4</v>
      </c>
      <c r="I1491">
        <v>-0.01</v>
      </c>
      <c r="J1491">
        <v>0</v>
      </c>
      <c r="K1491">
        <v>0</v>
      </c>
      <c r="L1491">
        <v>36464099.18</v>
      </c>
      <c r="M1491">
        <v>37578937.759999998</v>
      </c>
      <c r="N1491">
        <v>36464099.18</v>
      </c>
      <c r="O1491">
        <v>37578937.759999998</v>
      </c>
      <c r="P1491">
        <v>35000000</v>
      </c>
      <c r="Q1491">
        <v>35000000</v>
      </c>
      <c r="R1491" s="14">
        <f>_xlfn.XLOOKUP(Table2[[#This Row],[LoanID]],Table1[G-L ID],Table1[ManagerCode],-99)</f>
        <v>103</v>
      </c>
      <c r="T1491"/>
    </row>
    <row r="1492" spans="1:20" x14ac:dyDescent="0.25">
      <c r="A1492">
        <v>20121130</v>
      </c>
      <c r="B1492">
        <v>2012</v>
      </c>
      <c r="C1492">
        <v>11</v>
      </c>
      <c r="D1492">
        <v>1</v>
      </c>
      <c r="E1492">
        <v>10310</v>
      </c>
      <c r="F1492">
        <v>99584.49</v>
      </c>
      <c r="G1492">
        <v>0</v>
      </c>
      <c r="H1492">
        <v>0</v>
      </c>
      <c r="I1492">
        <v>0</v>
      </c>
      <c r="J1492">
        <v>0</v>
      </c>
      <c r="K1492">
        <v>23066</v>
      </c>
      <c r="L1492">
        <v>14534443.720000001</v>
      </c>
      <c r="M1492">
        <v>14511377.720000001</v>
      </c>
      <c r="N1492">
        <v>14534443.720000001</v>
      </c>
      <c r="O1492">
        <v>14511377.720000001</v>
      </c>
      <c r="P1492">
        <v>14534443.720000001</v>
      </c>
      <c r="Q1492">
        <v>14511377.720000001</v>
      </c>
      <c r="R1492" s="14">
        <f>_xlfn.XLOOKUP(Table2[[#This Row],[LoanID]],Table1[G-L ID],Table1[ManagerCode],-99)</f>
        <v>183</v>
      </c>
      <c r="T1492"/>
    </row>
    <row r="1493" spans="1:20" x14ac:dyDescent="0.25">
      <c r="A1493">
        <v>20121130</v>
      </c>
      <c r="B1493">
        <v>2012</v>
      </c>
      <c r="C1493">
        <v>11</v>
      </c>
      <c r="D1493">
        <v>1</v>
      </c>
      <c r="E1493">
        <v>10370</v>
      </c>
      <c r="F1493">
        <v>4173.29</v>
      </c>
      <c r="G1493">
        <v>0</v>
      </c>
      <c r="H1493">
        <v>0</v>
      </c>
      <c r="I1493">
        <v>0</v>
      </c>
      <c r="J1493">
        <v>0</v>
      </c>
      <c r="K1493">
        <v>39750.379999999997</v>
      </c>
      <c r="L1493">
        <v>2415001.96</v>
      </c>
      <c r="M1493">
        <v>2377239.08</v>
      </c>
      <c r="N1493">
        <v>2415001.96</v>
      </c>
      <c r="O1493">
        <v>2377239.08</v>
      </c>
      <c r="P1493">
        <v>2542107.3199999998</v>
      </c>
      <c r="Q1493">
        <v>2502356.94</v>
      </c>
      <c r="R1493" s="14">
        <f>_xlfn.XLOOKUP(Table2[[#This Row],[LoanID]],Table1[G-L ID],Table1[ManagerCode],-99)</f>
        <v>103</v>
      </c>
      <c r="T1493"/>
    </row>
    <row r="1494" spans="1:20" x14ac:dyDescent="0.25">
      <c r="A1494">
        <v>20121130</v>
      </c>
      <c r="B1494">
        <v>2012</v>
      </c>
      <c r="C1494">
        <v>11</v>
      </c>
      <c r="D1494">
        <v>1</v>
      </c>
      <c r="E1494">
        <v>10390</v>
      </c>
      <c r="F1494">
        <v>118750</v>
      </c>
      <c r="G1494">
        <v>0</v>
      </c>
      <c r="H1494">
        <v>0</v>
      </c>
      <c r="I1494">
        <v>0</v>
      </c>
      <c r="J1494">
        <v>0</v>
      </c>
      <c r="K1494">
        <v>0</v>
      </c>
      <c r="L1494">
        <v>23750000</v>
      </c>
      <c r="M1494">
        <v>23750000</v>
      </c>
      <c r="N1494">
        <v>23750000</v>
      </c>
      <c r="O1494">
        <v>23750000</v>
      </c>
      <c r="P1494">
        <v>24996326.43</v>
      </c>
      <c r="Q1494">
        <v>24996530.510000002</v>
      </c>
      <c r="R1494" s="14">
        <f>_xlfn.XLOOKUP(Table2[[#This Row],[LoanID]],Table1[G-L ID],Table1[ManagerCode],-99)</f>
        <v>103</v>
      </c>
      <c r="T1494"/>
    </row>
    <row r="1495" spans="1:20" x14ac:dyDescent="0.25">
      <c r="A1495">
        <v>20121130</v>
      </c>
      <c r="B1495">
        <v>2012</v>
      </c>
      <c r="C1495">
        <v>11</v>
      </c>
      <c r="D1495">
        <v>1</v>
      </c>
      <c r="E1495">
        <v>10400</v>
      </c>
      <c r="F1495">
        <v>386062.5</v>
      </c>
      <c r="G1495">
        <v>0</v>
      </c>
      <c r="H1495">
        <v>450000</v>
      </c>
      <c r="I1495">
        <v>0</v>
      </c>
      <c r="J1495">
        <v>-45000000</v>
      </c>
      <c r="K1495">
        <v>0</v>
      </c>
      <c r="L1495">
        <v>0</v>
      </c>
      <c r="M1495">
        <v>45000000</v>
      </c>
      <c r="N1495">
        <v>0</v>
      </c>
      <c r="O1495">
        <v>45000000</v>
      </c>
      <c r="P1495">
        <v>0</v>
      </c>
      <c r="Q1495">
        <v>45000000</v>
      </c>
      <c r="R1495" s="14">
        <f>_xlfn.XLOOKUP(Table2[[#This Row],[LoanID]],Table1[G-L ID],Table1[ManagerCode],-99)</f>
        <v>220</v>
      </c>
      <c r="T1495"/>
    </row>
    <row r="1496" spans="1:20" x14ac:dyDescent="0.25">
      <c r="A1496">
        <v>20121130</v>
      </c>
      <c r="B1496">
        <v>2012</v>
      </c>
      <c r="C1496">
        <v>11</v>
      </c>
      <c r="D1496">
        <v>1</v>
      </c>
      <c r="E1496">
        <v>10490</v>
      </c>
      <c r="F1496">
        <v>226041.67</v>
      </c>
      <c r="G1496">
        <v>0</v>
      </c>
      <c r="H1496">
        <v>0</v>
      </c>
      <c r="I1496">
        <v>0</v>
      </c>
      <c r="J1496">
        <v>0</v>
      </c>
      <c r="K1496">
        <v>0</v>
      </c>
      <c r="L1496">
        <v>25000000</v>
      </c>
      <c r="M1496">
        <v>25000000</v>
      </c>
      <c r="N1496">
        <v>25000000</v>
      </c>
      <c r="O1496">
        <v>25000000</v>
      </c>
      <c r="P1496">
        <v>25000000</v>
      </c>
      <c r="Q1496">
        <v>25000000</v>
      </c>
      <c r="R1496" s="14">
        <f>_xlfn.XLOOKUP(Table2[[#This Row],[LoanID]],Table1[G-L ID],Table1[ManagerCode],-99)</f>
        <v>220</v>
      </c>
      <c r="T1496"/>
    </row>
    <row r="1497" spans="1:20" x14ac:dyDescent="0.25">
      <c r="A1497">
        <v>20121130</v>
      </c>
      <c r="B1497">
        <v>2012</v>
      </c>
      <c r="C1497">
        <v>11</v>
      </c>
      <c r="D1497">
        <v>1</v>
      </c>
      <c r="E1497">
        <v>10550</v>
      </c>
      <c r="F1497">
        <v>16248.78</v>
      </c>
      <c r="G1497">
        <v>0</v>
      </c>
      <c r="H1497">
        <v>0</v>
      </c>
      <c r="I1497">
        <v>-9.24</v>
      </c>
      <c r="J1497">
        <v>0</v>
      </c>
      <c r="K1497">
        <v>2842359.52</v>
      </c>
      <c r="L1497">
        <v>3066474.56</v>
      </c>
      <c r="M1497">
        <v>224115.04</v>
      </c>
      <c r="N1497">
        <v>3066474.56</v>
      </c>
      <c r="O1497">
        <v>224115.04</v>
      </c>
      <c r="P1497">
        <v>3066474.56</v>
      </c>
      <c r="Q1497">
        <v>224115.04</v>
      </c>
      <c r="R1497" s="14">
        <f>_xlfn.XLOOKUP(Table2[[#This Row],[LoanID]],Table1[G-L ID],Table1[ManagerCode],-99)</f>
        <v>103</v>
      </c>
      <c r="T1497"/>
    </row>
    <row r="1498" spans="1:20" x14ac:dyDescent="0.25">
      <c r="A1498">
        <v>20121130</v>
      </c>
      <c r="B1498">
        <v>2012</v>
      </c>
      <c r="C1498">
        <v>11</v>
      </c>
      <c r="D1498">
        <v>1</v>
      </c>
      <c r="E1498">
        <v>10560</v>
      </c>
      <c r="F1498">
        <v>400803.24</v>
      </c>
      <c r="G1498">
        <v>0</v>
      </c>
      <c r="H1498">
        <v>0</v>
      </c>
      <c r="I1498">
        <v>-227.97</v>
      </c>
      <c r="J1498">
        <v>0</v>
      </c>
      <c r="K1498">
        <v>524743.29</v>
      </c>
      <c r="L1498">
        <v>75639705.510000005</v>
      </c>
      <c r="M1498">
        <v>75114962.510000005</v>
      </c>
      <c r="N1498">
        <v>75639705.510000005</v>
      </c>
      <c r="O1498">
        <v>75114962.510000005</v>
      </c>
      <c r="P1498">
        <v>75639705.510000005</v>
      </c>
      <c r="Q1498">
        <v>75114962.219999999</v>
      </c>
      <c r="R1498" s="14">
        <f>_xlfn.XLOOKUP(Table2[[#This Row],[LoanID]],Table1[G-L ID],Table1[ManagerCode],-99)</f>
        <v>103</v>
      </c>
      <c r="T1498"/>
    </row>
    <row r="1499" spans="1:20" x14ac:dyDescent="0.25">
      <c r="A1499">
        <v>20121130</v>
      </c>
      <c r="B1499">
        <v>2012</v>
      </c>
      <c r="C1499">
        <v>11</v>
      </c>
      <c r="D1499">
        <v>1</v>
      </c>
      <c r="E1499">
        <v>10630</v>
      </c>
      <c r="F1499">
        <v>48224.480000000003</v>
      </c>
      <c r="G1499">
        <v>0</v>
      </c>
      <c r="H1499">
        <v>0</v>
      </c>
      <c r="I1499">
        <v>-0.01</v>
      </c>
      <c r="J1499">
        <v>0</v>
      </c>
      <c r="K1499">
        <v>14391.61</v>
      </c>
      <c r="L1499">
        <v>9389285.0999999996</v>
      </c>
      <c r="M1499">
        <v>9382194.8599999994</v>
      </c>
      <c r="N1499">
        <v>9389285.0999999996</v>
      </c>
      <c r="O1499">
        <v>9382194.8599999994</v>
      </c>
      <c r="P1499">
        <v>9027981.4100000001</v>
      </c>
      <c r="Q1499">
        <v>9013589.8000000007</v>
      </c>
      <c r="R1499" s="14">
        <f>_xlfn.XLOOKUP(Table2[[#This Row],[LoanID]],Table1[G-L ID],Table1[ManagerCode],-99)</f>
        <v>103</v>
      </c>
      <c r="T1499"/>
    </row>
    <row r="1500" spans="1:20" x14ac:dyDescent="0.25">
      <c r="A1500">
        <v>20121130</v>
      </c>
      <c r="B1500">
        <v>2012</v>
      </c>
      <c r="C1500">
        <v>11</v>
      </c>
      <c r="D1500">
        <v>1</v>
      </c>
      <c r="E1500">
        <v>10690</v>
      </c>
      <c r="F1500">
        <v>1465.82</v>
      </c>
      <c r="G1500">
        <v>4411.09</v>
      </c>
      <c r="H1500">
        <v>0</v>
      </c>
      <c r="I1500">
        <v>0</v>
      </c>
      <c r="J1500">
        <v>-1465.82</v>
      </c>
      <c r="K1500">
        <v>0</v>
      </c>
      <c r="L1500">
        <v>1056120.95</v>
      </c>
      <c r="M1500">
        <v>1061997.8600000001</v>
      </c>
      <c r="N1500">
        <v>1056120.95</v>
      </c>
      <c r="O1500">
        <v>1061997.8600000001</v>
      </c>
      <c r="P1500">
        <v>1056120.95</v>
      </c>
      <c r="Q1500">
        <v>1061997.8600000001</v>
      </c>
      <c r="R1500" s="14">
        <f>_xlfn.XLOOKUP(Table2[[#This Row],[LoanID]],Table1[G-L ID],Table1[ManagerCode],-99)</f>
        <v>183</v>
      </c>
      <c r="T1500"/>
    </row>
    <row r="1501" spans="1:20" x14ac:dyDescent="0.25">
      <c r="A1501">
        <v>20121130</v>
      </c>
      <c r="B1501">
        <v>2012</v>
      </c>
      <c r="C1501">
        <v>11</v>
      </c>
      <c r="D1501">
        <v>1</v>
      </c>
      <c r="E1501">
        <v>10770</v>
      </c>
      <c r="F1501">
        <v>3641.67</v>
      </c>
      <c r="G1501">
        <v>0</v>
      </c>
      <c r="H1501">
        <v>0</v>
      </c>
      <c r="I1501">
        <v>0</v>
      </c>
      <c r="J1501">
        <v>0</v>
      </c>
      <c r="K1501">
        <v>0</v>
      </c>
      <c r="L1501">
        <v>109250000</v>
      </c>
      <c r="M1501">
        <v>109250000</v>
      </c>
      <c r="N1501">
        <v>109250000</v>
      </c>
      <c r="O1501">
        <v>109250000</v>
      </c>
      <c r="P1501">
        <v>115000000</v>
      </c>
      <c r="Q1501">
        <v>115000000</v>
      </c>
      <c r="R1501" s="14">
        <f>_xlfn.XLOOKUP(Table2[[#This Row],[LoanID]],Table1[G-L ID],Table1[ManagerCode],-99)</f>
        <v>103</v>
      </c>
      <c r="T1501"/>
    </row>
    <row r="1502" spans="1:20" x14ac:dyDescent="0.25">
      <c r="A1502">
        <v>20121130</v>
      </c>
      <c r="B1502">
        <v>2012</v>
      </c>
      <c r="C1502">
        <v>11</v>
      </c>
      <c r="D1502">
        <v>1</v>
      </c>
      <c r="E1502">
        <v>10880</v>
      </c>
      <c r="F1502">
        <v>269732.53000000003</v>
      </c>
      <c r="G1502">
        <v>0</v>
      </c>
      <c r="H1502">
        <v>0</v>
      </c>
      <c r="I1502">
        <v>0</v>
      </c>
      <c r="J1502">
        <v>0</v>
      </c>
      <c r="K1502">
        <v>0</v>
      </c>
      <c r="L1502">
        <v>199727153.09999999</v>
      </c>
      <c r="M1502">
        <v>199727153.09999999</v>
      </c>
      <c r="N1502">
        <v>199727153.09999999</v>
      </c>
      <c r="O1502">
        <v>199727153.09999999</v>
      </c>
      <c r="P1502">
        <v>201744599.09999999</v>
      </c>
      <c r="Q1502">
        <v>201744599.09999999</v>
      </c>
      <c r="R1502" s="14">
        <f>_xlfn.XLOOKUP(Table2[[#This Row],[LoanID]],Table1[G-L ID],Table1[ManagerCode],-99)</f>
        <v>103</v>
      </c>
      <c r="T1502"/>
    </row>
    <row r="1503" spans="1:20" x14ac:dyDescent="0.25">
      <c r="A1503">
        <v>20121130</v>
      </c>
      <c r="B1503">
        <v>2012</v>
      </c>
      <c r="C1503">
        <v>11</v>
      </c>
      <c r="D1503">
        <v>1</v>
      </c>
      <c r="E1503">
        <v>10900</v>
      </c>
      <c r="F1503">
        <v>81520.990000000005</v>
      </c>
      <c r="G1503">
        <v>0</v>
      </c>
      <c r="H1503">
        <v>0</v>
      </c>
      <c r="I1503">
        <v>0</v>
      </c>
      <c r="J1503">
        <v>0</v>
      </c>
      <c r="K1503">
        <v>2096.0700000000002</v>
      </c>
      <c r="L1503">
        <v>8176005.9199999999</v>
      </c>
      <c r="M1503">
        <v>8174014.6299999999</v>
      </c>
      <c r="N1503">
        <v>8176005.9199999999</v>
      </c>
      <c r="O1503">
        <v>8174014.6299999999</v>
      </c>
      <c r="P1503">
        <v>8606322.0099999998</v>
      </c>
      <c r="Q1503">
        <v>8604225.9399999995</v>
      </c>
      <c r="R1503" s="14">
        <f>_xlfn.XLOOKUP(Table2[[#This Row],[LoanID]],Table1[G-L ID],Table1[ManagerCode],-99)</f>
        <v>103</v>
      </c>
      <c r="T1503"/>
    </row>
    <row r="1504" spans="1:20" x14ac:dyDescent="0.25">
      <c r="A1504">
        <v>20121130</v>
      </c>
      <c r="B1504">
        <v>2012</v>
      </c>
      <c r="C1504">
        <v>11</v>
      </c>
      <c r="D1504">
        <v>1</v>
      </c>
      <c r="E1504">
        <v>10950</v>
      </c>
      <c r="F1504">
        <v>52132</v>
      </c>
      <c r="G1504">
        <v>0</v>
      </c>
      <c r="H1504">
        <v>0</v>
      </c>
      <c r="I1504">
        <v>0</v>
      </c>
      <c r="J1504">
        <v>0</v>
      </c>
      <c r="K1504">
        <v>24891.02</v>
      </c>
      <c r="L1504">
        <v>10391411.529999999</v>
      </c>
      <c r="M1504">
        <v>10366769.42</v>
      </c>
      <c r="N1504">
        <v>10391411.529999999</v>
      </c>
      <c r="O1504">
        <v>10366769.42</v>
      </c>
      <c r="P1504">
        <v>10496375.289999999</v>
      </c>
      <c r="Q1504">
        <v>10471484.27</v>
      </c>
      <c r="R1504" s="14">
        <f>_xlfn.XLOOKUP(Table2[[#This Row],[LoanID]],Table1[G-L ID],Table1[ManagerCode],-99)</f>
        <v>103</v>
      </c>
      <c r="T1504"/>
    </row>
    <row r="1505" spans="1:20" x14ac:dyDescent="0.25">
      <c r="A1505">
        <v>20121130</v>
      </c>
      <c r="B1505">
        <v>2012</v>
      </c>
      <c r="C1505">
        <v>11</v>
      </c>
      <c r="D1505">
        <v>1</v>
      </c>
      <c r="E1505">
        <v>10980</v>
      </c>
      <c r="F1505">
        <v>115899.87</v>
      </c>
      <c r="G1505">
        <v>18302.5</v>
      </c>
      <c r="H1505">
        <v>0</v>
      </c>
      <c r="I1505">
        <v>0</v>
      </c>
      <c r="J1505">
        <v>-1778332.7</v>
      </c>
      <c r="K1505">
        <v>0</v>
      </c>
      <c r="L1505">
        <v>14723092.039999999</v>
      </c>
      <c r="M1505">
        <v>16519727.24</v>
      </c>
      <c r="N1505">
        <v>14723092.039999999</v>
      </c>
      <c r="O1505">
        <v>16519727.24</v>
      </c>
      <c r="P1505">
        <v>14723092.039999999</v>
      </c>
      <c r="Q1505">
        <v>16519727.24</v>
      </c>
      <c r="R1505" s="14">
        <f>_xlfn.XLOOKUP(Table2[[#This Row],[LoanID]],Table1[G-L ID],Table1[ManagerCode],-99)</f>
        <v>183</v>
      </c>
      <c r="T1505"/>
    </row>
    <row r="1506" spans="1:20" x14ac:dyDescent="0.25">
      <c r="A1506">
        <v>20121130</v>
      </c>
      <c r="B1506">
        <v>2012</v>
      </c>
      <c r="C1506">
        <v>11</v>
      </c>
      <c r="D1506">
        <v>1</v>
      </c>
      <c r="E1506">
        <v>11070</v>
      </c>
      <c r="F1506">
        <v>150000</v>
      </c>
      <c r="G1506">
        <v>0</v>
      </c>
      <c r="H1506">
        <v>0</v>
      </c>
      <c r="I1506">
        <v>0</v>
      </c>
      <c r="J1506">
        <v>-18000000</v>
      </c>
      <c r="K1506">
        <v>0</v>
      </c>
      <c r="L1506">
        <v>0</v>
      </c>
      <c r="M1506">
        <v>17820017.82</v>
      </c>
      <c r="N1506">
        <v>0</v>
      </c>
      <c r="O1506">
        <v>17820017.82</v>
      </c>
      <c r="P1506">
        <v>0</v>
      </c>
      <c r="Q1506">
        <v>18000000</v>
      </c>
      <c r="R1506" s="14">
        <f>_xlfn.XLOOKUP(Table2[[#This Row],[LoanID]],Table1[G-L ID],Table1[ManagerCode],-99)</f>
        <v>103</v>
      </c>
      <c r="T1506"/>
    </row>
    <row r="1507" spans="1:20" x14ac:dyDescent="0.25">
      <c r="A1507">
        <v>20121130</v>
      </c>
      <c r="B1507">
        <v>2012</v>
      </c>
      <c r="C1507">
        <v>11</v>
      </c>
      <c r="D1507">
        <v>1</v>
      </c>
      <c r="E1507">
        <v>11110</v>
      </c>
      <c r="F1507">
        <v>98920.24</v>
      </c>
      <c r="G1507">
        <v>0</v>
      </c>
      <c r="H1507">
        <v>0</v>
      </c>
      <c r="I1507">
        <v>0</v>
      </c>
      <c r="J1507">
        <v>0</v>
      </c>
      <c r="K1507">
        <v>0</v>
      </c>
      <c r="L1507">
        <v>13672343.83</v>
      </c>
      <c r="M1507">
        <v>13672343.83</v>
      </c>
      <c r="N1507">
        <v>13672343.83</v>
      </c>
      <c r="O1507">
        <v>13672343.83</v>
      </c>
      <c r="P1507">
        <v>13672343.83</v>
      </c>
      <c r="Q1507">
        <v>13672343.83</v>
      </c>
      <c r="R1507" s="14">
        <f>_xlfn.XLOOKUP(Table2[[#This Row],[LoanID]],Table1[G-L ID],Table1[ManagerCode],-99)</f>
        <v>183</v>
      </c>
      <c r="T1507"/>
    </row>
    <row r="1508" spans="1:20" x14ac:dyDescent="0.25">
      <c r="A1508">
        <v>20121130</v>
      </c>
      <c r="B1508">
        <v>2012</v>
      </c>
      <c r="C1508">
        <v>11</v>
      </c>
      <c r="D1508">
        <v>1</v>
      </c>
      <c r="E1508">
        <v>11140</v>
      </c>
      <c r="F1508">
        <v>558363.03</v>
      </c>
      <c r="G1508">
        <v>0</v>
      </c>
      <c r="H1508">
        <v>0</v>
      </c>
      <c r="I1508">
        <v>0</v>
      </c>
      <c r="J1508">
        <v>0</v>
      </c>
      <c r="K1508">
        <v>0</v>
      </c>
      <c r="L1508">
        <v>71217305.870000005</v>
      </c>
      <c r="M1508">
        <v>71618877.430000007</v>
      </c>
      <c r="N1508">
        <v>71217305.870000005</v>
      </c>
      <c r="O1508">
        <v>71618877.430000007</v>
      </c>
      <c r="P1508">
        <v>72436285</v>
      </c>
      <c r="Q1508">
        <v>72436285</v>
      </c>
      <c r="R1508" s="14">
        <f>_xlfn.XLOOKUP(Table2[[#This Row],[LoanID]],Table1[G-L ID],Table1[ManagerCode],-99)</f>
        <v>103</v>
      </c>
      <c r="T1508"/>
    </row>
    <row r="1509" spans="1:20" x14ac:dyDescent="0.25">
      <c r="A1509">
        <v>20121130</v>
      </c>
      <c r="B1509">
        <v>2012</v>
      </c>
      <c r="C1509">
        <v>11</v>
      </c>
      <c r="D1509">
        <v>1</v>
      </c>
      <c r="E1509">
        <v>11190</v>
      </c>
      <c r="F1509">
        <v>1343654.01</v>
      </c>
      <c r="G1509">
        <v>0</v>
      </c>
      <c r="H1509">
        <v>0</v>
      </c>
      <c r="I1509">
        <v>-1721.97</v>
      </c>
      <c r="J1509">
        <v>0</v>
      </c>
      <c r="K1509">
        <v>0</v>
      </c>
      <c r="L1509">
        <v>189972289.90000001</v>
      </c>
      <c r="M1509">
        <v>189972289.90000001</v>
      </c>
      <c r="N1509">
        <v>189972289.90000001</v>
      </c>
      <c r="O1509">
        <v>189972289.90000001</v>
      </c>
      <c r="P1509">
        <v>199970831.5</v>
      </c>
      <c r="Q1509">
        <v>199970831.5</v>
      </c>
      <c r="R1509" s="14">
        <f>_xlfn.XLOOKUP(Table2[[#This Row],[LoanID]],Table1[G-L ID],Table1[ManagerCode],-99)</f>
        <v>103</v>
      </c>
      <c r="T1509"/>
    </row>
    <row r="1510" spans="1:20" x14ac:dyDescent="0.25">
      <c r="A1510">
        <v>20121130</v>
      </c>
      <c r="B1510">
        <v>2012</v>
      </c>
      <c r="C1510">
        <v>11</v>
      </c>
      <c r="D1510">
        <v>1</v>
      </c>
      <c r="E1510">
        <v>11200</v>
      </c>
      <c r="F1510">
        <v>54880</v>
      </c>
      <c r="G1510">
        <v>0</v>
      </c>
      <c r="H1510">
        <v>0</v>
      </c>
      <c r="I1510">
        <v>0</v>
      </c>
      <c r="J1510">
        <v>0</v>
      </c>
      <c r="K1510">
        <v>0</v>
      </c>
      <c r="L1510">
        <v>9878380.2599999998</v>
      </c>
      <c r="M1510">
        <v>9878380.2599999998</v>
      </c>
      <c r="N1510">
        <v>9878380.2599999998</v>
      </c>
      <c r="O1510">
        <v>9878380.2599999998</v>
      </c>
      <c r="P1510">
        <v>10976000</v>
      </c>
      <c r="Q1510">
        <v>10976000</v>
      </c>
      <c r="R1510" s="14">
        <f>_xlfn.XLOOKUP(Table2[[#This Row],[LoanID]],Table1[G-L ID],Table1[ManagerCode],-99)</f>
        <v>103</v>
      </c>
      <c r="T1510"/>
    </row>
    <row r="1511" spans="1:20" x14ac:dyDescent="0.25">
      <c r="A1511">
        <v>20121130</v>
      </c>
      <c r="B1511">
        <v>2012</v>
      </c>
      <c r="C1511">
        <v>11</v>
      </c>
      <c r="D1511">
        <v>1</v>
      </c>
      <c r="E1511">
        <v>11220</v>
      </c>
      <c r="F1511">
        <v>311937.5</v>
      </c>
      <c r="G1511">
        <v>0</v>
      </c>
      <c r="H1511">
        <v>0</v>
      </c>
      <c r="I1511">
        <v>0</v>
      </c>
      <c r="J1511">
        <v>0</v>
      </c>
      <c r="K1511">
        <v>0</v>
      </c>
      <c r="L1511">
        <v>34500000</v>
      </c>
      <c r="M1511">
        <v>34500000</v>
      </c>
      <c r="N1511">
        <v>34500000</v>
      </c>
      <c r="O1511">
        <v>34500000</v>
      </c>
      <c r="P1511">
        <v>34500000</v>
      </c>
      <c r="Q1511">
        <v>34500000</v>
      </c>
      <c r="R1511" s="14">
        <f>_xlfn.XLOOKUP(Table2[[#This Row],[LoanID]],Table1[G-L ID],Table1[ManagerCode],-99)</f>
        <v>220</v>
      </c>
      <c r="T1511"/>
    </row>
    <row r="1512" spans="1:20" x14ac:dyDescent="0.25">
      <c r="A1512">
        <v>20121130</v>
      </c>
      <c r="B1512">
        <v>2012</v>
      </c>
      <c r="C1512">
        <v>11</v>
      </c>
      <c r="D1512">
        <v>1</v>
      </c>
      <c r="E1512">
        <v>11230</v>
      </c>
      <c r="F1512">
        <v>249186.11</v>
      </c>
      <c r="G1512">
        <v>0</v>
      </c>
      <c r="H1512">
        <v>0</v>
      </c>
      <c r="I1512">
        <v>0</v>
      </c>
      <c r="J1512">
        <v>0</v>
      </c>
      <c r="K1512">
        <v>0</v>
      </c>
      <c r="L1512">
        <v>175436664</v>
      </c>
      <c r="M1512">
        <v>175436664</v>
      </c>
      <c r="N1512">
        <v>175436664</v>
      </c>
      <c r="O1512">
        <v>175436664</v>
      </c>
      <c r="P1512">
        <v>194929626.59999999</v>
      </c>
      <c r="Q1512">
        <v>194929626.59999999</v>
      </c>
      <c r="R1512" s="14">
        <f>_xlfn.XLOOKUP(Table2[[#This Row],[LoanID]],Table1[G-L ID],Table1[ManagerCode],-99)</f>
        <v>103</v>
      </c>
      <c r="T1512"/>
    </row>
    <row r="1513" spans="1:20" x14ac:dyDescent="0.25">
      <c r="A1513">
        <v>20121130</v>
      </c>
      <c r="B1513">
        <v>2012</v>
      </c>
      <c r="C1513">
        <v>11</v>
      </c>
      <c r="D1513">
        <v>1</v>
      </c>
      <c r="E1513">
        <v>11280</v>
      </c>
      <c r="F1513">
        <v>23689.34</v>
      </c>
      <c r="G1513">
        <v>0</v>
      </c>
      <c r="H1513">
        <v>0</v>
      </c>
      <c r="I1513">
        <v>-156.59</v>
      </c>
      <c r="J1513">
        <v>0</v>
      </c>
      <c r="K1513">
        <v>0</v>
      </c>
      <c r="L1513">
        <v>18558694.829999998</v>
      </c>
      <c r="M1513">
        <v>18581805.739999998</v>
      </c>
      <c r="N1513">
        <v>18558694.829999998</v>
      </c>
      <c r="O1513">
        <v>18581805.739999998</v>
      </c>
      <c r="P1513">
        <v>18791123.030000001</v>
      </c>
      <c r="Q1513">
        <v>18791123.030000001</v>
      </c>
      <c r="R1513" s="14">
        <f>_xlfn.XLOOKUP(Table2[[#This Row],[LoanID]],Table1[G-L ID],Table1[ManagerCode],-99)</f>
        <v>103</v>
      </c>
      <c r="T1513"/>
    </row>
    <row r="1514" spans="1:20" x14ac:dyDescent="0.25">
      <c r="A1514">
        <v>20121130</v>
      </c>
      <c r="B1514">
        <v>2012</v>
      </c>
      <c r="C1514">
        <v>11</v>
      </c>
      <c r="D1514">
        <v>1</v>
      </c>
      <c r="E1514">
        <v>11300</v>
      </c>
      <c r="F1514">
        <v>21320.41</v>
      </c>
      <c r="G1514">
        <v>0</v>
      </c>
      <c r="H1514">
        <v>0</v>
      </c>
      <c r="I1514">
        <v>-140.93</v>
      </c>
      <c r="J1514">
        <v>0</v>
      </c>
      <c r="K1514">
        <v>0</v>
      </c>
      <c r="L1514">
        <v>16702825.33</v>
      </c>
      <c r="M1514">
        <v>16723625.18</v>
      </c>
      <c r="N1514">
        <v>16702825.33</v>
      </c>
      <c r="O1514">
        <v>16723625.18</v>
      </c>
      <c r="P1514">
        <v>16912010.73</v>
      </c>
      <c r="Q1514">
        <v>16912010.73</v>
      </c>
      <c r="R1514" s="14">
        <f>_xlfn.XLOOKUP(Table2[[#This Row],[LoanID]],Table1[G-L ID],Table1[ManagerCode],-99)</f>
        <v>103</v>
      </c>
      <c r="T1514"/>
    </row>
    <row r="1515" spans="1:20" x14ac:dyDescent="0.25">
      <c r="A1515">
        <v>20121130</v>
      </c>
      <c r="B1515">
        <v>2012</v>
      </c>
      <c r="C1515">
        <v>11</v>
      </c>
      <c r="D1515">
        <v>1</v>
      </c>
      <c r="E1515">
        <v>11310</v>
      </c>
      <c r="F1515">
        <v>14213.61</v>
      </c>
      <c r="G1515">
        <v>0</v>
      </c>
      <c r="H1515">
        <v>0</v>
      </c>
      <c r="I1515">
        <v>-93.96</v>
      </c>
      <c r="J1515">
        <v>0</v>
      </c>
      <c r="K1515">
        <v>0</v>
      </c>
      <c r="L1515">
        <v>11138388.15</v>
      </c>
      <c r="M1515">
        <v>11151793.77</v>
      </c>
      <c r="N1515">
        <v>11138388.15</v>
      </c>
      <c r="O1515">
        <v>11151793.77</v>
      </c>
      <c r="P1515">
        <v>11274673.789999999</v>
      </c>
      <c r="Q1515">
        <v>11274673.789999999</v>
      </c>
      <c r="R1515" s="14">
        <f>_xlfn.XLOOKUP(Table2[[#This Row],[LoanID]],Table1[G-L ID],Table1[ManagerCode],-99)</f>
        <v>103</v>
      </c>
      <c r="T1515"/>
    </row>
    <row r="1516" spans="1:20" x14ac:dyDescent="0.25">
      <c r="A1516">
        <v>20121130</v>
      </c>
      <c r="B1516">
        <v>2012</v>
      </c>
      <c r="C1516">
        <v>11</v>
      </c>
      <c r="D1516">
        <v>1</v>
      </c>
      <c r="E1516">
        <v>11380</v>
      </c>
      <c r="F1516">
        <v>30407.919999999998</v>
      </c>
      <c r="G1516">
        <v>0</v>
      </c>
      <c r="H1516">
        <v>0</v>
      </c>
      <c r="I1516">
        <v>0</v>
      </c>
      <c r="J1516">
        <v>0</v>
      </c>
      <c r="K1516">
        <v>60292.08</v>
      </c>
      <c r="L1516">
        <v>5224941.8</v>
      </c>
      <c r="M1516">
        <v>5170755.76</v>
      </c>
      <c r="N1516">
        <v>5224941.8</v>
      </c>
      <c r="O1516">
        <v>5170755.76</v>
      </c>
      <c r="P1516">
        <v>4601450.7300000004</v>
      </c>
      <c r="Q1516">
        <v>4541158.6500000004</v>
      </c>
      <c r="R1516" s="14">
        <f>_xlfn.XLOOKUP(Table2[[#This Row],[LoanID]],Table1[G-L ID],Table1[ManagerCode],-99)</f>
        <v>103</v>
      </c>
      <c r="T1516"/>
    </row>
    <row r="1517" spans="1:20" x14ac:dyDescent="0.25">
      <c r="A1517">
        <v>20121130</v>
      </c>
      <c r="B1517">
        <v>2012</v>
      </c>
      <c r="C1517">
        <v>11</v>
      </c>
      <c r="D1517">
        <v>1</v>
      </c>
      <c r="E1517">
        <v>11620</v>
      </c>
      <c r="F1517">
        <v>34136.480000000003</v>
      </c>
      <c r="G1517">
        <v>13757.14</v>
      </c>
      <c r="H1517">
        <v>0</v>
      </c>
      <c r="I1517">
        <v>0</v>
      </c>
      <c r="J1517">
        <v>-182754.46</v>
      </c>
      <c r="K1517">
        <v>0</v>
      </c>
      <c r="L1517">
        <v>4169927.87</v>
      </c>
      <c r="M1517">
        <v>4366439.47</v>
      </c>
      <c r="N1517">
        <v>4169927.87</v>
      </c>
      <c r="O1517">
        <v>4366439.47</v>
      </c>
      <c r="P1517">
        <v>4169927.87</v>
      </c>
      <c r="Q1517">
        <v>4366439.47</v>
      </c>
      <c r="R1517" s="14">
        <f>_xlfn.XLOOKUP(Table2[[#This Row],[LoanID]],Table1[G-L ID],Table1[ManagerCode],-99)</f>
        <v>183</v>
      </c>
      <c r="T1517"/>
    </row>
    <row r="1518" spans="1:20" x14ac:dyDescent="0.25">
      <c r="A1518">
        <v>20121130</v>
      </c>
      <c r="B1518">
        <v>2012</v>
      </c>
      <c r="C1518">
        <v>11</v>
      </c>
      <c r="D1518">
        <v>1</v>
      </c>
      <c r="E1518">
        <v>11630</v>
      </c>
      <c r="F1518">
        <v>251659.44</v>
      </c>
      <c r="G1518">
        <v>0</v>
      </c>
      <c r="H1518">
        <v>1527767.75</v>
      </c>
      <c r="I1518">
        <v>0</v>
      </c>
      <c r="J1518">
        <v>0</v>
      </c>
      <c r="K1518">
        <v>26190878.77</v>
      </c>
      <c r="L1518">
        <v>26190878.77</v>
      </c>
      <c r="M1518">
        <v>0</v>
      </c>
      <c r="N1518">
        <v>26190878.77</v>
      </c>
      <c r="O1518">
        <v>0</v>
      </c>
      <c r="P1518">
        <v>26190878.77</v>
      </c>
      <c r="Q1518">
        <v>0</v>
      </c>
      <c r="R1518" s="14">
        <f>_xlfn.XLOOKUP(Table2[[#This Row],[LoanID]],Table1[G-L ID],Table1[ManagerCode],-99)</f>
        <v>183</v>
      </c>
      <c r="T1518"/>
    </row>
    <row r="1519" spans="1:20" x14ac:dyDescent="0.25">
      <c r="A1519">
        <v>20121130</v>
      </c>
      <c r="B1519">
        <v>2012</v>
      </c>
      <c r="C1519">
        <v>11</v>
      </c>
      <c r="D1519">
        <v>1</v>
      </c>
      <c r="E1519">
        <v>11650</v>
      </c>
      <c r="F1519">
        <v>75000</v>
      </c>
      <c r="G1519">
        <v>0</v>
      </c>
      <c r="H1519">
        <v>0</v>
      </c>
      <c r="I1519">
        <v>0</v>
      </c>
      <c r="J1519">
        <v>0</v>
      </c>
      <c r="K1519">
        <v>0</v>
      </c>
      <c r="L1519">
        <v>9600000</v>
      </c>
      <c r="M1519">
        <v>9600000</v>
      </c>
      <c r="N1519">
        <v>9600000</v>
      </c>
      <c r="O1519">
        <v>9600000</v>
      </c>
      <c r="P1519">
        <v>12000000</v>
      </c>
      <c r="Q1519">
        <v>12000000</v>
      </c>
      <c r="R1519" s="14">
        <f>_xlfn.XLOOKUP(Table2[[#This Row],[LoanID]],Table1[G-L ID],Table1[ManagerCode],-99)</f>
        <v>103</v>
      </c>
      <c r="T1519"/>
    </row>
    <row r="1520" spans="1:20" x14ac:dyDescent="0.25">
      <c r="A1520">
        <v>20121130</v>
      </c>
      <c r="B1520">
        <v>2012</v>
      </c>
      <c r="C1520">
        <v>11</v>
      </c>
      <c r="D1520">
        <v>1</v>
      </c>
      <c r="E1520">
        <v>11770</v>
      </c>
      <c r="F1520">
        <v>585555.56000000006</v>
      </c>
      <c r="G1520">
        <v>0</v>
      </c>
      <c r="H1520">
        <v>0</v>
      </c>
      <c r="I1520">
        <v>0</v>
      </c>
      <c r="J1520">
        <v>0</v>
      </c>
      <c r="K1520">
        <v>759219.44</v>
      </c>
      <c r="L1520">
        <v>68000000</v>
      </c>
      <c r="M1520">
        <v>67240780.560000002</v>
      </c>
      <c r="N1520">
        <v>68000000</v>
      </c>
      <c r="O1520">
        <v>67240780.560000002</v>
      </c>
      <c r="P1520">
        <v>68000000</v>
      </c>
      <c r="Q1520">
        <v>67240780.560000002</v>
      </c>
      <c r="R1520" s="14">
        <f>_xlfn.XLOOKUP(Table2[[#This Row],[LoanID]],Table1[G-L ID],Table1[ManagerCode],-99)</f>
        <v>119</v>
      </c>
      <c r="T1520"/>
    </row>
    <row r="1521" spans="1:20" x14ac:dyDescent="0.25">
      <c r="A1521">
        <v>20121130</v>
      </c>
      <c r="B1521">
        <v>2012</v>
      </c>
      <c r="C1521">
        <v>11</v>
      </c>
      <c r="D1521">
        <v>1</v>
      </c>
      <c r="E1521">
        <v>11780</v>
      </c>
      <c r="F1521">
        <v>181312.07</v>
      </c>
      <c r="G1521">
        <v>0</v>
      </c>
      <c r="H1521">
        <v>0</v>
      </c>
      <c r="I1521">
        <v>-1115.76</v>
      </c>
      <c r="J1521">
        <v>0</v>
      </c>
      <c r="K1521">
        <v>0</v>
      </c>
      <c r="L1521">
        <v>27599788.510000002</v>
      </c>
      <c r="M1521">
        <v>27599788.510000002</v>
      </c>
      <c r="N1521">
        <v>27599788.510000002</v>
      </c>
      <c r="O1521">
        <v>27599788.510000002</v>
      </c>
      <c r="P1521">
        <v>64786446.619999997</v>
      </c>
      <c r="Q1521">
        <v>64786446.619999997</v>
      </c>
      <c r="R1521" s="14">
        <f>_xlfn.XLOOKUP(Table2[[#This Row],[LoanID]],Table1[G-L ID],Table1[ManagerCode],-99)</f>
        <v>103</v>
      </c>
      <c r="T1521"/>
    </row>
    <row r="1522" spans="1:20" x14ac:dyDescent="0.25">
      <c r="A1522">
        <v>20121130</v>
      </c>
      <c r="B1522">
        <v>2012</v>
      </c>
      <c r="C1522">
        <v>11</v>
      </c>
      <c r="D1522">
        <v>1</v>
      </c>
      <c r="E1522">
        <v>11800</v>
      </c>
      <c r="F1522">
        <v>161678.54999999999</v>
      </c>
      <c r="G1522">
        <v>0</v>
      </c>
      <c r="H1522">
        <v>0</v>
      </c>
      <c r="I1522">
        <v>-272.05</v>
      </c>
      <c r="J1522">
        <v>0</v>
      </c>
      <c r="K1522">
        <v>57998.53</v>
      </c>
      <c r="L1522">
        <v>30013145.199999999</v>
      </c>
      <c r="M1522">
        <v>29958046.539999999</v>
      </c>
      <c r="N1522">
        <v>30013145.199999999</v>
      </c>
      <c r="O1522">
        <v>29958046.539999999</v>
      </c>
      <c r="P1522">
        <v>31592752.800000001</v>
      </c>
      <c r="Q1522">
        <v>31534754.27</v>
      </c>
      <c r="R1522" s="14">
        <f>_xlfn.XLOOKUP(Table2[[#This Row],[LoanID]],Table1[G-L ID],Table1[ManagerCode],-99)</f>
        <v>103</v>
      </c>
      <c r="T1522"/>
    </row>
    <row r="1523" spans="1:20" x14ac:dyDescent="0.25">
      <c r="A1523">
        <v>20121130</v>
      </c>
      <c r="B1523">
        <v>2012</v>
      </c>
      <c r="C1523">
        <v>11</v>
      </c>
      <c r="D1523">
        <v>1</v>
      </c>
      <c r="E1523">
        <v>11810</v>
      </c>
      <c r="F1523">
        <v>50916.18</v>
      </c>
      <c r="G1523">
        <v>0</v>
      </c>
      <c r="H1523">
        <v>0</v>
      </c>
      <c r="I1523">
        <v>0</v>
      </c>
      <c r="J1523">
        <v>0</v>
      </c>
      <c r="K1523">
        <v>9941.91</v>
      </c>
      <c r="L1523">
        <v>9851534.0399999991</v>
      </c>
      <c r="M1523">
        <v>9841691.5399999991</v>
      </c>
      <c r="N1523">
        <v>9851534.0399999991</v>
      </c>
      <c r="O1523">
        <v>9841691.5399999991</v>
      </c>
      <c r="P1523">
        <v>9951044.4700000007</v>
      </c>
      <c r="Q1523">
        <v>9941102.5600000005</v>
      </c>
      <c r="R1523" s="14">
        <f>_xlfn.XLOOKUP(Table2[[#This Row],[LoanID]],Table1[G-L ID],Table1[ManagerCode],-99)</f>
        <v>103</v>
      </c>
      <c r="T1523"/>
    </row>
    <row r="1524" spans="1:20" x14ac:dyDescent="0.25">
      <c r="A1524">
        <v>20121130</v>
      </c>
      <c r="B1524">
        <v>2012</v>
      </c>
      <c r="C1524">
        <v>11</v>
      </c>
      <c r="D1524">
        <v>1</v>
      </c>
      <c r="E1524">
        <v>11840</v>
      </c>
      <c r="F1524">
        <v>28182</v>
      </c>
      <c r="G1524">
        <v>55071.32</v>
      </c>
      <c r="H1524">
        <v>0</v>
      </c>
      <c r="I1524">
        <v>0</v>
      </c>
      <c r="J1524">
        <v>-28182</v>
      </c>
      <c r="K1524">
        <v>0</v>
      </c>
      <c r="L1524">
        <v>7725924.5</v>
      </c>
      <c r="M1524">
        <v>7809177.8200000003</v>
      </c>
      <c r="N1524">
        <v>7725924.5</v>
      </c>
      <c r="O1524">
        <v>7809177.8200000003</v>
      </c>
      <c r="P1524">
        <v>7725924.5</v>
      </c>
      <c r="Q1524">
        <v>7809177.8200000003</v>
      </c>
      <c r="R1524" s="14">
        <f>_xlfn.XLOOKUP(Table2[[#This Row],[LoanID]],Table1[G-L ID],Table1[ManagerCode],-99)</f>
        <v>183</v>
      </c>
      <c r="T1524"/>
    </row>
    <row r="1525" spans="1:20" x14ac:dyDescent="0.25">
      <c r="A1525">
        <v>20121130</v>
      </c>
      <c r="B1525">
        <v>2012</v>
      </c>
      <c r="C1525">
        <v>11</v>
      </c>
      <c r="D1525">
        <v>1</v>
      </c>
      <c r="E1525">
        <v>11970</v>
      </c>
      <c r="F1525">
        <v>68319.360000000001</v>
      </c>
      <c r="G1525">
        <v>39763.550000000003</v>
      </c>
      <c r="H1525">
        <v>0</v>
      </c>
      <c r="I1525">
        <v>0</v>
      </c>
      <c r="J1525">
        <v>-68319.360000000001</v>
      </c>
      <c r="K1525">
        <v>0</v>
      </c>
      <c r="L1525">
        <v>7667200.6600000001</v>
      </c>
      <c r="M1525">
        <v>7775283.5700000003</v>
      </c>
      <c r="N1525">
        <v>7667200.6600000001</v>
      </c>
      <c r="O1525">
        <v>7775283.5700000003</v>
      </c>
      <c r="P1525">
        <v>7667200.6600000001</v>
      </c>
      <c r="Q1525">
        <v>7775283.5700000003</v>
      </c>
      <c r="R1525" s="14">
        <f>_xlfn.XLOOKUP(Table2[[#This Row],[LoanID]],Table1[G-L ID],Table1[ManagerCode],-99)</f>
        <v>183</v>
      </c>
      <c r="T1525"/>
    </row>
    <row r="1526" spans="1:20" x14ac:dyDescent="0.25">
      <c r="A1526">
        <v>20121130</v>
      </c>
      <c r="B1526">
        <v>2012</v>
      </c>
      <c r="C1526">
        <v>11</v>
      </c>
      <c r="D1526">
        <v>1</v>
      </c>
      <c r="E1526">
        <v>12020</v>
      </c>
      <c r="F1526">
        <v>60459.98</v>
      </c>
      <c r="G1526">
        <v>60875</v>
      </c>
      <c r="H1526">
        <v>0</v>
      </c>
      <c r="I1526">
        <v>0</v>
      </c>
      <c r="J1526">
        <v>-60459.98</v>
      </c>
      <c r="K1526">
        <v>0</v>
      </c>
      <c r="L1526">
        <v>9484492.8699999992</v>
      </c>
      <c r="M1526">
        <v>9605827.8499999996</v>
      </c>
      <c r="N1526">
        <v>9484492.8699999992</v>
      </c>
      <c r="O1526">
        <v>9605827.8499999996</v>
      </c>
      <c r="P1526">
        <v>9484492.8699999992</v>
      </c>
      <c r="Q1526">
        <v>9605827.8499999996</v>
      </c>
      <c r="R1526" s="14">
        <f>_xlfn.XLOOKUP(Table2[[#This Row],[LoanID]],Table1[G-L ID],Table1[ManagerCode],-99)</f>
        <v>183</v>
      </c>
      <c r="T1526"/>
    </row>
    <row r="1527" spans="1:20" x14ac:dyDescent="0.25">
      <c r="A1527">
        <v>20121130</v>
      </c>
      <c r="B1527">
        <v>2012</v>
      </c>
      <c r="C1527">
        <v>11</v>
      </c>
      <c r="D1527">
        <v>1</v>
      </c>
      <c r="E1527">
        <v>12090</v>
      </c>
      <c r="F1527">
        <v>164467.92000000001</v>
      </c>
      <c r="G1527">
        <v>0</v>
      </c>
      <c r="H1527">
        <v>0</v>
      </c>
      <c r="I1527">
        <v>0</v>
      </c>
      <c r="J1527">
        <v>0</v>
      </c>
      <c r="K1527">
        <v>0</v>
      </c>
      <c r="L1527">
        <v>17500000</v>
      </c>
      <c r="M1527">
        <v>17500000</v>
      </c>
      <c r="N1527">
        <v>17500000</v>
      </c>
      <c r="O1527">
        <v>17500000</v>
      </c>
      <c r="P1527">
        <v>17500000</v>
      </c>
      <c r="Q1527">
        <v>17500000</v>
      </c>
      <c r="R1527" s="14">
        <f>_xlfn.XLOOKUP(Table2[[#This Row],[LoanID]],Table1[G-L ID],Table1[ManagerCode],-99)</f>
        <v>220</v>
      </c>
      <c r="T1527"/>
    </row>
    <row r="1528" spans="1:20" x14ac:dyDescent="0.25">
      <c r="A1528">
        <v>20121130</v>
      </c>
      <c r="B1528">
        <v>2012</v>
      </c>
      <c r="C1528">
        <v>11</v>
      </c>
      <c r="D1528">
        <v>1</v>
      </c>
      <c r="E1528">
        <v>12100</v>
      </c>
      <c r="F1528">
        <v>3025.14</v>
      </c>
      <c r="G1528">
        <v>14875.56</v>
      </c>
      <c r="H1528">
        <v>0</v>
      </c>
      <c r="I1528">
        <v>0</v>
      </c>
      <c r="J1528">
        <v>-1538340.41</v>
      </c>
      <c r="K1528">
        <v>0</v>
      </c>
      <c r="L1528">
        <v>610186.72</v>
      </c>
      <c r="M1528">
        <v>2163402.69</v>
      </c>
      <c r="N1528">
        <v>610186.72</v>
      </c>
      <c r="O1528">
        <v>2163402.69</v>
      </c>
      <c r="P1528">
        <v>610186.72</v>
      </c>
      <c r="Q1528">
        <v>2163402.69</v>
      </c>
      <c r="R1528" s="14">
        <f>_xlfn.XLOOKUP(Table2[[#This Row],[LoanID]],Table1[G-L ID],Table1[ManagerCode],-99)</f>
        <v>183</v>
      </c>
      <c r="T1528"/>
    </row>
    <row r="1529" spans="1:20" x14ac:dyDescent="0.25">
      <c r="A1529">
        <v>20121130</v>
      </c>
      <c r="B1529">
        <v>2012</v>
      </c>
      <c r="C1529">
        <v>11</v>
      </c>
      <c r="D1529">
        <v>1</v>
      </c>
      <c r="E1529">
        <v>12130</v>
      </c>
      <c r="F1529">
        <v>37310.99</v>
      </c>
      <c r="G1529">
        <v>0</v>
      </c>
      <c r="H1529">
        <v>0</v>
      </c>
      <c r="I1529">
        <v>0</v>
      </c>
      <c r="J1529">
        <v>-681237.46</v>
      </c>
      <c r="K1529">
        <v>0</v>
      </c>
      <c r="L1529">
        <v>3385700.31</v>
      </c>
      <c r="M1529">
        <v>4066937.77</v>
      </c>
      <c r="N1529">
        <v>3385700.31</v>
      </c>
      <c r="O1529">
        <v>4066937.77</v>
      </c>
      <c r="P1529">
        <v>3385700.31</v>
      </c>
      <c r="Q1529">
        <v>4066937.77</v>
      </c>
      <c r="R1529" s="14">
        <f>_xlfn.XLOOKUP(Table2[[#This Row],[LoanID]],Table1[G-L ID],Table1[ManagerCode],-99)</f>
        <v>183</v>
      </c>
      <c r="T1529"/>
    </row>
    <row r="1530" spans="1:20" x14ac:dyDescent="0.25">
      <c r="A1530">
        <v>20121130</v>
      </c>
      <c r="B1530">
        <v>2012</v>
      </c>
      <c r="C1530">
        <v>11</v>
      </c>
      <c r="D1530">
        <v>1</v>
      </c>
      <c r="E1530">
        <v>12210</v>
      </c>
      <c r="F1530">
        <v>709155.82</v>
      </c>
      <c r="G1530">
        <v>0</v>
      </c>
      <c r="H1530">
        <v>0</v>
      </c>
      <c r="I1530">
        <v>0</v>
      </c>
      <c r="J1530">
        <v>0</v>
      </c>
      <c r="K1530">
        <v>192809.49</v>
      </c>
      <c r="L1530">
        <v>138068692.19999999</v>
      </c>
      <c r="M1530">
        <v>138487710.59999999</v>
      </c>
      <c r="N1530">
        <v>138068692.19999999</v>
      </c>
      <c r="O1530">
        <v>138487710.59999999</v>
      </c>
      <c r="P1530">
        <v>114742556.5</v>
      </c>
      <c r="Q1530">
        <v>114549747</v>
      </c>
      <c r="R1530" s="14">
        <f>_xlfn.XLOOKUP(Table2[[#This Row],[LoanID]],Table1[G-L ID],Table1[ManagerCode],-99)</f>
        <v>103</v>
      </c>
      <c r="T1530"/>
    </row>
    <row r="1531" spans="1:20" x14ac:dyDescent="0.25">
      <c r="A1531">
        <v>20121130</v>
      </c>
      <c r="B1531">
        <v>2012</v>
      </c>
      <c r="C1531">
        <v>11</v>
      </c>
      <c r="D1531">
        <v>1</v>
      </c>
      <c r="E1531">
        <v>12230</v>
      </c>
      <c r="F1531">
        <v>326712.90999999997</v>
      </c>
      <c r="G1531">
        <v>0</v>
      </c>
      <c r="H1531">
        <v>0</v>
      </c>
      <c r="I1531">
        <v>0</v>
      </c>
      <c r="J1531">
        <v>0</v>
      </c>
      <c r="K1531">
        <v>0</v>
      </c>
      <c r="L1531">
        <v>54383094</v>
      </c>
      <c r="M1531">
        <v>54383094</v>
      </c>
      <c r="N1531">
        <v>54383094</v>
      </c>
      <c r="O1531">
        <v>54383094</v>
      </c>
      <c r="P1531">
        <v>54383094</v>
      </c>
      <c r="Q1531">
        <v>54383094</v>
      </c>
      <c r="R1531" s="14">
        <f>_xlfn.XLOOKUP(Table2[[#This Row],[LoanID]],Table1[G-L ID],Table1[ManagerCode],-99)</f>
        <v>183</v>
      </c>
      <c r="T1531"/>
    </row>
    <row r="1532" spans="1:20" x14ac:dyDescent="0.25">
      <c r="A1532">
        <v>20121231</v>
      </c>
      <c r="B1532">
        <v>2012</v>
      </c>
      <c r="C1532">
        <v>12</v>
      </c>
      <c r="D1532">
        <v>1</v>
      </c>
      <c r="E1532">
        <v>10050</v>
      </c>
      <c r="F1532">
        <v>149013.89000000001</v>
      </c>
      <c r="G1532">
        <v>0</v>
      </c>
      <c r="H1532">
        <v>0</v>
      </c>
      <c r="I1532">
        <v>0</v>
      </c>
      <c r="J1532">
        <v>0</v>
      </c>
      <c r="K1532">
        <v>0</v>
      </c>
      <c r="L1532">
        <v>38788129.719999999</v>
      </c>
      <c r="M1532">
        <v>38274541.990000002</v>
      </c>
      <c r="N1532">
        <v>38788129.719999999</v>
      </c>
      <c r="O1532">
        <v>38274541.990000002</v>
      </c>
      <c r="P1532">
        <v>33333334</v>
      </c>
      <c r="Q1532">
        <v>33333334</v>
      </c>
      <c r="R1532" s="14">
        <f>_xlfn.XLOOKUP(Table2[[#This Row],[LoanID]],Table1[G-L ID],Table1[ManagerCode],-99)</f>
        <v>103</v>
      </c>
      <c r="T1532"/>
    </row>
    <row r="1533" spans="1:20" x14ac:dyDescent="0.25">
      <c r="A1533">
        <v>20121231</v>
      </c>
      <c r="B1533">
        <v>2012</v>
      </c>
      <c r="C1533">
        <v>12</v>
      </c>
      <c r="D1533">
        <v>1</v>
      </c>
      <c r="E1533">
        <v>10060</v>
      </c>
      <c r="F1533">
        <v>120833.33</v>
      </c>
      <c r="G1533">
        <v>0</v>
      </c>
      <c r="H1533">
        <v>0</v>
      </c>
      <c r="I1533">
        <v>0</v>
      </c>
      <c r="J1533">
        <v>0</v>
      </c>
      <c r="K1533">
        <v>0</v>
      </c>
      <c r="L1533">
        <v>19854285.719999999</v>
      </c>
      <c r="M1533">
        <v>19859142.850000001</v>
      </c>
      <c r="N1533">
        <v>19854285.719999999</v>
      </c>
      <c r="O1533">
        <v>19859142.850000001</v>
      </c>
      <c r="P1533">
        <v>20000000</v>
      </c>
      <c r="Q1533">
        <v>20000000</v>
      </c>
      <c r="R1533" s="14">
        <f>_xlfn.XLOOKUP(Table2[[#This Row],[LoanID]],Table1[G-L ID],Table1[ManagerCode],-99)</f>
        <v>103</v>
      </c>
      <c r="T1533"/>
    </row>
    <row r="1534" spans="1:20" x14ac:dyDescent="0.25">
      <c r="A1534">
        <v>20121231</v>
      </c>
      <c r="B1534">
        <v>2012</v>
      </c>
      <c r="C1534">
        <v>12</v>
      </c>
      <c r="D1534">
        <v>1</v>
      </c>
      <c r="E1534">
        <v>10080</v>
      </c>
      <c r="F1534">
        <v>339718.75</v>
      </c>
      <c r="G1534">
        <v>0</v>
      </c>
      <c r="H1534">
        <v>0</v>
      </c>
      <c r="I1534">
        <v>-156.25</v>
      </c>
      <c r="J1534">
        <v>0</v>
      </c>
      <c r="K1534">
        <v>0</v>
      </c>
      <c r="L1534">
        <v>74249925.75</v>
      </c>
      <c r="M1534">
        <v>74249925.75</v>
      </c>
      <c r="N1534">
        <v>74249925.75</v>
      </c>
      <c r="O1534">
        <v>74249925.75</v>
      </c>
      <c r="P1534">
        <v>75000000</v>
      </c>
      <c r="Q1534">
        <v>75000000</v>
      </c>
      <c r="R1534" s="14">
        <f>_xlfn.XLOOKUP(Table2[[#This Row],[LoanID]],Table1[G-L ID],Table1[ManagerCode],-99)</f>
        <v>103</v>
      </c>
      <c r="T1534"/>
    </row>
    <row r="1535" spans="1:20" x14ac:dyDescent="0.25">
      <c r="A1535">
        <v>20121231</v>
      </c>
      <c r="B1535">
        <v>2012</v>
      </c>
      <c r="C1535">
        <v>12</v>
      </c>
      <c r="D1535">
        <v>1</v>
      </c>
      <c r="E1535">
        <v>10130</v>
      </c>
      <c r="F1535">
        <v>34069.53</v>
      </c>
      <c r="G1535">
        <v>0</v>
      </c>
      <c r="H1535">
        <v>0</v>
      </c>
      <c r="I1535">
        <v>0</v>
      </c>
      <c r="J1535">
        <v>0</v>
      </c>
      <c r="K1535">
        <v>33621.160000000003</v>
      </c>
      <c r="L1535">
        <v>7720195.2699999996</v>
      </c>
      <c r="M1535">
        <v>7669083.4400000004</v>
      </c>
      <c r="N1535">
        <v>7720195.2699999996</v>
      </c>
      <c r="O1535">
        <v>7669083.4400000004</v>
      </c>
      <c r="P1535">
        <v>7529177.54</v>
      </c>
      <c r="Q1535">
        <v>7495556.3799999999</v>
      </c>
      <c r="R1535" s="14">
        <f>_xlfn.XLOOKUP(Table2[[#This Row],[LoanID]],Table1[G-L ID],Table1[ManagerCode],-99)</f>
        <v>103</v>
      </c>
      <c r="T1535"/>
    </row>
    <row r="1536" spans="1:20" x14ac:dyDescent="0.25">
      <c r="A1536">
        <v>20121231</v>
      </c>
      <c r="B1536">
        <v>2012</v>
      </c>
      <c r="C1536">
        <v>12</v>
      </c>
      <c r="D1536">
        <v>1</v>
      </c>
      <c r="E1536">
        <v>10140</v>
      </c>
      <c r="F1536">
        <v>89898.95</v>
      </c>
      <c r="G1536">
        <v>0</v>
      </c>
      <c r="H1536">
        <v>0</v>
      </c>
      <c r="I1536">
        <v>0</v>
      </c>
      <c r="J1536">
        <v>0</v>
      </c>
      <c r="K1536">
        <v>87925.38</v>
      </c>
      <c r="L1536">
        <v>20371322.050000001</v>
      </c>
      <c r="M1536">
        <v>20237245.280000001</v>
      </c>
      <c r="N1536">
        <v>20371322.050000001</v>
      </c>
      <c r="O1536">
        <v>20237245.280000001</v>
      </c>
      <c r="P1536">
        <v>19867172.059999999</v>
      </c>
      <c r="Q1536">
        <v>19779246.68</v>
      </c>
      <c r="R1536" s="14">
        <f>_xlfn.XLOOKUP(Table2[[#This Row],[LoanID]],Table1[G-L ID],Table1[ManagerCode],-99)</f>
        <v>103</v>
      </c>
      <c r="T1536"/>
    </row>
    <row r="1537" spans="1:20" x14ac:dyDescent="0.25">
      <c r="A1537">
        <v>20121231</v>
      </c>
      <c r="B1537">
        <v>2012</v>
      </c>
      <c r="C1537">
        <v>12</v>
      </c>
      <c r="D1537">
        <v>1</v>
      </c>
      <c r="E1537">
        <v>10170</v>
      </c>
      <c r="F1537">
        <v>236422.01</v>
      </c>
      <c r="G1537">
        <v>0</v>
      </c>
      <c r="H1537">
        <v>0</v>
      </c>
      <c r="I1537">
        <v>-1133.01</v>
      </c>
      <c r="J1537">
        <v>0</v>
      </c>
      <c r="K1537">
        <v>77419.64</v>
      </c>
      <c r="L1537">
        <v>48422110.079999998</v>
      </c>
      <c r="M1537">
        <v>48224137.020000003</v>
      </c>
      <c r="N1537">
        <v>48422110.079999998</v>
      </c>
      <c r="O1537">
        <v>48224137.020000003</v>
      </c>
      <c r="P1537">
        <v>45320512.539999999</v>
      </c>
      <c r="Q1537">
        <v>45243092.899999999</v>
      </c>
      <c r="R1537" s="14">
        <f>_xlfn.XLOOKUP(Table2[[#This Row],[LoanID]],Table1[G-L ID],Table1[ManagerCode],-99)</f>
        <v>103</v>
      </c>
      <c r="T1537"/>
    </row>
    <row r="1538" spans="1:20" x14ac:dyDescent="0.25">
      <c r="A1538">
        <v>20121231</v>
      </c>
      <c r="B1538">
        <v>2012</v>
      </c>
      <c r="C1538">
        <v>12</v>
      </c>
      <c r="D1538">
        <v>1</v>
      </c>
      <c r="E1538">
        <v>10210</v>
      </c>
      <c r="F1538">
        <v>51621.2</v>
      </c>
      <c r="G1538">
        <v>87086.16</v>
      </c>
      <c r="H1538">
        <v>0</v>
      </c>
      <c r="I1538">
        <v>0</v>
      </c>
      <c r="J1538">
        <v>-51621.2</v>
      </c>
      <c r="K1538">
        <v>0</v>
      </c>
      <c r="L1538">
        <v>11080385.939999999</v>
      </c>
      <c r="M1538">
        <v>11219093.300000001</v>
      </c>
      <c r="N1538">
        <v>11080385.939999999</v>
      </c>
      <c r="O1538">
        <v>11219093.300000001</v>
      </c>
      <c r="P1538">
        <v>11080385.939999999</v>
      </c>
      <c r="Q1538">
        <v>11219093.300000001</v>
      </c>
      <c r="R1538" s="14">
        <f>_xlfn.XLOOKUP(Table2[[#This Row],[LoanID]],Table1[G-L ID],Table1[ManagerCode],-99)</f>
        <v>183</v>
      </c>
      <c r="T1538"/>
    </row>
    <row r="1539" spans="1:20" x14ac:dyDescent="0.25">
      <c r="A1539">
        <v>20121231</v>
      </c>
      <c r="B1539">
        <v>2012</v>
      </c>
      <c r="C1539">
        <v>12</v>
      </c>
      <c r="D1539">
        <v>1</v>
      </c>
      <c r="E1539">
        <v>10220</v>
      </c>
      <c r="F1539">
        <v>1101388.8899999999</v>
      </c>
      <c r="G1539">
        <v>0</v>
      </c>
      <c r="H1539">
        <v>0</v>
      </c>
      <c r="I1539">
        <v>0</v>
      </c>
      <c r="J1539">
        <v>0</v>
      </c>
      <c r="K1539">
        <v>0</v>
      </c>
      <c r="L1539">
        <v>99000000</v>
      </c>
      <c r="M1539">
        <v>99000000</v>
      </c>
      <c r="N1539">
        <v>99000000</v>
      </c>
      <c r="O1539">
        <v>99000000</v>
      </c>
      <c r="P1539">
        <v>100000000</v>
      </c>
      <c r="Q1539">
        <v>100000000</v>
      </c>
      <c r="R1539" s="14">
        <f>_xlfn.XLOOKUP(Table2[[#This Row],[LoanID]],Table1[G-L ID],Table1[ManagerCode],-99)</f>
        <v>103</v>
      </c>
      <c r="T1539"/>
    </row>
    <row r="1540" spans="1:20" x14ac:dyDescent="0.25">
      <c r="A1540">
        <v>20121231</v>
      </c>
      <c r="B1540">
        <v>2012</v>
      </c>
      <c r="C1540">
        <v>12</v>
      </c>
      <c r="D1540">
        <v>1</v>
      </c>
      <c r="E1540">
        <v>10230</v>
      </c>
      <c r="F1540">
        <v>178603.59</v>
      </c>
      <c r="G1540">
        <v>0</v>
      </c>
      <c r="H1540">
        <v>0</v>
      </c>
      <c r="I1540">
        <v>0</v>
      </c>
      <c r="J1540">
        <v>0</v>
      </c>
      <c r="K1540">
        <v>62994.48</v>
      </c>
      <c r="L1540">
        <v>30208916.5</v>
      </c>
      <c r="M1540">
        <v>30149071.760000002</v>
      </c>
      <c r="N1540">
        <v>30208916.5</v>
      </c>
      <c r="O1540">
        <v>30149071.760000002</v>
      </c>
      <c r="P1540">
        <v>31798859.489999998</v>
      </c>
      <c r="Q1540">
        <v>31735865.010000002</v>
      </c>
      <c r="R1540" s="14">
        <f>_xlfn.XLOOKUP(Table2[[#This Row],[LoanID]],Table1[G-L ID],Table1[ManagerCode],-99)</f>
        <v>103</v>
      </c>
      <c r="T1540"/>
    </row>
    <row r="1541" spans="1:20" x14ac:dyDescent="0.25">
      <c r="A1541">
        <v>20121231</v>
      </c>
      <c r="B1541">
        <v>2012</v>
      </c>
      <c r="C1541">
        <v>12</v>
      </c>
      <c r="D1541">
        <v>1</v>
      </c>
      <c r="E1541">
        <v>10280</v>
      </c>
      <c r="F1541">
        <v>175560</v>
      </c>
      <c r="G1541">
        <v>0</v>
      </c>
      <c r="H1541">
        <v>0</v>
      </c>
      <c r="I1541">
        <v>-0.01</v>
      </c>
      <c r="J1541">
        <v>0</v>
      </c>
      <c r="K1541">
        <v>0</v>
      </c>
      <c r="L1541">
        <v>33820930.590000004</v>
      </c>
      <c r="M1541">
        <v>34249922.100000001</v>
      </c>
      <c r="N1541">
        <v>33820930.590000004</v>
      </c>
      <c r="O1541">
        <v>34249922.100000001</v>
      </c>
      <c r="P1541">
        <v>35000000</v>
      </c>
      <c r="Q1541">
        <v>35000000</v>
      </c>
      <c r="R1541" s="14">
        <f>_xlfn.XLOOKUP(Table2[[#This Row],[LoanID]],Table1[G-L ID],Table1[ManagerCode],-99)</f>
        <v>103</v>
      </c>
      <c r="T1541"/>
    </row>
    <row r="1542" spans="1:20" x14ac:dyDescent="0.25">
      <c r="A1542">
        <v>20121231</v>
      </c>
      <c r="B1542">
        <v>2012</v>
      </c>
      <c r="C1542">
        <v>12</v>
      </c>
      <c r="D1542">
        <v>1</v>
      </c>
      <c r="E1542">
        <v>10290</v>
      </c>
      <c r="F1542">
        <v>165775</v>
      </c>
      <c r="G1542">
        <v>0</v>
      </c>
      <c r="H1542">
        <v>0</v>
      </c>
      <c r="I1542">
        <v>0</v>
      </c>
      <c r="J1542">
        <v>0</v>
      </c>
      <c r="K1542">
        <v>0</v>
      </c>
      <c r="L1542">
        <v>23750000</v>
      </c>
      <c r="M1542">
        <v>23750000</v>
      </c>
      <c r="N1542">
        <v>23750000</v>
      </c>
      <c r="O1542">
        <v>23750000</v>
      </c>
      <c r="P1542">
        <v>25000000</v>
      </c>
      <c r="Q1542">
        <v>25000000</v>
      </c>
      <c r="R1542" s="14">
        <f>_xlfn.XLOOKUP(Table2[[#This Row],[LoanID]],Table1[G-L ID],Table1[ManagerCode],-99)</f>
        <v>103</v>
      </c>
      <c r="T1542"/>
    </row>
    <row r="1543" spans="1:20" x14ac:dyDescent="0.25">
      <c r="A1543">
        <v>20121231</v>
      </c>
      <c r="B1543">
        <v>2012</v>
      </c>
      <c r="C1543">
        <v>12</v>
      </c>
      <c r="D1543">
        <v>1</v>
      </c>
      <c r="E1543">
        <v>10300</v>
      </c>
      <c r="F1543">
        <v>145052.82999999999</v>
      </c>
      <c r="G1543">
        <v>0</v>
      </c>
      <c r="H1543">
        <v>0</v>
      </c>
      <c r="I1543">
        <v>0</v>
      </c>
      <c r="J1543">
        <v>0</v>
      </c>
      <c r="K1543">
        <v>0</v>
      </c>
      <c r="L1543">
        <v>37578937.759999998</v>
      </c>
      <c r="M1543">
        <v>36892878</v>
      </c>
      <c r="N1543">
        <v>37578937.759999998</v>
      </c>
      <c r="O1543">
        <v>36892878</v>
      </c>
      <c r="P1543">
        <v>35000000</v>
      </c>
      <c r="Q1543">
        <v>35000000</v>
      </c>
      <c r="R1543" s="14">
        <f>_xlfn.XLOOKUP(Table2[[#This Row],[LoanID]],Table1[G-L ID],Table1[ManagerCode],-99)</f>
        <v>103</v>
      </c>
      <c r="T1543"/>
    </row>
    <row r="1544" spans="1:20" x14ac:dyDescent="0.25">
      <c r="A1544">
        <v>20121231</v>
      </c>
      <c r="B1544">
        <v>2012</v>
      </c>
      <c r="C1544">
        <v>12</v>
      </c>
      <c r="D1544">
        <v>1</v>
      </c>
      <c r="E1544">
        <v>10310</v>
      </c>
      <c r="F1544">
        <v>99387.87</v>
      </c>
      <c r="G1544">
        <v>0</v>
      </c>
      <c r="H1544">
        <v>0</v>
      </c>
      <c r="I1544">
        <v>0</v>
      </c>
      <c r="J1544">
        <v>0</v>
      </c>
      <c r="K1544">
        <v>22796</v>
      </c>
      <c r="L1544">
        <v>14511377.720000001</v>
      </c>
      <c r="M1544">
        <v>14488581.720000001</v>
      </c>
      <c r="N1544">
        <v>14511377.720000001</v>
      </c>
      <c r="O1544">
        <v>14488581.720000001</v>
      </c>
      <c r="P1544">
        <v>14511377.720000001</v>
      </c>
      <c r="Q1544">
        <v>14488581.720000001</v>
      </c>
      <c r="R1544" s="14">
        <f>_xlfn.XLOOKUP(Table2[[#This Row],[LoanID]],Table1[G-L ID],Table1[ManagerCode],-99)</f>
        <v>183</v>
      </c>
      <c r="T1544"/>
    </row>
    <row r="1545" spans="1:20" x14ac:dyDescent="0.25">
      <c r="A1545">
        <v>20121231</v>
      </c>
      <c r="B1545">
        <v>2012</v>
      </c>
      <c r="C1545">
        <v>12</v>
      </c>
      <c r="D1545">
        <v>1</v>
      </c>
      <c r="E1545">
        <v>10370</v>
      </c>
      <c r="F1545">
        <v>0</v>
      </c>
      <c r="G1545">
        <v>0</v>
      </c>
      <c r="H1545">
        <v>0</v>
      </c>
      <c r="I1545">
        <v>0</v>
      </c>
      <c r="J1545">
        <v>0</v>
      </c>
      <c r="K1545">
        <v>0</v>
      </c>
      <c r="L1545">
        <v>2377239.08</v>
      </c>
      <c r="M1545">
        <v>2377239.08</v>
      </c>
      <c r="N1545">
        <v>2377239.08</v>
      </c>
      <c r="O1545">
        <v>2377239.08</v>
      </c>
      <c r="P1545">
        <v>2502356.94</v>
      </c>
      <c r="Q1545">
        <v>2502356.94</v>
      </c>
      <c r="R1545" s="14">
        <f>_xlfn.XLOOKUP(Table2[[#This Row],[LoanID]],Table1[G-L ID],Table1[ManagerCode],-99)</f>
        <v>103</v>
      </c>
      <c r="T1545"/>
    </row>
    <row r="1546" spans="1:20" x14ac:dyDescent="0.25">
      <c r="A1546">
        <v>20121231</v>
      </c>
      <c r="B1546">
        <v>2012</v>
      </c>
      <c r="C1546">
        <v>12</v>
      </c>
      <c r="D1546">
        <v>1</v>
      </c>
      <c r="E1546">
        <v>10390</v>
      </c>
      <c r="F1546">
        <v>118750</v>
      </c>
      <c r="G1546">
        <v>0</v>
      </c>
      <c r="H1546">
        <v>0</v>
      </c>
      <c r="I1546">
        <v>0</v>
      </c>
      <c r="J1546">
        <v>0</v>
      </c>
      <c r="K1546">
        <v>0</v>
      </c>
      <c r="L1546">
        <v>23750000</v>
      </c>
      <c r="M1546">
        <v>23750000</v>
      </c>
      <c r="N1546">
        <v>23750000</v>
      </c>
      <c r="O1546">
        <v>23750000</v>
      </c>
      <c r="P1546">
        <v>24996530.510000002</v>
      </c>
      <c r="Q1546">
        <v>24996734.59</v>
      </c>
      <c r="R1546" s="14">
        <f>_xlfn.XLOOKUP(Table2[[#This Row],[LoanID]],Table1[G-L ID],Table1[ManagerCode],-99)</f>
        <v>103</v>
      </c>
      <c r="T1546"/>
    </row>
    <row r="1547" spans="1:20" x14ac:dyDescent="0.25">
      <c r="A1547">
        <v>20121231</v>
      </c>
      <c r="B1547">
        <v>2012</v>
      </c>
      <c r="C1547">
        <v>12</v>
      </c>
      <c r="D1547">
        <v>1</v>
      </c>
      <c r="E1547">
        <v>10400</v>
      </c>
      <c r="F1547">
        <v>412687.5</v>
      </c>
      <c r="G1547">
        <v>0</v>
      </c>
      <c r="H1547">
        <v>0</v>
      </c>
      <c r="I1547">
        <v>0</v>
      </c>
      <c r="J1547">
        <v>0</v>
      </c>
      <c r="K1547">
        <v>0</v>
      </c>
      <c r="L1547">
        <v>45000000</v>
      </c>
      <c r="M1547">
        <v>45000000</v>
      </c>
      <c r="N1547">
        <v>45000000</v>
      </c>
      <c r="O1547">
        <v>45000000</v>
      </c>
      <c r="P1547">
        <v>45000000</v>
      </c>
      <c r="Q1547">
        <v>45000000</v>
      </c>
      <c r="R1547" s="14">
        <f>_xlfn.XLOOKUP(Table2[[#This Row],[LoanID]],Table1[G-L ID],Table1[ManagerCode],-99)</f>
        <v>220</v>
      </c>
      <c r="T1547"/>
    </row>
    <row r="1548" spans="1:20" x14ac:dyDescent="0.25">
      <c r="A1548">
        <v>20121231</v>
      </c>
      <c r="B1548">
        <v>2012</v>
      </c>
      <c r="C1548">
        <v>12</v>
      </c>
      <c r="D1548">
        <v>1</v>
      </c>
      <c r="E1548">
        <v>10490</v>
      </c>
      <c r="F1548">
        <v>218750</v>
      </c>
      <c r="G1548">
        <v>0</v>
      </c>
      <c r="H1548">
        <v>779020</v>
      </c>
      <c r="I1548">
        <v>0</v>
      </c>
      <c r="J1548">
        <v>0</v>
      </c>
      <c r="K1548">
        <v>7465832</v>
      </c>
      <c r="L1548">
        <v>25000000</v>
      </c>
      <c r="M1548">
        <v>17534168</v>
      </c>
      <c r="N1548">
        <v>25000000</v>
      </c>
      <c r="O1548">
        <v>17534168</v>
      </c>
      <c r="P1548">
        <v>25000000</v>
      </c>
      <c r="Q1548">
        <v>17534168</v>
      </c>
      <c r="R1548" s="14">
        <f>_xlfn.XLOOKUP(Table2[[#This Row],[LoanID]],Table1[G-L ID],Table1[ManagerCode],-99)</f>
        <v>220</v>
      </c>
      <c r="T1548"/>
    </row>
    <row r="1549" spans="1:20" x14ac:dyDescent="0.25">
      <c r="A1549">
        <v>20121231</v>
      </c>
      <c r="B1549">
        <v>2012</v>
      </c>
      <c r="C1549">
        <v>12</v>
      </c>
      <c r="D1549">
        <v>1</v>
      </c>
      <c r="E1549">
        <v>10550</v>
      </c>
      <c r="F1549">
        <v>15051.92</v>
      </c>
      <c r="G1549">
        <v>0</v>
      </c>
      <c r="H1549">
        <v>0</v>
      </c>
      <c r="I1549">
        <v>-8.56</v>
      </c>
      <c r="J1549">
        <v>-2422783.64</v>
      </c>
      <c r="K1549">
        <v>0</v>
      </c>
      <c r="L1549">
        <v>224115.04</v>
      </c>
      <c r="M1549">
        <v>2646898.6800000002</v>
      </c>
      <c r="N1549">
        <v>224115.04</v>
      </c>
      <c r="O1549">
        <v>2646898.6800000002</v>
      </c>
      <c r="P1549">
        <v>224115.04</v>
      </c>
      <c r="Q1549">
        <v>2646898.6800000002</v>
      </c>
      <c r="R1549" s="14">
        <f>_xlfn.XLOOKUP(Table2[[#This Row],[LoanID]],Table1[G-L ID],Table1[ManagerCode],-99)</f>
        <v>103</v>
      </c>
      <c r="T1549"/>
    </row>
    <row r="1550" spans="1:20" x14ac:dyDescent="0.25">
      <c r="A1550">
        <v>20121231</v>
      </c>
      <c r="B1550">
        <v>2012</v>
      </c>
      <c r="C1550">
        <v>12</v>
      </c>
      <c r="D1550">
        <v>1</v>
      </c>
      <c r="E1550">
        <v>10560</v>
      </c>
      <c r="F1550">
        <v>371280.6</v>
      </c>
      <c r="G1550">
        <v>0</v>
      </c>
      <c r="H1550">
        <v>0</v>
      </c>
      <c r="I1550">
        <v>-211.17</v>
      </c>
      <c r="J1550">
        <v>0</v>
      </c>
      <c r="K1550">
        <v>9824795.1899999995</v>
      </c>
      <c r="L1550">
        <v>75114962.510000005</v>
      </c>
      <c r="M1550">
        <v>65290167.310000002</v>
      </c>
      <c r="N1550">
        <v>75114962.510000005</v>
      </c>
      <c r="O1550">
        <v>65290167.310000002</v>
      </c>
      <c r="P1550">
        <v>75114962.219999999</v>
      </c>
      <c r="Q1550">
        <v>65290167.030000001</v>
      </c>
      <c r="R1550" s="14">
        <f>_xlfn.XLOOKUP(Table2[[#This Row],[LoanID]],Table1[G-L ID],Table1[ManagerCode],-99)</f>
        <v>103</v>
      </c>
      <c r="T1550"/>
    </row>
    <row r="1551" spans="1:20" x14ac:dyDescent="0.25">
      <c r="A1551">
        <v>20121231</v>
      </c>
      <c r="B1551">
        <v>2012</v>
      </c>
      <c r="C1551">
        <v>12</v>
      </c>
      <c r="D1551">
        <v>1</v>
      </c>
      <c r="E1551">
        <v>10630</v>
      </c>
      <c r="F1551">
        <v>48147.59</v>
      </c>
      <c r="G1551">
        <v>0</v>
      </c>
      <c r="H1551">
        <v>0</v>
      </c>
      <c r="I1551">
        <v>-0.01</v>
      </c>
      <c r="J1551">
        <v>0</v>
      </c>
      <c r="K1551">
        <v>14468.49</v>
      </c>
      <c r="L1551">
        <v>9382194.8599999994</v>
      </c>
      <c r="M1551">
        <v>9346850.7300000004</v>
      </c>
      <c r="N1551">
        <v>9382194.8599999994</v>
      </c>
      <c r="O1551">
        <v>9346850.7300000004</v>
      </c>
      <c r="P1551">
        <v>9013589.8000000007</v>
      </c>
      <c r="Q1551">
        <v>8999121.3100000005</v>
      </c>
      <c r="R1551" s="14">
        <f>_xlfn.XLOOKUP(Table2[[#This Row],[LoanID]],Table1[G-L ID],Table1[ManagerCode],-99)</f>
        <v>103</v>
      </c>
      <c r="T1551"/>
    </row>
    <row r="1552" spans="1:20" x14ac:dyDescent="0.25">
      <c r="A1552">
        <v>20121231</v>
      </c>
      <c r="B1552">
        <v>2012</v>
      </c>
      <c r="C1552">
        <v>12</v>
      </c>
      <c r="D1552">
        <v>1</v>
      </c>
      <c r="E1552">
        <v>10690</v>
      </c>
      <c r="F1552">
        <v>8803.86</v>
      </c>
      <c r="G1552">
        <v>5383.64</v>
      </c>
      <c r="H1552">
        <v>0</v>
      </c>
      <c r="I1552">
        <v>0</v>
      </c>
      <c r="J1552">
        <v>-542858.54</v>
      </c>
      <c r="K1552">
        <v>0</v>
      </c>
      <c r="L1552">
        <v>1061997.8600000001</v>
      </c>
      <c r="M1552">
        <v>1610240.04</v>
      </c>
      <c r="N1552">
        <v>1061997.8600000001</v>
      </c>
      <c r="O1552">
        <v>1610240.04</v>
      </c>
      <c r="P1552">
        <v>1061997.8600000001</v>
      </c>
      <c r="Q1552">
        <v>1610240.04</v>
      </c>
      <c r="R1552" s="14">
        <f>_xlfn.XLOOKUP(Table2[[#This Row],[LoanID]],Table1[G-L ID],Table1[ManagerCode],-99)</f>
        <v>183</v>
      </c>
      <c r="T1552"/>
    </row>
    <row r="1553" spans="1:20" x14ac:dyDescent="0.25">
      <c r="A1553">
        <v>20121231</v>
      </c>
      <c r="B1553">
        <v>2012</v>
      </c>
      <c r="C1553">
        <v>12</v>
      </c>
      <c r="D1553">
        <v>1</v>
      </c>
      <c r="E1553">
        <v>10770</v>
      </c>
      <c r="F1553">
        <v>281750</v>
      </c>
      <c r="G1553">
        <v>0</v>
      </c>
      <c r="H1553">
        <v>0</v>
      </c>
      <c r="I1553">
        <v>0</v>
      </c>
      <c r="J1553">
        <v>0</v>
      </c>
      <c r="K1553">
        <v>0</v>
      </c>
      <c r="L1553">
        <v>109250000</v>
      </c>
      <c r="M1553">
        <v>109250000</v>
      </c>
      <c r="N1553">
        <v>109250000</v>
      </c>
      <c r="O1553">
        <v>109250000</v>
      </c>
      <c r="P1553">
        <v>115000000</v>
      </c>
      <c r="Q1553">
        <v>115000000</v>
      </c>
      <c r="R1553" s="14">
        <f>_xlfn.XLOOKUP(Table2[[#This Row],[LoanID]],Table1[G-L ID],Table1[ManagerCode],-99)</f>
        <v>103</v>
      </c>
      <c r="T1553"/>
    </row>
    <row r="1554" spans="1:20" x14ac:dyDescent="0.25">
      <c r="A1554">
        <v>20121231</v>
      </c>
      <c r="B1554">
        <v>2012</v>
      </c>
      <c r="C1554">
        <v>12</v>
      </c>
      <c r="D1554">
        <v>1</v>
      </c>
      <c r="E1554">
        <v>10820</v>
      </c>
      <c r="F1554">
        <v>0</v>
      </c>
      <c r="G1554">
        <v>0</v>
      </c>
      <c r="H1554">
        <v>64743</v>
      </c>
      <c r="I1554">
        <v>0</v>
      </c>
      <c r="J1554">
        <v>-21397297</v>
      </c>
      <c r="K1554">
        <v>0</v>
      </c>
      <c r="L1554">
        <v>0</v>
      </c>
      <c r="M1554">
        <v>21397297</v>
      </c>
      <c r="N1554">
        <v>0</v>
      </c>
      <c r="O1554">
        <v>21397297</v>
      </c>
      <c r="P1554">
        <v>0</v>
      </c>
      <c r="Q1554">
        <v>21397297</v>
      </c>
      <c r="R1554" s="14">
        <f>_xlfn.XLOOKUP(Table2[[#This Row],[LoanID]],Table1[G-L ID],Table1[ManagerCode],-99)</f>
        <v>220</v>
      </c>
      <c r="T1554"/>
    </row>
    <row r="1555" spans="1:20" x14ac:dyDescent="0.25">
      <c r="A1555">
        <v>20121231</v>
      </c>
      <c r="B1555">
        <v>2012</v>
      </c>
      <c r="C1555">
        <v>12</v>
      </c>
      <c r="D1555">
        <v>1</v>
      </c>
      <c r="E1555">
        <v>10830</v>
      </c>
      <c r="F1555">
        <v>0</v>
      </c>
      <c r="G1555">
        <v>0</v>
      </c>
      <c r="H1555">
        <v>19704</v>
      </c>
      <c r="I1555">
        <v>0</v>
      </c>
      <c r="J1555">
        <v>-6981622</v>
      </c>
      <c r="K1555">
        <v>0</v>
      </c>
      <c r="L1555">
        <v>0</v>
      </c>
      <c r="M1555">
        <v>6981622</v>
      </c>
      <c r="N1555">
        <v>0</v>
      </c>
      <c r="O1555">
        <v>6981622</v>
      </c>
      <c r="P1555">
        <v>0</v>
      </c>
      <c r="Q1555">
        <v>6981622</v>
      </c>
      <c r="R1555" s="14">
        <f>_xlfn.XLOOKUP(Table2[[#This Row],[LoanID]],Table1[G-L ID],Table1[ManagerCode],-99)</f>
        <v>220</v>
      </c>
      <c r="T1555"/>
    </row>
    <row r="1556" spans="1:20" x14ac:dyDescent="0.25">
      <c r="A1556">
        <v>20121231</v>
      </c>
      <c r="B1556">
        <v>2012</v>
      </c>
      <c r="C1556">
        <v>12</v>
      </c>
      <c r="D1556">
        <v>1</v>
      </c>
      <c r="E1556">
        <v>10840</v>
      </c>
      <c r="F1556">
        <v>0</v>
      </c>
      <c r="G1556">
        <v>0</v>
      </c>
      <c r="H1556">
        <v>31772.97</v>
      </c>
      <c r="I1556">
        <v>0</v>
      </c>
      <c r="J1556">
        <v>-12709189</v>
      </c>
      <c r="K1556">
        <v>0</v>
      </c>
      <c r="L1556">
        <v>0</v>
      </c>
      <c r="M1556">
        <v>12709189</v>
      </c>
      <c r="N1556">
        <v>0</v>
      </c>
      <c r="O1556">
        <v>12709189</v>
      </c>
      <c r="P1556">
        <v>0</v>
      </c>
      <c r="Q1556">
        <v>12709189</v>
      </c>
      <c r="R1556" s="14">
        <f>_xlfn.XLOOKUP(Table2[[#This Row],[LoanID]],Table1[G-L ID],Table1[ManagerCode],-99)</f>
        <v>220</v>
      </c>
      <c r="T1556"/>
    </row>
    <row r="1557" spans="1:20" x14ac:dyDescent="0.25">
      <c r="A1557">
        <v>20121231</v>
      </c>
      <c r="B1557">
        <v>2012</v>
      </c>
      <c r="C1557">
        <v>12</v>
      </c>
      <c r="D1557">
        <v>1</v>
      </c>
      <c r="E1557">
        <v>10850</v>
      </c>
      <c r="F1557">
        <v>0</v>
      </c>
      <c r="G1557">
        <v>0</v>
      </c>
      <c r="H1557">
        <v>33780</v>
      </c>
      <c r="I1557">
        <v>0</v>
      </c>
      <c r="J1557">
        <v>-13511892</v>
      </c>
      <c r="K1557">
        <v>0</v>
      </c>
      <c r="L1557">
        <v>0</v>
      </c>
      <c r="M1557">
        <v>13511892</v>
      </c>
      <c r="N1557">
        <v>0</v>
      </c>
      <c r="O1557">
        <v>13511892</v>
      </c>
      <c r="P1557">
        <v>0</v>
      </c>
      <c r="Q1557">
        <v>13511892</v>
      </c>
      <c r="R1557" s="14">
        <f>_xlfn.XLOOKUP(Table2[[#This Row],[LoanID]],Table1[G-L ID],Table1[ManagerCode],-99)</f>
        <v>220</v>
      </c>
      <c r="T1557"/>
    </row>
    <row r="1558" spans="1:20" x14ac:dyDescent="0.25">
      <c r="A1558">
        <v>20121231</v>
      </c>
      <c r="B1558">
        <v>2012</v>
      </c>
      <c r="C1558">
        <v>12</v>
      </c>
      <c r="D1558">
        <v>1</v>
      </c>
      <c r="E1558">
        <v>10880</v>
      </c>
      <c r="F1558">
        <v>287317.93</v>
      </c>
      <c r="G1558">
        <v>0</v>
      </c>
      <c r="H1558">
        <v>0</v>
      </c>
      <c r="I1558">
        <v>0</v>
      </c>
      <c r="J1558">
        <v>0</v>
      </c>
      <c r="K1558">
        <v>0</v>
      </c>
      <c r="L1558">
        <v>199727153.09999999</v>
      </c>
      <c r="M1558">
        <v>199727153.09999999</v>
      </c>
      <c r="N1558">
        <v>199727153.09999999</v>
      </c>
      <c r="O1558">
        <v>199727153.09999999</v>
      </c>
      <c r="P1558">
        <v>201744599.09999999</v>
      </c>
      <c r="Q1558">
        <v>201744599.09999999</v>
      </c>
      <c r="R1558" s="14">
        <f>_xlfn.XLOOKUP(Table2[[#This Row],[LoanID]],Table1[G-L ID],Table1[ManagerCode],-99)</f>
        <v>103</v>
      </c>
      <c r="T1558"/>
    </row>
    <row r="1559" spans="1:20" x14ac:dyDescent="0.25">
      <c r="A1559">
        <v>20121231</v>
      </c>
      <c r="B1559">
        <v>2012</v>
      </c>
      <c r="C1559">
        <v>12</v>
      </c>
      <c r="D1559">
        <v>1</v>
      </c>
      <c r="E1559">
        <v>10900</v>
      </c>
      <c r="F1559">
        <v>78872.070000000007</v>
      </c>
      <c r="G1559">
        <v>0</v>
      </c>
      <c r="H1559">
        <v>0</v>
      </c>
      <c r="I1559">
        <v>0</v>
      </c>
      <c r="J1559">
        <v>0</v>
      </c>
      <c r="K1559">
        <v>4744.99</v>
      </c>
      <c r="L1559">
        <v>8174014.6299999999</v>
      </c>
      <c r="M1559">
        <v>8169506.9199999999</v>
      </c>
      <c r="N1559">
        <v>8174014.6299999999</v>
      </c>
      <c r="O1559">
        <v>8169506.9199999999</v>
      </c>
      <c r="P1559">
        <v>8604225.9399999995</v>
      </c>
      <c r="Q1559">
        <v>8599480.9499999993</v>
      </c>
      <c r="R1559" s="14">
        <f>_xlfn.XLOOKUP(Table2[[#This Row],[LoanID]],Table1[G-L ID],Table1[ManagerCode],-99)</f>
        <v>103</v>
      </c>
      <c r="T1559"/>
    </row>
    <row r="1560" spans="1:20" x14ac:dyDescent="0.25">
      <c r="A1560">
        <v>20121231</v>
      </c>
      <c r="B1560">
        <v>2012</v>
      </c>
      <c r="C1560">
        <v>12</v>
      </c>
      <c r="D1560">
        <v>1</v>
      </c>
      <c r="E1560">
        <v>10920</v>
      </c>
      <c r="F1560">
        <v>0</v>
      </c>
      <c r="G1560">
        <v>0</v>
      </c>
      <c r="H1560">
        <v>110000</v>
      </c>
      <c r="I1560">
        <v>0</v>
      </c>
      <c r="J1560">
        <v>-11000000</v>
      </c>
      <c r="K1560">
        <v>0</v>
      </c>
      <c r="L1560">
        <v>0</v>
      </c>
      <c r="M1560">
        <v>11000000</v>
      </c>
      <c r="N1560">
        <v>0</v>
      </c>
      <c r="O1560">
        <v>11000000</v>
      </c>
      <c r="P1560">
        <v>0</v>
      </c>
      <c r="Q1560">
        <v>11000000</v>
      </c>
      <c r="R1560" s="14">
        <f>_xlfn.XLOOKUP(Table2[[#This Row],[LoanID]],Table1[G-L ID],Table1[ManagerCode],-99)</f>
        <v>183</v>
      </c>
      <c r="T1560"/>
    </row>
    <row r="1561" spans="1:20" x14ac:dyDescent="0.25">
      <c r="A1561">
        <v>20121231</v>
      </c>
      <c r="B1561">
        <v>2012</v>
      </c>
      <c r="C1561">
        <v>12</v>
      </c>
      <c r="D1561">
        <v>1</v>
      </c>
      <c r="E1561">
        <v>10950</v>
      </c>
      <c r="F1561">
        <v>52008.37</v>
      </c>
      <c r="G1561">
        <v>0</v>
      </c>
      <c r="H1561">
        <v>0</v>
      </c>
      <c r="I1561">
        <v>0</v>
      </c>
      <c r="J1561">
        <v>0</v>
      </c>
      <c r="K1561">
        <v>25014.65</v>
      </c>
      <c r="L1561">
        <v>10366769.42</v>
      </c>
      <c r="M1561">
        <v>10342004.93</v>
      </c>
      <c r="N1561">
        <v>10366769.42</v>
      </c>
      <c r="O1561">
        <v>10342004.93</v>
      </c>
      <c r="P1561">
        <v>10471484.27</v>
      </c>
      <c r="Q1561">
        <v>10446469.619999999</v>
      </c>
      <c r="R1561" s="14">
        <f>_xlfn.XLOOKUP(Table2[[#This Row],[LoanID]],Table1[G-L ID],Table1[ManagerCode],-99)</f>
        <v>103</v>
      </c>
      <c r="T1561"/>
    </row>
    <row r="1562" spans="1:20" x14ac:dyDescent="0.25">
      <c r="A1562">
        <v>20121231</v>
      </c>
      <c r="B1562">
        <v>2012</v>
      </c>
      <c r="C1562">
        <v>12</v>
      </c>
      <c r="D1562">
        <v>1</v>
      </c>
      <c r="E1562">
        <v>10980</v>
      </c>
      <c r="F1562">
        <v>123123.92</v>
      </c>
      <c r="G1562">
        <v>18302.5</v>
      </c>
      <c r="H1562">
        <v>0</v>
      </c>
      <c r="I1562">
        <v>0</v>
      </c>
      <c r="J1562">
        <v>-1882867.98</v>
      </c>
      <c r="K1562">
        <v>0</v>
      </c>
      <c r="L1562">
        <v>16519727.24</v>
      </c>
      <c r="M1562">
        <v>18420897.719999999</v>
      </c>
      <c r="N1562">
        <v>16519727.24</v>
      </c>
      <c r="O1562">
        <v>18420897.719999999</v>
      </c>
      <c r="P1562">
        <v>16519727.24</v>
      </c>
      <c r="Q1562">
        <v>18420897.719999999</v>
      </c>
      <c r="R1562" s="14">
        <f>_xlfn.XLOOKUP(Table2[[#This Row],[LoanID]],Table1[G-L ID],Table1[ManagerCode],-99)</f>
        <v>183</v>
      </c>
      <c r="T1562"/>
    </row>
    <row r="1563" spans="1:20" x14ac:dyDescent="0.25">
      <c r="A1563">
        <v>20121231</v>
      </c>
      <c r="B1563">
        <v>2012</v>
      </c>
      <c r="C1563">
        <v>12</v>
      </c>
      <c r="D1563">
        <v>1</v>
      </c>
      <c r="E1563">
        <v>11020</v>
      </c>
      <c r="F1563">
        <v>42000</v>
      </c>
      <c r="G1563">
        <v>0</v>
      </c>
      <c r="H1563">
        <v>120000</v>
      </c>
      <c r="I1563">
        <v>0</v>
      </c>
      <c r="J1563">
        <v>-12000000</v>
      </c>
      <c r="K1563">
        <v>0</v>
      </c>
      <c r="L1563">
        <v>0</v>
      </c>
      <c r="M1563">
        <v>12000000</v>
      </c>
      <c r="N1563">
        <v>0</v>
      </c>
      <c r="O1563">
        <v>12000000</v>
      </c>
      <c r="P1563">
        <v>0</v>
      </c>
      <c r="Q1563">
        <v>12000000</v>
      </c>
      <c r="R1563" s="14">
        <f>_xlfn.XLOOKUP(Table2[[#This Row],[LoanID]],Table1[G-L ID],Table1[ManagerCode],-99)</f>
        <v>119</v>
      </c>
      <c r="T1563"/>
    </row>
    <row r="1564" spans="1:20" x14ac:dyDescent="0.25">
      <c r="A1564">
        <v>20121231</v>
      </c>
      <c r="B1564">
        <v>2012</v>
      </c>
      <c r="C1564">
        <v>12</v>
      </c>
      <c r="D1564">
        <v>1</v>
      </c>
      <c r="E1564">
        <v>11050</v>
      </c>
      <c r="F1564">
        <v>1852</v>
      </c>
      <c r="G1564">
        <v>0</v>
      </c>
      <c r="H1564">
        <v>285000</v>
      </c>
      <c r="I1564">
        <v>0</v>
      </c>
      <c r="J1564">
        <v>-5442608.8700000001</v>
      </c>
      <c r="K1564">
        <v>0</v>
      </c>
      <c r="L1564">
        <v>0</v>
      </c>
      <c r="M1564">
        <v>5442608.8700000001</v>
      </c>
      <c r="N1564">
        <v>0</v>
      </c>
      <c r="O1564">
        <v>5442608.8700000001</v>
      </c>
      <c r="P1564">
        <v>0</v>
      </c>
      <c r="Q1564">
        <v>5442608.8700000001</v>
      </c>
      <c r="R1564" s="14">
        <f>_xlfn.XLOOKUP(Table2[[#This Row],[LoanID]],Table1[G-L ID],Table1[ManagerCode],-99)</f>
        <v>220</v>
      </c>
      <c r="T1564"/>
    </row>
    <row r="1565" spans="1:20" x14ac:dyDescent="0.25">
      <c r="A1565">
        <v>20121231</v>
      </c>
      <c r="B1565">
        <v>2012</v>
      </c>
      <c r="C1565">
        <v>12</v>
      </c>
      <c r="D1565">
        <v>1</v>
      </c>
      <c r="E1565">
        <v>11070</v>
      </c>
      <c r="F1565">
        <v>0</v>
      </c>
      <c r="G1565">
        <v>0</v>
      </c>
      <c r="H1565">
        <v>0</v>
      </c>
      <c r="I1565">
        <v>0</v>
      </c>
      <c r="J1565">
        <v>0</v>
      </c>
      <c r="K1565">
        <v>0</v>
      </c>
      <c r="L1565">
        <v>17820017.82</v>
      </c>
      <c r="M1565">
        <v>17820017.82</v>
      </c>
      <c r="N1565">
        <v>17820017.82</v>
      </c>
      <c r="O1565">
        <v>17820017.82</v>
      </c>
      <c r="P1565">
        <v>18000000</v>
      </c>
      <c r="Q1565">
        <v>18000000</v>
      </c>
      <c r="R1565" s="14">
        <f>_xlfn.XLOOKUP(Table2[[#This Row],[LoanID]],Table1[G-L ID],Table1[ManagerCode],-99)</f>
        <v>103</v>
      </c>
      <c r="T1565"/>
    </row>
    <row r="1566" spans="1:20" x14ac:dyDescent="0.25">
      <c r="A1566">
        <v>20121231</v>
      </c>
      <c r="B1566">
        <v>2012</v>
      </c>
      <c r="C1566">
        <v>12</v>
      </c>
      <c r="D1566">
        <v>1</v>
      </c>
      <c r="E1566">
        <v>11110</v>
      </c>
      <c r="F1566">
        <v>99433.43</v>
      </c>
      <c r="G1566">
        <v>0</v>
      </c>
      <c r="H1566">
        <v>0</v>
      </c>
      <c r="I1566">
        <v>0</v>
      </c>
      <c r="J1566">
        <v>-275087.31</v>
      </c>
      <c r="K1566">
        <v>0</v>
      </c>
      <c r="L1566">
        <v>13672343.83</v>
      </c>
      <c r="M1566">
        <v>13947431.140000001</v>
      </c>
      <c r="N1566">
        <v>13672343.83</v>
      </c>
      <c r="O1566">
        <v>13947431.140000001</v>
      </c>
      <c r="P1566">
        <v>13672343.83</v>
      </c>
      <c r="Q1566">
        <v>13947431.140000001</v>
      </c>
      <c r="R1566" s="14">
        <f>_xlfn.XLOOKUP(Table2[[#This Row],[LoanID]],Table1[G-L ID],Table1[ManagerCode],-99)</f>
        <v>183</v>
      </c>
      <c r="T1566"/>
    </row>
    <row r="1567" spans="1:20" x14ac:dyDescent="0.25">
      <c r="A1567">
        <v>20121231</v>
      </c>
      <c r="B1567">
        <v>2012</v>
      </c>
      <c r="C1567">
        <v>12</v>
      </c>
      <c r="D1567">
        <v>1</v>
      </c>
      <c r="E1567">
        <v>11140</v>
      </c>
      <c r="F1567">
        <v>576975.13</v>
      </c>
      <c r="G1567">
        <v>0</v>
      </c>
      <c r="H1567">
        <v>0</v>
      </c>
      <c r="I1567">
        <v>0</v>
      </c>
      <c r="J1567">
        <v>0</v>
      </c>
      <c r="K1567">
        <v>0</v>
      </c>
      <c r="L1567">
        <v>71618877.430000007</v>
      </c>
      <c r="M1567">
        <v>71200140.790000007</v>
      </c>
      <c r="N1567">
        <v>71618877.430000007</v>
      </c>
      <c r="O1567">
        <v>71200140.790000007</v>
      </c>
      <c r="P1567">
        <v>72436285</v>
      </c>
      <c r="Q1567">
        <v>72436285</v>
      </c>
      <c r="R1567" s="14">
        <f>_xlfn.XLOOKUP(Table2[[#This Row],[LoanID]],Table1[G-L ID],Table1[ManagerCode],-99)</f>
        <v>103</v>
      </c>
      <c r="T1567"/>
    </row>
    <row r="1568" spans="1:20" x14ac:dyDescent="0.25">
      <c r="A1568">
        <v>20121231</v>
      </c>
      <c r="B1568">
        <v>2012</v>
      </c>
      <c r="C1568">
        <v>12</v>
      </c>
      <c r="D1568">
        <v>1</v>
      </c>
      <c r="E1568">
        <v>11190</v>
      </c>
      <c r="F1568">
        <v>1300310.33</v>
      </c>
      <c r="G1568">
        <v>0</v>
      </c>
      <c r="H1568">
        <v>0</v>
      </c>
      <c r="I1568">
        <v>-1666.42</v>
      </c>
      <c r="J1568">
        <v>0</v>
      </c>
      <c r="K1568">
        <v>0</v>
      </c>
      <c r="L1568">
        <v>189972289.90000001</v>
      </c>
      <c r="M1568">
        <v>189972289.90000001</v>
      </c>
      <c r="N1568">
        <v>189972289.90000001</v>
      </c>
      <c r="O1568">
        <v>189972289.90000001</v>
      </c>
      <c r="P1568">
        <v>199970831.5</v>
      </c>
      <c r="Q1568">
        <v>199970831.5</v>
      </c>
      <c r="R1568" s="14">
        <f>_xlfn.XLOOKUP(Table2[[#This Row],[LoanID]],Table1[G-L ID],Table1[ManagerCode],-99)</f>
        <v>103</v>
      </c>
      <c r="T1568"/>
    </row>
    <row r="1569" spans="1:20" x14ac:dyDescent="0.25">
      <c r="A1569">
        <v>20121231</v>
      </c>
      <c r="B1569">
        <v>2012</v>
      </c>
      <c r="C1569">
        <v>12</v>
      </c>
      <c r="D1569">
        <v>1</v>
      </c>
      <c r="E1569">
        <v>11200</v>
      </c>
      <c r="F1569">
        <v>6759424.9900000002</v>
      </c>
      <c r="G1569">
        <v>0</v>
      </c>
      <c r="H1569">
        <v>0</v>
      </c>
      <c r="I1569">
        <v>0</v>
      </c>
      <c r="J1569">
        <v>0</v>
      </c>
      <c r="K1569">
        <v>10976000</v>
      </c>
      <c r="L1569">
        <v>9878380.2599999998</v>
      </c>
      <c r="M1569">
        <v>0</v>
      </c>
      <c r="N1569">
        <v>9878380.2599999998</v>
      </c>
      <c r="O1569">
        <v>0</v>
      </c>
      <c r="P1569">
        <v>10976000</v>
      </c>
      <c r="Q1569">
        <v>0</v>
      </c>
      <c r="R1569" s="14">
        <f>_xlfn.XLOOKUP(Table2[[#This Row],[LoanID]],Table1[G-L ID],Table1[ManagerCode],-99)</f>
        <v>103</v>
      </c>
      <c r="T1569"/>
    </row>
    <row r="1570" spans="1:20" x14ac:dyDescent="0.25">
      <c r="A1570">
        <v>20121231</v>
      </c>
      <c r="B1570">
        <v>2012</v>
      </c>
      <c r="C1570">
        <v>12</v>
      </c>
      <c r="D1570">
        <v>1</v>
      </c>
      <c r="E1570">
        <v>11220</v>
      </c>
      <c r="F1570">
        <v>301875</v>
      </c>
      <c r="G1570">
        <v>0</v>
      </c>
      <c r="H1570">
        <v>0</v>
      </c>
      <c r="I1570">
        <v>0</v>
      </c>
      <c r="J1570">
        <v>0</v>
      </c>
      <c r="K1570">
        <v>0</v>
      </c>
      <c r="L1570">
        <v>34500000</v>
      </c>
      <c r="M1570">
        <v>34500000</v>
      </c>
      <c r="N1570">
        <v>34500000</v>
      </c>
      <c r="O1570">
        <v>34500000</v>
      </c>
      <c r="P1570">
        <v>34500000</v>
      </c>
      <c r="Q1570">
        <v>34500000</v>
      </c>
      <c r="R1570" s="14">
        <f>_xlfn.XLOOKUP(Table2[[#This Row],[LoanID]],Table1[G-L ID],Table1[ManagerCode],-99)</f>
        <v>220</v>
      </c>
      <c r="T1570"/>
    </row>
    <row r="1571" spans="1:20" x14ac:dyDescent="0.25">
      <c r="A1571">
        <v>20121231</v>
      </c>
      <c r="B1571">
        <v>2012</v>
      </c>
      <c r="C1571">
        <v>12</v>
      </c>
      <c r="D1571">
        <v>1</v>
      </c>
      <c r="E1571">
        <v>11230</v>
      </c>
      <c r="F1571">
        <v>240088.32000000001</v>
      </c>
      <c r="G1571">
        <v>0</v>
      </c>
      <c r="H1571">
        <v>0</v>
      </c>
      <c r="I1571">
        <v>0</v>
      </c>
      <c r="J1571">
        <v>0</v>
      </c>
      <c r="K1571">
        <v>0</v>
      </c>
      <c r="L1571">
        <v>175436664</v>
      </c>
      <c r="M1571">
        <v>175436664</v>
      </c>
      <c r="N1571">
        <v>175436664</v>
      </c>
      <c r="O1571">
        <v>175436664</v>
      </c>
      <c r="P1571">
        <v>194929626.59999999</v>
      </c>
      <c r="Q1571">
        <v>194929626.59999999</v>
      </c>
      <c r="R1571" s="14">
        <f>_xlfn.XLOOKUP(Table2[[#This Row],[LoanID]],Table1[G-L ID],Table1[ManagerCode],-99)</f>
        <v>103</v>
      </c>
      <c r="T1571"/>
    </row>
    <row r="1572" spans="1:20" x14ac:dyDescent="0.25">
      <c r="A1572">
        <v>20121231</v>
      </c>
      <c r="B1572">
        <v>2012</v>
      </c>
      <c r="C1572">
        <v>12</v>
      </c>
      <c r="D1572">
        <v>1</v>
      </c>
      <c r="E1572">
        <v>11280</v>
      </c>
      <c r="F1572">
        <v>22831.21</v>
      </c>
      <c r="G1572">
        <v>0</v>
      </c>
      <c r="H1572">
        <v>0</v>
      </c>
      <c r="I1572">
        <v>-156.59</v>
      </c>
      <c r="J1572">
        <v>0</v>
      </c>
      <c r="K1572">
        <v>0</v>
      </c>
      <c r="L1572">
        <v>18581805.739999998</v>
      </c>
      <c r="M1572">
        <v>18603211.800000001</v>
      </c>
      <c r="N1572">
        <v>18581805.739999998</v>
      </c>
      <c r="O1572">
        <v>18603211.800000001</v>
      </c>
      <c r="P1572">
        <v>18791123.030000001</v>
      </c>
      <c r="Q1572">
        <v>18791123.030000001</v>
      </c>
      <c r="R1572" s="14">
        <f>_xlfn.XLOOKUP(Table2[[#This Row],[LoanID]],Table1[G-L ID],Table1[ManagerCode],-99)</f>
        <v>103</v>
      </c>
      <c r="T1572"/>
    </row>
    <row r="1573" spans="1:20" x14ac:dyDescent="0.25">
      <c r="A1573">
        <v>20121231</v>
      </c>
      <c r="B1573">
        <v>2012</v>
      </c>
      <c r="C1573">
        <v>12</v>
      </c>
      <c r="D1573">
        <v>1</v>
      </c>
      <c r="E1573">
        <v>11300</v>
      </c>
      <c r="F1573">
        <v>20548.09</v>
      </c>
      <c r="G1573">
        <v>0</v>
      </c>
      <c r="H1573">
        <v>0</v>
      </c>
      <c r="I1573">
        <v>-140.93</v>
      </c>
      <c r="J1573">
        <v>0</v>
      </c>
      <c r="K1573">
        <v>0</v>
      </c>
      <c r="L1573">
        <v>16723625.18</v>
      </c>
      <c r="M1573">
        <v>16742890.619999999</v>
      </c>
      <c r="N1573">
        <v>16723625.18</v>
      </c>
      <c r="O1573">
        <v>16742890.619999999</v>
      </c>
      <c r="P1573">
        <v>16912010.73</v>
      </c>
      <c r="Q1573">
        <v>16912010.73</v>
      </c>
      <c r="R1573" s="14">
        <f>_xlfn.XLOOKUP(Table2[[#This Row],[LoanID]],Table1[G-L ID],Table1[ManagerCode],-99)</f>
        <v>103</v>
      </c>
      <c r="T1573"/>
    </row>
    <row r="1574" spans="1:20" x14ac:dyDescent="0.25">
      <c r="A1574">
        <v>20121231</v>
      </c>
      <c r="B1574">
        <v>2012</v>
      </c>
      <c r="C1574">
        <v>12</v>
      </c>
      <c r="D1574">
        <v>1</v>
      </c>
      <c r="E1574">
        <v>11310</v>
      </c>
      <c r="F1574">
        <v>13698.73</v>
      </c>
      <c r="G1574">
        <v>0</v>
      </c>
      <c r="H1574">
        <v>0</v>
      </c>
      <c r="I1574">
        <v>-93.96</v>
      </c>
      <c r="J1574">
        <v>0</v>
      </c>
      <c r="K1574">
        <v>0</v>
      </c>
      <c r="L1574">
        <v>11151793.77</v>
      </c>
      <c r="M1574">
        <v>11161927.050000001</v>
      </c>
      <c r="N1574">
        <v>11151793.77</v>
      </c>
      <c r="O1574">
        <v>11161927.050000001</v>
      </c>
      <c r="P1574">
        <v>11274673.789999999</v>
      </c>
      <c r="Q1574">
        <v>11274673.789999999</v>
      </c>
      <c r="R1574" s="14">
        <f>_xlfn.XLOOKUP(Table2[[#This Row],[LoanID]],Table1[G-L ID],Table1[ManagerCode],-99)</f>
        <v>103</v>
      </c>
      <c r="T1574"/>
    </row>
    <row r="1575" spans="1:20" x14ac:dyDescent="0.25">
      <c r="A1575">
        <v>20121231</v>
      </c>
      <c r="B1575">
        <v>2012</v>
      </c>
      <c r="C1575">
        <v>12</v>
      </c>
      <c r="D1575">
        <v>1</v>
      </c>
      <c r="E1575">
        <v>11380</v>
      </c>
      <c r="F1575">
        <v>30009.49</v>
      </c>
      <c r="G1575">
        <v>0</v>
      </c>
      <c r="H1575">
        <v>0</v>
      </c>
      <c r="I1575">
        <v>0</v>
      </c>
      <c r="J1575">
        <v>0</v>
      </c>
      <c r="K1575">
        <v>60690.51</v>
      </c>
      <c r="L1575">
        <v>5170755.76</v>
      </c>
      <c r="M1575">
        <v>5080805.33</v>
      </c>
      <c r="N1575">
        <v>5170755.76</v>
      </c>
      <c r="O1575">
        <v>5080805.33</v>
      </c>
      <c r="P1575">
        <v>4541158.6500000004</v>
      </c>
      <c r="Q1575">
        <v>4480468.1399999997</v>
      </c>
      <c r="R1575" s="14">
        <f>_xlfn.XLOOKUP(Table2[[#This Row],[LoanID]],Table1[G-L ID],Table1[ManagerCode],-99)</f>
        <v>103</v>
      </c>
      <c r="T1575"/>
    </row>
    <row r="1576" spans="1:20" x14ac:dyDescent="0.25">
      <c r="A1576">
        <v>20121231</v>
      </c>
      <c r="B1576">
        <v>2012</v>
      </c>
      <c r="C1576">
        <v>12</v>
      </c>
      <c r="D1576">
        <v>1</v>
      </c>
      <c r="E1576">
        <v>11620</v>
      </c>
      <c r="F1576">
        <v>35306.04</v>
      </c>
      <c r="G1576">
        <v>14258.32</v>
      </c>
      <c r="H1576">
        <v>0</v>
      </c>
      <c r="I1576">
        <v>0</v>
      </c>
      <c r="J1576">
        <v>-35306.04</v>
      </c>
      <c r="K1576">
        <v>0</v>
      </c>
      <c r="L1576">
        <v>4366439.47</v>
      </c>
      <c r="M1576">
        <v>4416003.83</v>
      </c>
      <c r="N1576">
        <v>4366439.47</v>
      </c>
      <c r="O1576">
        <v>4416003.83</v>
      </c>
      <c r="P1576">
        <v>4366439.47</v>
      </c>
      <c r="Q1576">
        <v>4416003.83</v>
      </c>
      <c r="R1576" s="14">
        <f>_xlfn.XLOOKUP(Table2[[#This Row],[LoanID]],Table1[G-L ID],Table1[ManagerCode],-99)</f>
        <v>183</v>
      </c>
      <c r="T1576"/>
    </row>
    <row r="1577" spans="1:20" x14ac:dyDescent="0.25">
      <c r="A1577">
        <v>20121231</v>
      </c>
      <c r="B1577">
        <v>2012</v>
      </c>
      <c r="C1577">
        <v>12</v>
      </c>
      <c r="D1577">
        <v>1</v>
      </c>
      <c r="E1577">
        <v>11650</v>
      </c>
      <c r="F1577">
        <v>75000</v>
      </c>
      <c r="G1577">
        <v>0</v>
      </c>
      <c r="H1577">
        <v>0</v>
      </c>
      <c r="I1577">
        <v>0</v>
      </c>
      <c r="J1577">
        <v>0</v>
      </c>
      <c r="K1577">
        <v>0</v>
      </c>
      <c r="L1577">
        <v>9600000</v>
      </c>
      <c r="M1577">
        <v>9600000</v>
      </c>
      <c r="N1577">
        <v>9600000</v>
      </c>
      <c r="O1577">
        <v>9600000</v>
      </c>
      <c r="P1577">
        <v>12000000</v>
      </c>
      <c r="Q1577">
        <v>12000000</v>
      </c>
      <c r="R1577" s="14">
        <f>_xlfn.XLOOKUP(Table2[[#This Row],[LoanID]],Table1[G-L ID],Table1[ManagerCode],-99)</f>
        <v>103</v>
      </c>
      <c r="T1577"/>
    </row>
    <row r="1578" spans="1:20" x14ac:dyDescent="0.25">
      <c r="A1578">
        <v>20121231</v>
      </c>
      <c r="B1578">
        <v>2012</v>
      </c>
      <c r="C1578">
        <v>12</v>
      </c>
      <c r="D1578">
        <v>1</v>
      </c>
      <c r="E1578">
        <v>11670</v>
      </c>
      <c r="F1578">
        <v>0</v>
      </c>
      <c r="G1578">
        <v>117708.34</v>
      </c>
      <c r="H1578">
        <v>282500</v>
      </c>
      <c r="I1578">
        <v>0</v>
      </c>
      <c r="J1578">
        <v>-28250000</v>
      </c>
      <c r="K1578">
        <v>0</v>
      </c>
      <c r="L1578">
        <v>0</v>
      </c>
      <c r="M1578">
        <v>28367708.34</v>
      </c>
      <c r="N1578">
        <v>0</v>
      </c>
      <c r="O1578">
        <v>28367708.34</v>
      </c>
      <c r="P1578">
        <v>0</v>
      </c>
      <c r="Q1578">
        <v>28367708.34</v>
      </c>
      <c r="R1578" s="14">
        <f>_xlfn.XLOOKUP(Table2[[#This Row],[LoanID]],Table1[G-L ID],Table1[ManagerCode],-99)</f>
        <v>183</v>
      </c>
      <c r="T1578"/>
    </row>
    <row r="1579" spans="1:20" x14ac:dyDescent="0.25">
      <c r="A1579">
        <v>20121231</v>
      </c>
      <c r="B1579">
        <v>2012</v>
      </c>
      <c r="C1579">
        <v>12</v>
      </c>
      <c r="D1579">
        <v>1</v>
      </c>
      <c r="E1579">
        <v>11770</v>
      </c>
      <c r="F1579">
        <v>579017.82999999996</v>
      </c>
      <c r="G1579">
        <v>0</v>
      </c>
      <c r="H1579">
        <v>0</v>
      </c>
      <c r="I1579">
        <v>0</v>
      </c>
      <c r="J1579">
        <v>0</v>
      </c>
      <c r="K1579">
        <v>0</v>
      </c>
      <c r="L1579">
        <v>67240780.560000002</v>
      </c>
      <c r="M1579">
        <v>67240780.560000002</v>
      </c>
      <c r="N1579">
        <v>67240780.560000002</v>
      </c>
      <c r="O1579">
        <v>67240780.560000002</v>
      </c>
      <c r="P1579">
        <v>67240780.560000002</v>
      </c>
      <c r="Q1579">
        <v>67240780.560000002</v>
      </c>
      <c r="R1579" s="14">
        <f>_xlfn.XLOOKUP(Table2[[#This Row],[LoanID]],Table1[G-L ID],Table1[ManagerCode],-99)</f>
        <v>119</v>
      </c>
      <c r="T1579"/>
    </row>
    <row r="1580" spans="1:20" x14ac:dyDescent="0.25">
      <c r="A1580">
        <v>20121231</v>
      </c>
      <c r="B1580">
        <v>2012</v>
      </c>
      <c r="C1580">
        <v>12</v>
      </c>
      <c r="D1580">
        <v>1</v>
      </c>
      <c r="E1580">
        <v>11780</v>
      </c>
      <c r="F1580">
        <v>0</v>
      </c>
      <c r="G1580">
        <v>0</v>
      </c>
      <c r="H1580">
        <v>0</v>
      </c>
      <c r="I1580">
        <v>0</v>
      </c>
      <c r="J1580">
        <v>0</v>
      </c>
      <c r="K1580">
        <v>0</v>
      </c>
      <c r="L1580">
        <v>27599788.510000002</v>
      </c>
      <c r="M1580">
        <v>27599788.510000002</v>
      </c>
      <c r="N1580">
        <v>27599788.510000002</v>
      </c>
      <c r="O1580">
        <v>27599788.510000002</v>
      </c>
      <c r="P1580">
        <v>64786446.619999997</v>
      </c>
      <c r="Q1580">
        <v>64786446.619999997</v>
      </c>
      <c r="R1580" s="14">
        <f>_xlfn.XLOOKUP(Table2[[#This Row],[LoanID]],Table1[G-L ID],Table1[ManagerCode],-99)</f>
        <v>103</v>
      </c>
      <c r="T1580"/>
    </row>
    <row r="1581" spans="1:20" x14ac:dyDescent="0.25">
      <c r="A1581">
        <v>20121231</v>
      </c>
      <c r="B1581">
        <v>2012</v>
      </c>
      <c r="C1581">
        <v>12</v>
      </c>
      <c r="D1581">
        <v>1</v>
      </c>
      <c r="E1581">
        <v>11800</v>
      </c>
      <c r="F1581">
        <v>156175.87</v>
      </c>
      <c r="G1581">
        <v>0</v>
      </c>
      <c r="H1581">
        <v>0</v>
      </c>
      <c r="I1581">
        <v>-262.79000000000002</v>
      </c>
      <c r="J1581">
        <v>0</v>
      </c>
      <c r="K1581">
        <v>62493.82</v>
      </c>
      <c r="L1581">
        <v>29958046.539999999</v>
      </c>
      <c r="M1581">
        <v>34338446.240000002</v>
      </c>
      <c r="N1581">
        <v>29958046.539999999</v>
      </c>
      <c r="O1581">
        <v>34338446.240000002</v>
      </c>
      <c r="P1581">
        <v>31534754.27</v>
      </c>
      <c r="Q1581">
        <v>31472260.449999999</v>
      </c>
      <c r="R1581" s="14">
        <f>_xlfn.XLOOKUP(Table2[[#This Row],[LoanID]],Table1[G-L ID],Table1[ManagerCode],-99)</f>
        <v>103</v>
      </c>
      <c r="T1581"/>
    </row>
    <row r="1582" spans="1:20" x14ac:dyDescent="0.25">
      <c r="A1582">
        <v>20121231</v>
      </c>
      <c r="B1582">
        <v>2012</v>
      </c>
      <c r="C1582">
        <v>12</v>
      </c>
      <c r="D1582">
        <v>1</v>
      </c>
      <c r="E1582">
        <v>11810</v>
      </c>
      <c r="F1582">
        <v>50865.31</v>
      </c>
      <c r="G1582">
        <v>0</v>
      </c>
      <c r="H1582">
        <v>0</v>
      </c>
      <c r="I1582">
        <v>0</v>
      </c>
      <c r="J1582">
        <v>0</v>
      </c>
      <c r="K1582">
        <v>9992.7800000000007</v>
      </c>
      <c r="L1582">
        <v>9841691.5399999991</v>
      </c>
      <c r="M1582">
        <v>9831798.6799999997</v>
      </c>
      <c r="N1582">
        <v>9841691.5399999991</v>
      </c>
      <c r="O1582">
        <v>9831798.6799999997</v>
      </c>
      <c r="P1582">
        <v>9941102.5600000005</v>
      </c>
      <c r="Q1582">
        <v>9931109.7799999993</v>
      </c>
      <c r="R1582" s="14">
        <f>_xlfn.XLOOKUP(Table2[[#This Row],[LoanID]],Table1[G-L ID],Table1[ManagerCode],-99)</f>
        <v>103</v>
      </c>
      <c r="T1582"/>
    </row>
    <row r="1583" spans="1:20" x14ac:dyDescent="0.25">
      <c r="A1583">
        <v>20121231</v>
      </c>
      <c r="B1583">
        <v>2012</v>
      </c>
      <c r="C1583">
        <v>12</v>
      </c>
      <c r="D1583">
        <v>1</v>
      </c>
      <c r="E1583">
        <v>11840</v>
      </c>
      <c r="F1583">
        <v>38533.33</v>
      </c>
      <c r="G1583">
        <v>57006.57</v>
      </c>
      <c r="H1583">
        <v>0</v>
      </c>
      <c r="I1583">
        <v>0</v>
      </c>
      <c r="J1583">
        <v>-433385</v>
      </c>
      <c r="K1583">
        <v>0</v>
      </c>
      <c r="L1583">
        <v>7809177.8200000003</v>
      </c>
      <c r="M1583">
        <v>8299569.3899999997</v>
      </c>
      <c r="N1583">
        <v>7809177.8200000003</v>
      </c>
      <c r="O1583">
        <v>8299569.3899999997</v>
      </c>
      <c r="P1583">
        <v>7809177.8200000003</v>
      </c>
      <c r="Q1583">
        <v>8299569.3899999997</v>
      </c>
      <c r="R1583" s="14">
        <f>_xlfn.XLOOKUP(Table2[[#This Row],[LoanID]],Table1[G-L ID],Table1[ManagerCode],-99)</f>
        <v>183</v>
      </c>
      <c r="T1583"/>
    </row>
    <row r="1584" spans="1:20" x14ac:dyDescent="0.25">
      <c r="A1584">
        <v>20121231</v>
      </c>
      <c r="B1584">
        <v>2012</v>
      </c>
      <c r="C1584">
        <v>12</v>
      </c>
      <c r="D1584">
        <v>1</v>
      </c>
      <c r="E1584">
        <v>11970</v>
      </c>
      <c r="F1584">
        <v>75995.97</v>
      </c>
      <c r="G1584">
        <v>40717.089999999997</v>
      </c>
      <c r="H1584">
        <v>0</v>
      </c>
      <c r="I1584">
        <v>0</v>
      </c>
      <c r="J1584">
        <v>-75995.97</v>
      </c>
      <c r="K1584">
        <v>0</v>
      </c>
      <c r="L1584">
        <v>7775283.5700000003</v>
      </c>
      <c r="M1584">
        <v>7891996.6299999999</v>
      </c>
      <c r="N1584">
        <v>7775283.5700000003</v>
      </c>
      <c r="O1584">
        <v>7891996.6299999999</v>
      </c>
      <c r="P1584">
        <v>7775283.5700000003</v>
      </c>
      <c r="Q1584">
        <v>7891996.6299999999</v>
      </c>
      <c r="R1584" s="14">
        <f>_xlfn.XLOOKUP(Table2[[#This Row],[LoanID]],Table1[G-L ID],Table1[ManagerCode],-99)</f>
        <v>183</v>
      </c>
      <c r="T1584"/>
    </row>
    <row r="1585" spans="1:20" x14ac:dyDescent="0.25">
      <c r="A1585">
        <v>20121231</v>
      </c>
      <c r="B1585">
        <v>2012</v>
      </c>
      <c r="C1585">
        <v>12</v>
      </c>
      <c r="D1585">
        <v>1</v>
      </c>
      <c r="E1585">
        <v>12020</v>
      </c>
      <c r="F1585">
        <v>60876.38</v>
      </c>
      <c r="G1585">
        <v>61267.26</v>
      </c>
      <c r="H1585">
        <v>0</v>
      </c>
      <c r="I1585">
        <v>0</v>
      </c>
      <c r="J1585">
        <v>-60875.7</v>
      </c>
      <c r="K1585">
        <v>0</v>
      </c>
      <c r="L1585">
        <v>9605827.8499999996</v>
      </c>
      <c r="M1585">
        <v>9727970.8100000005</v>
      </c>
      <c r="N1585">
        <v>9605827.8499999996</v>
      </c>
      <c r="O1585">
        <v>9727970.8100000005</v>
      </c>
      <c r="P1585">
        <v>9605827.8499999996</v>
      </c>
      <c r="Q1585">
        <v>9727970.8100000005</v>
      </c>
      <c r="R1585" s="14">
        <f>_xlfn.XLOOKUP(Table2[[#This Row],[LoanID]],Table1[G-L ID],Table1[ManagerCode],-99)</f>
        <v>183</v>
      </c>
      <c r="T1585"/>
    </row>
    <row r="1586" spans="1:20" x14ac:dyDescent="0.25">
      <c r="A1586">
        <v>20121231</v>
      </c>
      <c r="B1586">
        <v>2012</v>
      </c>
      <c r="C1586">
        <v>12</v>
      </c>
      <c r="D1586">
        <v>1</v>
      </c>
      <c r="E1586">
        <v>12080</v>
      </c>
      <c r="F1586">
        <v>126400</v>
      </c>
      <c r="G1586">
        <v>0</v>
      </c>
      <c r="H1586">
        <v>400000</v>
      </c>
      <c r="I1586">
        <v>0</v>
      </c>
      <c r="J1586">
        <v>-40000000</v>
      </c>
      <c r="K1586">
        <v>0</v>
      </c>
      <c r="L1586">
        <v>0</v>
      </c>
      <c r="M1586">
        <v>40000000</v>
      </c>
      <c r="N1586">
        <v>0</v>
      </c>
      <c r="O1586">
        <v>40000000</v>
      </c>
      <c r="P1586">
        <v>0</v>
      </c>
      <c r="Q1586">
        <v>40000000</v>
      </c>
      <c r="R1586" s="14">
        <f>_xlfn.XLOOKUP(Table2[[#This Row],[LoanID]],Table1[G-L ID],Table1[ManagerCode],-99)</f>
        <v>119</v>
      </c>
      <c r="T1586"/>
    </row>
    <row r="1587" spans="1:20" x14ac:dyDescent="0.25">
      <c r="A1587">
        <v>20121231</v>
      </c>
      <c r="B1587">
        <v>2012</v>
      </c>
      <c r="C1587">
        <v>12</v>
      </c>
      <c r="D1587">
        <v>1</v>
      </c>
      <c r="E1587">
        <v>12090</v>
      </c>
      <c r="F1587">
        <v>159075</v>
      </c>
      <c r="G1587">
        <v>0</v>
      </c>
      <c r="H1587">
        <v>0</v>
      </c>
      <c r="I1587">
        <v>0</v>
      </c>
      <c r="J1587">
        <v>0</v>
      </c>
      <c r="K1587">
        <v>0</v>
      </c>
      <c r="L1587">
        <v>17500000</v>
      </c>
      <c r="M1587">
        <v>17500000</v>
      </c>
      <c r="N1587">
        <v>17500000</v>
      </c>
      <c r="O1587">
        <v>17500000</v>
      </c>
      <c r="P1587">
        <v>17500000</v>
      </c>
      <c r="Q1587">
        <v>17500000</v>
      </c>
      <c r="R1587" s="14">
        <f>_xlfn.XLOOKUP(Table2[[#This Row],[LoanID]],Table1[G-L ID],Table1[ManagerCode],-99)</f>
        <v>220</v>
      </c>
      <c r="T1587"/>
    </row>
    <row r="1588" spans="1:20" x14ac:dyDescent="0.25">
      <c r="A1588">
        <v>20121231</v>
      </c>
      <c r="B1588">
        <v>2012</v>
      </c>
      <c r="C1588">
        <v>12</v>
      </c>
      <c r="D1588">
        <v>1</v>
      </c>
      <c r="E1588">
        <v>12100</v>
      </c>
      <c r="F1588">
        <v>10457.67</v>
      </c>
      <c r="G1588">
        <v>32686.58</v>
      </c>
      <c r="H1588">
        <v>0</v>
      </c>
      <c r="I1588">
        <v>0</v>
      </c>
      <c r="J1588">
        <v>-3876059.46</v>
      </c>
      <c r="K1588">
        <v>0</v>
      </c>
      <c r="L1588">
        <v>2163402.69</v>
      </c>
      <c r="M1588">
        <v>6072148.7300000004</v>
      </c>
      <c r="N1588">
        <v>2163402.69</v>
      </c>
      <c r="O1588">
        <v>6072148.7300000004</v>
      </c>
      <c r="P1588">
        <v>2163402.69</v>
      </c>
      <c r="Q1588">
        <v>6072148.7300000004</v>
      </c>
      <c r="R1588" s="14">
        <f>_xlfn.XLOOKUP(Table2[[#This Row],[LoanID]],Table1[G-L ID],Table1[ManagerCode],-99)</f>
        <v>183</v>
      </c>
      <c r="T1588"/>
    </row>
    <row r="1589" spans="1:20" x14ac:dyDescent="0.25">
      <c r="A1589">
        <v>20121231</v>
      </c>
      <c r="B1589">
        <v>2012</v>
      </c>
      <c r="C1589">
        <v>12</v>
      </c>
      <c r="D1589">
        <v>1</v>
      </c>
      <c r="E1589">
        <v>12130</v>
      </c>
      <c r="F1589">
        <v>44004.79</v>
      </c>
      <c r="G1589">
        <v>0</v>
      </c>
      <c r="H1589">
        <v>0</v>
      </c>
      <c r="I1589">
        <v>0</v>
      </c>
      <c r="J1589">
        <v>-861236.52</v>
      </c>
      <c r="K1589">
        <v>0</v>
      </c>
      <c r="L1589">
        <v>4066937.77</v>
      </c>
      <c r="M1589">
        <v>4928174.29</v>
      </c>
      <c r="N1589">
        <v>4066937.77</v>
      </c>
      <c r="O1589">
        <v>4928174.29</v>
      </c>
      <c r="P1589">
        <v>4066937.77</v>
      </c>
      <c r="Q1589">
        <v>4928174.29</v>
      </c>
      <c r="R1589" s="14">
        <f>_xlfn.XLOOKUP(Table2[[#This Row],[LoanID]],Table1[G-L ID],Table1[ManagerCode],-99)</f>
        <v>183</v>
      </c>
      <c r="T1589"/>
    </row>
    <row r="1590" spans="1:20" x14ac:dyDescent="0.25">
      <c r="A1590">
        <v>20121231</v>
      </c>
      <c r="B1590">
        <v>2012</v>
      </c>
      <c r="C1590">
        <v>12</v>
      </c>
      <c r="D1590">
        <v>1</v>
      </c>
      <c r="E1590">
        <v>12210</v>
      </c>
      <c r="F1590">
        <v>707964.18</v>
      </c>
      <c r="G1590">
        <v>0</v>
      </c>
      <c r="H1590">
        <v>0</v>
      </c>
      <c r="I1590">
        <v>0</v>
      </c>
      <c r="J1590">
        <v>0</v>
      </c>
      <c r="K1590">
        <v>193858.7</v>
      </c>
      <c r="L1590">
        <v>138487710.59999999</v>
      </c>
      <c r="M1590">
        <v>137464621.90000001</v>
      </c>
      <c r="N1590">
        <v>138487710.59999999</v>
      </c>
      <c r="O1590">
        <v>137464621.90000001</v>
      </c>
      <c r="P1590">
        <v>114549747</v>
      </c>
      <c r="Q1590">
        <v>114355888.3</v>
      </c>
      <c r="R1590" s="14">
        <f>_xlfn.XLOOKUP(Table2[[#This Row],[LoanID]],Table1[G-L ID],Table1[ManagerCode],-99)</f>
        <v>103</v>
      </c>
      <c r="T1590"/>
    </row>
    <row r="1591" spans="1:20" x14ac:dyDescent="0.25">
      <c r="A1591">
        <v>20121231</v>
      </c>
      <c r="B1591">
        <v>2012</v>
      </c>
      <c r="C1591">
        <v>12</v>
      </c>
      <c r="D1591">
        <v>1</v>
      </c>
      <c r="E1591">
        <v>12230</v>
      </c>
      <c r="F1591">
        <v>328564.53000000003</v>
      </c>
      <c r="G1591">
        <v>0</v>
      </c>
      <c r="H1591">
        <v>0</v>
      </c>
      <c r="I1591">
        <v>0</v>
      </c>
      <c r="J1591">
        <v>0</v>
      </c>
      <c r="K1591">
        <v>0</v>
      </c>
      <c r="L1591">
        <v>54383094</v>
      </c>
      <c r="M1591">
        <v>54383094</v>
      </c>
      <c r="N1591">
        <v>54383094</v>
      </c>
      <c r="O1591">
        <v>54383094</v>
      </c>
      <c r="P1591">
        <v>54383094</v>
      </c>
      <c r="Q1591">
        <v>54383094</v>
      </c>
      <c r="R1591" s="14">
        <f>_xlfn.XLOOKUP(Table2[[#This Row],[LoanID]],Table1[G-L ID],Table1[ManagerCode],-99)</f>
        <v>183</v>
      </c>
      <c r="T1591"/>
    </row>
    <row r="1592" spans="1:20" x14ac:dyDescent="0.25">
      <c r="A1592">
        <v>20130131</v>
      </c>
      <c r="B1592">
        <v>2013</v>
      </c>
      <c r="C1592">
        <v>1</v>
      </c>
      <c r="D1592">
        <v>1</v>
      </c>
      <c r="E1592">
        <v>10050</v>
      </c>
      <c r="F1592">
        <v>153981.01999999999</v>
      </c>
      <c r="G1592">
        <v>0</v>
      </c>
      <c r="H1592">
        <v>0</v>
      </c>
      <c r="I1592">
        <v>0</v>
      </c>
      <c r="J1592">
        <v>0</v>
      </c>
      <c r="K1592">
        <v>0</v>
      </c>
      <c r="L1592">
        <v>38274541.990000002</v>
      </c>
      <c r="M1592">
        <v>38449405.950000003</v>
      </c>
      <c r="N1592">
        <v>38274541.990000002</v>
      </c>
      <c r="O1592">
        <v>38449405.950000003</v>
      </c>
      <c r="P1592">
        <v>33333334</v>
      </c>
      <c r="Q1592">
        <v>33333334</v>
      </c>
      <c r="R1592" s="14">
        <f>_xlfn.XLOOKUP(Table2[[#This Row],[LoanID]],Table1[G-L ID],Table1[ManagerCode],-99)</f>
        <v>103</v>
      </c>
      <c r="T1592"/>
    </row>
    <row r="1593" spans="1:20" x14ac:dyDescent="0.25">
      <c r="A1593">
        <v>20130131</v>
      </c>
      <c r="B1593">
        <v>2013</v>
      </c>
      <c r="C1593">
        <v>1</v>
      </c>
      <c r="D1593">
        <v>1</v>
      </c>
      <c r="E1593">
        <v>10060</v>
      </c>
      <c r="F1593">
        <v>120833.33</v>
      </c>
      <c r="G1593">
        <v>0</v>
      </c>
      <c r="H1593">
        <v>0</v>
      </c>
      <c r="I1593">
        <v>0</v>
      </c>
      <c r="J1593">
        <v>0</v>
      </c>
      <c r="K1593">
        <v>0</v>
      </c>
      <c r="L1593">
        <v>19859142.850000001</v>
      </c>
      <c r="M1593">
        <v>19863999.989999998</v>
      </c>
      <c r="N1593">
        <v>19859142.850000001</v>
      </c>
      <c r="O1593">
        <v>19863999.989999998</v>
      </c>
      <c r="P1593">
        <v>20000000</v>
      </c>
      <c r="Q1593">
        <v>20000000</v>
      </c>
      <c r="R1593" s="14">
        <f>_xlfn.XLOOKUP(Table2[[#This Row],[LoanID]],Table1[G-L ID],Table1[ManagerCode],-99)</f>
        <v>103</v>
      </c>
      <c r="T1593"/>
    </row>
    <row r="1594" spans="1:20" x14ac:dyDescent="0.25">
      <c r="A1594">
        <v>20130131</v>
      </c>
      <c r="B1594">
        <v>2013</v>
      </c>
      <c r="C1594">
        <v>1</v>
      </c>
      <c r="D1594">
        <v>1</v>
      </c>
      <c r="E1594">
        <v>10080</v>
      </c>
      <c r="F1594">
        <v>351042.71</v>
      </c>
      <c r="G1594">
        <v>0</v>
      </c>
      <c r="H1594">
        <v>0</v>
      </c>
      <c r="I1594">
        <v>-161.68</v>
      </c>
      <c r="J1594">
        <v>0</v>
      </c>
      <c r="K1594">
        <v>0</v>
      </c>
      <c r="L1594">
        <v>74249925.75</v>
      </c>
      <c r="M1594">
        <v>74249925.75</v>
      </c>
      <c r="N1594">
        <v>74249925.75</v>
      </c>
      <c r="O1594">
        <v>74249925.75</v>
      </c>
      <c r="P1594">
        <v>75000000</v>
      </c>
      <c r="Q1594">
        <v>75000000</v>
      </c>
      <c r="R1594" s="14">
        <f>_xlfn.XLOOKUP(Table2[[#This Row],[LoanID]],Table1[G-L ID],Table1[ManagerCode],-99)</f>
        <v>103</v>
      </c>
      <c r="T1594"/>
    </row>
    <row r="1595" spans="1:20" x14ac:dyDescent="0.25">
      <c r="A1595">
        <v>20130131</v>
      </c>
      <c r="B1595">
        <v>2013</v>
      </c>
      <c r="C1595">
        <v>1</v>
      </c>
      <c r="D1595">
        <v>1</v>
      </c>
      <c r="E1595">
        <v>10130</v>
      </c>
      <c r="F1595">
        <v>33917.39</v>
      </c>
      <c r="G1595">
        <v>0</v>
      </c>
      <c r="H1595">
        <v>0</v>
      </c>
      <c r="I1595">
        <v>0</v>
      </c>
      <c r="J1595">
        <v>0</v>
      </c>
      <c r="K1595">
        <v>33773.300000000003</v>
      </c>
      <c r="L1595">
        <v>7669083.4400000004</v>
      </c>
      <c r="M1595">
        <v>7630153.8200000003</v>
      </c>
      <c r="N1595">
        <v>7669083.4400000004</v>
      </c>
      <c r="O1595">
        <v>7630153.8200000003</v>
      </c>
      <c r="P1595">
        <v>7495556.3799999999</v>
      </c>
      <c r="Q1595">
        <v>7461783.0800000001</v>
      </c>
      <c r="R1595" s="14">
        <f>_xlfn.XLOOKUP(Table2[[#This Row],[LoanID]],Table1[G-L ID],Table1[ManagerCode],-99)</f>
        <v>103</v>
      </c>
      <c r="T1595"/>
    </row>
    <row r="1596" spans="1:20" x14ac:dyDescent="0.25">
      <c r="A1596">
        <v>20130131</v>
      </c>
      <c r="B1596">
        <v>2013</v>
      </c>
      <c r="C1596">
        <v>1</v>
      </c>
      <c r="D1596">
        <v>1</v>
      </c>
      <c r="E1596">
        <v>10140</v>
      </c>
      <c r="F1596">
        <v>89501.09</v>
      </c>
      <c r="G1596">
        <v>0</v>
      </c>
      <c r="H1596">
        <v>0</v>
      </c>
      <c r="I1596">
        <v>0</v>
      </c>
      <c r="J1596">
        <v>0</v>
      </c>
      <c r="K1596">
        <v>88323.24</v>
      </c>
      <c r="L1596">
        <v>20237245.280000001</v>
      </c>
      <c r="M1596">
        <v>20135322.719999999</v>
      </c>
      <c r="N1596">
        <v>20237245.280000001</v>
      </c>
      <c r="O1596">
        <v>20135322.719999999</v>
      </c>
      <c r="P1596">
        <v>19779246.68</v>
      </c>
      <c r="Q1596">
        <v>19690923.440000001</v>
      </c>
      <c r="R1596" s="14">
        <f>_xlfn.XLOOKUP(Table2[[#This Row],[LoanID]],Table1[G-L ID],Table1[ManagerCode],-99)</f>
        <v>103</v>
      </c>
      <c r="T1596"/>
    </row>
    <row r="1597" spans="1:20" x14ac:dyDescent="0.25">
      <c r="A1597">
        <v>20130131</v>
      </c>
      <c r="B1597">
        <v>2013</v>
      </c>
      <c r="C1597">
        <v>1</v>
      </c>
      <c r="D1597">
        <v>1</v>
      </c>
      <c r="E1597">
        <v>10170</v>
      </c>
      <c r="F1597">
        <v>243885.41</v>
      </c>
      <c r="G1597">
        <v>0</v>
      </c>
      <c r="H1597">
        <v>0</v>
      </c>
      <c r="I1597">
        <v>-1168.78</v>
      </c>
      <c r="J1597">
        <v>0</v>
      </c>
      <c r="K1597">
        <v>71088.87</v>
      </c>
      <c r="L1597">
        <v>48224137.020000003</v>
      </c>
      <c r="M1597">
        <v>48220258.700000003</v>
      </c>
      <c r="N1597">
        <v>48224137.020000003</v>
      </c>
      <c r="O1597">
        <v>48220258.700000003</v>
      </c>
      <c r="P1597">
        <v>45243092.899999999</v>
      </c>
      <c r="Q1597">
        <v>45172004.030000001</v>
      </c>
      <c r="R1597" s="14">
        <f>_xlfn.XLOOKUP(Table2[[#This Row],[LoanID]],Table1[G-L ID],Table1[ManagerCode],-99)</f>
        <v>103</v>
      </c>
      <c r="T1597"/>
    </row>
    <row r="1598" spans="1:20" x14ac:dyDescent="0.25">
      <c r="A1598">
        <v>20130131</v>
      </c>
      <c r="B1598">
        <v>2013</v>
      </c>
      <c r="C1598">
        <v>1</v>
      </c>
      <c r="D1598">
        <v>1</v>
      </c>
      <c r="E1598">
        <v>10210</v>
      </c>
      <c r="F1598">
        <v>51870.35</v>
      </c>
      <c r="G1598">
        <v>88563.19</v>
      </c>
      <c r="H1598">
        <v>0</v>
      </c>
      <c r="I1598">
        <v>0</v>
      </c>
      <c r="J1598">
        <v>-51870.35</v>
      </c>
      <c r="K1598">
        <v>0</v>
      </c>
      <c r="L1598">
        <v>11219093.300000001</v>
      </c>
      <c r="M1598">
        <v>11359526.84</v>
      </c>
      <c r="N1598">
        <v>11219093.300000001</v>
      </c>
      <c r="O1598">
        <v>11359526.84</v>
      </c>
      <c r="P1598">
        <v>11219093.300000001</v>
      </c>
      <c r="Q1598">
        <v>11359526.84</v>
      </c>
      <c r="R1598" s="14">
        <f>_xlfn.XLOOKUP(Table2[[#This Row],[LoanID]],Table1[G-L ID],Table1[ManagerCode],-99)</f>
        <v>183</v>
      </c>
      <c r="T1598"/>
    </row>
    <row r="1599" spans="1:20" x14ac:dyDescent="0.25">
      <c r="A1599">
        <v>20130131</v>
      </c>
      <c r="B1599">
        <v>2013</v>
      </c>
      <c r="C1599">
        <v>1</v>
      </c>
      <c r="D1599">
        <v>1</v>
      </c>
      <c r="E1599">
        <v>10220</v>
      </c>
      <c r="F1599">
        <v>0</v>
      </c>
      <c r="G1599">
        <v>0</v>
      </c>
      <c r="H1599">
        <v>0</v>
      </c>
      <c r="I1599">
        <v>0</v>
      </c>
      <c r="J1599">
        <v>0</v>
      </c>
      <c r="K1599">
        <v>0</v>
      </c>
      <c r="L1599">
        <v>99000000</v>
      </c>
      <c r="M1599">
        <v>99000000</v>
      </c>
      <c r="N1599">
        <v>99000000</v>
      </c>
      <c r="O1599">
        <v>99000000</v>
      </c>
      <c r="P1599">
        <v>100000000</v>
      </c>
      <c r="Q1599">
        <v>100000000</v>
      </c>
      <c r="R1599" s="14">
        <f>_xlfn.XLOOKUP(Table2[[#This Row],[LoanID]],Table1[G-L ID],Table1[ManagerCode],-99)</f>
        <v>103</v>
      </c>
      <c r="T1599"/>
    </row>
    <row r="1600" spans="1:20" x14ac:dyDescent="0.25">
      <c r="A1600">
        <v>20130131</v>
      </c>
      <c r="B1600">
        <v>2013</v>
      </c>
      <c r="C1600">
        <v>1</v>
      </c>
      <c r="D1600">
        <v>1</v>
      </c>
      <c r="E1600">
        <v>10230</v>
      </c>
      <c r="F1600">
        <v>178249.78</v>
      </c>
      <c r="G1600">
        <v>0</v>
      </c>
      <c r="H1600">
        <v>0</v>
      </c>
      <c r="I1600">
        <v>0</v>
      </c>
      <c r="J1600">
        <v>0</v>
      </c>
      <c r="K1600">
        <v>63348.29</v>
      </c>
      <c r="L1600">
        <v>30149071.760000002</v>
      </c>
      <c r="M1600">
        <v>30088890.890000001</v>
      </c>
      <c r="N1600">
        <v>30149071.760000002</v>
      </c>
      <c r="O1600">
        <v>30088890.890000001</v>
      </c>
      <c r="P1600">
        <v>31735865.010000002</v>
      </c>
      <c r="Q1600">
        <v>31672516.719999999</v>
      </c>
      <c r="R1600" s="14">
        <f>_xlfn.XLOOKUP(Table2[[#This Row],[LoanID]],Table1[G-L ID],Table1[ManagerCode],-99)</f>
        <v>103</v>
      </c>
      <c r="T1600"/>
    </row>
    <row r="1601" spans="1:20" x14ac:dyDescent="0.25">
      <c r="A1601">
        <v>20130131</v>
      </c>
      <c r="B1601">
        <v>2013</v>
      </c>
      <c r="C1601">
        <v>1</v>
      </c>
      <c r="D1601">
        <v>1</v>
      </c>
      <c r="E1601">
        <v>10280</v>
      </c>
      <c r="F1601">
        <v>181412</v>
      </c>
      <c r="G1601">
        <v>0</v>
      </c>
      <c r="H1601">
        <v>0</v>
      </c>
      <c r="I1601">
        <v>0</v>
      </c>
      <c r="J1601">
        <v>0</v>
      </c>
      <c r="K1601">
        <v>0</v>
      </c>
      <c r="L1601">
        <v>34249922.100000001</v>
      </c>
      <c r="M1601">
        <v>34377409.960000001</v>
      </c>
      <c r="N1601">
        <v>34249922.100000001</v>
      </c>
      <c r="O1601">
        <v>34377409.960000001</v>
      </c>
      <c r="P1601">
        <v>35000000</v>
      </c>
      <c r="Q1601">
        <v>35000000</v>
      </c>
      <c r="R1601" s="14">
        <f>_xlfn.XLOOKUP(Table2[[#This Row],[LoanID]],Table1[G-L ID],Table1[ManagerCode],-99)</f>
        <v>103</v>
      </c>
      <c r="T1601"/>
    </row>
    <row r="1602" spans="1:20" x14ac:dyDescent="0.25">
      <c r="A1602">
        <v>20130131</v>
      </c>
      <c r="B1602">
        <v>2013</v>
      </c>
      <c r="C1602">
        <v>1</v>
      </c>
      <c r="D1602">
        <v>1</v>
      </c>
      <c r="E1602">
        <v>10290</v>
      </c>
      <c r="F1602">
        <v>171300.83</v>
      </c>
      <c r="G1602">
        <v>0</v>
      </c>
      <c r="H1602">
        <v>0</v>
      </c>
      <c r="I1602">
        <v>0</v>
      </c>
      <c r="J1602">
        <v>0</v>
      </c>
      <c r="K1602">
        <v>0</v>
      </c>
      <c r="L1602">
        <v>23750000</v>
      </c>
      <c r="M1602">
        <v>23750000</v>
      </c>
      <c r="N1602">
        <v>23750000</v>
      </c>
      <c r="O1602">
        <v>23750000</v>
      </c>
      <c r="P1602">
        <v>25000000</v>
      </c>
      <c r="Q1602">
        <v>25000000</v>
      </c>
      <c r="R1602" s="14">
        <f>_xlfn.XLOOKUP(Table2[[#This Row],[LoanID]],Table1[G-L ID],Table1[ManagerCode],-99)</f>
        <v>103</v>
      </c>
      <c r="T1602"/>
    </row>
    <row r="1603" spans="1:20" x14ac:dyDescent="0.25">
      <c r="A1603">
        <v>20130131</v>
      </c>
      <c r="B1603">
        <v>2013</v>
      </c>
      <c r="C1603">
        <v>1</v>
      </c>
      <c r="D1603">
        <v>1</v>
      </c>
      <c r="E1603">
        <v>10300</v>
      </c>
      <c r="F1603">
        <v>149887.93</v>
      </c>
      <c r="G1603">
        <v>0</v>
      </c>
      <c r="H1603">
        <v>0</v>
      </c>
      <c r="I1603">
        <v>0</v>
      </c>
      <c r="J1603">
        <v>0</v>
      </c>
      <c r="K1603">
        <v>0</v>
      </c>
      <c r="L1603">
        <v>36892878</v>
      </c>
      <c r="M1603">
        <v>37191616.649999999</v>
      </c>
      <c r="N1603">
        <v>36892878</v>
      </c>
      <c r="O1603">
        <v>37191616.649999999</v>
      </c>
      <c r="P1603">
        <v>35000000</v>
      </c>
      <c r="Q1603">
        <v>35000000</v>
      </c>
      <c r="R1603" s="14">
        <f>_xlfn.XLOOKUP(Table2[[#This Row],[LoanID]],Table1[G-L ID],Table1[ManagerCode],-99)</f>
        <v>103</v>
      </c>
      <c r="T1603"/>
    </row>
    <row r="1604" spans="1:20" x14ac:dyDescent="0.25">
      <c r="A1604">
        <v>20130131</v>
      </c>
      <c r="B1604">
        <v>2013</v>
      </c>
      <c r="C1604">
        <v>1</v>
      </c>
      <c r="D1604">
        <v>1</v>
      </c>
      <c r="E1604">
        <v>10310</v>
      </c>
      <c r="F1604">
        <v>99063.24</v>
      </c>
      <c r="G1604">
        <v>0</v>
      </c>
      <c r="H1604">
        <v>0</v>
      </c>
      <c r="I1604">
        <v>0</v>
      </c>
      <c r="J1604">
        <v>0</v>
      </c>
      <c r="K1604">
        <v>20867</v>
      </c>
      <c r="L1604">
        <v>14488581.720000001</v>
      </c>
      <c r="M1604">
        <v>14467714.720000001</v>
      </c>
      <c r="N1604">
        <v>14488581.720000001</v>
      </c>
      <c r="O1604">
        <v>14467714.720000001</v>
      </c>
      <c r="P1604">
        <v>14488581.720000001</v>
      </c>
      <c r="Q1604">
        <v>14467714.720000001</v>
      </c>
      <c r="R1604" s="14">
        <f>_xlfn.XLOOKUP(Table2[[#This Row],[LoanID]],Table1[G-L ID],Table1[ManagerCode],-99)</f>
        <v>183</v>
      </c>
      <c r="T1604"/>
    </row>
    <row r="1605" spans="1:20" x14ac:dyDescent="0.25">
      <c r="A1605">
        <v>20130131</v>
      </c>
      <c r="B1605">
        <v>2013</v>
      </c>
      <c r="C1605">
        <v>1</v>
      </c>
      <c r="D1605">
        <v>1</v>
      </c>
      <c r="E1605">
        <v>10370</v>
      </c>
      <c r="F1605">
        <v>4244.97</v>
      </c>
      <c r="G1605">
        <v>0</v>
      </c>
      <c r="H1605">
        <v>0</v>
      </c>
      <c r="I1605">
        <v>0</v>
      </c>
      <c r="J1605">
        <v>0</v>
      </c>
      <c r="K1605">
        <v>38314.239999999998</v>
      </c>
      <c r="L1605">
        <v>2377239.08</v>
      </c>
      <c r="M1605">
        <v>2340840.5499999998</v>
      </c>
      <c r="N1605">
        <v>2377239.08</v>
      </c>
      <c r="O1605">
        <v>2340840.5499999998</v>
      </c>
      <c r="P1605">
        <v>2502356.94</v>
      </c>
      <c r="Q1605">
        <v>2464042.7000000002</v>
      </c>
      <c r="R1605" s="14">
        <f>_xlfn.XLOOKUP(Table2[[#This Row],[LoanID]],Table1[G-L ID],Table1[ManagerCode],-99)</f>
        <v>103</v>
      </c>
      <c r="T1605"/>
    </row>
    <row r="1606" spans="1:20" x14ac:dyDescent="0.25">
      <c r="A1606">
        <v>20130131</v>
      </c>
      <c r="B1606">
        <v>2013</v>
      </c>
      <c r="C1606">
        <v>1</v>
      </c>
      <c r="D1606">
        <v>1</v>
      </c>
      <c r="E1606">
        <v>10390</v>
      </c>
      <c r="F1606">
        <v>118750</v>
      </c>
      <c r="G1606">
        <v>0</v>
      </c>
      <c r="H1606">
        <v>0</v>
      </c>
      <c r="I1606">
        <v>0</v>
      </c>
      <c r="J1606">
        <v>0</v>
      </c>
      <c r="K1606">
        <v>0</v>
      </c>
      <c r="L1606">
        <v>23750000</v>
      </c>
      <c r="M1606">
        <v>23750000</v>
      </c>
      <c r="N1606">
        <v>23750000</v>
      </c>
      <c r="O1606">
        <v>23750000</v>
      </c>
      <c r="P1606">
        <v>24996734.59</v>
      </c>
      <c r="Q1606">
        <v>24996938.670000002</v>
      </c>
      <c r="R1606" s="14">
        <f>_xlfn.XLOOKUP(Table2[[#This Row],[LoanID]],Table1[G-L ID],Table1[ManagerCode],-99)</f>
        <v>103</v>
      </c>
      <c r="T1606"/>
    </row>
    <row r="1607" spans="1:20" x14ac:dyDescent="0.25">
      <c r="A1607">
        <v>20130131</v>
      </c>
      <c r="B1607">
        <v>2013</v>
      </c>
      <c r="C1607">
        <v>1</v>
      </c>
      <c r="D1607">
        <v>1</v>
      </c>
      <c r="E1607">
        <v>10400</v>
      </c>
      <c r="F1607">
        <v>0</v>
      </c>
      <c r="G1607">
        <v>0</v>
      </c>
      <c r="H1607">
        <v>0</v>
      </c>
      <c r="I1607">
        <v>0</v>
      </c>
      <c r="J1607">
        <v>0</v>
      </c>
      <c r="K1607">
        <v>0</v>
      </c>
      <c r="L1607">
        <v>45000000</v>
      </c>
      <c r="M1607">
        <v>45000000</v>
      </c>
      <c r="N1607">
        <v>45000000</v>
      </c>
      <c r="O1607">
        <v>45000000</v>
      </c>
      <c r="P1607">
        <v>45000000</v>
      </c>
      <c r="Q1607">
        <v>45000000</v>
      </c>
      <c r="R1607" s="14">
        <f>_xlfn.XLOOKUP(Table2[[#This Row],[LoanID]],Table1[G-L ID],Table1[ManagerCode],-99)</f>
        <v>220</v>
      </c>
      <c r="T1607"/>
    </row>
    <row r="1608" spans="1:20" x14ac:dyDescent="0.25">
      <c r="A1608">
        <v>20130131</v>
      </c>
      <c r="B1608">
        <v>2013</v>
      </c>
      <c r="C1608">
        <v>1</v>
      </c>
      <c r="D1608">
        <v>1</v>
      </c>
      <c r="E1608">
        <v>10490</v>
      </c>
      <c r="F1608">
        <v>226041.67</v>
      </c>
      <c r="G1608">
        <v>0</v>
      </c>
      <c r="H1608">
        <v>0</v>
      </c>
      <c r="I1608">
        <v>0</v>
      </c>
      <c r="J1608">
        <v>0</v>
      </c>
      <c r="K1608">
        <v>0</v>
      </c>
      <c r="L1608">
        <v>17534168</v>
      </c>
      <c r="M1608">
        <v>17534168</v>
      </c>
      <c r="N1608">
        <v>17534168</v>
      </c>
      <c r="O1608">
        <v>17534168</v>
      </c>
      <c r="P1608">
        <v>17534168</v>
      </c>
      <c r="Q1608">
        <v>17534168</v>
      </c>
      <c r="R1608" s="14">
        <f>_xlfn.XLOOKUP(Table2[[#This Row],[LoanID]],Table1[G-L ID],Table1[ManagerCode],-99)</f>
        <v>220</v>
      </c>
      <c r="T1608"/>
    </row>
    <row r="1609" spans="1:20" x14ac:dyDescent="0.25">
      <c r="A1609">
        <v>20130131</v>
      </c>
      <c r="B1609">
        <v>2013</v>
      </c>
      <c r="C1609">
        <v>1</v>
      </c>
      <c r="D1609">
        <v>1</v>
      </c>
      <c r="E1609">
        <v>10550</v>
      </c>
      <c r="F1609">
        <v>15553.65</v>
      </c>
      <c r="G1609">
        <v>0</v>
      </c>
      <c r="H1609">
        <v>0</v>
      </c>
      <c r="I1609">
        <v>-8.85</v>
      </c>
      <c r="J1609">
        <v>0</v>
      </c>
      <c r="K1609">
        <v>45998.720000000001</v>
      </c>
      <c r="L1609">
        <v>2646898.6800000002</v>
      </c>
      <c r="M1609">
        <v>2600899.96</v>
      </c>
      <c r="N1609">
        <v>2646898.6800000002</v>
      </c>
      <c r="O1609">
        <v>2600899.96</v>
      </c>
      <c r="P1609">
        <v>2646898.6800000002</v>
      </c>
      <c r="Q1609">
        <v>2600899.96</v>
      </c>
      <c r="R1609" s="14">
        <f>_xlfn.XLOOKUP(Table2[[#This Row],[LoanID]],Table1[G-L ID],Table1[ManagerCode],-99)</f>
        <v>103</v>
      </c>
      <c r="T1609"/>
    </row>
    <row r="1610" spans="1:20" x14ac:dyDescent="0.25">
      <c r="A1610">
        <v>20130131</v>
      </c>
      <c r="B1610">
        <v>2013</v>
      </c>
      <c r="C1610">
        <v>1</v>
      </c>
      <c r="D1610">
        <v>1</v>
      </c>
      <c r="E1610">
        <v>10560</v>
      </c>
      <c r="F1610">
        <v>383656.62</v>
      </c>
      <c r="G1610">
        <v>0</v>
      </c>
      <c r="H1610">
        <v>0</v>
      </c>
      <c r="I1610">
        <v>-218.23</v>
      </c>
      <c r="J1610">
        <v>0</v>
      </c>
      <c r="K1610">
        <v>1134635.07</v>
      </c>
      <c r="L1610">
        <v>65290167.310000002</v>
      </c>
      <c r="M1610">
        <v>64155532.25</v>
      </c>
      <c r="N1610">
        <v>65290167.310000002</v>
      </c>
      <c r="O1610">
        <v>64155532.25</v>
      </c>
      <c r="P1610">
        <v>65290167.030000001</v>
      </c>
      <c r="Q1610">
        <v>64155531.960000001</v>
      </c>
      <c r="R1610" s="14">
        <f>_xlfn.XLOOKUP(Table2[[#This Row],[LoanID]],Table1[G-L ID],Table1[ManagerCode],-99)</f>
        <v>103</v>
      </c>
      <c r="T1610"/>
    </row>
    <row r="1611" spans="1:20" x14ac:dyDescent="0.25">
      <c r="A1611">
        <v>20130131</v>
      </c>
      <c r="B1611">
        <v>2013</v>
      </c>
      <c r="C1611">
        <v>1</v>
      </c>
      <c r="D1611">
        <v>1</v>
      </c>
      <c r="E1611">
        <v>10630</v>
      </c>
      <c r="F1611">
        <v>48070.31</v>
      </c>
      <c r="G1611">
        <v>0</v>
      </c>
      <c r="H1611">
        <v>0</v>
      </c>
      <c r="I1611">
        <v>-0.01</v>
      </c>
      <c r="J1611">
        <v>0</v>
      </c>
      <c r="K1611">
        <v>14545.77</v>
      </c>
      <c r="L1611">
        <v>9346850.7300000004</v>
      </c>
      <c r="M1611">
        <v>9308480.5800000001</v>
      </c>
      <c r="N1611">
        <v>9346850.7300000004</v>
      </c>
      <c r="O1611">
        <v>9308480.5800000001</v>
      </c>
      <c r="P1611">
        <v>8999121.3100000005</v>
      </c>
      <c r="Q1611">
        <v>8984575.5399999991</v>
      </c>
      <c r="R1611" s="14">
        <f>_xlfn.XLOOKUP(Table2[[#This Row],[LoanID]],Table1[G-L ID],Table1[ManagerCode],-99)</f>
        <v>103</v>
      </c>
      <c r="T1611"/>
    </row>
    <row r="1612" spans="1:20" x14ac:dyDescent="0.25">
      <c r="A1612">
        <v>20130131</v>
      </c>
      <c r="B1612">
        <v>2013</v>
      </c>
      <c r="C1612">
        <v>1</v>
      </c>
      <c r="D1612">
        <v>1</v>
      </c>
      <c r="E1612">
        <v>10690</v>
      </c>
      <c r="F1612">
        <v>10638.64</v>
      </c>
      <c r="G1612">
        <v>6828.1</v>
      </c>
      <c r="H1612">
        <v>0</v>
      </c>
      <c r="I1612">
        <v>0</v>
      </c>
      <c r="J1612">
        <v>-10638.64</v>
      </c>
      <c r="K1612">
        <v>0</v>
      </c>
      <c r="L1612">
        <v>1610240.04</v>
      </c>
      <c r="M1612">
        <v>1627706.78</v>
      </c>
      <c r="N1612">
        <v>1610240.04</v>
      </c>
      <c r="O1612">
        <v>1627706.78</v>
      </c>
      <c r="P1612">
        <v>1610240.04</v>
      </c>
      <c r="Q1612">
        <v>1627706.78</v>
      </c>
      <c r="R1612" s="14">
        <f>_xlfn.XLOOKUP(Table2[[#This Row],[LoanID]],Table1[G-L ID],Table1[ManagerCode],-99)</f>
        <v>183</v>
      </c>
      <c r="T1612"/>
    </row>
    <row r="1613" spans="1:20" x14ac:dyDescent="0.25">
      <c r="A1613">
        <v>20130131</v>
      </c>
      <c r="B1613">
        <v>2013</v>
      </c>
      <c r="C1613">
        <v>1</v>
      </c>
      <c r="D1613">
        <v>1</v>
      </c>
      <c r="E1613">
        <v>10770</v>
      </c>
      <c r="F1613">
        <v>0</v>
      </c>
      <c r="G1613">
        <v>0</v>
      </c>
      <c r="H1613">
        <v>0</v>
      </c>
      <c r="I1613">
        <v>0</v>
      </c>
      <c r="J1613">
        <v>0</v>
      </c>
      <c r="K1613">
        <v>0</v>
      </c>
      <c r="L1613">
        <v>109250000</v>
      </c>
      <c r="M1613">
        <v>109250000</v>
      </c>
      <c r="N1613">
        <v>109250000</v>
      </c>
      <c r="O1613">
        <v>109250000</v>
      </c>
      <c r="P1613">
        <v>115000000</v>
      </c>
      <c r="Q1613">
        <v>115000000</v>
      </c>
      <c r="R1613" s="14">
        <f>_xlfn.XLOOKUP(Table2[[#This Row],[LoanID]],Table1[G-L ID],Table1[ManagerCode],-99)</f>
        <v>103</v>
      </c>
      <c r="T1613"/>
    </row>
    <row r="1614" spans="1:20" x14ac:dyDescent="0.25">
      <c r="A1614">
        <v>20130131</v>
      </c>
      <c r="B1614">
        <v>2013</v>
      </c>
      <c r="C1614">
        <v>1</v>
      </c>
      <c r="D1614">
        <v>1</v>
      </c>
      <c r="E1614">
        <v>10820</v>
      </c>
      <c r="F1614">
        <v>90344.14</v>
      </c>
      <c r="G1614">
        <v>0</v>
      </c>
      <c r="H1614">
        <v>0</v>
      </c>
      <c r="I1614">
        <v>0</v>
      </c>
      <c r="J1614">
        <v>0</v>
      </c>
      <c r="K1614">
        <v>0</v>
      </c>
      <c r="L1614">
        <v>21397297</v>
      </c>
      <c r="M1614">
        <v>21397297</v>
      </c>
      <c r="N1614">
        <v>21397297</v>
      </c>
      <c r="O1614">
        <v>21397297</v>
      </c>
      <c r="P1614">
        <v>21397297</v>
      </c>
      <c r="Q1614">
        <v>21397297</v>
      </c>
      <c r="R1614" s="14">
        <f>_xlfn.XLOOKUP(Table2[[#This Row],[LoanID]],Table1[G-L ID],Table1[ManagerCode],-99)</f>
        <v>220</v>
      </c>
      <c r="T1614"/>
    </row>
    <row r="1615" spans="1:20" x14ac:dyDescent="0.25">
      <c r="A1615">
        <v>20130131</v>
      </c>
      <c r="B1615">
        <v>2013</v>
      </c>
      <c r="C1615">
        <v>1</v>
      </c>
      <c r="D1615">
        <v>1</v>
      </c>
      <c r="E1615">
        <v>10830</v>
      </c>
      <c r="F1615">
        <v>29477.96</v>
      </c>
      <c r="G1615">
        <v>0</v>
      </c>
      <c r="H1615">
        <v>0</v>
      </c>
      <c r="I1615">
        <v>0</v>
      </c>
      <c r="J1615">
        <v>0</v>
      </c>
      <c r="K1615">
        <v>0</v>
      </c>
      <c r="L1615">
        <v>6981622</v>
      </c>
      <c r="M1615">
        <v>6981622</v>
      </c>
      <c r="N1615">
        <v>6981622</v>
      </c>
      <c r="O1615">
        <v>6981622</v>
      </c>
      <c r="P1615">
        <v>6981622</v>
      </c>
      <c r="Q1615">
        <v>6981622</v>
      </c>
      <c r="R1615" s="14">
        <f>_xlfn.XLOOKUP(Table2[[#This Row],[LoanID]],Table1[G-L ID],Table1[ManagerCode],-99)</f>
        <v>220</v>
      </c>
      <c r="T1615"/>
    </row>
    <row r="1616" spans="1:20" x14ac:dyDescent="0.25">
      <c r="A1616">
        <v>20130131</v>
      </c>
      <c r="B1616">
        <v>2013</v>
      </c>
      <c r="C1616">
        <v>1</v>
      </c>
      <c r="D1616">
        <v>1</v>
      </c>
      <c r="E1616">
        <v>10840</v>
      </c>
      <c r="F1616">
        <v>53661.02</v>
      </c>
      <c r="G1616">
        <v>0</v>
      </c>
      <c r="H1616">
        <v>0</v>
      </c>
      <c r="I1616">
        <v>0</v>
      </c>
      <c r="J1616">
        <v>0</v>
      </c>
      <c r="K1616">
        <v>0</v>
      </c>
      <c r="L1616">
        <v>12709189</v>
      </c>
      <c r="M1616">
        <v>12709189</v>
      </c>
      <c r="N1616">
        <v>12709189</v>
      </c>
      <c r="O1616">
        <v>12709189</v>
      </c>
      <c r="P1616">
        <v>12709189</v>
      </c>
      <c r="Q1616">
        <v>12709189</v>
      </c>
      <c r="R1616" s="14">
        <f>_xlfn.XLOOKUP(Table2[[#This Row],[LoanID]],Table1[G-L ID],Table1[ManagerCode],-99)</f>
        <v>220</v>
      </c>
      <c r="T1616"/>
    </row>
    <row r="1617" spans="1:20" x14ac:dyDescent="0.25">
      <c r="A1617">
        <v>20130131</v>
      </c>
      <c r="B1617">
        <v>2013</v>
      </c>
      <c r="C1617">
        <v>1</v>
      </c>
      <c r="D1617">
        <v>1</v>
      </c>
      <c r="E1617">
        <v>10850</v>
      </c>
      <c r="F1617">
        <v>57050.21</v>
      </c>
      <c r="G1617">
        <v>0</v>
      </c>
      <c r="H1617">
        <v>0</v>
      </c>
      <c r="I1617">
        <v>0</v>
      </c>
      <c r="J1617">
        <v>0</v>
      </c>
      <c r="K1617">
        <v>0</v>
      </c>
      <c r="L1617">
        <v>13511892</v>
      </c>
      <c r="M1617">
        <v>13511892</v>
      </c>
      <c r="N1617">
        <v>13511892</v>
      </c>
      <c r="O1617">
        <v>13511892</v>
      </c>
      <c r="P1617">
        <v>13511892</v>
      </c>
      <c r="Q1617">
        <v>13511892</v>
      </c>
      <c r="R1617" s="14">
        <f>_xlfn.XLOOKUP(Table2[[#This Row],[LoanID]],Table1[G-L ID],Table1[ManagerCode],-99)</f>
        <v>220</v>
      </c>
      <c r="T1617"/>
    </row>
    <row r="1618" spans="1:20" x14ac:dyDescent="0.25">
      <c r="A1618">
        <v>20130131</v>
      </c>
      <c r="B1618">
        <v>2013</v>
      </c>
      <c r="C1618">
        <v>1</v>
      </c>
      <c r="D1618">
        <v>1</v>
      </c>
      <c r="E1618">
        <v>10880</v>
      </c>
      <c r="F1618">
        <v>307189.78000000003</v>
      </c>
      <c r="G1618">
        <v>0</v>
      </c>
      <c r="H1618">
        <v>0</v>
      </c>
      <c r="I1618">
        <v>0</v>
      </c>
      <c r="J1618">
        <v>0</v>
      </c>
      <c r="K1618">
        <v>0</v>
      </c>
      <c r="L1618">
        <v>199727153.09999999</v>
      </c>
      <c r="M1618">
        <v>199727153.09999999</v>
      </c>
      <c r="N1618">
        <v>199727153.09999999</v>
      </c>
      <c r="O1618">
        <v>199727153.09999999</v>
      </c>
      <c r="P1618">
        <v>201744599.09999999</v>
      </c>
      <c r="Q1618">
        <v>201744599.09999999</v>
      </c>
      <c r="R1618" s="14">
        <f>_xlfn.XLOOKUP(Table2[[#This Row],[LoanID]],Table1[G-L ID],Table1[ManagerCode],-99)</f>
        <v>103</v>
      </c>
      <c r="T1618"/>
    </row>
    <row r="1619" spans="1:20" x14ac:dyDescent="0.25">
      <c r="A1619">
        <v>20130131</v>
      </c>
      <c r="B1619">
        <v>2013</v>
      </c>
      <c r="C1619">
        <v>1</v>
      </c>
      <c r="D1619">
        <v>1</v>
      </c>
      <c r="E1619">
        <v>10900</v>
      </c>
      <c r="F1619">
        <v>81456.19</v>
      </c>
      <c r="G1619">
        <v>0</v>
      </c>
      <c r="H1619">
        <v>0</v>
      </c>
      <c r="I1619">
        <v>0</v>
      </c>
      <c r="J1619">
        <v>0</v>
      </c>
      <c r="K1619">
        <v>2160.87</v>
      </c>
      <c r="L1619">
        <v>8169506.9199999999</v>
      </c>
      <c r="M1619">
        <v>8167454.0700000003</v>
      </c>
      <c r="N1619">
        <v>8169506.9199999999</v>
      </c>
      <c r="O1619">
        <v>8167454.0700000003</v>
      </c>
      <c r="P1619">
        <v>8599480.9499999993</v>
      </c>
      <c r="Q1619">
        <v>8597320.0800000001</v>
      </c>
      <c r="R1619" s="14">
        <f>_xlfn.XLOOKUP(Table2[[#This Row],[LoanID]],Table1[G-L ID],Table1[ManagerCode],-99)</f>
        <v>103</v>
      </c>
      <c r="T1619"/>
    </row>
    <row r="1620" spans="1:20" x14ac:dyDescent="0.25">
      <c r="A1620">
        <v>20130131</v>
      </c>
      <c r="B1620">
        <v>2013</v>
      </c>
      <c r="C1620">
        <v>1</v>
      </c>
      <c r="D1620">
        <v>1</v>
      </c>
      <c r="E1620">
        <v>10920</v>
      </c>
      <c r="F1620">
        <v>114583.33</v>
      </c>
      <c r="G1620">
        <v>0</v>
      </c>
      <c r="H1620">
        <v>0</v>
      </c>
      <c r="I1620">
        <v>0</v>
      </c>
      <c r="J1620">
        <v>0</v>
      </c>
      <c r="K1620">
        <v>0</v>
      </c>
      <c r="L1620">
        <v>11000000</v>
      </c>
      <c r="M1620">
        <v>11000000</v>
      </c>
      <c r="N1620">
        <v>11000000</v>
      </c>
      <c r="O1620">
        <v>11000000</v>
      </c>
      <c r="P1620">
        <v>11000000</v>
      </c>
      <c r="Q1620">
        <v>11000000</v>
      </c>
      <c r="R1620" s="14">
        <f>_xlfn.XLOOKUP(Table2[[#This Row],[LoanID]],Table1[G-L ID],Table1[ManagerCode],-99)</f>
        <v>183</v>
      </c>
      <c r="T1620"/>
    </row>
    <row r="1621" spans="1:20" x14ac:dyDescent="0.25">
      <c r="A1621">
        <v>20130131</v>
      </c>
      <c r="B1621">
        <v>2013</v>
      </c>
      <c r="C1621">
        <v>1</v>
      </c>
      <c r="D1621">
        <v>1</v>
      </c>
      <c r="E1621">
        <v>10950</v>
      </c>
      <c r="F1621">
        <v>51884.13</v>
      </c>
      <c r="G1621">
        <v>0</v>
      </c>
      <c r="H1621">
        <v>0</v>
      </c>
      <c r="I1621">
        <v>0</v>
      </c>
      <c r="J1621">
        <v>0</v>
      </c>
      <c r="K1621">
        <v>25138.89</v>
      </c>
      <c r="L1621">
        <v>10342004.93</v>
      </c>
      <c r="M1621">
        <v>10317117.43</v>
      </c>
      <c r="N1621">
        <v>10342004.93</v>
      </c>
      <c r="O1621">
        <v>10317117.43</v>
      </c>
      <c r="P1621">
        <v>10446469.619999999</v>
      </c>
      <c r="Q1621">
        <v>10421330.73</v>
      </c>
      <c r="R1621" s="14">
        <f>_xlfn.XLOOKUP(Table2[[#This Row],[LoanID]],Table1[G-L ID],Table1[ManagerCode],-99)</f>
        <v>103</v>
      </c>
      <c r="T1621"/>
    </row>
    <row r="1622" spans="1:20" x14ac:dyDescent="0.25">
      <c r="A1622">
        <v>20130131</v>
      </c>
      <c r="B1622">
        <v>2013</v>
      </c>
      <c r="C1622">
        <v>1</v>
      </c>
      <c r="D1622">
        <v>1</v>
      </c>
      <c r="E1622">
        <v>10980</v>
      </c>
      <c r="F1622">
        <v>134139.46</v>
      </c>
      <c r="G1622">
        <v>18302.5</v>
      </c>
      <c r="H1622">
        <v>0</v>
      </c>
      <c r="I1622">
        <v>0</v>
      </c>
      <c r="J1622">
        <v>-1539821.76</v>
      </c>
      <c r="K1622">
        <v>0</v>
      </c>
      <c r="L1622">
        <v>18420897.719999999</v>
      </c>
      <c r="M1622">
        <v>19979021.98</v>
      </c>
      <c r="N1622">
        <v>18420897.719999999</v>
      </c>
      <c r="O1622">
        <v>19979021.98</v>
      </c>
      <c r="P1622">
        <v>18420897.719999999</v>
      </c>
      <c r="Q1622">
        <v>19979021.98</v>
      </c>
      <c r="R1622" s="14">
        <f>_xlfn.XLOOKUP(Table2[[#This Row],[LoanID]],Table1[G-L ID],Table1[ManagerCode],-99)</f>
        <v>183</v>
      </c>
      <c r="T1622"/>
    </row>
    <row r="1623" spans="1:20" x14ac:dyDescent="0.25">
      <c r="A1623">
        <v>20130131</v>
      </c>
      <c r="B1623">
        <v>2013</v>
      </c>
      <c r="C1623">
        <v>1</v>
      </c>
      <c r="D1623">
        <v>1</v>
      </c>
      <c r="E1623">
        <v>11020</v>
      </c>
      <c r="F1623">
        <v>108500</v>
      </c>
      <c r="G1623">
        <v>0</v>
      </c>
      <c r="H1623">
        <v>0</v>
      </c>
      <c r="I1623">
        <v>0</v>
      </c>
      <c r="J1623">
        <v>0</v>
      </c>
      <c r="K1623">
        <v>0</v>
      </c>
      <c r="L1623">
        <v>12000000</v>
      </c>
      <c r="M1623">
        <v>12000000</v>
      </c>
      <c r="N1623">
        <v>12000000</v>
      </c>
      <c r="O1623">
        <v>12000000</v>
      </c>
      <c r="P1623">
        <v>12000000</v>
      </c>
      <c r="Q1623">
        <v>12000000</v>
      </c>
      <c r="R1623" s="14">
        <f>_xlfn.XLOOKUP(Table2[[#This Row],[LoanID]],Table1[G-L ID],Table1[ManagerCode],-99)</f>
        <v>119</v>
      </c>
      <c r="T1623"/>
    </row>
    <row r="1624" spans="1:20" x14ac:dyDescent="0.25">
      <c r="A1624">
        <v>20130131</v>
      </c>
      <c r="B1624">
        <v>2013</v>
      </c>
      <c r="C1624">
        <v>1</v>
      </c>
      <c r="D1624">
        <v>1</v>
      </c>
      <c r="E1624">
        <v>11050</v>
      </c>
      <c r="F1624">
        <v>0</v>
      </c>
      <c r="G1624">
        <v>0</v>
      </c>
      <c r="H1624">
        <v>0</v>
      </c>
      <c r="I1624">
        <v>0</v>
      </c>
      <c r="J1624">
        <v>-1569328.36</v>
      </c>
      <c r="K1624">
        <v>0</v>
      </c>
      <c r="L1624">
        <v>5442608.8700000001</v>
      </c>
      <c r="M1624">
        <v>7011937.2300000004</v>
      </c>
      <c r="N1624">
        <v>5442608.8700000001</v>
      </c>
      <c r="O1624">
        <v>7011937.2300000004</v>
      </c>
      <c r="P1624">
        <v>5442608.8700000001</v>
      </c>
      <c r="Q1624">
        <v>7011937.2300000004</v>
      </c>
      <c r="R1624" s="14">
        <f>_xlfn.XLOOKUP(Table2[[#This Row],[LoanID]],Table1[G-L ID],Table1[ManagerCode],-99)</f>
        <v>220</v>
      </c>
      <c r="T1624"/>
    </row>
    <row r="1625" spans="1:20" x14ac:dyDescent="0.25">
      <c r="A1625">
        <v>20130131</v>
      </c>
      <c r="B1625">
        <v>2013</v>
      </c>
      <c r="C1625">
        <v>1</v>
      </c>
      <c r="D1625">
        <v>1</v>
      </c>
      <c r="E1625">
        <v>11070</v>
      </c>
      <c r="F1625">
        <v>150000</v>
      </c>
      <c r="G1625">
        <v>0</v>
      </c>
      <c r="H1625">
        <v>0</v>
      </c>
      <c r="I1625">
        <v>0</v>
      </c>
      <c r="J1625">
        <v>0</v>
      </c>
      <c r="K1625">
        <v>469893.45</v>
      </c>
      <c r="L1625">
        <v>17820017.82</v>
      </c>
      <c r="M1625">
        <v>14024099.25</v>
      </c>
      <c r="N1625">
        <v>17820017.82</v>
      </c>
      <c r="O1625">
        <v>14024099.25</v>
      </c>
      <c r="P1625">
        <v>18000000</v>
      </c>
      <c r="Q1625">
        <v>17530106.550000001</v>
      </c>
      <c r="R1625" s="14">
        <f>_xlfn.XLOOKUP(Table2[[#This Row],[LoanID]],Table1[G-L ID],Table1[ManagerCode],-99)</f>
        <v>103</v>
      </c>
      <c r="T1625"/>
    </row>
    <row r="1626" spans="1:20" x14ac:dyDescent="0.25">
      <c r="A1626">
        <v>20130131</v>
      </c>
      <c r="B1626">
        <v>2013</v>
      </c>
      <c r="C1626">
        <v>1</v>
      </c>
      <c r="D1626">
        <v>1</v>
      </c>
      <c r="E1626">
        <v>11110</v>
      </c>
      <c r="F1626">
        <v>99983.6</v>
      </c>
      <c r="G1626">
        <v>0</v>
      </c>
      <c r="H1626">
        <v>0</v>
      </c>
      <c r="I1626">
        <v>0</v>
      </c>
      <c r="J1626">
        <v>0</v>
      </c>
      <c r="K1626">
        <v>0</v>
      </c>
      <c r="L1626">
        <v>13947431.140000001</v>
      </c>
      <c r="M1626">
        <v>13947431.140000001</v>
      </c>
      <c r="N1626">
        <v>13947431.140000001</v>
      </c>
      <c r="O1626">
        <v>13947431.140000001</v>
      </c>
      <c r="P1626">
        <v>13947431.140000001</v>
      </c>
      <c r="Q1626">
        <v>13947431.140000001</v>
      </c>
      <c r="R1626" s="14">
        <f>_xlfn.XLOOKUP(Table2[[#This Row],[LoanID]],Table1[G-L ID],Table1[ManagerCode],-99)</f>
        <v>183</v>
      </c>
      <c r="T1626"/>
    </row>
    <row r="1627" spans="1:20" x14ac:dyDescent="0.25">
      <c r="A1627">
        <v>20130131</v>
      </c>
      <c r="B1627">
        <v>2013</v>
      </c>
      <c r="C1627">
        <v>1</v>
      </c>
      <c r="D1627">
        <v>1</v>
      </c>
      <c r="E1627">
        <v>11140</v>
      </c>
      <c r="F1627">
        <v>0</v>
      </c>
      <c r="G1627">
        <v>0</v>
      </c>
      <c r="H1627">
        <v>0</v>
      </c>
      <c r="I1627">
        <v>0</v>
      </c>
      <c r="J1627">
        <v>0</v>
      </c>
      <c r="K1627">
        <v>0</v>
      </c>
      <c r="L1627">
        <v>71200140.790000007</v>
      </c>
      <c r="M1627">
        <v>71711993.859999999</v>
      </c>
      <c r="N1627">
        <v>71200140.790000007</v>
      </c>
      <c r="O1627">
        <v>71711993.859999999</v>
      </c>
      <c r="P1627">
        <v>72436285</v>
      </c>
      <c r="Q1627">
        <v>72436285</v>
      </c>
      <c r="R1627" s="14">
        <f>_xlfn.XLOOKUP(Table2[[#This Row],[LoanID]],Table1[G-L ID],Table1[ManagerCode],-99)</f>
        <v>103</v>
      </c>
      <c r="T1627"/>
    </row>
    <row r="1628" spans="1:20" x14ac:dyDescent="0.25">
      <c r="A1628">
        <v>20130131</v>
      </c>
      <c r="B1628">
        <v>2013</v>
      </c>
      <c r="C1628">
        <v>1</v>
      </c>
      <c r="D1628">
        <v>1</v>
      </c>
      <c r="E1628">
        <v>11190</v>
      </c>
      <c r="F1628">
        <v>1343654.01</v>
      </c>
      <c r="G1628">
        <v>0</v>
      </c>
      <c r="H1628">
        <v>0</v>
      </c>
      <c r="I1628">
        <v>-1721.97</v>
      </c>
      <c r="J1628">
        <v>0</v>
      </c>
      <c r="K1628">
        <v>0</v>
      </c>
      <c r="L1628">
        <v>189972289.90000001</v>
      </c>
      <c r="M1628">
        <v>189972289.90000001</v>
      </c>
      <c r="N1628">
        <v>189972289.90000001</v>
      </c>
      <c r="O1628">
        <v>189972289.90000001</v>
      </c>
      <c r="P1628">
        <v>199970831.5</v>
      </c>
      <c r="Q1628">
        <v>199970831.5</v>
      </c>
      <c r="R1628" s="14">
        <f>_xlfn.XLOOKUP(Table2[[#This Row],[LoanID]],Table1[G-L ID],Table1[ManagerCode],-99)</f>
        <v>103</v>
      </c>
      <c r="T1628"/>
    </row>
    <row r="1629" spans="1:20" x14ac:dyDescent="0.25">
      <c r="A1629">
        <v>20130131</v>
      </c>
      <c r="B1629">
        <v>2013</v>
      </c>
      <c r="C1629">
        <v>1</v>
      </c>
      <c r="D1629">
        <v>1</v>
      </c>
      <c r="E1629">
        <v>11220</v>
      </c>
      <c r="F1629">
        <v>311937.5</v>
      </c>
      <c r="G1629">
        <v>0</v>
      </c>
      <c r="H1629">
        <v>0</v>
      </c>
      <c r="I1629">
        <v>0</v>
      </c>
      <c r="J1629">
        <v>0</v>
      </c>
      <c r="K1629">
        <v>0</v>
      </c>
      <c r="L1629">
        <v>34500000</v>
      </c>
      <c r="M1629">
        <v>34500000</v>
      </c>
      <c r="N1629">
        <v>34500000</v>
      </c>
      <c r="O1629">
        <v>34500000</v>
      </c>
      <c r="P1629">
        <v>34500000</v>
      </c>
      <c r="Q1629">
        <v>34500000</v>
      </c>
      <c r="R1629" s="14">
        <f>_xlfn.XLOOKUP(Table2[[#This Row],[LoanID]],Table1[G-L ID],Table1[ManagerCode],-99)</f>
        <v>220</v>
      </c>
      <c r="T1629"/>
    </row>
    <row r="1630" spans="1:20" x14ac:dyDescent="0.25">
      <c r="A1630">
        <v>20130131</v>
      </c>
      <c r="B1630">
        <v>2013</v>
      </c>
      <c r="C1630">
        <v>1</v>
      </c>
      <c r="D1630">
        <v>1</v>
      </c>
      <c r="E1630">
        <v>11230</v>
      </c>
      <c r="F1630">
        <v>248259.12</v>
      </c>
      <c r="G1630">
        <v>0</v>
      </c>
      <c r="H1630">
        <v>0</v>
      </c>
      <c r="I1630">
        <v>0</v>
      </c>
      <c r="J1630">
        <v>0</v>
      </c>
      <c r="K1630">
        <v>0</v>
      </c>
      <c r="L1630">
        <v>175436664</v>
      </c>
      <c r="M1630">
        <v>175436664</v>
      </c>
      <c r="N1630">
        <v>175436664</v>
      </c>
      <c r="O1630">
        <v>175436664</v>
      </c>
      <c r="P1630">
        <v>194929626.59999999</v>
      </c>
      <c r="Q1630">
        <v>194929626.59999999</v>
      </c>
      <c r="R1630" s="14">
        <f>_xlfn.XLOOKUP(Table2[[#This Row],[LoanID]],Table1[G-L ID],Table1[ManagerCode],-99)</f>
        <v>103</v>
      </c>
      <c r="T1630"/>
    </row>
    <row r="1631" spans="1:20" x14ac:dyDescent="0.25">
      <c r="A1631">
        <v>20130131</v>
      </c>
      <c r="B1631">
        <v>2013</v>
      </c>
      <c r="C1631">
        <v>1</v>
      </c>
      <c r="D1631">
        <v>1</v>
      </c>
      <c r="E1631">
        <v>11280</v>
      </c>
      <c r="F1631">
        <v>23608.44</v>
      </c>
      <c r="G1631">
        <v>0</v>
      </c>
      <c r="H1631">
        <v>0</v>
      </c>
      <c r="I1631">
        <v>-156.59</v>
      </c>
      <c r="J1631">
        <v>0</v>
      </c>
      <c r="K1631">
        <v>0</v>
      </c>
      <c r="L1631">
        <v>18603211.800000001</v>
      </c>
      <c r="M1631">
        <v>18603211.800000001</v>
      </c>
      <c r="N1631">
        <v>18603211.800000001</v>
      </c>
      <c r="O1631">
        <v>18603211.800000001</v>
      </c>
      <c r="P1631">
        <v>18791123.030000001</v>
      </c>
      <c r="Q1631">
        <v>18791123.030000001</v>
      </c>
      <c r="R1631" s="14">
        <f>_xlfn.XLOOKUP(Table2[[#This Row],[LoanID]],Table1[G-L ID],Table1[ManagerCode],-99)</f>
        <v>103</v>
      </c>
      <c r="T1631"/>
    </row>
    <row r="1632" spans="1:20" x14ac:dyDescent="0.25">
      <c r="A1632">
        <v>20130131</v>
      </c>
      <c r="B1632">
        <v>2013</v>
      </c>
      <c r="C1632">
        <v>1</v>
      </c>
      <c r="D1632">
        <v>1</v>
      </c>
      <c r="E1632">
        <v>11300</v>
      </c>
      <c r="F1632">
        <v>21247.59</v>
      </c>
      <c r="G1632">
        <v>0</v>
      </c>
      <c r="H1632">
        <v>0</v>
      </c>
      <c r="I1632">
        <v>-140.93</v>
      </c>
      <c r="J1632">
        <v>0</v>
      </c>
      <c r="K1632">
        <v>0</v>
      </c>
      <c r="L1632">
        <v>16742890.619999999</v>
      </c>
      <c r="M1632">
        <v>16742890.619999999</v>
      </c>
      <c r="N1632">
        <v>16742890.619999999</v>
      </c>
      <c r="O1632">
        <v>16742890.619999999</v>
      </c>
      <c r="P1632">
        <v>16912010.73</v>
      </c>
      <c r="Q1632">
        <v>16912010.73</v>
      </c>
      <c r="R1632" s="14">
        <f>_xlfn.XLOOKUP(Table2[[#This Row],[LoanID]],Table1[G-L ID],Table1[ManagerCode],-99)</f>
        <v>103</v>
      </c>
      <c r="T1632"/>
    </row>
    <row r="1633" spans="1:20" x14ac:dyDescent="0.25">
      <c r="A1633">
        <v>20130131</v>
      </c>
      <c r="B1633">
        <v>2013</v>
      </c>
      <c r="C1633">
        <v>1</v>
      </c>
      <c r="D1633">
        <v>1</v>
      </c>
      <c r="E1633">
        <v>11310</v>
      </c>
      <c r="F1633">
        <v>14165.06</v>
      </c>
      <c r="G1633">
        <v>0</v>
      </c>
      <c r="H1633">
        <v>0</v>
      </c>
      <c r="I1633">
        <v>-93.96</v>
      </c>
      <c r="J1633">
        <v>0</v>
      </c>
      <c r="K1633">
        <v>0</v>
      </c>
      <c r="L1633">
        <v>11161927.050000001</v>
      </c>
      <c r="M1633">
        <v>11161927.050000001</v>
      </c>
      <c r="N1633">
        <v>11161927.050000001</v>
      </c>
      <c r="O1633">
        <v>11161927.050000001</v>
      </c>
      <c r="P1633">
        <v>11274673.789999999</v>
      </c>
      <c r="Q1633">
        <v>11274673.789999999</v>
      </c>
      <c r="R1633" s="14">
        <f>_xlfn.XLOOKUP(Table2[[#This Row],[LoanID]],Table1[G-L ID],Table1[ManagerCode],-99)</f>
        <v>103</v>
      </c>
      <c r="T1633"/>
    </row>
    <row r="1634" spans="1:20" x14ac:dyDescent="0.25">
      <c r="A1634">
        <v>20130131</v>
      </c>
      <c r="B1634">
        <v>2013</v>
      </c>
      <c r="C1634">
        <v>1</v>
      </c>
      <c r="D1634">
        <v>1</v>
      </c>
      <c r="E1634">
        <v>11340</v>
      </c>
      <c r="F1634">
        <v>87500</v>
      </c>
      <c r="G1634">
        <v>0</v>
      </c>
      <c r="H1634">
        <v>0</v>
      </c>
      <c r="I1634">
        <v>0</v>
      </c>
      <c r="J1634">
        <v>-50000000</v>
      </c>
      <c r="K1634">
        <v>0</v>
      </c>
      <c r="L1634">
        <v>0</v>
      </c>
      <c r="M1634">
        <v>49500000</v>
      </c>
      <c r="N1634">
        <v>0</v>
      </c>
      <c r="O1634">
        <v>49500000</v>
      </c>
      <c r="P1634">
        <v>0</v>
      </c>
      <c r="Q1634">
        <v>50000000</v>
      </c>
      <c r="R1634" s="14">
        <f>_xlfn.XLOOKUP(Table2[[#This Row],[LoanID]],Table1[G-L ID],Table1[ManagerCode],-99)</f>
        <v>103</v>
      </c>
      <c r="T1634"/>
    </row>
    <row r="1635" spans="1:20" x14ac:dyDescent="0.25">
      <c r="A1635">
        <v>20130131</v>
      </c>
      <c r="B1635">
        <v>2013</v>
      </c>
      <c r="C1635">
        <v>1</v>
      </c>
      <c r="D1635">
        <v>1</v>
      </c>
      <c r="E1635">
        <v>11380</v>
      </c>
      <c r="F1635">
        <v>29608.44</v>
      </c>
      <c r="G1635">
        <v>0</v>
      </c>
      <c r="H1635">
        <v>0</v>
      </c>
      <c r="I1635">
        <v>-0.01</v>
      </c>
      <c r="J1635">
        <v>0</v>
      </c>
      <c r="K1635">
        <v>61091.57</v>
      </c>
      <c r="L1635">
        <v>5080805.33</v>
      </c>
      <c r="M1635">
        <v>5019366.9000000004</v>
      </c>
      <c r="N1635">
        <v>5080805.33</v>
      </c>
      <c r="O1635">
        <v>5019366.9000000004</v>
      </c>
      <c r="P1635">
        <v>4480468.1399999997</v>
      </c>
      <c r="Q1635">
        <v>4419376.57</v>
      </c>
      <c r="R1635" s="14">
        <f>_xlfn.XLOOKUP(Table2[[#This Row],[LoanID]],Table1[G-L ID],Table1[ManagerCode],-99)</f>
        <v>103</v>
      </c>
      <c r="T1635"/>
    </row>
    <row r="1636" spans="1:20" x14ac:dyDescent="0.25">
      <c r="A1636">
        <v>20130131</v>
      </c>
      <c r="B1636">
        <v>2013</v>
      </c>
      <c r="C1636">
        <v>1</v>
      </c>
      <c r="D1636">
        <v>1</v>
      </c>
      <c r="E1636">
        <v>11560</v>
      </c>
      <c r="F1636">
        <v>0</v>
      </c>
      <c r="G1636">
        <v>5166.66</v>
      </c>
      <c r="H1636">
        <v>147175.6</v>
      </c>
      <c r="I1636">
        <v>0</v>
      </c>
      <c r="J1636">
        <v>-13777760</v>
      </c>
      <c r="K1636">
        <v>0</v>
      </c>
      <c r="L1636">
        <v>0</v>
      </c>
      <c r="M1636">
        <v>13782926.66</v>
      </c>
      <c r="N1636">
        <v>0</v>
      </c>
      <c r="O1636">
        <v>13782926.66</v>
      </c>
      <c r="P1636">
        <v>0</v>
      </c>
      <c r="Q1636">
        <v>13782926.66</v>
      </c>
      <c r="R1636" s="14">
        <f>_xlfn.XLOOKUP(Table2[[#This Row],[LoanID]],Table1[G-L ID],Table1[ManagerCode],-99)</f>
        <v>183</v>
      </c>
      <c r="T1636"/>
    </row>
    <row r="1637" spans="1:20" x14ac:dyDescent="0.25">
      <c r="A1637">
        <v>20130131</v>
      </c>
      <c r="B1637">
        <v>2013</v>
      </c>
      <c r="C1637">
        <v>1</v>
      </c>
      <c r="D1637">
        <v>1</v>
      </c>
      <c r="E1637">
        <v>11620</v>
      </c>
      <c r="F1637">
        <v>36143.980000000003</v>
      </c>
      <c r="G1637">
        <v>14602.34</v>
      </c>
      <c r="H1637">
        <v>0</v>
      </c>
      <c r="I1637">
        <v>0</v>
      </c>
      <c r="J1637">
        <v>-97806.12</v>
      </c>
      <c r="K1637">
        <v>0</v>
      </c>
      <c r="L1637">
        <v>4416003.83</v>
      </c>
      <c r="M1637">
        <v>4528412.29</v>
      </c>
      <c r="N1637">
        <v>4416003.83</v>
      </c>
      <c r="O1637">
        <v>4528412.29</v>
      </c>
      <c r="P1637">
        <v>4416003.83</v>
      </c>
      <c r="Q1637">
        <v>4528412.29</v>
      </c>
      <c r="R1637" s="14">
        <f>_xlfn.XLOOKUP(Table2[[#This Row],[LoanID]],Table1[G-L ID],Table1[ManagerCode],-99)</f>
        <v>183</v>
      </c>
      <c r="T1637"/>
    </row>
    <row r="1638" spans="1:20" x14ac:dyDescent="0.25">
      <c r="A1638">
        <v>20130131</v>
      </c>
      <c r="B1638">
        <v>2013</v>
      </c>
      <c r="C1638">
        <v>1</v>
      </c>
      <c r="D1638">
        <v>1</v>
      </c>
      <c r="E1638">
        <v>11650</v>
      </c>
      <c r="F1638">
        <v>75000</v>
      </c>
      <c r="G1638">
        <v>0</v>
      </c>
      <c r="H1638">
        <v>0</v>
      </c>
      <c r="I1638">
        <v>0</v>
      </c>
      <c r="J1638">
        <v>0</v>
      </c>
      <c r="K1638">
        <v>0</v>
      </c>
      <c r="L1638">
        <v>9600000</v>
      </c>
      <c r="M1638">
        <v>9600000</v>
      </c>
      <c r="N1638">
        <v>9600000</v>
      </c>
      <c r="O1638">
        <v>9600000</v>
      </c>
      <c r="P1638">
        <v>12000000</v>
      </c>
      <c r="Q1638">
        <v>12000000</v>
      </c>
      <c r="R1638" s="14">
        <f>_xlfn.XLOOKUP(Table2[[#This Row],[LoanID]],Table1[G-L ID],Table1[ManagerCode],-99)</f>
        <v>103</v>
      </c>
      <c r="T1638"/>
    </row>
    <row r="1639" spans="1:20" x14ac:dyDescent="0.25">
      <c r="A1639">
        <v>20130131</v>
      </c>
      <c r="B1639">
        <v>2013</v>
      </c>
      <c r="C1639">
        <v>1</v>
      </c>
      <c r="D1639">
        <v>1</v>
      </c>
      <c r="E1639">
        <v>11670</v>
      </c>
      <c r="F1639">
        <v>156944.44</v>
      </c>
      <c r="G1639">
        <v>142623.26999999999</v>
      </c>
      <c r="H1639">
        <v>0</v>
      </c>
      <c r="I1639">
        <v>0</v>
      </c>
      <c r="J1639">
        <v>0</v>
      </c>
      <c r="K1639">
        <v>0</v>
      </c>
      <c r="L1639">
        <v>28367708.34</v>
      </c>
      <c r="M1639">
        <v>28510331.609999999</v>
      </c>
      <c r="N1639">
        <v>28367708.34</v>
      </c>
      <c r="O1639">
        <v>28510331.609999999</v>
      </c>
      <c r="P1639">
        <v>28367708.34</v>
      </c>
      <c r="Q1639">
        <v>28510331.609999999</v>
      </c>
      <c r="R1639" s="14">
        <f>_xlfn.XLOOKUP(Table2[[#This Row],[LoanID]],Table1[G-L ID],Table1[ManagerCode],-99)</f>
        <v>183</v>
      </c>
      <c r="T1639"/>
    </row>
    <row r="1640" spans="1:20" x14ac:dyDescent="0.25">
      <c r="A1640">
        <v>20130131</v>
      </c>
      <c r="B1640">
        <v>2013</v>
      </c>
      <c r="C1640">
        <v>1</v>
      </c>
      <c r="D1640">
        <v>1</v>
      </c>
      <c r="E1640">
        <v>11770</v>
      </c>
      <c r="F1640">
        <v>560339.84</v>
      </c>
      <c r="G1640">
        <v>0</v>
      </c>
      <c r="H1640">
        <v>0</v>
      </c>
      <c r="I1640">
        <v>0</v>
      </c>
      <c r="J1640">
        <v>0</v>
      </c>
      <c r="K1640">
        <v>0</v>
      </c>
      <c r="L1640">
        <v>67240780.560000002</v>
      </c>
      <c r="M1640">
        <v>67240780.560000002</v>
      </c>
      <c r="N1640">
        <v>67240780.560000002</v>
      </c>
      <c r="O1640">
        <v>67240780.560000002</v>
      </c>
      <c r="P1640">
        <v>67240780.560000002</v>
      </c>
      <c r="Q1640">
        <v>67240780.560000002</v>
      </c>
      <c r="R1640" s="14">
        <f>_xlfn.XLOOKUP(Table2[[#This Row],[LoanID]],Table1[G-L ID],Table1[ManagerCode],-99)</f>
        <v>119</v>
      </c>
      <c r="T1640"/>
    </row>
    <row r="1641" spans="1:20" x14ac:dyDescent="0.25">
      <c r="A1641">
        <v>20130131</v>
      </c>
      <c r="B1641">
        <v>2013</v>
      </c>
      <c r="C1641">
        <v>1</v>
      </c>
      <c r="D1641">
        <v>1</v>
      </c>
      <c r="E1641">
        <v>11780</v>
      </c>
      <c r="F1641">
        <v>0</v>
      </c>
      <c r="G1641">
        <v>0</v>
      </c>
      <c r="H1641">
        <v>0</v>
      </c>
      <c r="I1641">
        <v>0</v>
      </c>
      <c r="J1641">
        <v>0</v>
      </c>
      <c r="K1641">
        <v>0</v>
      </c>
      <c r="L1641">
        <v>27599788.510000002</v>
      </c>
      <c r="M1641">
        <v>27599788.510000002</v>
      </c>
      <c r="N1641">
        <v>27599788.510000002</v>
      </c>
      <c r="O1641">
        <v>27599788.510000002</v>
      </c>
      <c r="P1641">
        <v>64786446.619999997</v>
      </c>
      <c r="Q1641">
        <v>64786446.619999997</v>
      </c>
      <c r="R1641" s="14">
        <f>_xlfn.XLOOKUP(Table2[[#This Row],[LoanID]],Table1[G-L ID],Table1[ManagerCode],-99)</f>
        <v>103</v>
      </c>
      <c r="T1641"/>
    </row>
    <row r="1642" spans="1:20" x14ac:dyDescent="0.25">
      <c r="A1642">
        <v>20130131</v>
      </c>
      <c r="B1642">
        <v>2013</v>
      </c>
      <c r="C1642">
        <v>1</v>
      </c>
      <c r="D1642">
        <v>1</v>
      </c>
      <c r="E1642">
        <v>11800</v>
      </c>
      <c r="F1642">
        <v>161061.92000000001</v>
      </c>
      <c r="G1642">
        <v>0</v>
      </c>
      <c r="H1642">
        <v>0</v>
      </c>
      <c r="I1642">
        <v>-271.01</v>
      </c>
      <c r="J1642">
        <v>0</v>
      </c>
      <c r="K1642">
        <v>75846.44</v>
      </c>
      <c r="L1642">
        <v>34338446.240000002</v>
      </c>
      <c r="M1642">
        <v>34106543.079999998</v>
      </c>
      <c r="N1642">
        <v>34338446.240000002</v>
      </c>
      <c r="O1642">
        <v>34106543.079999998</v>
      </c>
      <c r="P1642">
        <v>31472260.449999999</v>
      </c>
      <c r="Q1642">
        <v>31396414.010000002</v>
      </c>
      <c r="R1642" s="14">
        <f>_xlfn.XLOOKUP(Table2[[#This Row],[LoanID]],Table1[G-L ID],Table1[ManagerCode],-99)</f>
        <v>103</v>
      </c>
      <c r="T1642"/>
    </row>
    <row r="1643" spans="1:20" x14ac:dyDescent="0.25">
      <c r="A1643">
        <v>20130131</v>
      </c>
      <c r="B1643">
        <v>2013</v>
      </c>
      <c r="C1643">
        <v>1</v>
      </c>
      <c r="D1643">
        <v>1</v>
      </c>
      <c r="E1643">
        <v>11810</v>
      </c>
      <c r="F1643">
        <v>50814.18</v>
      </c>
      <c r="G1643">
        <v>0</v>
      </c>
      <c r="H1643">
        <v>0</v>
      </c>
      <c r="I1643">
        <v>0</v>
      </c>
      <c r="J1643">
        <v>0</v>
      </c>
      <c r="K1643">
        <v>10043.91</v>
      </c>
      <c r="L1643">
        <v>9831798.6799999997</v>
      </c>
      <c r="M1643">
        <v>9821855.2200000007</v>
      </c>
      <c r="N1643">
        <v>9831798.6799999997</v>
      </c>
      <c r="O1643">
        <v>9821855.2200000007</v>
      </c>
      <c r="P1643">
        <v>9931109.7799999993</v>
      </c>
      <c r="Q1643">
        <v>9921065.8699999992</v>
      </c>
      <c r="R1643" s="14">
        <f>_xlfn.XLOOKUP(Table2[[#This Row],[LoanID]],Table1[G-L ID],Table1[ManagerCode],-99)</f>
        <v>103</v>
      </c>
      <c r="T1643"/>
    </row>
    <row r="1644" spans="1:20" x14ac:dyDescent="0.25">
      <c r="A1644">
        <v>20130131</v>
      </c>
      <c r="B1644">
        <v>2013</v>
      </c>
      <c r="C1644">
        <v>1</v>
      </c>
      <c r="D1644">
        <v>1</v>
      </c>
      <c r="E1644">
        <v>11840</v>
      </c>
      <c r="F1644">
        <v>39429.67</v>
      </c>
      <c r="G1644">
        <v>59906.1</v>
      </c>
      <c r="H1644">
        <v>0</v>
      </c>
      <c r="I1644">
        <v>0</v>
      </c>
      <c r="J1644">
        <v>-85161.85</v>
      </c>
      <c r="K1644">
        <v>0</v>
      </c>
      <c r="L1644">
        <v>8299569.3899999997</v>
      </c>
      <c r="M1644">
        <v>8444637.3399999999</v>
      </c>
      <c r="N1644">
        <v>8299569.3899999997</v>
      </c>
      <c r="O1644">
        <v>8444637.3399999999</v>
      </c>
      <c r="P1644">
        <v>8299569.3899999997</v>
      </c>
      <c r="Q1644">
        <v>8444637.3399999999</v>
      </c>
      <c r="R1644" s="14">
        <f>_xlfn.XLOOKUP(Table2[[#This Row],[LoanID]],Table1[G-L ID],Table1[ManagerCode],-99)</f>
        <v>183</v>
      </c>
      <c r="T1644"/>
    </row>
    <row r="1645" spans="1:20" x14ac:dyDescent="0.25">
      <c r="A1645">
        <v>20130131</v>
      </c>
      <c r="B1645">
        <v>2013</v>
      </c>
      <c r="C1645">
        <v>1</v>
      </c>
      <c r="D1645">
        <v>1</v>
      </c>
      <c r="E1645">
        <v>11970</v>
      </c>
      <c r="F1645">
        <v>76710.13</v>
      </c>
      <c r="G1645">
        <v>41710.300000000003</v>
      </c>
      <c r="H1645">
        <v>0</v>
      </c>
      <c r="I1645">
        <v>0</v>
      </c>
      <c r="J1645">
        <v>-76710.13</v>
      </c>
      <c r="K1645">
        <v>0</v>
      </c>
      <c r="L1645">
        <v>7891996.6299999999</v>
      </c>
      <c r="M1645">
        <v>8010417.0599999996</v>
      </c>
      <c r="N1645">
        <v>7891996.6299999999</v>
      </c>
      <c r="O1645">
        <v>8010417.0599999996</v>
      </c>
      <c r="P1645">
        <v>7891996.6299999999</v>
      </c>
      <c r="Q1645">
        <v>8010417.0599999996</v>
      </c>
      <c r="R1645" s="14">
        <f>_xlfn.XLOOKUP(Table2[[#This Row],[LoanID]],Table1[G-L ID],Table1[ManagerCode],-99)</f>
        <v>183</v>
      </c>
      <c r="T1645"/>
    </row>
    <row r="1646" spans="1:20" x14ac:dyDescent="0.25">
      <c r="A1646">
        <v>20130131</v>
      </c>
      <c r="B1646">
        <v>2013</v>
      </c>
      <c r="C1646">
        <v>1</v>
      </c>
      <c r="D1646">
        <v>1</v>
      </c>
      <c r="E1646">
        <v>12020</v>
      </c>
      <c r="F1646">
        <v>61267.27</v>
      </c>
      <c r="G1646">
        <v>61674.92</v>
      </c>
      <c r="H1646">
        <v>0</v>
      </c>
      <c r="I1646">
        <v>0</v>
      </c>
      <c r="J1646">
        <v>-61267.26</v>
      </c>
      <c r="K1646">
        <v>0</v>
      </c>
      <c r="L1646">
        <v>9727970.8100000005</v>
      </c>
      <c r="M1646">
        <v>9850912.9900000002</v>
      </c>
      <c r="N1646">
        <v>9727970.8100000005</v>
      </c>
      <c r="O1646">
        <v>9850912.9900000002</v>
      </c>
      <c r="P1646">
        <v>9727970.8100000005</v>
      </c>
      <c r="Q1646">
        <v>9850912.9900000002</v>
      </c>
      <c r="R1646" s="14">
        <f>_xlfn.XLOOKUP(Table2[[#This Row],[LoanID]],Table1[G-L ID],Table1[ManagerCode],-99)</f>
        <v>183</v>
      </c>
      <c r="T1646"/>
    </row>
    <row r="1647" spans="1:20" x14ac:dyDescent="0.25">
      <c r="A1647">
        <v>20130131</v>
      </c>
      <c r="B1647">
        <v>2013</v>
      </c>
      <c r="C1647">
        <v>1</v>
      </c>
      <c r="D1647">
        <v>1</v>
      </c>
      <c r="E1647">
        <v>12080</v>
      </c>
      <c r="F1647">
        <v>326533.33</v>
      </c>
      <c r="G1647">
        <v>0</v>
      </c>
      <c r="H1647">
        <v>0</v>
      </c>
      <c r="I1647">
        <v>0</v>
      </c>
      <c r="J1647">
        <v>0</v>
      </c>
      <c r="K1647">
        <v>0</v>
      </c>
      <c r="L1647">
        <v>40000000</v>
      </c>
      <c r="M1647">
        <v>40000000</v>
      </c>
      <c r="N1647">
        <v>40000000</v>
      </c>
      <c r="O1647">
        <v>40000000</v>
      </c>
      <c r="P1647">
        <v>40000000</v>
      </c>
      <c r="Q1647">
        <v>40000000</v>
      </c>
      <c r="R1647" s="14">
        <f>_xlfn.XLOOKUP(Table2[[#This Row],[LoanID]],Table1[G-L ID],Table1[ManagerCode],-99)</f>
        <v>119</v>
      </c>
      <c r="T1647"/>
    </row>
    <row r="1648" spans="1:20" x14ac:dyDescent="0.25">
      <c r="A1648">
        <v>20130131</v>
      </c>
      <c r="B1648">
        <v>2013</v>
      </c>
      <c r="C1648">
        <v>1</v>
      </c>
      <c r="D1648">
        <v>1</v>
      </c>
      <c r="E1648">
        <v>12090</v>
      </c>
      <c r="F1648">
        <v>164392.57</v>
      </c>
      <c r="G1648">
        <v>0</v>
      </c>
      <c r="H1648">
        <v>0</v>
      </c>
      <c r="I1648">
        <v>0</v>
      </c>
      <c r="J1648">
        <v>0</v>
      </c>
      <c r="K1648">
        <v>0</v>
      </c>
      <c r="L1648">
        <v>17500000</v>
      </c>
      <c r="M1648">
        <v>17500000</v>
      </c>
      <c r="N1648">
        <v>17500000</v>
      </c>
      <c r="O1648">
        <v>17500000</v>
      </c>
      <c r="P1648">
        <v>17500000</v>
      </c>
      <c r="Q1648">
        <v>17500000</v>
      </c>
      <c r="R1648" s="14">
        <f>_xlfn.XLOOKUP(Table2[[#This Row],[LoanID]],Table1[G-L ID],Table1[ManagerCode],-99)</f>
        <v>220</v>
      </c>
      <c r="T1648"/>
    </row>
    <row r="1649" spans="1:20" x14ac:dyDescent="0.25">
      <c r="A1649">
        <v>20130131</v>
      </c>
      <c r="B1649">
        <v>2013</v>
      </c>
      <c r="C1649">
        <v>1</v>
      </c>
      <c r="D1649">
        <v>1</v>
      </c>
      <c r="E1649">
        <v>12100</v>
      </c>
      <c r="F1649">
        <v>22903.279999999999</v>
      </c>
      <c r="G1649">
        <v>44436.03</v>
      </c>
      <c r="H1649">
        <v>0</v>
      </c>
      <c r="I1649">
        <v>0</v>
      </c>
      <c r="J1649">
        <v>-1503232.01</v>
      </c>
      <c r="K1649">
        <v>0</v>
      </c>
      <c r="L1649">
        <v>6072148.7300000004</v>
      </c>
      <c r="M1649">
        <v>7619816.7699999996</v>
      </c>
      <c r="N1649">
        <v>6072148.7300000004</v>
      </c>
      <c r="O1649">
        <v>7619816.7699999996</v>
      </c>
      <c r="P1649">
        <v>6072148.7300000004</v>
      </c>
      <c r="Q1649">
        <v>7619816.7699999996</v>
      </c>
      <c r="R1649" s="14">
        <f>_xlfn.XLOOKUP(Table2[[#This Row],[LoanID]],Table1[G-L ID],Table1[ManagerCode],-99)</f>
        <v>183</v>
      </c>
      <c r="T1649"/>
    </row>
    <row r="1650" spans="1:20" x14ac:dyDescent="0.25">
      <c r="A1650">
        <v>20130131</v>
      </c>
      <c r="B1650">
        <v>2013</v>
      </c>
      <c r="C1650">
        <v>1</v>
      </c>
      <c r="D1650">
        <v>1</v>
      </c>
      <c r="E1650">
        <v>12130</v>
      </c>
      <c r="F1650">
        <v>52785.79</v>
      </c>
      <c r="G1650">
        <v>0</v>
      </c>
      <c r="H1650">
        <v>0</v>
      </c>
      <c r="I1650">
        <v>0</v>
      </c>
      <c r="J1650">
        <v>-1128464.3500000001</v>
      </c>
      <c r="K1650">
        <v>0</v>
      </c>
      <c r="L1650">
        <v>4928174.29</v>
      </c>
      <c r="M1650">
        <v>6056638.6399999997</v>
      </c>
      <c r="N1650">
        <v>4928174.29</v>
      </c>
      <c r="O1650">
        <v>6056638.6399999997</v>
      </c>
      <c r="P1650">
        <v>4928174.29</v>
      </c>
      <c r="Q1650">
        <v>6056638.6399999997</v>
      </c>
      <c r="R1650" s="14">
        <f>_xlfn.XLOOKUP(Table2[[#This Row],[LoanID]],Table1[G-L ID],Table1[ManagerCode],-99)</f>
        <v>183</v>
      </c>
      <c r="T1650"/>
    </row>
    <row r="1651" spans="1:20" x14ac:dyDescent="0.25">
      <c r="A1651">
        <v>20130131</v>
      </c>
      <c r="B1651">
        <v>2013</v>
      </c>
      <c r="C1651">
        <v>1</v>
      </c>
      <c r="D1651">
        <v>1</v>
      </c>
      <c r="E1651">
        <v>12210</v>
      </c>
      <c r="F1651">
        <v>706766.06</v>
      </c>
      <c r="G1651">
        <v>0</v>
      </c>
      <c r="H1651">
        <v>0</v>
      </c>
      <c r="I1651">
        <v>0</v>
      </c>
      <c r="J1651">
        <v>0</v>
      </c>
      <c r="K1651">
        <v>194913.61</v>
      </c>
      <c r="L1651">
        <v>137464621.90000001</v>
      </c>
      <c r="M1651">
        <v>137697187</v>
      </c>
      <c r="N1651">
        <v>137464621.90000001</v>
      </c>
      <c r="O1651">
        <v>137697187</v>
      </c>
      <c r="P1651">
        <v>114355888.3</v>
      </c>
      <c r="Q1651">
        <v>114160974.7</v>
      </c>
      <c r="R1651" s="14">
        <f>_xlfn.XLOOKUP(Table2[[#This Row],[LoanID]],Table1[G-L ID],Table1[ManagerCode],-99)</f>
        <v>103</v>
      </c>
      <c r="T1651"/>
    </row>
    <row r="1652" spans="1:20" x14ac:dyDescent="0.25">
      <c r="A1652">
        <v>20130131</v>
      </c>
      <c r="B1652">
        <v>2013</v>
      </c>
      <c r="C1652">
        <v>1</v>
      </c>
      <c r="D1652">
        <v>1</v>
      </c>
      <c r="E1652">
        <v>12230</v>
      </c>
      <c r="F1652">
        <v>328564.53000000003</v>
      </c>
      <c r="G1652">
        <v>0</v>
      </c>
      <c r="H1652">
        <v>0</v>
      </c>
      <c r="I1652">
        <v>0</v>
      </c>
      <c r="J1652">
        <v>0</v>
      </c>
      <c r="K1652">
        <v>0</v>
      </c>
      <c r="L1652">
        <v>54383094</v>
      </c>
      <c r="M1652">
        <v>54383094</v>
      </c>
      <c r="N1652">
        <v>54383094</v>
      </c>
      <c r="O1652">
        <v>54383094</v>
      </c>
      <c r="P1652">
        <v>54383094</v>
      </c>
      <c r="Q1652">
        <v>54383094</v>
      </c>
      <c r="R1652" s="14">
        <f>_xlfn.XLOOKUP(Table2[[#This Row],[LoanID]],Table1[G-L ID],Table1[ManagerCode],-99)</f>
        <v>183</v>
      </c>
      <c r="T1652"/>
    </row>
    <row r="1653" spans="1:20" x14ac:dyDescent="0.25">
      <c r="A1653">
        <v>20130228</v>
      </c>
      <c r="B1653">
        <v>2013</v>
      </c>
      <c r="C1653">
        <v>2</v>
      </c>
      <c r="D1653">
        <v>1</v>
      </c>
      <c r="E1653">
        <v>10050</v>
      </c>
      <c r="F1653">
        <v>153981.01999999999</v>
      </c>
      <c r="G1653">
        <v>0</v>
      </c>
      <c r="H1653">
        <v>0</v>
      </c>
      <c r="I1653">
        <v>0</v>
      </c>
      <c r="J1653">
        <v>0</v>
      </c>
      <c r="K1653">
        <v>0</v>
      </c>
      <c r="L1653">
        <v>38449405.950000003</v>
      </c>
      <c r="M1653">
        <v>38449405.950000003</v>
      </c>
      <c r="N1653">
        <v>38449405.950000003</v>
      </c>
      <c r="O1653">
        <v>38449405.950000003</v>
      </c>
      <c r="P1653">
        <v>33333334</v>
      </c>
      <c r="Q1653">
        <v>33333334</v>
      </c>
      <c r="R1653" s="14">
        <f>_xlfn.XLOOKUP(Table2[[#This Row],[LoanID]],Table1[G-L ID],Table1[ManagerCode],-99)</f>
        <v>103</v>
      </c>
      <c r="T1653"/>
    </row>
    <row r="1654" spans="1:20" x14ac:dyDescent="0.25">
      <c r="A1654">
        <v>20130228</v>
      </c>
      <c r="B1654">
        <v>2013</v>
      </c>
      <c r="C1654">
        <v>2</v>
      </c>
      <c r="D1654">
        <v>1</v>
      </c>
      <c r="E1654">
        <v>10060</v>
      </c>
      <c r="F1654">
        <v>120833.33</v>
      </c>
      <c r="G1654">
        <v>0</v>
      </c>
      <c r="H1654">
        <v>0</v>
      </c>
      <c r="I1654">
        <v>0</v>
      </c>
      <c r="J1654">
        <v>0</v>
      </c>
      <c r="K1654">
        <v>0</v>
      </c>
      <c r="L1654">
        <v>19863999.989999998</v>
      </c>
      <c r="M1654">
        <v>19863999.989999998</v>
      </c>
      <c r="N1654">
        <v>19863999.989999998</v>
      </c>
      <c r="O1654">
        <v>19863999.989999998</v>
      </c>
      <c r="P1654">
        <v>20000000</v>
      </c>
      <c r="Q1654">
        <v>20000000</v>
      </c>
      <c r="R1654" s="14">
        <f>_xlfn.XLOOKUP(Table2[[#This Row],[LoanID]],Table1[G-L ID],Table1[ManagerCode],-99)</f>
        <v>103</v>
      </c>
      <c r="T1654"/>
    </row>
    <row r="1655" spans="1:20" x14ac:dyDescent="0.25">
      <c r="A1655">
        <v>20130228</v>
      </c>
      <c r="B1655">
        <v>2013</v>
      </c>
      <c r="C1655">
        <v>2</v>
      </c>
      <c r="D1655">
        <v>1</v>
      </c>
      <c r="E1655">
        <v>10080</v>
      </c>
      <c r="F1655">
        <v>351042.71</v>
      </c>
      <c r="G1655">
        <v>0</v>
      </c>
      <c r="H1655">
        <v>0</v>
      </c>
      <c r="I1655">
        <v>-161.24</v>
      </c>
      <c r="J1655">
        <v>0</v>
      </c>
      <c r="K1655">
        <v>0</v>
      </c>
      <c r="L1655">
        <v>74249925.75</v>
      </c>
      <c r="M1655">
        <v>74249925.75</v>
      </c>
      <c r="N1655">
        <v>74249925.75</v>
      </c>
      <c r="O1655">
        <v>74249925.75</v>
      </c>
      <c r="P1655">
        <v>75000000</v>
      </c>
      <c r="Q1655">
        <v>75000000</v>
      </c>
      <c r="R1655" s="14">
        <f>_xlfn.XLOOKUP(Table2[[#This Row],[LoanID]],Table1[G-L ID],Table1[ManagerCode],-99)</f>
        <v>103</v>
      </c>
      <c r="T1655"/>
    </row>
    <row r="1656" spans="1:20" x14ac:dyDescent="0.25">
      <c r="A1656">
        <v>20130228</v>
      </c>
      <c r="B1656">
        <v>2013</v>
      </c>
      <c r="C1656">
        <v>2</v>
      </c>
      <c r="D1656">
        <v>1</v>
      </c>
      <c r="E1656">
        <v>10130</v>
      </c>
      <c r="F1656">
        <v>33764.57</v>
      </c>
      <c r="G1656">
        <v>0</v>
      </c>
      <c r="H1656">
        <v>0</v>
      </c>
      <c r="I1656">
        <v>0</v>
      </c>
      <c r="J1656">
        <v>0</v>
      </c>
      <c r="K1656">
        <v>33926.120000000003</v>
      </c>
      <c r="L1656">
        <v>7630153.8200000003</v>
      </c>
      <c r="M1656">
        <v>7630153.8200000003</v>
      </c>
      <c r="N1656">
        <v>7630153.8200000003</v>
      </c>
      <c r="O1656">
        <v>7630153.8200000003</v>
      </c>
      <c r="P1656">
        <v>7461783.0800000001</v>
      </c>
      <c r="Q1656">
        <v>7427856.96</v>
      </c>
      <c r="R1656" s="14">
        <f>_xlfn.XLOOKUP(Table2[[#This Row],[LoanID]],Table1[G-L ID],Table1[ManagerCode],-99)</f>
        <v>103</v>
      </c>
      <c r="T1656"/>
    </row>
    <row r="1657" spans="1:20" x14ac:dyDescent="0.25">
      <c r="A1657">
        <v>20130228</v>
      </c>
      <c r="B1657">
        <v>2013</v>
      </c>
      <c r="C1657">
        <v>2</v>
      </c>
      <c r="D1657">
        <v>1</v>
      </c>
      <c r="E1657">
        <v>10140</v>
      </c>
      <c r="F1657">
        <v>89101.43</v>
      </c>
      <c r="G1657">
        <v>0</v>
      </c>
      <c r="H1657">
        <v>0</v>
      </c>
      <c r="I1657">
        <v>0</v>
      </c>
      <c r="J1657">
        <v>0</v>
      </c>
      <c r="K1657">
        <v>88722.9</v>
      </c>
      <c r="L1657">
        <v>20135322.719999999</v>
      </c>
      <c r="M1657">
        <v>20135322.719999999</v>
      </c>
      <c r="N1657">
        <v>20135322.719999999</v>
      </c>
      <c r="O1657">
        <v>20135322.719999999</v>
      </c>
      <c r="P1657">
        <v>19690923.440000001</v>
      </c>
      <c r="Q1657">
        <v>19602200.539999999</v>
      </c>
      <c r="R1657" s="14">
        <f>_xlfn.XLOOKUP(Table2[[#This Row],[LoanID]],Table1[G-L ID],Table1[ManagerCode],-99)</f>
        <v>103</v>
      </c>
      <c r="T1657"/>
    </row>
    <row r="1658" spans="1:20" x14ac:dyDescent="0.25">
      <c r="A1658">
        <v>20130228</v>
      </c>
      <c r="B1658">
        <v>2013</v>
      </c>
      <c r="C1658">
        <v>2</v>
      </c>
      <c r="D1658">
        <v>1</v>
      </c>
      <c r="E1658">
        <v>10170</v>
      </c>
      <c r="F1658">
        <v>243502.2</v>
      </c>
      <c r="G1658">
        <v>0</v>
      </c>
      <c r="H1658">
        <v>0</v>
      </c>
      <c r="I1658">
        <v>-1166.94</v>
      </c>
      <c r="J1658">
        <v>0</v>
      </c>
      <c r="K1658">
        <v>71413.919999999998</v>
      </c>
      <c r="L1658">
        <v>48220258.700000003</v>
      </c>
      <c r="M1658">
        <v>48220258.700000003</v>
      </c>
      <c r="N1658">
        <v>48220258.700000003</v>
      </c>
      <c r="O1658">
        <v>48220258.700000003</v>
      </c>
      <c r="P1658">
        <v>45172004.030000001</v>
      </c>
      <c r="Q1658">
        <v>45100590.109999999</v>
      </c>
      <c r="R1658" s="14">
        <f>_xlfn.XLOOKUP(Table2[[#This Row],[LoanID]],Table1[G-L ID],Table1[ManagerCode],-99)</f>
        <v>103</v>
      </c>
      <c r="T1658"/>
    </row>
    <row r="1659" spans="1:20" x14ac:dyDescent="0.25">
      <c r="A1659">
        <v>20130228</v>
      </c>
      <c r="B1659">
        <v>2013</v>
      </c>
      <c r="C1659">
        <v>2</v>
      </c>
      <c r="D1659">
        <v>1</v>
      </c>
      <c r="E1659">
        <v>10210</v>
      </c>
      <c r="F1659">
        <v>52129.34</v>
      </c>
      <c r="G1659">
        <v>89786.95</v>
      </c>
      <c r="H1659">
        <v>0</v>
      </c>
      <c r="I1659">
        <v>0</v>
      </c>
      <c r="J1659">
        <v>0</v>
      </c>
      <c r="K1659">
        <v>0</v>
      </c>
      <c r="L1659">
        <v>11359526.84</v>
      </c>
      <c r="M1659">
        <v>11449313.789999999</v>
      </c>
      <c r="N1659">
        <v>11359526.84</v>
      </c>
      <c r="O1659">
        <v>11449313.789999999</v>
      </c>
      <c r="P1659">
        <v>11359526.84</v>
      </c>
      <c r="Q1659">
        <v>11449313.789999999</v>
      </c>
      <c r="R1659" s="14">
        <f>_xlfn.XLOOKUP(Table2[[#This Row],[LoanID]],Table1[G-L ID],Table1[ManagerCode],-99)</f>
        <v>183</v>
      </c>
      <c r="T1659"/>
    </row>
    <row r="1660" spans="1:20" x14ac:dyDescent="0.25">
      <c r="A1660">
        <v>20130228</v>
      </c>
      <c r="B1660">
        <v>2013</v>
      </c>
      <c r="C1660">
        <v>2</v>
      </c>
      <c r="D1660">
        <v>1</v>
      </c>
      <c r="E1660">
        <v>10220</v>
      </c>
      <c r="F1660">
        <v>559722.22</v>
      </c>
      <c r="G1660">
        <v>0</v>
      </c>
      <c r="H1660">
        <v>0</v>
      </c>
      <c r="I1660">
        <v>0</v>
      </c>
      <c r="J1660">
        <v>0</v>
      </c>
      <c r="K1660">
        <v>0</v>
      </c>
      <c r="L1660">
        <v>99000000</v>
      </c>
      <c r="M1660">
        <v>99000000</v>
      </c>
      <c r="N1660">
        <v>99000000</v>
      </c>
      <c r="O1660">
        <v>99000000</v>
      </c>
      <c r="P1660">
        <v>100000000</v>
      </c>
      <c r="Q1660">
        <v>100000000</v>
      </c>
      <c r="R1660" s="14">
        <f>_xlfn.XLOOKUP(Table2[[#This Row],[LoanID]],Table1[G-L ID],Table1[ManagerCode],-99)</f>
        <v>103</v>
      </c>
      <c r="T1660"/>
    </row>
    <row r="1661" spans="1:20" x14ac:dyDescent="0.25">
      <c r="A1661">
        <v>20130228</v>
      </c>
      <c r="B1661">
        <v>2013</v>
      </c>
      <c r="C1661">
        <v>2</v>
      </c>
      <c r="D1661">
        <v>1</v>
      </c>
      <c r="E1661">
        <v>10230</v>
      </c>
      <c r="F1661">
        <v>177893.97</v>
      </c>
      <c r="G1661">
        <v>0</v>
      </c>
      <c r="H1661">
        <v>0</v>
      </c>
      <c r="I1661">
        <v>0</v>
      </c>
      <c r="J1661">
        <v>0</v>
      </c>
      <c r="K1661">
        <v>63704.1</v>
      </c>
      <c r="L1661">
        <v>30088890.890000001</v>
      </c>
      <c r="M1661">
        <v>30088890.890000001</v>
      </c>
      <c r="N1661">
        <v>30088890.890000001</v>
      </c>
      <c r="O1661">
        <v>30088890.890000001</v>
      </c>
      <c r="P1661">
        <v>31672516.719999999</v>
      </c>
      <c r="Q1661">
        <v>31608812.620000001</v>
      </c>
      <c r="R1661" s="14">
        <f>_xlfn.XLOOKUP(Table2[[#This Row],[LoanID]],Table1[G-L ID],Table1[ManagerCode],-99)</f>
        <v>103</v>
      </c>
      <c r="T1661"/>
    </row>
    <row r="1662" spans="1:20" x14ac:dyDescent="0.25">
      <c r="A1662">
        <v>20130228</v>
      </c>
      <c r="B1662">
        <v>2013</v>
      </c>
      <c r="C1662">
        <v>2</v>
      </c>
      <c r="D1662">
        <v>1</v>
      </c>
      <c r="E1662">
        <v>10280</v>
      </c>
      <c r="F1662">
        <v>181412</v>
      </c>
      <c r="G1662">
        <v>0</v>
      </c>
      <c r="H1662">
        <v>9070.6</v>
      </c>
      <c r="I1662">
        <v>-0.02</v>
      </c>
      <c r="J1662">
        <v>0</v>
      </c>
      <c r="K1662">
        <v>0</v>
      </c>
      <c r="L1662">
        <v>34377409.960000001</v>
      </c>
      <c r="M1662">
        <v>34377409.960000001</v>
      </c>
      <c r="N1662">
        <v>34377409.960000001</v>
      </c>
      <c r="O1662">
        <v>34377409.960000001</v>
      </c>
      <c r="P1662">
        <v>35000000</v>
      </c>
      <c r="Q1662">
        <v>35000000</v>
      </c>
      <c r="R1662" s="14">
        <f>_xlfn.XLOOKUP(Table2[[#This Row],[LoanID]],Table1[G-L ID],Table1[ManagerCode],-99)</f>
        <v>103</v>
      </c>
      <c r="T1662"/>
    </row>
    <row r="1663" spans="1:20" x14ac:dyDescent="0.25">
      <c r="A1663">
        <v>20130228</v>
      </c>
      <c r="B1663">
        <v>2013</v>
      </c>
      <c r="C1663">
        <v>2</v>
      </c>
      <c r="D1663">
        <v>1</v>
      </c>
      <c r="E1663">
        <v>10290</v>
      </c>
      <c r="F1663">
        <v>171300.83</v>
      </c>
      <c r="G1663">
        <v>0</v>
      </c>
      <c r="H1663">
        <v>8565.0400000000009</v>
      </c>
      <c r="I1663">
        <v>0</v>
      </c>
      <c r="J1663">
        <v>0</v>
      </c>
      <c r="K1663">
        <v>0</v>
      </c>
      <c r="L1663">
        <v>23750000</v>
      </c>
      <c r="M1663">
        <v>23750000</v>
      </c>
      <c r="N1663">
        <v>23750000</v>
      </c>
      <c r="O1663">
        <v>23750000</v>
      </c>
      <c r="P1663">
        <v>25000000</v>
      </c>
      <c r="Q1663">
        <v>25000000</v>
      </c>
      <c r="R1663" s="14">
        <f>_xlfn.XLOOKUP(Table2[[#This Row],[LoanID]],Table1[G-L ID],Table1[ManagerCode],-99)</f>
        <v>103</v>
      </c>
      <c r="T1663"/>
    </row>
    <row r="1664" spans="1:20" x14ac:dyDescent="0.25">
      <c r="A1664">
        <v>20130228</v>
      </c>
      <c r="B1664">
        <v>2013</v>
      </c>
      <c r="C1664">
        <v>2</v>
      </c>
      <c r="D1664">
        <v>1</v>
      </c>
      <c r="E1664">
        <v>10300</v>
      </c>
      <c r="F1664">
        <v>149887.95000000001</v>
      </c>
      <c r="G1664">
        <v>0</v>
      </c>
      <c r="H1664">
        <v>7494.4</v>
      </c>
      <c r="I1664">
        <v>0</v>
      </c>
      <c r="J1664">
        <v>0</v>
      </c>
      <c r="K1664">
        <v>0</v>
      </c>
      <c r="L1664">
        <v>37191616.649999999</v>
      </c>
      <c r="M1664">
        <v>37191616.649999999</v>
      </c>
      <c r="N1664">
        <v>37191616.649999999</v>
      </c>
      <c r="O1664">
        <v>37191616.649999999</v>
      </c>
      <c r="P1664">
        <v>35000000</v>
      </c>
      <c r="Q1664">
        <v>35000000</v>
      </c>
      <c r="R1664" s="14">
        <f>_xlfn.XLOOKUP(Table2[[#This Row],[LoanID]],Table1[G-L ID],Table1[ManagerCode],-99)</f>
        <v>103</v>
      </c>
      <c r="T1664"/>
    </row>
    <row r="1665" spans="1:20" x14ac:dyDescent="0.25">
      <c r="A1665">
        <v>20130228</v>
      </c>
      <c r="B1665">
        <v>2013</v>
      </c>
      <c r="C1665">
        <v>2</v>
      </c>
      <c r="D1665">
        <v>1</v>
      </c>
      <c r="E1665">
        <v>10310</v>
      </c>
      <c r="F1665">
        <v>98845.73</v>
      </c>
      <c r="G1665">
        <v>0</v>
      </c>
      <c r="H1665">
        <v>0</v>
      </c>
      <c r="I1665">
        <v>0</v>
      </c>
      <c r="J1665">
        <v>0</v>
      </c>
      <c r="K1665">
        <v>22973</v>
      </c>
      <c r="L1665">
        <v>14467714.720000001</v>
      </c>
      <c r="M1665">
        <v>14444741.720000001</v>
      </c>
      <c r="N1665">
        <v>14467714.720000001</v>
      </c>
      <c r="O1665">
        <v>14444741.720000001</v>
      </c>
      <c r="P1665">
        <v>14467714.720000001</v>
      </c>
      <c r="Q1665">
        <v>14444741.720000001</v>
      </c>
      <c r="R1665" s="14">
        <f>_xlfn.XLOOKUP(Table2[[#This Row],[LoanID]],Table1[G-L ID],Table1[ManagerCode],-99)</f>
        <v>183</v>
      </c>
      <c r="T1665"/>
    </row>
    <row r="1666" spans="1:20" x14ac:dyDescent="0.25">
      <c r="A1666">
        <v>20130228</v>
      </c>
      <c r="B1666">
        <v>2013</v>
      </c>
      <c r="C1666">
        <v>2</v>
      </c>
      <c r="D1666">
        <v>1</v>
      </c>
      <c r="E1666">
        <v>10370</v>
      </c>
      <c r="F1666">
        <v>4158.76</v>
      </c>
      <c r="G1666">
        <v>0</v>
      </c>
      <c r="H1666">
        <v>0</v>
      </c>
      <c r="I1666">
        <v>0</v>
      </c>
      <c r="J1666">
        <v>0</v>
      </c>
      <c r="K1666">
        <v>38541.56</v>
      </c>
      <c r="L1666">
        <v>2340840.5499999998</v>
      </c>
      <c r="M1666">
        <v>2340840.5499999998</v>
      </c>
      <c r="N1666">
        <v>2340840.5499999998</v>
      </c>
      <c r="O1666">
        <v>2340840.5499999998</v>
      </c>
      <c r="P1666">
        <v>2464042.7000000002</v>
      </c>
      <c r="Q1666">
        <v>2425501.14</v>
      </c>
      <c r="R1666" s="14">
        <f>_xlfn.XLOOKUP(Table2[[#This Row],[LoanID]],Table1[G-L ID],Table1[ManagerCode],-99)</f>
        <v>103</v>
      </c>
      <c r="T1666"/>
    </row>
    <row r="1667" spans="1:20" x14ac:dyDescent="0.25">
      <c r="A1667">
        <v>20130228</v>
      </c>
      <c r="B1667">
        <v>2013</v>
      </c>
      <c r="C1667">
        <v>2</v>
      </c>
      <c r="D1667">
        <v>1</v>
      </c>
      <c r="E1667">
        <v>10390</v>
      </c>
      <c r="F1667">
        <v>118750</v>
      </c>
      <c r="G1667">
        <v>0</v>
      </c>
      <c r="H1667">
        <v>0</v>
      </c>
      <c r="I1667">
        <v>0</v>
      </c>
      <c r="J1667">
        <v>0</v>
      </c>
      <c r="K1667">
        <v>0</v>
      </c>
      <c r="L1667">
        <v>23750000</v>
      </c>
      <c r="M1667">
        <v>23750000</v>
      </c>
      <c r="N1667">
        <v>23750000</v>
      </c>
      <c r="O1667">
        <v>23750000</v>
      </c>
      <c r="P1667">
        <v>24996938.670000002</v>
      </c>
      <c r="Q1667">
        <v>24997142.75</v>
      </c>
      <c r="R1667" s="14">
        <f>_xlfn.XLOOKUP(Table2[[#This Row],[LoanID]],Table1[G-L ID],Table1[ManagerCode],-99)</f>
        <v>103</v>
      </c>
      <c r="T1667"/>
    </row>
    <row r="1668" spans="1:20" x14ac:dyDescent="0.25">
      <c r="A1668">
        <v>20130228</v>
      </c>
      <c r="B1668">
        <v>2013</v>
      </c>
      <c r="C1668">
        <v>2</v>
      </c>
      <c r="D1668">
        <v>1</v>
      </c>
      <c r="E1668">
        <v>10400</v>
      </c>
      <c r="F1668">
        <v>412687.5</v>
      </c>
      <c r="G1668">
        <v>0</v>
      </c>
      <c r="H1668">
        <v>0</v>
      </c>
      <c r="I1668">
        <v>0</v>
      </c>
      <c r="J1668">
        <v>0</v>
      </c>
      <c r="K1668">
        <v>0</v>
      </c>
      <c r="L1668">
        <v>45000000</v>
      </c>
      <c r="M1668">
        <v>45000000</v>
      </c>
      <c r="N1668">
        <v>45000000</v>
      </c>
      <c r="O1668">
        <v>45000000</v>
      </c>
      <c r="P1668">
        <v>45000000</v>
      </c>
      <c r="Q1668">
        <v>45000000</v>
      </c>
      <c r="R1668" s="14">
        <f>_xlfn.XLOOKUP(Table2[[#This Row],[LoanID]],Table1[G-L ID],Table1[ManagerCode],-99)</f>
        <v>220</v>
      </c>
      <c r="T1668"/>
    </row>
    <row r="1669" spans="1:20" x14ac:dyDescent="0.25">
      <c r="A1669">
        <v>20130228</v>
      </c>
      <c r="B1669">
        <v>2013</v>
      </c>
      <c r="C1669">
        <v>2</v>
      </c>
      <c r="D1669">
        <v>1</v>
      </c>
      <c r="E1669">
        <v>10490</v>
      </c>
      <c r="F1669">
        <v>158538.1</v>
      </c>
      <c r="G1669">
        <v>0</v>
      </c>
      <c r="H1669">
        <v>0</v>
      </c>
      <c r="I1669">
        <v>0</v>
      </c>
      <c r="J1669">
        <v>0</v>
      </c>
      <c r="K1669">
        <v>0</v>
      </c>
      <c r="L1669">
        <v>17534168</v>
      </c>
      <c r="M1669">
        <v>17534168</v>
      </c>
      <c r="N1669">
        <v>17534168</v>
      </c>
      <c r="O1669">
        <v>17534168</v>
      </c>
      <c r="P1669">
        <v>17534168</v>
      </c>
      <c r="Q1669">
        <v>17534168</v>
      </c>
      <c r="R1669" s="14">
        <f>_xlfn.XLOOKUP(Table2[[#This Row],[LoanID]],Table1[G-L ID],Table1[ManagerCode],-99)</f>
        <v>220</v>
      </c>
      <c r="T1669"/>
    </row>
    <row r="1670" spans="1:20" x14ac:dyDescent="0.25">
      <c r="A1670">
        <v>20130228</v>
      </c>
      <c r="B1670">
        <v>2013</v>
      </c>
      <c r="C1670">
        <v>2</v>
      </c>
      <c r="D1670">
        <v>1</v>
      </c>
      <c r="E1670">
        <v>10550</v>
      </c>
      <c r="F1670">
        <v>13781.77</v>
      </c>
      <c r="G1670">
        <v>0</v>
      </c>
      <c r="H1670">
        <v>0</v>
      </c>
      <c r="I1670">
        <v>-7.84</v>
      </c>
      <c r="J1670">
        <v>0</v>
      </c>
      <c r="K1670">
        <v>3085.75</v>
      </c>
      <c r="L1670">
        <v>2600899.96</v>
      </c>
      <c r="M1670">
        <v>2600899.96</v>
      </c>
      <c r="N1670">
        <v>2600899.96</v>
      </c>
      <c r="O1670">
        <v>2600899.96</v>
      </c>
      <c r="P1670">
        <v>2600899.96</v>
      </c>
      <c r="Q1670">
        <v>2597814.21</v>
      </c>
      <c r="R1670" s="14">
        <f>_xlfn.XLOOKUP(Table2[[#This Row],[LoanID]],Table1[G-L ID],Table1[ManagerCode],-99)</f>
        <v>103</v>
      </c>
      <c r="T1670"/>
    </row>
    <row r="1671" spans="1:20" x14ac:dyDescent="0.25">
      <c r="A1671">
        <v>20130228</v>
      </c>
      <c r="B1671">
        <v>2013</v>
      </c>
      <c r="C1671">
        <v>2</v>
      </c>
      <c r="D1671">
        <v>1</v>
      </c>
      <c r="E1671">
        <v>10560</v>
      </c>
      <c r="F1671">
        <v>339950.36</v>
      </c>
      <c r="G1671">
        <v>0</v>
      </c>
      <c r="H1671">
        <v>0</v>
      </c>
      <c r="I1671">
        <v>-193.35</v>
      </c>
      <c r="J1671">
        <v>0</v>
      </c>
      <c r="K1671">
        <v>76115.11</v>
      </c>
      <c r="L1671">
        <v>64155532.25</v>
      </c>
      <c r="M1671">
        <v>64155532.25</v>
      </c>
      <c r="N1671">
        <v>64155532.25</v>
      </c>
      <c r="O1671">
        <v>64155532.25</v>
      </c>
      <c r="P1671">
        <v>64155531.960000001</v>
      </c>
      <c r="Q1671">
        <v>64079416.850000001</v>
      </c>
      <c r="R1671" s="14">
        <f>_xlfn.XLOOKUP(Table2[[#This Row],[LoanID]],Table1[G-L ID],Table1[ManagerCode],-99)</f>
        <v>103</v>
      </c>
      <c r="T1671"/>
    </row>
    <row r="1672" spans="1:20" x14ac:dyDescent="0.25">
      <c r="A1672">
        <v>20130228</v>
      </c>
      <c r="B1672">
        <v>2013</v>
      </c>
      <c r="C1672">
        <v>2</v>
      </c>
      <c r="D1672">
        <v>1</v>
      </c>
      <c r="E1672">
        <v>10630</v>
      </c>
      <c r="F1672">
        <v>47992.61</v>
      </c>
      <c r="G1672">
        <v>0</v>
      </c>
      <c r="H1672">
        <v>0</v>
      </c>
      <c r="I1672">
        <v>0.02</v>
      </c>
      <c r="J1672">
        <v>0</v>
      </c>
      <c r="K1672">
        <v>14623.47</v>
      </c>
      <c r="L1672">
        <v>9308480.5800000001</v>
      </c>
      <c r="M1672">
        <v>9308480.5800000001</v>
      </c>
      <c r="N1672">
        <v>9308480.5800000001</v>
      </c>
      <c r="O1672">
        <v>9308480.5800000001</v>
      </c>
      <c r="P1672">
        <v>8984575.5399999991</v>
      </c>
      <c r="Q1672">
        <v>8969952.0700000003</v>
      </c>
      <c r="R1672" s="14">
        <f>_xlfn.XLOOKUP(Table2[[#This Row],[LoanID]],Table1[G-L ID],Table1[ManagerCode],-99)</f>
        <v>103</v>
      </c>
      <c r="T1672"/>
    </row>
    <row r="1673" spans="1:20" x14ac:dyDescent="0.25">
      <c r="A1673">
        <v>20130228</v>
      </c>
      <c r="B1673">
        <v>2013</v>
      </c>
      <c r="C1673">
        <v>2</v>
      </c>
      <c r="D1673">
        <v>1</v>
      </c>
      <c r="E1673">
        <v>10690</v>
      </c>
      <c r="F1673">
        <v>13392.99</v>
      </c>
      <c r="G1673">
        <v>9015.58</v>
      </c>
      <c r="H1673">
        <v>0</v>
      </c>
      <c r="I1673">
        <v>0</v>
      </c>
      <c r="J1673">
        <v>-1396543.5</v>
      </c>
      <c r="K1673">
        <v>0</v>
      </c>
      <c r="L1673">
        <v>1627706.78</v>
      </c>
      <c r="M1673">
        <v>3033265.86</v>
      </c>
      <c r="N1673">
        <v>1627706.78</v>
      </c>
      <c r="O1673">
        <v>3033265.86</v>
      </c>
      <c r="P1673">
        <v>1627706.78</v>
      </c>
      <c r="Q1673">
        <v>3033265.86</v>
      </c>
      <c r="R1673" s="14">
        <f>_xlfn.XLOOKUP(Table2[[#This Row],[LoanID]],Table1[G-L ID],Table1[ManagerCode],-99)</f>
        <v>183</v>
      </c>
      <c r="T1673"/>
    </row>
    <row r="1674" spans="1:20" x14ac:dyDescent="0.25">
      <c r="A1674">
        <v>20130228</v>
      </c>
      <c r="B1674">
        <v>2013</v>
      </c>
      <c r="C1674">
        <v>2</v>
      </c>
      <c r="D1674">
        <v>1</v>
      </c>
      <c r="E1674">
        <v>10770</v>
      </c>
      <c r="F1674">
        <v>844355.56</v>
      </c>
      <c r="G1674">
        <v>0</v>
      </c>
      <c r="H1674">
        <v>1264864.3700000001</v>
      </c>
      <c r="I1674">
        <v>-124620.24</v>
      </c>
      <c r="J1674">
        <v>0</v>
      </c>
      <c r="K1674">
        <v>115000000</v>
      </c>
      <c r="L1674">
        <v>109250000</v>
      </c>
      <c r="M1674">
        <v>0</v>
      </c>
      <c r="N1674">
        <v>109250000</v>
      </c>
      <c r="O1674">
        <v>0</v>
      </c>
      <c r="P1674">
        <v>115000000</v>
      </c>
      <c r="Q1674">
        <v>0</v>
      </c>
      <c r="R1674" s="14">
        <f>_xlfn.XLOOKUP(Table2[[#This Row],[LoanID]],Table1[G-L ID],Table1[ManagerCode],-99)</f>
        <v>103</v>
      </c>
      <c r="T1674"/>
    </row>
    <row r="1675" spans="1:20" x14ac:dyDescent="0.25">
      <c r="A1675">
        <v>20130228</v>
      </c>
      <c r="B1675">
        <v>2013</v>
      </c>
      <c r="C1675">
        <v>2</v>
      </c>
      <c r="D1675">
        <v>1</v>
      </c>
      <c r="E1675">
        <v>10820</v>
      </c>
      <c r="F1675">
        <v>175041.78</v>
      </c>
      <c r="G1675">
        <v>0</v>
      </c>
      <c r="H1675">
        <v>0</v>
      </c>
      <c r="I1675">
        <v>0</v>
      </c>
      <c r="J1675">
        <v>0</v>
      </c>
      <c r="K1675">
        <v>0</v>
      </c>
      <c r="L1675">
        <v>21397297</v>
      </c>
      <c r="M1675">
        <v>21397297</v>
      </c>
      <c r="N1675">
        <v>21397297</v>
      </c>
      <c r="O1675">
        <v>21397297</v>
      </c>
      <c r="P1675">
        <v>21397297</v>
      </c>
      <c r="Q1675">
        <v>21397297</v>
      </c>
      <c r="R1675" s="14">
        <f>_xlfn.XLOOKUP(Table2[[#This Row],[LoanID]],Table1[G-L ID],Table1[ManagerCode],-99)</f>
        <v>220</v>
      </c>
      <c r="T1675"/>
    </row>
    <row r="1676" spans="1:20" x14ac:dyDescent="0.25">
      <c r="A1676">
        <v>20130228</v>
      </c>
      <c r="B1676">
        <v>2013</v>
      </c>
      <c r="C1676">
        <v>2</v>
      </c>
      <c r="D1676">
        <v>1</v>
      </c>
      <c r="E1676">
        <v>10830</v>
      </c>
      <c r="F1676">
        <v>57113.55</v>
      </c>
      <c r="G1676">
        <v>0</v>
      </c>
      <c r="H1676">
        <v>0</v>
      </c>
      <c r="I1676">
        <v>0</v>
      </c>
      <c r="J1676">
        <v>0</v>
      </c>
      <c r="K1676">
        <v>0</v>
      </c>
      <c r="L1676">
        <v>6981622</v>
      </c>
      <c r="M1676">
        <v>6981622</v>
      </c>
      <c r="N1676">
        <v>6981622</v>
      </c>
      <c r="O1676">
        <v>6981622</v>
      </c>
      <c r="P1676">
        <v>6981622</v>
      </c>
      <c r="Q1676">
        <v>6981622</v>
      </c>
      <c r="R1676" s="14">
        <f>_xlfn.XLOOKUP(Table2[[#This Row],[LoanID]],Table1[G-L ID],Table1[ManagerCode],-99)</f>
        <v>220</v>
      </c>
      <c r="T1676"/>
    </row>
    <row r="1677" spans="1:20" x14ac:dyDescent="0.25">
      <c r="A1677">
        <v>20130228</v>
      </c>
      <c r="B1677">
        <v>2013</v>
      </c>
      <c r="C1677">
        <v>2</v>
      </c>
      <c r="D1677">
        <v>1</v>
      </c>
      <c r="E1677">
        <v>10840</v>
      </c>
      <c r="F1677">
        <v>103968.24</v>
      </c>
      <c r="G1677">
        <v>0</v>
      </c>
      <c r="H1677">
        <v>0</v>
      </c>
      <c r="I1677">
        <v>0</v>
      </c>
      <c r="J1677">
        <v>0</v>
      </c>
      <c r="K1677">
        <v>0</v>
      </c>
      <c r="L1677">
        <v>12709189</v>
      </c>
      <c r="M1677">
        <v>12709189</v>
      </c>
      <c r="N1677">
        <v>12709189</v>
      </c>
      <c r="O1677">
        <v>12709189</v>
      </c>
      <c r="P1677">
        <v>12709189</v>
      </c>
      <c r="Q1677">
        <v>12709189</v>
      </c>
      <c r="R1677" s="14">
        <f>_xlfn.XLOOKUP(Table2[[#This Row],[LoanID]],Table1[G-L ID],Table1[ManagerCode],-99)</f>
        <v>220</v>
      </c>
      <c r="T1677"/>
    </row>
    <row r="1678" spans="1:20" x14ac:dyDescent="0.25">
      <c r="A1678">
        <v>20130228</v>
      </c>
      <c r="B1678">
        <v>2013</v>
      </c>
      <c r="C1678">
        <v>2</v>
      </c>
      <c r="D1678">
        <v>1</v>
      </c>
      <c r="E1678">
        <v>10850</v>
      </c>
      <c r="F1678">
        <v>110534.78</v>
      </c>
      <c r="G1678">
        <v>0</v>
      </c>
      <c r="H1678">
        <v>0</v>
      </c>
      <c r="I1678">
        <v>0</v>
      </c>
      <c r="J1678">
        <v>0</v>
      </c>
      <c r="K1678">
        <v>0</v>
      </c>
      <c r="L1678">
        <v>13511892</v>
      </c>
      <c r="M1678">
        <v>13511892</v>
      </c>
      <c r="N1678">
        <v>13511892</v>
      </c>
      <c r="O1678">
        <v>13511892</v>
      </c>
      <c r="P1678">
        <v>13511892</v>
      </c>
      <c r="Q1678">
        <v>13511892</v>
      </c>
      <c r="R1678" s="14">
        <f>_xlfn.XLOOKUP(Table2[[#This Row],[LoanID]],Table1[G-L ID],Table1[ManagerCode],-99)</f>
        <v>220</v>
      </c>
      <c r="T1678"/>
    </row>
    <row r="1679" spans="1:20" x14ac:dyDescent="0.25">
      <c r="A1679">
        <v>20130228</v>
      </c>
      <c r="B1679">
        <v>2013</v>
      </c>
      <c r="C1679">
        <v>2</v>
      </c>
      <c r="D1679">
        <v>1</v>
      </c>
      <c r="E1679">
        <v>10880</v>
      </c>
      <c r="F1679">
        <v>287149.81</v>
      </c>
      <c r="G1679">
        <v>0</v>
      </c>
      <c r="H1679">
        <v>0</v>
      </c>
      <c r="I1679">
        <v>0</v>
      </c>
      <c r="J1679">
        <v>0</v>
      </c>
      <c r="K1679">
        <v>0</v>
      </c>
      <c r="L1679">
        <v>199727153.09999999</v>
      </c>
      <c r="M1679">
        <v>199727153.09999999</v>
      </c>
      <c r="N1679">
        <v>199727153.09999999</v>
      </c>
      <c r="O1679">
        <v>199727153.09999999</v>
      </c>
      <c r="P1679">
        <v>201744599.09999999</v>
      </c>
      <c r="Q1679">
        <v>201744599.09999999</v>
      </c>
      <c r="R1679" s="14">
        <f>_xlfn.XLOOKUP(Table2[[#This Row],[LoanID]],Table1[G-L ID],Table1[ManagerCode],-99)</f>
        <v>103</v>
      </c>
      <c r="T1679"/>
    </row>
    <row r="1680" spans="1:20" x14ac:dyDescent="0.25">
      <c r="A1680">
        <v>20130228</v>
      </c>
      <c r="B1680">
        <v>2013</v>
      </c>
      <c r="C1680">
        <v>2</v>
      </c>
      <c r="D1680">
        <v>1</v>
      </c>
      <c r="E1680">
        <v>10900</v>
      </c>
      <c r="F1680">
        <v>81435.73</v>
      </c>
      <c r="G1680">
        <v>0</v>
      </c>
      <c r="H1680">
        <v>0</v>
      </c>
      <c r="I1680">
        <v>0</v>
      </c>
      <c r="J1680">
        <v>0</v>
      </c>
      <c r="K1680">
        <v>2181.33</v>
      </c>
      <c r="L1680">
        <v>8167454.0700000003</v>
      </c>
      <c r="M1680">
        <v>8167454.0700000003</v>
      </c>
      <c r="N1680">
        <v>8167454.0700000003</v>
      </c>
      <c r="O1680">
        <v>8167454.0700000003</v>
      </c>
      <c r="P1680">
        <v>8597320.0800000001</v>
      </c>
      <c r="Q1680">
        <v>8595138.75</v>
      </c>
      <c r="R1680" s="14">
        <f>_xlfn.XLOOKUP(Table2[[#This Row],[LoanID]],Table1[G-L ID],Table1[ManagerCode],-99)</f>
        <v>103</v>
      </c>
      <c r="T1680"/>
    </row>
    <row r="1681" spans="1:20" x14ac:dyDescent="0.25">
      <c r="A1681">
        <v>20130228</v>
      </c>
      <c r="B1681">
        <v>2013</v>
      </c>
      <c r="C1681">
        <v>2</v>
      </c>
      <c r="D1681">
        <v>1</v>
      </c>
      <c r="E1681">
        <v>10920</v>
      </c>
      <c r="F1681">
        <v>114583.33</v>
      </c>
      <c r="G1681">
        <v>0</v>
      </c>
      <c r="H1681">
        <v>0</v>
      </c>
      <c r="I1681">
        <v>0</v>
      </c>
      <c r="J1681">
        <v>0</v>
      </c>
      <c r="K1681">
        <v>0</v>
      </c>
      <c r="L1681">
        <v>11000000</v>
      </c>
      <c r="M1681">
        <v>11000000</v>
      </c>
      <c r="N1681">
        <v>11000000</v>
      </c>
      <c r="O1681">
        <v>11000000</v>
      </c>
      <c r="P1681">
        <v>11000000</v>
      </c>
      <c r="Q1681">
        <v>11000000</v>
      </c>
      <c r="R1681" s="14">
        <f>_xlfn.XLOOKUP(Table2[[#This Row],[LoanID]],Table1[G-L ID],Table1[ManagerCode],-99)</f>
        <v>183</v>
      </c>
      <c r="T1681"/>
    </row>
    <row r="1682" spans="1:20" x14ac:dyDescent="0.25">
      <c r="A1682">
        <v>20130228</v>
      </c>
      <c r="B1682">
        <v>2013</v>
      </c>
      <c r="C1682">
        <v>2</v>
      </c>
      <c r="D1682">
        <v>1</v>
      </c>
      <c r="E1682">
        <v>10950</v>
      </c>
      <c r="F1682">
        <v>51759.28</v>
      </c>
      <c r="G1682">
        <v>0</v>
      </c>
      <c r="H1682">
        <v>0</v>
      </c>
      <c r="I1682">
        <v>0</v>
      </c>
      <c r="J1682">
        <v>0</v>
      </c>
      <c r="K1682">
        <v>25263.74</v>
      </c>
      <c r="L1682">
        <v>10317117.43</v>
      </c>
      <c r="M1682">
        <v>10317117.43</v>
      </c>
      <c r="N1682">
        <v>10317117.43</v>
      </c>
      <c r="O1682">
        <v>10317117.43</v>
      </c>
      <c r="P1682">
        <v>10421330.73</v>
      </c>
      <c r="Q1682">
        <v>10396066.99</v>
      </c>
      <c r="R1682" s="14">
        <f>_xlfn.XLOOKUP(Table2[[#This Row],[LoanID]],Table1[G-L ID],Table1[ManagerCode],-99)</f>
        <v>103</v>
      </c>
      <c r="T1682"/>
    </row>
    <row r="1683" spans="1:20" x14ac:dyDescent="0.25">
      <c r="A1683">
        <v>20130228</v>
      </c>
      <c r="B1683">
        <v>2013</v>
      </c>
      <c r="C1683">
        <v>2</v>
      </c>
      <c r="D1683">
        <v>1</v>
      </c>
      <c r="E1683">
        <v>10980</v>
      </c>
      <c r="F1683">
        <v>141069</v>
      </c>
      <c r="G1683">
        <v>18302.5</v>
      </c>
      <c r="H1683">
        <v>0</v>
      </c>
      <c r="I1683">
        <v>0</v>
      </c>
      <c r="J1683">
        <v>-1592908.77</v>
      </c>
      <c r="K1683">
        <v>0</v>
      </c>
      <c r="L1683">
        <v>19979021.98</v>
      </c>
      <c r="M1683">
        <v>21590233.25</v>
      </c>
      <c r="N1683">
        <v>19979021.98</v>
      </c>
      <c r="O1683">
        <v>21590233.25</v>
      </c>
      <c r="P1683">
        <v>19979021.98</v>
      </c>
      <c r="Q1683">
        <v>21590233.25</v>
      </c>
      <c r="R1683" s="14">
        <f>_xlfn.XLOOKUP(Table2[[#This Row],[LoanID]],Table1[G-L ID],Table1[ManagerCode],-99)</f>
        <v>183</v>
      </c>
      <c r="T1683"/>
    </row>
    <row r="1684" spans="1:20" x14ac:dyDescent="0.25">
      <c r="A1684">
        <v>20130228</v>
      </c>
      <c r="B1684">
        <v>2013</v>
      </c>
      <c r="C1684">
        <v>2</v>
      </c>
      <c r="D1684">
        <v>1</v>
      </c>
      <c r="E1684">
        <v>11020</v>
      </c>
      <c r="F1684">
        <v>98000</v>
      </c>
      <c r="G1684">
        <v>0</v>
      </c>
      <c r="H1684">
        <v>0</v>
      </c>
      <c r="I1684">
        <v>0</v>
      </c>
      <c r="J1684">
        <v>0</v>
      </c>
      <c r="K1684">
        <v>0</v>
      </c>
      <c r="L1684">
        <v>12000000</v>
      </c>
      <c r="M1684">
        <v>12000000</v>
      </c>
      <c r="N1684">
        <v>12000000</v>
      </c>
      <c r="O1684">
        <v>12000000</v>
      </c>
      <c r="P1684">
        <v>12000000</v>
      </c>
      <c r="Q1684">
        <v>12000000</v>
      </c>
      <c r="R1684" s="14">
        <f>_xlfn.XLOOKUP(Table2[[#This Row],[LoanID]],Table1[G-L ID],Table1[ManagerCode],-99)</f>
        <v>119</v>
      </c>
      <c r="T1684"/>
    </row>
    <row r="1685" spans="1:20" x14ac:dyDescent="0.25">
      <c r="A1685">
        <v>20130228</v>
      </c>
      <c r="B1685">
        <v>2013</v>
      </c>
      <c r="C1685">
        <v>2</v>
      </c>
      <c r="D1685">
        <v>1</v>
      </c>
      <c r="E1685">
        <v>11050</v>
      </c>
      <c r="F1685">
        <v>57412</v>
      </c>
      <c r="G1685">
        <v>0</v>
      </c>
      <c r="H1685">
        <v>0</v>
      </c>
      <c r="I1685">
        <v>0</v>
      </c>
      <c r="J1685">
        <v>-2831606.76</v>
      </c>
      <c r="K1685">
        <v>0</v>
      </c>
      <c r="L1685">
        <v>7011937.2300000004</v>
      </c>
      <c r="M1685">
        <v>9843543.9900000002</v>
      </c>
      <c r="N1685">
        <v>7011937.2300000004</v>
      </c>
      <c r="O1685">
        <v>9843543.9900000002</v>
      </c>
      <c r="P1685">
        <v>7011937.2300000004</v>
      </c>
      <c r="Q1685">
        <v>9843543.9900000002</v>
      </c>
      <c r="R1685" s="14">
        <f>_xlfn.XLOOKUP(Table2[[#This Row],[LoanID]],Table1[G-L ID],Table1[ManagerCode],-99)</f>
        <v>220</v>
      </c>
      <c r="T1685"/>
    </row>
    <row r="1686" spans="1:20" x14ac:dyDescent="0.25">
      <c r="A1686">
        <v>20130228</v>
      </c>
      <c r="B1686">
        <v>2013</v>
      </c>
      <c r="C1686">
        <v>2</v>
      </c>
      <c r="D1686">
        <v>1</v>
      </c>
      <c r="E1686">
        <v>11070</v>
      </c>
      <c r="F1686">
        <v>147389.48000000001</v>
      </c>
      <c r="G1686">
        <v>0</v>
      </c>
      <c r="H1686">
        <v>0</v>
      </c>
      <c r="I1686">
        <v>0</v>
      </c>
      <c r="J1686">
        <v>0</v>
      </c>
      <c r="K1686">
        <v>18410.07</v>
      </c>
      <c r="L1686">
        <v>14024099.25</v>
      </c>
      <c r="M1686">
        <v>14024099.25</v>
      </c>
      <c r="N1686">
        <v>14024099.25</v>
      </c>
      <c r="O1686">
        <v>14024099.25</v>
      </c>
      <c r="P1686">
        <v>17530106.550000001</v>
      </c>
      <c r="Q1686">
        <v>17511696.48</v>
      </c>
      <c r="R1686" s="14">
        <f>_xlfn.XLOOKUP(Table2[[#This Row],[LoanID]],Table1[G-L ID],Table1[ManagerCode],-99)</f>
        <v>103</v>
      </c>
      <c r="T1686"/>
    </row>
    <row r="1687" spans="1:20" x14ac:dyDescent="0.25">
      <c r="A1687">
        <v>20130228</v>
      </c>
      <c r="B1687">
        <v>2013</v>
      </c>
      <c r="C1687">
        <v>2</v>
      </c>
      <c r="D1687">
        <v>1</v>
      </c>
      <c r="E1687">
        <v>11110</v>
      </c>
      <c r="F1687">
        <v>100808.87</v>
      </c>
      <c r="G1687">
        <v>0</v>
      </c>
      <c r="H1687">
        <v>0</v>
      </c>
      <c r="I1687">
        <v>0</v>
      </c>
      <c r="J1687">
        <v>0</v>
      </c>
      <c r="K1687">
        <v>0</v>
      </c>
      <c r="L1687">
        <v>13947431.140000001</v>
      </c>
      <c r="M1687">
        <v>13947431.140000001</v>
      </c>
      <c r="N1687">
        <v>13947431.140000001</v>
      </c>
      <c r="O1687">
        <v>13947431.140000001</v>
      </c>
      <c r="P1687">
        <v>13947431.140000001</v>
      </c>
      <c r="Q1687">
        <v>13947431.140000001</v>
      </c>
      <c r="R1687" s="14">
        <f>_xlfn.XLOOKUP(Table2[[#This Row],[LoanID]],Table1[G-L ID],Table1[ManagerCode],-99)</f>
        <v>183</v>
      </c>
      <c r="T1687"/>
    </row>
    <row r="1688" spans="1:20" x14ac:dyDescent="0.25">
      <c r="A1688">
        <v>20130228</v>
      </c>
      <c r="B1688">
        <v>2013</v>
      </c>
      <c r="C1688">
        <v>2</v>
      </c>
      <c r="D1688">
        <v>1</v>
      </c>
      <c r="E1688">
        <v>11140</v>
      </c>
      <c r="F1688">
        <v>1098113.96</v>
      </c>
      <c r="G1688">
        <v>0</v>
      </c>
      <c r="H1688">
        <v>0</v>
      </c>
      <c r="I1688">
        <v>0</v>
      </c>
      <c r="J1688">
        <v>0</v>
      </c>
      <c r="K1688">
        <v>0</v>
      </c>
      <c r="L1688">
        <v>71711993.859999999</v>
      </c>
      <c r="M1688">
        <v>71711993.859999999</v>
      </c>
      <c r="N1688">
        <v>71711993.859999999</v>
      </c>
      <c r="O1688">
        <v>71711993.859999999</v>
      </c>
      <c r="P1688">
        <v>72436285</v>
      </c>
      <c r="Q1688">
        <v>72436285</v>
      </c>
      <c r="R1688" s="14">
        <f>_xlfn.XLOOKUP(Table2[[#This Row],[LoanID]],Table1[G-L ID],Table1[ManagerCode],-99)</f>
        <v>103</v>
      </c>
      <c r="T1688"/>
    </row>
    <row r="1689" spans="1:20" x14ac:dyDescent="0.25">
      <c r="A1689">
        <v>20130228</v>
      </c>
      <c r="B1689">
        <v>2013</v>
      </c>
      <c r="C1689">
        <v>2</v>
      </c>
      <c r="D1689">
        <v>1</v>
      </c>
      <c r="E1689">
        <v>11190</v>
      </c>
      <c r="F1689">
        <v>1343654.01</v>
      </c>
      <c r="G1689">
        <v>0</v>
      </c>
      <c r="H1689">
        <v>0</v>
      </c>
      <c r="I1689">
        <v>-1721.97</v>
      </c>
      <c r="J1689">
        <v>0</v>
      </c>
      <c r="K1689">
        <v>0</v>
      </c>
      <c r="L1689">
        <v>189972289.90000001</v>
      </c>
      <c r="M1689">
        <v>189972289.90000001</v>
      </c>
      <c r="N1689">
        <v>189972289.90000001</v>
      </c>
      <c r="O1689">
        <v>189972289.90000001</v>
      </c>
      <c r="P1689">
        <v>199970831.5</v>
      </c>
      <c r="Q1689">
        <v>199970831.5</v>
      </c>
      <c r="R1689" s="14">
        <f>_xlfn.XLOOKUP(Table2[[#This Row],[LoanID]],Table1[G-L ID],Table1[ManagerCode],-99)</f>
        <v>103</v>
      </c>
      <c r="T1689"/>
    </row>
    <row r="1690" spans="1:20" x14ac:dyDescent="0.25">
      <c r="A1690">
        <v>20130228</v>
      </c>
      <c r="B1690">
        <v>2013</v>
      </c>
      <c r="C1690">
        <v>2</v>
      </c>
      <c r="D1690">
        <v>1</v>
      </c>
      <c r="E1690">
        <v>11220</v>
      </c>
      <c r="F1690">
        <v>311937.5</v>
      </c>
      <c r="G1690">
        <v>0</v>
      </c>
      <c r="H1690">
        <v>0</v>
      </c>
      <c r="I1690">
        <v>0</v>
      </c>
      <c r="J1690">
        <v>0</v>
      </c>
      <c r="K1690">
        <v>0</v>
      </c>
      <c r="L1690">
        <v>34500000</v>
      </c>
      <c r="M1690">
        <v>34500000</v>
      </c>
      <c r="N1690">
        <v>34500000</v>
      </c>
      <c r="O1690">
        <v>34500000</v>
      </c>
      <c r="P1690">
        <v>34500000</v>
      </c>
      <c r="Q1690">
        <v>34500000</v>
      </c>
      <c r="R1690" s="14">
        <f>_xlfn.XLOOKUP(Table2[[#This Row],[LoanID]],Table1[G-L ID],Table1[ManagerCode],-99)</f>
        <v>220</v>
      </c>
      <c r="T1690"/>
    </row>
    <row r="1691" spans="1:20" x14ac:dyDescent="0.25">
      <c r="A1691">
        <v>20130228</v>
      </c>
      <c r="B1691">
        <v>2013</v>
      </c>
      <c r="C1691">
        <v>2</v>
      </c>
      <c r="D1691">
        <v>1</v>
      </c>
      <c r="E1691">
        <v>11230</v>
      </c>
      <c r="F1691">
        <v>247755.56</v>
      </c>
      <c r="G1691">
        <v>0</v>
      </c>
      <c r="H1691">
        <v>0</v>
      </c>
      <c r="I1691">
        <v>0</v>
      </c>
      <c r="J1691">
        <v>0</v>
      </c>
      <c r="K1691">
        <v>0</v>
      </c>
      <c r="L1691">
        <v>175436664</v>
      </c>
      <c r="M1691">
        <v>175436664</v>
      </c>
      <c r="N1691">
        <v>175436664</v>
      </c>
      <c r="O1691">
        <v>175436664</v>
      </c>
      <c r="P1691">
        <v>194929626.59999999</v>
      </c>
      <c r="Q1691">
        <v>194929626.59999999</v>
      </c>
      <c r="R1691" s="14">
        <f>_xlfn.XLOOKUP(Table2[[#This Row],[LoanID]],Table1[G-L ID],Table1[ManagerCode],-99)</f>
        <v>103</v>
      </c>
      <c r="T1691"/>
    </row>
    <row r="1692" spans="1:20" x14ac:dyDescent="0.25">
      <c r="A1692">
        <v>20130228</v>
      </c>
      <c r="B1692">
        <v>2013</v>
      </c>
      <c r="C1692">
        <v>2</v>
      </c>
      <c r="D1692">
        <v>1</v>
      </c>
      <c r="E1692">
        <v>11280</v>
      </c>
      <c r="F1692">
        <v>23559.89</v>
      </c>
      <c r="G1692">
        <v>0</v>
      </c>
      <c r="H1692">
        <v>0</v>
      </c>
      <c r="I1692">
        <v>-156.59</v>
      </c>
      <c r="J1692">
        <v>0</v>
      </c>
      <c r="K1692">
        <v>0</v>
      </c>
      <c r="L1692">
        <v>18603211.800000001</v>
      </c>
      <c r="M1692">
        <v>18603211.800000001</v>
      </c>
      <c r="N1692">
        <v>18603211.800000001</v>
      </c>
      <c r="O1692">
        <v>18603211.800000001</v>
      </c>
      <c r="P1692">
        <v>18791123.030000001</v>
      </c>
      <c r="Q1692">
        <v>18791123.030000001</v>
      </c>
      <c r="R1692" s="14">
        <f>_xlfn.XLOOKUP(Table2[[#This Row],[LoanID]],Table1[G-L ID],Table1[ManagerCode],-99)</f>
        <v>103</v>
      </c>
      <c r="T1692"/>
    </row>
    <row r="1693" spans="1:20" x14ac:dyDescent="0.25">
      <c r="A1693">
        <v>20130228</v>
      </c>
      <c r="B1693">
        <v>2013</v>
      </c>
      <c r="C1693">
        <v>2</v>
      </c>
      <c r="D1693">
        <v>1</v>
      </c>
      <c r="E1693">
        <v>11300</v>
      </c>
      <c r="F1693">
        <v>21203.9</v>
      </c>
      <c r="G1693">
        <v>0</v>
      </c>
      <c r="H1693">
        <v>0</v>
      </c>
      <c r="I1693">
        <v>-140.93</v>
      </c>
      <c r="J1693">
        <v>0</v>
      </c>
      <c r="K1693">
        <v>0</v>
      </c>
      <c r="L1693">
        <v>16742890.619999999</v>
      </c>
      <c r="M1693">
        <v>16742890.619999999</v>
      </c>
      <c r="N1693">
        <v>16742890.619999999</v>
      </c>
      <c r="O1693">
        <v>16742890.619999999</v>
      </c>
      <c r="P1693">
        <v>16912010.73</v>
      </c>
      <c r="Q1693">
        <v>16912010.73</v>
      </c>
      <c r="R1693" s="14">
        <f>_xlfn.XLOOKUP(Table2[[#This Row],[LoanID]],Table1[G-L ID],Table1[ManagerCode],-99)</f>
        <v>103</v>
      </c>
      <c r="T1693"/>
    </row>
    <row r="1694" spans="1:20" x14ac:dyDescent="0.25">
      <c r="A1694">
        <v>20130228</v>
      </c>
      <c r="B1694">
        <v>2013</v>
      </c>
      <c r="C1694">
        <v>2</v>
      </c>
      <c r="D1694">
        <v>1</v>
      </c>
      <c r="E1694">
        <v>11310</v>
      </c>
      <c r="F1694">
        <v>14135.94</v>
      </c>
      <c r="G1694">
        <v>0</v>
      </c>
      <c r="H1694">
        <v>0</v>
      </c>
      <c r="I1694">
        <v>-93.96</v>
      </c>
      <c r="J1694">
        <v>0</v>
      </c>
      <c r="K1694">
        <v>0</v>
      </c>
      <c r="L1694">
        <v>11161927.050000001</v>
      </c>
      <c r="M1694">
        <v>11161927.050000001</v>
      </c>
      <c r="N1694">
        <v>11161927.050000001</v>
      </c>
      <c r="O1694">
        <v>11161927.050000001</v>
      </c>
      <c r="P1694">
        <v>11274673.789999999</v>
      </c>
      <c r="Q1694">
        <v>11274673.789999999</v>
      </c>
      <c r="R1694" s="14">
        <f>_xlfn.XLOOKUP(Table2[[#This Row],[LoanID]],Table1[G-L ID],Table1[ManagerCode],-99)</f>
        <v>103</v>
      </c>
      <c r="T1694"/>
    </row>
    <row r="1695" spans="1:20" x14ac:dyDescent="0.25">
      <c r="A1695">
        <v>20130228</v>
      </c>
      <c r="B1695">
        <v>2013</v>
      </c>
      <c r="C1695">
        <v>2</v>
      </c>
      <c r="D1695">
        <v>1</v>
      </c>
      <c r="E1695">
        <v>11340</v>
      </c>
      <c r="F1695">
        <v>301388.89</v>
      </c>
      <c r="G1695">
        <v>0</v>
      </c>
      <c r="H1695">
        <v>0</v>
      </c>
      <c r="I1695">
        <v>0</v>
      </c>
      <c r="J1695">
        <v>0</v>
      </c>
      <c r="K1695">
        <v>0</v>
      </c>
      <c r="L1695">
        <v>49500000</v>
      </c>
      <c r="M1695">
        <v>49500000</v>
      </c>
      <c r="N1695">
        <v>49500000</v>
      </c>
      <c r="O1695">
        <v>49500000</v>
      </c>
      <c r="P1695">
        <v>50000000</v>
      </c>
      <c r="Q1695">
        <v>50000000</v>
      </c>
      <c r="R1695" s="14">
        <f>_xlfn.XLOOKUP(Table2[[#This Row],[LoanID]],Table1[G-L ID],Table1[ManagerCode],-99)</f>
        <v>103</v>
      </c>
      <c r="T1695"/>
    </row>
    <row r="1696" spans="1:20" x14ac:dyDescent="0.25">
      <c r="A1696">
        <v>20130228</v>
      </c>
      <c r="B1696">
        <v>2013</v>
      </c>
      <c r="C1696">
        <v>2</v>
      </c>
      <c r="D1696">
        <v>1</v>
      </c>
      <c r="E1696">
        <v>11380</v>
      </c>
      <c r="F1696">
        <v>826127.64</v>
      </c>
      <c r="G1696">
        <v>0</v>
      </c>
      <c r="H1696">
        <v>0</v>
      </c>
      <c r="I1696">
        <v>0</v>
      </c>
      <c r="J1696">
        <v>0</v>
      </c>
      <c r="K1696">
        <v>4419376.57</v>
      </c>
      <c r="L1696">
        <v>5019366.9000000004</v>
      </c>
      <c r="M1696">
        <v>0</v>
      </c>
      <c r="N1696">
        <v>5019366.9000000004</v>
      </c>
      <c r="O1696">
        <v>0</v>
      </c>
      <c r="P1696">
        <v>4419376.57</v>
      </c>
      <c r="Q1696">
        <v>0</v>
      </c>
      <c r="R1696" s="14">
        <f>_xlfn.XLOOKUP(Table2[[#This Row],[LoanID]],Table1[G-L ID],Table1[ManagerCode],-99)</f>
        <v>103</v>
      </c>
      <c r="T1696"/>
    </row>
    <row r="1697" spans="1:20" x14ac:dyDescent="0.25">
      <c r="A1697">
        <v>20130228</v>
      </c>
      <c r="B1697">
        <v>2013</v>
      </c>
      <c r="C1697">
        <v>2</v>
      </c>
      <c r="D1697">
        <v>1</v>
      </c>
      <c r="E1697">
        <v>11560</v>
      </c>
      <c r="F1697">
        <v>0</v>
      </c>
      <c r="G1697">
        <v>88665.98</v>
      </c>
      <c r="H1697">
        <v>0</v>
      </c>
      <c r="I1697">
        <v>0</v>
      </c>
      <c r="J1697">
        <v>0</v>
      </c>
      <c r="K1697">
        <v>0</v>
      </c>
      <c r="L1697">
        <v>13782926.66</v>
      </c>
      <c r="M1697">
        <v>13871592.640000001</v>
      </c>
      <c r="N1697">
        <v>13782926.66</v>
      </c>
      <c r="O1697">
        <v>13871592.640000001</v>
      </c>
      <c r="P1697">
        <v>13782926.66</v>
      </c>
      <c r="Q1697">
        <v>13871592.640000001</v>
      </c>
      <c r="R1697" s="14">
        <f>_xlfn.XLOOKUP(Table2[[#This Row],[LoanID]],Table1[G-L ID],Table1[ManagerCode],-99)</f>
        <v>183</v>
      </c>
      <c r="T1697"/>
    </row>
    <row r="1698" spans="1:20" x14ac:dyDescent="0.25">
      <c r="A1698">
        <v>20130228</v>
      </c>
      <c r="B1698">
        <v>2013</v>
      </c>
      <c r="C1698">
        <v>2</v>
      </c>
      <c r="D1698">
        <v>1</v>
      </c>
      <c r="E1698">
        <v>11620</v>
      </c>
      <c r="F1698">
        <v>36580.11</v>
      </c>
      <c r="G1698">
        <v>15045.46</v>
      </c>
      <c r="H1698">
        <v>0</v>
      </c>
      <c r="I1698">
        <v>0</v>
      </c>
      <c r="J1698">
        <v>-36580.11</v>
      </c>
      <c r="K1698">
        <v>0</v>
      </c>
      <c r="L1698">
        <v>4528412.29</v>
      </c>
      <c r="M1698">
        <v>4580037.8600000003</v>
      </c>
      <c r="N1698">
        <v>4528412.29</v>
      </c>
      <c r="O1698">
        <v>4580037.8600000003</v>
      </c>
      <c r="P1698">
        <v>4528412.29</v>
      </c>
      <c r="Q1698">
        <v>4580037.8600000003</v>
      </c>
      <c r="R1698" s="14">
        <f>_xlfn.XLOOKUP(Table2[[#This Row],[LoanID]],Table1[G-L ID],Table1[ManagerCode],-99)</f>
        <v>183</v>
      </c>
      <c r="T1698"/>
    </row>
    <row r="1699" spans="1:20" x14ac:dyDescent="0.25">
      <c r="A1699">
        <v>20130228</v>
      </c>
      <c r="B1699">
        <v>2013</v>
      </c>
      <c r="C1699">
        <v>2</v>
      </c>
      <c r="D1699">
        <v>1</v>
      </c>
      <c r="E1699">
        <v>11650</v>
      </c>
      <c r="F1699">
        <v>75000</v>
      </c>
      <c r="G1699">
        <v>0</v>
      </c>
      <c r="H1699">
        <v>0</v>
      </c>
      <c r="I1699">
        <v>0</v>
      </c>
      <c r="J1699">
        <v>0</v>
      </c>
      <c r="K1699">
        <v>0</v>
      </c>
      <c r="L1699">
        <v>9600000</v>
      </c>
      <c r="M1699">
        <v>9600000</v>
      </c>
      <c r="N1699">
        <v>9600000</v>
      </c>
      <c r="O1699">
        <v>9600000</v>
      </c>
      <c r="P1699">
        <v>12000000</v>
      </c>
      <c r="Q1699">
        <v>12000000</v>
      </c>
      <c r="R1699" s="14">
        <f>_xlfn.XLOOKUP(Table2[[#This Row],[LoanID]],Table1[G-L ID],Table1[ManagerCode],-99)</f>
        <v>103</v>
      </c>
      <c r="T1699"/>
    </row>
    <row r="1700" spans="1:20" x14ac:dyDescent="0.25">
      <c r="A1700">
        <v>20130228</v>
      </c>
      <c r="B1700">
        <v>2013</v>
      </c>
      <c r="C1700">
        <v>2</v>
      </c>
      <c r="D1700">
        <v>1</v>
      </c>
      <c r="E1700">
        <v>11670</v>
      </c>
      <c r="F1700">
        <v>188333.33</v>
      </c>
      <c r="G1700">
        <v>144287.21</v>
      </c>
      <c r="H1700">
        <v>0</v>
      </c>
      <c r="I1700">
        <v>0</v>
      </c>
      <c r="J1700">
        <v>0</v>
      </c>
      <c r="K1700">
        <v>0</v>
      </c>
      <c r="L1700">
        <v>28510331.609999999</v>
      </c>
      <c r="M1700">
        <v>28654618.82</v>
      </c>
      <c r="N1700">
        <v>28510331.609999999</v>
      </c>
      <c r="O1700">
        <v>28654618.82</v>
      </c>
      <c r="P1700">
        <v>28510331.609999999</v>
      </c>
      <c r="Q1700">
        <v>28654618.82</v>
      </c>
      <c r="R1700" s="14">
        <f>_xlfn.XLOOKUP(Table2[[#This Row],[LoanID]],Table1[G-L ID],Table1[ManagerCode],-99)</f>
        <v>183</v>
      </c>
      <c r="T1700"/>
    </row>
    <row r="1701" spans="1:20" x14ac:dyDescent="0.25">
      <c r="A1701">
        <v>20130228</v>
      </c>
      <c r="B1701">
        <v>2013</v>
      </c>
      <c r="C1701">
        <v>2</v>
      </c>
      <c r="D1701">
        <v>1</v>
      </c>
      <c r="E1701">
        <v>11770</v>
      </c>
      <c r="F1701">
        <v>616373.81999999995</v>
      </c>
      <c r="G1701">
        <v>0</v>
      </c>
      <c r="H1701">
        <v>0</v>
      </c>
      <c r="I1701">
        <v>0</v>
      </c>
      <c r="J1701">
        <v>0</v>
      </c>
      <c r="K1701">
        <v>677483.45</v>
      </c>
      <c r="L1701">
        <v>67240780.560000002</v>
      </c>
      <c r="M1701">
        <v>66563297.109999999</v>
      </c>
      <c r="N1701">
        <v>67240780.560000002</v>
      </c>
      <c r="O1701">
        <v>66563297.109999999</v>
      </c>
      <c r="P1701">
        <v>67240780.560000002</v>
      </c>
      <c r="Q1701">
        <v>66563297.109999999</v>
      </c>
      <c r="R1701" s="14">
        <f>_xlfn.XLOOKUP(Table2[[#This Row],[LoanID]],Table1[G-L ID],Table1[ManagerCode],-99)</f>
        <v>119</v>
      </c>
      <c r="T1701"/>
    </row>
    <row r="1702" spans="1:20" x14ac:dyDescent="0.25">
      <c r="A1702">
        <v>20130228</v>
      </c>
      <c r="B1702">
        <v>2013</v>
      </c>
      <c r="C1702">
        <v>2</v>
      </c>
      <c r="D1702">
        <v>1</v>
      </c>
      <c r="E1702">
        <v>11780</v>
      </c>
      <c r="F1702">
        <v>0</v>
      </c>
      <c r="G1702">
        <v>0</v>
      </c>
      <c r="H1702">
        <v>0</v>
      </c>
      <c r="I1702">
        <v>0</v>
      </c>
      <c r="J1702">
        <v>0</v>
      </c>
      <c r="K1702">
        <v>0</v>
      </c>
      <c r="L1702">
        <v>27599788.510000002</v>
      </c>
      <c r="M1702">
        <v>27599788.510000002</v>
      </c>
      <c r="N1702">
        <v>27599788.510000002</v>
      </c>
      <c r="O1702">
        <v>27599788.510000002</v>
      </c>
      <c r="P1702">
        <v>64786446.619999997</v>
      </c>
      <c r="Q1702">
        <v>64786446.619999997</v>
      </c>
      <c r="R1702" s="14">
        <f>_xlfn.XLOOKUP(Table2[[#This Row],[LoanID]],Table1[G-L ID],Table1[ManagerCode],-99)</f>
        <v>103</v>
      </c>
      <c r="T1702"/>
    </row>
    <row r="1703" spans="1:20" x14ac:dyDescent="0.25">
      <c r="A1703">
        <v>20130228</v>
      </c>
      <c r="B1703">
        <v>2013</v>
      </c>
      <c r="C1703">
        <v>2</v>
      </c>
      <c r="D1703">
        <v>1</v>
      </c>
      <c r="E1703">
        <v>11800</v>
      </c>
      <c r="F1703">
        <v>160673.76999999999</v>
      </c>
      <c r="G1703">
        <v>0</v>
      </c>
      <c r="H1703">
        <v>0</v>
      </c>
      <c r="I1703">
        <v>-270.36</v>
      </c>
      <c r="J1703">
        <v>0</v>
      </c>
      <c r="K1703">
        <v>76163.53</v>
      </c>
      <c r="L1703">
        <v>34106543.079999998</v>
      </c>
      <c r="M1703">
        <v>34106543.079999998</v>
      </c>
      <c r="N1703">
        <v>34106543.079999998</v>
      </c>
      <c r="O1703">
        <v>34106543.079999998</v>
      </c>
      <c r="P1703">
        <v>31396414.010000002</v>
      </c>
      <c r="Q1703">
        <v>31320250.48</v>
      </c>
      <c r="R1703" s="14">
        <f>_xlfn.XLOOKUP(Table2[[#This Row],[LoanID]],Table1[G-L ID],Table1[ManagerCode],-99)</f>
        <v>103</v>
      </c>
      <c r="T1703"/>
    </row>
    <row r="1704" spans="1:20" x14ac:dyDescent="0.25">
      <c r="A1704">
        <v>20130228</v>
      </c>
      <c r="B1704">
        <v>2013</v>
      </c>
      <c r="C1704">
        <v>2</v>
      </c>
      <c r="D1704">
        <v>1</v>
      </c>
      <c r="E1704">
        <v>11810</v>
      </c>
      <c r="F1704">
        <v>50762.79</v>
      </c>
      <c r="G1704">
        <v>0</v>
      </c>
      <c r="H1704">
        <v>0</v>
      </c>
      <c r="I1704">
        <v>0</v>
      </c>
      <c r="J1704">
        <v>0</v>
      </c>
      <c r="K1704">
        <v>10095.299999999999</v>
      </c>
      <c r="L1704">
        <v>9821855.2200000007</v>
      </c>
      <c r="M1704">
        <v>9821855.2200000007</v>
      </c>
      <c r="N1704">
        <v>9821855.2200000007</v>
      </c>
      <c r="O1704">
        <v>9821855.2200000007</v>
      </c>
      <c r="P1704">
        <v>9921065.8699999992</v>
      </c>
      <c r="Q1704">
        <v>9910970.5700000003</v>
      </c>
      <c r="R1704" s="14">
        <f>_xlfn.XLOOKUP(Table2[[#This Row],[LoanID]],Table1[G-L ID],Table1[ManagerCode],-99)</f>
        <v>103</v>
      </c>
      <c r="T1704"/>
    </row>
    <row r="1705" spans="1:20" x14ac:dyDescent="0.25">
      <c r="A1705">
        <v>20130228</v>
      </c>
      <c r="B1705">
        <v>2013</v>
      </c>
      <c r="C1705">
        <v>2</v>
      </c>
      <c r="D1705">
        <v>1</v>
      </c>
      <c r="E1705">
        <v>11840</v>
      </c>
      <c r="F1705">
        <v>40990.17</v>
      </c>
      <c r="G1705">
        <v>61287.38</v>
      </c>
      <c r="H1705">
        <v>0</v>
      </c>
      <c r="I1705">
        <v>0</v>
      </c>
      <c r="J1705">
        <v>-95323.89</v>
      </c>
      <c r="K1705">
        <v>0</v>
      </c>
      <c r="L1705">
        <v>8444637.3399999999</v>
      </c>
      <c r="M1705">
        <v>8601248.6099999994</v>
      </c>
      <c r="N1705">
        <v>8444637.3399999999</v>
      </c>
      <c r="O1705">
        <v>8601248.6099999994</v>
      </c>
      <c r="P1705">
        <v>8444637.3399999999</v>
      </c>
      <c r="Q1705">
        <v>8601248.6099999994</v>
      </c>
      <c r="R1705" s="14">
        <f>_xlfn.XLOOKUP(Table2[[#This Row],[LoanID]],Table1[G-L ID],Table1[ManagerCode],-99)</f>
        <v>183</v>
      </c>
      <c r="T1705"/>
    </row>
    <row r="1706" spans="1:20" x14ac:dyDescent="0.25">
      <c r="A1706">
        <v>20130228</v>
      </c>
      <c r="B1706">
        <v>2013</v>
      </c>
      <c r="C1706">
        <v>2</v>
      </c>
      <c r="D1706">
        <v>1</v>
      </c>
      <c r="E1706">
        <v>11970</v>
      </c>
      <c r="F1706">
        <v>77475.100000000006</v>
      </c>
      <c r="G1706">
        <v>42709.29</v>
      </c>
      <c r="H1706">
        <v>0</v>
      </c>
      <c r="I1706">
        <v>0</v>
      </c>
      <c r="J1706">
        <v>-77475.100000000006</v>
      </c>
      <c r="K1706">
        <v>0</v>
      </c>
      <c r="L1706">
        <v>8010417.0599999996</v>
      </c>
      <c r="M1706">
        <v>8130601.4500000002</v>
      </c>
      <c r="N1706">
        <v>8010417.0599999996</v>
      </c>
      <c r="O1706">
        <v>8130601.4500000002</v>
      </c>
      <c r="P1706">
        <v>8010417.0599999996</v>
      </c>
      <c r="Q1706">
        <v>8130601.4500000002</v>
      </c>
      <c r="R1706" s="14">
        <f>_xlfn.XLOOKUP(Table2[[#This Row],[LoanID]],Table1[G-L ID],Table1[ManagerCode],-99)</f>
        <v>183</v>
      </c>
      <c r="T1706"/>
    </row>
    <row r="1707" spans="1:20" x14ac:dyDescent="0.25">
      <c r="A1707">
        <v>20130228</v>
      </c>
      <c r="B1707">
        <v>2013</v>
      </c>
      <c r="C1707">
        <v>2</v>
      </c>
      <c r="D1707">
        <v>1</v>
      </c>
      <c r="E1707">
        <v>12020</v>
      </c>
      <c r="F1707">
        <v>61674.94</v>
      </c>
      <c r="G1707">
        <v>0</v>
      </c>
      <c r="H1707">
        <v>0</v>
      </c>
      <c r="I1707">
        <v>0</v>
      </c>
      <c r="J1707">
        <v>-61674.92</v>
      </c>
      <c r="K1707">
        <v>0</v>
      </c>
      <c r="L1707">
        <v>9850912.9900000002</v>
      </c>
      <c r="M1707">
        <v>9912587.9100000001</v>
      </c>
      <c r="N1707">
        <v>9850912.9900000002</v>
      </c>
      <c r="O1707">
        <v>9912587.9100000001</v>
      </c>
      <c r="P1707">
        <v>9850912.9900000002</v>
      </c>
      <c r="Q1707">
        <v>9912587.9100000001</v>
      </c>
      <c r="R1707" s="14">
        <f>_xlfn.XLOOKUP(Table2[[#This Row],[LoanID]],Table1[G-L ID],Table1[ManagerCode],-99)</f>
        <v>183</v>
      </c>
      <c r="T1707"/>
    </row>
    <row r="1708" spans="1:20" x14ac:dyDescent="0.25">
      <c r="A1708">
        <v>20130228</v>
      </c>
      <c r="B1708">
        <v>2013</v>
      </c>
      <c r="C1708">
        <v>2</v>
      </c>
      <c r="D1708">
        <v>1</v>
      </c>
      <c r="E1708">
        <v>12080</v>
      </c>
      <c r="F1708">
        <v>294933.33</v>
      </c>
      <c r="G1708">
        <v>0</v>
      </c>
      <c r="H1708">
        <v>0</v>
      </c>
      <c r="I1708">
        <v>0</v>
      </c>
      <c r="J1708">
        <v>0</v>
      </c>
      <c r="K1708">
        <v>0</v>
      </c>
      <c r="L1708">
        <v>40000000</v>
      </c>
      <c r="M1708">
        <v>40000000</v>
      </c>
      <c r="N1708">
        <v>40000000</v>
      </c>
      <c r="O1708">
        <v>40000000</v>
      </c>
      <c r="P1708">
        <v>40000000</v>
      </c>
      <c r="Q1708">
        <v>40000000</v>
      </c>
      <c r="R1708" s="14">
        <f>_xlfn.XLOOKUP(Table2[[#This Row],[LoanID]],Table1[G-L ID],Table1[ManagerCode],-99)</f>
        <v>119</v>
      </c>
      <c r="T1708"/>
    </row>
    <row r="1709" spans="1:20" x14ac:dyDescent="0.25">
      <c r="A1709">
        <v>20130228</v>
      </c>
      <c r="B1709">
        <v>2013</v>
      </c>
      <c r="C1709">
        <v>2</v>
      </c>
      <c r="D1709">
        <v>1</v>
      </c>
      <c r="E1709">
        <v>12090</v>
      </c>
      <c r="F1709">
        <v>164347.35999999999</v>
      </c>
      <c r="G1709">
        <v>0</v>
      </c>
      <c r="H1709">
        <v>0</v>
      </c>
      <c r="I1709">
        <v>0</v>
      </c>
      <c r="J1709">
        <v>0</v>
      </c>
      <c r="K1709">
        <v>0</v>
      </c>
      <c r="L1709">
        <v>17500000</v>
      </c>
      <c r="M1709">
        <v>17500000</v>
      </c>
      <c r="N1709">
        <v>17500000</v>
      </c>
      <c r="O1709">
        <v>17500000</v>
      </c>
      <c r="P1709">
        <v>17500000</v>
      </c>
      <c r="Q1709">
        <v>17500000</v>
      </c>
      <c r="R1709" s="14">
        <f>_xlfn.XLOOKUP(Table2[[#This Row],[LoanID]],Table1[G-L ID],Table1[ManagerCode],-99)</f>
        <v>220</v>
      </c>
      <c r="T1709"/>
    </row>
    <row r="1710" spans="1:20" x14ac:dyDescent="0.25">
      <c r="A1710">
        <v>20130228</v>
      </c>
      <c r="B1710">
        <v>2013</v>
      </c>
      <c r="C1710">
        <v>2</v>
      </c>
      <c r="D1710">
        <v>1</v>
      </c>
      <c r="E1710">
        <v>12100</v>
      </c>
      <c r="F1710">
        <v>30918.23</v>
      </c>
      <c r="G1710">
        <v>55677.21</v>
      </c>
      <c r="H1710">
        <v>0</v>
      </c>
      <c r="I1710">
        <v>0</v>
      </c>
      <c r="J1710">
        <v>-1544998.41</v>
      </c>
      <c r="K1710">
        <v>0</v>
      </c>
      <c r="L1710">
        <v>7619816.7699999996</v>
      </c>
      <c r="M1710">
        <v>9220492.3900000006</v>
      </c>
      <c r="N1710">
        <v>7619816.7699999996</v>
      </c>
      <c r="O1710">
        <v>9220492.3900000006</v>
      </c>
      <c r="P1710">
        <v>7619816.7699999996</v>
      </c>
      <c r="Q1710">
        <v>9220492.3900000006</v>
      </c>
      <c r="R1710" s="14">
        <f>_xlfn.XLOOKUP(Table2[[#This Row],[LoanID]],Table1[G-L ID],Table1[ManagerCode],-99)</f>
        <v>183</v>
      </c>
      <c r="T1710"/>
    </row>
    <row r="1711" spans="1:20" x14ac:dyDescent="0.25">
      <c r="A1711">
        <v>20130228</v>
      </c>
      <c r="B1711">
        <v>2013</v>
      </c>
      <c r="C1711">
        <v>2</v>
      </c>
      <c r="D1711">
        <v>1</v>
      </c>
      <c r="E1711">
        <v>12130</v>
      </c>
      <c r="F1711">
        <v>63495.91</v>
      </c>
      <c r="G1711">
        <v>0</v>
      </c>
      <c r="H1711">
        <v>0</v>
      </c>
      <c r="I1711">
        <v>0</v>
      </c>
      <c r="J1711">
        <v>-1524587.31</v>
      </c>
      <c r="K1711">
        <v>0</v>
      </c>
      <c r="L1711">
        <v>6056638.6399999997</v>
      </c>
      <c r="M1711">
        <v>7581225.9500000002</v>
      </c>
      <c r="N1711">
        <v>6056638.6399999997</v>
      </c>
      <c r="O1711">
        <v>7581225.9500000002</v>
      </c>
      <c r="P1711">
        <v>6056638.6399999997</v>
      </c>
      <c r="Q1711">
        <v>7581225.9500000002</v>
      </c>
      <c r="R1711" s="14">
        <f>_xlfn.XLOOKUP(Table2[[#This Row],[LoanID]],Table1[G-L ID],Table1[ManagerCode],-99)</f>
        <v>183</v>
      </c>
      <c r="T1711"/>
    </row>
    <row r="1712" spans="1:20" x14ac:dyDescent="0.25">
      <c r="A1712">
        <v>20130228</v>
      </c>
      <c r="B1712">
        <v>2013</v>
      </c>
      <c r="C1712">
        <v>2</v>
      </c>
      <c r="D1712">
        <v>1</v>
      </c>
      <c r="E1712">
        <v>12210</v>
      </c>
      <c r="F1712">
        <v>705561.41</v>
      </c>
      <c r="G1712">
        <v>0</v>
      </c>
      <c r="H1712">
        <v>0</v>
      </c>
      <c r="I1712">
        <v>0</v>
      </c>
      <c r="J1712">
        <v>0</v>
      </c>
      <c r="K1712">
        <v>195974.27</v>
      </c>
      <c r="L1712">
        <v>137697187</v>
      </c>
      <c r="M1712">
        <v>137697187</v>
      </c>
      <c r="N1712">
        <v>137697187</v>
      </c>
      <c r="O1712">
        <v>137697187</v>
      </c>
      <c r="P1712">
        <v>114160974.7</v>
      </c>
      <c r="Q1712">
        <v>113965000.40000001</v>
      </c>
      <c r="R1712" s="14">
        <f>_xlfn.XLOOKUP(Table2[[#This Row],[LoanID]],Table1[G-L ID],Table1[ManagerCode],-99)</f>
        <v>103</v>
      </c>
      <c r="T1712"/>
    </row>
    <row r="1713" spans="1:20" x14ac:dyDescent="0.25">
      <c r="A1713">
        <v>20130228</v>
      </c>
      <c r="B1713">
        <v>2013</v>
      </c>
      <c r="C1713">
        <v>2</v>
      </c>
      <c r="D1713">
        <v>1</v>
      </c>
      <c r="E1713">
        <v>12230</v>
      </c>
      <c r="F1713">
        <v>328564.53000000003</v>
      </c>
      <c r="G1713">
        <v>0</v>
      </c>
      <c r="H1713">
        <v>0</v>
      </c>
      <c r="I1713">
        <v>0</v>
      </c>
      <c r="J1713">
        <v>0</v>
      </c>
      <c r="K1713">
        <v>0</v>
      </c>
      <c r="L1713">
        <v>54383094</v>
      </c>
      <c r="M1713">
        <v>54383094</v>
      </c>
      <c r="N1713">
        <v>54383094</v>
      </c>
      <c r="O1713">
        <v>54383094</v>
      </c>
      <c r="P1713">
        <v>54383094</v>
      </c>
      <c r="Q1713">
        <v>54383094</v>
      </c>
      <c r="R1713" s="14">
        <f>_xlfn.XLOOKUP(Table2[[#This Row],[LoanID]],Table1[G-L ID],Table1[ManagerCode],-99)</f>
        <v>183</v>
      </c>
      <c r="T1713"/>
    </row>
    <row r="1714" spans="1:20" x14ac:dyDescent="0.25">
      <c r="A1714">
        <v>20130331</v>
      </c>
      <c r="B1714">
        <v>2013</v>
      </c>
      <c r="C1714">
        <v>3</v>
      </c>
      <c r="D1714">
        <v>1</v>
      </c>
      <c r="E1714">
        <v>10050</v>
      </c>
      <c r="F1714">
        <v>139079.63</v>
      </c>
      <c r="G1714">
        <v>0</v>
      </c>
      <c r="H1714">
        <v>0</v>
      </c>
      <c r="I1714">
        <v>0</v>
      </c>
      <c r="J1714">
        <v>0</v>
      </c>
      <c r="K1714">
        <v>0</v>
      </c>
      <c r="L1714">
        <v>38449405.950000003</v>
      </c>
      <c r="M1714">
        <v>39335419.560000002</v>
      </c>
      <c r="N1714">
        <v>38449405.950000003</v>
      </c>
      <c r="O1714">
        <v>39335419.560000002</v>
      </c>
      <c r="P1714">
        <v>33333334</v>
      </c>
      <c r="Q1714">
        <v>33333334</v>
      </c>
      <c r="R1714" s="14">
        <f>_xlfn.XLOOKUP(Table2[[#This Row],[LoanID]],Table1[G-L ID],Table1[ManagerCode],-99)</f>
        <v>103</v>
      </c>
      <c r="T1714"/>
    </row>
    <row r="1715" spans="1:20" x14ac:dyDescent="0.25">
      <c r="A1715">
        <v>20130331</v>
      </c>
      <c r="B1715">
        <v>2013</v>
      </c>
      <c r="C1715">
        <v>3</v>
      </c>
      <c r="D1715">
        <v>1</v>
      </c>
      <c r="E1715">
        <v>10060</v>
      </c>
      <c r="F1715">
        <v>120833.33</v>
      </c>
      <c r="G1715">
        <v>0</v>
      </c>
      <c r="H1715">
        <v>0</v>
      </c>
      <c r="I1715">
        <v>0</v>
      </c>
      <c r="J1715">
        <v>0</v>
      </c>
      <c r="K1715">
        <v>0</v>
      </c>
      <c r="L1715">
        <v>19863999.989999998</v>
      </c>
      <c r="M1715">
        <v>19873714.27</v>
      </c>
      <c r="N1715">
        <v>19863999.989999998</v>
      </c>
      <c r="O1715">
        <v>19873714.27</v>
      </c>
      <c r="P1715">
        <v>20000000</v>
      </c>
      <c r="Q1715">
        <v>20000000</v>
      </c>
      <c r="R1715" s="14">
        <f>_xlfn.XLOOKUP(Table2[[#This Row],[LoanID]],Table1[G-L ID],Table1[ManagerCode],-99)</f>
        <v>103</v>
      </c>
      <c r="T1715"/>
    </row>
    <row r="1716" spans="1:20" x14ac:dyDescent="0.25">
      <c r="A1716">
        <v>20130331</v>
      </c>
      <c r="B1716">
        <v>2013</v>
      </c>
      <c r="C1716">
        <v>3</v>
      </c>
      <c r="D1716">
        <v>1</v>
      </c>
      <c r="E1716">
        <v>10080</v>
      </c>
      <c r="F1716">
        <v>317070.83</v>
      </c>
      <c r="G1716">
        <v>0</v>
      </c>
      <c r="H1716">
        <v>0</v>
      </c>
      <c r="I1716">
        <v>-145.83000000000001</v>
      </c>
      <c r="J1716">
        <v>0</v>
      </c>
      <c r="K1716">
        <v>0</v>
      </c>
      <c r="L1716">
        <v>74249925.75</v>
      </c>
      <c r="M1716">
        <v>74249925.75</v>
      </c>
      <c r="N1716">
        <v>74249925.75</v>
      </c>
      <c r="O1716">
        <v>74249925.75</v>
      </c>
      <c r="P1716">
        <v>75000000</v>
      </c>
      <c r="Q1716">
        <v>75000000</v>
      </c>
      <c r="R1716" s="14">
        <f>_xlfn.XLOOKUP(Table2[[#This Row],[LoanID]],Table1[G-L ID],Table1[ManagerCode],-99)</f>
        <v>103</v>
      </c>
      <c r="T1716"/>
    </row>
    <row r="1717" spans="1:20" x14ac:dyDescent="0.25">
      <c r="A1717">
        <v>20130331</v>
      </c>
      <c r="B1717">
        <v>2013</v>
      </c>
      <c r="C1717">
        <v>3</v>
      </c>
      <c r="D1717">
        <v>1</v>
      </c>
      <c r="E1717">
        <v>10130</v>
      </c>
      <c r="F1717">
        <v>33611.050000000003</v>
      </c>
      <c r="G1717">
        <v>0</v>
      </c>
      <c r="H1717">
        <v>0</v>
      </c>
      <c r="I1717">
        <v>0</v>
      </c>
      <c r="J1717">
        <v>0</v>
      </c>
      <c r="K1717">
        <v>34079.64</v>
      </c>
      <c r="L1717">
        <v>7630153.8200000003</v>
      </c>
      <c r="M1717">
        <v>7524626.5199999996</v>
      </c>
      <c r="N1717">
        <v>7630153.8200000003</v>
      </c>
      <c r="O1717">
        <v>7524626.5199999996</v>
      </c>
      <c r="P1717">
        <v>7427856.96</v>
      </c>
      <c r="Q1717">
        <v>7393777.3200000003</v>
      </c>
      <c r="R1717" s="14">
        <f>_xlfn.XLOOKUP(Table2[[#This Row],[LoanID]],Table1[G-L ID],Table1[ManagerCode],-99)</f>
        <v>103</v>
      </c>
      <c r="T1717"/>
    </row>
    <row r="1718" spans="1:20" x14ac:dyDescent="0.25">
      <c r="A1718">
        <v>20130331</v>
      </c>
      <c r="B1718">
        <v>2013</v>
      </c>
      <c r="C1718">
        <v>3</v>
      </c>
      <c r="D1718">
        <v>1</v>
      </c>
      <c r="E1718">
        <v>10140</v>
      </c>
      <c r="F1718">
        <v>88699.96</v>
      </c>
      <c r="G1718">
        <v>0</v>
      </c>
      <c r="H1718">
        <v>0</v>
      </c>
      <c r="I1718">
        <v>0</v>
      </c>
      <c r="J1718">
        <v>0</v>
      </c>
      <c r="K1718">
        <v>89124.37</v>
      </c>
      <c r="L1718">
        <v>20135322.719999999</v>
      </c>
      <c r="M1718">
        <v>19858459.739999998</v>
      </c>
      <c r="N1718">
        <v>20135322.719999999</v>
      </c>
      <c r="O1718">
        <v>19858459.739999998</v>
      </c>
      <c r="P1718">
        <v>19602200.539999999</v>
      </c>
      <c r="Q1718">
        <v>19513076.170000002</v>
      </c>
      <c r="R1718" s="14">
        <f>_xlfn.XLOOKUP(Table2[[#This Row],[LoanID]],Table1[G-L ID],Table1[ManagerCode],-99)</f>
        <v>103</v>
      </c>
      <c r="T1718"/>
    </row>
    <row r="1719" spans="1:20" x14ac:dyDescent="0.25">
      <c r="A1719">
        <v>20130331</v>
      </c>
      <c r="B1719">
        <v>2013</v>
      </c>
      <c r="C1719">
        <v>3</v>
      </c>
      <c r="D1719">
        <v>1</v>
      </c>
      <c r="E1719">
        <v>10170</v>
      </c>
      <c r="F1719">
        <v>219589.76000000001</v>
      </c>
      <c r="G1719">
        <v>0</v>
      </c>
      <c r="H1719">
        <v>0</v>
      </c>
      <c r="I1719">
        <v>-1052.3499999999999</v>
      </c>
      <c r="J1719">
        <v>0</v>
      </c>
      <c r="K1719">
        <v>91697.47</v>
      </c>
      <c r="L1719">
        <v>48220258.700000003</v>
      </c>
      <c r="M1719">
        <v>47857073.479999997</v>
      </c>
      <c r="N1719">
        <v>48220258.700000003</v>
      </c>
      <c r="O1719">
        <v>47857073.479999997</v>
      </c>
      <c r="P1719">
        <v>45100590.109999999</v>
      </c>
      <c r="Q1719">
        <v>45008892.640000001</v>
      </c>
      <c r="R1719" s="14">
        <f>_xlfn.XLOOKUP(Table2[[#This Row],[LoanID]],Table1[G-L ID],Table1[ManagerCode],-99)</f>
        <v>103</v>
      </c>
      <c r="T1719"/>
    </row>
    <row r="1720" spans="1:20" x14ac:dyDescent="0.25">
      <c r="A1720">
        <v>20130331</v>
      </c>
      <c r="B1720">
        <v>2013</v>
      </c>
      <c r="C1720">
        <v>3</v>
      </c>
      <c r="D1720">
        <v>1</v>
      </c>
      <c r="E1720">
        <v>10210</v>
      </c>
      <c r="F1720">
        <v>52207.14</v>
      </c>
      <c r="G1720">
        <v>90909.28</v>
      </c>
      <c r="H1720">
        <v>0</v>
      </c>
      <c r="I1720">
        <v>0</v>
      </c>
      <c r="J1720">
        <v>0</v>
      </c>
      <c r="K1720">
        <v>0</v>
      </c>
      <c r="L1720">
        <v>11449313.789999999</v>
      </c>
      <c r="M1720">
        <v>11540223.07</v>
      </c>
      <c r="N1720">
        <v>11449313.789999999</v>
      </c>
      <c r="O1720">
        <v>11540223.07</v>
      </c>
      <c r="P1720">
        <v>11449313.789999999</v>
      </c>
      <c r="Q1720">
        <v>11540223.07</v>
      </c>
      <c r="R1720" s="14">
        <f>_xlfn.XLOOKUP(Table2[[#This Row],[LoanID]],Table1[G-L ID],Table1[ManagerCode],-99)</f>
        <v>183</v>
      </c>
      <c r="T1720"/>
    </row>
    <row r="1721" spans="1:20" x14ac:dyDescent="0.25">
      <c r="A1721">
        <v>20130331</v>
      </c>
      <c r="B1721">
        <v>2013</v>
      </c>
      <c r="C1721">
        <v>3</v>
      </c>
      <c r="D1721">
        <v>1</v>
      </c>
      <c r="E1721">
        <v>10220</v>
      </c>
      <c r="F1721">
        <v>505555.56</v>
      </c>
      <c r="G1721">
        <v>0</v>
      </c>
      <c r="H1721">
        <v>0</v>
      </c>
      <c r="I1721">
        <v>0</v>
      </c>
      <c r="J1721">
        <v>0</v>
      </c>
      <c r="K1721">
        <v>0</v>
      </c>
      <c r="L1721">
        <v>99000000</v>
      </c>
      <c r="M1721">
        <v>99000000</v>
      </c>
      <c r="N1721">
        <v>99000000</v>
      </c>
      <c r="O1721">
        <v>99000000</v>
      </c>
      <c r="P1721">
        <v>100000000</v>
      </c>
      <c r="Q1721">
        <v>100000000</v>
      </c>
      <c r="R1721" s="14">
        <f>_xlfn.XLOOKUP(Table2[[#This Row],[LoanID]],Table1[G-L ID],Table1[ManagerCode],-99)</f>
        <v>103</v>
      </c>
      <c r="T1721"/>
    </row>
    <row r="1722" spans="1:20" x14ac:dyDescent="0.25">
      <c r="A1722">
        <v>20130331</v>
      </c>
      <c r="B1722">
        <v>2013</v>
      </c>
      <c r="C1722">
        <v>3</v>
      </c>
      <c r="D1722">
        <v>1</v>
      </c>
      <c r="E1722">
        <v>10230</v>
      </c>
      <c r="F1722">
        <v>177536.16</v>
      </c>
      <c r="G1722">
        <v>0</v>
      </c>
      <c r="H1722">
        <v>0</v>
      </c>
      <c r="I1722">
        <v>0</v>
      </c>
      <c r="J1722">
        <v>0</v>
      </c>
      <c r="K1722">
        <v>64061.91</v>
      </c>
      <c r="L1722">
        <v>30088890.890000001</v>
      </c>
      <c r="M1722">
        <v>29967513.210000001</v>
      </c>
      <c r="N1722">
        <v>30088890.890000001</v>
      </c>
      <c r="O1722">
        <v>29967513.210000001</v>
      </c>
      <c r="P1722">
        <v>31608812.620000001</v>
      </c>
      <c r="Q1722">
        <v>31544750.710000001</v>
      </c>
      <c r="R1722" s="14">
        <f>_xlfn.XLOOKUP(Table2[[#This Row],[LoanID]],Table1[G-L ID],Table1[ManagerCode],-99)</f>
        <v>103</v>
      </c>
      <c r="T1722"/>
    </row>
    <row r="1723" spans="1:20" x14ac:dyDescent="0.25">
      <c r="A1723">
        <v>20130331</v>
      </c>
      <c r="B1723">
        <v>2013</v>
      </c>
      <c r="C1723">
        <v>3</v>
      </c>
      <c r="D1723">
        <v>1</v>
      </c>
      <c r="E1723">
        <v>10280</v>
      </c>
      <c r="F1723">
        <v>163856</v>
      </c>
      <c r="G1723">
        <v>0</v>
      </c>
      <c r="H1723">
        <v>0</v>
      </c>
      <c r="I1723">
        <v>-250</v>
      </c>
      <c r="J1723">
        <v>0</v>
      </c>
      <c r="K1723">
        <v>0</v>
      </c>
      <c r="L1723">
        <v>34377409.960000001</v>
      </c>
      <c r="M1723">
        <v>34650034.649999999</v>
      </c>
      <c r="N1723">
        <v>34377409.960000001</v>
      </c>
      <c r="O1723">
        <v>34650034.649999999</v>
      </c>
      <c r="P1723">
        <v>35000000</v>
      </c>
      <c r="Q1723">
        <v>35000000</v>
      </c>
      <c r="R1723" s="14">
        <f>_xlfn.XLOOKUP(Table2[[#This Row],[LoanID]],Table1[G-L ID],Table1[ManagerCode],-99)</f>
        <v>103</v>
      </c>
      <c r="T1723"/>
    </row>
    <row r="1724" spans="1:20" x14ac:dyDescent="0.25">
      <c r="A1724">
        <v>20130331</v>
      </c>
      <c r="B1724">
        <v>2013</v>
      </c>
      <c r="C1724">
        <v>3</v>
      </c>
      <c r="D1724">
        <v>1</v>
      </c>
      <c r="E1724">
        <v>10290</v>
      </c>
      <c r="F1724">
        <v>154723.32</v>
      </c>
      <c r="G1724">
        <v>0</v>
      </c>
      <c r="H1724">
        <v>0</v>
      </c>
      <c r="I1724">
        <v>0</v>
      </c>
      <c r="J1724">
        <v>0</v>
      </c>
      <c r="K1724">
        <v>0</v>
      </c>
      <c r="L1724">
        <v>23750000</v>
      </c>
      <c r="M1724">
        <v>23750000</v>
      </c>
      <c r="N1724">
        <v>23750000</v>
      </c>
      <c r="O1724">
        <v>23750000</v>
      </c>
      <c r="P1724">
        <v>25000000</v>
      </c>
      <c r="Q1724">
        <v>25000000</v>
      </c>
      <c r="R1724" s="14">
        <f>_xlfn.XLOOKUP(Table2[[#This Row],[LoanID]],Table1[G-L ID],Table1[ManagerCode],-99)</f>
        <v>103</v>
      </c>
      <c r="T1724"/>
    </row>
    <row r="1725" spans="1:20" x14ac:dyDescent="0.25">
      <c r="A1725">
        <v>20130331</v>
      </c>
      <c r="B1725">
        <v>2013</v>
      </c>
      <c r="C1725">
        <v>3</v>
      </c>
      <c r="D1725">
        <v>1</v>
      </c>
      <c r="E1725">
        <v>10300</v>
      </c>
      <c r="F1725">
        <v>135382.64000000001</v>
      </c>
      <c r="G1725">
        <v>0</v>
      </c>
      <c r="H1725">
        <v>0</v>
      </c>
      <c r="I1725">
        <v>0</v>
      </c>
      <c r="J1725">
        <v>0</v>
      </c>
      <c r="K1725">
        <v>0</v>
      </c>
      <c r="L1725">
        <v>37191616.649999999</v>
      </c>
      <c r="M1725">
        <v>38355050.479999997</v>
      </c>
      <c r="N1725">
        <v>37191616.649999999</v>
      </c>
      <c r="O1725">
        <v>38355050.479999997</v>
      </c>
      <c r="P1725">
        <v>35000000</v>
      </c>
      <c r="Q1725">
        <v>35000000</v>
      </c>
      <c r="R1725" s="14">
        <f>_xlfn.XLOOKUP(Table2[[#This Row],[LoanID]],Table1[G-L ID],Table1[ManagerCode],-99)</f>
        <v>103</v>
      </c>
      <c r="T1725"/>
    </row>
    <row r="1726" spans="1:20" x14ac:dyDescent="0.25">
      <c r="A1726">
        <v>20130331</v>
      </c>
      <c r="B1726">
        <v>2013</v>
      </c>
      <c r="C1726">
        <v>3</v>
      </c>
      <c r="D1726">
        <v>1</v>
      </c>
      <c r="E1726">
        <v>10310</v>
      </c>
      <c r="F1726">
        <v>98544.77</v>
      </c>
      <c r="G1726">
        <v>0</v>
      </c>
      <c r="H1726">
        <v>0</v>
      </c>
      <c r="I1726">
        <v>0</v>
      </c>
      <c r="J1726">
        <v>-399993.28</v>
      </c>
      <c r="K1726">
        <v>23158</v>
      </c>
      <c r="L1726">
        <v>14444741.720000001</v>
      </c>
      <c r="M1726">
        <v>14821577</v>
      </c>
      <c r="N1726">
        <v>14444741.720000001</v>
      </c>
      <c r="O1726">
        <v>14821577</v>
      </c>
      <c r="P1726">
        <v>14444741.720000001</v>
      </c>
      <c r="Q1726">
        <v>14821577</v>
      </c>
      <c r="R1726" s="14">
        <f>_xlfn.XLOOKUP(Table2[[#This Row],[LoanID]],Table1[G-L ID],Table1[ManagerCode],-99)</f>
        <v>183</v>
      </c>
      <c r="T1726"/>
    </row>
    <row r="1727" spans="1:20" x14ac:dyDescent="0.25">
      <c r="A1727">
        <v>20130331</v>
      </c>
      <c r="B1727">
        <v>2013</v>
      </c>
      <c r="C1727">
        <v>3</v>
      </c>
      <c r="D1727">
        <v>1</v>
      </c>
      <c r="E1727">
        <v>10370</v>
      </c>
      <c r="F1727">
        <v>3697.54</v>
      </c>
      <c r="G1727">
        <v>0</v>
      </c>
      <c r="H1727">
        <v>0</v>
      </c>
      <c r="I1727">
        <v>0</v>
      </c>
      <c r="J1727">
        <v>0</v>
      </c>
      <c r="K1727">
        <v>43719.22</v>
      </c>
      <c r="L1727">
        <v>2340840.5499999998</v>
      </c>
      <c r="M1727">
        <v>2262692.8199999998</v>
      </c>
      <c r="N1727">
        <v>2340840.5499999998</v>
      </c>
      <c r="O1727">
        <v>2262692.8199999998</v>
      </c>
      <c r="P1727">
        <v>2425501.14</v>
      </c>
      <c r="Q1727">
        <v>2381781.92</v>
      </c>
      <c r="R1727" s="14">
        <f>_xlfn.XLOOKUP(Table2[[#This Row],[LoanID]],Table1[G-L ID],Table1[ManagerCode],-99)</f>
        <v>103</v>
      </c>
      <c r="T1727"/>
    </row>
    <row r="1728" spans="1:20" x14ac:dyDescent="0.25">
      <c r="A1728">
        <v>20130331</v>
      </c>
      <c r="B1728">
        <v>2013</v>
      </c>
      <c r="C1728">
        <v>3</v>
      </c>
      <c r="D1728">
        <v>1</v>
      </c>
      <c r="E1728">
        <v>10390</v>
      </c>
      <c r="F1728">
        <v>118750</v>
      </c>
      <c r="G1728">
        <v>0</v>
      </c>
      <c r="H1728">
        <v>0</v>
      </c>
      <c r="I1728">
        <v>0</v>
      </c>
      <c r="J1728">
        <v>0</v>
      </c>
      <c r="K1728">
        <v>0</v>
      </c>
      <c r="L1728">
        <v>23750000</v>
      </c>
      <c r="M1728">
        <v>23750000</v>
      </c>
      <c r="N1728">
        <v>23750000</v>
      </c>
      <c r="O1728">
        <v>23750000</v>
      </c>
      <c r="P1728">
        <v>24997142.75</v>
      </c>
      <c r="Q1728">
        <v>24997346.829999998</v>
      </c>
      <c r="R1728" s="14">
        <f>_xlfn.XLOOKUP(Table2[[#This Row],[LoanID]],Table1[G-L ID],Table1[ManagerCode],-99)</f>
        <v>103</v>
      </c>
      <c r="T1728"/>
    </row>
    <row r="1729" spans="1:20" x14ac:dyDescent="0.25">
      <c r="A1729">
        <v>20130331</v>
      </c>
      <c r="B1729">
        <v>2013</v>
      </c>
      <c r="C1729">
        <v>3</v>
      </c>
      <c r="D1729">
        <v>1</v>
      </c>
      <c r="E1729">
        <v>10400</v>
      </c>
      <c r="F1729">
        <v>372750</v>
      </c>
      <c r="G1729">
        <v>0</v>
      </c>
      <c r="H1729">
        <v>0</v>
      </c>
      <c r="I1729">
        <v>0</v>
      </c>
      <c r="J1729">
        <v>0</v>
      </c>
      <c r="K1729">
        <v>0</v>
      </c>
      <c r="L1729">
        <v>45000000</v>
      </c>
      <c r="M1729">
        <v>45000000</v>
      </c>
      <c r="N1729">
        <v>45000000</v>
      </c>
      <c r="O1729">
        <v>45000000</v>
      </c>
      <c r="P1729">
        <v>45000000</v>
      </c>
      <c r="Q1729">
        <v>45000000</v>
      </c>
      <c r="R1729" s="14">
        <f>_xlfn.XLOOKUP(Table2[[#This Row],[LoanID]],Table1[G-L ID],Table1[ManagerCode],-99)</f>
        <v>220</v>
      </c>
      <c r="T1729"/>
    </row>
    <row r="1730" spans="1:20" x14ac:dyDescent="0.25">
      <c r="A1730">
        <v>20130331</v>
      </c>
      <c r="B1730">
        <v>2013</v>
      </c>
      <c r="C1730">
        <v>3</v>
      </c>
      <c r="D1730">
        <v>1</v>
      </c>
      <c r="E1730">
        <v>10460</v>
      </c>
      <c r="F1730">
        <v>0</v>
      </c>
      <c r="G1730">
        <v>0</v>
      </c>
      <c r="H1730">
        <v>0</v>
      </c>
      <c r="I1730">
        <v>0</v>
      </c>
      <c r="J1730">
        <v>-25000000</v>
      </c>
      <c r="K1730">
        <v>0</v>
      </c>
      <c r="L1730">
        <v>0</v>
      </c>
      <c r="M1730">
        <v>25643534.829999998</v>
      </c>
      <c r="N1730">
        <v>0</v>
      </c>
      <c r="O1730">
        <v>25643534.829999998</v>
      </c>
      <c r="P1730">
        <v>0.01</v>
      </c>
      <c r="Q1730">
        <v>25000000.010000002</v>
      </c>
      <c r="R1730" s="14">
        <f>_xlfn.XLOOKUP(Table2[[#This Row],[LoanID]],Table1[G-L ID],Table1[ManagerCode],-99)</f>
        <v>103</v>
      </c>
      <c r="T1730"/>
    </row>
    <row r="1731" spans="1:20" x14ac:dyDescent="0.25">
      <c r="A1731">
        <v>20130331</v>
      </c>
      <c r="B1731">
        <v>2013</v>
      </c>
      <c r="C1731">
        <v>3</v>
      </c>
      <c r="D1731">
        <v>1</v>
      </c>
      <c r="E1731">
        <v>10490</v>
      </c>
      <c r="F1731">
        <v>143195.71</v>
      </c>
      <c r="G1731">
        <v>0</v>
      </c>
      <c r="H1731">
        <v>0</v>
      </c>
      <c r="I1731">
        <v>0</v>
      </c>
      <c r="J1731">
        <v>0</v>
      </c>
      <c r="K1731">
        <v>0</v>
      </c>
      <c r="L1731">
        <v>17534168</v>
      </c>
      <c r="M1731">
        <v>17534168</v>
      </c>
      <c r="N1731">
        <v>17534168</v>
      </c>
      <c r="O1731">
        <v>17534168</v>
      </c>
      <c r="P1731">
        <v>17534168</v>
      </c>
      <c r="Q1731">
        <v>17534168</v>
      </c>
      <c r="R1731" s="14">
        <f>_xlfn.XLOOKUP(Table2[[#This Row],[LoanID]],Table1[G-L ID],Table1[ManagerCode],-99)</f>
        <v>220</v>
      </c>
      <c r="T1731"/>
    </row>
    <row r="1732" spans="1:20" x14ac:dyDescent="0.25">
      <c r="A1732">
        <v>20130331</v>
      </c>
      <c r="B1732">
        <v>2013</v>
      </c>
      <c r="C1732">
        <v>3</v>
      </c>
      <c r="D1732">
        <v>1</v>
      </c>
      <c r="E1732">
        <v>10550</v>
      </c>
      <c r="F1732">
        <v>12433.28</v>
      </c>
      <c r="G1732">
        <v>0</v>
      </c>
      <c r="H1732">
        <v>0</v>
      </c>
      <c r="I1732">
        <v>-7.07</v>
      </c>
      <c r="J1732">
        <v>0</v>
      </c>
      <c r="K1732">
        <v>668986.84</v>
      </c>
      <c r="L1732">
        <v>2600899.96</v>
      </c>
      <c r="M1732">
        <v>1928827.37</v>
      </c>
      <c r="N1732">
        <v>2600899.96</v>
      </c>
      <c r="O1732">
        <v>1928827.37</v>
      </c>
      <c r="P1732">
        <v>2597814.21</v>
      </c>
      <c r="Q1732">
        <v>1928827.37</v>
      </c>
      <c r="R1732" s="14">
        <f>_xlfn.XLOOKUP(Table2[[#This Row],[LoanID]],Table1[G-L ID],Table1[ManagerCode],-99)</f>
        <v>103</v>
      </c>
      <c r="T1732"/>
    </row>
    <row r="1733" spans="1:20" x14ac:dyDescent="0.25">
      <c r="A1733">
        <v>20130331</v>
      </c>
      <c r="B1733">
        <v>2013</v>
      </c>
      <c r="C1733">
        <v>3</v>
      </c>
      <c r="D1733">
        <v>1</v>
      </c>
      <c r="E1733">
        <v>10560</v>
      </c>
      <c r="F1733">
        <v>306687.65000000002</v>
      </c>
      <c r="G1733">
        <v>0</v>
      </c>
      <c r="H1733">
        <v>0</v>
      </c>
      <c r="I1733">
        <v>-174.44</v>
      </c>
      <c r="J1733">
        <v>0</v>
      </c>
      <c r="K1733">
        <v>16501675.289999999</v>
      </c>
      <c r="L1733">
        <v>64155532.25</v>
      </c>
      <c r="M1733">
        <v>47577741.850000001</v>
      </c>
      <c r="N1733">
        <v>64155532.25</v>
      </c>
      <c r="O1733">
        <v>47577741.850000001</v>
      </c>
      <c r="P1733">
        <v>64079416.850000001</v>
      </c>
      <c r="Q1733">
        <v>47577741.560000002</v>
      </c>
      <c r="R1733" s="14">
        <f>_xlfn.XLOOKUP(Table2[[#This Row],[LoanID]],Table1[G-L ID],Table1[ManagerCode],-99)</f>
        <v>103</v>
      </c>
      <c r="T1733"/>
    </row>
    <row r="1734" spans="1:20" x14ac:dyDescent="0.25">
      <c r="A1734">
        <v>20130331</v>
      </c>
      <c r="B1734">
        <v>2013</v>
      </c>
      <c r="C1734">
        <v>3</v>
      </c>
      <c r="D1734">
        <v>1</v>
      </c>
      <c r="E1734">
        <v>10591</v>
      </c>
      <c r="F1734">
        <v>29760.79</v>
      </c>
      <c r="G1734">
        <v>0</v>
      </c>
      <c r="H1734">
        <v>196875</v>
      </c>
      <c r="I1734">
        <v>0</v>
      </c>
      <c r="J1734">
        <v>-26250000</v>
      </c>
      <c r="K1734">
        <v>0</v>
      </c>
      <c r="L1734">
        <v>0</v>
      </c>
      <c r="M1734">
        <v>26250000</v>
      </c>
      <c r="N1734">
        <v>0</v>
      </c>
      <c r="O1734">
        <v>26250000</v>
      </c>
      <c r="P1734">
        <v>0</v>
      </c>
      <c r="Q1734">
        <v>26250000</v>
      </c>
      <c r="R1734" s="14">
        <f>_xlfn.XLOOKUP(Table2[[#This Row],[LoanID]],Table1[G-L ID],Table1[ManagerCode],-99)</f>
        <v>220</v>
      </c>
      <c r="T1734"/>
    </row>
    <row r="1735" spans="1:20" x14ac:dyDescent="0.25">
      <c r="A1735">
        <v>20130331</v>
      </c>
      <c r="B1735">
        <v>2013</v>
      </c>
      <c r="C1735">
        <v>3</v>
      </c>
      <c r="D1735">
        <v>1</v>
      </c>
      <c r="E1735">
        <v>10592</v>
      </c>
      <c r="F1735">
        <v>49357.599999999999</v>
      </c>
      <c r="G1735">
        <v>0</v>
      </c>
      <c r="H1735">
        <v>290625</v>
      </c>
      <c r="I1735">
        <v>0</v>
      </c>
      <c r="J1735">
        <v>-38750000</v>
      </c>
      <c r="K1735">
        <v>0</v>
      </c>
      <c r="L1735">
        <v>0</v>
      </c>
      <c r="M1735">
        <v>38750000</v>
      </c>
      <c r="N1735">
        <v>0</v>
      </c>
      <c r="O1735">
        <v>38750000</v>
      </c>
      <c r="P1735">
        <v>0</v>
      </c>
      <c r="Q1735">
        <v>38750000</v>
      </c>
      <c r="R1735" s="14">
        <f>_xlfn.XLOOKUP(Table2[[#This Row],[LoanID]],Table1[G-L ID],Table1[ManagerCode],-99)</f>
        <v>220</v>
      </c>
      <c r="T1735"/>
    </row>
    <row r="1736" spans="1:20" x14ac:dyDescent="0.25">
      <c r="A1736">
        <v>20130331</v>
      </c>
      <c r="B1736">
        <v>2013</v>
      </c>
      <c r="C1736">
        <v>3</v>
      </c>
      <c r="D1736">
        <v>1</v>
      </c>
      <c r="E1736">
        <v>10630</v>
      </c>
      <c r="F1736">
        <v>47914.49</v>
      </c>
      <c r="G1736">
        <v>0</v>
      </c>
      <c r="H1736">
        <v>0</v>
      </c>
      <c r="I1736">
        <v>0</v>
      </c>
      <c r="J1736">
        <v>0</v>
      </c>
      <c r="K1736">
        <v>14701.59</v>
      </c>
      <c r="L1736">
        <v>9308480.5800000001</v>
      </c>
      <c r="M1736">
        <v>9239058.2699999996</v>
      </c>
      <c r="N1736">
        <v>9308480.5800000001</v>
      </c>
      <c r="O1736">
        <v>9239058.2699999996</v>
      </c>
      <c r="P1736">
        <v>8969952.0700000003</v>
      </c>
      <c r="Q1736">
        <v>8955250.4800000004</v>
      </c>
      <c r="R1736" s="14">
        <f>_xlfn.XLOOKUP(Table2[[#This Row],[LoanID]],Table1[G-L ID],Table1[ManagerCode],-99)</f>
        <v>103</v>
      </c>
      <c r="T1736"/>
    </row>
    <row r="1737" spans="1:20" x14ac:dyDescent="0.25">
      <c r="A1737">
        <v>20130331</v>
      </c>
      <c r="B1737">
        <v>2013</v>
      </c>
      <c r="C1737">
        <v>3</v>
      </c>
      <c r="D1737">
        <v>1</v>
      </c>
      <c r="E1737">
        <v>10690</v>
      </c>
      <c r="F1737">
        <v>17125.59</v>
      </c>
      <c r="G1737">
        <v>15863.58</v>
      </c>
      <c r="H1737">
        <v>0</v>
      </c>
      <c r="I1737">
        <v>0</v>
      </c>
      <c r="J1737">
        <v>-1269772.49</v>
      </c>
      <c r="K1737">
        <v>0</v>
      </c>
      <c r="L1737">
        <v>3033265.86</v>
      </c>
      <c r="M1737">
        <v>4318901.93</v>
      </c>
      <c r="N1737">
        <v>3033265.86</v>
      </c>
      <c r="O1737">
        <v>4318901.93</v>
      </c>
      <c r="P1737">
        <v>3033265.86</v>
      </c>
      <c r="Q1737">
        <v>4318901.93</v>
      </c>
      <c r="R1737" s="14">
        <f>_xlfn.XLOOKUP(Table2[[#This Row],[LoanID]],Table1[G-L ID],Table1[ManagerCode],-99)</f>
        <v>183</v>
      </c>
      <c r="T1737"/>
    </row>
    <row r="1738" spans="1:20" x14ac:dyDescent="0.25">
      <c r="A1738">
        <v>20130331</v>
      </c>
      <c r="B1738">
        <v>2013</v>
      </c>
      <c r="C1738">
        <v>3</v>
      </c>
      <c r="D1738">
        <v>1</v>
      </c>
      <c r="E1738">
        <v>10820</v>
      </c>
      <c r="F1738">
        <v>158102.25</v>
      </c>
      <c r="G1738">
        <v>0</v>
      </c>
      <c r="H1738">
        <v>0</v>
      </c>
      <c r="I1738">
        <v>0</v>
      </c>
      <c r="J1738">
        <v>0</v>
      </c>
      <c r="K1738">
        <v>0</v>
      </c>
      <c r="L1738">
        <v>21397297</v>
      </c>
      <c r="M1738">
        <v>21397297</v>
      </c>
      <c r="N1738">
        <v>21397297</v>
      </c>
      <c r="O1738">
        <v>21397297</v>
      </c>
      <c r="P1738">
        <v>21397297</v>
      </c>
      <c r="Q1738">
        <v>21397297</v>
      </c>
      <c r="R1738" s="14">
        <f>_xlfn.XLOOKUP(Table2[[#This Row],[LoanID]],Table1[G-L ID],Table1[ManagerCode],-99)</f>
        <v>220</v>
      </c>
      <c r="T1738"/>
    </row>
    <row r="1739" spans="1:20" x14ac:dyDescent="0.25">
      <c r="A1739">
        <v>20130331</v>
      </c>
      <c r="B1739">
        <v>2013</v>
      </c>
      <c r="C1739">
        <v>3</v>
      </c>
      <c r="D1739">
        <v>1</v>
      </c>
      <c r="E1739">
        <v>10830</v>
      </c>
      <c r="F1739">
        <v>51586.43</v>
      </c>
      <c r="G1739">
        <v>0</v>
      </c>
      <c r="H1739">
        <v>0</v>
      </c>
      <c r="I1739">
        <v>0</v>
      </c>
      <c r="J1739">
        <v>0</v>
      </c>
      <c r="K1739">
        <v>0</v>
      </c>
      <c r="L1739">
        <v>6981622</v>
      </c>
      <c r="M1739">
        <v>6981622</v>
      </c>
      <c r="N1739">
        <v>6981622</v>
      </c>
      <c r="O1739">
        <v>6981622</v>
      </c>
      <c r="P1739">
        <v>6981622</v>
      </c>
      <c r="Q1739">
        <v>6981622</v>
      </c>
      <c r="R1739" s="14">
        <f>_xlfn.XLOOKUP(Table2[[#This Row],[LoanID]],Table1[G-L ID],Table1[ManagerCode],-99)</f>
        <v>220</v>
      </c>
      <c r="T1739"/>
    </row>
    <row r="1740" spans="1:20" x14ac:dyDescent="0.25">
      <c r="A1740">
        <v>20130331</v>
      </c>
      <c r="B1740">
        <v>2013</v>
      </c>
      <c r="C1740">
        <v>3</v>
      </c>
      <c r="D1740">
        <v>1</v>
      </c>
      <c r="E1740">
        <v>10840</v>
      </c>
      <c r="F1740">
        <v>93906.79</v>
      </c>
      <c r="G1740">
        <v>0</v>
      </c>
      <c r="H1740">
        <v>0</v>
      </c>
      <c r="I1740">
        <v>0</v>
      </c>
      <c r="J1740">
        <v>0</v>
      </c>
      <c r="K1740">
        <v>0</v>
      </c>
      <c r="L1740">
        <v>12709189</v>
      </c>
      <c r="M1740">
        <v>12709189</v>
      </c>
      <c r="N1740">
        <v>12709189</v>
      </c>
      <c r="O1740">
        <v>12709189</v>
      </c>
      <c r="P1740">
        <v>12709189</v>
      </c>
      <c r="Q1740">
        <v>12709189</v>
      </c>
      <c r="R1740" s="14">
        <f>_xlfn.XLOOKUP(Table2[[#This Row],[LoanID]],Table1[G-L ID],Table1[ManagerCode],-99)</f>
        <v>220</v>
      </c>
      <c r="T1740"/>
    </row>
    <row r="1741" spans="1:20" x14ac:dyDescent="0.25">
      <c r="A1741">
        <v>20130331</v>
      </c>
      <c r="B1741">
        <v>2013</v>
      </c>
      <c r="C1741">
        <v>3</v>
      </c>
      <c r="D1741">
        <v>1</v>
      </c>
      <c r="E1741">
        <v>10850</v>
      </c>
      <c r="F1741">
        <v>99837.87</v>
      </c>
      <c r="G1741">
        <v>0</v>
      </c>
      <c r="H1741">
        <v>0</v>
      </c>
      <c r="I1741">
        <v>0</v>
      </c>
      <c r="J1741">
        <v>0</v>
      </c>
      <c r="K1741">
        <v>0</v>
      </c>
      <c r="L1741">
        <v>13511892</v>
      </c>
      <c r="M1741">
        <v>13511892</v>
      </c>
      <c r="N1741">
        <v>13511892</v>
      </c>
      <c r="O1741">
        <v>13511892</v>
      </c>
      <c r="P1741">
        <v>13511892</v>
      </c>
      <c r="Q1741">
        <v>13511892</v>
      </c>
      <c r="R1741" s="14">
        <f>_xlfn.XLOOKUP(Table2[[#This Row],[LoanID]],Table1[G-L ID],Table1[ManagerCode],-99)</f>
        <v>220</v>
      </c>
      <c r="T1741"/>
    </row>
    <row r="1742" spans="1:20" x14ac:dyDescent="0.25">
      <c r="A1742">
        <v>20130331</v>
      </c>
      <c r="B1742">
        <v>2013</v>
      </c>
      <c r="C1742">
        <v>3</v>
      </c>
      <c r="D1742">
        <v>1</v>
      </c>
      <c r="E1742">
        <v>10880</v>
      </c>
      <c r="F1742">
        <v>266594.28000000003</v>
      </c>
      <c r="G1742">
        <v>0</v>
      </c>
      <c r="H1742">
        <v>0</v>
      </c>
      <c r="I1742">
        <v>0</v>
      </c>
      <c r="J1742">
        <v>0</v>
      </c>
      <c r="K1742">
        <v>0</v>
      </c>
      <c r="L1742">
        <v>199727153.09999999</v>
      </c>
      <c r="M1742">
        <v>199128907.80000001</v>
      </c>
      <c r="N1742">
        <v>199727153.09999999</v>
      </c>
      <c r="O1742">
        <v>199128907.80000001</v>
      </c>
      <c r="P1742">
        <v>201744599.09999999</v>
      </c>
      <c r="Q1742">
        <v>201744599.09999999</v>
      </c>
      <c r="R1742" s="14">
        <f>_xlfn.XLOOKUP(Table2[[#This Row],[LoanID]],Table1[G-L ID],Table1[ManagerCode],-99)</f>
        <v>103</v>
      </c>
      <c r="T1742"/>
    </row>
    <row r="1743" spans="1:20" x14ac:dyDescent="0.25">
      <c r="A1743">
        <v>20130331</v>
      </c>
      <c r="B1743">
        <v>2013</v>
      </c>
      <c r="C1743">
        <v>3</v>
      </c>
      <c r="D1743">
        <v>1</v>
      </c>
      <c r="E1743">
        <v>10900</v>
      </c>
      <c r="F1743">
        <v>73536.19</v>
      </c>
      <c r="G1743">
        <v>0</v>
      </c>
      <c r="H1743">
        <v>0</v>
      </c>
      <c r="I1743">
        <v>0</v>
      </c>
      <c r="J1743">
        <v>0</v>
      </c>
      <c r="K1743">
        <v>10080.870000000001</v>
      </c>
      <c r="L1743">
        <v>8167454.0700000003</v>
      </c>
      <c r="M1743">
        <v>8155805</v>
      </c>
      <c r="N1743">
        <v>8167454.0700000003</v>
      </c>
      <c r="O1743">
        <v>8155805</v>
      </c>
      <c r="P1743">
        <v>8595138.75</v>
      </c>
      <c r="Q1743">
        <v>8585057.8800000008</v>
      </c>
      <c r="R1743" s="14">
        <f>_xlfn.XLOOKUP(Table2[[#This Row],[LoanID]],Table1[G-L ID],Table1[ManagerCode],-99)</f>
        <v>103</v>
      </c>
      <c r="T1743"/>
    </row>
    <row r="1744" spans="1:20" x14ac:dyDescent="0.25">
      <c r="A1744">
        <v>20130331</v>
      </c>
      <c r="B1744">
        <v>2013</v>
      </c>
      <c r="C1744">
        <v>3</v>
      </c>
      <c r="D1744">
        <v>1</v>
      </c>
      <c r="E1744">
        <v>10920</v>
      </c>
      <c r="F1744">
        <v>114583.33</v>
      </c>
      <c r="G1744">
        <v>0</v>
      </c>
      <c r="H1744">
        <v>0</v>
      </c>
      <c r="I1744">
        <v>0</v>
      </c>
      <c r="J1744">
        <v>0</v>
      </c>
      <c r="K1744">
        <v>0</v>
      </c>
      <c r="L1744">
        <v>11000000</v>
      </c>
      <c r="M1744">
        <v>11000000</v>
      </c>
      <c r="N1744">
        <v>11000000</v>
      </c>
      <c r="O1744">
        <v>11000000</v>
      </c>
      <c r="P1744">
        <v>11000000</v>
      </c>
      <c r="Q1744">
        <v>11000000</v>
      </c>
      <c r="R1744" s="14">
        <f>_xlfn.XLOOKUP(Table2[[#This Row],[LoanID]],Table1[G-L ID],Table1[ManagerCode],-99)</f>
        <v>183</v>
      </c>
      <c r="T1744"/>
    </row>
    <row r="1745" spans="1:20" x14ac:dyDescent="0.25">
      <c r="A1745">
        <v>20130331</v>
      </c>
      <c r="B1745">
        <v>2013</v>
      </c>
      <c r="C1745">
        <v>3</v>
      </c>
      <c r="D1745">
        <v>1</v>
      </c>
      <c r="E1745">
        <v>10950</v>
      </c>
      <c r="F1745">
        <v>51633.8</v>
      </c>
      <c r="G1745">
        <v>0</v>
      </c>
      <c r="H1745">
        <v>0</v>
      </c>
      <c r="I1745">
        <v>0</v>
      </c>
      <c r="J1745">
        <v>0</v>
      </c>
      <c r="K1745">
        <v>25389.22</v>
      </c>
      <c r="L1745">
        <v>10317117.43</v>
      </c>
      <c r="M1745">
        <v>10266970.99</v>
      </c>
      <c r="N1745">
        <v>10317117.43</v>
      </c>
      <c r="O1745">
        <v>10266970.99</v>
      </c>
      <c r="P1745">
        <v>10396066.99</v>
      </c>
      <c r="Q1745">
        <v>10370677.77</v>
      </c>
      <c r="R1745" s="14">
        <f>_xlfn.XLOOKUP(Table2[[#This Row],[LoanID]],Table1[G-L ID],Table1[ManagerCode],-99)</f>
        <v>103</v>
      </c>
      <c r="T1745"/>
    </row>
    <row r="1746" spans="1:20" x14ac:dyDescent="0.25">
      <c r="A1746">
        <v>20130331</v>
      </c>
      <c r="B1746">
        <v>2013</v>
      </c>
      <c r="C1746">
        <v>3</v>
      </c>
      <c r="D1746">
        <v>1</v>
      </c>
      <c r="E1746">
        <v>10980</v>
      </c>
      <c r="F1746">
        <v>148791.93</v>
      </c>
      <c r="G1746">
        <v>18302.5</v>
      </c>
      <c r="H1746">
        <v>0</v>
      </c>
      <c r="I1746">
        <v>0</v>
      </c>
      <c r="J1746">
        <v>-144115.35999999999</v>
      </c>
      <c r="K1746">
        <v>0</v>
      </c>
      <c r="L1746">
        <v>21590233.25</v>
      </c>
      <c r="M1746">
        <v>21752651.109999999</v>
      </c>
      <c r="N1746">
        <v>21590233.25</v>
      </c>
      <c r="O1746">
        <v>21752651.109999999</v>
      </c>
      <c r="P1746">
        <v>21590233.25</v>
      </c>
      <c r="Q1746">
        <v>21752651.109999999</v>
      </c>
      <c r="R1746" s="14">
        <f>_xlfn.XLOOKUP(Table2[[#This Row],[LoanID]],Table1[G-L ID],Table1[ManagerCode],-99)</f>
        <v>183</v>
      </c>
      <c r="T1746"/>
    </row>
    <row r="1747" spans="1:20" x14ac:dyDescent="0.25">
      <c r="A1747">
        <v>20130331</v>
      </c>
      <c r="B1747">
        <v>2013</v>
      </c>
      <c r="C1747">
        <v>3</v>
      </c>
      <c r="D1747">
        <v>1</v>
      </c>
      <c r="E1747">
        <v>11020</v>
      </c>
      <c r="F1747">
        <v>0</v>
      </c>
      <c r="G1747">
        <v>0</v>
      </c>
      <c r="H1747">
        <v>0</v>
      </c>
      <c r="I1747">
        <v>0</v>
      </c>
      <c r="J1747">
        <v>0</v>
      </c>
      <c r="K1747">
        <v>0</v>
      </c>
      <c r="L1747">
        <v>12000000</v>
      </c>
      <c r="M1747">
        <v>12000000</v>
      </c>
      <c r="N1747">
        <v>12000000</v>
      </c>
      <c r="O1747">
        <v>12000000</v>
      </c>
      <c r="P1747">
        <v>12000000</v>
      </c>
      <c r="Q1747">
        <v>12000000</v>
      </c>
      <c r="R1747" s="14">
        <f>_xlfn.XLOOKUP(Table2[[#This Row],[LoanID]],Table1[G-L ID],Table1[ManagerCode],-99)</f>
        <v>119</v>
      </c>
      <c r="T1747"/>
    </row>
    <row r="1748" spans="1:20" x14ac:dyDescent="0.25">
      <c r="A1748">
        <v>20130331</v>
      </c>
      <c r="B1748">
        <v>2013</v>
      </c>
      <c r="C1748">
        <v>3</v>
      </c>
      <c r="D1748">
        <v>1</v>
      </c>
      <c r="E1748">
        <v>11050</v>
      </c>
      <c r="F1748">
        <v>77291</v>
      </c>
      <c r="G1748">
        <v>0</v>
      </c>
      <c r="H1748">
        <v>0</v>
      </c>
      <c r="I1748">
        <v>0</v>
      </c>
      <c r="J1748">
        <v>-2707811.19</v>
      </c>
      <c r="K1748">
        <v>0</v>
      </c>
      <c r="L1748">
        <v>9843543.9900000002</v>
      </c>
      <c r="M1748">
        <v>12551355.18</v>
      </c>
      <c r="N1748">
        <v>9843543.9900000002</v>
      </c>
      <c r="O1748">
        <v>12551355.18</v>
      </c>
      <c r="P1748">
        <v>9843543.9900000002</v>
      </c>
      <c r="Q1748">
        <v>12551355.18</v>
      </c>
      <c r="R1748" s="14">
        <f>_xlfn.XLOOKUP(Table2[[#This Row],[LoanID]],Table1[G-L ID],Table1[ManagerCode],-99)</f>
        <v>220</v>
      </c>
      <c r="T1748"/>
    </row>
    <row r="1749" spans="1:20" x14ac:dyDescent="0.25">
      <c r="A1749">
        <v>20130331</v>
      </c>
      <c r="B1749">
        <v>2013</v>
      </c>
      <c r="C1749">
        <v>3</v>
      </c>
      <c r="D1749">
        <v>1</v>
      </c>
      <c r="E1749">
        <v>11070</v>
      </c>
      <c r="F1749">
        <v>146084.22</v>
      </c>
      <c r="G1749">
        <v>0</v>
      </c>
      <c r="H1749">
        <v>0</v>
      </c>
      <c r="I1749">
        <v>0</v>
      </c>
      <c r="J1749">
        <v>0</v>
      </c>
      <c r="K1749">
        <v>48928.99</v>
      </c>
      <c r="L1749">
        <v>14024099.25</v>
      </c>
      <c r="M1749">
        <v>13970227.960000001</v>
      </c>
      <c r="N1749">
        <v>14024099.25</v>
      </c>
      <c r="O1749">
        <v>13970227.960000001</v>
      </c>
      <c r="P1749">
        <v>17511696.48</v>
      </c>
      <c r="Q1749">
        <v>17462767.489999998</v>
      </c>
      <c r="R1749" s="14">
        <f>_xlfn.XLOOKUP(Table2[[#This Row],[LoanID]],Table1[G-L ID],Table1[ManagerCode],-99)</f>
        <v>103</v>
      </c>
      <c r="T1749"/>
    </row>
    <row r="1750" spans="1:20" x14ac:dyDescent="0.25">
      <c r="A1750">
        <v>20130331</v>
      </c>
      <c r="B1750">
        <v>2013</v>
      </c>
      <c r="C1750">
        <v>3</v>
      </c>
      <c r="D1750">
        <v>1</v>
      </c>
      <c r="E1750">
        <v>11110</v>
      </c>
      <c r="F1750">
        <v>100808.87</v>
      </c>
      <c r="G1750">
        <v>0</v>
      </c>
      <c r="H1750">
        <v>0</v>
      </c>
      <c r="I1750">
        <v>0</v>
      </c>
      <c r="J1750">
        <v>0</v>
      </c>
      <c r="K1750">
        <v>0</v>
      </c>
      <c r="L1750">
        <v>13947431.140000001</v>
      </c>
      <c r="M1750">
        <v>13947431.140000001</v>
      </c>
      <c r="N1750">
        <v>13947431.140000001</v>
      </c>
      <c r="O1750">
        <v>13947431.140000001</v>
      </c>
      <c r="P1750">
        <v>13947431.140000001</v>
      </c>
      <c r="Q1750">
        <v>13947431.140000001</v>
      </c>
      <c r="R1750" s="14">
        <f>_xlfn.XLOOKUP(Table2[[#This Row],[LoanID]],Table1[G-L ID],Table1[ManagerCode],-99)</f>
        <v>183</v>
      </c>
      <c r="T1750"/>
    </row>
    <row r="1751" spans="1:20" x14ac:dyDescent="0.25">
      <c r="A1751">
        <v>20130331</v>
      </c>
      <c r="B1751">
        <v>2013</v>
      </c>
      <c r="C1751">
        <v>3</v>
      </c>
      <c r="D1751">
        <v>1</v>
      </c>
      <c r="E1751">
        <v>11140</v>
      </c>
      <c r="F1751">
        <v>576975.13</v>
      </c>
      <c r="G1751">
        <v>0</v>
      </c>
      <c r="H1751">
        <v>0</v>
      </c>
      <c r="I1751">
        <v>0</v>
      </c>
      <c r="J1751">
        <v>0</v>
      </c>
      <c r="K1751">
        <v>0</v>
      </c>
      <c r="L1751">
        <v>71711993.859999999</v>
      </c>
      <c r="M1751">
        <v>71711993.859999999</v>
      </c>
      <c r="N1751">
        <v>71711993.859999999</v>
      </c>
      <c r="O1751">
        <v>71711993.859999999</v>
      </c>
      <c r="P1751">
        <v>72436285</v>
      </c>
      <c r="Q1751">
        <v>72436285</v>
      </c>
      <c r="R1751" s="14">
        <f>_xlfn.XLOOKUP(Table2[[#This Row],[LoanID]],Table1[G-L ID],Table1[ManagerCode],-99)</f>
        <v>103</v>
      </c>
      <c r="T1751"/>
    </row>
    <row r="1752" spans="1:20" x14ac:dyDescent="0.25">
      <c r="A1752">
        <v>20130331</v>
      </c>
      <c r="B1752">
        <v>2013</v>
      </c>
      <c r="C1752">
        <v>3</v>
      </c>
      <c r="D1752">
        <v>1</v>
      </c>
      <c r="E1752">
        <v>11190</v>
      </c>
      <c r="F1752">
        <v>1213622.98</v>
      </c>
      <c r="G1752">
        <v>0</v>
      </c>
      <c r="H1752">
        <v>0</v>
      </c>
      <c r="I1752">
        <v>-1555.33</v>
      </c>
      <c r="J1752">
        <v>0</v>
      </c>
      <c r="K1752">
        <v>0</v>
      </c>
      <c r="L1752">
        <v>189972289.90000001</v>
      </c>
      <c r="M1752">
        <v>189972289.90000001</v>
      </c>
      <c r="N1752">
        <v>189972289.90000001</v>
      </c>
      <c r="O1752">
        <v>189972289.90000001</v>
      </c>
      <c r="P1752">
        <v>199970831.5</v>
      </c>
      <c r="Q1752">
        <v>199970831.5</v>
      </c>
      <c r="R1752" s="14">
        <f>_xlfn.XLOOKUP(Table2[[#This Row],[LoanID]],Table1[G-L ID],Table1[ManagerCode],-99)</f>
        <v>103</v>
      </c>
      <c r="T1752"/>
    </row>
    <row r="1753" spans="1:20" x14ac:dyDescent="0.25">
      <c r="A1753">
        <v>20130331</v>
      </c>
      <c r="B1753">
        <v>2013</v>
      </c>
      <c r="C1753">
        <v>3</v>
      </c>
      <c r="D1753">
        <v>1</v>
      </c>
      <c r="E1753">
        <v>11220</v>
      </c>
      <c r="F1753">
        <v>281750</v>
      </c>
      <c r="G1753">
        <v>0</v>
      </c>
      <c r="H1753">
        <v>0</v>
      </c>
      <c r="I1753">
        <v>0</v>
      </c>
      <c r="J1753">
        <v>0</v>
      </c>
      <c r="K1753">
        <v>0</v>
      </c>
      <c r="L1753">
        <v>34500000</v>
      </c>
      <c r="M1753">
        <v>34500000</v>
      </c>
      <c r="N1753">
        <v>34500000</v>
      </c>
      <c r="O1753">
        <v>34500000</v>
      </c>
      <c r="P1753">
        <v>34500000</v>
      </c>
      <c r="Q1753">
        <v>34500000</v>
      </c>
      <c r="R1753" s="14">
        <f>_xlfn.XLOOKUP(Table2[[#This Row],[LoanID]],Table1[G-L ID],Table1[ManagerCode],-99)</f>
        <v>220</v>
      </c>
      <c r="T1753"/>
    </row>
    <row r="1754" spans="1:20" x14ac:dyDescent="0.25">
      <c r="A1754">
        <v>20130331</v>
      </c>
      <c r="B1754">
        <v>2013</v>
      </c>
      <c r="C1754">
        <v>3</v>
      </c>
      <c r="D1754">
        <v>1</v>
      </c>
      <c r="E1754">
        <v>11230</v>
      </c>
      <c r="F1754">
        <v>223172.76</v>
      </c>
      <c r="G1754">
        <v>0</v>
      </c>
      <c r="H1754">
        <v>0</v>
      </c>
      <c r="I1754">
        <v>0</v>
      </c>
      <c r="J1754">
        <v>0</v>
      </c>
      <c r="K1754">
        <v>0</v>
      </c>
      <c r="L1754">
        <v>175436664</v>
      </c>
      <c r="M1754">
        <v>175436664</v>
      </c>
      <c r="N1754">
        <v>175436664</v>
      </c>
      <c r="O1754">
        <v>175436664</v>
      </c>
      <c r="P1754">
        <v>194929626.59999999</v>
      </c>
      <c r="Q1754">
        <v>194929626.59999999</v>
      </c>
      <c r="R1754" s="14">
        <f>_xlfn.XLOOKUP(Table2[[#This Row],[LoanID]],Table1[G-L ID],Table1[ManagerCode],-99)</f>
        <v>103</v>
      </c>
      <c r="T1754"/>
    </row>
    <row r="1755" spans="1:20" x14ac:dyDescent="0.25">
      <c r="A1755">
        <v>20130331</v>
      </c>
      <c r="B1755">
        <v>2013</v>
      </c>
      <c r="C1755">
        <v>3</v>
      </c>
      <c r="D1755">
        <v>1</v>
      </c>
      <c r="E1755">
        <v>11280</v>
      </c>
      <c r="F1755">
        <v>21221.439999999999</v>
      </c>
      <c r="G1755">
        <v>0</v>
      </c>
      <c r="H1755">
        <v>0</v>
      </c>
      <c r="I1755">
        <v>-156.57</v>
      </c>
      <c r="J1755">
        <v>0</v>
      </c>
      <c r="K1755">
        <v>0</v>
      </c>
      <c r="L1755">
        <v>18603211.800000001</v>
      </c>
      <c r="M1755">
        <v>18603211.800000001</v>
      </c>
      <c r="N1755">
        <v>18603211.800000001</v>
      </c>
      <c r="O1755">
        <v>18603211.800000001</v>
      </c>
      <c r="P1755">
        <v>18791123.030000001</v>
      </c>
      <c r="Q1755">
        <v>18791123.030000001</v>
      </c>
      <c r="R1755" s="14">
        <f>_xlfn.XLOOKUP(Table2[[#This Row],[LoanID]],Table1[G-L ID],Table1[ManagerCode],-99)</f>
        <v>103</v>
      </c>
      <c r="T1755"/>
    </row>
    <row r="1756" spans="1:20" x14ac:dyDescent="0.25">
      <c r="A1756">
        <v>20130331</v>
      </c>
      <c r="B1756">
        <v>2013</v>
      </c>
      <c r="C1756">
        <v>3</v>
      </c>
      <c r="D1756">
        <v>1</v>
      </c>
      <c r="E1756">
        <v>11300</v>
      </c>
      <c r="F1756">
        <v>19099.3</v>
      </c>
      <c r="G1756">
        <v>0</v>
      </c>
      <c r="H1756">
        <v>0</v>
      </c>
      <c r="I1756">
        <v>-140.93</v>
      </c>
      <c r="J1756">
        <v>0</v>
      </c>
      <c r="K1756">
        <v>0</v>
      </c>
      <c r="L1756">
        <v>16742890.619999999</v>
      </c>
      <c r="M1756">
        <v>16742890.619999999</v>
      </c>
      <c r="N1756">
        <v>16742890.619999999</v>
      </c>
      <c r="O1756">
        <v>16742890.619999999</v>
      </c>
      <c r="P1756">
        <v>16912010.73</v>
      </c>
      <c r="Q1756">
        <v>16912010.73</v>
      </c>
      <c r="R1756" s="14">
        <f>_xlfn.XLOOKUP(Table2[[#This Row],[LoanID]],Table1[G-L ID],Table1[ManagerCode],-99)</f>
        <v>103</v>
      </c>
      <c r="T1756"/>
    </row>
    <row r="1757" spans="1:20" x14ac:dyDescent="0.25">
      <c r="A1757">
        <v>20130331</v>
      </c>
      <c r="B1757">
        <v>2013</v>
      </c>
      <c r="C1757">
        <v>3</v>
      </c>
      <c r="D1757">
        <v>1</v>
      </c>
      <c r="E1757">
        <v>11310</v>
      </c>
      <c r="F1757">
        <v>12732.86</v>
      </c>
      <c r="G1757">
        <v>0</v>
      </c>
      <c r="H1757">
        <v>0</v>
      </c>
      <c r="I1757">
        <v>-93.96</v>
      </c>
      <c r="J1757">
        <v>0</v>
      </c>
      <c r="K1757">
        <v>0</v>
      </c>
      <c r="L1757">
        <v>11161927.050000001</v>
      </c>
      <c r="M1757">
        <v>11161927.050000001</v>
      </c>
      <c r="N1757">
        <v>11161927.050000001</v>
      </c>
      <c r="O1757">
        <v>11161927.050000001</v>
      </c>
      <c r="P1757">
        <v>11274673.789999999</v>
      </c>
      <c r="Q1757">
        <v>11274673.789999999</v>
      </c>
      <c r="R1757" s="14">
        <f>_xlfn.XLOOKUP(Table2[[#This Row],[LoanID]],Table1[G-L ID],Table1[ManagerCode],-99)</f>
        <v>103</v>
      </c>
      <c r="T1757"/>
    </row>
    <row r="1758" spans="1:20" x14ac:dyDescent="0.25">
      <c r="A1758">
        <v>20130331</v>
      </c>
      <c r="B1758">
        <v>2013</v>
      </c>
      <c r="C1758">
        <v>3</v>
      </c>
      <c r="D1758">
        <v>1</v>
      </c>
      <c r="E1758">
        <v>11340</v>
      </c>
      <c r="F1758">
        <v>272222.21999999997</v>
      </c>
      <c r="G1758">
        <v>0</v>
      </c>
      <c r="H1758">
        <v>0</v>
      </c>
      <c r="I1758">
        <v>0</v>
      </c>
      <c r="J1758">
        <v>0</v>
      </c>
      <c r="K1758">
        <v>0</v>
      </c>
      <c r="L1758">
        <v>49500000</v>
      </c>
      <c r="M1758">
        <v>49500000</v>
      </c>
      <c r="N1758">
        <v>49500000</v>
      </c>
      <c r="O1758">
        <v>49500000</v>
      </c>
      <c r="P1758">
        <v>50000000</v>
      </c>
      <c r="Q1758">
        <v>50000000</v>
      </c>
      <c r="R1758" s="14">
        <f>_xlfn.XLOOKUP(Table2[[#This Row],[LoanID]],Table1[G-L ID],Table1[ManagerCode],-99)</f>
        <v>103</v>
      </c>
      <c r="T1758"/>
    </row>
    <row r="1759" spans="1:20" x14ac:dyDescent="0.25">
      <c r="A1759">
        <v>20130331</v>
      </c>
      <c r="B1759">
        <v>2013</v>
      </c>
      <c r="C1759">
        <v>3</v>
      </c>
      <c r="D1759">
        <v>1</v>
      </c>
      <c r="E1759">
        <v>11560</v>
      </c>
      <c r="F1759">
        <v>66391.94</v>
      </c>
      <c r="G1759">
        <v>-53581.82</v>
      </c>
      <c r="H1759">
        <v>0</v>
      </c>
      <c r="I1759">
        <v>0</v>
      </c>
      <c r="J1759">
        <v>0</v>
      </c>
      <c r="K1759">
        <v>0</v>
      </c>
      <c r="L1759">
        <v>13871592.640000001</v>
      </c>
      <c r="M1759">
        <v>13818010.82</v>
      </c>
      <c r="N1759">
        <v>13871592.640000001</v>
      </c>
      <c r="O1759">
        <v>13818010.82</v>
      </c>
      <c r="P1759">
        <v>13871592.640000001</v>
      </c>
      <c r="Q1759">
        <v>13818010.82</v>
      </c>
      <c r="R1759" s="14">
        <f>_xlfn.XLOOKUP(Table2[[#This Row],[LoanID]],Table1[G-L ID],Table1[ManagerCode],-99)</f>
        <v>183</v>
      </c>
      <c r="T1759"/>
    </row>
    <row r="1760" spans="1:20" x14ac:dyDescent="0.25">
      <c r="A1760">
        <v>20130331</v>
      </c>
      <c r="B1760">
        <v>2013</v>
      </c>
      <c r="C1760">
        <v>3</v>
      </c>
      <c r="D1760">
        <v>1</v>
      </c>
      <c r="E1760">
        <v>11620</v>
      </c>
      <c r="F1760">
        <v>37250.51</v>
      </c>
      <c r="G1760">
        <v>15473.06</v>
      </c>
      <c r="H1760">
        <v>0</v>
      </c>
      <c r="I1760">
        <v>0</v>
      </c>
      <c r="J1760">
        <v>-83915.45</v>
      </c>
      <c r="K1760">
        <v>0</v>
      </c>
      <c r="L1760">
        <v>4580037.8600000003</v>
      </c>
      <c r="M1760">
        <v>4679426.37</v>
      </c>
      <c r="N1760">
        <v>4580037.8600000003</v>
      </c>
      <c r="O1760">
        <v>4679426.37</v>
      </c>
      <c r="P1760">
        <v>4580037.8600000003</v>
      </c>
      <c r="Q1760">
        <v>4679426.37</v>
      </c>
      <c r="R1760" s="14">
        <f>_xlfn.XLOOKUP(Table2[[#This Row],[LoanID]],Table1[G-L ID],Table1[ManagerCode],-99)</f>
        <v>183</v>
      </c>
      <c r="T1760"/>
    </row>
    <row r="1761" spans="1:20" x14ac:dyDescent="0.25">
      <c r="A1761">
        <v>20130331</v>
      </c>
      <c r="B1761">
        <v>2013</v>
      </c>
      <c r="C1761">
        <v>3</v>
      </c>
      <c r="D1761">
        <v>1</v>
      </c>
      <c r="E1761">
        <v>11650</v>
      </c>
      <c r="F1761">
        <v>75000</v>
      </c>
      <c r="G1761">
        <v>0</v>
      </c>
      <c r="H1761">
        <v>0</v>
      </c>
      <c r="I1761">
        <v>0</v>
      </c>
      <c r="J1761">
        <v>0</v>
      </c>
      <c r="K1761">
        <v>0</v>
      </c>
      <c r="L1761">
        <v>9600000</v>
      </c>
      <c r="M1761">
        <v>9600000</v>
      </c>
      <c r="N1761">
        <v>9600000</v>
      </c>
      <c r="O1761">
        <v>9600000</v>
      </c>
      <c r="P1761">
        <v>12000000</v>
      </c>
      <c r="Q1761">
        <v>12000000</v>
      </c>
      <c r="R1761" s="14">
        <f>_xlfn.XLOOKUP(Table2[[#This Row],[LoanID]],Table1[G-L ID],Table1[ManagerCode],-99)</f>
        <v>103</v>
      </c>
      <c r="T1761"/>
    </row>
    <row r="1762" spans="1:20" x14ac:dyDescent="0.25">
      <c r="A1762">
        <v>20130331</v>
      </c>
      <c r="B1762">
        <v>2013</v>
      </c>
      <c r="C1762">
        <v>3</v>
      </c>
      <c r="D1762">
        <v>1</v>
      </c>
      <c r="E1762">
        <v>11670</v>
      </c>
      <c r="F1762">
        <v>188333.33</v>
      </c>
      <c r="G1762">
        <v>145970.56</v>
      </c>
      <c r="H1762">
        <v>0</v>
      </c>
      <c r="I1762">
        <v>0</v>
      </c>
      <c r="J1762">
        <v>0</v>
      </c>
      <c r="K1762">
        <v>0</v>
      </c>
      <c r="L1762">
        <v>28654618.82</v>
      </c>
      <c r="M1762">
        <v>28800589.379999999</v>
      </c>
      <c r="N1762">
        <v>28654618.82</v>
      </c>
      <c r="O1762">
        <v>28800589.379999999</v>
      </c>
      <c r="P1762">
        <v>28654618.82</v>
      </c>
      <c r="Q1762">
        <v>28800589.379999999</v>
      </c>
      <c r="R1762" s="14">
        <f>_xlfn.XLOOKUP(Table2[[#This Row],[LoanID]],Table1[G-L ID],Table1[ManagerCode],-99)</f>
        <v>183</v>
      </c>
      <c r="T1762"/>
    </row>
    <row r="1763" spans="1:20" x14ac:dyDescent="0.25">
      <c r="A1763">
        <v>20130331</v>
      </c>
      <c r="B1763">
        <v>2013</v>
      </c>
      <c r="C1763">
        <v>3</v>
      </c>
      <c r="D1763">
        <v>1</v>
      </c>
      <c r="E1763">
        <v>11770</v>
      </c>
      <c r="F1763">
        <v>517714.53</v>
      </c>
      <c r="G1763">
        <v>0</v>
      </c>
      <c r="H1763">
        <v>0</v>
      </c>
      <c r="I1763">
        <v>0</v>
      </c>
      <c r="J1763">
        <v>0</v>
      </c>
      <c r="K1763">
        <v>666151.98</v>
      </c>
      <c r="L1763">
        <v>66563297.109999999</v>
      </c>
      <c r="M1763">
        <v>65897145.130000003</v>
      </c>
      <c r="N1763">
        <v>66563297.109999999</v>
      </c>
      <c r="O1763">
        <v>65897145.130000003</v>
      </c>
      <c r="P1763">
        <v>66563297.109999999</v>
      </c>
      <c r="Q1763">
        <v>65897145.130000003</v>
      </c>
      <c r="R1763" s="14">
        <f>_xlfn.XLOOKUP(Table2[[#This Row],[LoanID]],Table1[G-L ID],Table1[ManagerCode],-99)</f>
        <v>119</v>
      </c>
      <c r="T1763"/>
    </row>
    <row r="1764" spans="1:20" x14ac:dyDescent="0.25">
      <c r="A1764">
        <v>20130331</v>
      </c>
      <c r="B1764">
        <v>2013</v>
      </c>
      <c r="C1764">
        <v>3</v>
      </c>
      <c r="D1764">
        <v>1</v>
      </c>
      <c r="E1764">
        <v>11780</v>
      </c>
      <c r="F1764">
        <v>0</v>
      </c>
      <c r="G1764">
        <v>0</v>
      </c>
      <c r="H1764">
        <v>0</v>
      </c>
      <c r="I1764">
        <v>0</v>
      </c>
      <c r="J1764">
        <v>0</v>
      </c>
      <c r="K1764">
        <v>0</v>
      </c>
      <c r="L1764">
        <v>27599788.510000002</v>
      </c>
      <c r="M1764">
        <v>38309213</v>
      </c>
      <c r="N1764">
        <v>27599788.510000002</v>
      </c>
      <c r="O1764">
        <v>38309213</v>
      </c>
      <c r="P1764">
        <v>64786446.619999997</v>
      </c>
      <c r="Q1764">
        <v>64786446.619999997</v>
      </c>
      <c r="R1764" s="14">
        <f>_xlfn.XLOOKUP(Table2[[#This Row],[LoanID]],Table1[G-L ID],Table1[ManagerCode],-99)</f>
        <v>103</v>
      </c>
      <c r="T1764"/>
    </row>
    <row r="1765" spans="1:20" x14ac:dyDescent="0.25">
      <c r="A1765">
        <v>20130331</v>
      </c>
      <c r="B1765">
        <v>2013</v>
      </c>
      <c r="C1765">
        <v>3</v>
      </c>
      <c r="D1765">
        <v>1</v>
      </c>
      <c r="E1765">
        <v>11800</v>
      </c>
      <c r="F1765">
        <v>144772.64000000001</v>
      </c>
      <c r="G1765">
        <v>0</v>
      </c>
      <c r="H1765">
        <v>0</v>
      </c>
      <c r="I1765">
        <v>-493.6</v>
      </c>
      <c r="J1765">
        <v>0</v>
      </c>
      <c r="K1765">
        <v>89153.600000000006</v>
      </c>
      <c r="L1765">
        <v>34106543.079999998</v>
      </c>
      <c r="M1765">
        <v>34068785.689999998</v>
      </c>
      <c r="N1765">
        <v>34106543.079999998</v>
      </c>
      <c r="O1765">
        <v>34068785.689999998</v>
      </c>
      <c r="P1765">
        <v>31320250.48</v>
      </c>
      <c r="Q1765">
        <v>31231096.879999999</v>
      </c>
      <c r="R1765" s="14">
        <f>_xlfn.XLOOKUP(Table2[[#This Row],[LoanID]],Table1[G-L ID],Table1[ManagerCode],-99)</f>
        <v>103</v>
      </c>
      <c r="T1765"/>
    </row>
    <row r="1766" spans="1:20" x14ac:dyDescent="0.25">
      <c r="A1766">
        <v>20130331</v>
      </c>
      <c r="B1766">
        <v>2013</v>
      </c>
      <c r="C1766">
        <v>3</v>
      </c>
      <c r="D1766">
        <v>1</v>
      </c>
      <c r="E1766">
        <v>11810</v>
      </c>
      <c r="F1766">
        <v>50711.13</v>
      </c>
      <c r="G1766">
        <v>0</v>
      </c>
      <c r="H1766">
        <v>0</v>
      </c>
      <c r="I1766">
        <v>0</v>
      </c>
      <c r="J1766">
        <v>0</v>
      </c>
      <c r="K1766">
        <v>10146.959999999999</v>
      </c>
      <c r="L1766">
        <v>9821855.2200000007</v>
      </c>
      <c r="M1766">
        <v>9801815.3800000008</v>
      </c>
      <c r="N1766">
        <v>9821855.2200000007</v>
      </c>
      <c r="O1766">
        <v>9801815.3800000008</v>
      </c>
      <c r="P1766">
        <v>9910970.5700000003</v>
      </c>
      <c r="Q1766">
        <v>9900823.6099999994</v>
      </c>
      <c r="R1766" s="14">
        <f>_xlfn.XLOOKUP(Table2[[#This Row],[LoanID]],Table1[G-L ID],Table1[ManagerCode],-99)</f>
        <v>103</v>
      </c>
      <c r="T1766"/>
    </row>
    <row r="1767" spans="1:20" x14ac:dyDescent="0.25">
      <c r="A1767">
        <v>20130331</v>
      </c>
      <c r="B1767">
        <v>2013</v>
      </c>
      <c r="C1767">
        <v>3</v>
      </c>
      <c r="D1767">
        <v>1</v>
      </c>
      <c r="E1767">
        <v>11840</v>
      </c>
      <c r="F1767">
        <v>41454.22</v>
      </c>
      <c r="G1767">
        <v>63810.46</v>
      </c>
      <c r="H1767">
        <v>0</v>
      </c>
      <c r="I1767">
        <v>0</v>
      </c>
      <c r="J1767">
        <v>-664140.89</v>
      </c>
      <c r="K1767">
        <v>0</v>
      </c>
      <c r="L1767">
        <v>8601248.6099999994</v>
      </c>
      <c r="M1767">
        <v>9329199.9600000009</v>
      </c>
      <c r="N1767">
        <v>8601248.6099999994</v>
      </c>
      <c r="O1767">
        <v>9329199.9600000009</v>
      </c>
      <c r="P1767">
        <v>8601248.6099999994</v>
      </c>
      <c r="Q1767">
        <v>9329199.9600000009</v>
      </c>
      <c r="R1767" s="14">
        <f>_xlfn.XLOOKUP(Table2[[#This Row],[LoanID]],Table1[G-L ID],Table1[ManagerCode],-99)</f>
        <v>183</v>
      </c>
      <c r="T1767"/>
    </row>
    <row r="1768" spans="1:20" x14ac:dyDescent="0.25">
      <c r="A1768">
        <v>20130331</v>
      </c>
      <c r="B1768">
        <v>2013</v>
      </c>
      <c r="C1768">
        <v>3</v>
      </c>
      <c r="D1768">
        <v>1</v>
      </c>
      <c r="E1768">
        <v>11880</v>
      </c>
      <c r="F1768">
        <v>0</v>
      </c>
      <c r="G1768">
        <v>857.63</v>
      </c>
      <c r="H1768">
        <v>0</v>
      </c>
      <c r="I1768">
        <v>0</v>
      </c>
      <c r="J1768">
        <v>-1286441.1399999999</v>
      </c>
      <c r="K1768">
        <v>0</v>
      </c>
      <c r="L1768">
        <v>0</v>
      </c>
      <c r="M1768">
        <v>1286441.1399999999</v>
      </c>
      <c r="N1768">
        <v>0</v>
      </c>
      <c r="O1768">
        <v>1286441.1399999999</v>
      </c>
      <c r="P1768">
        <v>0</v>
      </c>
      <c r="Q1768">
        <v>1286441.1399999999</v>
      </c>
      <c r="R1768" s="14">
        <f>_xlfn.XLOOKUP(Table2[[#This Row],[LoanID]],Table1[G-L ID],Table1[ManagerCode],-99)</f>
        <v>183</v>
      </c>
      <c r="T1768"/>
    </row>
    <row r="1769" spans="1:20" x14ac:dyDescent="0.25">
      <c r="A1769">
        <v>20130331</v>
      </c>
      <c r="B1769">
        <v>2013</v>
      </c>
      <c r="C1769">
        <v>3</v>
      </c>
      <c r="D1769">
        <v>1</v>
      </c>
      <c r="E1769">
        <v>11970</v>
      </c>
      <c r="F1769">
        <v>78221.72</v>
      </c>
      <c r="G1769">
        <v>43739.79</v>
      </c>
      <c r="H1769">
        <v>0</v>
      </c>
      <c r="I1769">
        <v>0</v>
      </c>
      <c r="J1769">
        <v>-78221.72</v>
      </c>
      <c r="K1769">
        <v>0</v>
      </c>
      <c r="L1769">
        <v>8130601.4500000002</v>
      </c>
      <c r="M1769">
        <v>8252562.96</v>
      </c>
      <c r="N1769">
        <v>8130601.4500000002</v>
      </c>
      <c r="O1769">
        <v>8252562.96</v>
      </c>
      <c r="P1769">
        <v>8130601.4500000002</v>
      </c>
      <c r="Q1769">
        <v>8252562.96</v>
      </c>
      <c r="R1769" s="14">
        <f>_xlfn.XLOOKUP(Table2[[#This Row],[LoanID]],Table1[G-L ID],Table1[ManagerCode],-99)</f>
        <v>183</v>
      </c>
      <c r="T1769"/>
    </row>
    <row r="1770" spans="1:20" x14ac:dyDescent="0.25">
      <c r="A1770">
        <v>20130331</v>
      </c>
      <c r="B1770">
        <v>2013</v>
      </c>
      <c r="C1770">
        <v>3</v>
      </c>
      <c r="D1770">
        <v>1</v>
      </c>
      <c r="E1770">
        <v>12020</v>
      </c>
      <c r="F1770">
        <v>64011.31</v>
      </c>
      <c r="G1770">
        <v>-8.89</v>
      </c>
      <c r="H1770">
        <v>0</v>
      </c>
      <c r="I1770">
        <v>0</v>
      </c>
      <c r="J1770">
        <v>-62071.57</v>
      </c>
      <c r="K1770">
        <v>0</v>
      </c>
      <c r="L1770">
        <v>9912587.9100000001</v>
      </c>
      <c r="M1770">
        <v>9974650.5899999999</v>
      </c>
      <c r="N1770">
        <v>9912587.9100000001</v>
      </c>
      <c r="O1770">
        <v>9974650.5899999999</v>
      </c>
      <c r="P1770">
        <v>9912587.9100000001</v>
      </c>
      <c r="Q1770">
        <v>9974650.5899999999</v>
      </c>
      <c r="R1770" s="14">
        <f>_xlfn.XLOOKUP(Table2[[#This Row],[LoanID]],Table1[G-L ID],Table1[ManagerCode],-99)</f>
        <v>183</v>
      </c>
      <c r="T1770"/>
    </row>
    <row r="1771" spans="1:20" x14ac:dyDescent="0.25">
      <c r="A1771">
        <v>20130331</v>
      </c>
      <c r="B1771">
        <v>2013</v>
      </c>
      <c r="C1771">
        <v>3</v>
      </c>
      <c r="D1771">
        <v>1</v>
      </c>
      <c r="E1771">
        <v>12080</v>
      </c>
      <c r="F1771">
        <v>0</v>
      </c>
      <c r="G1771">
        <v>0</v>
      </c>
      <c r="H1771">
        <v>0</v>
      </c>
      <c r="I1771">
        <v>0</v>
      </c>
      <c r="J1771">
        <v>0</v>
      </c>
      <c r="K1771">
        <v>0</v>
      </c>
      <c r="L1771">
        <v>40000000</v>
      </c>
      <c r="M1771">
        <v>40000000</v>
      </c>
      <c r="N1771">
        <v>40000000</v>
      </c>
      <c r="O1771">
        <v>40000000</v>
      </c>
      <c r="P1771">
        <v>40000000</v>
      </c>
      <c r="Q1771">
        <v>40000000</v>
      </c>
      <c r="R1771" s="14">
        <f>_xlfn.XLOOKUP(Table2[[#This Row],[LoanID]],Table1[G-L ID],Table1[ManagerCode],-99)</f>
        <v>119</v>
      </c>
      <c r="T1771"/>
    </row>
    <row r="1772" spans="1:20" x14ac:dyDescent="0.25">
      <c r="A1772">
        <v>20130331</v>
      </c>
      <c r="B1772">
        <v>2013</v>
      </c>
      <c r="C1772">
        <v>3</v>
      </c>
      <c r="D1772">
        <v>1</v>
      </c>
      <c r="E1772">
        <v>12090</v>
      </c>
      <c r="F1772">
        <v>148388.32999999999</v>
      </c>
      <c r="G1772">
        <v>0</v>
      </c>
      <c r="H1772">
        <v>0</v>
      </c>
      <c r="I1772">
        <v>0</v>
      </c>
      <c r="J1772">
        <v>0</v>
      </c>
      <c r="K1772">
        <v>0</v>
      </c>
      <c r="L1772">
        <v>17500000</v>
      </c>
      <c r="M1772">
        <v>17500000</v>
      </c>
      <c r="N1772">
        <v>17500000</v>
      </c>
      <c r="O1772">
        <v>17500000</v>
      </c>
      <c r="P1772">
        <v>17500000</v>
      </c>
      <c r="Q1772">
        <v>17500000</v>
      </c>
      <c r="R1772" s="14">
        <f>_xlfn.XLOOKUP(Table2[[#This Row],[LoanID]],Table1[G-L ID],Table1[ManagerCode],-99)</f>
        <v>220</v>
      </c>
      <c r="T1772"/>
    </row>
    <row r="1773" spans="1:20" x14ac:dyDescent="0.25">
      <c r="A1773">
        <v>20130331</v>
      </c>
      <c r="B1773">
        <v>2013</v>
      </c>
      <c r="C1773">
        <v>3</v>
      </c>
      <c r="D1773">
        <v>1</v>
      </c>
      <c r="E1773">
        <v>12100</v>
      </c>
      <c r="F1773">
        <v>38474.15</v>
      </c>
      <c r="G1773">
        <v>66242.649999999994</v>
      </c>
      <c r="H1773">
        <v>0</v>
      </c>
      <c r="I1773">
        <v>0</v>
      </c>
      <c r="J1773">
        <v>-35451.550000000003</v>
      </c>
      <c r="K1773">
        <v>0</v>
      </c>
      <c r="L1773">
        <v>9220492.3900000006</v>
      </c>
      <c r="M1773">
        <v>9322186.5899999999</v>
      </c>
      <c r="N1773">
        <v>9220492.3900000006</v>
      </c>
      <c r="O1773">
        <v>9322186.5899999999</v>
      </c>
      <c r="P1773">
        <v>9220492.3900000006</v>
      </c>
      <c r="Q1773">
        <v>9322186.5899999999</v>
      </c>
      <c r="R1773" s="14">
        <f>_xlfn.XLOOKUP(Table2[[#This Row],[LoanID]],Table1[G-L ID],Table1[ManagerCode],-99)</f>
        <v>183</v>
      </c>
      <c r="T1773"/>
    </row>
    <row r="1774" spans="1:20" x14ac:dyDescent="0.25">
      <c r="A1774">
        <v>20130331</v>
      </c>
      <c r="B1774">
        <v>2013</v>
      </c>
      <c r="C1774">
        <v>3</v>
      </c>
      <c r="D1774">
        <v>1</v>
      </c>
      <c r="E1774">
        <v>12130</v>
      </c>
      <c r="F1774">
        <v>66903.710000000006</v>
      </c>
      <c r="G1774">
        <v>0</v>
      </c>
      <c r="H1774">
        <v>0</v>
      </c>
      <c r="I1774">
        <v>0</v>
      </c>
      <c r="J1774">
        <v>-1393722.53</v>
      </c>
      <c r="K1774">
        <v>0</v>
      </c>
      <c r="L1774">
        <v>7581225.9500000002</v>
      </c>
      <c r="M1774">
        <v>8974948.4800000004</v>
      </c>
      <c r="N1774">
        <v>7581225.9500000002</v>
      </c>
      <c r="O1774">
        <v>8974948.4800000004</v>
      </c>
      <c r="P1774">
        <v>7581225.9500000002</v>
      </c>
      <c r="Q1774">
        <v>8974948.4800000004</v>
      </c>
      <c r="R1774" s="14">
        <f>_xlfn.XLOOKUP(Table2[[#This Row],[LoanID]],Table1[G-L ID],Table1[ManagerCode],-99)</f>
        <v>183</v>
      </c>
      <c r="T1774"/>
    </row>
    <row r="1775" spans="1:20" x14ac:dyDescent="0.25">
      <c r="A1775">
        <v>20130331</v>
      </c>
      <c r="B1775">
        <v>2013</v>
      </c>
      <c r="C1775">
        <v>3</v>
      </c>
      <c r="D1775">
        <v>1</v>
      </c>
      <c r="E1775">
        <v>12210</v>
      </c>
      <c r="F1775">
        <v>704350.2</v>
      </c>
      <c r="G1775">
        <v>0</v>
      </c>
      <c r="H1775">
        <v>0</v>
      </c>
      <c r="I1775">
        <v>0</v>
      </c>
      <c r="J1775">
        <v>0</v>
      </c>
      <c r="K1775">
        <v>197040.7</v>
      </c>
      <c r="L1775">
        <v>137697187</v>
      </c>
      <c r="M1775">
        <v>137805363.90000001</v>
      </c>
      <c r="N1775">
        <v>137697187</v>
      </c>
      <c r="O1775">
        <v>137805363.90000001</v>
      </c>
      <c r="P1775">
        <v>113965000.40000001</v>
      </c>
      <c r="Q1775">
        <v>113767959.7</v>
      </c>
      <c r="R1775" s="14">
        <f>_xlfn.XLOOKUP(Table2[[#This Row],[LoanID]],Table1[G-L ID],Table1[ManagerCode],-99)</f>
        <v>103</v>
      </c>
      <c r="T1775"/>
    </row>
    <row r="1776" spans="1:20" x14ac:dyDescent="0.25">
      <c r="A1776">
        <v>20130331</v>
      </c>
      <c r="B1776">
        <v>2013</v>
      </c>
      <c r="C1776">
        <v>3</v>
      </c>
      <c r="D1776">
        <v>1</v>
      </c>
      <c r="E1776">
        <v>12230</v>
      </c>
      <c r="F1776">
        <v>328564.53000000003</v>
      </c>
      <c r="G1776">
        <v>0</v>
      </c>
      <c r="H1776">
        <v>0</v>
      </c>
      <c r="I1776">
        <v>0</v>
      </c>
      <c r="J1776">
        <v>-291980</v>
      </c>
      <c r="K1776">
        <v>0</v>
      </c>
      <c r="L1776">
        <v>54383094</v>
      </c>
      <c r="M1776">
        <v>54675074</v>
      </c>
      <c r="N1776">
        <v>54383094</v>
      </c>
      <c r="O1776">
        <v>54675074</v>
      </c>
      <c r="P1776">
        <v>54383094</v>
      </c>
      <c r="Q1776">
        <v>54675074</v>
      </c>
      <c r="R1776" s="14">
        <f>_xlfn.XLOOKUP(Table2[[#This Row],[LoanID]],Table1[G-L ID],Table1[ManagerCode],-99)</f>
        <v>183</v>
      </c>
      <c r="T1776"/>
    </row>
    <row r="1777" spans="1:20" x14ac:dyDescent="0.25">
      <c r="A1777">
        <v>20130430</v>
      </c>
      <c r="B1777">
        <v>2013</v>
      </c>
      <c r="C1777">
        <v>4</v>
      </c>
      <c r="D1777">
        <v>1</v>
      </c>
      <c r="E1777">
        <v>10050</v>
      </c>
      <c r="F1777">
        <v>153981.01999999999</v>
      </c>
      <c r="G1777">
        <v>0</v>
      </c>
      <c r="H1777">
        <v>0</v>
      </c>
      <c r="I1777">
        <v>0</v>
      </c>
      <c r="J1777">
        <v>0</v>
      </c>
      <c r="K1777">
        <v>0</v>
      </c>
      <c r="L1777">
        <v>39335419.560000002</v>
      </c>
      <c r="M1777">
        <v>39592200.700000003</v>
      </c>
      <c r="N1777">
        <v>39335419.560000002</v>
      </c>
      <c r="O1777">
        <v>39592200.700000003</v>
      </c>
      <c r="P1777">
        <v>33333334</v>
      </c>
      <c r="Q1777">
        <v>33333334</v>
      </c>
      <c r="R1777" s="14">
        <f>_xlfn.XLOOKUP(Table2[[#This Row],[LoanID]],Table1[G-L ID],Table1[ManagerCode],-99)</f>
        <v>103</v>
      </c>
      <c r="T1777"/>
    </row>
    <row r="1778" spans="1:20" x14ac:dyDescent="0.25">
      <c r="A1778">
        <v>20130430</v>
      </c>
      <c r="B1778">
        <v>2013</v>
      </c>
      <c r="C1778">
        <v>4</v>
      </c>
      <c r="D1778">
        <v>1</v>
      </c>
      <c r="E1778">
        <v>10060</v>
      </c>
      <c r="F1778">
        <v>120833.33</v>
      </c>
      <c r="G1778">
        <v>0</v>
      </c>
      <c r="H1778">
        <v>0</v>
      </c>
      <c r="I1778">
        <v>0</v>
      </c>
      <c r="J1778">
        <v>0</v>
      </c>
      <c r="K1778">
        <v>0</v>
      </c>
      <c r="L1778">
        <v>19873714.27</v>
      </c>
      <c r="M1778">
        <v>19878571.399999999</v>
      </c>
      <c r="N1778">
        <v>19873714.27</v>
      </c>
      <c r="O1778">
        <v>19878571.399999999</v>
      </c>
      <c r="P1778">
        <v>20000000</v>
      </c>
      <c r="Q1778">
        <v>20000000</v>
      </c>
      <c r="R1778" s="14">
        <f>_xlfn.XLOOKUP(Table2[[#This Row],[LoanID]],Table1[G-L ID],Table1[ManagerCode],-99)</f>
        <v>103</v>
      </c>
      <c r="T1778"/>
    </row>
    <row r="1779" spans="1:20" x14ac:dyDescent="0.25">
      <c r="A1779">
        <v>20130430</v>
      </c>
      <c r="B1779">
        <v>2013</v>
      </c>
      <c r="C1779">
        <v>4</v>
      </c>
      <c r="D1779">
        <v>1</v>
      </c>
      <c r="E1779">
        <v>10080</v>
      </c>
      <c r="F1779">
        <v>351042.71</v>
      </c>
      <c r="G1779">
        <v>0</v>
      </c>
      <c r="H1779">
        <v>0</v>
      </c>
      <c r="I1779">
        <v>-161.46</v>
      </c>
      <c r="J1779">
        <v>0</v>
      </c>
      <c r="K1779">
        <v>0</v>
      </c>
      <c r="L1779">
        <v>74249925.75</v>
      </c>
      <c r="M1779">
        <v>74249925.75</v>
      </c>
      <c r="N1779">
        <v>74249925.75</v>
      </c>
      <c r="O1779">
        <v>74249925.75</v>
      </c>
      <c r="P1779">
        <v>75000000</v>
      </c>
      <c r="Q1779">
        <v>75000000</v>
      </c>
      <c r="R1779" s="14">
        <f>_xlfn.XLOOKUP(Table2[[#This Row],[LoanID]],Table1[G-L ID],Table1[ManagerCode],-99)</f>
        <v>103</v>
      </c>
      <c r="T1779"/>
    </row>
    <row r="1780" spans="1:20" x14ac:dyDescent="0.25">
      <c r="A1780">
        <v>20130430</v>
      </c>
      <c r="B1780">
        <v>2013</v>
      </c>
      <c r="C1780">
        <v>4</v>
      </c>
      <c r="D1780">
        <v>1</v>
      </c>
      <c r="E1780">
        <v>10130</v>
      </c>
      <c r="F1780">
        <v>33456.839999999997</v>
      </c>
      <c r="G1780">
        <v>0</v>
      </c>
      <c r="H1780">
        <v>0</v>
      </c>
      <c r="I1780">
        <v>0</v>
      </c>
      <c r="J1780">
        <v>0</v>
      </c>
      <c r="K1780">
        <v>34233.85</v>
      </c>
      <c r="L1780">
        <v>7524626.5199999996</v>
      </c>
      <c r="M1780">
        <v>7466275.5</v>
      </c>
      <c r="N1780">
        <v>7524626.5199999996</v>
      </c>
      <c r="O1780">
        <v>7466275.5</v>
      </c>
      <c r="P1780">
        <v>7393777.3200000003</v>
      </c>
      <c r="Q1780">
        <v>7359543.4699999997</v>
      </c>
      <c r="R1780" s="14">
        <f>_xlfn.XLOOKUP(Table2[[#This Row],[LoanID]],Table1[G-L ID],Table1[ManagerCode],-99)</f>
        <v>103</v>
      </c>
      <c r="T1780"/>
    </row>
    <row r="1781" spans="1:20" x14ac:dyDescent="0.25">
      <c r="A1781">
        <v>20130430</v>
      </c>
      <c r="B1781">
        <v>2013</v>
      </c>
      <c r="C1781">
        <v>4</v>
      </c>
      <c r="D1781">
        <v>1</v>
      </c>
      <c r="E1781">
        <v>10140</v>
      </c>
      <c r="F1781">
        <v>88296.67</v>
      </c>
      <c r="G1781">
        <v>0</v>
      </c>
      <c r="H1781">
        <v>0</v>
      </c>
      <c r="I1781">
        <v>0</v>
      </c>
      <c r="J1781">
        <v>0</v>
      </c>
      <c r="K1781">
        <v>89527.66</v>
      </c>
      <c r="L1781">
        <v>19858459.739999998</v>
      </c>
      <c r="M1781">
        <v>19705283.210000001</v>
      </c>
      <c r="N1781">
        <v>19858459.739999998</v>
      </c>
      <c r="O1781">
        <v>19705283.210000001</v>
      </c>
      <c r="P1781">
        <v>19513076.170000002</v>
      </c>
      <c r="Q1781">
        <v>19423548.510000002</v>
      </c>
      <c r="R1781" s="14">
        <f>_xlfn.XLOOKUP(Table2[[#This Row],[LoanID]],Table1[G-L ID],Table1[ManagerCode],-99)</f>
        <v>103</v>
      </c>
      <c r="T1781"/>
    </row>
    <row r="1782" spans="1:20" x14ac:dyDescent="0.25">
      <c r="A1782">
        <v>20130430</v>
      </c>
      <c r="B1782">
        <v>2013</v>
      </c>
      <c r="C1782">
        <v>4</v>
      </c>
      <c r="D1782">
        <v>1</v>
      </c>
      <c r="E1782">
        <v>10170</v>
      </c>
      <c r="F1782">
        <v>242622.94</v>
      </c>
      <c r="G1782">
        <v>0</v>
      </c>
      <c r="H1782">
        <v>0</v>
      </c>
      <c r="I1782">
        <v>-1162.73</v>
      </c>
      <c r="J1782">
        <v>0</v>
      </c>
      <c r="K1782">
        <v>72159.75</v>
      </c>
      <c r="L1782">
        <v>47857073.479999997</v>
      </c>
      <c r="M1782">
        <v>47580605.119999997</v>
      </c>
      <c r="N1782">
        <v>47857073.479999997</v>
      </c>
      <c r="O1782">
        <v>47580605.119999997</v>
      </c>
      <c r="P1782">
        <v>45008892.640000001</v>
      </c>
      <c r="Q1782">
        <v>44936732.890000001</v>
      </c>
      <c r="R1782" s="14">
        <f>_xlfn.XLOOKUP(Table2[[#This Row],[LoanID]],Table1[G-L ID],Table1[ManagerCode],-99)</f>
        <v>103</v>
      </c>
      <c r="T1782"/>
    </row>
    <row r="1783" spans="1:20" x14ac:dyDescent="0.25">
      <c r="A1783">
        <v>20130430</v>
      </c>
      <c r="B1783">
        <v>2013</v>
      </c>
      <c r="C1783">
        <v>4</v>
      </c>
      <c r="D1783">
        <v>1</v>
      </c>
      <c r="E1783">
        <v>10210</v>
      </c>
      <c r="F1783">
        <v>52207.14</v>
      </c>
      <c r="G1783">
        <v>92045.65</v>
      </c>
      <c r="H1783">
        <v>0</v>
      </c>
      <c r="I1783">
        <v>0</v>
      </c>
      <c r="J1783">
        <v>0</v>
      </c>
      <c r="K1783">
        <v>0</v>
      </c>
      <c r="L1783">
        <v>11540223.07</v>
      </c>
      <c r="M1783">
        <v>11632268.720000001</v>
      </c>
      <c r="N1783">
        <v>11540223.07</v>
      </c>
      <c r="O1783">
        <v>11632268.720000001</v>
      </c>
      <c r="P1783">
        <v>11540223.07</v>
      </c>
      <c r="Q1783">
        <v>11632268.720000001</v>
      </c>
      <c r="R1783" s="14">
        <f>_xlfn.XLOOKUP(Table2[[#This Row],[LoanID]],Table1[G-L ID],Table1[ManagerCode],-99)</f>
        <v>183</v>
      </c>
      <c r="T1783"/>
    </row>
    <row r="1784" spans="1:20" x14ac:dyDescent="0.25">
      <c r="A1784">
        <v>20130430</v>
      </c>
      <c r="B1784">
        <v>2013</v>
      </c>
      <c r="C1784">
        <v>4</v>
      </c>
      <c r="D1784">
        <v>1</v>
      </c>
      <c r="E1784">
        <v>10220</v>
      </c>
      <c r="F1784">
        <v>559722.22</v>
      </c>
      <c r="G1784">
        <v>0</v>
      </c>
      <c r="H1784">
        <v>0</v>
      </c>
      <c r="I1784">
        <v>0</v>
      </c>
      <c r="J1784">
        <v>0</v>
      </c>
      <c r="K1784">
        <v>0</v>
      </c>
      <c r="L1784">
        <v>99000000</v>
      </c>
      <c r="M1784">
        <v>99000000</v>
      </c>
      <c r="N1784">
        <v>99000000</v>
      </c>
      <c r="O1784">
        <v>99000000</v>
      </c>
      <c r="P1784">
        <v>100000000</v>
      </c>
      <c r="Q1784">
        <v>100000000</v>
      </c>
      <c r="R1784" s="14">
        <f>_xlfn.XLOOKUP(Table2[[#This Row],[LoanID]],Table1[G-L ID],Table1[ManagerCode],-99)</f>
        <v>103</v>
      </c>
      <c r="T1784"/>
    </row>
    <row r="1785" spans="1:20" x14ac:dyDescent="0.25">
      <c r="A1785">
        <v>20130430</v>
      </c>
      <c r="B1785">
        <v>2013</v>
      </c>
      <c r="C1785">
        <v>4</v>
      </c>
      <c r="D1785">
        <v>1</v>
      </c>
      <c r="E1785">
        <v>10230</v>
      </c>
      <c r="F1785">
        <v>177176.35</v>
      </c>
      <c r="G1785">
        <v>0</v>
      </c>
      <c r="H1785">
        <v>0</v>
      </c>
      <c r="I1785">
        <v>0</v>
      </c>
      <c r="J1785">
        <v>0</v>
      </c>
      <c r="K1785">
        <v>64421.72</v>
      </c>
      <c r="L1785">
        <v>29967513.210000001</v>
      </c>
      <c r="M1785">
        <v>29906312.539999999</v>
      </c>
      <c r="N1785">
        <v>29967513.210000001</v>
      </c>
      <c r="O1785">
        <v>29906312.539999999</v>
      </c>
      <c r="P1785">
        <v>31544750.710000001</v>
      </c>
      <c r="Q1785">
        <v>31480328.989999998</v>
      </c>
      <c r="R1785" s="14">
        <f>_xlfn.XLOOKUP(Table2[[#This Row],[LoanID]],Table1[G-L ID],Table1[ManagerCode],-99)</f>
        <v>103</v>
      </c>
      <c r="T1785"/>
    </row>
    <row r="1786" spans="1:20" x14ac:dyDescent="0.25">
      <c r="A1786">
        <v>20130430</v>
      </c>
      <c r="B1786">
        <v>2013</v>
      </c>
      <c r="C1786">
        <v>4</v>
      </c>
      <c r="D1786">
        <v>1</v>
      </c>
      <c r="E1786">
        <v>10280</v>
      </c>
      <c r="F1786">
        <v>181412</v>
      </c>
      <c r="G1786">
        <v>0</v>
      </c>
      <c r="H1786">
        <v>2500</v>
      </c>
      <c r="I1786">
        <v>0</v>
      </c>
      <c r="J1786">
        <v>0</v>
      </c>
      <c r="K1786">
        <v>0</v>
      </c>
      <c r="L1786">
        <v>34650034.649999999</v>
      </c>
      <c r="M1786">
        <v>34650034.649999999</v>
      </c>
      <c r="N1786">
        <v>34650034.649999999</v>
      </c>
      <c r="O1786">
        <v>34650034.649999999</v>
      </c>
      <c r="P1786">
        <v>35000000</v>
      </c>
      <c r="Q1786">
        <v>35000000</v>
      </c>
      <c r="R1786" s="14">
        <f>_xlfn.XLOOKUP(Table2[[#This Row],[LoanID]],Table1[G-L ID],Table1[ManagerCode],-99)</f>
        <v>103</v>
      </c>
      <c r="T1786"/>
    </row>
    <row r="1787" spans="1:20" x14ac:dyDescent="0.25">
      <c r="A1787">
        <v>20130430</v>
      </c>
      <c r="B1787">
        <v>2013</v>
      </c>
      <c r="C1787">
        <v>4</v>
      </c>
      <c r="D1787">
        <v>1</v>
      </c>
      <c r="E1787">
        <v>10290</v>
      </c>
      <c r="F1787">
        <v>171300.83</v>
      </c>
      <c r="G1787">
        <v>0</v>
      </c>
      <c r="H1787">
        <v>0</v>
      </c>
      <c r="I1787">
        <v>0</v>
      </c>
      <c r="J1787">
        <v>0</v>
      </c>
      <c r="K1787">
        <v>0</v>
      </c>
      <c r="L1787">
        <v>23750000</v>
      </c>
      <c r="M1787">
        <v>23750000</v>
      </c>
      <c r="N1787">
        <v>23750000</v>
      </c>
      <c r="O1787">
        <v>23750000</v>
      </c>
      <c r="P1787">
        <v>25000000</v>
      </c>
      <c r="Q1787">
        <v>25000000</v>
      </c>
      <c r="R1787" s="14">
        <f>_xlfn.XLOOKUP(Table2[[#This Row],[LoanID]],Table1[G-L ID],Table1[ManagerCode],-99)</f>
        <v>103</v>
      </c>
      <c r="T1787"/>
    </row>
    <row r="1788" spans="1:20" x14ac:dyDescent="0.25">
      <c r="A1788">
        <v>20130430</v>
      </c>
      <c r="B1788">
        <v>2013</v>
      </c>
      <c r="C1788">
        <v>4</v>
      </c>
      <c r="D1788">
        <v>1</v>
      </c>
      <c r="E1788">
        <v>10300</v>
      </c>
      <c r="F1788">
        <v>149887.93</v>
      </c>
      <c r="G1788">
        <v>0</v>
      </c>
      <c r="H1788">
        <v>0</v>
      </c>
      <c r="I1788">
        <v>0</v>
      </c>
      <c r="J1788">
        <v>0</v>
      </c>
      <c r="K1788">
        <v>0</v>
      </c>
      <c r="L1788">
        <v>38355050.479999997</v>
      </c>
      <c r="M1788">
        <v>38858684.82</v>
      </c>
      <c r="N1788">
        <v>38355050.479999997</v>
      </c>
      <c r="O1788">
        <v>38858684.82</v>
      </c>
      <c r="P1788">
        <v>35000000</v>
      </c>
      <c r="Q1788">
        <v>35000000</v>
      </c>
      <c r="R1788" s="14">
        <f>_xlfn.XLOOKUP(Table2[[#This Row],[LoanID]],Table1[G-L ID],Table1[ManagerCode],-99)</f>
        <v>103</v>
      </c>
      <c r="T1788"/>
    </row>
    <row r="1789" spans="1:20" x14ac:dyDescent="0.25">
      <c r="A1789">
        <v>20130430</v>
      </c>
      <c r="B1789">
        <v>2013</v>
      </c>
      <c r="C1789">
        <v>4</v>
      </c>
      <c r="D1789">
        <v>1</v>
      </c>
      <c r="E1789">
        <v>10310</v>
      </c>
      <c r="F1789">
        <v>98463.38</v>
      </c>
      <c r="G1789">
        <v>0</v>
      </c>
      <c r="H1789">
        <v>0</v>
      </c>
      <c r="I1789">
        <v>0</v>
      </c>
      <c r="J1789">
        <v>0</v>
      </c>
      <c r="K1789">
        <v>21038</v>
      </c>
      <c r="L1789">
        <v>14821577</v>
      </c>
      <c r="M1789">
        <v>14800539</v>
      </c>
      <c r="N1789">
        <v>14821577</v>
      </c>
      <c r="O1789">
        <v>14800539</v>
      </c>
      <c r="P1789">
        <v>14821577</v>
      </c>
      <c r="Q1789">
        <v>14800539</v>
      </c>
      <c r="R1789" s="14">
        <f>_xlfn.XLOOKUP(Table2[[#This Row],[LoanID]],Table1[G-L ID],Table1[ManagerCode],-99)</f>
        <v>183</v>
      </c>
      <c r="T1789"/>
    </row>
    <row r="1790" spans="1:20" x14ac:dyDescent="0.25">
      <c r="A1790">
        <v>20130430</v>
      </c>
      <c r="B1790">
        <v>2013</v>
      </c>
      <c r="C1790">
        <v>4</v>
      </c>
      <c r="D1790">
        <v>1</v>
      </c>
      <c r="E1790">
        <v>10370</v>
      </c>
      <c r="F1790">
        <v>4019.92</v>
      </c>
      <c r="G1790">
        <v>0</v>
      </c>
      <c r="H1790">
        <v>0</v>
      </c>
      <c r="I1790">
        <v>0</v>
      </c>
      <c r="J1790">
        <v>0</v>
      </c>
      <c r="K1790">
        <v>39029.620000000003</v>
      </c>
      <c r="L1790">
        <v>2262692.8199999998</v>
      </c>
      <c r="M1790">
        <v>2225614.69</v>
      </c>
      <c r="N1790">
        <v>2262692.8199999998</v>
      </c>
      <c r="O1790">
        <v>2225614.69</v>
      </c>
      <c r="P1790">
        <v>2381781.92</v>
      </c>
      <c r="Q1790">
        <v>2342752.2999999998</v>
      </c>
      <c r="R1790" s="14">
        <f>_xlfn.XLOOKUP(Table2[[#This Row],[LoanID]],Table1[G-L ID],Table1[ManagerCode],-99)</f>
        <v>103</v>
      </c>
      <c r="T1790"/>
    </row>
    <row r="1791" spans="1:20" x14ac:dyDescent="0.25">
      <c r="A1791">
        <v>20130430</v>
      </c>
      <c r="B1791">
        <v>2013</v>
      </c>
      <c r="C1791">
        <v>4</v>
      </c>
      <c r="D1791">
        <v>1</v>
      </c>
      <c r="E1791">
        <v>10390</v>
      </c>
      <c r="F1791">
        <v>118750</v>
      </c>
      <c r="G1791">
        <v>0</v>
      </c>
      <c r="H1791">
        <v>0</v>
      </c>
      <c r="I1791">
        <v>0</v>
      </c>
      <c r="J1791">
        <v>0</v>
      </c>
      <c r="K1791">
        <v>0</v>
      </c>
      <c r="L1791">
        <v>23750000</v>
      </c>
      <c r="M1791">
        <v>23750000</v>
      </c>
      <c r="N1791">
        <v>23750000</v>
      </c>
      <c r="O1791">
        <v>23750000</v>
      </c>
      <c r="P1791">
        <v>24997346.829999998</v>
      </c>
      <c r="Q1791">
        <v>24997550.91</v>
      </c>
      <c r="R1791" s="14">
        <f>_xlfn.XLOOKUP(Table2[[#This Row],[LoanID]],Table1[G-L ID],Table1[ManagerCode],-99)</f>
        <v>103</v>
      </c>
      <c r="T1791"/>
    </row>
    <row r="1792" spans="1:20" x14ac:dyDescent="0.25">
      <c r="A1792">
        <v>20130430</v>
      </c>
      <c r="B1792">
        <v>2013</v>
      </c>
      <c r="C1792">
        <v>4</v>
      </c>
      <c r="D1792">
        <v>1</v>
      </c>
      <c r="E1792">
        <v>10400</v>
      </c>
      <c r="F1792">
        <v>412687.5</v>
      </c>
      <c r="G1792">
        <v>0</v>
      </c>
      <c r="H1792">
        <v>0</v>
      </c>
      <c r="I1792">
        <v>0</v>
      </c>
      <c r="J1792">
        <v>0</v>
      </c>
      <c r="K1792">
        <v>0</v>
      </c>
      <c r="L1792">
        <v>45000000</v>
      </c>
      <c r="M1792">
        <v>45000000</v>
      </c>
      <c r="N1792">
        <v>45000000</v>
      </c>
      <c r="O1792">
        <v>45000000</v>
      </c>
      <c r="P1792">
        <v>45000000</v>
      </c>
      <c r="Q1792">
        <v>45000000</v>
      </c>
      <c r="R1792" s="14">
        <f>_xlfn.XLOOKUP(Table2[[#This Row],[LoanID]],Table1[G-L ID],Table1[ManagerCode],-99)</f>
        <v>220</v>
      </c>
      <c r="T1792"/>
    </row>
    <row r="1793" spans="1:20" x14ac:dyDescent="0.25">
      <c r="A1793">
        <v>20130430</v>
      </c>
      <c r="B1793">
        <v>2013</v>
      </c>
      <c r="C1793">
        <v>4</v>
      </c>
      <c r="D1793">
        <v>1</v>
      </c>
      <c r="E1793">
        <v>10460</v>
      </c>
      <c r="F1793">
        <v>104208.33</v>
      </c>
      <c r="G1793">
        <v>0</v>
      </c>
      <c r="H1793">
        <v>0</v>
      </c>
      <c r="I1793">
        <v>0</v>
      </c>
      <c r="J1793">
        <v>0</v>
      </c>
      <c r="K1793">
        <v>0</v>
      </c>
      <c r="L1793">
        <v>25643534.829999998</v>
      </c>
      <c r="M1793">
        <v>25611219.57</v>
      </c>
      <c r="N1793">
        <v>25643534.829999998</v>
      </c>
      <c r="O1793">
        <v>25611219.57</v>
      </c>
      <c r="P1793">
        <v>25000000.010000002</v>
      </c>
      <c r="Q1793">
        <v>25000000.010000002</v>
      </c>
      <c r="R1793" s="14">
        <f>_xlfn.XLOOKUP(Table2[[#This Row],[LoanID]],Table1[G-L ID],Table1[ManagerCode],-99)</f>
        <v>103</v>
      </c>
      <c r="T1793"/>
    </row>
    <row r="1794" spans="1:20" x14ac:dyDescent="0.25">
      <c r="A1794">
        <v>20130430</v>
      </c>
      <c r="B1794">
        <v>2013</v>
      </c>
      <c r="C1794">
        <v>4</v>
      </c>
      <c r="D1794">
        <v>1</v>
      </c>
      <c r="E1794">
        <v>10490</v>
      </c>
      <c r="F1794">
        <v>158538.1</v>
      </c>
      <c r="G1794">
        <v>0</v>
      </c>
      <c r="H1794">
        <v>0</v>
      </c>
      <c r="I1794">
        <v>0</v>
      </c>
      <c r="J1794">
        <v>0</v>
      </c>
      <c r="K1794">
        <v>0</v>
      </c>
      <c r="L1794">
        <v>17534168</v>
      </c>
      <c r="M1794">
        <v>17534168</v>
      </c>
      <c r="N1794">
        <v>17534168</v>
      </c>
      <c r="O1794">
        <v>17534168</v>
      </c>
      <c r="P1794">
        <v>17534168</v>
      </c>
      <c r="Q1794">
        <v>17534168</v>
      </c>
      <c r="R1794" s="14">
        <f>_xlfn.XLOOKUP(Table2[[#This Row],[LoanID]],Table1[G-L ID],Table1[ManagerCode],-99)</f>
        <v>220</v>
      </c>
      <c r="T1794"/>
    </row>
    <row r="1795" spans="1:20" x14ac:dyDescent="0.25">
      <c r="A1795">
        <v>20130430</v>
      </c>
      <c r="B1795">
        <v>2013</v>
      </c>
      <c r="C1795">
        <v>4</v>
      </c>
      <c r="D1795">
        <v>1</v>
      </c>
      <c r="E1795">
        <v>10550</v>
      </c>
      <c r="F1795">
        <v>13283.84</v>
      </c>
      <c r="G1795">
        <v>0</v>
      </c>
      <c r="H1795">
        <v>0</v>
      </c>
      <c r="I1795">
        <v>-7.57</v>
      </c>
      <c r="J1795">
        <v>0</v>
      </c>
      <c r="K1795">
        <v>1928827.37</v>
      </c>
      <c r="L1795">
        <v>1928827.37</v>
      </c>
      <c r="M1795">
        <v>0</v>
      </c>
      <c r="N1795">
        <v>1928827.37</v>
      </c>
      <c r="O1795">
        <v>0</v>
      </c>
      <c r="P1795">
        <v>1928827.37</v>
      </c>
      <c r="Q1795">
        <v>0</v>
      </c>
      <c r="R1795" s="14">
        <f>_xlfn.XLOOKUP(Table2[[#This Row],[LoanID]],Table1[G-L ID],Table1[ManagerCode],-99)</f>
        <v>103</v>
      </c>
      <c r="T1795"/>
    </row>
    <row r="1796" spans="1:20" x14ac:dyDescent="0.25">
      <c r="A1796">
        <v>20130430</v>
      </c>
      <c r="B1796">
        <v>2013</v>
      </c>
      <c r="C1796">
        <v>4</v>
      </c>
      <c r="D1796">
        <v>1</v>
      </c>
      <c r="E1796">
        <v>10560</v>
      </c>
      <c r="F1796">
        <v>327667.98</v>
      </c>
      <c r="G1796">
        <v>0</v>
      </c>
      <c r="H1796">
        <v>0</v>
      </c>
      <c r="I1796">
        <v>-186.59</v>
      </c>
      <c r="J1796">
        <v>0</v>
      </c>
      <c r="K1796">
        <v>47577741.850000001</v>
      </c>
      <c r="L1796">
        <v>47577741.850000001</v>
      </c>
      <c r="M1796">
        <v>0</v>
      </c>
      <c r="N1796">
        <v>47577741.850000001</v>
      </c>
      <c r="O1796">
        <v>0</v>
      </c>
      <c r="P1796">
        <v>47577741.560000002</v>
      </c>
      <c r="Q1796">
        <v>0</v>
      </c>
      <c r="R1796" s="14">
        <f>_xlfn.XLOOKUP(Table2[[#This Row],[LoanID]],Table1[G-L ID],Table1[ManagerCode],-99)</f>
        <v>103</v>
      </c>
      <c r="T1796"/>
    </row>
    <row r="1797" spans="1:20" x14ac:dyDescent="0.25">
      <c r="A1797">
        <v>20130430</v>
      </c>
      <c r="B1797">
        <v>2013</v>
      </c>
      <c r="C1797">
        <v>4</v>
      </c>
      <c r="D1797">
        <v>1</v>
      </c>
      <c r="E1797">
        <v>10591</v>
      </c>
      <c r="F1797">
        <v>0</v>
      </c>
      <c r="G1797">
        <v>0</v>
      </c>
      <c r="H1797">
        <v>0</v>
      </c>
      <c r="I1797">
        <v>0</v>
      </c>
      <c r="J1797">
        <v>0</v>
      </c>
      <c r="K1797">
        <v>0</v>
      </c>
      <c r="L1797">
        <v>26250000</v>
      </c>
      <c r="M1797">
        <v>26250000</v>
      </c>
      <c r="N1797">
        <v>26250000</v>
      </c>
      <c r="O1797">
        <v>26250000</v>
      </c>
      <c r="P1797">
        <v>26250000</v>
      </c>
      <c r="Q1797">
        <v>26250000</v>
      </c>
      <c r="R1797" s="14">
        <f>_xlfn.XLOOKUP(Table2[[#This Row],[LoanID]],Table1[G-L ID],Table1[ManagerCode],-99)</f>
        <v>220</v>
      </c>
      <c r="T1797"/>
    </row>
    <row r="1798" spans="1:20" x14ac:dyDescent="0.25">
      <c r="A1798">
        <v>20130430</v>
      </c>
      <c r="B1798">
        <v>2013</v>
      </c>
      <c r="C1798">
        <v>4</v>
      </c>
      <c r="D1798">
        <v>1</v>
      </c>
      <c r="E1798">
        <v>10592</v>
      </c>
      <c r="F1798">
        <v>0</v>
      </c>
      <c r="G1798">
        <v>0</v>
      </c>
      <c r="H1798">
        <v>0</v>
      </c>
      <c r="I1798">
        <v>0</v>
      </c>
      <c r="J1798">
        <v>0</v>
      </c>
      <c r="K1798">
        <v>0</v>
      </c>
      <c r="L1798">
        <v>38750000</v>
      </c>
      <c r="M1798">
        <v>38750000</v>
      </c>
      <c r="N1798">
        <v>38750000</v>
      </c>
      <c r="O1798">
        <v>38750000</v>
      </c>
      <c r="P1798">
        <v>38750000</v>
      </c>
      <c r="Q1798">
        <v>38750000</v>
      </c>
      <c r="R1798" s="14">
        <f>_xlfn.XLOOKUP(Table2[[#This Row],[LoanID]],Table1[G-L ID],Table1[ManagerCode],-99)</f>
        <v>220</v>
      </c>
      <c r="T1798"/>
    </row>
    <row r="1799" spans="1:20" x14ac:dyDescent="0.25">
      <c r="A1799">
        <v>20130430</v>
      </c>
      <c r="B1799">
        <v>2013</v>
      </c>
      <c r="C1799">
        <v>4</v>
      </c>
      <c r="D1799">
        <v>1</v>
      </c>
      <c r="E1799">
        <v>10630</v>
      </c>
      <c r="F1799">
        <v>47835.97</v>
      </c>
      <c r="G1799">
        <v>0</v>
      </c>
      <c r="H1799">
        <v>0</v>
      </c>
      <c r="I1799">
        <v>0.01</v>
      </c>
      <c r="J1799">
        <v>0</v>
      </c>
      <c r="K1799">
        <v>14780.12</v>
      </c>
      <c r="L1799">
        <v>9239058.2699999996</v>
      </c>
      <c r="M1799">
        <v>9200665.7300000004</v>
      </c>
      <c r="N1799">
        <v>9239058.2699999996</v>
      </c>
      <c r="O1799">
        <v>9200665.7300000004</v>
      </c>
      <c r="P1799">
        <v>8955250.4800000004</v>
      </c>
      <c r="Q1799">
        <v>8940470.3599999994</v>
      </c>
      <c r="R1799" s="14">
        <f>_xlfn.XLOOKUP(Table2[[#This Row],[LoanID]],Table1[G-L ID],Table1[ManagerCode],-99)</f>
        <v>103</v>
      </c>
      <c r="T1799"/>
    </row>
    <row r="1800" spans="1:20" x14ac:dyDescent="0.25">
      <c r="A1800">
        <v>20130430</v>
      </c>
      <c r="B1800">
        <v>2013</v>
      </c>
      <c r="C1800">
        <v>4</v>
      </c>
      <c r="D1800">
        <v>1</v>
      </c>
      <c r="E1800">
        <v>10690</v>
      </c>
      <c r="F1800">
        <v>31067.87</v>
      </c>
      <c r="G1800">
        <v>20049.55</v>
      </c>
      <c r="H1800">
        <v>0</v>
      </c>
      <c r="I1800">
        <v>0</v>
      </c>
      <c r="J1800">
        <v>-1958149.55</v>
      </c>
      <c r="K1800">
        <v>0</v>
      </c>
      <c r="L1800">
        <v>4318901.93</v>
      </c>
      <c r="M1800">
        <v>6297101.0300000003</v>
      </c>
      <c r="N1800">
        <v>4318901.93</v>
      </c>
      <c r="O1800">
        <v>6297101.0300000003</v>
      </c>
      <c r="P1800">
        <v>4318901.93</v>
      </c>
      <c r="Q1800">
        <v>6297101.0300000003</v>
      </c>
      <c r="R1800" s="14">
        <f>_xlfn.XLOOKUP(Table2[[#This Row],[LoanID]],Table1[G-L ID],Table1[ManagerCode],-99)</f>
        <v>183</v>
      </c>
      <c r="T1800"/>
    </row>
    <row r="1801" spans="1:20" x14ac:dyDescent="0.25">
      <c r="A1801">
        <v>20130430</v>
      </c>
      <c r="B1801">
        <v>2013</v>
      </c>
      <c r="C1801">
        <v>4</v>
      </c>
      <c r="D1801">
        <v>1</v>
      </c>
      <c r="E1801">
        <v>10820</v>
      </c>
      <c r="F1801">
        <v>175041.78</v>
      </c>
      <c r="G1801">
        <v>0</v>
      </c>
      <c r="H1801">
        <v>0</v>
      </c>
      <c r="I1801">
        <v>0</v>
      </c>
      <c r="J1801">
        <v>0</v>
      </c>
      <c r="K1801">
        <v>0</v>
      </c>
      <c r="L1801">
        <v>21397297</v>
      </c>
      <c r="M1801">
        <v>21397297</v>
      </c>
      <c r="N1801">
        <v>21397297</v>
      </c>
      <c r="O1801">
        <v>21397297</v>
      </c>
      <c r="P1801">
        <v>21397297</v>
      </c>
      <c r="Q1801">
        <v>21397297</v>
      </c>
      <c r="R1801" s="14">
        <f>_xlfn.XLOOKUP(Table2[[#This Row],[LoanID]],Table1[G-L ID],Table1[ManagerCode],-99)</f>
        <v>220</v>
      </c>
      <c r="T1801"/>
    </row>
    <row r="1802" spans="1:20" x14ac:dyDescent="0.25">
      <c r="A1802">
        <v>20130430</v>
      </c>
      <c r="B1802">
        <v>2013</v>
      </c>
      <c r="C1802">
        <v>4</v>
      </c>
      <c r="D1802">
        <v>1</v>
      </c>
      <c r="E1802">
        <v>10830</v>
      </c>
      <c r="F1802">
        <v>57113.55</v>
      </c>
      <c r="G1802">
        <v>0</v>
      </c>
      <c r="H1802">
        <v>0</v>
      </c>
      <c r="I1802">
        <v>0</v>
      </c>
      <c r="J1802">
        <v>0</v>
      </c>
      <c r="K1802">
        <v>0</v>
      </c>
      <c r="L1802">
        <v>6981622</v>
      </c>
      <c r="M1802">
        <v>6981622</v>
      </c>
      <c r="N1802">
        <v>6981622</v>
      </c>
      <c r="O1802">
        <v>6981622</v>
      </c>
      <c r="P1802">
        <v>6981622</v>
      </c>
      <c r="Q1802">
        <v>6981622</v>
      </c>
      <c r="R1802" s="14">
        <f>_xlfn.XLOOKUP(Table2[[#This Row],[LoanID]],Table1[G-L ID],Table1[ManagerCode],-99)</f>
        <v>220</v>
      </c>
      <c r="T1802"/>
    </row>
    <row r="1803" spans="1:20" x14ac:dyDescent="0.25">
      <c r="A1803">
        <v>20130430</v>
      </c>
      <c r="B1803">
        <v>2013</v>
      </c>
      <c r="C1803">
        <v>4</v>
      </c>
      <c r="D1803">
        <v>1</v>
      </c>
      <c r="E1803">
        <v>10840</v>
      </c>
      <c r="F1803">
        <v>103968.23</v>
      </c>
      <c r="G1803">
        <v>0</v>
      </c>
      <c r="H1803">
        <v>0</v>
      </c>
      <c r="I1803">
        <v>0</v>
      </c>
      <c r="J1803">
        <v>0</v>
      </c>
      <c r="K1803">
        <v>0</v>
      </c>
      <c r="L1803">
        <v>12709189</v>
      </c>
      <c r="M1803">
        <v>12709189</v>
      </c>
      <c r="N1803">
        <v>12709189</v>
      </c>
      <c r="O1803">
        <v>12709189</v>
      </c>
      <c r="P1803">
        <v>12709189</v>
      </c>
      <c r="Q1803">
        <v>12709189</v>
      </c>
      <c r="R1803" s="14">
        <f>_xlfn.XLOOKUP(Table2[[#This Row],[LoanID]],Table1[G-L ID],Table1[ManagerCode],-99)</f>
        <v>220</v>
      </c>
      <c r="T1803"/>
    </row>
    <row r="1804" spans="1:20" x14ac:dyDescent="0.25">
      <c r="A1804">
        <v>20130430</v>
      </c>
      <c r="B1804">
        <v>2013</v>
      </c>
      <c r="C1804">
        <v>4</v>
      </c>
      <c r="D1804">
        <v>1</v>
      </c>
      <c r="E1804">
        <v>10850</v>
      </c>
      <c r="F1804">
        <v>110534.78</v>
      </c>
      <c r="G1804">
        <v>0</v>
      </c>
      <c r="H1804">
        <v>0</v>
      </c>
      <c r="I1804">
        <v>0</v>
      </c>
      <c r="J1804">
        <v>0</v>
      </c>
      <c r="K1804">
        <v>0</v>
      </c>
      <c r="L1804">
        <v>13511892</v>
      </c>
      <c r="M1804">
        <v>13511892</v>
      </c>
      <c r="N1804">
        <v>13511892</v>
      </c>
      <c r="O1804">
        <v>13511892</v>
      </c>
      <c r="P1804">
        <v>13511892</v>
      </c>
      <c r="Q1804">
        <v>13511892</v>
      </c>
      <c r="R1804" s="14">
        <f>_xlfn.XLOOKUP(Table2[[#This Row],[LoanID]],Table1[G-L ID],Table1[ManagerCode],-99)</f>
        <v>220</v>
      </c>
      <c r="T1804"/>
    </row>
    <row r="1805" spans="1:20" x14ac:dyDescent="0.25">
      <c r="A1805">
        <v>20130430</v>
      </c>
      <c r="B1805">
        <v>2013</v>
      </c>
      <c r="C1805">
        <v>4</v>
      </c>
      <c r="D1805">
        <v>1</v>
      </c>
      <c r="E1805">
        <v>10880</v>
      </c>
      <c r="F1805">
        <v>315494.93</v>
      </c>
      <c r="G1805">
        <v>0</v>
      </c>
      <c r="H1805">
        <v>0</v>
      </c>
      <c r="I1805">
        <v>0</v>
      </c>
      <c r="J1805">
        <v>0</v>
      </c>
      <c r="K1805">
        <v>0</v>
      </c>
      <c r="L1805">
        <v>199128907.80000001</v>
      </c>
      <c r="M1805">
        <v>199354984.09999999</v>
      </c>
      <c r="N1805">
        <v>199128907.80000001</v>
      </c>
      <c r="O1805">
        <v>199354984.09999999</v>
      </c>
      <c r="P1805">
        <v>201744599.09999999</v>
      </c>
      <c r="Q1805">
        <v>201744599.09999999</v>
      </c>
      <c r="R1805" s="14">
        <f>_xlfn.XLOOKUP(Table2[[#This Row],[LoanID]],Table1[G-L ID],Table1[ManagerCode],-99)</f>
        <v>103</v>
      </c>
      <c r="T1805"/>
    </row>
    <row r="1806" spans="1:20" x14ac:dyDescent="0.25">
      <c r="A1806">
        <v>20130430</v>
      </c>
      <c r="B1806">
        <v>2013</v>
      </c>
      <c r="C1806">
        <v>4</v>
      </c>
      <c r="D1806">
        <v>1</v>
      </c>
      <c r="E1806">
        <v>10900</v>
      </c>
      <c r="F1806">
        <v>81319.58</v>
      </c>
      <c r="G1806">
        <v>0</v>
      </c>
      <c r="H1806">
        <v>0</v>
      </c>
      <c r="I1806">
        <v>0</v>
      </c>
      <c r="J1806">
        <v>0</v>
      </c>
      <c r="K1806">
        <v>2297.48</v>
      </c>
      <c r="L1806">
        <v>8155805</v>
      </c>
      <c r="M1806">
        <v>8153622.3899999997</v>
      </c>
      <c r="N1806">
        <v>8155805</v>
      </c>
      <c r="O1806">
        <v>8153622.3899999997</v>
      </c>
      <c r="P1806">
        <v>8585057.8800000008</v>
      </c>
      <c r="Q1806">
        <v>8582760.4000000004</v>
      </c>
      <c r="R1806" s="14">
        <f>_xlfn.XLOOKUP(Table2[[#This Row],[LoanID]],Table1[G-L ID],Table1[ManagerCode],-99)</f>
        <v>103</v>
      </c>
      <c r="T1806"/>
    </row>
    <row r="1807" spans="1:20" x14ac:dyDescent="0.25">
      <c r="A1807">
        <v>20130430</v>
      </c>
      <c r="B1807">
        <v>2013</v>
      </c>
      <c r="C1807">
        <v>4</v>
      </c>
      <c r="D1807">
        <v>1</v>
      </c>
      <c r="E1807">
        <v>10920</v>
      </c>
      <c r="F1807">
        <v>114583.33</v>
      </c>
      <c r="G1807">
        <v>0</v>
      </c>
      <c r="H1807">
        <v>0</v>
      </c>
      <c r="I1807">
        <v>0</v>
      </c>
      <c r="J1807">
        <v>0</v>
      </c>
      <c r="K1807">
        <v>0</v>
      </c>
      <c r="L1807">
        <v>11000000</v>
      </c>
      <c r="M1807">
        <v>11000000</v>
      </c>
      <c r="N1807">
        <v>11000000</v>
      </c>
      <c r="O1807">
        <v>11000000</v>
      </c>
      <c r="P1807">
        <v>11000000</v>
      </c>
      <c r="Q1807">
        <v>11000000</v>
      </c>
      <c r="R1807" s="14">
        <f>_xlfn.XLOOKUP(Table2[[#This Row],[LoanID]],Table1[G-L ID],Table1[ManagerCode],-99)</f>
        <v>183</v>
      </c>
      <c r="T1807"/>
    </row>
    <row r="1808" spans="1:20" x14ac:dyDescent="0.25">
      <c r="A1808">
        <v>20130430</v>
      </c>
      <c r="B1808">
        <v>2013</v>
      </c>
      <c r="C1808">
        <v>4</v>
      </c>
      <c r="D1808">
        <v>1</v>
      </c>
      <c r="E1808">
        <v>10950</v>
      </c>
      <c r="F1808">
        <v>51507.7</v>
      </c>
      <c r="G1808">
        <v>0</v>
      </c>
      <c r="H1808">
        <v>0</v>
      </c>
      <c r="I1808">
        <v>0</v>
      </c>
      <c r="J1808">
        <v>0</v>
      </c>
      <c r="K1808">
        <v>25515.32</v>
      </c>
      <c r="L1808">
        <v>10266970.99</v>
      </c>
      <c r="M1808">
        <v>10241710.84</v>
      </c>
      <c r="N1808">
        <v>10266970.99</v>
      </c>
      <c r="O1808">
        <v>10241710.84</v>
      </c>
      <c r="P1808">
        <v>10370677.77</v>
      </c>
      <c r="Q1808">
        <v>10345162.449999999</v>
      </c>
      <c r="R1808" s="14">
        <f>_xlfn.XLOOKUP(Table2[[#This Row],[LoanID]],Table1[G-L ID],Table1[ManagerCode],-99)</f>
        <v>103</v>
      </c>
      <c r="T1808"/>
    </row>
    <row r="1809" spans="1:20" x14ac:dyDescent="0.25">
      <c r="A1809">
        <v>20130430</v>
      </c>
      <c r="B1809">
        <v>2013</v>
      </c>
      <c r="C1809">
        <v>4</v>
      </c>
      <c r="D1809">
        <v>1</v>
      </c>
      <c r="E1809">
        <v>10980</v>
      </c>
      <c r="F1809">
        <v>156040.70000000001</v>
      </c>
      <c r="G1809">
        <v>18302.5</v>
      </c>
      <c r="H1809">
        <v>0</v>
      </c>
      <c r="I1809">
        <v>0</v>
      </c>
      <c r="J1809">
        <v>-2070800.43</v>
      </c>
      <c r="K1809">
        <v>0</v>
      </c>
      <c r="L1809">
        <v>21752651.109999999</v>
      </c>
      <c r="M1809">
        <v>23841754.039999999</v>
      </c>
      <c r="N1809">
        <v>21752651.109999999</v>
      </c>
      <c r="O1809">
        <v>23841754.039999999</v>
      </c>
      <c r="P1809">
        <v>21752651.109999999</v>
      </c>
      <c r="Q1809">
        <v>23841754.039999999</v>
      </c>
      <c r="R1809" s="14">
        <f>_xlfn.XLOOKUP(Table2[[#This Row],[LoanID]],Table1[G-L ID],Table1[ManagerCode],-99)</f>
        <v>183</v>
      </c>
      <c r="T1809"/>
    </row>
    <row r="1810" spans="1:20" x14ac:dyDescent="0.25">
      <c r="A1810">
        <v>20130430</v>
      </c>
      <c r="B1810">
        <v>2013</v>
      </c>
      <c r="C1810">
        <v>4</v>
      </c>
      <c r="D1810">
        <v>1</v>
      </c>
      <c r="E1810">
        <v>11020</v>
      </c>
      <c r="F1810">
        <v>112000</v>
      </c>
      <c r="G1810">
        <v>0</v>
      </c>
      <c r="H1810">
        <v>0</v>
      </c>
      <c r="I1810">
        <v>0</v>
      </c>
      <c r="J1810">
        <v>0</v>
      </c>
      <c r="K1810">
        <v>0</v>
      </c>
      <c r="L1810">
        <v>12000000</v>
      </c>
      <c r="M1810">
        <v>12000000</v>
      </c>
      <c r="N1810">
        <v>12000000</v>
      </c>
      <c r="O1810">
        <v>12000000</v>
      </c>
      <c r="P1810">
        <v>12000000</v>
      </c>
      <c r="Q1810">
        <v>12000000</v>
      </c>
      <c r="R1810" s="14">
        <f>_xlfn.XLOOKUP(Table2[[#This Row],[LoanID]],Table1[G-L ID],Table1[ManagerCode],-99)</f>
        <v>119</v>
      </c>
      <c r="T1810"/>
    </row>
    <row r="1811" spans="1:20" x14ac:dyDescent="0.25">
      <c r="A1811">
        <v>20130430</v>
      </c>
      <c r="B1811">
        <v>2013</v>
      </c>
      <c r="C1811">
        <v>4</v>
      </c>
      <c r="D1811">
        <v>1</v>
      </c>
      <c r="E1811">
        <v>11050</v>
      </c>
      <c r="F1811">
        <v>110286</v>
      </c>
      <c r="G1811">
        <v>0</v>
      </c>
      <c r="H1811">
        <v>0</v>
      </c>
      <c r="I1811">
        <v>0</v>
      </c>
      <c r="J1811">
        <v>-3056463.23</v>
      </c>
      <c r="K1811">
        <v>0</v>
      </c>
      <c r="L1811">
        <v>12551355.18</v>
      </c>
      <c r="M1811">
        <v>15607818.41</v>
      </c>
      <c r="N1811">
        <v>12551355.18</v>
      </c>
      <c r="O1811">
        <v>15607818.41</v>
      </c>
      <c r="P1811">
        <v>12551355.18</v>
      </c>
      <c r="Q1811">
        <v>15607818.41</v>
      </c>
      <c r="R1811" s="14">
        <f>_xlfn.XLOOKUP(Table2[[#This Row],[LoanID]],Table1[G-L ID],Table1[ManagerCode],-99)</f>
        <v>220</v>
      </c>
      <c r="T1811"/>
    </row>
    <row r="1812" spans="1:20" x14ac:dyDescent="0.25">
      <c r="A1812">
        <v>20130430</v>
      </c>
      <c r="B1812">
        <v>2013</v>
      </c>
      <c r="C1812">
        <v>4</v>
      </c>
      <c r="D1812">
        <v>1</v>
      </c>
      <c r="E1812">
        <v>11070</v>
      </c>
      <c r="F1812">
        <v>145802.96</v>
      </c>
      <c r="G1812">
        <v>0</v>
      </c>
      <c r="H1812">
        <v>0</v>
      </c>
      <c r="I1812">
        <v>0</v>
      </c>
      <c r="J1812">
        <v>0</v>
      </c>
      <c r="K1812">
        <v>13821.88</v>
      </c>
      <c r="L1812">
        <v>13970227.960000001</v>
      </c>
      <c r="M1812">
        <v>13959170.460000001</v>
      </c>
      <c r="N1812">
        <v>13970227.960000001</v>
      </c>
      <c r="O1812">
        <v>13959170.460000001</v>
      </c>
      <c r="P1812">
        <v>17462767.489999998</v>
      </c>
      <c r="Q1812">
        <v>17448945.609999999</v>
      </c>
      <c r="R1812" s="14">
        <f>_xlfn.XLOOKUP(Table2[[#This Row],[LoanID]],Table1[G-L ID],Table1[ManagerCode],-99)</f>
        <v>103</v>
      </c>
      <c r="T1812"/>
    </row>
    <row r="1813" spans="1:20" x14ac:dyDescent="0.25">
      <c r="A1813">
        <v>20130430</v>
      </c>
      <c r="B1813">
        <v>2013</v>
      </c>
      <c r="C1813">
        <v>4</v>
      </c>
      <c r="D1813">
        <v>1</v>
      </c>
      <c r="E1813">
        <v>11110</v>
      </c>
      <c r="F1813">
        <v>100808.87</v>
      </c>
      <c r="G1813">
        <v>0</v>
      </c>
      <c r="H1813">
        <v>0</v>
      </c>
      <c r="I1813">
        <v>0</v>
      </c>
      <c r="J1813">
        <v>-69872.350000000006</v>
      </c>
      <c r="K1813">
        <v>0</v>
      </c>
      <c r="L1813">
        <v>13947431.140000001</v>
      </c>
      <c r="M1813">
        <v>14017303.49</v>
      </c>
      <c r="N1813">
        <v>13947431.140000001</v>
      </c>
      <c r="O1813">
        <v>14017303.49</v>
      </c>
      <c r="P1813">
        <v>13947431.140000001</v>
      </c>
      <c r="Q1813">
        <v>14017303.49</v>
      </c>
      <c r="R1813" s="14">
        <f>_xlfn.XLOOKUP(Table2[[#This Row],[LoanID]],Table1[G-L ID],Table1[ManagerCode],-99)</f>
        <v>183</v>
      </c>
      <c r="T1813"/>
    </row>
    <row r="1814" spans="1:20" x14ac:dyDescent="0.25">
      <c r="A1814">
        <v>20130430</v>
      </c>
      <c r="B1814">
        <v>2013</v>
      </c>
      <c r="C1814">
        <v>4</v>
      </c>
      <c r="D1814">
        <v>1</v>
      </c>
      <c r="E1814">
        <v>11140</v>
      </c>
      <c r="F1814">
        <v>558363.03</v>
      </c>
      <c r="G1814">
        <v>0</v>
      </c>
      <c r="H1814">
        <v>0</v>
      </c>
      <c r="I1814">
        <v>0</v>
      </c>
      <c r="J1814">
        <v>0</v>
      </c>
      <c r="K1814">
        <v>0</v>
      </c>
      <c r="L1814">
        <v>71711993.859999999</v>
      </c>
      <c r="M1814">
        <v>71711993.859999999</v>
      </c>
      <c r="N1814">
        <v>71711993.859999999</v>
      </c>
      <c r="O1814">
        <v>71711993.859999999</v>
      </c>
      <c r="P1814">
        <v>72436285</v>
      </c>
      <c r="Q1814">
        <v>72436285</v>
      </c>
      <c r="R1814" s="14">
        <f>_xlfn.XLOOKUP(Table2[[#This Row],[LoanID]],Table1[G-L ID],Table1[ManagerCode],-99)</f>
        <v>103</v>
      </c>
      <c r="T1814"/>
    </row>
    <row r="1815" spans="1:20" x14ac:dyDescent="0.25">
      <c r="A1815">
        <v>20130430</v>
      </c>
      <c r="B1815">
        <v>2013</v>
      </c>
      <c r="C1815">
        <v>4</v>
      </c>
      <c r="D1815">
        <v>1</v>
      </c>
      <c r="E1815">
        <v>11190</v>
      </c>
      <c r="F1815">
        <v>1343654.01</v>
      </c>
      <c r="G1815">
        <v>0</v>
      </c>
      <c r="H1815">
        <v>0</v>
      </c>
      <c r="I1815">
        <v>-1721.97</v>
      </c>
      <c r="J1815">
        <v>0</v>
      </c>
      <c r="K1815">
        <v>0</v>
      </c>
      <c r="L1815">
        <v>189972289.90000001</v>
      </c>
      <c r="M1815">
        <v>189972289.90000001</v>
      </c>
      <c r="N1815">
        <v>189972289.90000001</v>
      </c>
      <c r="O1815">
        <v>189972289.90000001</v>
      </c>
      <c r="P1815">
        <v>199970831.5</v>
      </c>
      <c r="Q1815">
        <v>199970831.5</v>
      </c>
      <c r="R1815" s="14">
        <f>_xlfn.XLOOKUP(Table2[[#This Row],[LoanID]],Table1[G-L ID],Table1[ManagerCode],-99)</f>
        <v>103</v>
      </c>
      <c r="T1815"/>
    </row>
    <row r="1816" spans="1:20" x14ac:dyDescent="0.25">
      <c r="A1816">
        <v>20130430</v>
      </c>
      <c r="B1816">
        <v>2013</v>
      </c>
      <c r="C1816">
        <v>4</v>
      </c>
      <c r="D1816">
        <v>1</v>
      </c>
      <c r="E1816">
        <v>11220</v>
      </c>
      <c r="F1816">
        <v>311937.5</v>
      </c>
      <c r="G1816">
        <v>0</v>
      </c>
      <c r="H1816">
        <v>0</v>
      </c>
      <c r="I1816">
        <v>0</v>
      </c>
      <c r="J1816">
        <v>0</v>
      </c>
      <c r="K1816">
        <v>0</v>
      </c>
      <c r="L1816">
        <v>34500000</v>
      </c>
      <c r="M1816">
        <v>34500000</v>
      </c>
      <c r="N1816">
        <v>34500000</v>
      </c>
      <c r="O1816">
        <v>34500000</v>
      </c>
      <c r="P1816">
        <v>34500000</v>
      </c>
      <c r="Q1816">
        <v>34500000</v>
      </c>
      <c r="R1816" s="14">
        <f>_xlfn.XLOOKUP(Table2[[#This Row],[LoanID]],Table1[G-L ID],Table1[ManagerCode],-99)</f>
        <v>220</v>
      </c>
      <c r="T1816"/>
    </row>
    <row r="1817" spans="1:20" x14ac:dyDescent="0.25">
      <c r="A1817">
        <v>20130430</v>
      </c>
      <c r="B1817">
        <v>2013</v>
      </c>
      <c r="C1817">
        <v>4</v>
      </c>
      <c r="D1817">
        <v>1</v>
      </c>
      <c r="E1817">
        <v>11230</v>
      </c>
      <c r="F1817">
        <v>247419.84</v>
      </c>
      <c r="G1817">
        <v>0</v>
      </c>
      <c r="H1817">
        <v>0</v>
      </c>
      <c r="I1817">
        <v>0</v>
      </c>
      <c r="J1817">
        <v>0</v>
      </c>
      <c r="K1817">
        <v>0</v>
      </c>
      <c r="L1817">
        <v>175436664</v>
      </c>
      <c r="M1817">
        <v>175436664</v>
      </c>
      <c r="N1817">
        <v>175436664</v>
      </c>
      <c r="O1817">
        <v>175436664</v>
      </c>
      <c r="P1817">
        <v>194929626.59999999</v>
      </c>
      <c r="Q1817">
        <v>194929626.59999999</v>
      </c>
      <c r="R1817" s="14">
        <f>_xlfn.XLOOKUP(Table2[[#This Row],[LoanID]],Table1[G-L ID],Table1[ManagerCode],-99)</f>
        <v>103</v>
      </c>
      <c r="T1817"/>
    </row>
    <row r="1818" spans="1:20" x14ac:dyDescent="0.25">
      <c r="A1818">
        <v>20130430</v>
      </c>
      <c r="B1818">
        <v>2013</v>
      </c>
      <c r="C1818">
        <v>4</v>
      </c>
      <c r="D1818">
        <v>1</v>
      </c>
      <c r="E1818">
        <v>11280</v>
      </c>
      <c r="F1818">
        <v>23527.53</v>
      </c>
      <c r="G1818">
        <v>0</v>
      </c>
      <c r="H1818">
        <v>0</v>
      </c>
      <c r="I1818">
        <v>-156.59</v>
      </c>
      <c r="J1818">
        <v>0</v>
      </c>
      <c r="K1818">
        <v>0</v>
      </c>
      <c r="L1818">
        <v>18603211.800000001</v>
      </c>
      <c r="M1818">
        <v>18603211.800000001</v>
      </c>
      <c r="N1818">
        <v>18603211.800000001</v>
      </c>
      <c r="O1818">
        <v>18603211.800000001</v>
      </c>
      <c r="P1818">
        <v>18791123.030000001</v>
      </c>
      <c r="Q1818">
        <v>18791123.030000001</v>
      </c>
      <c r="R1818" s="14">
        <f>_xlfn.XLOOKUP(Table2[[#This Row],[LoanID]],Table1[G-L ID],Table1[ManagerCode],-99)</f>
        <v>103</v>
      </c>
      <c r="T1818"/>
    </row>
    <row r="1819" spans="1:20" x14ac:dyDescent="0.25">
      <c r="A1819">
        <v>20130430</v>
      </c>
      <c r="B1819">
        <v>2013</v>
      </c>
      <c r="C1819">
        <v>4</v>
      </c>
      <c r="D1819">
        <v>1</v>
      </c>
      <c r="E1819">
        <v>11300</v>
      </c>
      <c r="F1819">
        <v>21174.78</v>
      </c>
      <c r="G1819">
        <v>0</v>
      </c>
      <c r="H1819">
        <v>0</v>
      </c>
      <c r="I1819">
        <v>-140.93</v>
      </c>
      <c r="J1819">
        <v>0</v>
      </c>
      <c r="K1819">
        <v>0</v>
      </c>
      <c r="L1819">
        <v>16742890.619999999</v>
      </c>
      <c r="M1819">
        <v>16742890.619999999</v>
      </c>
      <c r="N1819">
        <v>16742890.619999999</v>
      </c>
      <c r="O1819">
        <v>16742890.619999999</v>
      </c>
      <c r="P1819">
        <v>16912010.73</v>
      </c>
      <c r="Q1819">
        <v>16912010.73</v>
      </c>
      <c r="R1819" s="14">
        <f>_xlfn.XLOOKUP(Table2[[#This Row],[LoanID]],Table1[G-L ID],Table1[ManagerCode],-99)</f>
        <v>103</v>
      </c>
      <c r="T1819"/>
    </row>
    <row r="1820" spans="1:20" x14ac:dyDescent="0.25">
      <c r="A1820">
        <v>20130430</v>
      </c>
      <c r="B1820">
        <v>2013</v>
      </c>
      <c r="C1820">
        <v>4</v>
      </c>
      <c r="D1820">
        <v>1</v>
      </c>
      <c r="E1820">
        <v>11310</v>
      </c>
      <c r="F1820">
        <v>14116.52</v>
      </c>
      <c r="G1820">
        <v>0</v>
      </c>
      <c r="H1820">
        <v>0</v>
      </c>
      <c r="I1820">
        <v>-93.96</v>
      </c>
      <c r="J1820">
        <v>0</v>
      </c>
      <c r="K1820">
        <v>0</v>
      </c>
      <c r="L1820">
        <v>11161927.050000001</v>
      </c>
      <c r="M1820">
        <v>11161927.050000001</v>
      </c>
      <c r="N1820">
        <v>11161927.050000001</v>
      </c>
      <c r="O1820">
        <v>11161927.050000001</v>
      </c>
      <c r="P1820">
        <v>11274673.789999999</v>
      </c>
      <c r="Q1820">
        <v>11274673.789999999</v>
      </c>
      <c r="R1820" s="14">
        <f>_xlfn.XLOOKUP(Table2[[#This Row],[LoanID]],Table1[G-L ID],Table1[ManagerCode],-99)</f>
        <v>103</v>
      </c>
      <c r="T1820"/>
    </row>
    <row r="1821" spans="1:20" x14ac:dyDescent="0.25">
      <c r="A1821">
        <v>20130430</v>
      </c>
      <c r="B1821">
        <v>2013</v>
      </c>
      <c r="C1821">
        <v>4</v>
      </c>
      <c r="D1821">
        <v>1</v>
      </c>
      <c r="E1821">
        <v>11340</v>
      </c>
      <c r="F1821">
        <v>301388.89</v>
      </c>
      <c r="G1821">
        <v>0</v>
      </c>
      <c r="H1821">
        <v>0</v>
      </c>
      <c r="I1821">
        <v>0</v>
      </c>
      <c r="J1821">
        <v>0</v>
      </c>
      <c r="K1821">
        <v>0</v>
      </c>
      <c r="L1821">
        <v>49500000</v>
      </c>
      <c r="M1821">
        <v>49500000</v>
      </c>
      <c r="N1821">
        <v>49500000</v>
      </c>
      <c r="O1821">
        <v>49500000</v>
      </c>
      <c r="P1821">
        <v>50000000</v>
      </c>
      <c r="Q1821">
        <v>50000000</v>
      </c>
      <c r="R1821" s="14">
        <f>_xlfn.XLOOKUP(Table2[[#This Row],[LoanID]],Table1[G-L ID],Table1[ManagerCode],-99)</f>
        <v>103</v>
      </c>
      <c r="T1821"/>
    </row>
    <row r="1822" spans="1:20" x14ac:dyDescent="0.25">
      <c r="A1822">
        <v>20130430</v>
      </c>
      <c r="B1822">
        <v>2013</v>
      </c>
      <c r="C1822">
        <v>4</v>
      </c>
      <c r="D1822">
        <v>1</v>
      </c>
      <c r="E1822">
        <v>11350</v>
      </c>
      <c r="F1822">
        <v>133888.89000000001</v>
      </c>
      <c r="G1822">
        <v>0</v>
      </c>
      <c r="H1822">
        <v>0</v>
      </c>
      <c r="I1822">
        <v>0</v>
      </c>
      <c r="J1822">
        <v>-55000000</v>
      </c>
      <c r="K1822">
        <v>0</v>
      </c>
      <c r="L1822">
        <v>0</v>
      </c>
      <c r="M1822">
        <v>54449945.549999997</v>
      </c>
      <c r="N1822">
        <v>0</v>
      </c>
      <c r="O1822">
        <v>54449945.549999997</v>
      </c>
      <c r="P1822">
        <v>0</v>
      </c>
      <c r="Q1822">
        <v>55000000</v>
      </c>
      <c r="R1822" s="14">
        <f>_xlfn.XLOOKUP(Table2[[#This Row],[LoanID]],Table1[G-L ID],Table1[ManagerCode],-99)</f>
        <v>103</v>
      </c>
      <c r="T1822"/>
    </row>
    <row r="1823" spans="1:20" x14ac:dyDescent="0.25">
      <c r="A1823">
        <v>20130430</v>
      </c>
      <c r="B1823">
        <v>2013</v>
      </c>
      <c r="C1823">
        <v>4</v>
      </c>
      <c r="D1823">
        <v>1</v>
      </c>
      <c r="E1823">
        <v>11560</v>
      </c>
      <c r="F1823">
        <v>209637.24</v>
      </c>
      <c r="G1823">
        <v>-28465.74</v>
      </c>
      <c r="H1823">
        <v>0</v>
      </c>
      <c r="I1823">
        <v>0</v>
      </c>
      <c r="J1823">
        <v>0</v>
      </c>
      <c r="K1823">
        <v>0</v>
      </c>
      <c r="L1823">
        <v>13818010.82</v>
      </c>
      <c r="M1823">
        <v>13789545.08</v>
      </c>
      <c r="N1823">
        <v>13818010.82</v>
      </c>
      <c r="O1823">
        <v>13789545.08</v>
      </c>
      <c r="P1823">
        <v>13818010.82</v>
      </c>
      <c r="Q1823">
        <v>13789545.08</v>
      </c>
      <c r="R1823" s="14">
        <f>_xlfn.XLOOKUP(Table2[[#This Row],[LoanID]],Table1[G-L ID],Table1[ManagerCode],-99)</f>
        <v>183</v>
      </c>
      <c r="T1823"/>
    </row>
    <row r="1824" spans="1:20" x14ac:dyDescent="0.25">
      <c r="A1824">
        <v>20130430</v>
      </c>
      <c r="B1824">
        <v>2013</v>
      </c>
      <c r="C1824">
        <v>4</v>
      </c>
      <c r="D1824">
        <v>1</v>
      </c>
      <c r="E1824">
        <v>11620</v>
      </c>
      <c r="F1824">
        <v>37870.160000000003</v>
      </c>
      <c r="G1824">
        <v>15923.46</v>
      </c>
      <c r="H1824">
        <v>0</v>
      </c>
      <c r="I1824">
        <v>0</v>
      </c>
      <c r="J1824">
        <v>-84821.19</v>
      </c>
      <c r="K1824">
        <v>0</v>
      </c>
      <c r="L1824">
        <v>4679426.37</v>
      </c>
      <c r="M1824">
        <v>4780171.0199999996</v>
      </c>
      <c r="N1824">
        <v>4679426.37</v>
      </c>
      <c r="O1824">
        <v>4780171.0199999996</v>
      </c>
      <c r="P1824">
        <v>4679426.37</v>
      </c>
      <c r="Q1824">
        <v>4780171.0199999996</v>
      </c>
      <c r="R1824" s="14">
        <f>_xlfn.XLOOKUP(Table2[[#This Row],[LoanID]],Table1[G-L ID],Table1[ManagerCode],-99)</f>
        <v>183</v>
      </c>
      <c r="T1824"/>
    </row>
    <row r="1825" spans="1:20" x14ac:dyDescent="0.25">
      <c r="A1825">
        <v>20130430</v>
      </c>
      <c r="B1825">
        <v>2013</v>
      </c>
      <c r="C1825">
        <v>4</v>
      </c>
      <c r="D1825">
        <v>1</v>
      </c>
      <c r="E1825">
        <v>11650</v>
      </c>
      <c r="F1825">
        <v>75000</v>
      </c>
      <c r="G1825">
        <v>0</v>
      </c>
      <c r="H1825">
        <v>0</v>
      </c>
      <c r="I1825">
        <v>0</v>
      </c>
      <c r="J1825">
        <v>0</v>
      </c>
      <c r="K1825">
        <v>0</v>
      </c>
      <c r="L1825">
        <v>9600000</v>
      </c>
      <c r="M1825">
        <v>9600000</v>
      </c>
      <c r="N1825">
        <v>9600000</v>
      </c>
      <c r="O1825">
        <v>9600000</v>
      </c>
      <c r="P1825">
        <v>12000000</v>
      </c>
      <c r="Q1825">
        <v>12000000</v>
      </c>
      <c r="R1825" s="14">
        <f>_xlfn.XLOOKUP(Table2[[#This Row],[LoanID]],Table1[G-L ID],Table1[ManagerCode],-99)</f>
        <v>103</v>
      </c>
      <c r="T1825"/>
    </row>
    <row r="1826" spans="1:20" x14ac:dyDescent="0.25">
      <c r="A1826">
        <v>20130430</v>
      </c>
      <c r="B1826">
        <v>2013</v>
      </c>
      <c r="C1826">
        <v>4</v>
      </c>
      <c r="D1826">
        <v>1</v>
      </c>
      <c r="E1826">
        <v>11670</v>
      </c>
      <c r="F1826">
        <v>188333.33</v>
      </c>
      <c r="G1826">
        <v>147673.54999999999</v>
      </c>
      <c r="H1826">
        <v>0</v>
      </c>
      <c r="I1826">
        <v>0</v>
      </c>
      <c r="J1826">
        <v>0</v>
      </c>
      <c r="K1826">
        <v>0</v>
      </c>
      <c r="L1826">
        <v>28800589.379999999</v>
      </c>
      <c r="M1826">
        <v>28948262.93</v>
      </c>
      <c r="N1826">
        <v>28800589.379999999</v>
      </c>
      <c r="O1826">
        <v>28948262.93</v>
      </c>
      <c r="P1826">
        <v>28800589.379999999</v>
      </c>
      <c r="Q1826">
        <v>28948262.93</v>
      </c>
      <c r="R1826" s="14">
        <f>_xlfn.XLOOKUP(Table2[[#This Row],[LoanID]],Table1[G-L ID],Table1[ManagerCode],-99)</f>
        <v>183</v>
      </c>
      <c r="T1826"/>
    </row>
    <row r="1827" spans="1:20" x14ac:dyDescent="0.25">
      <c r="A1827">
        <v>20130430</v>
      </c>
      <c r="B1827">
        <v>2013</v>
      </c>
      <c r="C1827">
        <v>4</v>
      </c>
      <c r="D1827">
        <v>1</v>
      </c>
      <c r="E1827">
        <v>11770</v>
      </c>
      <c r="F1827">
        <v>530838.11</v>
      </c>
      <c r="G1827">
        <v>0</v>
      </c>
      <c r="H1827">
        <v>0</v>
      </c>
      <c r="I1827">
        <v>0</v>
      </c>
      <c r="J1827">
        <v>0</v>
      </c>
      <c r="K1827">
        <v>0</v>
      </c>
      <c r="L1827">
        <v>65897145.130000003</v>
      </c>
      <c r="M1827">
        <v>65897145.130000003</v>
      </c>
      <c r="N1827">
        <v>65897145.130000003</v>
      </c>
      <c r="O1827">
        <v>65897145.130000003</v>
      </c>
      <c r="P1827">
        <v>65897145.130000003</v>
      </c>
      <c r="Q1827">
        <v>65897145.130000003</v>
      </c>
      <c r="R1827" s="14">
        <f>_xlfn.XLOOKUP(Table2[[#This Row],[LoanID]],Table1[G-L ID],Table1[ManagerCode],-99)</f>
        <v>119</v>
      </c>
      <c r="T1827"/>
    </row>
    <row r="1828" spans="1:20" x14ac:dyDescent="0.25">
      <c r="A1828">
        <v>20130430</v>
      </c>
      <c r="B1828">
        <v>2013</v>
      </c>
      <c r="C1828">
        <v>4</v>
      </c>
      <c r="D1828">
        <v>1</v>
      </c>
      <c r="E1828">
        <v>11780</v>
      </c>
      <c r="F1828">
        <v>0</v>
      </c>
      <c r="G1828">
        <v>0</v>
      </c>
      <c r="H1828">
        <v>0</v>
      </c>
      <c r="I1828">
        <v>0</v>
      </c>
      <c r="J1828">
        <v>0</v>
      </c>
      <c r="K1828">
        <v>0</v>
      </c>
      <c r="L1828">
        <v>38309213</v>
      </c>
      <c r="M1828">
        <v>38309213</v>
      </c>
      <c r="N1828">
        <v>38309213</v>
      </c>
      <c r="O1828">
        <v>38309213</v>
      </c>
      <c r="P1828">
        <v>64786446.619999997</v>
      </c>
      <c r="Q1828">
        <v>64786446.619999997</v>
      </c>
      <c r="R1828" s="14">
        <f>_xlfn.XLOOKUP(Table2[[#This Row],[LoanID]],Table1[G-L ID],Table1[ManagerCode],-99)</f>
        <v>103</v>
      </c>
      <c r="T1828"/>
    </row>
    <row r="1829" spans="1:20" x14ac:dyDescent="0.25">
      <c r="A1829">
        <v>20130430</v>
      </c>
      <c r="B1829">
        <v>2013</v>
      </c>
      <c r="C1829">
        <v>4</v>
      </c>
      <c r="D1829">
        <v>1</v>
      </c>
      <c r="E1829">
        <v>11800</v>
      </c>
      <c r="F1829">
        <v>159827.74</v>
      </c>
      <c r="G1829">
        <v>0</v>
      </c>
      <c r="H1829">
        <v>0</v>
      </c>
      <c r="I1829">
        <v>-268.93</v>
      </c>
      <c r="J1829">
        <v>0</v>
      </c>
      <c r="K1829">
        <v>76854.67</v>
      </c>
      <c r="L1829">
        <v>34068785.689999998</v>
      </c>
      <c r="M1829">
        <v>34009642.460000001</v>
      </c>
      <c r="N1829">
        <v>34068785.689999998</v>
      </c>
      <c r="O1829">
        <v>34009642.460000001</v>
      </c>
      <c r="P1829">
        <v>31231096.879999999</v>
      </c>
      <c r="Q1829">
        <v>31154242.210000001</v>
      </c>
      <c r="R1829" s="14">
        <f>_xlfn.XLOOKUP(Table2[[#This Row],[LoanID]],Table1[G-L ID],Table1[ManagerCode],-99)</f>
        <v>103</v>
      </c>
      <c r="T1829"/>
    </row>
    <row r="1830" spans="1:20" x14ac:dyDescent="0.25">
      <c r="A1830">
        <v>20130430</v>
      </c>
      <c r="B1830">
        <v>2013</v>
      </c>
      <c r="C1830">
        <v>4</v>
      </c>
      <c r="D1830">
        <v>1</v>
      </c>
      <c r="E1830">
        <v>11810</v>
      </c>
      <c r="F1830">
        <v>50659.21</v>
      </c>
      <c r="G1830">
        <v>0</v>
      </c>
      <c r="H1830">
        <v>0</v>
      </c>
      <c r="I1830">
        <v>0</v>
      </c>
      <c r="J1830">
        <v>0</v>
      </c>
      <c r="K1830">
        <v>10198.879999999999</v>
      </c>
      <c r="L1830">
        <v>9801815.3800000008</v>
      </c>
      <c r="M1830">
        <v>9791718.4800000004</v>
      </c>
      <c r="N1830">
        <v>9801815.3800000008</v>
      </c>
      <c r="O1830">
        <v>9791718.4800000004</v>
      </c>
      <c r="P1830">
        <v>9900823.6099999994</v>
      </c>
      <c r="Q1830">
        <v>9890624.7300000004</v>
      </c>
      <c r="R1830" s="14">
        <f>_xlfn.XLOOKUP(Table2[[#This Row],[LoanID]],Table1[G-L ID],Table1[ManagerCode],-99)</f>
        <v>103</v>
      </c>
      <c r="T1830"/>
    </row>
    <row r="1831" spans="1:20" x14ac:dyDescent="0.25">
      <c r="A1831">
        <v>20130430</v>
      </c>
      <c r="B1831">
        <v>2013</v>
      </c>
      <c r="C1831">
        <v>4</v>
      </c>
      <c r="D1831">
        <v>1</v>
      </c>
      <c r="E1831">
        <v>11840</v>
      </c>
      <c r="F1831">
        <v>42712.480000000003</v>
      </c>
      <c r="G1831">
        <v>69666.27</v>
      </c>
      <c r="H1831">
        <v>0</v>
      </c>
      <c r="I1831">
        <v>0</v>
      </c>
      <c r="J1831">
        <v>-592525.18000000005</v>
      </c>
      <c r="K1831">
        <v>0</v>
      </c>
      <c r="L1831">
        <v>9329199.9600000009</v>
      </c>
      <c r="M1831">
        <v>9991391.4100000001</v>
      </c>
      <c r="N1831">
        <v>9329199.9600000009</v>
      </c>
      <c r="O1831">
        <v>9991391.4100000001</v>
      </c>
      <c r="P1831">
        <v>9329199.9600000009</v>
      </c>
      <c r="Q1831">
        <v>9991391.4100000001</v>
      </c>
      <c r="R1831" s="14">
        <f>_xlfn.XLOOKUP(Table2[[#This Row],[LoanID]],Table1[G-L ID],Table1[ManagerCode],-99)</f>
        <v>183</v>
      </c>
      <c r="T1831"/>
    </row>
    <row r="1832" spans="1:20" x14ac:dyDescent="0.25">
      <c r="A1832">
        <v>20130430</v>
      </c>
      <c r="B1832">
        <v>2013</v>
      </c>
      <c r="C1832">
        <v>4</v>
      </c>
      <c r="D1832">
        <v>1</v>
      </c>
      <c r="E1832">
        <v>11880</v>
      </c>
      <c r="F1832">
        <v>0</v>
      </c>
      <c r="G1832">
        <v>8576.27</v>
      </c>
      <c r="H1832">
        <v>0</v>
      </c>
      <c r="I1832">
        <v>0</v>
      </c>
      <c r="J1832">
        <v>0</v>
      </c>
      <c r="K1832">
        <v>0</v>
      </c>
      <c r="L1832">
        <v>1286441.1399999999</v>
      </c>
      <c r="M1832">
        <v>1295875.04</v>
      </c>
      <c r="N1832">
        <v>1286441.1399999999</v>
      </c>
      <c r="O1832">
        <v>1295875.04</v>
      </c>
      <c r="P1832">
        <v>1286441.1399999999</v>
      </c>
      <c r="Q1832">
        <v>1295875.04</v>
      </c>
      <c r="R1832" s="14">
        <f>_xlfn.XLOOKUP(Table2[[#This Row],[LoanID]],Table1[G-L ID],Table1[ManagerCode],-99)</f>
        <v>183</v>
      </c>
      <c r="T1832"/>
    </row>
    <row r="1833" spans="1:20" x14ac:dyDescent="0.25">
      <c r="A1833">
        <v>20130430</v>
      </c>
      <c r="B1833">
        <v>2013</v>
      </c>
      <c r="C1833">
        <v>4</v>
      </c>
      <c r="D1833">
        <v>1</v>
      </c>
      <c r="E1833">
        <v>11970</v>
      </c>
      <c r="F1833">
        <v>79001.45</v>
      </c>
      <c r="G1833">
        <v>44802.76</v>
      </c>
      <c r="H1833">
        <v>0</v>
      </c>
      <c r="I1833">
        <v>0</v>
      </c>
      <c r="J1833">
        <v>-79001.45</v>
      </c>
      <c r="K1833">
        <v>0</v>
      </c>
      <c r="L1833">
        <v>8252562.96</v>
      </c>
      <c r="M1833">
        <v>8376367.1699999999</v>
      </c>
      <c r="N1833">
        <v>8252562.96</v>
      </c>
      <c r="O1833">
        <v>8376367.1699999999</v>
      </c>
      <c r="P1833">
        <v>8252562.96</v>
      </c>
      <c r="Q1833">
        <v>8376367.1699999999</v>
      </c>
      <c r="R1833" s="14">
        <f>_xlfn.XLOOKUP(Table2[[#This Row],[LoanID]],Table1[G-L ID],Table1[ManagerCode],-99)</f>
        <v>183</v>
      </c>
      <c r="T1833"/>
    </row>
    <row r="1834" spans="1:20" x14ac:dyDescent="0.25">
      <c r="A1834">
        <v>20130430</v>
      </c>
      <c r="B1834">
        <v>2013</v>
      </c>
      <c r="C1834">
        <v>4</v>
      </c>
      <c r="D1834">
        <v>1</v>
      </c>
      <c r="E1834">
        <v>12020</v>
      </c>
      <c r="F1834">
        <v>64446.04</v>
      </c>
      <c r="G1834">
        <v>-22.78</v>
      </c>
      <c r="H1834">
        <v>0</v>
      </c>
      <c r="I1834">
        <v>0</v>
      </c>
      <c r="J1834">
        <v>-62484.5</v>
      </c>
      <c r="K1834">
        <v>0</v>
      </c>
      <c r="L1834">
        <v>9974650.5899999999</v>
      </c>
      <c r="M1834">
        <v>10037112.310000001</v>
      </c>
      <c r="N1834">
        <v>9974650.5899999999</v>
      </c>
      <c r="O1834">
        <v>10037112.310000001</v>
      </c>
      <c r="P1834">
        <v>9974650.5899999999</v>
      </c>
      <c r="Q1834">
        <v>10037112.310000001</v>
      </c>
      <c r="R1834" s="14">
        <f>_xlfn.XLOOKUP(Table2[[#This Row],[LoanID]],Table1[G-L ID],Table1[ManagerCode],-99)</f>
        <v>183</v>
      </c>
      <c r="T1834"/>
    </row>
    <row r="1835" spans="1:20" x14ac:dyDescent="0.25">
      <c r="A1835">
        <v>20130430</v>
      </c>
      <c r="B1835">
        <v>2013</v>
      </c>
      <c r="C1835">
        <v>4</v>
      </c>
      <c r="D1835">
        <v>1</v>
      </c>
      <c r="E1835">
        <v>12080</v>
      </c>
      <c r="F1835">
        <v>337066.67</v>
      </c>
      <c r="G1835">
        <v>0</v>
      </c>
      <c r="H1835">
        <v>0</v>
      </c>
      <c r="I1835">
        <v>0</v>
      </c>
      <c r="J1835">
        <v>0</v>
      </c>
      <c r="K1835">
        <v>0</v>
      </c>
      <c r="L1835">
        <v>40000000</v>
      </c>
      <c r="M1835">
        <v>40000000</v>
      </c>
      <c r="N1835">
        <v>40000000</v>
      </c>
      <c r="O1835">
        <v>40000000</v>
      </c>
      <c r="P1835">
        <v>40000000</v>
      </c>
      <c r="Q1835">
        <v>40000000</v>
      </c>
      <c r="R1835" s="14">
        <f>_xlfn.XLOOKUP(Table2[[#This Row],[LoanID]],Table1[G-L ID],Table1[ManagerCode],-99)</f>
        <v>119</v>
      </c>
      <c r="T1835"/>
    </row>
    <row r="1836" spans="1:20" x14ac:dyDescent="0.25">
      <c r="A1836">
        <v>20130430</v>
      </c>
      <c r="B1836">
        <v>2013</v>
      </c>
      <c r="C1836">
        <v>4</v>
      </c>
      <c r="D1836">
        <v>1</v>
      </c>
      <c r="E1836">
        <v>12090</v>
      </c>
      <c r="F1836">
        <v>164317.22</v>
      </c>
      <c r="G1836">
        <v>0</v>
      </c>
      <c r="H1836">
        <v>0</v>
      </c>
      <c r="I1836">
        <v>0</v>
      </c>
      <c r="J1836">
        <v>0</v>
      </c>
      <c r="K1836">
        <v>0</v>
      </c>
      <c r="L1836">
        <v>17500000</v>
      </c>
      <c r="M1836">
        <v>17500000</v>
      </c>
      <c r="N1836">
        <v>17500000</v>
      </c>
      <c r="O1836">
        <v>17500000</v>
      </c>
      <c r="P1836">
        <v>17500000</v>
      </c>
      <c r="Q1836">
        <v>17500000</v>
      </c>
      <c r="R1836" s="14">
        <f>_xlfn.XLOOKUP(Table2[[#This Row],[LoanID]],Table1[G-L ID],Table1[ManagerCode],-99)</f>
        <v>220</v>
      </c>
      <c r="T1836"/>
    </row>
    <row r="1837" spans="1:20" x14ac:dyDescent="0.25">
      <c r="A1837">
        <v>20130430</v>
      </c>
      <c r="B1837">
        <v>2013</v>
      </c>
      <c r="C1837">
        <v>4</v>
      </c>
      <c r="D1837">
        <v>1</v>
      </c>
      <c r="E1837">
        <v>12100</v>
      </c>
      <c r="F1837">
        <v>45457.21</v>
      </c>
      <c r="G1837">
        <v>67367.17</v>
      </c>
      <c r="H1837">
        <v>0</v>
      </c>
      <c r="I1837">
        <v>0</v>
      </c>
      <c r="J1837">
        <v>-48479.81</v>
      </c>
      <c r="K1837">
        <v>0</v>
      </c>
      <c r="L1837">
        <v>9322186.5899999999</v>
      </c>
      <c r="M1837">
        <v>9438033.5700000003</v>
      </c>
      <c r="N1837">
        <v>9322186.5899999999</v>
      </c>
      <c r="O1837">
        <v>9438033.5700000003</v>
      </c>
      <c r="P1837">
        <v>9322186.5899999999</v>
      </c>
      <c r="Q1837">
        <v>9438033.5700000003</v>
      </c>
      <c r="R1837" s="14">
        <f>_xlfn.XLOOKUP(Table2[[#This Row],[LoanID]],Table1[G-L ID],Table1[ManagerCode],-99)</f>
        <v>183</v>
      </c>
      <c r="T1837"/>
    </row>
    <row r="1838" spans="1:20" x14ac:dyDescent="0.25">
      <c r="A1838">
        <v>20130430</v>
      </c>
      <c r="B1838">
        <v>2013</v>
      </c>
      <c r="C1838">
        <v>4</v>
      </c>
      <c r="D1838">
        <v>1</v>
      </c>
      <c r="E1838">
        <v>12130</v>
      </c>
      <c r="F1838">
        <v>77102.33</v>
      </c>
      <c r="G1838">
        <v>0</v>
      </c>
      <c r="H1838">
        <v>0</v>
      </c>
      <c r="I1838">
        <v>0</v>
      </c>
      <c r="J1838">
        <v>-1221582.22</v>
      </c>
      <c r="K1838">
        <v>0</v>
      </c>
      <c r="L1838">
        <v>8974948.4800000004</v>
      </c>
      <c r="M1838">
        <v>10196530.699999999</v>
      </c>
      <c r="N1838">
        <v>8974948.4800000004</v>
      </c>
      <c r="O1838">
        <v>10196530.699999999</v>
      </c>
      <c r="P1838">
        <v>8974948.4800000004</v>
      </c>
      <c r="Q1838">
        <v>10196530.699999999</v>
      </c>
      <c r="R1838" s="14">
        <f>_xlfn.XLOOKUP(Table2[[#This Row],[LoanID]],Table1[G-L ID],Table1[ManagerCode],-99)</f>
        <v>183</v>
      </c>
      <c r="T1838"/>
    </row>
    <row r="1839" spans="1:20" x14ac:dyDescent="0.25">
      <c r="A1839">
        <v>20130430</v>
      </c>
      <c r="B1839">
        <v>2013</v>
      </c>
      <c r="C1839">
        <v>4</v>
      </c>
      <c r="D1839">
        <v>1</v>
      </c>
      <c r="E1839">
        <v>12210</v>
      </c>
      <c r="F1839">
        <v>703132.42</v>
      </c>
      <c r="G1839">
        <v>0</v>
      </c>
      <c r="H1839">
        <v>0</v>
      </c>
      <c r="I1839">
        <v>0</v>
      </c>
      <c r="J1839">
        <v>0</v>
      </c>
      <c r="K1839">
        <v>198112.92</v>
      </c>
      <c r="L1839">
        <v>137805363.90000001</v>
      </c>
      <c r="M1839">
        <v>137116947.80000001</v>
      </c>
      <c r="N1839">
        <v>137805363.90000001</v>
      </c>
      <c r="O1839">
        <v>137116947.80000001</v>
      </c>
      <c r="P1839">
        <v>113767959.7</v>
      </c>
      <c r="Q1839">
        <v>113569846.8</v>
      </c>
      <c r="R1839" s="14">
        <f>_xlfn.XLOOKUP(Table2[[#This Row],[LoanID]],Table1[G-L ID],Table1[ManagerCode],-99)</f>
        <v>103</v>
      </c>
      <c r="T1839"/>
    </row>
    <row r="1840" spans="1:20" x14ac:dyDescent="0.25">
      <c r="A1840">
        <v>20130430</v>
      </c>
      <c r="B1840">
        <v>2013</v>
      </c>
      <c r="C1840">
        <v>4</v>
      </c>
      <c r="D1840">
        <v>1</v>
      </c>
      <c r="E1840">
        <v>12230</v>
      </c>
      <c r="F1840">
        <v>329681.76</v>
      </c>
      <c r="G1840">
        <v>0</v>
      </c>
      <c r="H1840">
        <v>0</v>
      </c>
      <c r="I1840">
        <v>0</v>
      </c>
      <c r="J1840">
        <v>0</v>
      </c>
      <c r="K1840">
        <v>18223202</v>
      </c>
      <c r="L1840">
        <v>54675074</v>
      </c>
      <c r="M1840">
        <v>54675074</v>
      </c>
      <c r="N1840">
        <v>54675074</v>
      </c>
      <c r="O1840">
        <v>36451872</v>
      </c>
      <c r="P1840">
        <v>54675074</v>
      </c>
      <c r="Q1840">
        <v>54675074</v>
      </c>
      <c r="R1840" s="14">
        <f>_xlfn.XLOOKUP(Table2[[#This Row],[LoanID]],Table1[G-L ID],Table1[ManagerCode],-99)</f>
        <v>183</v>
      </c>
      <c r="T1840"/>
    </row>
    <row r="1841" spans="1:20" x14ac:dyDescent="0.25">
      <c r="A1841">
        <v>20130531</v>
      </c>
      <c r="B1841">
        <v>2013</v>
      </c>
      <c r="C1841">
        <v>5</v>
      </c>
      <c r="D1841">
        <v>1</v>
      </c>
      <c r="E1841">
        <v>10050</v>
      </c>
      <c r="F1841">
        <v>149013.89000000001</v>
      </c>
      <c r="G1841">
        <v>0</v>
      </c>
      <c r="H1841">
        <v>0</v>
      </c>
      <c r="I1841">
        <v>0</v>
      </c>
      <c r="J1841">
        <v>0</v>
      </c>
      <c r="K1841">
        <v>0</v>
      </c>
      <c r="L1841">
        <v>39592200.700000003</v>
      </c>
      <c r="M1841">
        <v>38248523.689999998</v>
      </c>
      <c r="N1841">
        <v>39592200.700000003</v>
      </c>
      <c r="O1841">
        <v>38248523.689999998</v>
      </c>
      <c r="P1841">
        <v>33333334</v>
      </c>
      <c r="Q1841">
        <v>33333334</v>
      </c>
      <c r="R1841" s="14">
        <f>_xlfn.XLOOKUP(Table2[[#This Row],[LoanID]],Table1[G-L ID],Table1[ManagerCode],-99)</f>
        <v>103</v>
      </c>
      <c r="T1841"/>
    </row>
    <row r="1842" spans="1:20" x14ac:dyDescent="0.25">
      <c r="A1842">
        <v>20130531</v>
      </c>
      <c r="B1842">
        <v>2013</v>
      </c>
      <c r="C1842">
        <v>5</v>
      </c>
      <c r="D1842">
        <v>1</v>
      </c>
      <c r="E1842">
        <v>10060</v>
      </c>
      <c r="F1842">
        <v>120833.33</v>
      </c>
      <c r="G1842">
        <v>0</v>
      </c>
      <c r="H1842">
        <v>0</v>
      </c>
      <c r="I1842">
        <v>0</v>
      </c>
      <c r="J1842">
        <v>0</v>
      </c>
      <c r="K1842">
        <v>0</v>
      </c>
      <c r="L1842">
        <v>19878571.399999999</v>
      </c>
      <c r="M1842">
        <v>19883428.530000001</v>
      </c>
      <c r="N1842">
        <v>19878571.399999999</v>
      </c>
      <c r="O1842">
        <v>19883428.530000001</v>
      </c>
      <c r="P1842">
        <v>20000000</v>
      </c>
      <c r="Q1842">
        <v>20000000</v>
      </c>
      <c r="R1842" s="14">
        <f>_xlfn.XLOOKUP(Table2[[#This Row],[LoanID]],Table1[G-L ID],Table1[ManagerCode],-99)</f>
        <v>103</v>
      </c>
      <c r="T1842"/>
    </row>
    <row r="1843" spans="1:20" x14ac:dyDescent="0.25">
      <c r="A1843">
        <v>20130531</v>
      </c>
      <c r="B1843">
        <v>2013</v>
      </c>
      <c r="C1843">
        <v>5</v>
      </c>
      <c r="D1843">
        <v>1</v>
      </c>
      <c r="E1843">
        <v>10080</v>
      </c>
      <c r="F1843">
        <v>339718.75</v>
      </c>
      <c r="G1843">
        <v>0</v>
      </c>
      <c r="H1843">
        <v>0</v>
      </c>
      <c r="I1843">
        <v>-156.25</v>
      </c>
      <c r="J1843">
        <v>0</v>
      </c>
      <c r="K1843">
        <v>0</v>
      </c>
      <c r="L1843">
        <v>74249925.75</v>
      </c>
      <c r="M1843">
        <v>74249925.75</v>
      </c>
      <c r="N1843">
        <v>74249925.75</v>
      </c>
      <c r="O1843">
        <v>74249925.75</v>
      </c>
      <c r="P1843">
        <v>75000000</v>
      </c>
      <c r="Q1843">
        <v>75000000</v>
      </c>
      <c r="R1843" s="14">
        <f>_xlfn.XLOOKUP(Table2[[#This Row],[LoanID]],Table1[G-L ID],Table1[ManagerCode],-99)</f>
        <v>103</v>
      </c>
      <c r="T1843"/>
    </row>
    <row r="1844" spans="1:20" x14ac:dyDescent="0.25">
      <c r="A1844">
        <v>20130531</v>
      </c>
      <c r="B1844">
        <v>2013</v>
      </c>
      <c r="C1844">
        <v>5</v>
      </c>
      <c r="D1844">
        <v>1</v>
      </c>
      <c r="E1844">
        <v>10130</v>
      </c>
      <c r="F1844">
        <v>33301.93</v>
      </c>
      <c r="G1844">
        <v>0</v>
      </c>
      <c r="H1844">
        <v>0</v>
      </c>
      <c r="I1844">
        <v>0</v>
      </c>
      <c r="J1844">
        <v>0</v>
      </c>
      <c r="K1844">
        <v>34388.76</v>
      </c>
      <c r="L1844">
        <v>7466275.5</v>
      </c>
      <c r="M1844">
        <v>7413569.4800000004</v>
      </c>
      <c r="N1844">
        <v>7466275.5</v>
      </c>
      <c r="O1844">
        <v>7413569.4800000004</v>
      </c>
      <c r="P1844">
        <v>7359543.4699999997</v>
      </c>
      <c r="Q1844">
        <v>7325154.71</v>
      </c>
      <c r="R1844" s="14">
        <f>_xlfn.XLOOKUP(Table2[[#This Row],[LoanID]],Table1[G-L ID],Table1[ManagerCode],-99)</f>
        <v>103</v>
      </c>
      <c r="T1844"/>
    </row>
    <row r="1845" spans="1:20" x14ac:dyDescent="0.25">
      <c r="A1845">
        <v>20130531</v>
      </c>
      <c r="B1845">
        <v>2013</v>
      </c>
      <c r="C1845">
        <v>5</v>
      </c>
      <c r="D1845">
        <v>1</v>
      </c>
      <c r="E1845">
        <v>10140</v>
      </c>
      <c r="F1845">
        <v>87891.56</v>
      </c>
      <c r="G1845">
        <v>0</v>
      </c>
      <c r="H1845">
        <v>0</v>
      </c>
      <c r="I1845">
        <v>0</v>
      </c>
      <c r="J1845">
        <v>0</v>
      </c>
      <c r="K1845">
        <v>89932.77</v>
      </c>
      <c r="L1845">
        <v>19705283.210000001</v>
      </c>
      <c r="M1845">
        <v>19567007.66</v>
      </c>
      <c r="N1845">
        <v>19705283.210000001</v>
      </c>
      <c r="O1845">
        <v>19567007.66</v>
      </c>
      <c r="P1845">
        <v>19423548.510000002</v>
      </c>
      <c r="Q1845">
        <v>19333615.739999998</v>
      </c>
      <c r="R1845" s="14">
        <f>_xlfn.XLOOKUP(Table2[[#This Row],[LoanID]],Table1[G-L ID],Table1[ManagerCode],-99)</f>
        <v>103</v>
      </c>
      <c r="T1845"/>
    </row>
    <row r="1846" spans="1:20" x14ac:dyDescent="0.25">
      <c r="A1846">
        <v>20130531</v>
      </c>
      <c r="B1846">
        <v>2013</v>
      </c>
      <c r="C1846">
        <v>5</v>
      </c>
      <c r="D1846">
        <v>1</v>
      </c>
      <c r="E1846">
        <v>10170</v>
      </c>
      <c r="F1846">
        <v>234419.96</v>
      </c>
      <c r="G1846">
        <v>0</v>
      </c>
      <c r="H1846">
        <v>0</v>
      </c>
      <c r="I1846">
        <v>-1123.42</v>
      </c>
      <c r="J1846">
        <v>0</v>
      </c>
      <c r="K1846">
        <v>79117.86</v>
      </c>
      <c r="L1846">
        <v>47580605.119999997</v>
      </c>
      <c r="M1846">
        <v>47387683.009999998</v>
      </c>
      <c r="N1846">
        <v>47580605.119999997</v>
      </c>
      <c r="O1846">
        <v>47387683.009999998</v>
      </c>
      <c r="P1846">
        <v>44936732.890000001</v>
      </c>
      <c r="Q1846">
        <v>44857615.030000001</v>
      </c>
      <c r="R1846" s="14">
        <f>_xlfn.XLOOKUP(Table2[[#This Row],[LoanID]],Table1[G-L ID],Table1[ManagerCode],-99)</f>
        <v>103</v>
      </c>
      <c r="T1846"/>
    </row>
    <row r="1847" spans="1:20" x14ac:dyDescent="0.25">
      <c r="A1847">
        <v>20130531</v>
      </c>
      <c r="B1847">
        <v>2013</v>
      </c>
      <c r="C1847">
        <v>5</v>
      </c>
      <c r="D1847">
        <v>1</v>
      </c>
      <c r="E1847">
        <v>10210</v>
      </c>
      <c r="F1847">
        <v>77548.460000000006</v>
      </c>
      <c r="G1847">
        <v>0</v>
      </c>
      <c r="H1847">
        <v>245311.35999999999</v>
      </c>
      <c r="I1847">
        <v>0</v>
      </c>
      <c r="J1847">
        <v>0</v>
      </c>
      <c r="K1847">
        <v>11632268.720000001</v>
      </c>
      <c r="L1847">
        <v>11632268.720000001</v>
      </c>
      <c r="M1847">
        <v>0</v>
      </c>
      <c r="N1847">
        <v>11632268.720000001</v>
      </c>
      <c r="O1847">
        <v>0</v>
      </c>
      <c r="P1847">
        <v>11632268.720000001</v>
      </c>
      <c r="Q1847">
        <v>0</v>
      </c>
      <c r="R1847" s="14">
        <f>_xlfn.XLOOKUP(Table2[[#This Row],[LoanID]],Table1[G-L ID],Table1[ManagerCode],-99)</f>
        <v>183</v>
      </c>
      <c r="T1847"/>
    </row>
    <row r="1848" spans="1:20" x14ac:dyDescent="0.25">
      <c r="A1848">
        <v>20130531</v>
      </c>
      <c r="B1848">
        <v>2013</v>
      </c>
      <c r="C1848">
        <v>5</v>
      </c>
      <c r="D1848">
        <v>1</v>
      </c>
      <c r="E1848">
        <v>10220</v>
      </c>
      <c r="F1848">
        <v>541666.67000000004</v>
      </c>
      <c r="G1848">
        <v>0</v>
      </c>
      <c r="H1848">
        <v>0</v>
      </c>
      <c r="I1848">
        <v>0</v>
      </c>
      <c r="J1848">
        <v>0</v>
      </c>
      <c r="K1848">
        <v>0</v>
      </c>
      <c r="L1848">
        <v>99000000</v>
      </c>
      <c r="M1848">
        <v>99000000</v>
      </c>
      <c r="N1848">
        <v>99000000</v>
      </c>
      <c r="O1848">
        <v>99000000</v>
      </c>
      <c r="P1848">
        <v>100000000</v>
      </c>
      <c r="Q1848">
        <v>100000000</v>
      </c>
      <c r="R1848" s="14">
        <f>_xlfn.XLOOKUP(Table2[[#This Row],[LoanID]],Table1[G-L ID],Table1[ManagerCode],-99)</f>
        <v>103</v>
      </c>
      <c r="T1848"/>
    </row>
    <row r="1849" spans="1:20" x14ac:dyDescent="0.25">
      <c r="A1849">
        <v>20130531</v>
      </c>
      <c r="B1849">
        <v>2013</v>
      </c>
      <c r="C1849">
        <v>5</v>
      </c>
      <c r="D1849">
        <v>1</v>
      </c>
      <c r="E1849">
        <v>10230</v>
      </c>
      <c r="F1849">
        <v>176814.51</v>
      </c>
      <c r="G1849">
        <v>0</v>
      </c>
      <c r="H1849">
        <v>0</v>
      </c>
      <c r="I1849">
        <v>0</v>
      </c>
      <c r="J1849">
        <v>0</v>
      </c>
      <c r="K1849">
        <v>64783.56</v>
      </c>
      <c r="L1849">
        <v>29906312.539999999</v>
      </c>
      <c r="M1849">
        <v>29844768.170000002</v>
      </c>
      <c r="N1849">
        <v>29906312.539999999</v>
      </c>
      <c r="O1849">
        <v>29844768.170000002</v>
      </c>
      <c r="P1849">
        <v>31480328.989999998</v>
      </c>
      <c r="Q1849">
        <v>31415545.43</v>
      </c>
      <c r="R1849" s="14">
        <f>_xlfn.XLOOKUP(Table2[[#This Row],[LoanID]],Table1[G-L ID],Table1[ManagerCode],-99)</f>
        <v>103</v>
      </c>
      <c r="T1849"/>
    </row>
    <row r="1850" spans="1:20" x14ac:dyDescent="0.25">
      <c r="A1850">
        <v>20130531</v>
      </c>
      <c r="B1850">
        <v>2013</v>
      </c>
      <c r="C1850">
        <v>5</v>
      </c>
      <c r="D1850">
        <v>1</v>
      </c>
      <c r="E1850">
        <v>10280</v>
      </c>
      <c r="F1850">
        <v>175560</v>
      </c>
      <c r="G1850">
        <v>0</v>
      </c>
      <c r="H1850">
        <v>0</v>
      </c>
      <c r="I1850">
        <v>0</v>
      </c>
      <c r="J1850">
        <v>0</v>
      </c>
      <c r="K1850">
        <v>0</v>
      </c>
      <c r="L1850">
        <v>34650034.649999999</v>
      </c>
      <c r="M1850">
        <v>34650034.649999999</v>
      </c>
      <c r="N1850">
        <v>34650034.649999999</v>
      </c>
      <c r="O1850">
        <v>34650034.649999999</v>
      </c>
      <c r="P1850">
        <v>35000000</v>
      </c>
      <c r="Q1850">
        <v>35000000</v>
      </c>
      <c r="R1850" s="14">
        <f>_xlfn.XLOOKUP(Table2[[#This Row],[LoanID]],Table1[G-L ID],Table1[ManagerCode],-99)</f>
        <v>103</v>
      </c>
      <c r="T1850"/>
    </row>
    <row r="1851" spans="1:20" x14ac:dyDescent="0.25">
      <c r="A1851">
        <v>20130531</v>
      </c>
      <c r="B1851">
        <v>2013</v>
      </c>
      <c r="C1851">
        <v>5</v>
      </c>
      <c r="D1851">
        <v>1</v>
      </c>
      <c r="E1851">
        <v>10290</v>
      </c>
      <c r="F1851">
        <v>165775</v>
      </c>
      <c r="G1851">
        <v>0</v>
      </c>
      <c r="H1851">
        <v>0</v>
      </c>
      <c r="I1851">
        <v>0</v>
      </c>
      <c r="J1851">
        <v>0</v>
      </c>
      <c r="K1851">
        <v>0</v>
      </c>
      <c r="L1851">
        <v>23750000</v>
      </c>
      <c r="M1851">
        <v>23750000</v>
      </c>
      <c r="N1851">
        <v>23750000</v>
      </c>
      <c r="O1851">
        <v>23750000</v>
      </c>
      <c r="P1851">
        <v>25000000</v>
      </c>
      <c r="Q1851">
        <v>25000000</v>
      </c>
      <c r="R1851" s="14">
        <f>_xlfn.XLOOKUP(Table2[[#This Row],[LoanID]],Table1[G-L ID],Table1[ManagerCode],-99)</f>
        <v>103</v>
      </c>
      <c r="T1851"/>
    </row>
    <row r="1852" spans="1:20" x14ac:dyDescent="0.25">
      <c r="A1852">
        <v>20130531</v>
      </c>
      <c r="B1852">
        <v>2013</v>
      </c>
      <c r="C1852">
        <v>5</v>
      </c>
      <c r="D1852">
        <v>1</v>
      </c>
      <c r="E1852">
        <v>10300</v>
      </c>
      <c r="F1852">
        <v>145052.82999999999</v>
      </c>
      <c r="G1852">
        <v>0</v>
      </c>
      <c r="H1852">
        <v>0</v>
      </c>
      <c r="I1852">
        <v>0</v>
      </c>
      <c r="J1852">
        <v>0</v>
      </c>
      <c r="K1852">
        <v>0</v>
      </c>
      <c r="L1852">
        <v>38858684.82</v>
      </c>
      <c r="M1852">
        <v>37104037.170000002</v>
      </c>
      <c r="N1852">
        <v>38858684.82</v>
      </c>
      <c r="O1852">
        <v>37104037.170000002</v>
      </c>
      <c r="P1852">
        <v>35000000</v>
      </c>
      <c r="Q1852">
        <v>35000000</v>
      </c>
      <c r="R1852" s="14">
        <f>_xlfn.XLOOKUP(Table2[[#This Row],[LoanID]],Table1[G-L ID],Table1[ManagerCode],-99)</f>
        <v>103</v>
      </c>
      <c r="T1852"/>
    </row>
    <row r="1853" spans="1:20" x14ac:dyDescent="0.25">
      <c r="A1853">
        <v>20130531</v>
      </c>
      <c r="B1853">
        <v>2013</v>
      </c>
      <c r="C1853">
        <v>5</v>
      </c>
      <c r="D1853">
        <v>1</v>
      </c>
      <c r="E1853">
        <v>10310</v>
      </c>
      <c r="F1853">
        <v>146843.51</v>
      </c>
      <c r="G1853">
        <v>0</v>
      </c>
      <c r="H1853">
        <v>0</v>
      </c>
      <c r="I1853">
        <v>0</v>
      </c>
      <c r="J1853">
        <v>0</v>
      </c>
      <c r="K1853">
        <v>14800539</v>
      </c>
      <c r="L1853">
        <v>14800539</v>
      </c>
      <c r="M1853">
        <v>0</v>
      </c>
      <c r="N1853">
        <v>14800539</v>
      </c>
      <c r="O1853">
        <v>0</v>
      </c>
      <c r="P1853">
        <v>14800539</v>
      </c>
      <c r="Q1853">
        <v>0</v>
      </c>
      <c r="R1853" s="14">
        <f>_xlfn.XLOOKUP(Table2[[#This Row],[LoanID]],Table1[G-L ID],Table1[ManagerCode],-99)</f>
        <v>183</v>
      </c>
      <c r="T1853"/>
    </row>
    <row r="1854" spans="1:20" x14ac:dyDescent="0.25">
      <c r="A1854">
        <v>20130531</v>
      </c>
      <c r="B1854">
        <v>2013</v>
      </c>
      <c r="C1854">
        <v>5</v>
      </c>
      <c r="D1854">
        <v>1</v>
      </c>
      <c r="E1854">
        <v>10370</v>
      </c>
      <c r="F1854">
        <v>3826.5</v>
      </c>
      <c r="G1854">
        <v>0</v>
      </c>
      <c r="H1854">
        <v>0</v>
      </c>
      <c r="I1854">
        <v>0</v>
      </c>
      <c r="J1854">
        <v>0</v>
      </c>
      <c r="K1854">
        <v>40895.01</v>
      </c>
      <c r="L1854">
        <v>2225614.69</v>
      </c>
      <c r="M1854">
        <v>2186764.44</v>
      </c>
      <c r="N1854">
        <v>2225614.69</v>
      </c>
      <c r="O1854">
        <v>2186764.44</v>
      </c>
      <c r="P1854">
        <v>2342752.2999999998</v>
      </c>
      <c r="Q1854">
        <v>2301857.29</v>
      </c>
      <c r="R1854" s="14">
        <f>_xlfn.XLOOKUP(Table2[[#This Row],[LoanID]],Table1[G-L ID],Table1[ManagerCode],-99)</f>
        <v>103</v>
      </c>
      <c r="T1854"/>
    </row>
    <row r="1855" spans="1:20" x14ac:dyDescent="0.25">
      <c r="A1855">
        <v>20130531</v>
      </c>
      <c r="B1855">
        <v>2013</v>
      </c>
      <c r="C1855">
        <v>5</v>
      </c>
      <c r="D1855">
        <v>1</v>
      </c>
      <c r="E1855">
        <v>10390</v>
      </c>
      <c r="F1855">
        <v>118750</v>
      </c>
      <c r="G1855">
        <v>0</v>
      </c>
      <c r="H1855">
        <v>0</v>
      </c>
      <c r="I1855">
        <v>0</v>
      </c>
      <c r="J1855">
        <v>0</v>
      </c>
      <c r="K1855">
        <v>0</v>
      </c>
      <c r="L1855">
        <v>23750000</v>
      </c>
      <c r="M1855">
        <v>23750000</v>
      </c>
      <c r="N1855">
        <v>23750000</v>
      </c>
      <c r="O1855">
        <v>23750000</v>
      </c>
      <c r="P1855">
        <v>24997550.91</v>
      </c>
      <c r="Q1855">
        <v>24997754.989999998</v>
      </c>
      <c r="R1855" s="14">
        <f>_xlfn.XLOOKUP(Table2[[#This Row],[LoanID]],Table1[G-L ID],Table1[ManagerCode],-99)</f>
        <v>103</v>
      </c>
      <c r="T1855"/>
    </row>
    <row r="1856" spans="1:20" x14ac:dyDescent="0.25">
      <c r="A1856">
        <v>20130531</v>
      </c>
      <c r="B1856">
        <v>2013</v>
      </c>
      <c r="C1856">
        <v>5</v>
      </c>
      <c r="D1856">
        <v>1</v>
      </c>
      <c r="E1856">
        <v>10400</v>
      </c>
      <c r="F1856">
        <v>812062.5</v>
      </c>
      <c r="G1856">
        <v>0</v>
      </c>
      <c r="H1856">
        <v>0</v>
      </c>
      <c r="I1856">
        <v>0</v>
      </c>
      <c r="J1856">
        <v>0</v>
      </c>
      <c r="K1856">
        <v>0</v>
      </c>
      <c r="L1856">
        <v>45000000</v>
      </c>
      <c r="M1856">
        <v>45000000</v>
      </c>
      <c r="N1856">
        <v>45000000</v>
      </c>
      <c r="O1856">
        <v>45000000</v>
      </c>
      <c r="P1856">
        <v>45000000</v>
      </c>
      <c r="Q1856">
        <v>45000000</v>
      </c>
      <c r="R1856" s="14">
        <f>_xlfn.XLOOKUP(Table2[[#This Row],[LoanID]],Table1[G-L ID],Table1[ManagerCode],-99)</f>
        <v>220</v>
      </c>
      <c r="T1856"/>
    </row>
    <row r="1857" spans="1:20" x14ac:dyDescent="0.25">
      <c r="A1857">
        <v>20130531</v>
      </c>
      <c r="B1857">
        <v>2013</v>
      </c>
      <c r="C1857">
        <v>5</v>
      </c>
      <c r="D1857">
        <v>1</v>
      </c>
      <c r="E1857">
        <v>10430</v>
      </c>
      <c r="F1857">
        <v>0</v>
      </c>
      <c r="G1857">
        <v>0</v>
      </c>
      <c r="H1857">
        <v>56000</v>
      </c>
      <c r="I1857">
        <v>0</v>
      </c>
      <c r="J1857">
        <v>-7000000</v>
      </c>
      <c r="K1857">
        <v>0</v>
      </c>
      <c r="L1857">
        <v>0</v>
      </c>
      <c r="M1857">
        <v>7000000</v>
      </c>
      <c r="N1857">
        <v>0</v>
      </c>
      <c r="O1857">
        <v>7000000</v>
      </c>
      <c r="P1857">
        <v>0</v>
      </c>
      <c r="Q1857">
        <v>7000000</v>
      </c>
      <c r="R1857" s="14">
        <f>_xlfn.XLOOKUP(Table2[[#This Row],[LoanID]],Table1[G-L ID],Table1[ManagerCode],-99)</f>
        <v>119</v>
      </c>
      <c r="T1857"/>
    </row>
    <row r="1858" spans="1:20" x14ac:dyDescent="0.25">
      <c r="A1858">
        <v>20130531</v>
      </c>
      <c r="B1858">
        <v>2013</v>
      </c>
      <c r="C1858">
        <v>5</v>
      </c>
      <c r="D1858">
        <v>1</v>
      </c>
      <c r="E1858">
        <v>10460</v>
      </c>
      <c r="F1858">
        <v>52743.06</v>
      </c>
      <c r="G1858">
        <v>0</v>
      </c>
      <c r="H1858">
        <v>0</v>
      </c>
      <c r="I1858">
        <v>0</v>
      </c>
      <c r="J1858">
        <v>0</v>
      </c>
      <c r="K1858">
        <v>0</v>
      </c>
      <c r="L1858">
        <v>25611219.57</v>
      </c>
      <c r="M1858">
        <v>25719144.350000001</v>
      </c>
      <c r="N1858">
        <v>25611219.57</v>
      </c>
      <c r="O1858">
        <v>25719144.350000001</v>
      </c>
      <c r="P1858">
        <v>25000000.010000002</v>
      </c>
      <c r="Q1858">
        <v>25000000.010000002</v>
      </c>
      <c r="R1858" s="14">
        <f>_xlfn.XLOOKUP(Table2[[#This Row],[LoanID]],Table1[G-L ID],Table1[ManagerCode],-99)</f>
        <v>103</v>
      </c>
      <c r="T1858"/>
    </row>
    <row r="1859" spans="1:20" x14ac:dyDescent="0.25">
      <c r="A1859">
        <v>20130531</v>
      </c>
      <c r="B1859">
        <v>2013</v>
      </c>
      <c r="C1859">
        <v>5</v>
      </c>
      <c r="D1859">
        <v>1</v>
      </c>
      <c r="E1859">
        <v>10490</v>
      </c>
      <c r="F1859">
        <v>153423.97</v>
      </c>
      <c r="G1859">
        <v>0</v>
      </c>
      <c r="H1859">
        <v>0</v>
      </c>
      <c r="I1859">
        <v>0</v>
      </c>
      <c r="J1859">
        <v>0</v>
      </c>
      <c r="K1859">
        <v>0</v>
      </c>
      <c r="L1859">
        <v>17534168</v>
      </c>
      <c r="M1859">
        <v>17534168</v>
      </c>
      <c r="N1859">
        <v>17534168</v>
      </c>
      <c r="O1859">
        <v>17534168</v>
      </c>
      <c r="P1859">
        <v>17534168</v>
      </c>
      <c r="Q1859">
        <v>17534168</v>
      </c>
      <c r="R1859" s="14">
        <f>_xlfn.XLOOKUP(Table2[[#This Row],[LoanID]],Table1[G-L ID],Table1[ManagerCode],-99)</f>
        <v>220</v>
      </c>
      <c r="T1859"/>
    </row>
    <row r="1860" spans="1:20" x14ac:dyDescent="0.25">
      <c r="A1860">
        <v>20130531</v>
      </c>
      <c r="B1860">
        <v>2013</v>
      </c>
      <c r="C1860">
        <v>5</v>
      </c>
      <c r="D1860">
        <v>1</v>
      </c>
      <c r="E1860">
        <v>10591</v>
      </c>
      <c r="F1860">
        <v>223133.53</v>
      </c>
      <c r="G1860">
        <v>0</v>
      </c>
      <c r="H1860">
        <v>0</v>
      </c>
      <c r="I1860">
        <v>0</v>
      </c>
      <c r="J1860">
        <v>0</v>
      </c>
      <c r="K1860">
        <v>84011.31</v>
      </c>
      <c r="L1860">
        <v>26250000</v>
      </c>
      <c r="M1860">
        <v>26165988.690000001</v>
      </c>
      <c r="N1860">
        <v>26250000</v>
      </c>
      <c r="O1860">
        <v>26165988.690000001</v>
      </c>
      <c r="P1860">
        <v>26250000</v>
      </c>
      <c r="Q1860">
        <v>26165988.690000001</v>
      </c>
      <c r="R1860" s="14">
        <f>_xlfn.XLOOKUP(Table2[[#This Row],[LoanID]],Table1[G-L ID],Table1[ManagerCode],-99)</f>
        <v>220</v>
      </c>
      <c r="T1860"/>
    </row>
    <row r="1861" spans="1:20" x14ac:dyDescent="0.25">
      <c r="A1861">
        <v>20130531</v>
      </c>
      <c r="B1861">
        <v>2013</v>
      </c>
      <c r="C1861">
        <v>5</v>
      </c>
      <c r="D1861">
        <v>1</v>
      </c>
      <c r="E1861">
        <v>10592</v>
      </c>
      <c r="F1861">
        <v>370075.09</v>
      </c>
      <c r="G1861">
        <v>0</v>
      </c>
      <c r="H1861">
        <v>0</v>
      </c>
      <c r="I1861">
        <v>0</v>
      </c>
      <c r="J1861">
        <v>0</v>
      </c>
      <c r="K1861">
        <v>124016.69</v>
      </c>
      <c r="L1861">
        <v>38750000</v>
      </c>
      <c r="M1861">
        <v>38625983.310000002</v>
      </c>
      <c r="N1861">
        <v>38750000</v>
      </c>
      <c r="O1861">
        <v>38625983.310000002</v>
      </c>
      <c r="P1861">
        <v>38750000</v>
      </c>
      <c r="Q1861">
        <v>38625983.310000002</v>
      </c>
      <c r="R1861" s="14">
        <f>_xlfn.XLOOKUP(Table2[[#This Row],[LoanID]],Table1[G-L ID],Table1[ManagerCode],-99)</f>
        <v>220</v>
      </c>
      <c r="T1861"/>
    </row>
    <row r="1862" spans="1:20" x14ac:dyDescent="0.25">
      <c r="A1862">
        <v>20130531</v>
      </c>
      <c r="B1862">
        <v>2013</v>
      </c>
      <c r="C1862">
        <v>5</v>
      </c>
      <c r="D1862">
        <v>1</v>
      </c>
      <c r="E1862">
        <v>10630</v>
      </c>
      <c r="F1862">
        <v>47757.01</v>
      </c>
      <c r="G1862">
        <v>0</v>
      </c>
      <c r="H1862">
        <v>0</v>
      </c>
      <c r="I1862">
        <v>0</v>
      </c>
      <c r="J1862">
        <v>0</v>
      </c>
      <c r="K1862">
        <v>14859.07</v>
      </c>
      <c r="L1862">
        <v>9200665.7300000004</v>
      </c>
      <c r="M1862">
        <v>9159974.0399999991</v>
      </c>
      <c r="N1862">
        <v>9200665.7300000004</v>
      </c>
      <c r="O1862">
        <v>9159974.0399999991</v>
      </c>
      <c r="P1862">
        <v>8940470.3599999994</v>
      </c>
      <c r="Q1862">
        <v>8925611.2899999991</v>
      </c>
      <c r="R1862" s="14">
        <f>_xlfn.XLOOKUP(Table2[[#This Row],[LoanID]],Table1[G-L ID],Table1[ManagerCode],-99)</f>
        <v>103</v>
      </c>
      <c r="T1862"/>
    </row>
    <row r="1863" spans="1:20" x14ac:dyDescent="0.25">
      <c r="A1863">
        <v>20130531</v>
      </c>
      <c r="B1863">
        <v>2013</v>
      </c>
      <c r="C1863">
        <v>5</v>
      </c>
      <c r="D1863">
        <v>1</v>
      </c>
      <c r="E1863">
        <v>10690</v>
      </c>
      <c r="F1863">
        <v>41285.339999999997</v>
      </c>
      <c r="G1863">
        <v>22445.23</v>
      </c>
      <c r="H1863">
        <v>0</v>
      </c>
      <c r="I1863">
        <v>0</v>
      </c>
      <c r="J1863">
        <v>-1226119.76</v>
      </c>
      <c r="K1863">
        <v>0</v>
      </c>
      <c r="L1863">
        <v>6297101.0300000003</v>
      </c>
      <c r="M1863">
        <v>7545666.0199999996</v>
      </c>
      <c r="N1863">
        <v>6297101.0300000003</v>
      </c>
      <c r="O1863">
        <v>7545666.0199999996</v>
      </c>
      <c r="P1863">
        <v>6297101.0300000003</v>
      </c>
      <c r="Q1863">
        <v>7545666.0199999996</v>
      </c>
      <c r="R1863" s="14">
        <f>_xlfn.XLOOKUP(Table2[[#This Row],[LoanID]],Table1[G-L ID],Table1[ManagerCode],-99)</f>
        <v>183</v>
      </c>
      <c r="T1863"/>
    </row>
    <row r="1864" spans="1:20" x14ac:dyDescent="0.25">
      <c r="A1864">
        <v>20130531</v>
      </c>
      <c r="B1864">
        <v>2013</v>
      </c>
      <c r="C1864">
        <v>5</v>
      </c>
      <c r="D1864">
        <v>1</v>
      </c>
      <c r="E1864">
        <v>10820</v>
      </c>
      <c r="F1864">
        <v>169395.27</v>
      </c>
      <c r="G1864">
        <v>0</v>
      </c>
      <c r="H1864">
        <v>0</v>
      </c>
      <c r="I1864">
        <v>0</v>
      </c>
      <c r="J1864">
        <v>0</v>
      </c>
      <c r="K1864">
        <v>0</v>
      </c>
      <c r="L1864">
        <v>21397297</v>
      </c>
      <c r="M1864">
        <v>21397297</v>
      </c>
      <c r="N1864">
        <v>21397297</v>
      </c>
      <c r="O1864">
        <v>21397297</v>
      </c>
      <c r="P1864">
        <v>21397297</v>
      </c>
      <c r="Q1864">
        <v>21397297</v>
      </c>
      <c r="R1864" s="14">
        <f>_xlfn.XLOOKUP(Table2[[#This Row],[LoanID]],Table1[G-L ID],Table1[ManagerCode],-99)</f>
        <v>220</v>
      </c>
      <c r="T1864"/>
    </row>
    <row r="1865" spans="1:20" x14ac:dyDescent="0.25">
      <c r="A1865">
        <v>20130531</v>
      </c>
      <c r="B1865">
        <v>2013</v>
      </c>
      <c r="C1865">
        <v>5</v>
      </c>
      <c r="D1865">
        <v>1</v>
      </c>
      <c r="E1865">
        <v>10830</v>
      </c>
      <c r="F1865">
        <v>55271.17</v>
      </c>
      <c r="G1865">
        <v>0</v>
      </c>
      <c r="H1865">
        <v>0</v>
      </c>
      <c r="I1865">
        <v>0</v>
      </c>
      <c r="J1865">
        <v>0</v>
      </c>
      <c r="K1865">
        <v>0</v>
      </c>
      <c r="L1865">
        <v>6981622</v>
      </c>
      <c r="M1865">
        <v>6981622</v>
      </c>
      <c r="N1865">
        <v>6981622</v>
      </c>
      <c r="O1865">
        <v>6981622</v>
      </c>
      <c r="P1865">
        <v>6981622</v>
      </c>
      <c r="Q1865">
        <v>6981622</v>
      </c>
      <c r="R1865" s="14">
        <f>_xlfn.XLOOKUP(Table2[[#This Row],[LoanID]],Table1[G-L ID],Table1[ManagerCode],-99)</f>
        <v>220</v>
      </c>
      <c r="T1865"/>
    </row>
    <row r="1866" spans="1:20" x14ac:dyDescent="0.25">
      <c r="A1866">
        <v>20130531</v>
      </c>
      <c r="B1866">
        <v>2013</v>
      </c>
      <c r="C1866">
        <v>5</v>
      </c>
      <c r="D1866">
        <v>1</v>
      </c>
      <c r="E1866">
        <v>10840</v>
      </c>
      <c r="F1866">
        <v>100614.41</v>
      </c>
      <c r="G1866">
        <v>0</v>
      </c>
      <c r="H1866">
        <v>0</v>
      </c>
      <c r="I1866">
        <v>0</v>
      </c>
      <c r="J1866">
        <v>0</v>
      </c>
      <c r="K1866">
        <v>0</v>
      </c>
      <c r="L1866">
        <v>12709189</v>
      </c>
      <c r="M1866">
        <v>12709189</v>
      </c>
      <c r="N1866">
        <v>12709189</v>
      </c>
      <c r="O1866">
        <v>12709189</v>
      </c>
      <c r="P1866">
        <v>12709189</v>
      </c>
      <c r="Q1866">
        <v>12709189</v>
      </c>
      <c r="R1866" s="14">
        <f>_xlfn.XLOOKUP(Table2[[#This Row],[LoanID]],Table1[G-L ID],Table1[ManagerCode],-99)</f>
        <v>220</v>
      </c>
      <c r="T1866"/>
    </row>
    <row r="1867" spans="1:20" x14ac:dyDescent="0.25">
      <c r="A1867">
        <v>20130531</v>
      </c>
      <c r="B1867">
        <v>2013</v>
      </c>
      <c r="C1867">
        <v>5</v>
      </c>
      <c r="D1867">
        <v>1</v>
      </c>
      <c r="E1867">
        <v>10850</v>
      </c>
      <c r="F1867">
        <v>106969.15</v>
      </c>
      <c r="G1867">
        <v>0</v>
      </c>
      <c r="H1867">
        <v>0</v>
      </c>
      <c r="I1867">
        <v>0</v>
      </c>
      <c r="J1867">
        <v>0</v>
      </c>
      <c r="K1867">
        <v>0</v>
      </c>
      <c r="L1867">
        <v>13511892</v>
      </c>
      <c r="M1867">
        <v>13511892</v>
      </c>
      <c r="N1867">
        <v>13511892</v>
      </c>
      <c r="O1867">
        <v>13511892</v>
      </c>
      <c r="P1867">
        <v>13511892</v>
      </c>
      <c r="Q1867">
        <v>13511892</v>
      </c>
      <c r="R1867" s="14">
        <f>_xlfn.XLOOKUP(Table2[[#This Row],[LoanID]],Table1[G-L ID],Table1[ManagerCode],-99)</f>
        <v>220</v>
      </c>
      <c r="T1867"/>
    </row>
    <row r="1868" spans="1:20" x14ac:dyDescent="0.25">
      <c r="A1868">
        <v>20130531</v>
      </c>
      <c r="B1868">
        <v>2013</v>
      </c>
      <c r="C1868">
        <v>5</v>
      </c>
      <c r="D1868">
        <v>1</v>
      </c>
      <c r="E1868">
        <v>10880</v>
      </c>
      <c r="F1868">
        <v>266908.09999999998</v>
      </c>
      <c r="G1868">
        <v>0</v>
      </c>
      <c r="H1868">
        <v>0</v>
      </c>
      <c r="I1868">
        <v>0</v>
      </c>
      <c r="J1868">
        <v>0</v>
      </c>
      <c r="K1868">
        <v>0</v>
      </c>
      <c r="L1868">
        <v>199354984.09999999</v>
      </c>
      <c r="M1868">
        <v>199727153.09999999</v>
      </c>
      <c r="N1868">
        <v>199354984.09999999</v>
      </c>
      <c r="O1868">
        <v>199727153.09999999</v>
      </c>
      <c r="P1868">
        <v>201744599.09999999</v>
      </c>
      <c r="Q1868">
        <v>201744599.09999999</v>
      </c>
      <c r="R1868" s="14">
        <f>_xlfn.XLOOKUP(Table2[[#This Row],[LoanID]],Table1[G-L ID],Table1[ManagerCode],-99)</f>
        <v>103</v>
      </c>
      <c r="T1868"/>
    </row>
    <row r="1869" spans="1:20" x14ac:dyDescent="0.25">
      <c r="A1869">
        <v>20130531</v>
      </c>
      <c r="B1869">
        <v>2013</v>
      </c>
      <c r="C1869">
        <v>5</v>
      </c>
      <c r="D1869">
        <v>1</v>
      </c>
      <c r="E1869">
        <v>10900</v>
      </c>
      <c r="F1869">
        <v>78675.3</v>
      </c>
      <c r="G1869">
        <v>0</v>
      </c>
      <c r="H1869">
        <v>0</v>
      </c>
      <c r="I1869">
        <v>0</v>
      </c>
      <c r="J1869">
        <v>0</v>
      </c>
      <c r="K1869">
        <v>4941.76</v>
      </c>
      <c r="L1869">
        <v>8153622.3899999997</v>
      </c>
      <c r="M1869">
        <v>8148927.6900000004</v>
      </c>
      <c r="N1869">
        <v>8153622.3899999997</v>
      </c>
      <c r="O1869">
        <v>8148927.6900000004</v>
      </c>
      <c r="P1869">
        <v>8582760.4000000004</v>
      </c>
      <c r="Q1869">
        <v>8577818.6400000006</v>
      </c>
      <c r="R1869" s="14">
        <f>_xlfn.XLOOKUP(Table2[[#This Row],[LoanID]],Table1[G-L ID],Table1[ManagerCode],-99)</f>
        <v>103</v>
      </c>
      <c r="T1869"/>
    </row>
    <row r="1870" spans="1:20" x14ac:dyDescent="0.25">
      <c r="A1870">
        <v>20130531</v>
      </c>
      <c r="B1870">
        <v>2013</v>
      </c>
      <c r="C1870">
        <v>5</v>
      </c>
      <c r="D1870">
        <v>1</v>
      </c>
      <c r="E1870">
        <v>10920</v>
      </c>
      <c r="F1870">
        <v>114583.33</v>
      </c>
      <c r="G1870">
        <v>0</v>
      </c>
      <c r="H1870">
        <v>0</v>
      </c>
      <c r="I1870">
        <v>0</v>
      </c>
      <c r="J1870">
        <v>0</v>
      </c>
      <c r="K1870">
        <v>0</v>
      </c>
      <c r="L1870">
        <v>11000000</v>
      </c>
      <c r="M1870">
        <v>11000000</v>
      </c>
      <c r="N1870">
        <v>11000000</v>
      </c>
      <c r="O1870">
        <v>11000000</v>
      </c>
      <c r="P1870">
        <v>11000000</v>
      </c>
      <c r="Q1870">
        <v>11000000</v>
      </c>
      <c r="R1870" s="14">
        <f>_xlfn.XLOOKUP(Table2[[#This Row],[LoanID]],Table1[G-L ID],Table1[ManagerCode],-99)</f>
        <v>183</v>
      </c>
      <c r="T1870"/>
    </row>
    <row r="1871" spans="1:20" x14ac:dyDescent="0.25">
      <c r="A1871">
        <v>20130531</v>
      </c>
      <c r="B1871">
        <v>2013</v>
      </c>
      <c r="C1871">
        <v>5</v>
      </c>
      <c r="D1871">
        <v>1</v>
      </c>
      <c r="E1871">
        <v>10950</v>
      </c>
      <c r="F1871">
        <v>51380.97</v>
      </c>
      <c r="G1871">
        <v>0</v>
      </c>
      <c r="H1871">
        <v>0</v>
      </c>
      <c r="I1871">
        <v>0</v>
      </c>
      <c r="J1871">
        <v>0</v>
      </c>
      <c r="K1871">
        <v>25642.05</v>
      </c>
      <c r="L1871">
        <v>10241710.84</v>
      </c>
      <c r="M1871">
        <v>10216325.199999999</v>
      </c>
      <c r="N1871">
        <v>10241710.84</v>
      </c>
      <c r="O1871">
        <v>10216325.199999999</v>
      </c>
      <c r="P1871">
        <v>10345162.449999999</v>
      </c>
      <c r="Q1871">
        <v>10319520.4</v>
      </c>
      <c r="R1871" s="14">
        <f>_xlfn.XLOOKUP(Table2[[#This Row],[LoanID]],Table1[G-L ID],Table1[ManagerCode],-99)</f>
        <v>103</v>
      </c>
      <c r="T1871"/>
    </row>
    <row r="1872" spans="1:20" x14ac:dyDescent="0.25">
      <c r="A1872">
        <v>20130531</v>
      </c>
      <c r="B1872">
        <v>2013</v>
      </c>
      <c r="C1872">
        <v>5</v>
      </c>
      <c r="D1872">
        <v>1</v>
      </c>
      <c r="E1872">
        <v>10980</v>
      </c>
      <c r="F1872">
        <v>165438.78</v>
      </c>
      <c r="G1872">
        <v>18302.5</v>
      </c>
      <c r="H1872">
        <v>0</v>
      </c>
      <c r="I1872">
        <v>0</v>
      </c>
      <c r="J1872">
        <v>-2243407.9300000002</v>
      </c>
      <c r="K1872">
        <v>0</v>
      </c>
      <c r="L1872">
        <v>23841754.039999999</v>
      </c>
      <c r="M1872">
        <v>26103464.469999999</v>
      </c>
      <c r="N1872">
        <v>23841754.039999999</v>
      </c>
      <c r="O1872">
        <v>26103464.469999999</v>
      </c>
      <c r="P1872">
        <v>23841754.039999999</v>
      </c>
      <c r="Q1872">
        <v>26103464.469999999</v>
      </c>
      <c r="R1872" s="14">
        <f>_xlfn.XLOOKUP(Table2[[#This Row],[LoanID]],Table1[G-L ID],Table1[ManagerCode],-99)</f>
        <v>183</v>
      </c>
      <c r="T1872"/>
    </row>
    <row r="1873" spans="1:20" x14ac:dyDescent="0.25">
      <c r="A1873">
        <v>20130531</v>
      </c>
      <c r="B1873">
        <v>2013</v>
      </c>
      <c r="C1873">
        <v>5</v>
      </c>
      <c r="D1873">
        <v>1</v>
      </c>
      <c r="E1873">
        <v>11020</v>
      </c>
      <c r="F1873">
        <v>105000</v>
      </c>
      <c r="G1873">
        <v>0</v>
      </c>
      <c r="H1873">
        <v>0</v>
      </c>
      <c r="I1873">
        <v>0</v>
      </c>
      <c r="J1873">
        <v>0</v>
      </c>
      <c r="K1873">
        <v>0</v>
      </c>
      <c r="L1873">
        <v>12000000</v>
      </c>
      <c r="M1873">
        <v>12000000</v>
      </c>
      <c r="N1873">
        <v>12000000</v>
      </c>
      <c r="O1873">
        <v>12000000</v>
      </c>
      <c r="P1873">
        <v>12000000</v>
      </c>
      <c r="Q1873">
        <v>12000000</v>
      </c>
      <c r="R1873" s="14">
        <f>_xlfn.XLOOKUP(Table2[[#This Row],[LoanID]],Table1[G-L ID],Table1[ManagerCode],-99)</f>
        <v>119</v>
      </c>
      <c r="T1873"/>
    </row>
    <row r="1874" spans="1:20" x14ac:dyDescent="0.25">
      <c r="A1874">
        <v>20130531</v>
      </c>
      <c r="B1874">
        <v>2013</v>
      </c>
      <c r="C1874">
        <v>5</v>
      </c>
      <c r="D1874">
        <v>1</v>
      </c>
      <c r="E1874">
        <v>11050</v>
      </c>
      <c r="F1874">
        <v>299010</v>
      </c>
      <c r="G1874">
        <v>0</v>
      </c>
      <c r="H1874">
        <v>0</v>
      </c>
      <c r="I1874">
        <v>0</v>
      </c>
      <c r="J1874">
        <v>-3085129.49</v>
      </c>
      <c r="K1874">
        <v>0</v>
      </c>
      <c r="L1874">
        <v>15607818.41</v>
      </c>
      <c r="M1874">
        <v>18692947.899999999</v>
      </c>
      <c r="N1874">
        <v>15607818.41</v>
      </c>
      <c r="O1874">
        <v>18692947.899999999</v>
      </c>
      <c r="P1874">
        <v>15607818.41</v>
      </c>
      <c r="Q1874">
        <v>18692947.899999999</v>
      </c>
      <c r="R1874" s="14">
        <f>_xlfn.XLOOKUP(Table2[[#This Row],[LoanID]],Table1[G-L ID],Table1[ManagerCode],-99)</f>
        <v>220</v>
      </c>
      <c r="T1874"/>
    </row>
    <row r="1875" spans="1:20" x14ac:dyDescent="0.25">
      <c r="A1875">
        <v>20130531</v>
      </c>
      <c r="B1875">
        <v>2013</v>
      </c>
      <c r="C1875">
        <v>5</v>
      </c>
      <c r="D1875">
        <v>1</v>
      </c>
      <c r="E1875">
        <v>11070</v>
      </c>
      <c r="F1875">
        <v>145122.15</v>
      </c>
      <c r="G1875">
        <v>0</v>
      </c>
      <c r="H1875">
        <v>0</v>
      </c>
      <c r="I1875">
        <v>0</v>
      </c>
      <c r="J1875">
        <v>0</v>
      </c>
      <c r="K1875">
        <v>24289.85</v>
      </c>
      <c r="L1875">
        <v>13959170.460000001</v>
      </c>
      <c r="M1875">
        <v>13939738.539999999</v>
      </c>
      <c r="N1875">
        <v>13959170.460000001</v>
      </c>
      <c r="O1875">
        <v>13939738.539999999</v>
      </c>
      <c r="P1875">
        <v>17448945.609999999</v>
      </c>
      <c r="Q1875">
        <v>17424655.760000002</v>
      </c>
      <c r="R1875" s="14">
        <f>_xlfn.XLOOKUP(Table2[[#This Row],[LoanID]],Table1[G-L ID],Table1[ManagerCode],-99)</f>
        <v>103</v>
      </c>
      <c r="T1875"/>
    </row>
    <row r="1876" spans="1:20" x14ac:dyDescent="0.25">
      <c r="A1876">
        <v>20130531</v>
      </c>
      <c r="B1876">
        <v>2013</v>
      </c>
      <c r="C1876">
        <v>5</v>
      </c>
      <c r="D1876">
        <v>1</v>
      </c>
      <c r="E1876">
        <v>11110</v>
      </c>
      <c r="F1876">
        <v>101041.78</v>
      </c>
      <c r="G1876">
        <v>0</v>
      </c>
      <c r="H1876">
        <v>0</v>
      </c>
      <c r="I1876">
        <v>0</v>
      </c>
      <c r="J1876">
        <v>0</v>
      </c>
      <c r="K1876">
        <v>0</v>
      </c>
      <c r="L1876">
        <v>14017303.49</v>
      </c>
      <c r="M1876">
        <v>14017303.49</v>
      </c>
      <c r="N1876">
        <v>14017303.49</v>
      </c>
      <c r="O1876">
        <v>14017303.49</v>
      </c>
      <c r="P1876">
        <v>14017303.49</v>
      </c>
      <c r="Q1876">
        <v>14017303.49</v>
      </c>
      <c r="R1876" s="14">
        <f>_xlfn.XLOOKUP(Table2[[#This Row],[LoanID]],Table1[G-L ID],Table1[ManagerCode],-99)</f>
        <v>183</v>
      </c>
      <c r="T1876"/>
    </row>
    <row r="1877" spans="1:20" x14ac:dyDescent="0.25">
      <c r="A1877">
        <v>20130531</v>
      </c>
      <c r="B1877">
        <v>2013</v>
      </c>
      <c r="C1877">
        <v>5</v>
      </c>
      <c r="D1877">
        <v>1</v>
      </c>
      <c r="E1877">
        <v>11140</v>
      </c>
      <c r="F1877">
        <v>576975.13</v>
      </c>
      <c r="G1877">
        <v>0</v>
      </c>
      <c r="H1877">
        <v>0</v>
      </c>
      <c r="I1877">
        <v>0</v>
      </c>
      <c r="J1877">
        <v>0</v>
      </c>
      <c r="K1877">
        <v>0</v>
      </c>
      <c r="L1877">
        <v>71711993.859999999</v>
      </c>
      <c r="M1877">
        <v>71711993.859999999</v>
      </c>
      <c r="N1877">
        <v>71711993.859999999</v>
      </c>
      <c r="O1877">
        <v>71711993.859999999</v>
      </c>
      <c r="P1877">
        <v>72436285</v>
      </c>
      <c r="Q1877">
        <v>72436285</v>
      </c>
      <c r="R1877" s="14">
        <f>_xlfn.XLOOKUP(Table2[[#This Row],[LoanID]],Table1[G-L ID],Table1[ManagerCode],-99)</f>
        <v>103</v>
      </c>
      <c r="T1877"/>
    </row>
    <row r="1878" spans="1:20" x14ac:dyDescent="0.25">
      <c r="A1878">
        <v>20130531</v>
      </c>
      <c r="B1878">
        <v>2013</v>
      </c>
      <c r="C1878">
        <v>5</v>
      </c>
      <c r="D1878">
        <v>1</v>
      </c>
      <c r="E1878">
        <v>11190</v>
      </c>
      <c r="F1878">
        <v>1300310.33</v>
      </c>
      <c r="G1878">
        <v>0</v>
      </c>
      <c r="H1878">
        <v>0</v>
      </c>
      <c r="I1878">
        <v>-1666.42</v>
      </c>
      <c r="J1878">
        <v>0</v>
      </c>
      <c r="K1878">
        <v>0</v>
      </c>
      <c r="L1878">
        <v>189972289.90000001</v>
      </c>
      <c r="M1878">
        <v>189972289.90000001</v>
      </c>
      <c r="N1878">
        <v>189972289.90000001</v>
      </c>
      <c r="O1878">
        <v>189972289.90000001</v>
      </c>
      <c r="P1878">
        <v>199970831.5</v>
      </c>
      <c r="Q1878">
        <v>199970831.5</v>
      </c>
      <c r="R1878" s="14">
        <f>_xlfn.XLOOKUP(Table2[[#This Row],[LoanID]],Table1[G-L ID],Table1[ManagerCode],-99)</f>
        <v>103</v>
      </c>
      <c r="T1878"/>
    </row>
    <row r="1879" spans="1:20" x14ac:dyDescent="0.25">
      <c r="A1879">
        <v>20130531</v>
      </c>
      <c r="B1879">
        <v>2013</v>
      </c>
      <c r="C1879">
        <v>5</v>
      </c>
      <c r="D1879">
        <v>1</v>
      </c>
      <c r="E1879">
        <v>11220</v>
      </c>
      <c r="F1879">
        <v>301875</v>
      </c>
      <c r="G1879">
        <v>0</v>
      </c>
      <c r="H1879">
        <v>0</v>
      </c>
      <c r="I1879">
        <v>0</v>
      </c>
      <c r="J1879">
        <v>0</v>
      </c>
      <c r="K1879">
        <v>0</v>
      </c>
      <c r="L1879">
        <v>34500000</v>
      </c>
      <c r="M1879">
        <v>34500000</v>
      </c>
      <c r="N1879">
        <v>34500000</v>
      </c>
      <c r="O1879">
        <v>34500000</v>
      </c>
      <c r="P1879">
        <v>34500000</v>
      </c>
      <c r="Q1879">
        <v>34500000</v>
      </c>
      <c r="R1879" s="14">
        <f>_xlfn.XLOOKUP(Table2[[#This Row],[LoanID]],Table1[G-L ID],Table1[ManagerCode],-99)</f>
        <v>220</v>
      </c>
      <c r="T1879"/>
    </row>
    <row r="1880" spans="1:20" x14ac:dyDescent="0.25">
      <c r="A1880">
        <v>20130531</v>
      </c>
      <c r="B1880">
        <v>2013</v>
      </c>
      <c r="C1880">
        <v>5</v>
      </c>
      <c r="D1880">
        <v>1</v>
      </c>
      <c r="E1880">
        <v>11230</v>
      </c>
      <c r="F1880">
        <v>238626.35</v>
      </c>
      <c r="G1880">
        <v>0</v>
      </c>
      <c r="H1880">
        <v>0</v>
      </c>
      <c r="I1880">
        <v>0</v>
      </c>
      <c r="J1880">
        <v>0</v>
      </c>
      <c r="K1880">
        <v>0</v>
      </c>
      <c r="L1880">
        <v>175436664</v>
      </c>
      <c r="M1880">
        <v>175436664</v>
      </c>
      <c r="N1880">
        <v>175436664</v>
      </c>
      <c r="O1880">
        <v>175436664</v>
      </c>
      <c r="P1880">
        <v>194929626.59999999</v>
      </c>
      <c r="Q1880">
        <v>194929626.59999999</v>
      </c>
      <c r="R1880" s="14">
        <f>_xlfn.XLOOKUP(Table2[[#This Row],[LoanID]],Table1[G-L ID],Table1[ManagerCode],-99)</f>
        <v>103</v>
      </c>
      <c r="T1880"/>
    </row>
    <row r="1881" spans="1:20" x14ac:dyDescent="0.25">
      <c r="A1881">
        <v>20130531</v>
      </c>
      <c r="B1881">
        <v>2013</v>
      </c>
      <c r="C1881">
        <v>5</v>
      </c>
      <c r="D1881">
        <v>1</v>
      </c>
      <c r="E1881">
        <v>11280</v>
      </c>
      <c r="F1881">
        <v>2073490.71</v>
      </c>
      <c r="G1881">
        <v>0</v>
      </c>
      <c r="H1881">
        <v>0</v>
      </c>
      <c r="I1881">
        <v>-156.59</v>
      </c>
      <c r="J1881">
        <v>0</v>
      </c>
      <c r="K1881">
        <v>18791123.030000001</v>
      </c>
      <c r="L1881">
        <v>18603211.800000001</v>
      </c>
      <c r="M1881">
        <v>0</v>
      </c>
      <c r="N1881">
        <v>18603211.800000001</v>
      </c>
      <c r="O1881">
        <v>0</v>
      </c>
      <c r="P1881">
        <v>18791123.030000001</v>
      </c>
      <c r="Q1881">
        <v>0</v>
      </c>
      <c r="R1881" s="14">
        <f>_xlfn.XLOOKUP(Table2[[#This Row],[LoanID]],Table1[G-L ID],Table1[ManagerCode],-99)</f>
        <v>103</v>
      </c>
      <c r="T1881"/>
    </row>
    <row r="1882" spans="1:20" x14ac:dyDescent="0.25">
      <c r="A1882">
        <v>20130531</v>
      </c>
      <c r="B1882">
        <v>2013</v>
      </c>
      <c r="C1882">
        <v>5</v>
      </c>
      <c r="D1882">
        <v>1</v>
      </c>
      <c r="E1882">
        <v>11300</v>
      </c>
      <c r="F1882">
        <v>1866282.57</v>
      </c>
      <c r="G1882">
        <v>0</v>
      </c>
      <c r="H1882">
        <v>0</v>
      </c>
      <c r="I1882">
        <v>-140.93</v>
      </c>
      <c r="J1882">
        <v>0</v>
      </c>
      <c r="K1882">
        <v>16912010.73</v>
      </c>
      <c r="L1882">
        <v>16742890.619999999</v>
      </c>
      <c r="M1882">
        <v>0</v>
      </c>
      <c r="N1882">
        <v>16742890.619999999</v>
      </c>
      <c r="O1882">
        <v>0</v>
      </c>
      <c r="P1882">
        <v>16912010.73</v>
      </c>
      <c r="Q1882">
        <v>0</v>
      </c>
      <c r="R1882" s="14">
        <f>_xlfn.XLOOKUP(Table2[[#This Row],[LoanID]],Table1[G-L ID],Table1[ManagerCode],-99)</f>
        <v>103</v>
      </c>
      <c r="T1882"/>
    </row>
    <row r="1883" spans="1:20" x14ac:dyDescent="0.25">
      <c r="A1883">
        <v>20130531</v>
      </c>
      <c r="B1883">
        <v>2013</v>
      </c>
      <c r="C1883">
        <v>5</v>
      </c>
      <c r="D1883">
        <v>1</v>
      </c>
      <c r="E1883">
        <v>11310</v>
      </c>
      <c r="F1883">
        <v>1244188.4099999999</v>
      </c>
      <c r="G1883">
        <v>0</v>
      </c>
      <c r="H1883">
        <v>0</v>
      </c>
      <c r="I1883">
        <v>-93.96</v>
      </c>
      <c r="J1883">
        <v>0</v>
      </c>
      <c r="K1883">
        <v>11274673.789999999</v>
      </c>
      <c r="L1883">
        <v>11161927.050000001</v>
      </c>
      <c r="M1883">
        <v>0</v>
      </c>
      <c r="N1883">
        <v>11161927.050000001</v>
      </c>
      <c r="O1883">
        <v>0</v>
      </c>
      <c r="P1883">
        <v>11274673.789999999</v>
      </c>
      <c r="Q1883">
        <v>0</v>
      </c>
      <c r="R1883" s="14">
        <f>_xlfn.XLOOKUP(Table2[[#This Row],[LoanID]],Table1[G-L ID],Table1[ManagerCode],-99)</f>
        <v>103</v>
      </c>
      <c r="T1883"/>
    </row>
    <row r="1884" spans="1:20" x14ac:dyDescent="0.25">
      <c r="A1884">
        <v>20130531</v>
      </c>
      <c r="B1884">
        <v>2013</v>
      </c>
      <c r="C1884">
        <v>5</v>
      </c>
      <c r="D1884">
        <v>1</v>
      </c>
      <c r="E1884">
        <v>11340</v>
      </c>
      <c r="F1884">
        <v>291666.67</v>
      </c>
      <c r="G1884">
        <v>0</v>
      </c>
      <c r="H1884">
        <v>0</v>
      </c>
      <c r="I1884">
        <v>-715.5</v>
      </c>
      <c r="J1884">
        <v>0</v>
      </c>
      <c r="K1884">
        <v>0</v>
      </c>
      <c r="L1884">
        <v>49500000</v>
      </c>
      <c r="M1884">
        <v>49500000</v>
      </c>
      <c r="N1884">
        <v>49500000</v>
      </c>
      <c r="O1884">
        <v>49500000</v>
      </c>
      <c r="P1884">
        <v>50000000</v>
      </c>
      <c r="Q1884">
        <v>50000000</v>
      </c>
      <c r="R1884" s="14">
        <f>_xlfn.XLOOKUP(Table2[[#This Row],[LoanID]],Table1[G-L ID],Table1[ManagerCode],-99)</f>
        <v>103</v>
      </c>
      <c r="T1884"/>
    </row>
    <row r="1885" spans="1:20" x14ac:dyDescent="0.25">
      <c r="A1885">
        <v>20130531</v>
      </c>
      <c r="B1885">
        <v>2013</v>
      </c>
      <c r="C1885">
        <v>5</v>
      </c>
      <c r="D1885">
        <v>1</v>
      </c>
      <c r="E1885">
        <v>11350</v>
      </c>
      <c r="F1885">
        <v>240833.33</v>
      </c>
      <c r="G1885">
        <v>0</v>
      </c>
      <c r="H1885">
        <v>0</v>
      </c>
      <c r="I1885">
        <v>0</v>
      </c>
      <c r="J1885">
        <v>0</v>
      </c>
      <c r="K1885">
        <v>0</v>
      </c>
      <c r="L1885">
        <v>54449945.549999997</v>
      </c>
      <c r="M1885">
        <v>54449945.549999997</v>
      </c>
      <c r="N1885">
        <v>54449945.549999997</v>
      </c>
      <c r="O1885">
        <v>54449945.549999997</v>
      </c>
      <c r="P1885">
        <v>55000000</v>
      </c>
      <c r="Q1885">
        <v>55000000</v>
      </c>
      <c r="R1885" s="14">
        <f>_xlfn.XLOOKUP(Table2[[#This Row],[LoanID]],Table1[G-L ID],Table1[ManagerCode],-99)</f>
        <v>103</v>
      </c>
      <c r="T1885"/>
    </row>
    <row r="1886" spans="1:20" x14ac:dyDescent="0.25">
      <c r="A1886">
        <v>20130531</v>
      </c>
      <c r="B1886">
        <v>2013</v>
      </c>
      <c r="C1886">
        <v>5</v>
      </c>
      <c r="D1886">
        <v>1</v>
      </c>
      <c r="E1886">
        <v>11560</v>
      </c>
      <c r="F1886">
        <v>183918.36</v>
      </c>
      <c r="G1886">
        <v>102380.61</v>
      </c>
      <c r="H1886">
        <v>0</v>
      </c>
      <c r="I1886">
        <v>0</v>
      </c>
      <c r="J1886">
        <v>0</v>
      </c>
      <c r="K1886">
        <v>0</v>
      </c>
      <c r="L1886">
        <v>13789545.08</v>
      </c>
      <c r="M1886">
        <v>13891925.689999999</v>
      </c>
      <c r="N1886">
        <v>13789545.08</v>
      </c>
      <c r="O1886">
        <v>13891925.689999999</v>
      </c>
      <c r="P1886">
        <v>13789545.08</v>
      </c>
      <c r="Q1886">
        <v>13891925.689999999</v>
      </c>
      <c r="R1886" s="14">
        <f>_xlfn.XLOOKUP(Table2[[#This Row],[LoanID]],Table1[G-L ID],Table1[ManagerCode],-99)</f>
        <v>183</v>
      </c>
      <c r="T1886"/>
    </row>
    <row r="1887" spans="1:20" x14ac:dyDescent="0.25">
      <c r="A1887">
        <v>20130531</v>
      </c>
      <c r="B1887">
        <v>2013</v>
      </c>
      <c r="C1887">
        <v>5</v>
      </c>
      <c r="D1887">
        <v>1</v>
      </c>
      <c r="E1887">
        <v>11620</v>
      </c>
      <c r="F1887">
        <v>38533.17</v>
      </c>
      <c r="G1887">
        <v>17050.490000000002</v>
      </c>
      <c r="H1887">
        <v>0</v>
      </c>
      <c r="I1887">
        <v>0</v>
      </c>
      <c r="J1887">
        <v>-344167.18</v>
      </c>
      <c r="K1887">
        <v>0</v>
      </c>
      <c r="L1887">
        <v>4780171.0199999996</v>
      </c>
      <c r="M1887">
        <v>5141388.6900000004</v>
      </c>
      <c r="N1887">
        <v>4780171.0199999996</v>
      </c>
      <c r="O1887">
        <v>5141388.6900000004</v>
      </c>
      <c r="P1887">
        <v>4780171.0199999996</v>
      </c>
      <c r="Q1887">
        <v>5141388.6900000004</v>
      </c>
      <c r="R1887" s="14">
        <f>_xlfn.XLOOKUP(Table2[[#This Row],[LoanID]],Table1[G-L ID],Table1[ManagerCode],-99)</f>
        <v>183</v>
      </c>
      <c r="T1887"/>
    </row>
    <row r="1888" spans="1:20" x14ac:dyDescent="0.25">
      <c r="A1888">
        <v>20130531</v>
      </c>
      <c r="B1888">
        <v>2013</v>
      </c>
      <c r="C1888">
        <v>5</v>
      </c>
      <c r="D1888">
        <v>1</v>
      </c>
      <c r="E1888">
        <v>11650</v>
      </c>
      <c r="F1888">
        <v>75000</v>
      </c>
      <c r="G1888">
        <v>0</v>
      </c>
      <c r="H1888">
        <v>0</v>
      </c>
      <c r="I1888">
        <v>0</v>
      </c>
      <c r="J1888">
        <v>0</v>
      </c>
      <c r="K1888">
        <v>0</v>
      </c>
      <c r="L1888">
        <v>9600000</v>
      </c>
      <c r="M1888">
        <v>9600000</v>
      </c>
      <c r="N1888">
        <v>9600000</v>
      </c>
      <c r="O1888">
        <v>9600000</v>
      </c>
      <c r="P1888">
        <v>12000000</v>
      </c>
      <c r="Q1888">
        <v>12000000</v>
      </c>
      <c r="R1888" s="14">
        <f>_xlfn.XLOOKUP(Table2[[#This Row],[LoanID]],Table1[G-L ID],Table1[ManagerCode],-99)</f>
        <v>103</v>
      </c>
      <c r="T1888"/>
    </row>
    <row r="1889" spans="1:20" x14ac:dyDescent="0.25">
      <c r="A1889">
        <v>20130531</v>
      </c>
      <c r="B1889">
        <v>2013</v>
      </c>
      <c r="C1889">
        <v>5</v>
      </c>
      <c r="D1889">
        <v>1</v>
      </c>
      <c r="E1889">
        <v>11670</v>
      </c>
      <c r="F1889">
        <v>188333.33</v>
      </c>
      <c r="G1889">
        <v>149396.4</v>
      </c>
      <c r="H1889">
        <v>0</v>
      </c>
      <c r="I1889">
        <v>0</v>
      </c>
      <c r="J1889">
        <v>0</v>
      </c>
      <c r="K1889">
        <v>0</v>
      </c>
      <c r="L1889">
        <v>28948262.93</v>
      </c>
      <c r="M1889">
        <v>29097659.329999998</v>
      </c>
      <c r="N1889">
        <v>28948262.93</v>
      </c>
      <c r="O1889">
        <v>29097659.329999998</v>
      </c>
      <c r="P1889">
        <v>28948262.93</v>
      </c>
      <c r="Q1889">
        <v>29097659.329999998</v>
      </c>
      <c r="R1889" s="14">
        <f>_xlfn.XLOOKUP(Table2[[#This Row],[LoanID]],Table1[G-L ID],Table1[ManagerCode],-99)</f>
        <v>183</v>
      </c>
      <c r="T1889"/>
    </row>
    <row r="1890" spans="1:20" x14ac:dyDescent="0.25">
      <c r="A1890">
        <v>20130531</v>
      </c>
      <c r="B1890">
        <v>2013</v>
      </c>
      <c r="C1890">
        <v>5</v>
      </c>
      <c r="D1890">
        <v>1</v>
      </c>
      <c r="E1890">
        <v>11770</v>
      </c>
      <c r="F1890">
        <v>549142.88</v>
      </c>
      <c r="G1890">
        <v>0</v>
      </c>
      <c r="H1890">
        <v>0</v>
      </c>
      <c r="I1890">
        <v>0</v>
      </c>
      <c r="J1890">
        <v>0</v>
      </c>
      <c r="K1890">
        <v>422908.24</v>
      </c>
      <c r="L1890">
        <v>65897145.130000003</v>
      </c>
      <c r="M1890">
        <v>65474236.890000001</v>
      </c>
      <c r="N1890">
        <v>65897145.130000003</v>
      </c>
      <c r="O1890">
        <v>65474236.890000001</v>
      </c>
      <c r="P1890">
        <v>65897145.130000003</v>
      </c>
      <c r="Q1890">
        <v>65474236.890000001</v>
      </c>
      <c r="R1890" s="14">
        <f>_xlfn.XLOOKUP(Table2[[#This Row],[LoanID]],Table1[G-L ID],Table1[ManagerCode],-99)</f>
        <v>119</v>
      </c>
      <c r="T1890"/>
    </row>
    <row r="1891" spans="1:20" x14ac:dyDescent="0.25">
      <c r="A1891">
        <v>20130531</v>
      </c>
      <c r="B1891">
        <v>2013</v>
      </c>
      <c r="C1891">
        <v>5</v>
      </c>
      <c r="D1891">
        <v>1</v>
      </c>
      <c r="E1891">
        <v>11780</v>
      </c>
      <c r="F1891">
        <v>0</v>
      </c>
      <c r="G1891">
        <v>0</v>
      </c>
      <c r="H1891">
        <v>0</v>
      </c>
      <c r="I1891">
        <v>0</v>
      </c>
      <c r="J1891">
        <v>0</v>
      </c>
      <c r="K1891">
        <v>0</v>
      </c>
      <c r="L1891">
        <v>38309213</v>
      </c>
      <c r="M1891">
        <v>38309213</v>
      </c>
      <c r="N1891">
        <v>38309213</v>
      </c>
      <c r="O1891">
        <v>38309213</v>
      </c>
      <c r="P1891">
        <v>64786446.619999997</v>
      </c>
      <c r="Q1891">
        <v>64786446.619999997</v>
      </c>
      <c r="R1891" s="14">
        <f>_xlfn.XLOOKUP(Table2[[#This Row],[LoanID]],Table1[G-L ID],Table1[ManagerCode],-99)</f>
        <v>103</v>
      </c>
      <c r="T1891"/>
    </row>
    <row r="1892" spans="1:20" x14ac:dyDescent="0.25">
      <c r="A1892">
        <v>20130531</v>
      </c>
      <c r="B1892">
        <v>2013</v>
      </c>
      <c r="C1892">
        <v>5</v>
      </c>
      <c r="D1892">
        <v>1</v>
      </c>
      <c r="E1892">
        <v>11800</v>
      </c>
      <c r="F1892">
        <v>154291.38</v>
      </c>
      <c r="G1892">
        <v>0</v>
      </c>
      <c r="H1892">
        <v>0</v>
      </c>
      <c r="I1892">
        <v>-259.62</v>
      </c>
      <c r="J1892">
        <v>0</v>
      </c>
      <c r="K1892">
        <v>81377.47</v>
      </c>
      <c r="L1892">
        <v>34009642.460000001</v>
      </c>
      <c r="M1892">
        <v>33619088.759999998</v>
      </c>
      <c r="N1892">
        <v>34009642.460000001</v>
      </c>
      <c r="O1892">
        <v>33619088.759999998</v>
      </c>
      <c r="P1892">
        <v>31154242.210000001</v>
      </c>
      <c r="Q1892">
        <v>31072864.739999998</v>
      </c>
      <c r="R1892" s="14">
        <f>_xlfn.XLOOKUP(Table2[[#This Row],[LoanID]],Table1[G-L ID],Table1[ManagerCode],-99)</f>
        <v>103</v>
      </c>
      <c r="T1892"/>
    </row>
    <row r="1893" spans="1:20" x14ac:dyDescent="0.25">
      <c r="A1893">
        <v>20130531</v>
      </c>
      <c r="B1893">
        <v>2013</v>
      </c>
      <c r="C1893">
        <v>5</v>
      </c>
      <c r="D1893">
        <v>1</v>
      </c>
      <c r="E1893">
        <v>11810</v>
      </c>
      <c r="F1893">
        <v>50607.03</v>
      </c>
      <c r="G1893">
        <v>0</v>
      </c>
      <c r="H1893">
        <v>0</v>
      </c>
      <c r="I1893">
        <v>0</v>
      </c>
      <c r="J1893">
        <v>0</v>
      </c>
      <c r="K1893">
        <v>10251.06</v>
      </c>
      <c r="L1893">
        <v>9791718.4800000004</v>
      </c>
      <c r="M1893">
        <v>9781569.9399999995</v>
      </c>
      <c r="N1893">
        <v>9791718.4800000004</v>
      </c>
      <c r="O1893">
        <v>9781569.9399999995</v>
      </c>
      <c r="P1893">
        <v>9890624.7300000004</v>
      </c>
      <c r="Q1893">
        <v>9880373.6699999999</v>
      </c>
      <c r="R1893" s="14">
        <f>_xlfn.XLOOKUP(Table2[[#This Row],[LoanID]],Table1[G-L ID],Table1[ManagerCode],-99)</f>
        <v>103</v>
      </c>
      <c r="T1893"/>
    </row>
    <row r="1894" spans="1:20" x14ac:dyDescent="0.25">
      <c r="A1894">
        <v>20130531</v>
      </c>
      <c r="B1894">
        <v>2013</v>
      </c>
      <c r="C1894">
        <v>5</v>
      </c>
      <c r="D1894">
        <v>1</v>
      </c>
      <c r="E1894">
        <v>11840</v>
      </c>
      <c r="F1894">
        <v>46301.72</v>
      </c>
      <c r="G1894">
        <v>76849.87</v>
      </c>
      <c r="H1894">
        <v>0</v>
      </c>
      <c r="I1894">
        <v>0</v>
      </c>
      <c r="J1894">
        <v>-780659.69</v>
      </c>
      <c r="K1894">
        <v>0</v>
      </c>
      <c r="L1894">
        <v>9991391.4100000001</v>
      </c>
      <c r="M1894">
        <v>10848900.970000001</v>
      </c>
      <c r="N1894">
        <v>9991391.4100000001</v>
      </c>
      <c r="O1894">
        <v>10848900.970000001</v>
      </c>
      <c r="P1894">
        <v>9991391.4100000001</v>
      </c>
      <c r="Q1894">
        <v>10848900.970000001</v>
      </c>
      <c r="R1894" s="14">
        <f>_xlfn.XLOOKUP(Table2[[#This Row],[LoanID]],Table1[G-L ID],Table1[ManagerCode],-99)</f>
        <v>183</v>
      </c>
      <c r="T1894"/>
    </row>
    <row r="1895" spans="1:20" x14ac:dyDescent="0.25">
      <c r="A1895">
        <v>20130531</v>
      </c>
      <c r="B1895">
        <v>2013</v>
      </c>
      <c r="C1895">
        <v>5</v>
      </c>
      <c r="D1895">
        <v>1</v>
      </c>
      <c r="E1895">
        <v>11880</v>
      </c>
      <c r="F1895">
        <v>7075.43</v>
      </c>
      <c r="G1895">
        <v>10388.36</v>
      </c>
      <c r="H1895">
        <v>0</v>
      </c>
      <c r="I1895">
        <v>0</v>
      </c>
      <c r="J1895">
        <v>-348460.13</v>
      </c>
      <c r="K1895">
        <v>0</v>
      </c>
      <c r="L1895">
        <v>1295875.04</v>
      </c>
      <c r="M1895">
        <v>1654723.53</v>
      </c>
      <c r="N1895">
        <v>1295875.04</v>
      </c>
      <c r="O1895">
        <v>1654723.53</v>
      </c>
      <c r="P1895">
        <v>1295875.04</v>
      </c>
      <c r="Q1895">
        <v>1654723.53</v>
      </c>
      <c r="R1895" s="14">
        <f>_xlfn.XLOOKUP(Table2[[#This Row],[LoanID]],Table1[G-L ID],Table1[ManagerCode],-99)</f>
        <v>183</v>
      </c>
      <c r="T1895"/>
    </row>
    <row r="1896" spans="1:20" x14ac:dyDescent="0.25">
      <c r="A1896">
        <v>20130531</v>
      </c>
      <c r="B1896">
        <v>2013</v>
      </c>
      <c r="C1896">
        <v>5</v>
      </c>
      <c r="D1896">
        <v>1</v>
      </c>
      <c r="E1896">
        <v>11970</v>
      </c>
      <c r="F1896">
        <v>79815.199999999997</v>
      </c>
      <c r="G1896">
        <v>45872.65</v>
      </c>
      <c r="H1896">
        <v>0</v>
      </c>
      <c r="I1896">
        <v>0</v>
      </c>
      <c r="J1896">
        <v>-79815.199999999997</v>
      </c>
      <c r="K1896">
        <v>0</v>
      </c>
      <c r="L1896">
        <v>8376367.1699999999</v>
      </c>
      <c r="M1896">
        <v>8502055.0199999996</v>
      </c>
      <c r="N1896">
        <v>8376367.1699999999</v>
      </c>
      <c r="O1896">
        <v>8502055.0199999996</v>
      </c>
      <c r="P1896">
        <v>8376367.1699999999</v>
      </c>
      <c r="Q1896">
        <v>8502055.0199999996</v>
      </c>
      <c r="R1896" s="14">
        <f>_xlfn.XLOOKUP(Table2[[#This Row],[LoanID]],Table1[G-L ID],Table1[ManagerCode],-99)</f>
        <v>183</v>
      </c>
      <c r="T1896"/>
    </row>
    <row r="1897" spans="1:20" x14ac:dyDescent="0.25">
      <c r="A1897">
        <v>20130531</v>
      </c>
      <c r="B1897">
        <v>2013</v>
      </c>
      <c r="C1897">
        <v>5</v>
      </c>
      <c r="D1897">
        <v>1</v>
      </c>
      <c r="E1897">
        <v>12020</v>
      </c>
      <c r="F1897">
        <v>64902.879999999997</v>
      </c>
      <c r="G1897">
        <v>70783.3</v>
      </c>
      <c r="H1897">
        <v>0</v>
      </c>
      <c r="I1897">
        <v>0</v>
      </c>
      <c r="J1897">
        <v>-62914.03</v>
      </c>
      <c r="K1897">
        <v>0</v>
      </c>
      <c r="L1897">
        <v>10037112.310000001</v>
      </c>
      <c r="M1897">
        <v>10107895.609999999</v>
      </c>
      <c r="N1897">
        <v>10037112.310000001</v>
      </c>
      <c r="O1897">
        <v>10107895.609999999</v>
      </c>
      <c r="P1897">
        <v>10037112.310000001</v>
      </c>
      <c r="Q1897">
        <v>10107895.609999999</v>
      </c>
      <c r="R1897" s="14">
        <f>_xlfn.XLOOKUP(Table2[[#This Row],[LoanID]],Table1[G-L ID],Table1[ManagerCode],-99)</f>
        <v>183</v>
      </c>
      <c r="T1897"/>
    </row>
    <row r="1898" spans="1:20" x14ac:dyDescent="0.25">
      <c r="A1898">
        <v>20130531</v>
      </c>
      <c r="B1898">
        <v>2013</v>
      </c>
      <c r="C1898">
        <v>5</v>
      </c>
      <c r="D1898">
        <v>1</v>
      </c>
      <c r="E1898">
        <v>12080</v>
      </c>
      <c r="F1898">
        <v>316000</v>
      </c>
      <c r="G1898">
        <v>0</v>
      </c>
      <c r="H1898">
        <v>0</v>
      </c>
      <c r="I1898">
        <v>0</v>
      </c>
      <c r="J1898">
        <v>0</v>
      </c>
      <c r="K1898">
        <v>221200</v>
      </c>
      <c r="L1898">
        <v>40000000</v>
      </c>
      <c r="M1898">
        <v>39778800</v>
      </c>
      <c r="N1898">
        <v>40000000</v>
      </c>
      <c r="O1898">
        <v>39778800</v>
      </c>
      <c r="P1898">
        <v>40000000</v>
      </c>
      <c r="Q1898">
        <v>39778800</v>
      </c>
      <c r="R1898" s="14">
        <f>_xlfn.XLOOKUP(Table2[[#This Row],[LoanID]],Table1[G-L ID],Table1[ManagerCode],-99)</f>
        <v>119</v>
      </c>
      <c r="T1898"/>
    </row>
    <row r="1899" spans="1:20" x14ac:dyDescent="0.25">
      <c r="A1899">
        <v>20130531</v>
      </c>
      <c r="B1899">
        <v>2013</v>
      </c>
      <c r="C1899">
        <v>5</v>
      </c>
      <c r="D1899">
        <v>1</v>
      </c>
      <c r="E1899">
        <v>12090</v>
      </c>
      <c r="F1899">
        <v>158943.75</v>
      </c>
      <c r="G1899">
        <v>0</v>
      </c>
      <c r="H1899">
        <v>0</v>
      </c>
      <c r="I1899">
        <v>0</v>
      </c>
      <c r="J1899">
        <v>0</v>
      </c>
      <c r="K1899">
        <v>0</v>
      </c>
      <c r="L1899">
        <v>17500000</v>
      </c>
      <c r="M1899">
        <v>17500000</v>
      </c>
      <c r="N1899">
        <v>17500000</v>
      </c>
      <c r="O1899">
        <v>17500000</v>
      </c>
      <c r="P1899">
        <v>17500000</v>
      </c>
      <c r="Q1899">
        <v>17500000</v>
      </c>
      <c r="R1899" s="14">
        <f>_xlfn.XLOOKUP(Table2[[#This Row],[LoanID]],Table1[G-L ID],Table1[ManagerCode],-99)</f>
        <v>220</v>
      </c>
      <c r="T1899"/>
    </row>
    <row r="1900" spans="1:20" x14ac:dyDescent="0.25">
      <c r="A1900">
        <v>20130531</v>
      </c>
      <c r="B1900">
        <v>2013</v>
      </c>
      <c r="C1900">
        <v>5</v>
      </c>
      <c r="D1900">
        <v>1</v>
      </c>
      <c r="E1900">
        <v>12100</v>
      </c>
      <c r="F1900">
        <v>45685.98</v>
      </c>
      <c r="G1900">
        <v>68510.73</v>
      </c>
      <c r="H1900">
        <v>0</v>
      </c>
      <c r="I1900">
        <v>0</v>
      </c>
      <c r="J1900">
        <v>-45685.98</v>
      </c>
      <c r="K1900">
        <v>0</v>
      </c>
      <c r="L1900">
        <v>9438033.5700000003</v>
      </c>
      <c r="M1900">
        <v>9552230.2799999993</v>
      </c>
      <c r="N1900">
        <v>9438033.5700000003</v>
      </c>
      <c r="O1900">
        <v>9552230.2799999993</v>
      </c>
      <c r="P1900">
        <v>9438033.5700000003</v>
      </c>
      <c r="Q1900">
        <v>9552230.2799999993</v>
      </c>
      <c r="R1900" s="14">
        <f>_xlfn.XLOOKUP(Table2[[#This Row],[LoanID]],Table1[G-L ID],Table1[ManagerCode],-99)</f>
        <v>183</v>
      </c>
      <c r="T1900"/>
    </row>
    <row r="1901" spans="1:20" x14ac:dyDescent="0.25">
      <c r="A1901">
        <v>20130531</v>
      </c>
      <c r="B1901">
        <v>2013</v>
      </c>
      <c r="C1901">
        <v>5</v>
      </c>
      <c r="D1901">
        <v>1</v>
      </c>
      <c r="E1901">
        <v>12130</v>
      </c>
      <c r="F1901">
        <v>84223.13</v>
      </c>
      <c r="G1901">
        <v>0</v>
      </c>
      <c r="H1901">
        <v>0</v>
      </c>
      <c r="I1901">
        <v>0</v>
      </c>
      <c r="J1901">
        <v>-1549737.84</v>
      </c>
      <c r="K1901">
        <v>0</v>
      </c>
      <c r="L1901">
        <v>10196530.699999999</v>
      </c>
      <c r="M1901">
        <v>11746268.539999999</v>
      </c>
      <c r="N1901">
        <v>10196530.699999999</v>
      </c>
      <c r="O1901">
        <v>11746268.539999999</v>
      </c>
      <c r="P1901">
        <v>10196530.699999999</v>
      </c>
      <c r="Q1901">
        <v>11746268.539999999</v>
      </c>
      <c r="R1901" s="14">
        <f>_xlfn.XLOOKUP(Table2[[#This Row],[LoanID]],Table1[G-L ID],Table1[ManagerCode],-99)</f>
        <v>183</v>
      </c>
      <c r="T1901"/>
    </row>
    <row r="1902" spans="1:20" x14ac:dyDescent="0.25">
      <c r="A1902">
        <v>20130531</v>
      </c>
      <c r="B1902">
        <v>2013</v>
      </c>
      <c r="C1902">
        <v>5</v>
      </c>
      <c r="D1902">
        <v>1</v>
      </c>
      <c r="E1902">
        <v>12210</v>
      </c>
      <c r="F1902">
        <v>701908</v>
      </c>
      <c r="G1902">
        <v>0</v>
      </c>
      <c r="H1902">
        <v>0</v>
      </c>
      <c r="I1902">
        <v>0</v>
      </c>
      <c r="J1902">
        <v>0</v>
      </c>
      <c r="K1902">
        <v>199190.99</v>
      </c>
      <c r="L1902">
        <v>137116947.80000001</v>
      </c>
      <c r="M1902">
        <v>135521691.80000001</v>
      </c>
      <c r="N1902">
        <v>137116947.80000001</v>
      </c>
      <c r="O1902">
        <v>135521691.80000001</v>
      </c>
      <c r="P1902">
        <v>113569846.8</v>
      </c>
      <c r="Q1902">
        <v>113370655.8</v>
      </c>
      <c r="R1902" s="14">
        <f>_xlfn.XLOOKUP(Table2[[#This Row],[LoanID]],Table1[G-L ID],Table1[ManagerCode],-99)</f>
        <v>103</v>
      </c>
      <c r="T1902"/>
    </row>
    <row r="1903" spans="1:20" x14ac:dyDescent="0.25">
      <c r="A1903">
        <v>20130531</v>
      </c>
      <c r="B1903">
        <v>2013</v>
      </c>
      <c r="C1903">
        <v>5</v>
      </c>
      <c r="D1903">
        <v>1</v>
      </c>
      <c r="E1903">
        <v>12230</v>
      </c>
      <c r="F1903">
        <v>291212.79999999999</v>
      </c>
      <c r="G1903">
        <v>0</v>
      </c>
      <c r="H1903">
        <v>0</v>
      </c>
      <c r="I1903">
        <v>0</v>
      </c>
      <c r="J1903">
        <v>0</v>
      </c>
      <c r="K1903">
        <v>0</v>
      </c>
      <c r="L1903">
        <v>54675074</v>
      </c>
      <c r="M1903">
        <v>54675074</v>
      </c>
      <c r="N1903">
        <v>36451872</v>
      </c>
      <c r="O1903">
        <v>36451872</v>
      </c>
      <c r="P1903">
        <v>54675074</v>
      </c>
      <c r="Q1903">
        <v>54675074</v>
      </c>
      <c r="R1903" s="14">
        <f>_xlfn.XLOOKUP(Table2[[#This Row],[LoanID]],Table1[G-L ID],Table1[ManagerCode],-99)</f>
        <v>183</v>
      </c>
      <c r="T1903"/>
    </row>
    <row r="1904" spans="1:20" x14ac:dyDescent="0.25">
      <c r="A1904">
        <v>20130630</v>
      </c>
      <c r="B1904">
        <v>2013</v>
      </c>
      <c r="C1904">
        <v>6</v>
      </c>
      <c r="D1904">
        <v>1</v>
      </c>
      <c r="E1904">
        <v>10050</v>
      </c>
      <c r="F1904">
        <v>153981.01999999999</v>
      </c>
      <c r="G1904">
        <v>0</v>
      </c>
      <c r="H1904">
        <v>0</v>
      </c>
      <c r="I1904">
        <v>0</v>
      </c>
      <c r="J1904">
        <v>0</v>
      </c>
      <c r="K1904">
        <v>0</v>
      </c>
      <c r="L1904">
        <v>38248523.689999998</v>
      </c>
      <c r="M1904">
        <v>36629379.329999998</v>
      </c>
      <c r="N1904">
        <v>38248523.689999998</v>
      </c>
      <c r="O1904">
        <v>36629379.329999998</v>
      </c>
      <c r="P1904">
        <v>33333334</v>
      </c>
      <c r="Q1904">
        <v>33333334</v>
      </c>
      <c r="R1904" s="14">
        <f>_xlfn.XLOOKUP(Table2[[#This Row],[LoanID]],Table1[G-L ID],Table1[ManagerCode],-99)</f>
        <v>103</v>
      </c>
      <c r="T1904"/>
    </row>
    <row r="1905" spans="1:20" x14ac:dyDescent="0.25">
      <c r="A1905">
        <v>20130630</v>
      </c>
      <c r="B1905">
        <v>2013</v>
      </c>
      <c r="C1905">
        <v>6</v>
      </c>
      <c r="D1905">
        <v>1</v>
      </c>
      <c r="E1905">
        <v>10060</v>
      </c>
      <c r="F1905">
        <v>120833.33</v>
      </c>
      <c r="G1905">
        <v>0</v>
      </c>
      <c r="H1905">
        <v>0</v>
      </c>
      <c r="I1905">
        <v>0</v>
      </c>
      <c r="J1905">
        <v>0</v>
      </c>
      <c r="K1905">
        <v>0</v>
      </c>
      <c r="L1905">
        <v>19883428.530000001</v>
      </c>
      <c r="M1905">
        <v>19000000</v>
      </c>
      <c r="N1905">
        <v>19883428.530000001</v>
      </c>
      <c r="O1905">
        <v>19000000</v>
      </c>
      <c r="P1905">
        <v>20000000</v>
      </c>
      <c r="Q1905">
        <v>20000000</v>
      </c>
      <c r="R1905" s="14">
        <f>_xlfn.XLOOKUP(Table2[[#This Row],[LoanID]],Table1[G-L ID],Table1[ManagerCode],-99)</f>
        <v>103</v>
      </c>
      <c r="T1905"/>
    </row>
    <row r="1906" spans="1:20" x14ac:dyDescent="0.25">
      <c r="A1906">
        <v>20130630</v>
      </c>
      <c r="B1906">
        <v>2013</v>
      </c>
      <c r="C1906">
        <v>6</v>
      </c>
      <c r="D1906">
        <v>1</v>
      </c>
      <c r="E1906">
        <v>10080</v>
      </c>
      <c r="F1906">
        <v>351042.71</v>
      </c>
      <c r="G1906">
        <v>0</v>
      </c>
      <c r="H1906">
        <v>0</v>
      </c>
      <c r="I1906">
        <v>-161.46</v>
      </c>
      <c r="J1906">
        <v>0</v>
      </c>
      <c r="K1906">
        <v>0</v>
      </c>
      <c r="L1906">
        <v>74249925.75</v>
      </c>
      <c r="M1906">
        <v>74249925.75</v>
      </c>
      <c r="N1906">
        <v>74249925.75</v>
      </c>
      <c r="O1906">
        <v>74249925.75</v>
      </c>
      <c r="P1906">
        <v>75000000</v>
      </c>
      <c r="Q1906">
        <v>75000000</v>
      </c>
      <c r="R1906" s="14">
        <f>_xlfn.XLOOKUP(Table2[[#This Row],[LoanID]],Table1[G-L ID],Table1[ManagerCode],-99)</f>
        <v>103</v>
      </c>
      <c r="T1906"/>
    </row>
    <row r="1907" spans="1:20" x14ac:dyDescent="0.25">
      <c r="A1907">
        <v>20130630</v>
      </c>
      <c r="B1907">
        <v>2013</v>
      </c>
      <c r="C1907">
        <v>6</v>
      </c>
      <c r="D1907">
        <v>1</v>
      </c>
      <c r="E1907">
        <v>10130</v>
      </c>
      <c r="F1907">
        <v>33146.33</v>
      </c>
      <c r="G1907">
        <v>0</v>
      </c>
      <c r="H1907">
        <v>0</v>
      </c>
      <c r="I1907">
        <v>0</v>
      </c>
      <c r="J1907">
        <v>0</v>
      </c>
      <c r="K1907">
        <v>34544.36</v>
      </c>
      <c r="L1907">
        <v>7413569.4800000004</v>
      </c>
      <c r="M1907">
        <v>7353903.1100000003</v>
      </c>
      <c r="N1907">
        <v>7413569.4800000004</v>
      </c>
      <c r="O1907">
        <v>7353903.1100000003</v>
      </c>
      <c r="P1907">
        <v>7325154.71</v>
      </c>
      <c r="Q1907">
        <v>7290610.3499999996</v>
      </c>
      <c r="R1907" s="14">
        <f>_xlfn.XLOOKUP(Table2[[#This Row],[LoanID]],Table1[G-L ID],Table1[ManagerCode],-99)</f>
        <v>103</v>
      </c>
      <c r="T1907"/>
    </row>
    <row r="1908" spans="1:20" x14ac:dyDescent="0.25">
      <c r="A1908">
        <v>20130630</v>
      </c>
      <c r="B1908">
        <v>2013</v>
      </c>
      <c r="C1908">
        <v>6</v>
      </c>
      <c r="D1908">
        <v>1</v>
      </c>
      <c r="E1908">
        <v>10140</v>
      </c>
      <c r="F1908">
        <v>87484.61</v>
      </c>
      <c r="G1908">
        <v>0</v>
      </c>
      <c r="H1908">
        <v>0</v>
      </c>
      <c r="I1908">
        <v>0</v>
      </c>
      <c r="J1908">
        <v>0</v>
      </c>
      <c r="K1908">
        <v>90339.72</v>
      </c>
      <c r="L1908">
        <v>19567007.66</v>
      </c>
      <c r="M1908">
        <v>19410361.510000002</v>
      </c>
      <c r="N1908">
        <v>19567007.66</v>
      </c>
      <c r="O1908">
        <v>19410361.510000002</v>
      </c>
      <c r="P1908">
        <v>19333615.739999998</v>
      </c>
      <c r="Q1908">
        <v>19243276.02</v>
      </c>
      <c r="R1908" s="14">
        <f>_xlfn.XLOOKUP(Table2[[#This Row],[LoanID]],Table1[G-L ID],Table1[ManagerCode],-99)</f>
        <v>103</v>
      </c>
      <c r="T1908"/>
    </row>
    <row r="1909" spans="1:20" x14ac:dyDescent="0.25">
      <c r="A1909">
        <v>20130630</v>
      </c>
      <c r="B1909">
        <v>2013</v>
      </c>
      <c r="C1909">
        <v>6</v>
      </c>
      <c r="D1909">
        <v>1</v>
      </c>
      <c r="E1909">
        <v>10170</v>
      </c>
      <c r="F1909">
        <v>241807.47</v>
      </c>
      <c r="G1909">
        <v>0</v>
      </c>
      <c r="H1909">
        <v>0</v>
      </c>
      <c r="I1909">
        <v>-1158.82</v>
      </c>
      <c r="J1909">
        <v>0</v>
      </c>
      <c r="K1909">
        <v>72851.460000000006</v>
      </c>
      <c r="L1909">
        <v>47387683.009999998</v>
      </c>
      <c r="M1909">
        <v>47060529</v>
      </c>
      <c r="N1909">
        <v>47387683.009999998</v>
      </c>
      <c r="O1909">
        <v>47060529</v>
      </c>
      <c r="P1909">
        <v>44857615.030000001</v>
      </c>
      <c r="Q1909">
        <v>44784763.57</v>
      </c>
      <c r="R1909" s="14">
        <f>_xlfn.XLOOKUP(Table2[[#This Row],[LoanID]],Table1[G-L ID],Table1[ManagerCode],-99)</f>
        <v>103</v>
      </c>
      <c r="T1909"/>
    </row>
    <row r="1910" spans="1:20" x14ac:dyDescent="0.25">
      <c r="A1910">
        <v>20130630</v>
      </c>
      <c r="B1910">
        <v>2013</v>
      </c>
      <c r="C1910">
        <v>6</v>
      </c>
      <c r="D1910">
        <v>1</v>
      </c>
      <c r="E1910">
        <v>10220</v>
      </c>
      <c r="F1910">
        <v>559722.22</v>
      </c>
      <c r="G1910">
        <v>0</v>
      </c>
      <c r="H1910">
        <v>0</v>
      </c>
      <c r="I1910">
        <v>0</v>
      </c>
      <c r="J1910">
        <v>0</v>
      </c>
      <c r="K1910">
        <v>0</v>
      </c>
      <c r="L1910">
        <v>99000000</v>
      </c>
      <c r="M1910">
        <v>99000000</v>
      </c>
      <c r="N1910">
        <v>99000000</v>
      </c>
      <c r="O1910">
        <v>99000000</v>
      </c>
      <c r="P1910">
        <v>100000000</v>
      </c>
      <c r="Q1910">
        <v>100000000</v>
      </c>
      <c r="R1910" s="14">
        <f>_xlfn.XLOOKUP(Table2[[#This Row],[LoanID]],Table1[G-L ID],Table1[ManagerCode],-99)</f>
        <v>103</v>
      </c>
      <c r="T1910"/>
    </row>
    <row r="1911" spans="1:20" x14ac:dyDescent="0.25">
      <c r="A1911">
        <v>20130630</v>
      </c>
      <c r="B1911">
        <v>2013</v>
      </c>
      <c r="C1911">
        <v>6</v>
      </c>
      <c r="D1911">
        <v>1</v>
      </c>
      <c r="E1911">
        <v>10230</v>
      </c>
      <c r="F1911">
        <v>176450.65</v>
      </c>
      <c r="G1911">
        <v>0</v>
      </c>
      <c r="H1911">
        <v>0</v>
      </c>
      <c r="I1911">
        <v>0</v>
      </c>
      <c r="J1911">
        <v>0</v>
      </c>
      <c r="K1911">
        <v>65147.42</v>
      </c>
      <c r="L1911">
        <v>29844768.170000002</v>
      </c>
      <c r="M1911">
        <v>29782878.100000001</v>
      </c>
      <c r="N1911">
        <v>29844768.170000002</v>
      </c>
      <c r="O1911">
        <v>29782878.100000001</v>
      </c>
      <c r="P1911">
        <v>31415545.43</v>
      </c>
      <c r="Q1911">
        <v>31350398.010000002</v>
      </c>
      <c r="R1911" s="14">
        <f>_xlfn.XLOOKUP(Table2[[#This Row],[LoanID]],Table1[G-L ID],Table1[ManagerCode],-99)</f>
        <v>103</v>
      </c>
      <c r="T1911"/>
    </row>
    <row r="1912" spans="1:20" x14ac:dyDescent="0.25">
      <c r="A1912">
        <v>20130630</v>
      </c>
      <c r="B1912">
        <v>2013</v>
      </c>
      <c r="C1912">
        <v>6</v>
      </c>
      <c r="D1912">
        <v>1</v>
      </c>
      <c r="E1912">
        <v>10280</v>
      </c>
      <c r="F1912">
        <v>181412</v>
      </c>
      <c r="G1912">
        <v>0</v>
      </c>
      <c r="H1912">
        <v>0</v>
      </c>
      <c r="I1912">
        <v>0</v>
      </c>
      <c r="J1912">
        <v>0</v>
      </c>
      <c r="K1912">
        <v>0</v>
      </c>
      <c r="L1912">
        <v>34650034.649999999</v>
      </c>
      <c r="M1912">
        <v>33250033.25</v>
      </c>
      <c r="N1912">
        <v>34650034.649999999</v>
      </c>
      <c r="O1912">
        <v>33250033.25</v>
      </c>
      <c r="P1912">
        <v>35000000</v>
      </c>
      <c r="Q1912">
        <v>35000000</v>
      </c>
      <c r="R1912" s="14">
        <f>_xlfn.XLOOKUP(Table2[[#This Row],[LoanID]],Table1[G-L ID],Table1[ManagerCode],-99)</f>
        <v>103</v>
      </c>
      <c r="T1912"/>
    </row>
    <row r="1913" spans="1:20" x14ac:dyDescent="0.25">
      <c r="A1913">
        <v>20130630</v>
      </c>
      <c r="B1913">
        <v>2013</v>
      </c>
      <c r="C1913">
        <v>6</v>
      </c>
      <c r="D1913">
        <v>1</v>
      </c>
      <c r="E1913">
        <v>10290</v>
      </c>
      <c r="F1913">
        <v>171300.83</v>
      </c>
      <c r="G1913">
        <v>0</v>
      </c>
      <c r="H1913">
        <v>0</v>
      </c>
      <c r="I1913">
        <v>0</v>
      </c>
      <c r="J1913">
        <v>0</v>
      </c>
      <c r="K1913">
        <v>0</v>
      </c>
      <c r="L1913">
        <v>23750000</v>
      </c>
      <c r="M1913">
        <v>23563315.780000001</v>
      </c>
      <c r="N1913">
        <v>23750000</v>
      </c>
      <c r="O1913">
        <v>23563315.780000001</v>
      </c>
      <c r="P1913">
        <v>25000000</v>
      </c>
      <c r="Q1913">
        <v>25000000</v>
      </c>
      <c r="R1913" s="14">
        <f>_xlfn.XLOOKUP(Table2[[#This Row],[LoanID]],Table1[G-L ID],Table1[ManagerCode],-99)</f>
        <v>103</v>
      </c>
      <c r="T1913"/>
    </row>
    <row r="1914" spans="1:20" x14ac:dyDescent="0.25">
      <c r="A1914">
        <v>20130630</v>
      </c>
      <c r="B1914">
        <v>2013</v>
      </c>
      <c r="C1914">
        <v>6</v>
      </c>
      <c r="D1914">
        <v>1</v>
      </c>
      <c r="E1914">
        <v>10300</v>
      </c>
      <c r="F1914">
        <v>149887.93</v>
      </c>
      <c r="G1914">
        <v>0</v>
      </c>
      <c r="H1914">
        <v>0</v>
      </c>
      <c r="I1914">
        <v>0</v>
      </c>
      <c r="J1914">
        <v>0</v>
      </c>
      <c r="K1914">
        <v>0</v>
      </c>
      <c r="L1914">
        <v>37104037.170000002</v>
      </c>
      <c r="M1914">
        <v>35128363.57</v>
      </c>
      <c r="N1914">
        <v>37104037.170000002</v>
      </c>
      <c r="O1914">
        <v>35128363.57</v>
      </c>
      <c r="P1914">
        <v>35000000</v>
      </c>
      <c r="Q1914">
        <v>35000000</v>
      </c>
      <c r="R1914" s="14">
        <f>_xlfn.XLOOKUP(Table2[[#This Row],[LoanID]],Table1[G-L ID],Table1[ManagerCode],-99)</f>
        <v>103</v>
      </c>
      <c r="T1914"/>
    </row>
    <row r="1915" spans="1:20" x14ac:dyDescent="0.25">
      <c r="A1915">
        <v>20130630</v>
      </c>
      <c r="B1915">
        <v>2013</v>
      </c>
      <c r="C1915">
        <v>6</v>
      </c>
      <c r="D1915">
        <v>1</v>
      </c>
      <c r="E1915">
        <v>10370</v>
      </c>
      <c r="F1915">
        <v>3865.2</v>
      </c>
      <c r="G1915">
        <v>0</v>
      </c>
      <c r="H1915">
        <v>0</v>
      </c>
      <c r="I1915">
        <v>0</v>
      </c>
      <c r="J1915">
        <v>0</v>
      </c>
      <c r="K1915">
        <v>39503.81</v>
      </c>
      <c r="L1915">
        <v>2186764.44</v>
      </c>
      <c r="M1915">
        <v>2149235.7999999998</v>
      </c>
      <c r="N1915">
        <v>2186764.44</v>
      </c>
      <c r="O1915">
        <v>2149235.7999999998</v>
      </c>
      <c r="P1915">
        <v>2301857.29</v>
      </c>
      <c r="Q1915">
        <v>2262353.48</v>
      </c>
      <c r="R1915" s="14">
        <f>_xlfn.XLOOKUP(Table2[[#This Row],[LoanID]],Table1[G-L ID],Table1[ManagerCode],-99)</f>
        <v>103</v>
      </c>
      <c r="T1915"/>
    </row>
    <row r="1916" spans="1:20" x14ac:dyDescent="0.25">
      <c r="A1916">
        <v>20130630</v>
      </c>
      <c r="B1916">
        <v>2013</v>
      </c>
      <c r="C1916">
        <v>6</v>
      </c>
      <c r="D1916">
        <v>1</v>
      </c>
      <c r="E1916">
        <v>10390</v>
      </c>
      <c r="F1916">
        <v>118750</v>
      </c>
      <c r="G1916">
        <v>0</v>
      </c>
      <c r="H1916">
        <v>0</v>
      </c>
      <c r="I1916">
        <v>0</v>
      </c>
      <c r="J1916">
        <v>0</v>
      </c>
      <c r="K1916">
        <v>0</v>
      </c>
      <c r="L1916">
        <v>23750000</v>
      </c>
      <c r="M1916">
        <v>23750000</v>
      </c>
      <c r="N1916">
        <v>23750000</v>
      </c>
      <c r="O1916">
        <v>23750000</v>
      </c>
      <c r="P1916">
        <v>24997754.989999998</v>
      </c>
      <c r="Q1916">
        <v>24997959.07</v>
      </c>
      <c r="R1916" s="14">
        <f>_xlfn.XLOOKUP(Table2[[#This Row],[LoanID]],Table1[G-L ID],Table1[ManagerCode],-99)</f>
        <v>103</v>
      </c>
      <c r="T1916"/>
    </row>
    <row r="1917" spans="1:20" x14ac:dyDescent="0.25">
      <c r="A1917">
        <v>20130630</v>
      </c>
      <c r="B1917">
        <v>2013</v>
      </c>
      <c r="C1917">
        <v>6</v>
      </c>
      <c r="D1917">
        <v>1</v>
      </c>
      <c r="E1917">
        <v>10400</v>
      </c>
      <c r="F1917">
        <v>0</v>
      </c>
      <c r="G1917">
        <v>0</v>
      </c>
      <c r="H1917">
        <v>0</v>
      </c>
      <c r="I1917">
        <v>0</v>
      </c>
      <c r="J1917">
        <v>0</v>
      </c>
      <c r="K1917">
        <v>0</v>
      </c>
      <c r="L1917">
        <v>45000000</v>
      </c>
      <c r="M1917">
        <v>45000000</v>
      </c>
      <c r="N1917">
        <v>45000000</v>
      </c>
      <c r="O1917">
        <v>45000000</v>
      </c>
      <c r="P1917">
        <v>45000000</v>
      </c>
      <c r="Q1917">
        <v>45000000</v>
      </c>
      <c r="R1917" s="14">
        <f>_xlfn.XLOOKUP(Table2[[#This Row],[LoanID]],Table1[G-L ID],Table1[ManagerCode],-99)</f>
        <v>220</v>
      </c>
      <c r="T1917"/>
    </row>
    <row r="1918" spans="1:20" x14ac:dyDescent="0.25">
      <c r="A1918">
        <v>20130630</v>
      </c>
      <c r="B1918">
        <v>2013</v>
      </c>
      <c r="C1918">
        <v>6</v>
      </c>
      <c r="D1918">
        <v>1</v>
      </c>
      <c r="E1918">
        <v>10430</v>
      </c>
      <c r="F1918">
        <v>16396.16</v>
      </c>
      <c r="G1918">
        <v>0</v>
      </c>
      <c r="H1918">
        <v>0</v>
      </c>
      <c r="I1918">
        <v>0</v>
      </c>
      <c r="J1918">
        <v>0</v>
      </c>
      <c r="K1918">
        <v>14875</v>
      </c>
      <c r="L1918">
        <v>7000000</v>
      </c>
      <c r="M1918">
        <v>6985125</v>
      </c>
      <c r="N1918">
        <v>7000000</v>
      </c>
      <c r="O1918">
        <v>6985125</v>
      </c>
      <c r="P1918">
        <v>7000000</v>
      </c>
      <c r="Q1918">
        <v>6985125</v>
      </c>
      <c r="R1918" s="14">
        <f>_xlfn.XLOOKUP(Table2[[#This Row],[LoanID]],Table1[G-L ID],Table1[ManagerCode],-99)</f>
        <v>119</v>
      </c>
      <c r="T1918"/>
    </row>
    <row r="1919" spans="1:20" x14ac:dyDescent="0.25">
      <c r="A1919">
        <v>20130630</v>
      </c>
      <c r="B1919">
        <v>2013</v>
      </c>
      <c r="C1919">
        <v>6</v>
      </c>
      <c r="D1919">
        <v>1</v>
      </c>
      <c r="E1919">
        <v>10460</v>
      </c>
      <c r="F1919">
        <v>51041.67</v>
      </c>
      <c r="G1919">
        <v>0</v>
      </c>
      <c r="H1919">
        <v>0</v>
      </c>
      <c r="I1919">
        <v>0</v>
      </c>
      <c r="J1919">
        <v>0</v>
      </c>
      <c r="K1919">
        <v>0</v>
      </c>
      <c r="L1919">
        <v>25719144.350000001</v>
      </c>
      <c r="M1919">
        <v>25734382.030000001</v>
      </c>
      <c r="N1919">
        <v>25719144.350000001</v>
      </c>
      <c r="O1919">
        <v>25734382.030000001</v>
      </c>
      <c r="P1919">
        <v>25000000.010000002</v>
      </c>
      <c r="Q1919">
        <v>25000000.010000002</v>
      </c>
      <c r="R1919" s="14">
        <f>_xlfn.XLOOKUP(Table2[[#This Row],[LoanID]],Table1[G-L ID],Table1[ManagerCode],-99)</f>
        <v>103</v>
      </c>
      <c r="T1919"/>
    </row>
    <row r="1920" spans="1:20" x14ac:dyDescent="0.25">
      <c r="A1920">
        <v>20130630</v>
      </c>
      <c r="B1920">
        <v>2013</v>
      </c>
      <c r="C1920">
        <v>6</v>
      </c>
      <c r="D1920">
        <v>1</v>
      </c>
      <c r="E1920">
        <v>10490</v>
      </c>
      <c r="F1920">
        <v>158538.1</v>
      </c>
      <c r="G1920">
        <v>0</v>
      </c>
      <c r="H1920">
        <v>0</v>
      </c>
      <c r="I1920">
        <v>0</v>
      </c>
      <c r="J1920">
        <v>0</v>
      </c>
      <c r="K1920">
        <v>0</v>
      </c>
      <c r="L1920">
        <v>17534168</v>
      </c>
      <c r="M1920">
        <v>17534168</v>
      </c>
      <c r="N1920">
        <v>17534168</v>
      </c>
      <c r="O1920">
        <v>17534168</v>
      </c>
      <c r="P1920">
        <v>17534168</v>
      </c>
      <c r="Q1920">
        <v>17534168</v>
      </c>
      <c r="R1920" s="14">
        <f>_xlfn.XLOOKUP(Table2[[#This Row],[LoanID]],Table1[G-L ID],Table1[ManagerCode],-99)</f>
        <v>220</v>
      </c>
      <c r="T1920"/>
    </row>
    <row r="1921" spans="1:20" x14ac:dyDescent="0.25">
      <c r="A1921">
        <v>20130630</v>
      </c>
      <c r="B1921">
        <v>2013</v>
      </c>
      <c r="C1921">
        <v>6</v>
      </c>
      <c r="D1921">
        <v>1</v>
      </c>
      <c r="E1921">
        <v>10591</v>
      </c>
      <c r="F1921">
        <v>230503.86</v>
      </c>
      <c r="G1921">
        <v>0</v>
      </c>
      <c r="H1921">
        <v>0</v>
      </c>
      <c r="I1921">
        <v>0</v>
      </c>
      <c r="J1921">
        <v>0</v>
      </c>
      <c r="K1921">
        <v>77540.479999999996</v>
      </c>
      <c r="L1921">
        <v>26165988.690000001</v>
      </c>
      <c r="M1921">
        <v>26088448.210000001</v>
      </c>
      <c r="N1921">
        <v>26165988.690000001</v>
      </c>
      <c r="O1921">
        <v>26088448.210000001</v>
      </c>
      <c r="P1921">
        <v>26165988.690000001</v>
      </c>
      <c r="Q1921">
        <v>26088448.210000001</v>
      </c>
      <c r="R1921" s="14">
        <f>_xlfn.XLOOKUP(Table2[[#This Row],[LoanID]],Table1[G-L ID],Table1[ManagerCode],-99)</f>
        <v>220</v>
      </c>
      <c r="T1921"/>
    </row>
    <row r="1922" spans="1:20" x14ac:dyDescent="0.25">
      <c r="A1922">
        <v>20130630</v>
      </c>
      <c r="B1922">
        <v>2013</v>
      </c>
      <c r="C1922">
        <v>6</v>
      </c>
      <c r="D1922">
        <v>1</v>
      </c>
      <c r="E1922">
        <v>10592</v>
      </c>
      <c r="F1922">
        <v>382311.36</v>
      </c>
      <c r="G1922">
        <v>0</v>
      </c>
      <c r="H1922">
        <v>0</v>
      </c>
      <c r="I1922">
        <v>0</v>
      </c>
      <c r="J1922">
        <v>0</v>
      </c>
      <c r="K1922">
        <v>114464.52</v>
      </c>
      <c r="L1922">
        <v>38625983.310000002</v>
      </c>
      <c r="M1922">
        <v>38511518.789999999</v>
      </c>
      <c r="N1922">
        <v>38625983.310000002</v>
      </c>
      <c r="O1922">
        <v>38511518.789999999</v>
      </c>
      <c r="P1922">
        <v>38625983.310000002</v>
      </c>
      <c r="Q1922">
        <v>38511518.789999999</v>
      </c>
      <c r="R1922" s="14">
        <f>_xlfn.XLOOKUP(Table2[[#This Row],[LoanID]],Table1[G-L ID],Table1[ManagerCode],-99)</f>
        <v>220</v>
      </c>
      <c r="T1922"/>
    </row>
    <row r="1923" spans="1:20" x14ac:dyDescent="0.25">
      <c r="A1923">
        <v>20130630</v>
      </c>
      <c r="B1923">
        <v>2013</v>
      </c>
      <c r="C1923">
        <v>6</v>
      </c>
      <c r="D1923">
        <v>1</v>
      </c>
      <c r="E1923">
        <v>10630</v>
      </c>
      <c r="F1923">
        <v>47677.64</v>
      </c>
      <c r="G1923">
        <v>0</v>
      </c>
      <c r="H1923">
        <v>0</v>
      </c>
      <c r="I1923">
        <v>0</v>
      </c>
      <c r="J1923">
        <v>0</v>
      </c>
      <c r="K1923">
        <v>14938.44</v>
      </c>
      <c r="L1923">
        <v>9159974.0399999991</v>
      </c>
      <c r="M1923">
        <v>9109299.5399999991</v>
      </c>
      <c r="N1923">
        <v>9159974.0399999991</v>
      </c>
      <c r="O1923">
        <v>9109299.5399999991</v>
      </c>
      <c r="P1923">
        <v>8925611.2899999991</v>
      </c>
      <c r="Q1923">
        <v>8910672.8499999996</v>
      </c>
      <c r="R1923" s="14">
        <f>_xlfn.XLOOKUP(Table2[[#This Row],[LoanID]],Table1[G-L ID],Table1[ManagerCode],-99)</f>
        <v>103</v>
      </c>
      <c r="T1923"/>
    </row>
    <row r="1924" spans="1:20" x14ac:dyDescent="0.25">
      <c r="A1924">
        <v>20130630</v>
      </c>
      <c r="B1924">
        <v>2013</v>
      </c>
      <c r="C1924">
        <v>6</v>
      </c>
      <c r="D1924">
        <v>1</v>
      </c>
      <c r="E1924">
        <v>10690</v>
      </c>
      <c r="F1924">
        <v>51613.99</v>
      </c>
      <c r="G1924">
        <v>22725.79</v>
      </c>
      <c r="H1924">
        <v>0</v>
      </c>
      <c r="I1924">
        <v>0</v>
      </c>
      <c r="J1924">
        <v>-2721518.42</v>
      </c>
      <c r="K1924">
        <v>0</v>
      </c>
      <c r="L1924">
        <v>7545666.0199999996</v>
      </c>
      <c r="M1924">
        <v>10289910.23</v>
      </c>
      <c r="N1924">
        <v>7545666.0199999996</v>
      </c>
      <c r="O1924">
        <v>10289910.23</v>
      </c>
      <c r="P1924">
        <v>7545666.0199999996</v>
      </c>
      <c r="Q1924">
        <v>10289910.23</v>
      </c>
      <c r="R1924" s="14">
        <f>_xlfn.XLOOKUP(Table2[[#This Row],[LoanID]],Table1[G-L ID],Table1[ManagerCode],-99)</f>
        <v>183</v>
      </c>
      <c r="T1924"/>
    </row>
    <row r="1925" spans="1:20" x14ac:dyDescent="0.25">
      <c r="A1925">
        <v>20130630</v>
      </c>
      <c r="B1925">
        <v>2013</v>
      </c>
      <c r="C1925">
        <v>6</v>
      </c>
      <c r="D1925">
        <v>1</v>
      </c>
      <c r="E1925">
        <v>10820</v>
      </c>
      <c r="F1925">
        <v>175041.78</v>
      </c>
      <c r="G1925">
        <v>0</v>
      </c>
      <c r="H1925">
        <v>0</v>
      </c>
      <c r="I1925">
        <v>0</v>
      </c>
      <c r="J1925">
        <v>0</v>
      </c>
      <c r="K1925">
        <v>0</v>
      </c>
      <c r="L1925">
        <v>21397297</v>
      </c>
      <c r="M1925">
        <v>21397297</v>
      </c>
      <c r="N1925">
        <v>21397297</v>
      </c>
      <c r="O1925">
        <v>21397297</v>
      </c>
      <c r="P1925">
        <v>21397297</v>
      </c>
      <c r="Q1925">
        <v>21397297</v>
      </c>
      <c r="R1925" s="14">
        <f>_xlfn.XLOOKUP(Table2[[#This Row],[LoanID]],Table1[G-L ID],Table1[ManagerCode],-99)</f>
        <v>220</v>
      </c>
      <c r="T1925"/>
    </row>
    <row r="1926" spans="1:20" x14ac:dyDescent="0.25">
      <c r="A1926">
        <v>20130630</v>
      </c>
      <c r="B1926">
        <v>2013</v>
      </c>
      <c r="C1926">
        <v>6</v>
      </c>
      <c r="D1926">
        <v>1</v>
      </c>
      <c r="E1926">
        <v>10830</v>
      </c>
      <c r="F1926">
        <v>57113.55</v>
      </c>
      <c r="G1926">
        <v>0</v>
      </c>
      <c r="H1926">
        <v>0</v>
      </c>
      <c r="I1926">
        <v>0</v>
      </c>
      <c r="J1926">
        <v>0</v>
      </c>
      <c r="K1926">
        <v>0</v>
      </c>
      <c r="L1926">
        <v>6981622</v>
      </c>
      <c r="M1926">
        <v>6981622</v>
      </c>
      <c r="N1926">
        <v>6981622</v>
      </c>
      <c r="O1926">
        <v>6981622</v>
      </c>
      <c r="P1926">
        <v>6981622</v>
      </c>
      <c r="Q1926">
        <v>6981622</v>
      </c>
      <c r="R1926" s="14">
        <f>_xlfn.XLOOKUP(Table2[[#This Row],[LoanID]],Table1[G-L ID],Table1[ManagerCode],-99)</f>
        <v>220</v>
      </c>
      <c r="T1926"/>
    </row>
    <row r="1927" spans="1:20" x14ac:dyDescent="0.25">
      <c r="A1927">
        <v>20130630</v>
      </c>
      <c r="B1927">
        <v>2013</v>
      </c>
      <c r="C1927">
        <v>6</v>
      </c>
      <c r="D1927">
        <v>1</v>
      </c>
      <c r="E1927">
        <v>10840</v>
      </c>
      <c r="F1927">
        <v>103968.23</v>
      </c>
      <c r="G1927">
        <v>0</v>
      </c>
      <c r="H1927">
        <v>0</v>
      </c>
      <c r="I1927">
        <v>0</v>
      </c>
      <c r="J1927">
        <v>0</v>
      </c>
      <c r="K1927">
        <v>0</v>
      </c>
      <c r="L1927">
        <v>12709189</v>
      </c>
      <c r="M1927">
        <v>12709189</v>
      </c>
      <c r="N1927">
        <v>12709189</v>
      </c>
      <c r="O1927">
        <v>12709189</v>
      </c>
      <c r="P1927">
        <v>12709189</v>
      </c>
      <c r="Q1927">
        <v>12709189</v>
      </c>
      <c r="R1927" s="14">
        <f>_xlfn.XLOOKUP(Table2[[#This Row],[LoanID]],Table1[G-L ID],Table1[ManagerCode],-99)</f>
        <v>220</v>
      </c>
      <c r="T1927"/>
    </row>
    <row r="1928" spans="1:20" x14ac:dyDescent="0.25">
      <c r="A1928">
        <v>20130630</v>
      </c>
      <c r="B1928">
        <v>2013</v>
      </c>
      <c r="C1928">
        <v>6</v>
      </c>
      <c r="D1928">
        <v>1</v>
      </c>
      <c r="E1928">
        <v>10850</v>
      </c>
      <c r="F1928">
        <v>110534.78</v>
      </c>
      <c r="G1928">
        <v>0</v>
      </c>
      <c r="H1928">
        <v>0</v>
      </c>
      <c r="I1928">
        <v>0</v>
      </c>
      <c r="J1928">
        <v>0</v>
      </c>
      <c r="K1928">
        <v>0</v>
      </c>
      <c r="L1928">
        <v>13511892</v>
      </c>
      <c r="M1928">
        <v>13511892</v>
      </c>
      <c r="N1928">
        <v>13511892</v>
      </c>
      <c r="O1928">
        <v>13511892</v>
      </c>
      <c r="P1928">
        <v>13511892</v>
      </c>
      <c r="Q1928">
        <v>13511892</v>
      </c>
      <c r="R1928" s="14">
        <f>_xlfn.XLOOKUP(Table2[[#This Row],[LoanID]],Table1[G-L ID],Table1[ManagerCode],-99)</f>
        <v>220</v>
      </c>
      <c r="T1928"/>
    </row>
    <row r="1929" spans="1:20" x14ac:dyDescent="0.25">
      <c r="A1929">
        <v>20130630</v>
      </c>
      <c r="B1929">
        <v>2013</v>
      </c>
      <c r="C1929">
        <v>6</v>
      </c>
      <c r="D1929">
        <v>1</v>
      </c>
      <c r="E1929">
        <v>10880</v>
      </c>
      <c r="F1929">
        <v>295157.95</v>
      </c>
      <c r="G1929">
        <v>0</v>
      </c>
      <c r="H1929">
        <v>0</v>
      </c>
      <c r="I1929">
        <v>0</v>
      </c>
      <c r="J1929">
        <v>0</v>
      </c>
      <c r="K1929">
        <v>0</v>
      </c>
      <c r="L1929">
        <v>199727153.09999999</v>
      </c>
      <c r="M1929">
        <v>199501272.5</v>
      </c>
      <c r="N1929">
        <v>199727153.09999999</v>
      </c>
      <c r="O1929">
        <v>199501272.5</v>
      </c>
      <c r="P1929">
        <v>201744599.09999999</v>
      </c>
      <c r="Q1929">
        <v>201744599.09999999</v>
      </c>
      <c r="R1929" s="14">
        <f>_xlfn.XLOOKUP(Table2[[#This Row],[LoanID]],Table1[G-L ID],Table1[ManagerCode],-99)</f>
        <v>103</v>
      </c>
      <c r="T1929"/>
    </row>
    <row r="1930" spans="1:20" x14ac:dyDescent="0.25">
      <c r="A1930">
        <v>20130630</v>
      </c>
      <c r="B1930">
        <v>2013</v>
      </c>
      <c r="C1930">
        <v>6</v>
      </c>
      <c r="D1930">
        <v>1</v>
      </c>
      <c r="E1930">
        <v>10900</v>
      </c>
      <c r="F1930">
        <v>81251</v>
      </c>
      <c r="G1930">
        <v>0</v>
      </c>
      <c r="H1930">
        <v>0</v>
      </c>
      <c r="I1930">
        <v>0</v>
      </c>
      <c r="J1930">
        <v>0</v>
      </c>
      <c r="K1930">
        <v>2366.06</v>
      </c>
      <c r="L1930">
        <v>8148927.6900000004</v>
      </c>
      <c r="M1930">
        <v>8146679.9699999997</v>
      </c>
      <c r="N1930">
        <v>8148927.6900000004</v>
      </c>
      <c r="O1930">
        <v>8146679.9699999997</v>
      </c>
      <c r="P1930">
        <v>8577818.6400000006</v>
      </c>
      <c r="Q1930">
        <v>8575452.5800000001</v>
      </c>
      <c r="R1930" s="14">
        <f>_xlfn.XLOOKUP(Table2[[#This Row],[LoanID]],Table1[G-L ID],Table1[ManagerCode],-99)</f>
        <v>103</v>
      </c>
      <c r="T1930"/>
    </row>
    <row r="1931" spans="1:20" x14ac:dyDescent="0.25">
      <c r="A1931">
        <v>20130630</v>
      </c>
      <c r="B1931">
        <v>2013</v>
      </c>
      <c r="C1931">
        <v>6</v>
      </c>
      <c r="D1931">
        <v>1</v>
      </c>
      <c r="E1931">
        <v>10920</v>
      </c>
      <c r="F1931">
        <v>114583.33</v>
      </c>
      <c r="G1931">
        <v>0</v>
      </c>
      <c r="H1931">
        <v>0</v>
      </c>
      <c r="I1931">
        <v>0</v>
      </c>
      <c r="J1931">
        <v>0</v>
      </c>
      <c r="K1931">
        <v>0</v>
      </c>
      <c r="L1931">
        <v>11000000</v>
      </c>
      <c r="M1931">
        <v>11000000</v>
      </c>
      <c r="N1931">
        <v>11000000</v>
      </c>
      <c r="O1931">
        <v>11000000</v>
      </c>
      <c r="P1931">
        <v>11000000</v>
      </c>
      <c r="Q1931">
        <v>11000000</v>
      </c>
      <c r="R1931" s="14">
        <f>_xlfn.XLOOKUP(Table2[[#This Row],[LoanID]],Table1[G-L ID],Table1[ManagerCode],-99)</f>
        <v>183</v>
      </c>
      <c r="T1931"/>
    </row>
    <row r="1932" spans="1:20" x14ac:dyDescent="0.25">
      <c r="A1932">
        <v>20130630</v>
      </c>
      <c r="B1932">
        <v>2013</v>
      </c>
      <c r="C1932">
        <v>6</v>
      </c>
      <c r="D1932">
        <v>1</v>
      </c>
      <c r="E1932">
        <v>10950</v>
      </c>
      <c r="F1932">
        <v>51253.62</v>
      </c>
      <c r="G1932">
        <v>0</v>
      </c>
      <c r="H1932">
        <v>0</v>
      </c>
      <c r="I1932">
        <v>0</v>
      </c>
      <c r="J1932">
        <v>0</v>
      </c>
      <c r="K1932">
        <v>25769.4</v>
      </c>
      <c r="L1932">
        <v>10216325.199999999</v>
      </c>
      <c r="M1932">
        <v>10190813.5</v>
      </c>
      <c r="N1932">
        <v>10216325.199999999</v>
      </c>
      <c r="O1932">
        <v>10190813.5</v>
      </c>
      <c r="P1932">
        <v>10319520.4</v>
      </c>
      <c r="Q1932">
        <v>10293751</v>
      </c>
      <c r="R1932" s="14">
        <f>_xlfn.XLOOKUP(Table2[[#This Row],[LoanID]],Table1[G-L ID],Table1[ManagerCode],-99)</f>
        <v>103</v>
      </c>
      <c r="T1932"/>
    </row>
    <row r="1933" spans="1:20" x14ac:dyDescent="0.25">
      <c r="A1933">
        <v>20130630</v>
      </c>
      <c r="B1933">
        <v>2013</v>
      </c>
      <c r="C1933">
        <v>6</v>
      </c>
      <c r="D1933">
        <v>1</v>
      </c>
      <c r="E1933">
        <v>10980</v>
      </c>
      <c r="F1933">
        <v>173478.77</v>
      </c>
      <c r="G1933">
        <v>18302.5</v>
      </c>
      <c r="H1933">
        <v>0</v>
      </c>
      <c r="I1933">
        <v>0</v>
      </c>
      <c r="J1933">
        <v>-1084097.21</v>
      </c>
      <c r="K1933">
        <v>0</v>
      </c>
      <c r="L1933">
        <v>26103464.469999999</v>
      </c>
      <c r="M1933">
        <v>27205864.18</v>
      </c>
      <c r="N1933">
        <v>26103464.469999999</v>
      </c>
      <c r="O1933">
        <v>27205864.18</v>
      </c>
      <c r="P1933">
        <v>26103464.469999999</v>
      </c>
      <c r="Q1933">
        <v>27205864.18</v>
      </c>
      <c r="R1933" s="14">
        <f>_xlfn.XLOOKUP(Table2[[#This Row],[LoanID]],Table1[G-L ID],Table1[ManagerCode],-99)</f>
        <v>183</v>
      </c>
      <c r="T1933"/>
    </row>
    <row r="1934" spans="1:20" x14ac:dyDescent="0.25">
      <c r="A1934">
        <v>20130630</v>
      </c>
      <c r="B1934">
        <v>2013</v>
      </c>
      <c r="C1934">
        <v>6</v>
      </c>
      <c r="D1934">
        <v>1</v>
      </c>
      <c r="E1934">
        <v>11020</v>
      </c>
      <c r="F1934">
        <v>115500</v>
      </c>
      <c r="G1934">
        <v>0</v>
      </c>
      <c r="H1934">
        <v>0</v>
      </c>
      <c r="I1934">
        <v>0</v>
      </c>
      <c r="J1934">
        <v>0</v>
      </c>
      <c r="K1934">
        <v>0</v>
      </c>
      <c r="L1934">
        <v>12000000</v>
      </c>
      <c r="M1934">
        <v>12000000</v>
      </c>
      <c r="N1934">
        <v>12000000</v>
      </c>
      <c r="O1934">
        <v>12000000</v>
      </c>
      <c r="P1934">
        <v>12000000</v>
      </c>
      <c r="Q1934">
        <v>12000000</v>
      </c>
      <c r="R1934" s="14">
        <f>_xlfn.XLOOKUP(Table2[[#This Row],[LoanID]],Table1[G-L ID],Table1[ManagerCode],-99)</f>
        <v>119</v>
      </c>
      <c r="T1934"/>
    </row>
    <row r="1935" spans="1:20" x14ac:dyDescent="0.25">
      <c r="A1935">
        <v>20130630</v>
      </c>
      <c r="B1935">
        <v>2013</v>
      </c>
      <c r="C1935">
        <v>6</v>
      </c>
      <c r="D1935">
        <v>1</v>
      </c>
      <c r="E1935">
        <v>11050</v>
      </c>
      <c r="F1935">
        <v>0</v>
      </c>
      <c r="G1935">
        <v>0</v>
      </c>
      <c r="H1935">
        <v>0</v>
      </c>
      <c r="I1935">
        <v>0</v>
      </c>
      <c r="J1935">
        <v>-1881920.65</v>
      </c>
      <c r="K1935">
        <v>0</v>
      </c>
      <c r="L1935">
        <v>18692947.899999999</v>
      </c>
      <c r="M1935">
        <v>20574868.550000001</v>
      </c>
      <c r="N1935">
        <v>18692947.899999999</v>
      </c>
      <c r="O1935">
        <v>20574868.550000001</v>
      </c>
      <c r="P1935">
        <v>18692947.899999999</v>
      </c>
      <c r="Q1935">
        <v>20574868.550000001</v>
      </c>
      <c r="R1935" s="14">
        <f>_xlfn.XLOOKUP(Table2[[#This Row],[LoanID]],Table1[G-L ID],Table1[ManagerCode],-99)</f>
        <v>220</v>
      </c>
      <c r="T1935"/>
    </row>
    <row r="1936" spans="1:20" x14ac:dyDescent="0.25">
      <c r="A1936">
        <v>20130630</v>
      </c>
      <c r="B1936">
        <v>2013</v>
      </c>
      <c r="C1936">
        <v>6</v>
      </c>
      <c r="D1936">
        <v>1</v>
      </c>
      <c r="E1936">
        <v>11070</v>
      </c>
      <c r="F1936">
        <v>145252.71</v>
      </c>
      <c r="G1936">
        <v>0</v>
      </c>
      <c r="H1936">
        <v>0</v>
      </c>
      <c r="I1936">
        <v>-0.01</v>
      </c>
      <c r="J1936">
        <v>0</v>
      </c>
      <c r="K1936">
        <v>13788.07</v>
      </c>
      <c r="L1936">
        <v>13939738.539999999</v>
      </c>
      <c r="M1936">
        <v>13928708.07</v>
      </c>
      <c r="N1936">
        <v>13939738.539999999</v>
      </c>
      <c r="O1936">
        <v>13928708.07</v>
      </c>
      <c r="P1936">
        <v>17424655.760000002</v>
      </c>
      <c r="Q1936">
        <v>17410867.690000001</v>
      </c>
      <c r="R1936" s="14">
        <f>_xlfn.XLOOKUP(Table2[[#This Row],[LoanID]],Table1[G-L ID],Table1[ManagerCode],-99)</f>
        <v>103</v>
      </c>
      <c r="T1936"/>
    </row>
    <row r="1937" spans="1:20" x14ac:dyDescent="0.25">
      <c r="A1937">
        <v>20130630</v>
      </c>
      <c r="B1937">
        <v>2013</v>
      </c>
      <c r="C1937">
        <v>6</v>
      </c>
      <c r="D1937">
        <v>1</v>
      </c>
      <c r="E1937">
        <v>11110</v>
      </c>
      <c r="F1937">
        <v>101158.23</v>
      </c>
      <c r="G1937">
        <v>0</v>
      </c>
      <c r="H1937">
        <v>0</v>
      </c>
      <c r="I1937">
        <v>0</v>
      </c>
      <c r="J1937">
        <v>0</v>
      </c>
      <c r="K1937">
        <v>0</v>
      </c>
      <c r="L1937">
        <v>14017303.49</v>
      </c>
      <c r="M1937">
        <v>14017303.49</v>
      </c>
      <c r="N1937">
        <v>14017303.49</v>
      </c>
      <c r="O1937">
        <v>14017303.49</v>
      </c>
      <c r="P1937">
        <v>14017303.49</v>
      </c>
      <c r="Q1937">
        <v>14017303.49</v>
      </c>
      <c r="R1937" s="14">
        <f>_xlfn.XLOOKUP(Table2[[#This Row],[LoanID]],Table1[G-L ID],Table1[ManagerCode],-99)</f>
        <v>183</v>
      </c>
      <c r="T1937"/>
    </row>
    <row r="1938" spans="1:20" x14ac:dyDescent="0.25">
      <c r="A1938">
        <v>20130630</v>
      </c>
      <c r="B1938">
        <v>2013</v>
      </c>
      <c r="C1938">
        <v>6</v>
      </c>
      <c r="D1938">
        <v>1</v>
      </c>
      <c r="E1938">
        <v>11140</v>
      </c>
      <c r="F1938">
        <v>558363.03</v>
      </c>
      <c r="G1938">
        <v>0</v>
      </c>
      <c r="H1938">
        <v>0</v>
      </c>
      <c r="I1938">
        <v>0</v>
      </c>
      <c r="J1938">
        <v>0</v>
      </c>
      <c r="K1938">
        <v>0</v>
      </c>
      <c r="L1938">
        <v>71711993.859999999</v>
      </c>
      <c r="M1938">
        <v>71711993.859999999</v>
      </c>
      <c r="N1938">
        <v>71711993.859999999</v>
      </c>
      <c r="O1938">
        <v>71711993.859999999</v>
      </c>
      <c r="P1938">
        <v>72436285</v>
      </c>
      <c r="Q1938">
        <v>72436285</v>
      </c>
      <c r="R1938" s="14">
        <f>_xlfn.XLOOKUP(Table2[[#This Row],[LoanID]],Table1[G-L ID],Table1[ManagerCode],-99)</f>
        <v>103</v>
      </c>
      <c r="T1938"/>
    </row>
    <row r="1939" spans="1:20" x14ac:dyDescent="0.25">
      <c r="A1939">
        <v>20130630</v>
      </c>
      <c r="B1939">
        <v>2013</v>
      </c>
      <c r="C1939">
        <v>6</v>
      </c>
      <c r="D1939">
        <v>1</v>
      </c>
      <c r="E1939">
        <v>11190</v>
      </c>
      <c r="F1939">
        <v>1343654.01</v>
      </c>
      <c r="G1939">
        <v>0</v>
      </c>
      <c r="H1939">
        <v>0</v>
      </c>
      <c r="I1939">
        <v>-1721.97</v>
      </c>
      <c r="J1939">
        <v>0</v>
      </c>
      <c r="K1939">
        <v>0</v>
      </c>
      <c r="L1939">
        <v>189972289.90000001</v>
      </c>
      <c r="M1939">
        <v>197971123.19999999</v>
      </c>
      <c r="N1939">
        <v>189972289.90000001</v>
      </c>
      <c r="O1939">
        <v>197971123.19999999</v>
      </c>
      <c r="P1939">
        <v>199970831.5</v>
      </c>
      <c r="Q1939">
        <v>199970831.5</v>
      </c>
      <c r="R1939" s="14">
        <f>_xlfn.XLOOKUP(Table2[[#This Row],[LoanID]],Table1[G-L ID],Table1[ManagerCode],-99)</f>
        <v>103</v>
      </c>
      <c r="T1939"/>
    </row>
    <row r="1940" spans="1:20" x14ac:dyDescent="0.25">
      <c r="A1940">
        <v>20130630</v>
      </c>
      <c r="B1940">
        <v>2013</v>
      </c>
      <c r="C1940">
        <v>6</v>
      </c>
      <c r="D1940">
        <v>1</v>
      </c>
      <c r="E1940">
        <v>11220</v>
      </c>
      <c r="F1940">
        <v>311937.5</v>
      </c>
      <c r="G1940">
        <v>0</v>
      </c>
      <c r="H1940">
        <v>0</v>
      </c>
      <c r="I1940">
        <v>0</v>
      </c>
      <c r="J1940">
        <v>0</v>
      </c>
      <c r="K1940">
        <v>0</v>
      </c>
      <c r="L1940">
        <v>34500000</v>
      </c>
      <c r="M1940">
        <v>34500000</v>
      </c>
      <c r="N1940">
        <v>34500000</v>
      </c>
      <c r="O1940">
        <v>34500000</v>
      </c>
      <c r="P1940">
        <v>34500000</v>
      </c>
      <c r="Q1940">
        <v>34500000</v>
      </c>
      <c r="R1940" s="14">
        <f>_xlfn.XLOOKUP(Table2[[#This Row],[LoanID]],Table1[G-L ID],Table1[ManagerCode],-99)</f>
        <v>220</v>
      </c>
      <c r="T1940"/>
    </row>
    <row r="1941" spans="1:20" x14ac:dyDescent="0.25">
      <c r="A1941">
        <v>20130630</v>
      </c>
      <c r="B1941">
        <v>2013</v>
      </c>
      <c r="C1941">
        <v>6</v>
      </c>
      <c r="D1941">
        <v>1</v>
      </c>
      <c r="E1941">
        <v>11230</v>
      </c>
      <c r="F1941">
        <v>246748.42</v>
      </c>
      <c r="G1941">
        <v>0</v>
      </c>
      <c r="H1941">
        <v>0</v>
      </c>
      <c r="I1941">
        <v>0</v>
      </c>
      <c r="J1941">
        <v>0</v>
      </c>
      <c r="K1941">
        <v>0</v>
      </c>
      <c r="L1941">
        <v>175436664</v>
      </c>
      <c r="M1941">
        <v>175436664</v>
      </c>
      <c r="N1941">
        <v>175436664</v>
      </c>
      <c r="O1941">
        <v>175436664</v>
      </c>
      <c r="P1941">
        <v>194929626.59999999</v>
      </c>
      <c r="Q1941">
        <v>194929626.59999999</v>
      </c>
      <c r="R1941" s="14">
        <f>_xlfn.XLOOKUP(Table2[[#This Row],[LoanID]],Table1[G-L ID],Table1[ManagerCode],-99)</f>
        <v>103</v>
      </c>
      <c r="T1941"/>
    </row>
    <row r="1942" spans="1:20" x14ac:dyDescent="0.25">
      <c r="A1942">
        <v>20130630</v>
      </c>
      <c r="B1942">
        <v>2013</v>
      </c>
      <c r="C1942">
        <v>6</v>
      </c>
      <c r="D1942">
        <v>1</v>
      </c>
      <c r="E1942">
        <v>11320</v>
      </c>
      <c r="F1942">
        <v>0</v>
      </c>
      <c r="G1942">
        <v>0</v>
      </c>
      <c r="H1942">
        <v>96000</v>
      </c>
      <c r="I1942">
        <v>0</v>
      </c>
      <c r="J1942">
        <v>-12000000</v>
      </c>
      <c r="K1942">
        <v>0</v>
      </c>
      <c r="L1942">
        <v>0</v>
      </c>
      <c r="M1942">
        <v>12000000</v>
      </c>
      <c r="N1942">
        <v>0</v>
      </c>
      <c r="O1942">
        <v>12000000</v>
      </c>
      <c r="P1942">
        <v>0</v>
      </c>
      <c r="Q1942">
        <v>12000000</v>
      </c>
      <c r="R1942" s="14">
        <f>_xlfn.XLOOKUP(Table2[[#This Row],[LoanID]],Table1[G-L ID],Table1[ManagerCode],-99)</f>
        <v>119</v>
      </c>
      <c r="T1942"/>
    </row>
    <row r="1943" spans="1:20" x14ac:dyDescent="0.25">
      <c r="A1943">
        <v>20130630</v>
      </c>
      <c r="B1943">
        <v>2013</v>
      </c>
      <c r="C1943">
        <v>6</v>
      </c>
      <c r="D1943">
        <v>1</v>
      </c>
      <c r="E1943">
        <v>11340</v>
      </c>
      <c r="F1943">
        <v>301388.89</v>
      </c>
      <c r="G1943">
        <v>0</v>
      </c>
      <c r="H1943">
        <v>0</v>
      </c>
      <c r="I1943">
        <v>0</v>
      </c>
      <c r="J1943">
        <v>0</v>
      </c>
      <c r="K1943">
        <v>0</v>
      </c>
      <c r="L1943">
        <v>49500000</v>
      </c>
      <c r="M1943">
        <v>49500000</v>
      </c>
      <c r="N1943">
        <v>49500000</v>
      </c>
      <c r="O1943">
        <v>49500000</v>
      </c>
      <c r="P1943">
        <v>50000000</v>
      </c>
      <c r="Q1943">
        <v>50000000</v>
      </c>
      <c r="R1943" s="14">
        <f>_xlfn.XLOOKUP(Table2[[#This Row],[LoanID]],Table1[G-L ID],Table1[ManagerCode],-99)</f>
        <v>103</v>
      </c>
      <c r="T1943"/>
    </row>
    <row r="1944" spans="1:20" x14ac:dyDescent="0.25">
      <c r="A1944">
        <v>20130630</v>
      </c>
      <c r="B1944">
        <v>2013</v>
      </c>
      <c r="C1944">
        <v>6</v>
      </c>
      <c r="D1944">
        <v>1</v>
      </c>
      <c r="E1944">
        <v>11350</v>
      </c>
      <c r="F1944">
        <v>331527.78000000003</v>
      </c>
      <c r="G1944">
        <v>0</v>
      </c>
      <c r="H1944">
        <v>0</v>
      </c>
      <c r="I1944">
        <v>0</v>
      </c>
      <c r="J1944">
        <v>0</v>
      </c>
      <c r="K1944">
        <v>0</v>
      </c>
      <c r="L1944">
        <v>54449945.549999997</v>
      </c>
      <c r="M1944">
        <v>54449945.549999997</v>
      </c>
      <c r="N1944">
        <v>54449945.549999997</v>
      </c>
      <c r="O1944">
        <v>54449945.549999997</v>
      </c>
      <c r="P1944">
        <v>55000000</v>
      </c>
      <c r="Q1944">
        <v>55000000</v>
      </c>
      <c r="R1944" s="14">
        <f>_xlfn.XLOOKUP(Table2[[#This Row],[LoanID]],Table1[G-L ID],Table1[ManagerCode],-99)</f>
        <v>103</v>
      </c>
      <c r="T1944"/>
    </row>
    <row r="1945" spans="1:20" x14ac:dyDescent="0.25">
      <c r="A1945">
        <v>20130630</v>
      </c>
      <c r="B1945">
        <v>2013</v>
      </c>
      <c r="C1945">
        <v>6</v>
      </c>
      <c r="D1945">
        <v>1</v>
      </c>
      <c r="E1945">
        <v>11390</v>
      </c>
      <c r="F1945">
        <v>0</v>
      </c>
      <c r="G1945">
        <v>0</v>
      </c>
      <c r="H1945">
        <v>250000</v>
      </c>
      <c r="I1945">
        <v>0</v>
      </c>
      <c r="J1945">
        <v>-17000000</v>
      </c>
      <c r="K1945">
        <v>0</v>
      </c>
      <c r="L1945">
        <v>0</v>
      </c>
      <c r="M1945">
        <v>17000000</v>
      </c>
      <c r="N1945">
        <v>0</v>
      </c>
      <c r="O1945">
        <v>17000000</v>
      </c>
      <c r="P1945">
        <v>0</v>
      </c>
      <c r="Q1945">
        <v>17000000</v>
      </c>
      <c r="R1945" s="14">
        <f>_xlfn.XLOOKUP(Table2[[#This Row],[LoanID]],Table1[G-L ID],Table1[ManagerCode],-99)</f>
        <v>220</v>
      </c>
      <c r="T1945"/>
    </row>
    <row r="1946" spans="1:20" x14ac:dyDescent="0.25">
      <c r="A1946">
        <v>20130630</v>
      </c>
      <c r="B1946">
        <v>2013</v>
      </c>
      <c r="C1946">
        <v>6</v>
      </c>
      <c r="D1946">
        <v>1</v>
      </c>
      <c r="E1946">
        <v>11560</v>
      </c>
      <c r="F1946">
        <v>52751.77</v>
      </c>
      <c r="G1946">
        <v>47074.31</v>
      </c>
      <c r="H1946">
        <v>0</v>
      </c>
      <c r="I1946">
        <v>0</v>
      </c>
      <c r="J1946">
        <v>0</v>
      </c>
      <c r="K1946">
        <v>0</v>
      </c>
      <c r="L1946">
        <v>13891925.689999999</v>
      </c>
      <c r="M1946">
        <v>13939000</v>
      </c>
      <c r="N1946">
        <v>13891925.689999999</v>
      </c>
      <c r="O1946">
        <v>13939000</v>
      </c>
      <c r="P1946">
        <v>13891925.689999999</v>
      </c>
      <c r="Q1946">
        <v>13939000</v>
      </c>
      <c r="R1946" s="14">
        <f>_xlfn.XLOOKUP(Table2[[#This Row],[LoanID]],Table1[G-L ID],Table1[ManagerCode],-99)</f>
        <v>183</v>
      </c>
      <c r="T1946"/>
    </row>
    <row r="1947" spans="1:20" x14ac:dyDescent="0.25">
      <c r="A1947">
        <v>20130630</v>
      </c>
      <c r="B1947">
        <v>2013</v>
      </c>
      <c r="C1947">
        <v>6</v>
      </c>
      <c r="D1947">
        <v>1</v>
      </c>
      <c r="E1947">
        <v>11620</v>
      </c>
      <c r="F1947">
        <v>40850.800000000003</v>
      </c>
      <c r="G1947">
        <v>22309.08</v>
      </c>
      <c r="H1947">
        <v>0</v>
      </c>
      <c r="I1947">
        <v>0</v>
      </c>
      <c r="J1947">
        <v>-2331427.09</v>
      </c>
      <c r="K1947">
        <v>0</v>
      </c>
      <c r="L1947">
        <v>5141388.6900000004</v>
      </c>
      <c r="M1947">
        <v>7495124.8600000003</v>
      </c>
      <c r="N1947">
        <v>5141388.6900000004</v>
      </c>
      <c r="O1947">
        <v>7495124.8600000003</v>
      </c>
      <c r="P1947">
        <v>5141388.6900000004</v>
      </c>
      <c r="Q1947">
        <v>7495124.8600000003</v>
      </c>
      <c r="R1947" s="14">
        <f>_xlfn.XLOOKUP(Table2[[#This Row],[LoanID]],Table1[G-L ID],Table1[ManagerCode],-99)</f>
        <v>183</v>
      </c>
      <c r="T1947"/>
    </row>
    <row r="1948" spans="1:20" x14ac:dyDescent="0.25">
      <c r="A1948">
        <v>20130630</v>
      </c>
      <c r="B1948">
        <v>2013</v>
      </c>
      <c r="C1948">
        <v>6</v>
      </c>
      <c r="D1948">
        <v>1</v>
      </c>
      <c r="E1948">
        <v>11650</v>
      </c>
      <c r="F1948">
        <v>75000</v>
      </c>
      <c r="G1948">
        <v>0</v>
      </c>
      <c r="H1948">
        <v>0</v>
      </c>
      <c r="I1948">
        <v>0</v>
      </c>
      <c r="J1948">
        <v>0</v>
      </c>
      <c r="K1948">
        <v>0</v>
      </c>
      <c r="L1948">
        <v>9600000</v>
      </c>
      <c r="M1948">
        <v>9600000</v>
      </c>
      <c r="N1948">
        <v>9600000</v>
      </c>
      <c r="O1948">
        <v>9600000</v>
      </c>
      <c r="P1948">
        <v>12000000</v>
      </c>
      <c r="Q1948">
        <v>12000000</v>
      </c>
      <c r="R1948" s="14">
        <f>_xlfn.XLOOKUP(Table2[[#This Row],[LoanID]],Table1[G-L ID],Table1[ManagerCode],-99)</f>
        <v>103</v>
      </c>
      <c r="T1948"/>
    </row>
    <row r="1949" spans="1:20" x14ac:dyDescent="0.25">
      <c r="A1949">
        <v>20130630</v>
      </c>
      <c r="B1949">
        <v>2013</v>
      </c>
      <c r="C1949">
        <v>6</v>
      </c>
      <c r="D1949">
        <v>1</v>
      </c>
      <c r="E1949">
        <v>11670</v>
      </c>
      <c r="F1949">
        <v>188333.33</v>
      </c>
      <c r="G1949">
        <v>151139.35999999999</v>
      </c>
      <c r="H1949">
        <v>0</v>
      </c>
      <c r="I1949">
        <v>0</v>
      </c>
      <c r="J1949">
        <v>0</v>
      </c>
      <c r="K1949">
        <v>0</v>
      </c>
      <c r="L1949">
        <v>29097659.329999998</v>
      </c>
      <c r="M1949">
        <v>29248798.690000001</v>
      </c>
      <c r="N1949">
        <v>29097659.329999998</v>
      </c>
      <c r="O1949">
        <v>29248798.690000001</v>
      </c>
      <c r="P1949">
        <v>29097659.329999998</v>
      </c>
      <c r="Q1949">
        <v>29248798.690000001</v>
      </c>
      <c r="R1949" s="14">
        <f>_xlfn.XLOOKUP(Table2[[#This Row],[LoanID]],Table1[G-L ID],Table1[ManagerCode],-99)</f>
        <v>183</v>
      </c>
      <c r="T1949"/>
    </row>
    <row r="1950" spans="1:20" x14ac:dyDescent="0.25">
      <c r="A1950">
        <v>20130630</v>
      </c>
      <c r="B1950">
        <v>2013</v>
      </c>
      <c r="C1950">
        <v>6</v>
      </c>
      <c r="D1950">
        <v>1</v>
      </c>
      <c r="E1950">
        <v>11740</v>
      </c>
      <c r="F1950">
        <v>0</v>
      </c>
      <c r="G1950">
        <v>0</v>
      </c>
      <c r="H1950">
        <v>0</v>
      </c>
      <c r="I1950">
        <v>0</v>
      </c>
      <c r="J1950">
        <v>-18600000</v>
      </c>
      <c r="K1950">
        <v>0</v>
      </c>
      <c r="L1950">
        <v>0</v>
      </c>
      <c r="M1950">
        <v>18600000</v>
      </c>
      <c r="N1950">
        <v>0</v>
      </c>
      <c r="O1950">
        <v>18600000</v>
      </c>
      <c r="P1950">
        <v>0</v>
      </c>
      <c r="Q1950">
        <v>18600000</v>
      </c>
      <c r="R1950" s="14">
        <f>_xlfn.XLOOKUP(Table2[[#This Row],[LoanID]],Table1[G-L ID],Table1[ManagerCode],-99)</f>
        <v>183</v>
      </c>
      <c r="T1950"/>
    </row>
    <row r="1951" spans="1:20" x14ac:dyDescent="0.25">
      <c r="A1951">
        <v>20130630</v>
      </c>
      <c r="B1951">
        <v>2013</v>
      </c>
      <c r="C1951">
        <v>6</v>
      </c>
      <c r="D1951">
        <v>1</v>
      </c>
      <c r="E1951">
        <v>11770</v>
      </c>
      <c r="F1951">
        <v>581993.22</v>
      </c>
      <c r="G1951">
        <v>0</v>
      </c>
      <c r="H1951">
        <v>0</v>
      </c>
      <c r="I1951">
        <v>0</v>
      </c>
      <c r="J1951">
        <v>0</v>
      </c>
      <c r="K1951">
        <v>7253832.9800000004</v>
      </c>
      <c r="L1951">
        <v>65474236.890000001</v>
      </c>
      <c r="M1951">
        <v>58220403.909999996</v>
      </c>
      <c r="N1951">
        <v>65474236.890000001</v>
      </c>
      <c r="O1951">
        <v>58220403.909999996</v>
      </c>
      <c r="P1951">
        <v>65474236.890000001</v>
      </c>
      <c r="Q1951">
        <v>58220403.909999996</v>
      </c>
      <c r="R1951" s="14">
        <f>_xlfn.XLOOKUP(Table2[[#This Row],[LoanID]],Table1[G-L ID],Table1[ManagerCode],-99)</f>
        <v>119</v>
      </c>
      <c r="T1951"/>
    </row>
    <row r="1952" spans="1:20" x14ac:dyDescent="0.25">
      <c r="A1952">
        <v>20130630</v>
      </c>
      <c r="B1952">
        <v>2013</v>
      </c>
      <c r="C1952">
        <v>6</v>
      </c>
      <c r="D1952">
        <v>1</v>
      </c>
      <c r="E1952">
        <v>11780</v>
      </c>
      <c r="F1952">
        <v>0</v>
      </c>
      <c r="G1952">
        <v>0</v>
      </c>
      <c r="H1952">
        <v>0</v>
      </c>
      <c r="I1952">
        <v>0</v>
      </c>
      <c r="J1952">
        <v>0</v>
      </c>
      <c r="K1952">
        <v>0</v>
      </c>
      <c r="L1952">
        <v>38309213</v>
      </c>
      <c r="M1952">
        <v>40262654</v>
      </c>
      <c r="N1952">
        <v>38309213</v>
      </c>
      <c r="O1952">
        <v>40262654</v>
      </c>
      <c r="P1952">
        <v>64786446.619999997</v>
      </c>
      <c r="Q1952">
        <v>64786446.619999997</v>
      </c>
      <c r="R1952" s="14">
        <f>_xlfn.XLOOKUP(Table2[[#This Row],[LoanID]],Table1[G-L ID],Table1[ManagerCode],-99)</f>
        <v>103</v>
      </c>
      <c r="T1952"/>
    </row>
    <row r="1953" spans="1:20" x14ac:dyDescent="0.25">
      <c r="A1953">
        <v>20130630</v>
      </c>
      <c r="B1953">
        <v>2013</v>
      </c>
      <c r="C1953">
        <v>6</v>
      </c>
      <c r="D1953">
        <v>1</v>
      </c>
      <c r="E1953">
        <v>11800</v>
      </c>
      <c r="F1953">
        <v>159017.97</v>
      </c>
      <c r="G1953">
        <v>0</v>
      </c>
      <c r="H1953">
        <v>0</v>
      </c>
      <c r="I1953">
        <v>-267.57</v>
      </c>
      <c r="J1953">
        <v>0</v>
      </c>
      <c r="K1953">
        <v>77516.19</v>
      </c>
      <c r="L1953">
        <v>33619088.759999998</v>
      </c>
      <c r="M1953">
        <v>33161774.239999998</v>
      </c>
      <c r="N1953">
        <v>33619088.759999998</v>
      </c>
      <c r="O1953">
        <v>33161774.239999998</v>
      </c>
      <c r="P1953">
        <v>31072864.739999998</v>
      </c>
      <c r="Q1953">
        <v>30995348.550000001</v>
      </c>
      <c r="R1953" s="14">
        <f>_xlfn.XLOOKUP(Table2[[#This Row],[LoanID]],Table1[G-L ID],Table1[ManagerCode],-99)</f>
        <v>103</v>
      </c>
      <c r="T1953"/>
    </row>
    <row r="1954" spans="1:20" x14ac:dyDescent="0.25">
      <c r="A1954">
        <v>20130630</v>
      </c>
      <c r="B1954">
        <v>2013</v>
      </c>
      <c r="C1954">
        <v>6</v>
      </c>
      <c r="D1954">
        <v>1</v>
      </c>
      <c r="E1954">
        <v>11810</v>
      </c>
      <c r="F1954">
        <v>50554.58</v>
      </c>
      <c r="G1954">
        <v>0</v>
      </c>
      <c r="H1954">
        <v>0</v>
      </c>
      <c r="I1954">
        <v>0</v>
      </c>
      <c r="J1954">
        <v>0</v>
      </c>
      <c r="K1954">
        <v>10303.51</v>
      </c>
      <c r="L1954">
        <v>9781569.9399999995</v>
      </c>
      <c r="M1954">
        <v>9771369.4600000009</v>
      </c>
      <c r="N1954">
        <v>9781569.9399999995</v>
      </c>
      <c r="O1954">
        <v>9771369.4600000009</v>
      </c>
      <c r="P1954">
        <v>9880373.6699999999</v>
      </c>
      <c r="Q1954">
        <v>9870070.1600000001</v>
      </c>
      <c r="R1954" s="14">
        <f>_xlfn.XLOOKUP(Table2[[#This Row],[LoanID]],Table1[G-L ID],Table1[ManagerCode],-99)</f>
        <v>103</v>
      </c>
      <c r="T1954"/>
    </row>
    <row r="1955" spans="1:20" x14ac:dyDescent="0.25">
      <c r="A1955">
        <v>20130630</v>
      </c>
      <c r="B1955">
        <v>2013</v>
      </c>
      <c r="C1955">
        <v>6</v>
      </c>
      <c r="D1955">
        <v>1</v>
      </c>
      <c r="E1955">
        <v>11840</v>
      </c>
      <c r="F1955">
        <v>50778.3</v>
      </c>
      <c r="G1955">
        <v>79873.64</v>
      </c>
      <c r="H1955">
        <v>0</v>
      </c>
      <c r="I1955">
        <v>0</v>
      </c>
      <c r="J1955">
        <v>-134981.5</v>
      </c>
      <c r="K1955">
        <v>0</v>
      </c>
      <c r="L1955">
        <v>10848900.970000001</v>
      </c>
      <c r="M1955">
        <v>11063756.109999999</v>
      </c>
      <c r="N1955">
        <v>10848900.970000001</v>
      </c>
      <c r="O1955">
        <v>11063756.109999999</v>
      </c>
      <c r="P1955">
        <v>10848900.970000001</v>
      </c>
      <c r="Q1955">
        <v>11063756.109999999</v>
      </c>
      <c r="R1955" s="14">
        <f>_xlfn.XLOOKUP(Table2[[#This Row],[LoanID]],Table1[G-L ID],Table1[ManagerCode],-99)</f>
        <v>183</v>
      </c>
      <c r="T1955"/>
    </row>
    <row r="1956" spans="1:20" x14ac:dyDescent="0.25">
      <c r="A1956">
        <v>20130630</v>
      </c>
      <c r="B1956">
        <v>2013</v>
      </c>
      <c r="C1956">
        <v>6</v>
      </c>
      <c r="D1956">
        <v>1</v>
      </c>
      <c r="E1956">
        <v>11880</v>
      </c>
      <c r="F1956">
        <v>7708.7</v>
      </c>
      <c r="G1956">
        <v>14562.02</v>
      </c>
      <c r="H1956">
        <v>0</v>
      </c>
      <c r="I1956">
        <v>0</v>
      </c>
      <c r="J1956">
        <v>-735302.62</v>
      </c>
      <c r="K1956">
        <v>0</v>
      </c>
      <c r="L1956">
        <v>1654723.53</v>
      </c>
      <c r="M1956">
        <v>2404588.17</v>
      </c>
      <c r="N1956">
        <v>1654723.53</v>
      </c>
      <c r="O1956">
        <v>2404588.17</v>
      </c>
      <c r="P1956">
        <v>1654723.53</v>
      </c>
      <c r="Q1956">
        <v>2404588.17</v>
      </c>
      <c r="R1956" s="14">
        <f>_xlfn.XLOOKUP(Table2[[#This Row],[LoanID]],Table1[G-L ID],Table1[ManagerCode],-99)</f>
        <v>183</v>
      </c>
      <c r="T1956"/>
    </row>
    <row r="1957" spans="1:20" x14ac:dyDescent="0.25">
      <c r="A1957">
        <v>20130630</v>
      </c>
      <c r="B1957">
        <v>2013</v>
      </c>
      <c r="C1957">
        <v>6</v>
      </c>
      <c r="D1957">
        <v>1</v>
      </c>
      <c r="E1957">
        <v>11970</v>
      </c>
      <c r="F1957">
        <v>80610.91</v>
      </c>
      <c r="G1957">
        <v>46962.6</v>
      </c>
      <c r="H1957">
        <v>0</v>
      </c>
      <c r="I1957">
        <v>0</v>
      </c>
      <c r="J1957">
        <v>-80610.91</v>
      </c>
      <c r="K1957">
        <v>0</v>
      </c>
      <c r="L1957">
        <v>8502055.0199999996</v>
      </c>
      <c r="M1957">
        <v>8629628.5299999993</v>
      </c>
      <c r="N1957">
        <v>8502055.0199999996</v>
      </c>
      <c r="O1957">
        <v>8629628.5299999993</v>
      </c>
      <c r="P1957">
        <v>8502055.0199999996</v>
      </c>
      <c r="Q1957">
        <v>8629628.5299999993</v>
      </c>
      <c r="R1957" s="14">
        <f>_xlfn.XLOOKUP(Table2[[#This Row],[LoanID]],Table1[G-L ID],Table1[ManagerCode],-99)</f>
        <v>183</v>
      </c>
      <c r="T1957"/>
    </row>
    <row r="1958" spans="1:20" x14ac:dyDescent="0.25">
      <c r="A1958">
        <v>20130630</v>
      </c>
      <c r="B1958">
        <v>2013</v>
      </c>
      <c r="C1958">
        <v>6</v>
      </c>
      <c r="D1958">
        <v>1</v>
      </c>
      <c r="E1958">
        <v>12020</v>
      </c>
      <c r="F1958">
        <v>57442.47</v>
      </c>
      <c r="G1958">
        <v>1992.31</v>
      </c>
      <c r="H1958">
        <v>0</v>
      </c>
      <c r="I1958">
        <v>0</v>
      </c>
      <c r="J1958">
        <v>-63332.6</v>
      </c>
      <c r="K1958">
        <v>0</v>
      </c>
      <c r="L1958">
        <v>10107895.609999999</v>
      </c>
      <c r="M1958">
        <v>10173220.52</v>
      </c>
      <c r="N1958">
        <v>10107895.609999999</v>
      </c>
      <c r="O1958">
        <v>10173220.52</v>
      </c>
      <c r="P1958">
        <v>10107895.609999999</v>
      </c>
      <c r="Q1958">
        <v>10173220.52</v>
      </c>
      <c r="R1958" s="14">
        <f>_xlfn.XLOOKUP(Table2[[#This Row],[LoanID]],Table1[G-L ID],Table1[ManagerCode],-99)</f>
        <v>183</v>
      </c>
      <c r="T1958"/>
    </row>
    <row r="1959" spans="1:20" x14ac:dyDescent="0.25">
      <c r="A1959">
        <v>20130630</v>
      </c>
      <c r="B1959">
        <v>2013</v>
      </c>
      <c r="C1959">
        <v>6</v>
      </c>
      <c r="D1959">
        <v>1</v>
      </c>
      <c r="E1959">
        <v>12080</v>
      </c>
      <c r="F1959">
        <v>324028.61</v>
      </c>
      <c r="G1959">
        <v>0</v>
      </c>
      <c r="H1959">
        <v>0</v>
      </c>
      <c r="I1959">
        <v>0</v>
      </c>
      <c r="J1959">
        <v>0</v>
      </c>
      <c r="K1959">
        <v>0</v>
      </c>
      <c r="L1959">
        <v>39778800</v>
      </c>
      <c r="M1959">
        <v>39778800</v>
      </c>
      <c r="N1959">
        <v>39778800</v>
      </c>
      <c r="O1959">
        <v>39778800</v>
      </c>
      <c r="P1959">
        <v>39778800</v>
      </c>
      <c r="Q1959">
        <v>39778800</v>
      </c>
      <c r="R1959" s="14">
        <f>_xlfn.XLOOKUP(Table2[[#This Row],[LoanID]],Table1[G-L ID],Table1[ManagerCode],-99)</f>
        <v>119</v>
      </c>
      <c r="T1959"/>
    </row>
    <row r="1960" spans="1:20" x14ac:dyDescent="0.25">
      <c r="A1960">
        <v>20130630</v>
      </c>
      <c r="B1960">
        <v>2013</v>
      </c>
      <c r="C1960">
        <v>6</v>
      </c>
      <c r="D1960">
        <v>1</v>
      </c>
      <c r="E1960">
        <v>12090</v>
      </c>
      <c r="F1960">
        <v>164256</v>
      </c>
      <c r="G1960">
        <v>0</v>
      </c>
      <c r="H1960">
        <v>0</v>
      </c>
      <c r="I1960">
        <v>0</v>
      </c>
      <c r="J1960">
        <v>0</v>
      </c>
      <c r="K1960">
        <v>0</v>
      </c>
      <c r="L1960">
        <v>17500000</v>
      </c>
      <c r="M1960">
        <v>17500000</v>
      </c>
      <c r="N1960">
        <v>17500000</v>
      </c>
      <c r="O1960">
        <v>17500000</v>
      </c>
      <c r="P1960">
        <v>17500000</v>
      </c>
      <c r="Q1960">
        <v>17500000</v>
      </c>
      <c r="R1960" s="14">
        <f>_xlfn.XLOOKUP(Table2[[#This Row],[LoanID]],Table1[G-L ID],Table1[ManagerCode],-99)</f>
        <v>220</v>
      </c>
      <c r="T1960"/>
    </row>
    <row r="1961" spans="1:20" x14ac:dyDescent="0.25">
      <c r="A1961">
        <v>20130630</v>
      </c>
      <c r="B1961">
        <v>2013</v>
      </c>
      <c r="C1961">
        <v>6</v>
      </c>
      <c r="D1961">
        <v>1</v>
      </c>
      <c r="E1961">
        <v>12100</v>
      </c>
      <c r="F1961">
        <v>45918.6</v>
      </c>
      <c r="G1961">
        <v>69663.320000000007</v>
      </c>
      <c r="H1961">
        <v>0</v>
      </c>
      <c r="I1961">
        <v>0</v>
      </c>
      <c r="J1961">
        <v>-45918.6</v>
      </c>
      <c r="K1961">
        <v>0</v>
      </c>
      <c r="L1961">
        <v>9552230.2799999993</v>
      </c>
      <c r="M1961">
        <v>9667812.1999999993</v>
      </c>
      <c r="N1961">
        <v>9552230.2799999993</v>
      </c>
      <c r="O1961">
        <v>9667812.1999999993</v>
      </c>
      <c r="P1961">
        <v>9552230.2799999993</v>
      </c>
      <c r="Q1961">
        <v>9667812.1999999993</v>
      </c>
      <c r="R1961" s="14">
        <f>_xlfn.XLOOKUP(Table2[[#This Row],[LoanID]],Table1[G-L ID],Table1[ManagerCode],-99)</f>
        <v>183</v>
      </c>
      <c r="T1961"/>
    </row>
    <row r="1962" spans="1:20" x14ac:dyDescent="0.25">
      <c r="A1962">
        <v>20130630</v>
      </c>
      <c r="B1962">
        <v>2013</v>
      </c>
      <c r="C1962">
        <v>6</v>
      </c>
      <c r="D1962">
        <v>1</v>
      </c>
      <c r="E1962">
        <v>12130</v>
      </c>
      <c r="F1962">
        <v>89891.79</v>
      </c>
      <c r="G1962">
        <v>0</v>
      </c>
      <c r="H1962">
        <v>0</v>
      </c>
      <c r="I1962">
        <v>0</v>
      </c>
      <c r="J1962">
        <v>-938342.02</v>
      </c>
      <c r="K1962">
        <v>0</v>
      </c>
      <c r="L1962">
        <v>11746268.539999999</v>
      </c>
      <c r="M1962">
        <v>12684610.560000001</v>
      </c>
      <c r="N1962">
        <v>11746268.539999999</v>
      </c>
      <c r="O1962">
        <v>12684610.560000001</v>
      </c>
      <c r="P1962">
        <v>11746268.539999999</v>
      </c>
      <c r="Q1962">
        <v>12684610.560000001</v>
      </c>
      <c r="R1962" s="14">
        <f>_xlfn.XLOOKUP(Table2[[#This Row],[LoanID]],Table1[G-L ID],Table1[ManagerCode],-99)</f>
        <v>183</v>
      </c>
      <c r="T1962"/>
    </row>
    <row r="1963" spans="1:20" x14ac:dyDescent="0.25">
      <c r="A1963">
        <v>20130630</v>
      </c>
      <c r="B1963">
        <v>2013</v>
      </c>
      <c r="C1963">
        <v>6</v>
      </c>
      <c r="D1963">
        <v>1</v>
      </c>
      <c r="E1963">
        <v>12210</v>
      </c>
      <c r="F1963">
        <v>700676.91</v>
      </c>
      <c r="G1963">
        <v>0</v>
      </c>
      <c r="H1963">
        <v>0</v>
      </c>
      <c r="I1963">
        <v>0</v>
      </c>
      <c r="J1963">
        <v>0</v>
      </c>
      <c r="K1963">
        <v>200274.92</v>
      </c>
      <c r="L1963">
        <v>135521691.80000001</v>
      </c>
      <c r="M1963">
        <v>132910839.8</v>
      </c>
      <c r="N1963">
        <v>135521691.80000001</v>
      </c>
      <c r="O1963">
        <v>132910839.8</v>
      </c>
      <c r="P1963">
        <v>113370655.8</v>
      </c>
      <c r="Q1963">
        <v>113170380.90000001</v>
      </c>
      <c r="R1963" s="14">
        <f>_xlfn.XLOOKUP(Table2[[#This Row],[LoanID]],Table1[G-L ID],Table1[ManagerCode],-99)</f>
        <v>103</v>
      </c>
      <c r="T1963"/>
    </row>
    <row r="1964" spans="1:20" x14ac:dyDescent="0.25">
      <c r="A1964">
        <v>20130630</v>
      </c>
      <c r="B1964">
        <v>2013</v>
      </c>
      <c r="C1964">
        <v>6</v>
      </c>
      <c r="D1964">
        <v>1</v>
      </c>
      <c r="E1964">
        <v>12230</v>
      </c>
      <c r="F1964">
        <v>281974.59000000003</v>
      </c>
      <c r="G1964">
        <v>0</v>
      </c>
      <c r="H1964">
        <v>0</v>
      </c>
      <c r="I1964">
        <v>0</v>
      </c>
      <c r="J1964">
        <v>0</v>
      </c>
      <c r="K1964">
        <v>0</v>
      </c>
      <c r="L1964">
        <v>54675074</v>
      </c>
      <c r="M1964">
        <v>54675074</v>
      </c>
      <c r="N1964">
        <v>36451872</v>
      </c>
      <c r="O1964">
        <v>36451872</v>
      </c>
      <c r="P1964">
        <v>54675074</v>
      </c>
      <c r="Q1964">
        <v>54675074</v>
      </c>
      <c r="R1964" s="14">
        <f>_xlfn.XLOOKUP(Table2[[#This Row],[LoanID]],Table1[G-L ID],Table1[ManagerCode],-99)</f>
        <v>183</v>
      </c>
      <c r="T1964"/>
    </row>
    <row r="1965" spans="1:20" x14ac:dyDescent="0.25">
      <c r="A1965">
        <v>20130731</v>
      </c>
      <c r="B1965">
        <v>2013</v>
      </c>
      <c r="C1965">
        <v>7</v>
      </c>
      <c r="D1965">
        <v>1</v>
      </c>
      <c r="E1965">
        <v>10050</v>
      </c>
      <c r="F1965">
        <v>149013.89000000001</v>
      </c>
      <c r="G1965">
        <v>0</v>
      </c>
      <c r="H1965">
        <v>0</v>
      </c>
      <c r="I1965">
        <v>0</v>
      </c>
      <c r="J1965">
        <v>0</v>
      </c>
      <c r="K1965">
        <v>0</v>
      </c>
      <c r="L1965">
        <v>36629379.329999998</v>
      </c>
      <c r="M1965">
        <v>36288379.829999998</v>
      </c>
      <c r="N1965">
        <v>36629379.329999998</v>
      </c>
      <c r="O1965">
        <v>36288379.829999998</v>
      </c>
      <c r="P1965">
        <v>33333334</v>
      </c>
      <c r="Q1965">
        <v>33333334</v>
      </c>
      <c r="R1965" s="14">
        <f>_xlfn.XLOOKUP(Table2[[#This Row],[LoanID]],Table1[G-L ID],Table1[ManagerCode],-99)</f>
        <v>103</v>
      </c>
      <c r="T1965"/>
    </row>
    <row r="1966" spans="1:20" x14ac:dyDescent="0.25">
      <c r="A1966">
        <v>20130731</v>
      </c>
      <c r="B1966">
        <v>2013</v>
      </c>
      <c r="C1966">
        <v>7</v>
      </c>
      <c r="D1966">
        <v>1</v>
      </c>
      <c r="E1966">
        <v>10060</v>
      </c>
      <c r="F1966">
        <v>120833.33</v>
      </c>
      <c r="G1966">
        <v>0</v>
      </c>
      <c r="H1966">
        <v>0</v>
      </c>
      <c r="I1966">
        <v>0</v>
      </c>
      <c r="J1966">
        <v>0</v>
      </c>
      <c r="K1966">
        <v>0</v>
      </c>
      <c r="L1966">
        <v>19000000</v>
      </c>
      <c r="M1966">
        <v>19000000</v>
      </c>
      <c r="N1966">
        <v>19000000</v>
      </c>
      <c r="O1966">
        <v>19000000</v>
      </c>
      <c r="P1966">
        <v>20000000</v>
      </c>
      <c r="Q1966">
        <v>20000000</v>
      </c>
      <c r="R1966" s="14">
        <f>_xlfn.XLOOKUP(Table2[[#This Row],[LoanID]],Table1[G-L ID],Table1[ManagerCode],-99)</f>
        <v>103</v>
      </c>
      <c r="T1966"/>
    </row>
    <row r="1967" spans="1:20" x14ac:dyDescent="0.25">
      <c r="A1967">
        <v>20130731</v>
      </c>
      <c r="B1967">
        <v>2013</v>
      </c>
      <c r="C1967">
        <v>7</v>
      </c>
      <c r="D1967">
        <v>1</v>
      </c>
      <c r="E1967">
        <v>10080</v>
      </c>
      <c r="F1967">
        <v>339718.75</v>
      </c>
      <c r="G1967">
        <v>0</v>
      </c>
      <c r="H1967">
        <v>0</v>
      </c>
      <c r="I1967">
        <v>-157.30000000000001</v>
      </c>
      <c r="J1967">
        <v>0</v>
      </c>
      <c r="K1967">
        <v>0</v>
      </c>
      <c r="L1967">
        <v>74249925.75</v>
      </c>
      <c r="M1967">
        <v>74249925.75</v>
      </c>
      <c r="N1967">
        <v>74249925.75</v>
      </c>
      <c r="O1967">
        <v>74249925.75</v>
      </c>
      <c r="P1967">
        <v>75000000</v>
      </c>
      <c r="Q1967">
        <v>75000000</v>
      </c>
      <c r="R1967" s="14">
        <f>_xlfn.XLOOKUP(Table2[[#This Row],[LoanID]],Table1[G-L ID],Table1[ManagerCode],-99)</f>
        <v>103</v>
      </c>
      <c r="T1967"/>
    </row>
    <row r="1968" spans="1:20" x14ac:dyDescent="0.25">
      <c r="A1968">
        <v>20130731</v>
      </c>
      <c r="B1968">
        <v>2013</v>
      </c>
      <c r="C1968">
        <v>7</v>
      </c>
      <c r="D1968">
        <v>1</v>
      </c>
      <c r="E1968">
        <v>10130</v>
      </c>
      <c r="F1968">
        <v>58896.57</v>
      </c>
      <c r="G1968">
        <v>0</v>
      </c>
      <c r="H1968">
        <v>0</v>
      </c>
      <c r="I1968">
        <v>0</v>
      </c>
      <c r="J1968">
        <v>0</v>
      </c>
      <c r="K1968">
        <v>7290610.3499999996</v>
      </c>
      <c r="L1968">
        <v>7353903.1100000003</v>
      </c>
      <c r="M1968">
        <v>0</v>
      </c>
      <c r="N1968">
        <v>7353903.1100000003</v>
      </c>
      <c r="O1968">
        <v>0</v>
      </c>
      <c r="P1968">
        <v>7290610.3499999996</v>
      </c>
      <c r="Q1968">
        <v>0</v>
      </c>
      <c r="R1968" s="14">
        <f>_xlfn.XLOOKUP(Table2[[#This Row],[LoanID]],Table1[G-L ID],Table1[ManagerCode],-99)</f>
        <v>103</v>
      </c>
      <c r="T1968"/>
    </row>
    <row r="1969" spans="1:20" x14ac:dyDescent="0.25">
      <c r="A1969">
        <v>20130731</v>
      </c>
      <c r="B1969">
        <v>2013</v>
      </c>
      <c r="C1969">
        <v>7</v>
      </c>
      <c r="D1969">
        <v>1</v>
      </c>
      <c r="E1969">
        <v>10140</v>
      </c>
      <c r="F1969">
        <v>155458.29999999999</v>
      </c>
      <c r="G1969">
        <v>0</v>
      </c>
      <c r="H1969">
        <v>0</v>
      </c>
      <c r="I1969">
        <v>0</v>
      </c>
      <c r="J1969">
        <v>0</v>
      </c>
      <c r="K1969">
        <v>19243276.02</v>
      </c>
      <c r="L1969">
        <v>19410361.510000002</v>
      </c>
      <c r="M1969">
        <v>0</v>
      </c>
      <c r="N1969">
        <v>19410361.510000002</v>
      </c>
      <c r="O1969">
        <v>0</v>
      </c>
      <c r="P1969">
        <v>19243276.02</v>
      </c>
      <c r="Q1969">
        <v>0</v>
      </c>
      <c r="R1969" s="14">
        <f>_xlfn.XLOOKUP(Table2[[#This Row],[LoanID]],Table1[G-L ID],Table1[ManagerCode],-99)</f>
        <v>103</v>
      </c>
      <c r="T1969"/>
    </row>
    <row r="1970" spans="1:20" x14ac:dyDescent="0.25">
      <c r="A1970">
        <v>20130731</v>
      </c>
      <c r="B1970">
        <v>2013</v>
      </c>
      <c r="C1970">
        <v>7</v>
      </c>
      <c r="D1970">
        <v>1</v>
      </c>
      <c r="E1970">
        <v>10170</v>
      </c>
      <c r="F1970">
        <v>233627.18</v>
      </c>
      <c r="G1970">
        <v>0</v>
      </c>
      <c r="H1970">
        <v>0</v>
      </c>
      <c r="I1970">
        <v>-1119.6199999999999</v>
      </c>
      <c r="J1970">
        <v>0</v>
      </c>
      <c r="K1970">
        <v>79790.33</v>
      </c>
      <c r="L1970">
        <v>47060529</v>
      </c>
      <c r="M1970">
        <v>46858972.380000003</v>
      </c>
      <c r="N1970">
        <v>47060529</v>
      </c>
      <c r="O1970">
        <v>46858972.380000003</v>
      </c>
      <c r="P1970">
        <v>44784763.57</v>
      </c>
      <c r="Q1970">
        <v>44704973.240000002</v>
      </c>
      <c r="R1970" s="14">
        <f>_xlfn.XLOOKUP(Table2[[#This Row],[LoanID]],Table1[G-L ID],Table1[ManagerCode],-99)</f>
        <v>103</v>
      </c>
      <c r="T1970"/>
    </row>
    <row r="1971" spans="1:20" x14ac:dyDescent="0.25">
      <c r="A1971">
        <v>20130731</v>
      </c>
      <c r="B1971">
        <v>2013</v>
      </c>
      <c r="C1971">
        <v>7</v>
      </c>
      <c r="D1971">
        <v>1</v>
      </c>
      <c r="E1971">
        <v>10220</v>
      </c>
      <c r="F1971">
        <v>541666.67000000004</v>
      </c>
      <c r="G1971">
        <v>0</v>
      </c>
      <c r="H1971">
        <v>0</v>
      </c>
      <c r="I1971">
        <v>0</v>
      </c>
      <c r="J1971">
        <v>0</v>
      </c>
      <c r="K1971">
        <v>0</v>
      </c>
      <c r="L1971">
        <v>99000000</v>
      </c>
      <c r="M1971">
        <v>99000000</v>
      </c>
      <c r="N1971">
        <v>99000000</v>
      </c>
      <c r="O1971">
        <v>99000000</v>
      </c>
      <c r="P1971">
        <v>100000000</v>
      </c>
      <c r="Q1971">
        <v>100000000</v>
      </c>
      <c r="R1971" s="14">
        <f>_xlfn.XLOOKUP(Table2[[#This Row],[LoanID]],Table1[G-L ID],Table1[ManagerCode],-99)</f>
        <v>103</v>
      </c>
      <c r="T1971"/>
    </row>
    <row r="1972" spans="1:20" x14ac:dyDescent="0.25">
      <c r="A1972">
        <v>20130731</v>
      </c>
      <c r="B1972">
        <v>2013</v>
      </c>
      <c r="C1972">
        <v>7</v>
      </c>
      <c r="D1972">
        <v>1</v>
      </c>
      <c r="E1972">
        <v>10230</v>
      </c>
      <c r="F1972">
        <v>176084.74</v>
      </c>
      <c r="G1972">
        <v>0</v>
      </c>
      <c r="H1972">
        <v>0</v>
      </c>
      <c r="I1972">
        <v>0</v>
      </c>
      <c r="J1972">
        <v>0</v>
      </c>
      <c r="K1972">
        <v>65513.33</v>
      </c>
      <c r="L1972">
        <v>29782878.100000001</v>
      </c>
      <c r="M1972">
        <v>29720640.469999999</v>
      </c>
      <c r="N1972">
        <v>29782878.100000001</v>
      </c>
      <c r="O1972">
        <v>29720640.469999999</v>
      </c>
      <c r="P1972">
        <v>31350398.010000002</v>
      </c>
      <c r="Q1972">
        <v>31284884.68</v>
      </c>
      <c r="R1972" s="14">
        <f>_xlfn.XLOOKUP(Table2[[#This Row],[LoanID]],Table1[G-L ID],Table1[ManagerCode],-99)</f>
        <v>103</v>
      </c>
      <c r="T1972"/>
    </row>
    <row r="1973" spans="1:20" x14ac:dyDescent="0.25">
      <c r="A1973">
        <v>20130731</v>
      </c>
      <c r="B1973">
        <v>2013</v>
      </c>
      <c r="C1973">
        <v>7</v>
      </c>
      <c r="D1973">
        <v>1</v>
      </c>
      <c r="E1973">
        <v>10280</v>
      </c>
      <c r="F1973">
        <v>175560</v>
      </c>
      <c r="G1973">
        <v>0</v>
      </c>
      <c r="H1973">
        <v>0</v>
      </c>
      <c r="I1973">
        <v>-0.01</v>
      </c>
      <c r="J1973">
        <v>0</v>
      </c>
      <c r="K1973">
        <v>0</v>
      </c>
      <c r="L1973">
        <v>33250033.25</v>
      </c>
      <c r="M1973">
        <v>33250033.25</v>
      </c>
      <c r="N1973">
        <v>33250033.25</v>
      </c>
      <c r="O1973">
        <v>33250033.25</v>
      </c>
      <c r="P1973">
        <v>35000000</v>
      </c>
      <c r="Q1973">
        <v>35000000</v>
      </c>
      <c r="R1973" s="14">
        <f>_xlfn.XLOOKUP(Table2[[#This Row],[LoanID]],Table1[G-L ID],Table1[ManagerCode],-99)</f>
        <v>103</v>
      </c>
      <c r="T1973"/>
    </row>
    <row r="1974" spans="1:20" x14ac:dyDescent="0.25">
      <c r="A1974">
        <v>20130731</v>
      </c>
      <c r="B1974">
        <v>2013</v>
      </c>
      <c r="C1974">
        <v>7</v>
      </c>
      <c r="D1974">
        <v>1</v>
      </c>
      <c r="E1974">
        <v>10290</v>
      </c>
      <c r="F1974">
        <v>165775</v>
      </c>
      <c r="G1974">
        <v>0</v>
      </c>
      <c r="H1974">
        <v>0</v>
      </c>
      <c r="I1974">
        <v>0</v>
      </c>
      <c r="J1974">
        <v>0</v>
      </c>
      <c r="K1974">
        <v>0</v>
      </c>
      <c r="L1974">
        <v>23563315.780000001</v>
      </c>
      <c r="M1974">
        <v>23750000</v>
      </c>
      <c r="N1974">
        <v>23563315.780000001</v>
      </c>
      <c r="O1974">
        <v>23750000</v>
      </c>
      <c r="P1974">
        <v>25000000</v>
      </c>
      <c r="Q1974">
        <v>25000000</v>
      </c>
      <c r="R1974" s="14">
        <f>_xlfn.XLOOKUP(Table2[[#This Row],[LoanID]],Table1[G-L ID],Table1[ManagerCode],-99)</f>
        <v>103</v>
      </c>
      <c r="T1974"/>
    </row>
    <row r="1975" spans="1:20" x14ac:dyDescent="0.25">
      <c r="A1975">
        <v>20130731</v>
      </c>
      <c r="B1975">
        <v>2013</v>
      </c>
      <c r="C1975">
        <v>7</v>
      </c>
      <c r="D1975">
        <v>1</v>
      </c>
      <c r="E1975">
        <v>10300</v>
      </c>
      <c r="F1975">
        <v>145052.82999999999</v>
      </c>
      <c r="G1975">
        <v>0</v>
      </c>
      <c r="H1975">
        <v>0</v>
      </c>
      <c r="I1975">
        <v>0</v>
      </c>
      <c r="J1975">
        <v>0</v>
      </c>
      <c r="K1975">
        <v>0</v>
      </c>
      <c r="L1975">
        <v>35128363.57</v>
      </c>
      <c r="M1975">
        <v>34593322.100000001</v>
      </c>
      <c r="N1975">
        <v>35128363.57</v>
      </c>
      <c r="O1975">
        <v>34593322.100000001</v>
      </c>
      <c r="P1975">
        <v>35000000</v>
      </c>
      <c r="Q1975">
        <v>35000000</v>
      </c>
      <c r="R1975" s="14">
        <f>_xlfn.XLOOKUP(Table2[[#This Row],[LoanID]],Table1[G-L ID],Table1[ManagerCode],-99)</f>
        <v>103</v>
      </c>
      <c r="T1975"/>
    </row>
    <row r="1976" spans="1:20" x14ac:dyDescent="0.25">
      <c r="A1976">
        <v>20130731</v>
      </c>
      <c r="B1976">
        <v>2013</v>
      </c>
      <c r="C1976">
        <v>7</v>
      </c>
      <c r="D1976">
        <v>1</v>
      </c>
      <c r="E1976">
        <v>10340</v>
      </c>
      <c r="F1976">
        <v>87907.99</v>
      </c>
      <c r="G1976">
        <v>0</v>
      </c>
      <c r="H1976">
        <v>125274.73</v>
      </c>
      <c r="I1976">
        <v>0</v>
      </c>
      <c r="J1976">
        <v>-11875000</v>
      </c>
      <c r="K1976">
        <v>0</v>
      </c>
      <c r="L1976">
        <v>0</v>
      </c>
      <c r="M1976">
        <v>11875000</v>
      </c>
      <c r="N1976">
        <v>0</v>
      </c>
      <c r="O1976">
        <v>11875000</v>
      </c>
      <c r="P1976">
        <v>0</v>
      </c>
      <c r="Q1976">
        <v>11875000</v>
      </c>
      <c r="R1976" s="14">
        <f>_xlfn.XLOOKUP(Table2[[#This Row],[LoanID]],Table1[G-L ID],Table1[ManagerCode],-99)</f>
        <v>220</v>
      </c>
      <c r="T1976"/>
    </row>
    <row r="1977" spans="1:20" x14ac:dyDescent="0.25">
      <c r="A1977">
        <v>20130731</v>
      </c>
      <c r="B1977">
        <v>2013</v>
      </c>
      <c r="C1977">
        <v>7</v>
      </c>
      <c r="D1977">
        <v>1</v>
      </c>
      <c r="E1977">
        <v>10370</v>
      </c>
      <c r="F1977">
        <v>3676.32</v>
      </c>
      <c r="G1977">
        <v>0</v>
      </c>
      <c r="H1977">
        <v>0</v>
      </c>
      <c r="I1977">
        <v>0</v>
      </c>
      <c r="J1977">
        <v>0</v>
      </c>
      <c r="K1977">
        <v>41356.629999999997</v>
      </c>
      <c r="L1977">
        <v>2149235.7999999998</v>
      </c>
      <c r="M1977">
        <v>2109947.02</v>
      </c>
      <c r="N1977">
        <v>2149235.7999999998</v>
      </c>
      <c r="O1977">
        <v>2109947.02</v>
      </c>
      <c r="P1977">
        <v>2262353.48</v>
      </c>
      <c r="Q1977">
        <v>2220996.85</v>
      </c>
      <c r="R1977" s="14">
        <f>_xlfn.XLOOKUP(Table2[[#This Row],[LoanID]],Table1[G-L ID],Table1[ManagerCode],-99)</f>
        <v>103</v>
      </c>
      <c r="T1977"/>
    </row>
    <row r="1978" spans="1:20" x14ac:dyDescent="0.25">
      <c r="A1978">
        <v>20130731</v>
      </c>
      <c r="B1978">
        <v>2013</v>
      </c>
      <c r="C1978">
        <v>7</v>
      </c>
      <c r="D1978">
        <v>1</v>
      </c>
      <c r="E1978">
        <v>10390</v>
      </c>
      <c r="F1978">
        <v>118750</v>
      </c>
      <c r="G1978">
        <v>0</v>
      </c>
      <c r="H1978">
        <v>0</v>
      </c>
      <c r="I1978">
        <v>0</v>
      </c>
      <c r="J1978">
        <v>0</v>
      </c>
      <c r="K1978">
        <v>0</v>
      </c>
      <c r="L1978">
        <v>23750000</v>
      </c>
      <c r="M1978">
        <v>23750000</v>
      </c>
      <c r="N1978">
        <v>23750000</v>
      </c>
      <c r="O1978">
        <v>23750000</v>
      </c>
      <c r="P1978">
        <v>24997959.07</v>
      </c>
      <c r="Q1978">
        <v>24998163.149999999</v>
      </c>
      <c r="R1978" s="14">
        <f>_xlfn.XLOOKUP(Table2[[#This Row],[LoanID]],Table1[G-L ID],Table1[ManagerCode],-99)</f>
        <v>103</v>
      </c>
      <c r="T1978"/>
    </row>
    <row r="1979" spans="1:20" x14ac:dyDescent="0.25">
      <c r="A1979">
        <v>20130731</v>
      </c>
      <c r="B1979">
        <v>2013</v>
      </c>
      <c r="C1979">
        <v>7</v>
      </c>
      <c r="D1979">
        <v>1</v>
      </c>
      <c r="E1979">
        <v>10400</v>
      </c>
      <c r="F1979">
        <v>399375</v>
      </c>
      <c r="G1979">
        <v>0</v>
      </c>
      <c r="H1979">
        <v>0</v>
      </c>
      <c r="I1979">
        <v>0</v>
      </c>
      <c r="J1979">
        <v>0</v>
      </c>
      <c r="K1979">
        <v>0</v>
      </c>
      <c r="L1979">
        <v>45000000</v>
      </c>
      <c r="M1979">
        <v>45000000</v>
      </c>
      <c r="N1979">
        <v>45000000</v>
      </c>
      <c r="O1979">
        <v>45000000</v>
      </c>
      <c r="P1979">
        <v>45000000</v>
      </c>
      <c r="Q1979">
        <v>45000000</v>
      </c>
      <c r="R1979" s="14">
        <f>_xlfn.XLOOKUP(Table2[[#This Row],[LoanID]],Table1[G-L ID],Table1[ManagerCode],-99)</f>
        <v>220</v>
      </c>
      <c r="T1979"/>
    </row>
    <row r="1980" spans="1:20" x14ac:dyDescent="0.25">
      <c r="A1980">
        <v>20130731</v>
      </c>
      <c r="B1980">
        <v>2013</v>
      </c>
      <c r="C1980">
        <v>7</v>
      </c>
      <c r="D1980">
        <v>1</v>
      </c>
      <c r="E1980">
        <v>10430</v>
      </c>
      <c r="F1980">
        <v>61048.03</v>
      </c>
      <c r="G1980">
        <v>0</v>
      </c>
      <c r="H1980">
        <v>0</v>
      </c>
      <c r="I1980">
        <v>0</v>
      </c>
      <c r="J1980">
        <v>0</v>
      </c>
      <c r="K1980">
        <v>14875</v>
      </c>
      <c r="L1980">
        <v>6985125</v>
      </c>
      <c r="M1980">
        <v>6970250</v>
      </c>
      <c r="N1980">
        <v>6985125</v>
      </c>
      <c r="O1980">
        <v>6970250</v>
      </c>
      <c r="P1980">
        <v>6985125</v>
      </c>
      <c r="Q1980">
        <v>6970250</v>
      </c>
      <c r="R1980" s="14">
        <f>_xlfn.XLOOKUP(Table2[[#This Row],[LoanID]],Table1[G-L ID],Table1[ManagerCode],-99)</f>
        <v>119</v>
      </c>
      <c r="T1980"/>
    </row>
    <row r="1981" spans="1:20" x14ac:dyDescent="0.25">
      <c r="A1981">
        <v>20130731</v>
      </c>
      <c r="B1981">
        <v>2013</v>
      </c>
      <c r="C1981">
        <v>7</v>
      </c>
      <c r="D1981">
        <v>1</v>
      </c>
      <c r="E1981">
        <v>10460</v>
      </c>
      <c r="F1981">
        <v>52743.06</v>
      </c>
      <c r="G1981">
        <v>0</v>
      </c>
      <c r="H1981">
        <v>0</v>
      </c>
      <c r="I1981">
        <v>0</v>
      </c>
      <c r="J1981">
        <v>0</v>
      </c>
      <c r="K1981">
        <v>0</v>
      </c>
      <c r="L1981">
        <v>25734382.030000001</v>
      </c>
      <c r="M1981">
        <v>25710114.43</v>
      </c>
      <c r="N1981">
        <v>25734382.030000001</v>
      </c>
      <c r="O1981">
        <v>25710114.43</v>
      </c>
      <c r="P1981">
        <v>25000000.010000002</v>
      </c>
      <c r="Q1981">
        <v>25000000.010000002</v>
      </c>
      <c r="R1981" s="14">
        <f>_xlfn.XLOOKUP(Table2[[#This Row],[LoanID]],Table1[G-L ID],Table1[ManagerCode],-99)</f>
        <v>103</v>
      </c>
      <c r="T1981"/>
    </row>
    <row r="1982" spans="1:20" x14ac:dyDescent="0.25">
      <c r="A1982">
        <v>20130731</v>
      </c>
      <c r="B1982">
        <v>2013</v>
      </c>
      <c r="C1982">
        <v>7</v>
      </c>
      <c r="D1982">
        <v>1</v>
      </c>
      <c r="E1982">
        <v>10490</v>
      </c>
      <c r="F1982">
        <v>153423.97</v>
      </c>
      <c r="G1982">
        <v>0</v>
      </c>
      <c r="H1982">
        <v>0</v>
      </c>
      <c r="I1982">
        <v>0</v>
      </c>
      <c r="J1982">
        <v>0</v>
      </c>
      <c r="K1982">
        <v>0</v>
      </c>
      <c r="L1982">
        <v>17534168</v>
      </c>
      <c r="M1982">
        <v>17534168</v>
      </c>
      <c r="N1982">
        <v>17534168</v>
      </c>
      <c r="O1982">
        <v>17534168</v>
      </c>
      <c r="P1982">
        <v>17534168</v>
      </c>
      <c r="Q1982">
        <v>17534168</v>
      </c>
      <c r="R1982" s="14">
        <f>_xlfn.XLOOKUP(Table2[[#This Row],[LoanID]],Table1[G-L ID],Table1[ManagerCode],-99)</f>
        <v>220</v>
      </c>
      <c r="T1982"/>
    </row>
    <row r="1983" spans="1:20" x14ac:dyDescent="0.25">
      <c r="A1983">
        <v>20130731</v>
      </c>
      <c r="B1983">
        <v>2013</v>
      </c>
      <c r="C1983">
        <v>7</v>
      </c>
      <c r="D1983">
        <v>1</v>
      </c>
      <c r="E1983">
        <v>10591</v>
      </c>
      <c r="F1983">
        <v>222045.81</v>
      </c>
      <c r="G1983">
        <v>0</v>
      </c>
      <c r="H1983">
        <v>0</v>
      </c>
      <c r="I1983">
        <v>0</v>
      </c>
      <c r="J1983">
        <v>0</v>
      </c>
      <c r="K1983">
        <v>75008.37</v>
      </c>
      <c r="L1983">
        <v>26088448.210000001</v>
      </c>
      <c r="M1983">
        <v>26013439.84</v>
      </c>
      <c r="N1983">
        <v>26088448.210000001</v>
      </c>
      <c r="O1983">
        <v>26013439.84</v>
      </c>
      <c r="P1983">
        <v>26088448.210000001</v>
      </c>
      <c r="Q1983">
        <v>26013439.84</v>
      </c>
      <c r="R1983" s="14">
        <f>_xlfn.XLOOKUP(Table2[[#This Row],[LoanID]],Table1[G-L ID],Table1[ManagerCode],-99)</f>
        <v>220</v>
      </c>
      <c r="T1983"/>
    </row>
    <row r="1984" spans="1:20" x14ac:dyDescent="0.25">
      <c r="A1984">
        <v>20130731</v>
      </c>
      <c r="B1984">
        <v>2013</v>
      </c>
      <c r="C1984">
        <v>7</v>
      </c>
      <c r="D1984">
        <v>1</v>
      </c>
      <c r="E1984">
        <v>10592</v>
      </c>
      <c r="F1984">
        <v>368304.47</v>
      </c>
      <c r="G1984">
        <v>0</v>
      </c>
      <c r="H1984">
        <v>0</v>
      </c>
      <c r="I1984">
        <v>0</v>
      </c>
      <c r="J1984">
        <v>0</v>
      </c>
      <c r="K1984">
        <v>110726.63</v>
      </c>
      <c r="L1984">
        <v>38511518.789999999</v>
      </c>
      <c r="M1984">
        <v>38400792.159999996</v>
      </c>
      <c r="N1984">
        <v>38511518.789999999</v>
      </c>
      <c r="O1984">
        <v>38400792.159999996</v>
      </c>
      <c r="P1984">
        <v>38511518.789999999</v>
      </c>
      <c r="Q1984">
        <v>38400792.159999996</v>
      </c>
      <c r="R1984" s="14">
        <f>_xlfn.XLOOKUP(Table2[[#This Row],[LoanID]],Table1[G-L ID],Table1[ManagerCode],-99)</f>
        <v>220</v>
      </c>
      <c r="T1984"/>
    </row>
    <row r="1985" spans="1:20" x14ac:dyDescent="0.25">
      <c r="A1985">
        <v>20130731</v>
      </c>
      <c r="B1985">
        <v>2013</v>
      </c>
      <c r="C1985">
        <v>7</v>
      </c>
      <c r="D1985">
        <v>1</v>
      </c>
      <c r="E1985">
        <v>10630</v>
      </c>
      <c r="F1985">
        <v>46945.82</v>
      </c>
      <c r="G1985">
        <v>0</v>
      </c>
      <c r="H1985">
        <v>0</v>
      </c>
      <c r="I1985">
        <v>0</v>
      </c>
      <c r="J1985">
        <v>0</v>
      </c>
      <c r="K1985">
        <v>8910672.8499999996</v>
      </c>
      <c r="L1985">
        <v>9109299.5399999991</v>
      </c>
      <c r="M1985">
        <v>0</v>
      </c>
      <c r="N1985">
        <v>9109299.5399999991</v>
      </c>
      <c r="O1985">
        <v>0</v>
      </c>
      <c r="P1985">
        <v>8910672.8499999996</v>
      </c>
      <c r="Q1985">
        <v>0</v>
      </c>
      <c r="R1985" s="14">
        <f>_xlfn.XLOOKUP(Table2[[#This Row],[LoanID]],Table1[G-L ID],Table1[ManagerCode],-99)</f>
        <v>103</v>
      </c>
      <c r="T1985"/>
    </row>
    <row r="1986" spans="1:20" x14ac:dyDescent="0.25">
      <c r="A1986">
        <v>20130731</v>
      </c>
      <c r="B1986">
        <v>2013</v>
      </c>
      <c r="C1986">
        <v>7</v>
      </c>
      <c r="D1986">
        <v>1</v>
      </c>
      <c r="E1986">
        <v>10640</v>
      </c>
      <c r="F1986">
        <v>0</v>
      </c>
      <c r="G1986">
        <v>0</v>
      </c>
      <c r="H1986">
        <v>70000</v>
      </c>
      <c r="I1986">
        <v>0</v>
      </c>
      <c r="J1986">
        <v>-11812500</v>
      </c>
      <c r="K1986">
        <v>0</v>
      </c>
      <c r="L1986">
        <v>0</v>
      </c>
      <c r="M1986">
        <v>11812500</v>
      </c>
      <c r="N1986">
        <v>0</v>
      </c>
      <c r="O1986">
        <v>11812500</v>
      </c>
      <c r="P1986">
        <v>0</v>
      </c>
      <c r="Q1986">
        <v>11812500</v>
      </c>
      <c r="R1986" s="14">
        <f>_xlfn.XLOOKUP(Table2[[#This Row],[LoanID]],Table1[G-L ID],Table1[ManagerCode],-99)</f>
        <v>220</v>
      </c>
      <c r="T1986"/>
    </row>
    <row r="1987" spans="1:20" x14ac:dyDescent="0.25">
      <c r="A1987">
        <v>20130731</v>
      </c>
      <c r="B1987">
        <v>2013</v>
      </c>
      <c r="C1987">
        <v>7</v>
      </c>
      <c r="D1987">
        <v>1</v>
      </c>
      <c r="E1987">
        <v>10690</v>
      </c>
      <c r="F1987">
        <v>62828.37</v>
      </c>
      <c r="G1987">
        <v>23009.86</v>
      </c>
      <c r="H1987">
        <v>0</v>
      </c>
      <c r="I1987">
        <v>0</v>
      </c>
      <c r="J1987">
        <v>-932716.19</v>
      </c>
      <c r="K1987">
        <v>0</v>
      </c>
      <c r="L1987">
        <v>10289910.23</v>
      </c>
      <c r="M1987">
        <v>11245636.279999999</v>
      </c>
      <c r="N1987">
        <v>10289910.23</v>
      </c>
      <c r="O1987">
        <v>11245636.279999999</v>
      </c>
      <c r="P1987">
        <v>10289910.23</v>
      </c>
      <c r="Q1987">
        <v>11245636.279999999</v>
      </c>
      <c r="R1987" s="14">
        <f>_xlfn.XLOOKUP(Table2[[#This Row],[LoanID]],Table1[G-L ID],Table1[ManagerCode],-99)</f>
        <v>183</v>
      </c>
      <c r="T1987"/>
    </row>
    <row r="1988" spans="1:20" x14ac:dyDescent="0.25">
      <c r="A1988">
        <v>20130731</v>
      </c>
      <c r="B1988">
        <v>2013</v>
      </c>
      <c r="C1988">
        <v>7</v>
      </c>
      <c r="D1988">
        <v>1</v>
      </c>
      <c r="E1988">
        <v>10720</v>
      </c>
      <c r="F1988">
        <v>0</v>
      </c>
      <c r="G1988">
        <v>0</v>
      </c>
      <c r="H1988">
        <v>0</v>
      </c>
      <c r="I1988">
        <v>0</v>
      </c>
      <c r="J1988">
        <v>-16353408</v>
      </c>
      <c r="K1988">
        <v>0</v>
      </c>
      <c r="L1988">
        <v>0</v>
      </c>
      <c r="M1988">
        <v>16353408</v>
      </c>
      <c r="N1988">
        <v>0</v>
      </c>
      <c r="O1988">
        <v>16353408</v>
      </c>
      <c r="P1988">
        <v>0</v>
      </c>
      <c r="Q1988">
        <v>16353408</v>
      </c>
      <c r="R1988" s="14">
        <f>_xlfn.XLOOKUP(Table2[[#This Row],[LoanID]],Table1[G-L ID],Table1[ManagerCode],-99)</f>
        <v>220</v>
      </c>
      <c r="T1988"/>
    </row>
    <row r="1989" spans="1:20" x14ac:dyDescent="0.25">
      <c r="A1989">
        <v>20130731</v>
      </c>
      <c r="B1989">
        <v>2013</v>
      </c>
      <c r="C1989">
        <v>7</v>
      </c>
      <c r="D1989">
        <v>1</v>
      </c>
      <c r="E1989">
        <v>10820</v>
      </c>
      <c r="F1989">
        <v>169395.27</v>
      </c>
      <c r="G1989">
        <v>0</v>
      </c>
      <c r="H1989">
        <v>0</v>
      </c>
      <c r="I1989">
        <v>0</v>
      </c>
      <c r="J1989">
        <v>0</v>
      </c>
      <c r="K1989">
        <v>0</v>
      </c>
      <c r="L1989">
        <v>21397297</v>
      </c>
      <c r="M1989">
        <v>21397297</v>
      </c>
      <c r="N1989">
        <v>21397297</v>
      </c>
      <c r="O1989">
        <v>21397297</v>
      </c>
      <c r="P1989">
        <v>21397297</v>
      </c>
      <c r="Q1989">
        <v>21397297</v>
      </c>
      <c r="R1989" s="14">
        <f>_xlfn.XLOOKUP(Table2[[#This Row],[LoanID]],Table1[G-L ID],Table1[ManagerCode],-99)</f>
        <v>220</v>
      </c>
      <c r="T1989"/>
    </row>
    <row r="1990" spans="1:20" x14ac:dyDescent="0.25">
      <c r="A1990">
        <v>20130731</v>
      </c>
      <c r="B1990">
        <v>2013</v>
      </c>
      <c r="C1990">
        <v>7</v>
      </c>
      <c r="D1990">
        <v>1</v>
      </c>
      <c r="E1990">
        <v>10830</v>
      </c>
      <c r="F1990">
        <v>55271.17</v>
      </c>
      <c r="G1990">
        <v>0</v>
      </c>
      <c r="H1990">
        <v>0</v>
      </c>
      <c r="I1990">
        <v>0</v>
      </c>
      <c r="J1990">
        <v>0</v>
      </c>
      <c r="K1990">
        <v>0</v>
      </c>
      <c r="L1990">
        <v>6981622</v>
      </c>
      <c r="M1990">
        <v>6981622</v>
      </c>
      <c r="N1990">
        <v>6981622</v>
      </c>
      <c r="O1990">
        <v>6981622</v>
      </c>
      <c r="P1990">
        <v>6981622</v>
      </c>
      <c r="Q1990">
        <v>6981622</v>
      </c>
      <c r="R1990" s="14">
        <f>_xlfn.XLOOKUP(Table2[[#This Row],[LoanID]],Table1[G-L ID],Table1[ManagerCode],-99)</f>
        <v>220</v>
      </c>
      <c r="T1990"/>
    </row>
    <row r="1991" spans="1:20" x14ac:dyDescent="0.25">
      <c r="A1991">
        <v>20130731</v>
      </c>
      <c r="B1991">
        <v>2013</v>
      </c>
      <c r="C1991">
        <v>7</v>
      </c>
      <c r="D1991">
        <v>1</v>
      </c>
      <c r="E1991">
        <v>10840</v>
      </c>
      <c r="F1991">
        <v>100614.41</v>
      </c>
      <c r="G1991">
        <v>0</v>
      </c>
      <c r="H1991">
        <v>0</v>
      </c>
      <c r="I1991">
        <v>0</v>
      </c>
      <c r="J1991">
        <v>0</v>
      </c>
      <c r="K1991">
        <v>0</v>
      </c>
      <c r="L1991">
        <v>12709189</v>
      </c>
      <c r="M1991">
        <v>12709189</v>
      </c>
      <c r="N1991">
        <v>12709189</v>
      </c>
      <c r="O1991">
        <v>12709189</v>
      </c>
      <c r="P1991">
        <v>12709189</v>
      </c>
      <c r="Q1991">
        <v>12709189</v>
      </c>
      <c r="R1991" s="14">
        <f>_xlfn.XLOOKUP(Table2[[#This Row],[LoanID]],Table1[G-L ID],Table1[ManagerCode],-99)</f>
        <v>220</v>
      </c>
      <c r="T1991"/>
    </row>
    <row r="1992" spans="1:20" x14ac:dyDescent="0.25">
      <c r="A1992">
        <v>20130731</v>
      </c>
      <c r="B1992">
        <v>2013</v>
      </c>
      <c r="C1992">
        <v>7</v>
      </c>
      <c r="D1992">
        <v>1</v>
      </c>
      <c r="E1992">
        <v>10850</v>
      </c>
      <c r="F1992">
        <v>106969.15</v>
      </c>
      <c r="G1992">
        <v>0</v>
      </c>
      <c r="H1992">
        <v>0</v>
      </c>
      <c r="I1992">
        <v>0</v>
      </c>
      <c r="J1992">
        <v>0</v>
      </c>
      <c r="K1992">
        <v>0</v>
      </c>
      <c r="L1992">
        <v>13511892</v>
      </c>
      <c r="M1992">
        <v>13511892</v>
      </c>
      <c r="N1992">
        <v>13511892</v>
      </c>
      <c r="O1992">
        <v>13511892</v>
      </c>
      <c r="P1992">
        <v>13511892</v>
      </c>
      <c r="Q1992">
        <v>13511892</v>
      </c>
      <c r="R1992" s="14">
        <f>_xlfn.XLOOKUP(Table2[[#This Row],[LoanID]],Table1[G-L ID],Table1[ManagerCode],-99)</f>
        <v>220</v>
      </c>
      <c r="T1992"/>
    </row>
    <row r="1993" spans="1:20" x14ac:dyDescent="0.25">
      <c r="A1993">
        <v>20130731</v>
      </c>
      <c r="B1993">
        <v>2013</v>
      </c>
      <c r="C1993">
        <v>7</v>
      </c>
      <c r="D1993">
        <v>1</v>
      </c>
      <c r="E1993">
        <v>10880</v>
      </c>
      <c r="F1993">
        <v>303782.53000000003</v>
      </c>
      <c r="G1993">
        <v>0</v>
      </c>
      <c r="H1993">
        <v>0</v>
      </c>
      <c r="I1993">
        <v>0</v>
      </c>
      <c r="J1993">
        <v>0</v>
      </c>
      <c r="K1993">
        <v>0</v>
      </c>
      <c r="L1993">
        <v>199501272.5</v>
      </c>
      <c r="M1993">
        <v>199727153.09999999</v>
      </c>
      <c r="N1993">
        <v>199501272.5</v>
      </c>
      <c r="O1993">
        <v>199727153.09999999</v>
      </c>
      <c r="P1993">
        <v>201744599.09999999</v>
      </c>
      <c r="Q1993">
        <v>201744599.09999999</v>
      </c>
      <c r="R1993" s="14">
        <f>_xlfn.XLOOKUP(Table2[[#This Row],[LoanID]],Table1[G-L ID],Table1[ManagerCode],-99)</f>
        <v>103</v>
      </c>
      <c r="T1993"/>
    </row>
    <row r="1994" spans="1:20" x14ac:dyDescent="0.25">
      <c r="A1994">
        <v>20130731</v>
      </c>
      <c r="B1994">
        <v>2013</v>
      </c>
      <c r="C1994">
        <v>7</v>
      </c>
      <c r="D1994">
        <v>1</v>
      </c>
      <c r="E1994">
        <v>10900</v>
      </c>
      <c r="F1994">
        <v>78608.320000000007</v>
      </c>
      <c r="G1994">
        <v>0</v>
      </c>
      <c r="H1994">
        <v>0</v>
      </c>
      <c r="I1994">
        <v>0</v>
      </c>
      <c r="J1994">
        <v>0</v>
      </c>
      <c r="K1994">
        <v>5008.74</v>
      </c>
      <c r="L1994">
        <v>8146679.9699999997</v>
      </c>
      <c r="M1994">
        <v>8141921.6299999999</v>
      </c>
      <c r="N1994">
        <v>8146679.9699999997</v>
      </c>
      <c r="O1994">
        <v>8141921.6299999999</v>
      </c>
      <c r="P1994">
        <v>8575452.5800000001</v>
      </c>
      <c r="Q1994">
        <v>8570443.8399999999</v>
      </c>
      <c r="R1994" s="14">
        <f>_xlfn.XLOOKUP(Table2[[#This Row],[LoanID]],Table1[G-L ID],Table1[ManagerCode],-99)</f>
        <v>103</v>
      </c>
      <c r="T1994"/>
    </row>
    <row r="1995" spans="1:20" x14ac:dyDescent="0.25">
      <c r="A1995">
        <v>20130731</v>
      </c>
      <c r="B1995">
        <v>2013</v>
      </c>
      <c r="C1995">
        <v>7</v>
      </c>
      <c r="D1995">
        <v>1</v>
      </c>
      <c r="E1995">
        <v>10920</v>
      </c>
      <c r="F1995">
        <v>114583.33</v>
      </c>
      <c r="G1995">
        <v>0</v>
      </c>
      <c r="H1995">
        <v>0</v>
      </c>
      <c r="I1995">
        <v>0</v>
      </c>
      <c r="J1995">
        <v>0</v>
      </c>
      <c r="K1995">
        <v>0</v>
      </c>
      <c r="L1995">
        <v>11000000</v>
      </c>
      <c r="M1995">
        <v>11000000</v>
      </c>
      <c r="N1995">
        <v>11000000</v>
      </c>
      <c r="O1995">
        <v>11000000</v>
      </c>
      <c r="P1995">
        <v>11000000</v>
      </c>
      <c r="Q1995">
        <v>11000000</v>
      </c>
      <c r="R1995" s="14">
        <f>_xlfn.XLOOKUP(Table2[[#This Row],[LoanID]],Table1[G-L ID],Table1[ManagerCode],-99)</f>
        <v>183</v>
      </c>
      <c r="T1995"/>
    </row>
    <row r="1996" spans="1:20" x14ac:dyDescent="0.25">
      <c r="A1996">
        <v>20130731</v>
      </c>
      <c r="B1996">
        <v>2013</v>
      </c>
      <c r="C1996">
        <v>7</v>
      </c>
      <c r="D1996">
        <v>1</v>
      </c>
      <c r="E1996">
        <v>10950</v>
      </c>
      <c r="F1996">
        <v>51125.63</v>
      </c>
      <c r="G1996">
        <v>0</v>
      </c>
      <c r="H1996">
        <v>0</v>
      </c>
      <c r="I1996">
        <v>0</v>
      </c>
      <c r="J1996">
        <v>0</v>
      </c>
      <c r="K1996">
        <v>25897.39</v>
      </c>
      <c r="L1996">
        <v>10190813.5</v>
      </c>
      <c r="M1996">
        <v>10165175.07</v>
      </c>
      <c r="N1996">
        <v>10190813.5</v>
      </c>
      <c r="O1996">
        <v>10165175.07</v>
      </c>
      <c r="P1996">
        <v>10293751</v>
      </c>
      <c r="Q1996">
        <v>10267853.609999999</v>
      </c>
      <c r="R1996" s="14">
        <f>_xlfn.XLOOKUP(Table2[[#This Row],[LoanID]],Table1[G-L ID],Table1[ManagerCode],-99)</f>
        <v>103</v>
      </c>
      <c r="T1996"/>
    </row>
    <row r="1997" spans="1:20" x14ac:dyDescent="0.25">
      <c r="A1997">
        <v>20130731</v>
      </c>
      <c r="B1997">
        <v>2013</v>
      </c>
      <c r="C1997">
        <v>7</v>
      </c>
      <c r="D1997">
        <v>1</v>
      </c>
      <c r="E1997">
        <v>10980</v>
      </c>
      <c r="F1997">
        <v>178980.43</v>
      </c>
      <c r="G1997">
        <v>18302.5</v>
      </c>
      <c r="H1997">
        <v>0</v>
      </c>
      <c r="I1997">
        <v>0</v>
      </c>
      <c r="J1997">
        <v>-314893.34999999998</v>
      </c>
      <c r="K1997">
        <v>0</v>
      </c>
      <c r="L1997">
        <v>27205864.18</v>
      </c>
      <c r="M1997">
        <v>27539060.030000001</v>
      </c>
      <c r="N1997">
        <v>27205864.18</v>
      </c>
      <c r="O1997">
        <v>27539060.030000001</v>
      </c>
      <c r="P1997">
        <v>27205864.18</v>
      </c>
      <c r="Q1997">
        <v>27539060.030000001</v>
      </c>
      <c r="R1997" s="14">
        <f>_xlfn.XLOOKUP(Table2[[#This Row],[LoanID]],Table1[G-L ID],Table1[ManagerCode],-99)</f>
        <v>183</v>
      </c>
      <c r="T1997"/>
    </row>
    <row r="1998" spans="1:20" x14ac:dyDescent="0.25">
      <c r="A1998">
        <v>20130731</v>
      </c>
      <c r="B1998">
        <v>2013</v>
      </c>
      <c r="C1998">
        <v>7</v>
      </c>
      <c r="D1998">
        <v>1</v>
      </c>
      <c r="E1998">
        <v>11020</v>
      </c>
      <c r="F1998">
        <v>98000</v>
      </c>
      <c r="G1998">
        <v>0</v>
      </c>
      <c r="H1998">
        <v>0</v>
      </c>
      <c r="I1998">
        <v>0</v>
      </c>
      <c r="J1998">
        <v>0</v>
      </c>
      <c r="K1998">
        <v>0</v>
      </c>
      <c r="L1998">
        <v>12000000</v>
      </c>
      <c r="M1998">
        <v>12000000</v>
      </c>
      <c r="N1998">
        <v>12000000</v>
      </c>
      <c r="O1998">
        <v>12000000</v>
      </c>
      <c r="P1998">
        <v>12000000</v>
      </c>
      <c r="Q1998">
        <v>12000000</v>
      </c>
      <c r="R1998" s="14">
        <f>_xlfn.XLOOKUP(Table2[[#This Row],[LoanID]],Table1[G-L ID],Table1[ManagerCode],-99)</f>
        <v>119</v>
      </c>
      <c r="T1998"/>
    </row>
    <row r="1999" spans="1:20" x14ac:dyDescent="0.25">
      <c r="A1999">
        <v>20130731</v>
      </c>
      <c r="B1999">
        <v>2013</v>
      </c>
      <c r="C1999">
        <v>7</v>
      </c>
      <c r="D1999">
        <v>1</v>
      </c>
      <c r="E1999">
        <v>11050</v>
      </c>
      <c r="F1999">
        <v>204114</v>
      </c>
      <c r="G1999">
        <v>0</v>
      </c>
      <c r="H1999">
        <v>0</v>
      </c>
      <c r="I1999">
        <v>0</v>
      </c>
      <c r="J1999">
        <v>-1607196.43</v>
      </c>
      <c r="K1999">
        <v>0</v>
      </c>
      <c r="L1999">
        <v>20574868.550000001</v>
      </c>
      <c r="M1999">
        <v>22182064.98</v>
      </c>
      <c r="N1999">
        <v>20574868.550000001</v>
      </c>
      <c r="O1999">
        <v>22182064.98</v>
      </c>
      <c r="P1999">
        <v>20574868.550000001</v>
      </c>
      <c r="Q1999">
        <v>22182064.98</v>
      </c>
      <c r="R1999" s="14">
        <f>_xlfn.XLOOKUP(Table2[[#This Row],[LoanID]],Table1[G-L ID],Table1[ManagerCode],-99)</f>
        <v>220</v>
      </c>
      <c r="T1999"/>
    </row>
    <row r="2000" spans="1:20" x14ac:dyDescent="0.25">
      <c r="A2000">
        <v>20130731</v>
      </c>
      <c r="B2000">
        <v>2013</v>
      </c>
      <c r="C2000">
        <v>7</v>
      </c>
      <c r="D2000">
        <v>1</v>
      </c>
      <c r="E2000">
        <v>11070</v>
      </c>
      <c r="F2000">
        <v>145125.03</v>
      </c>
      <c r="G2000">
        <v>0</v>
      </c>
      <c r="H2000">
        <v>0</v>
      </c>
      <c r="I2000">
        <v>0</v>
      </c>
      <c r="J2000">
        <v>0</v>
      </c>
      <c r="K2000">
        <v>22412.22</v>
      </c>
      <c r="L2000">
        <v>13928708.07</v>
      </c>
      <c r="M2000">
        <v>13910778.289999999</v>
      </c>
      <c r="N2000">
        <v>13928708.07</v>
      </c>
      <c r="O2000">
        <v>13910778.289999999</v>
      </c>
      <c r="P2000">
        <v>17410867.690000001</v>
      </c>
      <c r="Q2000">
        <v>17388455.469999999</v>
      </c>
      <c r="R2000" s="14">
        <f>_xlfn.XLOOKUP(Table2[[#This Row],[LoanID]],Table1[G-L ID],Table1[ManagerCode],-99)</f>
        <v>103</v>
      </c>
      <c r="T2000"/>
    </row>
    <row r="2001" spans="1:20" x14ac:dyDescent="0.25">
      <c r="A2001">
        <v>20130731</v>
      </c>
      <c r="B2001">
        <v>2013</v>
      </c>
      <c r="C2001">
        <v>7</v>
      </c>
      <c r="D2001">
        <v>1</v>
      </c>
      <c r="E2001">
        <v>11110</v>
      </c>
      <c r="F2001">
        <v>101158.23</v>
      </c>
      <c r="G2001">
        <v>0</v>
      </c>
      <c r="H2001">
        <v>0</v>
      </c>
      <c r="I2001">
        <v>0</v>
      </c>
      <c r="J2001">
        <v>0</v>
      </c>
      <c r="K2001">
        <v>0</v>
      </c>
      <c r="L2001">
        <v>14017303.49</v>
      </c>
      <c r="M2001">
        <v>14017303.49</v>
      </c>
      <c r="N2001">
        <v>14017303.49</v>
      </c>
      <c r="O2001">
        <v>14017303.49</v>
      </c>
      <c r="P2001">
        <v>14017303.49</v>
      </c>
      <c r="Q2001">
        <v>14017303.49</v>
      </c>
      <c r="R2001" s="14">
        <f>_xlfn.XLOOKUP(Table2[[#This Row],[LoanID]],Table1[G-L ID],Table1[ManagerCode],-99)</f>
        <v>183</v>
      </c>
      <c r="T2001"/>
    </row>
    <row r="2002" spans="1:20" x14ac:dyDescent="0.25">
      <c r="A2002">
        <v>20130731</v>
      </c>
      <c r="B2002">
        <v>2013</v>
      </c>
      <c r="C2002">
        <v>7</v>
      </c>
      <c r="D2002">
        <v>1</v>
      </c>
      <c r="E2002">
        <v>11140</v>
      </c>
      <c r="F2002">
        <v>576975.13</v>
      </c>
      <c r="G2002">
        <v>0</v>
      </c>
      <c r="H2002">
        <v>0</v>
      </c>
      <c r="I2002">
        <v>0</v>
      </c>
      <c r="J2002">
        <v>0</v>
      </c>
      <c r="K2002">
        <v>0</v>
      </c>
      <c r="L2002">
        <v>71711993.859999999</v>
      </c>
      <c r="M2002">
        <v>71711993.859999999</v>
      </c>
      <c r="N2002">
        <v>71711993.859999999</v>
      </c>
      <c r="O2002">
        <v>71711993.859999999</v>
      </c>
      <c r="P2002">
        <v>72436285</v>
      </c>
      <c r="Q2002">
        <v>72436285</v>
      </c>
      <c r="R2002" s="14">
        <f>_xlfn.XLOOKUP(Table2[[#This Row],[LoanID]],Table1[G-L ID],Table1[ManagerCode],-99)</f>
        <v>103</v>
      </c>
      <c r="T2002"/>
    </row>
    <row r="2003" spans="1:20" x14ac:dyDescent="0.25">
      <c r="A2003">
        <v>20130731</v>
      </c>
      <c r="B2003">
        <v>2013</v>
      </c>
      <c r="C2003">
        <v>7</v>
      </c>
      <c r="D2003">
        <v>1</v>
      </c>
      <c r="E2003">
        <v>11190</v>
      </c>
      <c r="F2003">
        <v>1300310.33</v>
      </c>
      <c r="G2003">
        <v>0</v>
      </c>
      <c r="H2003">
        <v>499927.08</v>
      </c>
      <c r="I2003">
        <v>-1666.42</v>
      </c>
      <c r="J2003">
        <v>0</v>
      </c>
      <c r="K2003">
        <v>0</v>
      </c>
      <c r="L2003">
        <v>197971123.19999999</v>
      </c>
      <c r="M2003">
        <v>197971123.19999999</v>
      </c>
      <c r="N2003">
        <v>197971123.19999999</v>
      </c>
      <c r="O2003">
        <v>197971123.19999999</v>
      </c>
      <c r="P2003">
        <v>199970831.5</v>
      </c>
      <c r="Q2003">
        <v>199970831.5</v>
      </c>
      <c r="R2003" s="14">
        <f>_xlfn.XLOOKUP(Table2[[#This Row],[LoanID]],Table1[G-L ID],Table1[ManagerCode],-99)</f>
        <v>103</v>
      </c>
      <c r="T2003"/>
    </row>
    <row r="2004" spans="1:20" x14ac:dyDescent="0.25">
      <c r="A2004">
        <v>20130731</v>
      </c>
      <c r="B2004">
        <v>2013</v>
      </c>
      <c r="C2004">
        <v>7</v>
      </c>
      <c r="D2004">
        <v>1</v>
      </c>
      <c r="E2004">
        <v>11220</v>
      </c>
      <c r="F2004">
        <v>301875</v>
      </c>
      <c r="G2004">
        <v>0</v>
      </c>
      <c r="H2004">
        <v>0</v>
      </c>
      <c r="I2004">
        <v>0</v>
      </c>
      <c r="J2004">
        <v>0</v>
      </c>
      <c r="K2004">
        <v>0</v>
      </c>
      <c r="L2004">
        <v>34500000</v>
      </c>
      <c r="M2004">
        <v>34500000</v>
      </c>
      <c r="N2004">
        <v>34500000</v>
      </c>
      <c r="O2004">
        <v>34500000</v>
      </c>
      <c r="P2004">
        <v>34500000</v>
      </c>
      <c r="Q2004">
        <v>34500000</v>
      </c>
      <c r="R2004" s="14">
        <f>_xlfn.XLOOKUP(Table2[[#This Row],[LoanID]],Table1[G-L ID],Table1[ManagerCode],-99)</f>
        <v>220</v>
      </c>
      <c r="T2004"/>
    </row>
    <row r="2005" spans="1:20" x14ac:dyDescent="0.25">
      <c r="A2005">
        <v>20130731</v>
      </c>
      <c r="B2005">
        <v>2013</v>
      </c>
      <c r="C2005">
        <v>7</v>
      </c>
      <c r="D2005">
        <v>1</v>
      </c>
      <c r="E2005">
        <v>11230</v>
      </c>
      <c r="F2005">
        <v>237651.7</v>
      </c>
      <c r="G2005">
        <v>0</v>
      </c>
      <c r="H2005">
        <v>0</v>
      </c>
      <c r="I2005">
        <v>0</v>
      </c>
      <c r="J2005">
        <v>0</v>
      </c>
      <c r="K2005">
        <v>0</v>
      </c>
      <c r="L2005">
        <v>175436664</v>
      </c>
      <c r="M2005">
        <v>175436664</v>
      </c>
      <c r="N2005">
        <v>175436664</v>
      </c>
      <c r="O2005">
        <v>175436664</v>
      </c>
      <c r="P2005">
        <v>194929626.59999999</v>
      </c>
      <c r="Q2005">
        <v>194929626.59999999</v>
      </c>
      <c r="R2005" s="14">
        <f>_xlfn.XLOOKUP(Table2[[#This Row],[LoanID]],Table1[G-L ID],Table1[ManagerCode],-99)</f>
        <v>103</v>
      </c>
      <c r="T2005"/>
    </row>
    <row r="2006" spans="1:20" x14ac:dyDescent="0.25">
      <c r="A2006">
        <v>20130731</v>
      </c>
      <c r="B2006">
        <v>2013</v>
      </c>
      <c r="C2006">
        <v>7</v>
      </c>
      <c r="D2006">
        <v>1</v>
      </c>
      <c r="E2006">
        <v>11320</v>
      </c>
      <c r="F2006">
        <v>18990.37</v>
      </c>
      <c r="G2006">
        <v>0</v>
      </c>
      <c r="H2006">
        <v>0</v>
      </c>
      <c r="I2006">
        <v>0</v>
      </c>
      <c r="J2006">
        <v>0</v>
      </c>
      <c r="K2006">
        <v>0</v>
      </c>
      <c r="L2006">
        <v>12000000</v>
      </c>
      <c r="M2006">
        <v>12000000</v>
      </c>
      <c r="N2006">
        <v>12000000</v>
      </c>
      <c r="O2006">
        <v>12000000</v>
      </c>
      <c r="P2006">
        <v>12000000</v>
      </c>
      <c r="Q2006">
        <v>12000000</v>
      </c>
      <c r="R2006" s="14">
        <f>_xlfn.XLOOKUP(Table2[[#This Row],[LoanID]],Table1[G-L ID],Table1[ManagerCode],-99)</f>
        <v>119</v>
      </c>
      <c r="T2006"/>
    </row>
    <row r="2007" spans="1:20" x14ac:dyDescent="0.25">
      <c r="A2007">
        <v>20130731</v>
      </c>
      <c r="B2007">
        <v>2013</v>
      </c>
      <c r="C2007">
        <v>7</v>
      </c>
      <c r="D2007">
        <v>1</v>
      </c>
      <c r="E2007">
        <v>11340</v>
      </c>
      <c r="F2007">
        <v>291666.67</v>
      </c>
      <c r="G2007">
        <v>0</v>
      </c>
      <c r="H2007">
        <v>0</v>
      </c>
      <c r="I2007">
        <v>0</v>
      </c>
      <c r="J2007">
        <v>0</v>
      </c>
      <c r="K2007">
        <v>0</v>
      </c>
      <c r="L2007">
        <v>49500000</v>
      </c>
      <c r="M2007">
        <v>49500000</v>
      </c>
      <c r="N2007">
        <v>49500000</v>
      </c>
      <c r="O2007">
        <v>49500000</v>
      </c>
      <c r="P2007">
        <v>50000000</v>
      </c>
      <c r="Q2007">
        <v>50000000</v>
      </c>
      <c r="R2007" s="14">
        <f>_xlfn.XLOOKUP(Table2[[#This Row],[LoanID]],Table1[G-L ID],Table1[ManagerCode],-99)</f>
        <v>103</v>
      </c>
      <c r="T2007"/>
    </row>
    <row r="2008" spans="1:20" x14ac:dyDescent="0.25">
      <c r="A2008">
        <v>20130731</v>
      </c>
      <c r="B2008">
        <v>2013</v>
      </c>
      <c r="C2008">
        <v>7</v>
      </c>
      <c r="D2008">
        <v>1</v>
      </c>
      <c r="E2008">
        <v>11350</v>
      </c>
      <c r="F2008">
        <v>320833.33</v>
      </c>
      <c r="G2008">
        <v>0</v>
      </c>
      <c r="H2008">
        <v>0</v>
      </c>
      <c r="I2008">
        <v>-32921.67</v>
      </c>
      <c r="J2008">
        <v>0</v>
      </c>
      <c r="K2008">
        <v>0</v>
      </c>
      <c r="L2008">
        <v>54449945.549999997</v>
      </c>
      <c r="M2008">
        <v>54449945.549999997</v>
      </c>
      <c r="N2008">
        <v>54449945.549999997</v>
      </c>
      <c r="O2008">
        <v>54449945.549999997</v>
      </c>
      <c r="P2008">
        <v>55000000</v>
      </c>
      <c r="Q2008">
        <v>55000000</v>
      </c>
      <c r="R2008" s="14">
        <f>_xlfn.XLOOKUP(Table2[[#This Row],[LoanID]],Table1[G-L ID],Table1[ManagerCode],-99)</f>
        <v>103</v>
      </c>
      <c r="T2008"/>
    </row>
    <row r="2009" spans="1:20" x14ac:dyDescent="0.25">
      <c r="A2009">
        <v>20130731</v>
      </c>
      <c r="B2009">
        <v>2013</v>
      </c>
      <c r="C2009">
        <v>7</v>
      </c>
      <c r="D2009">
        <v>1</v>
      </c>
      <c r="E2009">
        <v>11390</v>
      </c>
      <c r="F2009">
        <v>31898.61</v>
      </c>
      <c r="G2009">
        <v>0</v>
      </c>
      <c r="H2009">
        <v>0</v>
      </c>
      <c r="I2009">
        <v>0</v>
      </c>
      <c r="J2009">
        <v>-6820000</v>
      </c>
      <c r="K2009">
        <v>0</v>
      </c>
      <c r="L2009">
        <v>17000000</v>
      </c>
      <c r="M2009">
        <v>23820000</v>
      </c>
      <c r="N2009">
        <v>17000000</v>
      </c>
      <c r="O2009">
        <v>23820000</v>
      </c>
      <c r="P2009">
        <v>17000000</v>
      </c>
      <c r="Q2009">
        <v>23820000</v>
      </c>
      <c r="R2009" s="14">
        <f>_xlfn.XLOOKUP(Table2[[#This Row],[LoanID]],Table1[G-L ID],Table1[ManagerCode],-99)</f>
        <v>220</v>
      </c>
      <c r="T2009"/>
    </row>
    <row r="2010" spans="1:20" x14ac:dyDescent="0.25">
      <c r="A2010">
        <v>20130731</v>
      </c>
      <c r="B2010">
        <v>2013</v>
      </c>
      <c r="C2010">
        <v>7</v>
      </c>
      <c r="D2010">
        <v>1</v>
      </c>
      <c r="E2010">
        <v>11460</v>
      </c>
      <c r="F2010">
        <v>0</v>
      </c>
      <c r="G2010">
        <v>20348.47</v>
      </c>
      <c r="H2010">
        <v>440738.24</v>
      </c>
      <c r="I2010">
        <v>0</v>
      </c>
      <c r="J2010">
        <v>-10844011.33</v>
      </c>
      <c r="K2010">
        <v>0</v>
      </c>
      <c r="L2010">
        <v>0</v>
      </c>
      <c r="M2010">
        <v>10864359.800000001</v>
      </c>
      <c r="N2010">
        <v>0</v>
      </c>
      <c r="O2010">
        <v>10864359.800000001</v>
      </c>
      <c r="P2010">
        <v>0</v>
      </c>
      <c r="Q2010">
        <v>10864359.800000001</v>
      </c>
      <c r="R2010" s="14">
        <f>_xlfn.XLOOKUP(Table2[[#This Row],[LoanID]],Table1[G-L ID],Table1[ManagerCode],-99)</f>
        <v>183</v>
      </c>
      <c r="T2010"/>
    </row>
    <row r="2011" spans="1:20" x14ac:dyDescent="0.25">
      <c r="A2011">
        <v>20130731</v>
      </c>
      <c r="B2011">
        <v>2013</v>
      </c>
      <c r="C2011">
        <v>7</v>
      </c>
      <c r="D2011">
        <v>1</v>
      </c>
      <c r="E2011">
        <v>11560</v>
      </c>
      <c r="F2011">
        <v>109209.85</v>
      </c>
      <c r="G2011">
        <v>79652.53</v>
      </c>
      <c r="H2011">
        <v>0</v>
      </c>
      <c r="I2011">
        <v>0</v>
      </c>
      <c r="J2011">
        <v>0</v>
      </c>
      <c r="K2011">
        <v>0</v>
      </c>
      <c r="L2011">
        <v>13939000</v>
      </c>
      <c r="M2011">
        <v>14018652.529999999</v>
      </c>
      <c r="N2011">
        <v>13939000</v>
      </c>
      <c r="O2011">
        <v>14018652.529999999</v>
      </c>
      <c r="P2011">
        <v>13939000</v>
      </c>
      <c r="Q2011">
        <v>14018652.529999999</v>
      </c>
      <c r="R2011" s="14">
        <f>_xlfn.XLOOKUP(Table2[[#This Row],[LoanID]],Table1[G-L ID],Table1[ManagerCode],-99)</f>
        <v>183</v>
      </c>
      <c r="T2011"/>
    </row>
    <row r="2012" spans="1:20" x14ac:dyDescent="0.25">
      <c r="A2012">
        <v>20130731</v>
      </c>
      <c r="B2012">
        <v>2013</v>
      </c>
      <c r="C2012">
        <v>7</v>
      </c>
      <c r="D2012">
        <v>1</v>
      </c>
      <c r="E2012">
        <v>11620</v>
      </c>
      <c r="F2012">
        <v>53317.5</v>
      </c>
      <c r="G2012">
        <v>26338.29</v>
      </c>
      <c r="H2012">
        <v>0</v>
      </c>
      <c r="I2012">
        <v>0</v>
      </c>
      <c r="J2012">
        <v>-314624.93</v>
      </c>
      <c r="K2012">
        <v>0</v>
      </c>
      <c r="L2012">
        <v>7495124.8600000003</v>
      </c>
      <c r="M2012">
        <v>7836088.0800000001</v>
      </c>
      <c r="N2012">
        <v>7495124.8600000003</v>
      </c>
      <c r="O2012">
        <v>7836088.0800000001</v>
      </c>
      <c r="P2012">
        <v>7495124.8600000003</v>
      </c>
      <c r="Q2012">
        <v>7836088.0800000001</v>
      </c>
      <c r="R2012" s="14">
        <f>_xlfn.XLOOKUP(Table2[[#This Row],[LoanID]],Table1[G-L ID],Table1[ManagerCode],-99)</f>
        <v>183</v>
      </c>
      <c r="T2012"/>
    </row>
    <row r="2013" spans="1:20" x14ac:dyDescent="0.25">
      <c r="A2013">
        <v>20130731</v>
      </c>
      <c r="B2013">
        <v>2013</v>
      </c>
      <c r="C2013">
        <v>7</v>
      </c>
      <c r="D2013">
        <v>1</v>
      </c>
      <c r="E2013">
        <v>11650</v>
      </c>
      <c r="F2013">
        <v>75000</v>
      </c>
      <c r="G2013">
        <v>0</v>
      </c>
      <c r="H2013">
        <v>0</v>
      </c>
      <c r="I2013">
        <v>0</v>
      </c>
      <c r="J2013">
        <v>0</v>
      </c>
      <c r="K2013">
        <v>0</v>
      </c>
      <c r="L2013">
        <v>9600000</v>
      </c>
      <c r="M2013">
        <v>9600000</v>
      </c>
      <c r="N2013">
        <v>9600000</v>
      </c>
      <c r="O2013">
        <v>9600000</v>
      </c>
      <c r="P2013">
        <v>12000000</v>
      </c>
      <c r="Q2013">
        <v>12000000</v>
      </c>
      <c r="R2013" s="14">
        <f>_xlfn.XLOOKUP(Table2[[#This Row],[LoanID]],Table1[G-L ID],Table1[ManagerCode],-99)</f>
        <v>103</v>
      </c>
      <c r="T2013"/>
    </row>
    <row r="2014" spans="1:20" x14ac:dyDescent="0.25">
      <c r="A2014">
        <v>20130731</v>
      </c>
      <c r="B2014">
        <v>2013</v>
      </c>
      <c r="C2014">
        <v>7</v>
      </c>
      <c r="D2014">
        <v>1</v>
      </c>
      <c r="E2014">
        <v>11670</v>
      </c>
      <c r="F2014">
        <v>188333.33</v>
      </c>
      <c r="G2014">
        <v>152902.65</v>
      </c>
      <c r="H2014">
        <v>0</v>
      </c>
      <c r="I2014">
        <v>0</v>
      </c>
      <c r="J2014">
        <v>0</v>
      </c>
      <c r="K2014">
        <v>0</v>
      </c>
      <c r="L2014">
        <v>29248798.690000001</v>
      </c>
      <c r="M2014">
        <v>29401701.34</v>
      </c>
      <c r="N2014">
        <v>29248798.690000001</v>
      </c>
      <c r="O2014">
        <v>29401701.34</v>
      </c>
      <c r="P2014">
        <v>29248798.690000001</v>
      </c>
      <c r="Q2014">
        <v>29401701.34</v>
      </c>
      <c r="R2014" s="14">
        <f>_xlfn.XLOOKUP(Table2[[#This Row],[LoanID]],Table1[G-L ID],Table1[ManagerCode],-99)</f>
        <v>183</v>
      </c>
      <c r="T2014"/>
    </row>
    <row r="2015" spans="1:20" x14ac:dyDescent="0.25">
      <c r="A2015">
        <v>20130731</v>
      </c>
      <c r="B2015">
        <v>2013</v>
      </c>
      <c r="C2015">
        <v>7</v>
      </c>
      <c r="D2015">
        <v>1</v>
      </c>
      <c r="E2015">
        <v>11740</v>
      </c>
      <c r="F2015">
        <v>170500</v>
      </c>
      <c r="G2015">
        <v>0</v>
      </c>
      <c r="H2015">
        <v>0</v>
      </c>
      <c r="I2015">
        <v>0</v>
      </c>
      <c r="J2015">
        <v>0</v>
      </c>
      <c r="K2015">
        <v>0</v>
      </c>
      <c r="L2015">
        <v>18600000</v>
      </c>
      <c r="M2015">
        <v>18600000</v>
      </c>
      <c r="N2015">
        <v>18600000</v>
      </c>
      <c r="O2015">
        <v>18600000</v>
      </c>
      <c r="P2015">
        <v>18600000</v>
      </c>
      <c r="Q2015">
        <v>18600000</v>
      </c>
      <c r="R2015" s="14">
        <f>_xlfn.XLOOKUP(Table2[[#This Row],[LoanID]],Table1[G-L ID],Table1[ManagerCode],-99)</f>
        <v>183</v>
      </c>
      <c r="T2015"/>
    </row>
    <row r="2016" spans="1:20" x14ac:dyDescent="0.25">
      <c r="A2016">
        <v>20130731</v>
      </c>
      <c r="B2016">
        <v>2013</v>
      </c>
      <c r="C2016">
        <v>7</v>
      </c>
      <c r="D2016">
        <v>1</v>
      </c>
      <c r="E2016">
        <v>11770</v>
      </c>
      <c r="F2016">
        <v>501236.96</v>
      </c>
      <c r="G2016">
        <v>0</v>
      </c>
      <c r="H2016">
        <v>0</v>
      </c>
      <c r="I2016">
        <v>0</v>
      </c>
      <c r="J2016">
        <v>0</v>
      </c>
      <c r="K2016">
        <v>0</v>
      </c>
      <c r="L2016">
        <v>58220403.909999996</v>
      </c>
      <c r="M2016">
        <v>58220403.909999996</v>
      </c>
      <c r="N2016">
        <v>58220403.909999996</v>
      </c>
      <c r="O2016">
        <v>58220403.909999996</v>
      </c>
      <c r="P2016">
        <v>58220403.909999996</v>
      </c>
      <c r="Q2016">
        <v>58220403.909999996</v>
      </c>
      <c r="R2016" s="14">
        <f>_xlfn.XLOOKUP(Table2[[#This Row],[LoanID]],Table1[G-L ID],Table1[ManagerCode],-99)</f>
        <v>119</v>
      </c>
      <c r="T2016"/>
    </row>
    <row r="2017" spans="1:20" x14ac:dyDescent="0.25">
      <c r="A2017">
        <v>20130731</v>
      </c>
      <c r="B2017">
        <v>2013</v>
      </c>
      <c r="C2017">
        <v>7</v>
      </c>
      <c r="D2017">
        <v>1</v>
      </c>
      <c r="E2017">
        <v>11780</v>
      </c>
      <c r="F2017">
        <v>984985.42</v>
      </c>
      <c r="G2017">
        <v>0</v>
      </c>
      <c r="H2017">
        <v>0</v>
      </c>
      <c r="I2017">
        <v>-8710.18</v>
      </c>
      <c r="J2017">
        <v>0</v>
      </c>
      <c r="K2017">
        <v>0</v>
      </c>
      <c r="L2017">
        <v>40262654</v>
      </c>
      <c r="M2017">
        <v>40262654</v>
      </c>
      <c r="N2017">
        <v>40262654</v>
      </c>
      <c r="O2017">
        <v>40262654</v>
      </c>
      <c r="P2017">
        <v>64786446.619999997</v>
      </c>
      <c r="Q2017">
        <v>64786446.619999997</v>
      </c>
      <c r="R2017" s="14">
        <f>_xlfn.XLOOKUP(Table2[[#This Row],[LoanID]],Table1[G-L ID],Table1[ManagerCode],-99)</f>
        <v>103</v>
      </c>
      <c r="T2017"/>
    </row>
    <row r="2018" spans="1:20" x14ac:dyDescent="0.25">
      <c r="A2018">
        <v>20130731</v>
      </c>
      <c r="B2018">
        <v>2013</v>
      </c>
      <c r="C2018">
        <v>7</v>
      </c>
      <c r="D2018">
        <v>1</v>
      </c>
      <c r="E2018">
        <v>11800</v>
      </c>
      <c r="F2018">
        <v>153504.46</v>
      </c>
      <c r="G2018">
        <v>0</v>
      </c>
      <c r="H2018">
        <v>0</v>
      </c>
      <c r="I2018">
        <v>-258.29000000000002</v>
      </c>
      <c r="J2018">
        <v>0</v>
      </c>
      <c r="K2018">
        <v>82020.33</v>
      </c>
      <c r="L2018">
        <v>33161774.239999998</v>
      </c>
      <c r="M2018">
        <v>33100241.120000001</v>
      </c>
      <c r="N2018">
        <v>33161774.239999998</v>
      </c>
      <c r="O2018">
        <v>33100241.120000001</v>
      </c>
      <c r="P2018">
        <v>30995348.550000001</v>
      </c>
      <c r="Q2018">
        <v>30913328.219999999</v>
      </c>
      <c r="R2018" s="14">
        <f>_xlfn.XLOOKUP(Table2[[#This Row],[LoanID]],Table1[G-L ID],Table1[ManagerCode],-99)</f>
        <v>103</v>
      </c>
      <c r="T2018"/>
    </row>
    <row r="2019" spans="1:20" x14ac:dyDescent="0.25">
      <c r="A2019">
        <v>20130731</v>
      </c>
      <c r="B2019">
        <v>2013</v>
      </c>
      <c r="C2019">
        <v>7</v>
      </c>
      <c r="D2019">
        <v>1</v>
      </c>
      <c r="E2019">
        <v>11810</v>
      </c>
      <c r="F2019">
        <v>50501.86</v>
      </c>
      <c r="G2019">
        <v>0</v>
      </c>
      <c r="H2019">
        <v>0</v>
      </c>
      <c r="I2019">
        <v>0</v>
      </c>
      <c r="J2019">
        <v>0</v>
      </c>
      <c r="K2019">
        <v>10356.23</v>
      </c>
      <c r="L2019">
        <v>9771369.4600000009</v>
      </c>
      <c r="M2019">
        <v>9761116.8000000007</v>
      </c>
      <c r="N2019">
        <v>9771369.4600000009</v>
      </c>
      <c r="O2019">
        <v>9761116.8000000007</v>
      </c>
      <c r="P2019">
        <v>9870070.1600000001</v>
      </c>
      <c r="Q2019">
        <v>9859713.9299999997</v>
      </c>
      <c r="R2019" s="14">
        <f>_xlfn.XLOOKUP(Table2[[#This Row],[LoanID]],Table1[G-L ID],Table1[ManagerCode],-99)</f>
        <v>103</v>
      </c>
      <c r="T2019"/>
    </row>
    <row r="2020" spans="1:20" x14ac:dyDescent="0.25">
      <c r="A2020">
        <v>20130731</v>
      </c>
      <c r="B2020">
        <v>2013</v>
      </c>
      <c r="C2020">
        <v>7</v>
      </c>
      <c r="D2020">
        <v>1</v>
      </c>
      <c r="E2020">
        <v>11840</v>
      </c>
      <c r="F2020">
        <v>52257.23</v>
      </c>
      <c r="G2020">
        <v>81185.25</v>
      </c>
      <c r="H2020">
        <v>0</v>
      </c>
      <c r="I2020">
        <v>0</v>
      </c>
      <c r="J2020">
        <v>0</v>
      </c>
      <c r="K2020">
        <v>0</v>
      </c>
      <c r="L2020">
        <v>11063756.109999999</v>
      </c>
      <c r="M2020">
        <v>11144941.359999999</v>
      </c>
      <c r="N2020">
        <v>11063756.109999999</v>
      </c>
      <c r="O2020">
        <v>11144941.359999999</v>
      </c>
      <c r="P2020">
        <v>11063756.109999999</v>
      </c>
      <c r="Q2020">
        <v>11144941.359999999</v>
      </c>
      <c r="R2020" s="14">
        <f>_xlfn.XLOOKUP(Table2[[#This Row],[LoanID]],Table1[G-L ID],Table1[ManagerCode],-99)</f>
        <v>183</v>
      </c>
      <c r="T2020"/>
    </row>
    <row r="2021" spans="1:20" x14ac:dyDescent="0.25">
      <c r="A2021">
        <v>20130731</v>
      </c>
      <c r="B2021">
        <v>2013</v>
      </c>
      <c r="C2021">
        <v>7</v>
      </c>
      <c r="D2021">
        <v>1</v>
      </c>
      <c r="E2021">
        <v>11880</v>
      </c>
      <c r="F2021">
        <v>10748.06</v>
      </c>
      <c r="G2021">
        <v>30578.41</v>
      </c>
      <c r="H2021">
        <v>640000</v>
      </c>
      <c r="I2021">
        <v>0</v>
      </c>
      <c r="J2021">
        <v>-2941013.07</v>
      </c>
      <c r="K2021">
        <v>0</v>
      </c>
      <c r="L2021">
        <v>2404588.17</v>
      </c>
      <c r="M2021">
        <v>5376179.6500000004</v>
      </c>
      <c r="N2021">
        <v>2404588.17</v>
      </c>
      <c r="O2021">
        <v>5376179.6500000004</v>
      </c>
      <c r="P2021">
        <v>2404588.17</v>
      </c>
      <c r="Q2021">
        <v>5376179.6500000004</v>
      </c>
      <c r="R2021" s="14">
        <f>_xlfn.XLOOKUP(Table2[[#This Row],[LoanID]],Table1[G-L ID],Table1[ManagerCode],-99)</f>
        <v>183</v>
      </c>
      <c r="T2021"/>
    </row>
    <row r="2022" spans="1:20" x14ac:dyDescent="0.25">
      <c r="A2022">
        <v>20130731</v>
      </c>
      <c r="B2022">
        <v>2013</v>
      </c>
      <c r="C2022">
        <v>7</v>
      </c>
      <c r="D2022">
        <v>1</v>
      </c>
      <c r="E2022">
        <v>11970</v>
      </c>
      <c r="F2022">
        <v>81414.64</v>
      </c>
      <c r="G2022">
        <v>48072.91</v>
      </c>
      <c r="H2022">
        <v>0</v>
      </c>
      <c r="I2022">
        <v>0</v>
      </c>
      <c r="J2022">
        <v>-81414.64</v>
      </c>
      <c r="K2022">
        <v>0</v>
      </c>
      <c r="L2022">
        <v>8629628.5299999993</v>
      </c>
      <c r="M2022">
        <v>8759116.0800000001</v>
      </c>
      <c r="N2022">
        <v>8629628.5299999993</v>
      </c>
      <c r="O2022">
        <v>8759116.0800000001</v>
      </c>
      <c r="P2022">
        <v>8629628.5299999993</v>
      </c>
      <c r="Q2022">
        <v>8759116.0800000001</v>
      </c>
      <c r="R2022" s="14">
        <f>_xlfn.XLOOKUP(Table2[[#This Row],[LoanID]],Table1[G-L ID],Table1[ManagerCode],-99)</f>
        <v>183</v>
      </c>
      <c r="T2022"/>
    </row>
    <row r="2023" spans="1:20" x14ac:dyDescent="0.25">
      <c r="A2023">
        <v>20130731</v>
      </c>
      <c r="B2023">
        <v>2013</v>
      </c>
      <c r="C2023">
        <v>7</v>
      </c>
      <c r="D2023">
        <v>1</v>
      </c>
      <c r="E2023">
        <v>12020</v>
      </c>
      <c r="F2023">
        <v>63753.98</v>
      </c>
      <c r="G2023">
        <v>2005.58</v>
      </c>
      <c r="H2023">
        <v>0</v>
      </c>
      <c r="I2023">
        <v>0</v>
      </c>
      <c r="J2023">
        <v>-63753.98</v>
      </c>
      <c r="K2023">
        <v>0</v>
      </c>
      <c r="L2023">
        <v>10173220.52</v>
      </c>
      <c r="M2023">
        <v>10238980.08</v>
      </c>
      <c r="N2023">
        <v>10173220.52</v>
      </c>
      <c r="O2023">
        <v>10238980.08</v>
      </c>
      <c r="P2023">
        <v>10173220.52</v>
      </c>
      <c r="Q2023">
        <v>10238980.08</v>
      </c>
      <c r="R2023" s="14">
        <f>_xlfn.XLOOKUP(Table2[[#This Row],[LoanID]],Table1[G-L ID],Table1[ManagerCode],-99)</f>
        <v>183</v>
      </c>
      <c r="T2023"/>
    </row>
    <row r="2024" spans="1:20" x14ac:dyDescent="0.25">
      <c r="A2024">
        <v>20130731</v>
      </c>
      <c r="B2024">
        <v>2013</v>
      </c>
      <c r="C2024">
        <v>7</v>
      </c>
      <c r="D2024">
        <v>1</v>
      </c>
      <c r="E2024">
        <v>12080</v>
      </c>
      <c r="F2024">
        <v>314252.52</v>
      </c>
      <c r="G2024">
        <v>0</v>
      </c>
      <c r="H2024">
        <v>0</v>
      </c>
      <c r="I2024">
        <v>0</v>
      </c>
      <c r="J2024">
        <v>0</v>
      </c>
      <c r="K2024">
        <v>273535.17</v>
      </c>
      <c r="L2024">
        <v>39778800</v>
      </c>
      <c r="M2024">
        <v>39505264.829999998</v>
      </c>
      <c r="N2024">
        <v>39778800</v>
      </c>
      <c r="O2024">
        <v>39505264.829999998</v>
      </c>
      <c r="P2024">
        <v>39778800</v>
      </c>
      <c r="Q2024">
        <v>39505264.829999998</v>
      </c>
      <c r="R2024" s="14">
        <f>_xlfn.XLOOKUP(Table2[[#This Row],[LoanID]],Table1[G-L ID],Table1[ManagerCode],-99)</f>
        <v>119</v>
      </c>
      <c r="T2024"/>
    </row>
    <row r="2025" spans="1:20" x14ac:dyDescent="0.25">
      <c r="A2025">
        <v>20130731</v>
      </c>
      <c r="B2025">
        <v>2013</v>
      </c>
      <c r="C2025">
        <v>7</v>
      </c>
      <c r="D2025">
        <v>1</v>
      </c>
      <c r="E2025">
        <v>12090</v>
      </c>
      <c r="F2025">
        <v>158857.19</v>
      </c>
      <c r="G2025">
        <v>0</v>
      </c>
      <c r="H2025">
        <v>0</v>
      </c>
      <c r="I2025">
        <v>0</v>
      </c>
      <c r="J2025">
        <v>0</v>
      </c>
      <c r="K2025">
        <v>0</v>
      </c>
      <c r="L2025">
        <v>17500000</v>
      </c>
      <c r="M2025">
        <v>17500000</v>
      </c>
      <c r="N2025">
        <v>17500000</v>
      </c>
      <c r="O2025">
        <v>17500000</v>
      </c>
      <c r="P2025">
        <v>17500000</v>
      </c>
      <c r="Q2025">
        <v>17500000</v>
      </c>
      <c r="R2025" s="14">
        <f>_xlfn.XLOOKUP(Table2[[#This Row],[LoanID]],Table1[G-L ID],Table1[ManagerCode],-99)</f>
        <v>220</v>
      </c>
      <c r="T2025"/>
    </row>
    <row r="2026" spans="1:20" x14ac:dyDescent="0.25">
      <c r="A2026">
        <v>20130731</v>
      </c>
      <c r="B2026">
        <v>2013</v>
      </c>
      <c r="C2026">
        <v>7</v>
      </c>
      <c r="D2026">
        <v>1</v>
      </c>
      <c r="E2026">
        <v>12100</v>
      </c>
      <c r="F2026">
        <v>46147.85</v>
      </c>
      <c r="G2026">
        <v>70831.490000000005</v>
      </c>
      <c r="H2026">
        <v>0</v>
      </c>
      <c r="I2026">
        <v>0</v>
      </c>
      <c r="J2026">
        <v>-46147.85</v>
      </c>
      <c r="K2026">
        <v>0</v>
      </c>
      <c r="L2026">
        <v>9667812.1999999993</v>
      </c>
      <c r="M2026">
        <v>9784791.5399999991</v>
      </c>
      <c r="N2026">
        <v>9667812.1999999993</v>
      </c>
      <c r="O2026">
        <v>9784791.5399999991</v>
      </c>
      <c r="P2026">
        <v>9667812.1999999993</v>
      </c>
      <c r="Q2026">
        <v>9784791.5399999991</v>
      </c>
      <c r="R2026" s="14">
        <f>_xlfn.XLOOKUP(Table2[[#This Row],[LoanID]],Table1[G-L ID],Table1[ManagerCode],-99)</f>
        <v>183</v>
      </c>
      <c r="T2026"/>
    </row>
    <row r="2027" spans="1:20" x14ac:dyDescent="0.25">
      <c r="A2027">
        <v>20130731</v>
      </c>
      <c r="B2027">
        <v>2013</v>
      </c>
      <c r="C2027">
        <v>7</v>
      </c>
      <c r="D2027">
        <v>1</v>
      </c>
      <c r="E2027">
        <v>12130</v>
      </c>
      <c r="F2027">
        <v>98655.87</v>
      </c>
      <c r="G2027">
        <v>0</v>
      </c>
      <c r="H2027">
        <v>0</v>
      </c>
      <c r="I2027">
        <v>0</v>
      </c>
      <c r="J2027">
        <v>-98655.87</v>
      </c>
      <c r="K2027">
        <v>0</v>
      </c>
      <c r="L2027">
        <v>12684610.560000001</v>
      </c>
      <c r="M2027">
        <v>12783266.43</v>
      </c>
      <c r="N2027">
        <v>12684610.560000001</v>
      </c>
      <c r="O2027">
        <v>12783266.43</v>
      </c>
      <c r="P2027">
        <v>12684610.560000001</v>
      </c>
      <c r="Q2027">
        <v>12783266.43</v>
      </c>
      <c r="R2027" s="14">
        <f>_xlfn.XLOOKUP(Table2[[#This Row],[LoanID]],Table1[G-L ID],Table1[ManagerCode],-99)</f>
        <v>183</v>
      </c>
      <c r="T2027"/>
    </row>
    <row r="2028" spans="1:20" x14ac:dyDescent="0.25">
      <c r="A2028">
        <v>20130731</v>
      </c>
      <c r="B2028">
        <v>2013</v>
      </c>
      <c r="C2028">
        <v>7</v>
      </c>
      <c r="D2028">
        <v>1</v>
      </c>
      <c r="E2028">
        <v>12210</v>
      </c>
      <c r="F2028">
        <v>699439.13</v>
      </c>
      <c r="G2028">
        <v>0</v>
      </c>
      <c r="H2028">
        <v>0</v>
      </c>
      <c r="I2028">
        <v>0</v>
      </c>
      <c r="J2028">
        <v>0</v>
      </c>
      <c r="K2028">
        <v>201364.75</v>
      </c>
      <c r="L2028">
        <v>132910839.8</v>
      </c>
      <c r="M2028">
        <v>132604757.09999999</v>
      </c>
      <c r="N2028">
        <v>132910839.8</v>
      </c>
      <c r="O2028">
        <v>132604757.09999999</v>
      </c>
      <c r="P2028">
        <v>113170380.90000001</v>
      </c>
      <c r="Q2028">
        <v>112969016.2</v>
      </c>
      <c r="R2028" s="14">
        <f>_xlfn.XLOOKUP(Table2[[#This Row],[LoanID]],Table1[G-L ID],Table1[ManagerCode],-99)</f>
        <v>103</v>
      </c>
      <c r="T2028"/>
    </row>
    <row r="2029" spans="1:20" x14ac:dyDescent="0.25">
      <c r="A2029">
        <v>20130731</v>
      </c>
      <c r="B2029">
        <v>2013</v>
      </c>
      <c r="C2029">
        <v>7</v>
      </c>
      <c r="D2029">
        <v>1</v>
      </c>
      <c r="E2029">
        <v>12230</v>
      </c>
      <c r="F2029">
        <v>283604.55</v>
      </c>
      <c r="G2029">
        <v>0</v>
      </c>
      <c r="H2029">
        <v>0</v>
      </c>
      <c r="I2029">
        <v>0</v>
      </c>
      <c r="J2029">
        <v>0</v>
      </c>
      <c r="K2029">
        <v>0</v>
      </c>
      <c r="L2029">
        <v>54675074</v>
      </c>
      <c r="M2029">
        <v>54675074</v>
      </c>
      <c r="N2029">
        <v>36451872</v>
      </c>
      <c r="O2029">
        <v>36451872</v>
      </c>
      <c r="P2029">
        <v>54675074</v>
      </c>
      <c r="Q2029">
        <v>54675074</v>
      </c>
      <c r="R2029" s="14">
        <f>_xlfn.XLOOKUP(Table2[[#This Row],[LoanID]],Table1[G-L ID],Table1[ManagerCode],-99)</f>
        <v>183</v>
      </c>
      <c r="T2029"/>
    </row>
    <row r="2030" spans="1:20" x14ac:dyDescent="0.25">
      <c r="A2030">
        <v>20130731</v>
      </c>
      <c r="B2030">
        <v>2013</v>
      </c>
      <c r="C2030">
        <v>7</v>
      </c>
      <c r="D2030">
        <v>1</v>
      </c>
      <c r="E2030">
        <v>15580</v>
      </c>
      <c r="F2030">
        <v>0</v>
      </c>
      <c r="G2030">
        <v>119479.17</v>
      </c>
      <c r="H2030">
        <v>0</v>
      </c>
      <c r="I2030">
        <v>-5810</v>
      </c>
      <c r="J2030">
        <v>-15000000</v>
      </c>
      <c r="K2030">
        <v>0</v>
      </c>
      <c r="L2030">
        <v>0</v>
      </c>
      <c r="M2030">
        <v>15119479.17</v>
      </c>
      <c r="N2030">
        <v>0</v>
      </c>
      <c r="O2030">
        <v>15119479.17</v>
      </c>
      <c r="P2030">
        <v>0</v>
      </c>
      <c r="Q2030">
        <v>15119479.17</v>
      </c>
      <c r="R2030" s="14">
        <f>_xlfn.XLOOKUP(Table2[[#This Row],[LoanID]],Table1[G-L ID],Table1[ManagerCode],-99)</f>
        <v>212</v>
      </c>
      <c r="T2030"/>
    </row>
    <row r="2031" spans="1:20" x14ac:dyDescent="0.25">
      <c r="A2031">
        <v>20130831</v>
      </c>
      <c r="B2031">
        <v>2013</v>
      </c>
      <c r="C2031">
        <v>8</v>
      </c>
      <c r="D2031">
        <v>1</v>
      </c>
      <c r="E2031">
        <v>10050</v>
      </c>
      <c r="F2031">
        <v>153981.01999999999</v>
      </c>
      <c r="G2031">
        <v>0</v>
      </c>
      <c r="H2031">
        <v>0</v>
      </c>
      <c r="I2031">
        <v>0</v>
      </c>
      <c r="J2031">
        <v>0</v>
      </c>
      <c r="K2031">
        <v>0</v>
      </c>
      <c r="L2031">
        <v>36288379.829999998</v>
      </c>
      <c r="M2031">
        <v>35687954.960000001</v>
      </c>
      <c r="N2031">
        <v>36288379.829999998</v>
      </c>
      <c r="O2031">
        <v>35687954.960000001</v>
      </c>
      <c r="P2031">
        <v>33333334</v>
      </c>
      <c r="Q2031">
        <v>33333334</v>
      </c>
      <c r="R2031" s="14">
        <f>_xlfn.XLOOKUP(Table2[[#This Row],[LoanID]],Table1[G-L ID],Table1[ManagerCode],-99)</f>
        <v>103</v>
      </c>
      <c r="T2031"/>
    </row>
    <row r="2032" spans="1:20" x14ac:dyDescent="0.25">
      <c r="A2032">
        <v>20130831</v>
      </c>
      <c r="B2032">
        <v>2013</v>
      </c>
      <c r="C2032">
        <v>8</v>
      </c>
      <c r="D2032">
        <v>1</v>
      </c>
      <c r="E2032">
        <v>10060</v>
      </c>
      <c r="F2032">
        <v>120833.33</v>
      </c>
      <c r="G2032">
        <v>0</v>
      </c>
      <c r="H2032">
        <v>0</v>
      </c>
      <c r="I2032">
        <v>0</v>
      </c>
      <c r="J2032">
        <v>0</v>
      </c>
      <c r="K2032">
        <v>0</v>
      </c>
      <c r="L2032">
        <v>19000000</v>
      </c>
      <c r="M2032">
        <v>19000000</v>
      </c>
      <c r="N2032">
        <v>19000000</v>
      </c>
      <c r="O2032">
        <v>19000000</v>
      </c>
      <c r="P2032">
        <v>20000000</v>
      </c>
      <c r="Q2032">
        <v>20000000</v>
      </c>
      <c r="R2032" s="14">
        <f>_xlfn.XLOOKUP(Table2[[#This Row],[LoanID]],Table1[G-L ID],Table1[ManagerCode],-99)</f>
        <v>103</v>
      </c>
      <c r="T2032"/>
    </row>
    <row r="2033" spans="1:20" x14ac:dyDescent="0.25">
      <c r="A2033">
        <v>20130831</v>
      </c>
      <c r="B2033">
        <v>2013</v>
      </c>
      <c r="C2033">
        <v>8</v>
      </c>
      <c r="D2033">
        <v>1</v>
      </c>
      <c r="E2033">
        <v>10080</v>
      </c>
      <c r="F2033">
        <v>351042.71</v>
      </c>
      <c r="G2033">
        <v>0</v>
      </c>
      <c r="H2033">
        <v>0</v>
      </c>
      <c r="I2033">
        <v>-157.18</v>
      </c>
      <c r="J2033">
        <v>0</v>
      </c>
      <c r="K2033">
        <v>0</v>
      </c>
      <c r="L2033">
        <v>74249925.75</v>
      </c>
      <c r="M2033">
        <v>74249925.75</v>
      </c>
      <c r="N2033">
        <v>74249925.75</v>
      </c>
      <c r="O2033">
        <v>74249925.75</v>
      </c>
      <c r="P2033">
        <v>75000000</v>
      </c>
      <c r="Q2033">
        <v>75000000</v>
      </c>
      <c r="R2033" s="14">
        <f>_xlfn.XLOOKUP(Table2[[#This Row],[LoanID]],Table1[G-L ID],Table1[ManagerCode],-99)</f>
        <v>103</v>
      </c>
      <c r="T2033"/>
    </row>
    <row r="2034" spans="1:20" x14ac:dyDescent="0.25">
      <c r="A2034">
        <v>20130831</v>
      </c>
      <c r="B2034">
        <v>2013</v>
      </c>
      <c r="C2034">
        <v>8</v>
      </c>
      <c r="D2034">
        <v>1</v>
      </c>
      <c r="E2034">
        <v>10170</v>
      </c>
      <c r="F2034">
        <v>240984.64</v>
      </c>
      <c r="G2034">
        <v>0</v>
      </c>
      <c r="H2034">
        <v>0</v>
      </c>
      <c r="I2034">
        <v>-1154.8800000000001</v>
      </c>
      <c r="J2034">
        <v>0</v>
      </c>
      <c r="K2034">
        <v>73549.42</v>
      </c>
      <c r="L2034">
        <v>46858972.380000003</v>
      </c>
      <c r="M2034">
        <v>46634959.299999997</v>
      </c>
      <c r="N2034">
        <v>46858972.380000003</v>
      </c>
      <c r="O2034">
        <v>46634959.299999997</v>
      </c>
      <c r="P2034">
        <v>44704973.240000002</v>
      </c>
      <c r="Q2034">
        <v>44631423.82</v>
      </c>
      <c r="R2034" s="14">
        <f>_xlfn.XLOOKUP(Table2[[#This Row],[LoanID]],Table1[G-L ID],Table1[ManagerCode],-99)</f>
        <v>103</v>
      </c>
      <c r="T2034"/>
    </row>
    <row r="2035" spans="1:20" x14ac:dyDescent="0.25">
      <c r="A2035">
        <v>20130831</v>
      </c>
      <c r="B2035">
        <v>2013</v>
      </c>
      <c r="C2035">
        <v>8</v>
      </c>
      <c r="D2035">
        <v>1</v>
      </c>
      <c r="E2035">
        <v>10220</v>
      </c>
      <c r="F2035">
        <v>1119444.44</v>
      </c>
      <c r="G2035">
        <v>0</v>
      </c>
      <c r="H2035">
        <v>0</v>
      </c>
      <c r="I2035">
        <v>0</v>
      </c>
      <c r="J2035">
        <v>0</v>
      </c>
      <c r="K2035">
        <v>0</v>
      </c>
      <c r="L2035">
        <v>99000000</v>
      </c>
      <c r="M2035">
        <v>99000000</v>
      </c>
      <c r="N2035">
        <v>99000000</v>
      </c>
      <c r="O2035">
        <v>99000000</v>
      </c>
      <c r="P2035">
        <v>100000000</v>
      </c>
      <c r="Q2035">
        <v>100000000</v>
      </c>
      <c r="R2035" s="14">
        <f>_xlfn.XLOOKUP(Table2[[#This Row],[LoanID]],Table1[G-L ID],Table1[ManagerCode],-99)</f>
        <v>103</v>
      </c>
      <c r="T2035"/>
    </row>
    <row r="2036" spans="1:20" x14ac:dyDescent="0.25">
      <c r="A2036">
        <v>20130831</v>
      </c>
      <c r="B2036">
        <v>2013</v>
      </c>
      <c r="C2036">
        <v>8</v>
      </c>
      <c r="D2036">
        <v>1</v>
      </c>
      <c r="E2036">
        <v>10230</v>
      </c>
      <c r="F2036">
        <v>175716.77</v>
      </c>
      <c r="G2036">
        <v>0</v>
      </c>
      <c r="H2036">
        <v>0</v>
      </c>
      <c r="I2036">
        <v>0</v>
      </c>
      <c r="J2036">
        <v>0</v>
      </c>
      <c r="K2036">
        <v>65881.3</v>
      </c>
      <c r="L2036">
        <v>29720640.469999999</v>
      </c>
      <c r="M2036">
        <v>29658053.199999999</v>
      </c>
      <c r="N2036">
        <v>29720640.469999999</v>
      </c>
      <c r="O2036">
        <v>29658053.199999999</v>
      </c>
      <c r="P2036">
        <v>31284884.68</v>
      </c>
      <c r="Q2036">
        <v>31219003.379999999</v>
      </c>
      <c r="R2036" s="14">
        <f>_xlfn.XLOOKUP(Table2[[#This Row],[LoanID]],Table1[G-L ID],Table1[ManagerCode],-99)</f>
        <v>103</v>
      </c>
      <c r="T2036"/>
    </row>
    <row r="2037" spans="1:20" x14ac:dyDescent="0.25">
      <c r="A2037">
        <v>20130831</v>
      </c>
      <c r="B2037">
        <v>2013</v>
      </c>
      <c r="C2037">
        <v>8</v>
      </c>
      <c r="D2037">
        <v>1</v>
      </c>
      <c r="E2037">
        <v>10280</v>
      </c>
      <c r="F2037">
        <v>181412</v>
      </c>
      <c r="G2037">
        <v>0</v>
      </c>
      <c r="H2037">
        <v>0</v>
      </c>
      <c r="I2037">
        <v>0</v>
      </c>
      <c r="J2037">
        <v>0</v>
      </c>
      <c r="K2037">
        <v>0</v>
      </c>
      <c r="L2037">
        <v>33250033.25</v>
      </c>
      <c r="M2037">
        <v>34308009.329999998</v>
      </c>
      <c r="N2037">
        <v>33250033.25</v>
      </c>
      <c r="O2037">
        <v>34308009.329999998</v>
      </c>
      <c r="P2037">
        <v>35000000</v>
      </c>
      <c r="Q2037">
        <v>35000000</v>
      </c>
      <c r="R2037" s="14">
        <f>_xlfn.XLOOKUP(Table2[[#This Row],[LoanID]],Table1[G-L ID],Table1[ManagerCode],-99)</f>
        <v>103</v>
      </c>
      <c r="T2037"/>
    </row>
    <row r="2038" spans="1:20" x14ac:dyDescent="0.25">
      <c r="A2038">
        <v>20130831</v>
      </c>
      <c r="B2038">
        <v>2013</v>
      </c>
      <c r="C2038">
        <v>8</v>
      </c>
      <c r="D2038">
        <v>1</v>
      </c>
      <c r="E2038">
        <v>10290</v>
      </c>
      <c r="F2038">
        <v>171300.83</v>
      </c>
      <c r="G2038">
        <v>0</v>
      </c>
      <c r="H2038">
        <v>0</v>
      </c>
      <c r="I2038">
        <v>0</v>
      </c>
      <c r="J2038">
        <v>0</v>
      </c>
      <c r="K2038">
        <v>0</v>
      </c>
      <c r="L2038">
        <v>23750000</v>
      </c>
      <c r="M2038">
        <v>24750000</v>
      </c>
      <c r="N2038">
        <v>23750000</v>
      </c>
      <c r="O2038">
        <v>24750000</v>
      </c>
      <c r="P2038">
        <v>25000000</v>
      </c>
      <c r="Q2038">
        <v>25000000</v>
      </c>
      <c r="R2038" s="14">
        <f>_xlfn.XLOOKUP(Table2[[#This Row],[LoanID]],Table1[G-L ID],Table1[ManagerCode],-99)</f>
        <v>103</v>
      </c>
      <c r="T2038"/>
    </row>
    <row r="2039" spans="1:20" x14ac:dyDescent="0.25">
      <c r="A2039">
        <v>20130831</v>
      </c>
      <c r="B2039">
        <v>2013</v>
      </c>
      <c r="C2039">
        <v>8</v>
      </c>
      <c r="D2039">
        <v>1</v>
      </c>
      <c r="E2039">
        <v>10300</v>
      </c>
      <c r="F2039">
        <v>149887.93</v>
      </c>
      <c r="G2039">
        <v>0</v>
      </c>
      <c r="H2039">
        <v>0</v>
      </c>
      <c r="I2039">
        <v>0</v>
      </c>
      <c r="J2039">
        <v>0</v>
      </c>
      <c r="K2039">
        <v>0</v>
      </c>
      <c r="L2039">
        <v>34593322.100000001</v>
      </c>
      <c r="M2039">
        <v>34484015.960000001</v>
      </c>
      <c r="N2039">
        <v>34593322.100000001</v>
      </c>
      <c r="O2039">
        <v>34484015.960000001</v>
      </c>
      <c r="P2039">
        <v>35000000</v>
      </c>
      <c r="Q2039">
        <v>35000000</v>
      </c>
      <c r="R2039" s="14">
        <f>_xlfn.XLOOKUP(Table2[[#This Row],[LoanID]],Table1[G-L ID],Table1[ManagerCode],-99)</f>
        <v>103</v>
      </c>
      <c r="T2039"/>
    </row>
    <row r="2040" spans="1:20" x14ac:dyDescent="0.25">
      <c r="A2040">
        <v>20130831</v>
      </c>
      <c r="B2040">
        <v>2013</v>
      </c>
      <c r="C2040">
        <v>8</v>
      </c>
      <c r="D2040">
        <v>1</v>
      </c>
      <c r="E2040">
        <v>10340</v>
      </c>
      <c r="F2040">
        <v>0</v>
      </c>
      <c r="G2040">
        <v>0</v>
      </c>
      <c r="H2040">
        <v>0</v>
      </c>
      <c r="I2040">
        <v>0</v>
      </c>
      <c r="J2040">
        <v>0</v>
      </c>
      <c r="K2040">
        <v>0</v>
      </c>
      <c r="L2040">
        <v>11875000</v>
      </c>
      <c r="M2040">
        <v>11875000</v>
      </c>
      <c r="N2040">
        <v>11875000</v>
      </c>
      <c r="O2040">
        <v>11875000</v>
      </c>
      <c r="P2040">
        <v>11875000</v>
      </c>
      <c r="Q2040">
        <v>11875000</v>
      </c>
      <c r="R2040" s="14">
        <f>_xlfn.XLOOKUP(Table2[[#This Row],[LoanID]],Table1[G-L ID],Table1[ManagerCode],-99)</f>
        <v>220</v>
      </c>
      <c r="T2040"/>
    </row>
    <row r="2041" spans="1:20" x14ac:dyDescent="0.25">
      <c r="A2041">
        <v>20130831</v>
      </c>
      <c r="B2041">
        <v>2013</v>
      </c>
      <c r="C2041">
        <v>8</v>
      </c>
      <c r="D2041">
        <v>1</v>
      </c>
      <c r="E2041">
        <v>10370</v>
      </c>
      <c r="F2041">
        <v>3729.42</v>
      </c>
      <c r="G2041">
        <v>0</v>
      </c>
      <c r="H2041">
        <v>0</v>
      </c>
      <c r="I2041">
        <v>0</v>
      </c>
      <c r="J2041">
        <v>0</v>
      </c>
      <c r="K2041">
        <v>39983.56</v>
      </c>
      <c r="L2041">
        <v>2109947.02</v>
      </c>
      <c r="M2041">
        <v>2071962.64</v>
      </c>
      <c r="N2041">
        <v>2109947.02</v>
      </c>
      <c r="O2041">
        <v>2071962.64</v>
      </c>
      <c r="P2041">
        <v>2220996.85</v>
      </c>
      <c r="Q2041">
        <v>2181013.29</v>
      </c>
      <c r="R2041" s="14">
        <f>_xlfn.XLOOKUP(Table2[[#This Row],[LoanID]],Table1[G-L ID],Table1[ManagerCode],-99)</f>
        <v>103</v>
      </c>
      <c r="T2041"/>
    </row>
    <row r="2042" spans="1:20" x14ac:dyDescent="0.25">
      <c r="A2042">
        <v>20130831</v>
      </c>
      <c r="B2042">
        <v>2013</v>
      </c>
      <c r="C2042">
        <v>8</v>
      </c>
      <c r="D2042">
        <v>1</v>
      </c>
      <c r="E2042">
        <v>10390</v>
      </c>
      <c r="F2042">
        <v>118750</v>
      </c>
      <c r="G2042">
        <v>0</v>
      </c>
      <c r="H2042">
        <v>0</v>
      </c>
      <c r="I2042">
        <v>0</v>
      </c>
      <c r="J2042">
        <v>0</v>
      </c>
      <c r="K2042">
        <v>0</v>
      </c>
      <c r="L2042">
        <v>23750000</v>
      </c>
      <c r="M2042">
        <v>23750000</v>
      </c>
      <c r="N2042">
        <v>23750000</v>
      </c>
      <c r="O2042">
        <v>23750000</v>
      </c>
      <c r="P2042">
        <v>24998163.149999999</v>
      </c>
      <c r="Q2042">
        <v>24998367.23</v>
      </c>
      <c r="R2042" s="14">
        <f>_xlfn.XLOOKUP(Table2[[#This Row],[LoanID]],Table1[G-L ID],Table1[ManagerCode],-99)</f>
        <v>103</v>
      </c>
      <c r="T2042"/>
    </row>
    <row r="2043" spans="1:20" x14ac:dyDescent="0.25">
      <c r="A2043">
        <v>20130831</v>
      </c>
      <c r="B2043">
        <v>2013</v>
      </c>
      <c r="C2043">
        <v>8</v>
      </c>
      <c r="D2043">
        <v>1</v>
      </c>
      <c r="E2043">
        <v>10400</v>
      </c>
      <c r="F2043">
        <v>825375</v>
      </c>
      <c r="G2043">
        <v>0</v>
      </c>
      <c r="H2043">
        <v>0</v>
      </c>
      <c r="I2043">
        <v>0</v>
      </c>
      <c r="J2043">
        <v>0</v>
      </c>
      <c r="K2043">
        <v>0</v>
      </c>
      <c r="L2043">
        <v>45000000</v>
      </c>
      <c r="M2043">
        <v>45000000</v>
      </c>
      <c r="N2043">
        <v>45000000</v>
      </c>
      <c r="O2043">
        <v>45000000</v>
      </c>
      <c r="P2043">
        <v>45000000</v>
      </c>
      <c r="Q2043">
        <v>45000000</v>
      </c>
      <c r="R2043" s="14">
        <f>_xlfn.XLOOKUP(Table2[[#This Row],[LoanID]],Table1[G-L ID],Table1[ManagerCode],-99)</f>
        <v>220</v>
      </c>
      <c r="T2043"/>
    </row>
    <row r="2044" spans="1:20" x14ac:dyDescent="0.25">
      <c r="A2044">
        <v>20130831</v>
      </c>
      <c r="B2044">
        <v>2013</v>
      </c>
      <c r="C2044">
        <v>8</v>
      </c>
      <c r="D2044">
        <v>1</v>
      </c>
      <c r="E2044">
        <v>10430</v>
      </c>
      <c r="F2044">
        <v>62931.73</v>
      </c>
      <c r="G2044">
        <v>0</v>
      </c>
      <c r="H2044">
        <v>0</v>
      </c>
      <c r="I2044">
        <v>0</v>
      </c>
      <c r="J2044">
        <v>0</v>
      </c>
      <c r="K2044">
        <v>14875</v>
      </c>
      <c r="L2044">
        <v>6970250</v>
      </c>
      <c r="M2044">
        <v>6955375</v>
      </c>
      <c r="N2044">
        <v>6970250</v>
      </c>
      <c r="O2044">
        <v>6955375</v>
      </c>
      <c r="P2044">
        <v>6970250</v>
      </c>
      <c r="Q2044">
        <v>6955375</v>
      </c>
      <c r="R2044" s="14">
        <f>_xlfn.XLOOKUP(Table2[[#This Row],[LoanID]],Table1[G-L ID],Table1[ManagerCode],-99)</f>
        <v>119</v>
      </c>
      <c r="T2044"/>
    </row>
    <row r="2045" spans="1:20" x14ac:dyDescent="0.25">
      <c r="A2045">
        <v>20130831</v>
      </c>
      <c r="B2045">
        <v>2013</v>
      </c>
      <c r="C2045">
        <v>8</v>
      </c>
      <c r="D2045">
        <v>1</v>
      </c>
      <c r="E2045">
        <v>10460</v>
      </c>
      <c r="F2045">
        <v>0</v>
      </c>
      <c r="G2045">
        <v>0</v>
      </c>
      <c r="H2045">
        <v>0</v>
      </c>
      <c r="I2045">
        <v>0</v>
      </c>
      <c r="J2045">
        <v>0</v>
      </c>
      <c r="K2045">
        <v>0</v>
      </c>
      <c r="L2045">
        <v>25710114.43</v>
      </c>
      <c r="M2045">
        <v>25704898.75</v>
      </c>
      <c r="N2045">
        <v>25710114.43</v>
      </c>
      <c r="O2045">
        <v>25704898.75</v>
      </c>
      <c r="P2045">
        <v>25000000.010000002</v>
      </c>
      <c r="Q2045">
        <v>25000000.010000002</v>
      </c>
      <c r="R2045" s="14">
        <f>_xlfn.XLOOKUP(Table2[[#This Row],[LoanID]],Table1[G-L ID],Table1[ManagerCode],-99)</f>
        <v>103</v>
      </c>
      <c r="T2045"/>
    </row>
    <row r="2046" spans="1:20" x14ac:dyDescent="0.25">
      <c r="A2046">
        <v>20130831</v>
      </c>
      <c r="B2046">
        <v>2013</v>
      </c>
      <c r="C2046">
        <v>8</v>
      </c>
      <c r="D2046">
        <v>1</v>
      </c>
      <c r="E2046">
        <v>10490</v>
      </c>
      <c r="F2046">
        <v>158538.1</v>
      </c>
      <c r="G2046">
        <v>0</v>
      </c>
      <c r="H2046">
        <v>0</v>
      </c>
      <c r="I2046">
        <v>0</v>
      </c>
      <c r="J2046">
        <v>0</v>
      </c>
      <c r="K2046">
        <v>0</v>
      </c>
      <c r="L2046">
        <v>17534168</v>
      </c>
      <c r="M2046">
        <v>17534168</v>
      </c>
      <c r="N2046">
        <v>17534168</v>
      </c>
      <c r="O2046">
        <v>17534168</v>
      </c>
      <c r="P2046">
        <v>17534168</v>
      </c>
      <c r="Q2046">
        <v>17534168</v>
      </c>
      <c r="R2046" s="14">
        <f>_xlfn.XLOOKUP(Table2[[#This Row],[LoanID]],Table1[G-L ID],Table1[ManagerCode],-99)</f>
        <v>220</v>
      </c>
      <c r="T2046"/>
    </row>
    <row r="2047" spans="1:20" x14ac:dyDescent="0.25">
      <c r="A2047">
        <v>20130831</v>
      </c>
      <c r="B2047">
        <v>2013</v>
      </c>
      <c r="C2047">
        <v>8</v>
      </c>
      <c r="D2047">
        <v>1</v>
      </c>
      <c r="E2047">
        <v>10510</v>
      </c>
      <c r="F2047">
        <v>0</v>
      </c>
      <c r="G2047">
        <v>0</v>
      </c>
      <c r="H2047">
        <v>337500</v>
      </c>
      <c r="I2047">
        <v>0</v>
      </c>
      <c r="J2047">
        <v>-45000000</v>
      </c>
      <c r="K2047">
        <v>0</v>
      </c>
      <c r="L2047">
        <v>0</v>
      </c>
      <c r="M2047">
        <v>45000000</v>
      </c>
      <c r="N2047">
        <v>0</v>
      </c>
      <c r="O2047">
        <v>45000000</v>
      </c>
      <c r="P2047">
        <v>0</v>
      </c>
      <c r="Q2047">
        <v>45000000</v>
      </c>
      <c r="R2047" s="14">
        <f>_xlfn.XLOOKUP(Table2[[#This Row],[LoanID]],Table1[G-L ID],Table1[ManagerCode],-99)</f>
        <v>220</v>
      </c>
      <c r="T2047"/>
    </row>
    <row r="2048" spans="1:20" x14ac:dyDescent="0.25">
      <c r="A2048">
        <v>20130831</v>
      </c>
      <c r="B2048">
        <v>2013</v>
      </c>
      <c r="C2048">
        <v>8</v>
      </c>
      <c r="D2048">
        <v>1</v>
      </c>
      <c r="E2048">
        <v>10591</v>
      </c>
      <c r="F2048">
        <v>228839.49</v>
      </c>
      <c r="G2048">
        <v>0</v>
      </c>
      <c r="H2048">
        <v>0</v>
      </c>
      <c r="I2048">
        <v>0</v>
      </c>
      <c r="J2048">
        <v>0</v>
      </c>
      <c r="K2048">
        <v>50038.15</v>
      </c>
      <c r="L2048">
        <v>26013439.84</v>
      </c>
      <c r="M2048">
        <v>25963401.690000001</v>
      </c>
      <c r="N2048">
        <v>26013439.84</v>
      </c>
      <c r="O2048">
        <v>25963401.690000001</v>
      </c>
      <c r="P2048">
        <v>26013439.84</v>
      </c>
      <c r="Q2048">
        <v>25963401.690000001</v>
      </c>
      <c r="R2048" s="14">
        <f>_xlfn.XLOOKUP(Table2[[#This Row],[LoanID]],Table1[G-L ID],Table1[ManagerCode],-99)</f>
        <v>220</v>
      </c>
      <c r="T2048"/>
    </row>
    <row r="2049" spans="1:20" x14ac:dyDescent="0.25">
      <c r="A2049">
        <v>20130831</v>
      </c>
      <c r="B2049">
        <v>2013</v>
      </c>
      <c r="C2049">
        <v>8</v>
      </c>
      <c r="D2049">
        <v>1</v>
      </c>
      <c r="E2049">
        <v>10592</v>
      </c>
      <c r="F2049">
        <v>379567.62</v>
      </c>
      <c r="G2049">
        <v>0</v>
      </c>
      <c r="H2049">
        <v>0</v>
      </c>
      <c r="I2049">
        <v>0</v>
      </c>
      <c r="J2049">
        <v>0</v>
      </c>
      <c r="K2049">
        <v>73865.850000000006</v>
      </c>
      <c r="L2049">
        <v>38400792.159999996</v>
      </c>
      <c r="M2049">
        <v>38326926.310000002</v>
      </c>
      <c r="N2049">
        <v>38400792.159999996</v>
      </c>
      <c r="O2049">
        <v>38326926.310000002</v>
      </c>
      <c r="P2049">
        <v>38400792.159999996</v>
      </c>
      <c r="Q2049">
        <v>38326926.310000002</v>
      </c>
      <c r="R2049" s="14">
        <f>_xlfn.XLOOKUP(Table2[[#This Row],[LoanID]],Table1[G-L ID],Table1[ManagerCode],-99)</f>
        <v>220</v>
      </c>
      <c r="T2049"/>
    </row>
    <row r="2050" spans="1:20" x14ac:dyDescent="0.25">
      <c r="A2050">
        <v>20130831</v>
      </c>
      <c r="B2050">
        <v>2013</v>
      </c>
      <c r="C2050">
        <v>8</v>
      </c>
      <c r="D2050">
        <v>1</v>
      </c>
      <c r="E2050">
        <v>10640</v>
      </c>
      <c r="F2050">
        <v>95084.88</v>
      </c>
      <c r="G2050">
        <v>0</v>
      </c>
      <c r="H2050">
        <v>0</v>
      </c>
      <c r="I2050">
        <v>0</v>
      </c>
      <c r="J2050">
        <v>0</v>
      </c>
      <c r="K2050">
        <v>0</v>
      </c>
      <c r="L2050">
        <v>11812500</v>
      </c>
      <c r="M2050">
        <v>11812500</v>
      </c>
      <c r="N2050">
        <v>11812500</v>
      </c>
      <c r="O2050">
        <v>11812500</v>
      </c>
      <c r="P2050">
        <v>11812500</v>
      </c>
      <c r="Q2050">
        <v>11812500</v>
      </c>
      <c r="R2050" s="14">
        <f>_xlfn.XLOOKUP(Table2[[#This Row],[LoanID]],Table1[G-L ID],Table1[ManagerCode],-99)</f>
        <v>220</v>
      </c>
      <c r="T2050"/>
    </row>
    <row r="2051" spans="1:20" x14ac:dyDescent="0.25">
      <c r="A2051">
        <v>20130831</v>
      </c>
      <c r="B2051">
        <v>2013</v>
      </c>
      <c r="C2051">
        <v>8</v>
      </c>
      <c r="D2051">
        <v>1</v>
      </c>
      <c r="E2051">
        <v>10690</v>
      </c>
      <c r="F2051">
        <v>71655.09</v>
      </c>
      <c r="G2051">
        <v>23297.49</v>
      </c>
      <c r="H2051">
        <v>0</v>
      </c>
      <c r="I2051">
        <v>0</v>
      </c>
      <c r="J2051">
        <v>-1398735.35</v>
      </c>
      <c r="K2051">
        <v>0</v>
      </c>
      <c r="L2051">
        <v>11245636.279999999</v>
      </c>
      <c r="M2051">
        <v>12667669.119999999</v>
      </c>
      <c r="N2051">
        <v>11245636.279999999</v>
      </c>
      <c r="O2051">
        <v>12667669.119999999</v>
      </c>
      <c r="P2051">
        <v>11245636.279999999</v>
      </c>
      <c r="Q2051">
        <v>12667669.119999999</v>
      </c>
      <c r="R2051" s="14">
        <f>_xlfn.XLOOKUP(Table2[[#This Row],[LoanID]],Table1[G-L ID],Table1[ManagerCode],-99)</f>
        <v>183</v>
      </c>
      <c r="T2051"/>
    </row>
    <row r="2052" spans="1:20" x14ac:dyDescent="0.25">
      <c r="A2052">
        <v>20130831</v>
      </c>
      <c r="B2052">
        <v>2013</v>
      </c>
      <c r="C2052">
        <v>8</v>
      </c>
      <c r="D2052">
        <v>1</v>
      </c>
      <c r="E2052">
        <v>10720</v>
      </c>
      <c r="F2052">
        <v>125000</v>
      </c>
      <c r="G2052">
        <v>86231.52</v>
      </c>
      <c r="H2052">
        <v>0</v>
      </c>
      <c r="I2052">
        <v>0</v>
      </c>
      <c r="J2052">
        <v>0</v>
      </c>
      <c r="K2052">
        <v>0</v>
      </c>
      <c r="L2052">
        <v>16353408</v>
      </c>
      <c r="M2052">
        <v>16439639.52</v>
      </c>
      <c r="N2052">
        <v>16353408</v>
      </c>
      <c r="O2052">
        <v>16439639.52</v>
      </c>
      <c r="P2052">
        <v>16353408</v>
      </c>
      <c r="Q2052">
        <v>16439639.52</v>
      </c>
      <c r="R2052" s="14">
        <f>_xlfn.XLOOKUP(Table2[[#This Row],[LoanID]],Table1[G-L ID],Table1[ManagerCode],-99)</f>
        <v>220</v>
      </c>
      <c r="T2052"/>
    </row>
    <row r="2053" spans="1:20" x14ac:dyDescent="0.25">
      <c r="A2053">
        <v>20130831</v>
      </c>
      <c r="B2053">
        <v>2013</v>
      </c>
      <c r="C2053">
        <v>8</v>
      </c>
      <c r="D2053">
        <v>1</v>
      </c>
      <c r="E2053">
        <v>10820</v>
      </c>
      <c r="F2053">
        <v>175041.78</v>
      </c>
      <c r="G2053">
        <v>0</v>
      </c>
      <c r="H2053">
        <v>0</v>
      </c>
      <c r="I2053">
        <v>0</v>
      </c>
      <c r="J2053">
        <v>0</v>
      </c>
      <c r="K2053">
        <v>0</v>
      </c>
      <c r="L2053">
        <v>21397297</v>
      </c>
      <c r="M2053">
        <v>21397297</v>
      </c>
      <c r="N2053">
        <v>21397297</v>
      </c>
      <c r="O2053">
        <v>21397297</v>
      </c>
      <c r="P2053">
        <v>21397297</v>
      </c>
      <c r="Q2053">
        <v>21397297</v>
      </c>
      <c r="R2053" s="14">
        <f>_xlfn.XLOOKUP(Table2[[#This Row],[LoanID]],Table1[G-L ID],Table1[ManagerCode],-99)</f>
        <v>220</v>
      </c>
      <c r="T2053"/>
    </row>
    <row r="2054" spans="1:20" x14ac:dyDescent="0.25">
      <c r="A2054">
        <v>20130831</v>
      </c>
      <c r="B2054">
        <v>2013</v>
      </c>
      <c r="C2054">
        <v>8</v>
      </c>
      <c r="D2054">
        <v>1</v>
      </c>
      <c r="E2054">
        <v>10830</v>
      </c>
      <c r="F2054">
        <v>57113.55</v>
      </c>
      <c r="G2054">
        <v>0</v>
      </c>
      <c r="H2054">
        <v>0</v>
      </c>
      <c r="I2054">
        <v>0</v>
      </c>
      <c r="J2054">
        <v>0</v>
      </c>
      <c r="K2054">
        <v>0</v>
      </c>
      <c r="L2054">
        <v>6981622</v>
      </c>
      <c r="M2054">
        <v>6981622</v>
      </c>
      <c r="N2054">
        <v>6981622</v>
      </c>
      <c r="O2054">
        <v>6981622</v>
      </c>
      <c r="P2054">
        <v>6981622</v>
      </c>
      <c r="Q2054">
        <v>6981622</v>
      </c>
      <c r="R2054" s="14">
        <f>_xlfn.XLOOKUP(Table2[[#This Row],[LoanID]],Table1[G-L ID],Table1[ManagerCode],-99)</f>
        <v>220</v>
      </c>
      <c r="T2054"/>
    </row>
    <row r="2055" spans="1:20" x14ac:dyDescent="0.25">
      <c r="A2055">
        <v>20130831</v>
      </c>
      <c r="B2055">
        <v>2013</v>
      </c>
      <c r="C2055">
        <v>8</v>
      </c>
      <c r="D2055">
        <v>1</v>
      </c>
      <c r="E2055">
        <v>10840</v>
      </c>
      <c r="F2055">
        <v>103968.23</v>
      </c>
      <c r="G2055">
        <v>0</v>
      </c>
      <c r="H2055">
        <v>0</v>
      </c>
      <c r="I2055">
        <v>0</v>
      </c>
      <c r="J2055">
        <v>0</v>
      </c>
      <c r="K2055">
        <v>0</v>
      </c>
      <c r="L2055">
        <v>12709189</v>
      </c>
      <c r="M2055">
        <v>12709189</v>
      </c>
      <c r="N2055">
        <v>12709189</v>
      </c>
      <c r="O2055">
        <v>12709189</v>
      </c>
      <c r="P2055">
        <v>12709189</v>
      </c>
      <c r="Q2055">
        <v>12709189</v>
      </c>
      <c r="R2055" s="14">
        <f>_xlfn.XLOOKUP(Table2[[#This Row],[LoanID]],Table1[G-L ID],Table1[ManagerCode],-99)</f>
        <v>220</v>
      </c>
      <c r="T2055"/>
    </row>
    <row r="2056" spans="1:20" x14ac:dyDescent="0.25">
      <c r="A2056">
        <v>20130831</v>
      </c>
      <c r="B2056">
        <v>2013</v>
      </c>
      <c r="C2056">
        <v>8</v>
      </c>
      <c r="D2056">
        <v>1</v>
      </c>
      <c r="E2056">
        <v>10850</v>
      </c>
      <c r="F2056">
        <v>110534.78</v>
      </c>
      <c r="G2056">
        <v>0</v>
      </c>
      <c r="H2056">
        <v>0</v>
      </c>
      <c r="I2056">
        <v>0</v>
      </c>
      <c r="J2056">
        <v>0</v>
      </c>
      <c r="K2056">
        <v>0</v>
      </c>
      <c r="L2056">
        <v>13511892</v>
      </c>
      <c r="M2056">
        <v>13511892</v>
      </c>
      <c r="N2056">
        <v>13511892</v>
      </c>
      <c r="O2056">
        <v>13511892</v>
      </c>
      <c r="P2056">
        <v>13511892</v>
      </c>
      <c r="Q2056">
        <v>13511892</v>
      </c>
      <c r="R2056" s="14">
        <f>_xlfn.XLOOKUP(Table2[[#This Row],[LoanID]],Table1[G-L ID],Table1[ManagerCode],-99)</f>
        <v>220</v>
      </c>
      <c r="T2056"/>
    </row>
    <row r="2057" spans="1:20" x14ac:dyDescent="0.25">
      <c r="A2057">
        <v>20130831</v>
      </c>
      <c r="B2057">
        <v>2013</v>
      </c>
      <c r="C2057">
        <v>8</v>
      </c>
      <c r="D2057">
        <v>1</v>
      </c>
      <c r="E2057">
        <v>10880</v>
      </c>
      <c r="F2057">
        <v>275465.44</v>
      </c>
      <c r="G2057">
        <v>0</v>
      </c>
      <c r="H2057">
        <v>0</v>
      </c>
      <c r="I2057">
        <v>0</v>
      </c>
      <c r="J2057">
        <v>0</v>
      </c>
      <c r="K2057">
        <v>0</v>
      </c>
      <c r="L2057">
        <v>199727153.09999999</v>
      </c>
      <c r="M2057">
        <v>199727153.09999999</v>
      </c>
      <c r="N2057">
        <v>199727153.09999999</v>
      </c>
      <c r="O2057">
        <v>199727153.09999999</v>
      </c>
      <c r="P2057">
        <v>201744599.09999999</v>
      </c>
      <c r="Q2057">
        <v>201744599.09999999</v>
      </c>
      <c r="R2057" s="14">
        <f>_xlfn.XLOOKUP(Table2[[#This Row],[LoanID]],Table1[G-L ID],Table1[ManagerCode],-99)</f>
        <v>103</v>
      </c>
      <c r="T2057"/>
    </row>
    <row r="2058" spans="1:20" x14ac:dyDescent="0.25">
      <c r="A2058">
        <v>20130831</v>
      </c>
      <c r="B2058">
        <v>2013</v>
      </c>
      <c r="C2058">
        <v>8</v>
      </c>
      <c r="D2058">
        <v>1</v>
      </c>
      <c r="E2058">
        <v>10900</v>
      </c>
      <c r="F2058">
        <v>81181.149999999994</v>
      </c>
      <c r="G2058">
        <v>0</v>
      </c>
      <c r="H2058">
        <v>0</v>
      </c>
      <c r="I2058">
        <v>0</v>
      </c>
      <c r="J2058">
        <v>0</v>
      </c>
      <c r="K2058">
        <v>2435.91</v>
      </c>
      <c r="L2058">
        <v>8141921.6299999999</v>
      </c>
      <c r="M2058">
        <v>8139607.54</v>
      </c>
      <c r="N2058">
        <v>8141921.6299999999</v>
      </c>
      <c r="O2058">
        <v>8139607.54</v>
      </c>
      <c r="P2058">
        <v>8570443.8399999999</v>
      </c>
      <c r="Q2058">
        <v>8568007.9299999997</v>
      </c>
      <c r="R2058" s="14">
        <f>_xlfn.XLOOKUP(Table2[[#This Row],[LoanID]],Table1[G-L ID],Table1[ManagerCode],-99)</f>
        <v>103</v>
      </c>
      <c r="T2058"/>
    </row>
    <row r="2059" spans="1:20" x14ac:dyDescent="0.25">
      <c r="A2059">
        <v>20130831</v>
      </c>
      <c r="B2059">
        <v>2013</v>
      </c>
      <c r="C2059">
        <v>8</v>
      </c>
      <c r="D2059">
        <v>1</v>
      </c>
      <c r="E2059">
        <v>10920</v>
      </c>
      <c r="F2059">
        <v>114583.33</v>
      </c>
      <c r="G2059">
        <v>0</v>
      </c>
      <c r="H2059">
        <v>0</v>
      </c>
      <c r="I2059">
        <v>0</v>
      </c>
      <c r="J2059">
        <v>0</v>
      </c>
      <c r="K2059">
        <v>0</v>
      </c>
      <c r="L2059">
        <v>11000000</v>
      </c>
      <c r="M2059">
        <v>11000000</v>
      </c>
      <c r="N2059">
        <v>11000000</v>
      </c>
      <c r="O2059">
        <v>11000000</v>
      </c>
      <c r="P2059">
        <v>11000000</v>
      </c>
      <c r="Q2059">
        <v>11000000</v>
      </c>
      <c r="R2059" s="14">
        <f>_xlfn.XLOOKUP(Table2[[#This Row],[LoanID]],Table1[G-L ID],Table1[ManagerCode],-99)</f>
        <v>183</v>
      </c>
      <c r="T2059"/>
    </row>
    <row r="2060" spans="1:20" x14ac:dyDescent="0.25">
      <c r="A2060">
        <v>20130831</v>
      </c>
      <c r="B2060">
        <v>2013</v>
      </c>
      <c r="C2060">
        <v>8</v>
      </c>
      <c r="D2060">
        <v>1</v>
      </c>
      <c r="E2060">
        <v>10950</v>
      </c>
      <c r="F2060">
        <v>50997.01</v>
      </c>
      <c r="G2060">
        <v>0</v>
      </c>
      <c r="H2060">
        <v>0</v>
      </c>
      <c r="I2060">
        <v>0</v>
      </c>
      <c r="J2060">
        <v>0</v>
      </c>
      <c r="K2060">
        <v>26026.01</v>
      </c>
      <c r="L2060">
        <v>10165175.07</v>
      </c>
      <c r="M2060">
        <v>10139409.32</v>
      </c>
      <c r="N2060">
        <v>10165175.07</v>
      </c>
      <c r="O2060">
        <v>10139409.32</v>
      </c>
      <c r="P2060">
        <v>10267853.609999999</v>
      </c>
      <c r="Q2060">
        <v>10241827.6</v>
      </c>
      <c r="R2060" s="14">
        <f>_xlfn.XLOOKUP(Table2[[#This Row],[LoanID]],Table1[G-L ID],Table1[ManagerCode],-99)</f>
        <v>103</v>
      </c>
      <c r="T2060"/>
    </row>
    <row r="2061" spans="1:20" x14ac:dyDescent="0.25">
      <c r="A2061">
        <v>20130831</v>
      </c>
      <c r="B2061">
        <v>2013</v>
      </c>
      <c r="C2061">
        <v>8</v>
      </c>
      <c r="D2061">
        <v>1</v>
      </c>
      <c r="E2061">
        <v>10980</v>
      </c>
      <c r="F2061">
        <v>183587.31</v>
      </c>
      <c r="G2061">
        <v>18302.5</v>
      </c>
      <c r="H2061">
        <v>0</v>
      </c>
      <c r="I2061">
        <v>0</v>
      </c>
      <c r="J2061">
        <v>0</v>
      </c>
      <c r="K2061">
        <v>0</v>
      </c>
      <c r="L2061">
        <v>27539060.030000001</v>
      </c>
      <c r="M2061">
        <v>27557362.530000001</v>
      </c>
      <c r="N2061">
        <v>27539060.030000001</v>
      </c>
      <c r="O2061">
        <v>27557362.530000001</v>
      </c>
      <c r="P2061">
        <v>27539060.030000001</v>
      </c>
      <c r="Q2061">
        <v>27557362.530000001</v>
      </c>
      <c r="R2061" s="14">
        <f>_xlfn.XLOOKUP(Table2[[#This Row],[LoanID]],Table1[G-L ID],Table1[ManagerCode],-99)</f>
        <v>183</v>
      </c>
      <c r="T2061"/>
    </row>
    <row r="2062" spans="1:20" x14ac:dyDescent="0.25">
      <c r="A2062">
        <v>20130831</v>
      </c>
      <c r="B2062">
        <v>2013</v>
      </c>
      <c r="C2062">
        <v>8</v>
      </c>
      <c r="D2062">
        <v>1</v>
      </c>
      <c r="E2062">
        <v>11020</v>
      </c>
      <c r="F2062">
        <v>108500</v>
      </c>
      <c r="G2062">
        <v>0</v>
      </c>
      <c r="H2062">
        <v>0</v>
      </c>
      <c r="I2062">
        <v>0</v>
      </c>
      <c r="J2062">
        <v>0</v>
      </c>
      <c r="K2062">
        <v>0</v>
      </c>
      <c r="L2062">
        <v>12000000</v>
      </c>
      <c r="M2062">
        <v>12000000</v>
      </c>
      <c r="N2062">
        <v>12000000</v>
      </c>
      <c r="O2062">
        <v>12000000</v>
      </c>
      <c r="P2062">
        <v>12000000</v>
      </c>
      <c r="Q2062">
        <v>12000000</v>
      </c>
      <c r="R2062" s="14">
        <f>_xlfn.XLOOKUP(Table2[[#This Row],[LoanID]],Table1[G-L ID],Table1[ManagerCode],-99)</f>
        <v>119</v>
      </c>
      <c r="T2062"/>
    </row>
    <row r="2063" spans="1:20" x14ac:dyDescent="0.25">
      <c r="A2063">
        <v>20130831</v>
      </c>
      <c r="B2063">
        <v>2013</v>
      </c>
      <c r="C2063">
        <v>8</v>
      </c>
      <c r="D2063">
        <v>1</v>
      </c>
      <c r="E2063">
        <v>11050</v>
      </c>
      <c r="F2063">
        <v>460364</v>
      </c>
      <c r="G2063">
        <v>0</v>
      </c>
      <c r="H2063">
        <v>0</v>
      </c>
      <c r="I2063">
        <v>0</v>
      </c>
      <c r="J2063">
        <v>-1977378</v>
      </c>
      <c r="K2063">
        <v>0</v>
      </c>
      <c r="L2063">
        <v>22182064.98</v>
      </c>
      <c r="M2063">
        <v>24159442.98</v>
      </c>
      <c r="N2063">
        <v>22182064.98</v>
      </c>
      <c r="O2063">
        <v>24159442.98</v>
      </c>
      <c r="P2063">
        <v>22182064.98</v>
      </c>
      <c r="Q2063">
        <v>24159442.98</v>
      </c>
      <c r="R2063" s="14">
        <f>_xlfn.XLOOKUP(Table2[[#This Row],[LoanID]],Table1[G-L ID],Table1[ManagerCode],-99)</f>
        <v>220</v>
      </c>
      <c r="T2063"/>
    </row>
    <row r="2064" spans="1:20" x14ac:dyDescent="0.25">
      <c r="A2064">
        <v>20130831</v>
      </c>
      <c r="B2064">
        <v>2013</v>
      </c>
      <c r="C2064">
        <v>8</v>
      </c>
      <c r="D2064">
        <v>1</v>
      </c>
      <c r="E2064">
        <v>11070</v>
      </c>
      <c r="F2064">
        <v>144953.60000000001</v>
      </c>
      <c r="G2064">
        <v>0</v>
      </c>
      <c r="H2064">
        <v>0</v>
      </c>
      <c r="I2064">
        <v>0</v>
      </c>
      <c r="J2064">
        <v>0</v>
      </c>
      <c r="K2064">
        <v>11540.85</v>
      </c>
      <c r="L2064">
        <v>13910778.289999999</v>
      </c>
      <c r="M2064">
        <v>13901545.630000001</v>
      </c>
      <c r="N2064">
        <v>13910778.289999999</v>
      </c>
      <c r="O2064">
        <v>13901545.630000001</v>
      </c>
      <c r="P2064">
        <v>17388455.469999999</v>
      </c>
      <c r="Q2064">
        <v>17376914.620000001</v>
      </c>
      <c r="R2064" s="14">
        <f>_xlfn.XLOOKUP(Table2[[#This Row],[LoanID]],Table1[G-L ID],Table1[ManagerCode],-99)</f>
        <v>103</v>
      </c>
      <c r="T2064"/>
    </row>
    <row r="2065" spans="1:20" x14ac:dyDescent="0.25">
      <c r="A2065">
        <v>20130831</v>
      </c>
      <c r="B2065">
        <v>2013</v>
      </c>
      <c r="C2065">
        <v>8</v>
      </c>
      <c r="D2065">
        <v>1</v>
      </c>
      <c r="E2065">
        <v>11110</v>
      </c>
      <c r="F2065">
        <v>101158.23</v>
      </c>
      <c r="G2065">
        <v>0</v>
      </c>
      <c r="H2065">
        <v>0</v>
      </c>
      <c r="I2065">
        <v>0</v>
      </c>
      <c r="J2065">
        <v>0</v>
      </c>
      <c r="K2065">
        <v>0</v>
      </c>
      <c r="L2065">
        <v>14017303.49</v>
      </c>
      <c r="M2065">
        <v>14017303.49</v>
      </c>
      <c r="N2065">
        <v>14017303.49</v>
      </c>
      <c r="O2065">
        <v>14017303.49</v>
      </c>
      <c r="P2065">
        <v>14017303.49</v>
      </c>
      <c r="Q2065">
        <v>14017303.49</v>
      </c>
      <c r="R2065" s="14">
        <f>_xlfn.XLOOKUP(Table2[[#This Row],[LoanID]],Table1[G-L ID],Table1[ManagerCode],-99)</f>
        <v>183</v>
      </c>
      <c r="T2065"/>
    </row>
    <row r="2066" spans="1:20" x14ac:dyDescent="0.25">
      <c r="A2066">
        <v>20130831</v>
      </c>
      <c r="B2066">
        <v>2013</v>
      </c>
      <c r="C2066">
        <v>8</v>
      </c>
      <c r="D2066">
        <v>1</v>
      </c>
      <c r="E2066">
        <v>11140</v>
      </c>
      <c r="F2066">
        <v>576975.13</v>
      </c>
      <c r="G2066">
        <v>0</v>
      </c>
      <c r="H2066">
        <v>0</v>
      </c>
      <c r="I2066">
        <v>0</v>
      </c>
      <c r="J2066">
        <v>0</v>
      </c>
      <c r="K2066">
        <v>0</v>
      </c>
      <c r="L2066">
        <v>71711993.859999999</v>
      </c>
      <c r="M2066">
        <v>71711993.859999999</v>
      </c>
      <c r="N2066">
        <v>71711993.859999999</v>
      </c>
      <c r="O2066">
        <v>71711993.859999999</v>
      </c>
      <c r="P2066">
        <v>72436285</v>
      </c>
      <c r="Q2066">
        <v>72436285</v>
      </c>
      <c r="R2066" s="14">
        <f>_xlfn.XLOOKUP(Table2[[#This Row],[LoanID]],Table1[G-L ID],Table1[ManagerCode],-99)</f>
        <v>103</v>
      </c>
      <c r="T2066"/>
    </row>
    <row r="2067" spans="1:20" x14ac:dyDescent="0.25">
      <c r="A2067">
        <v>20130831</v>
      </c>
      <c r="B2067">
        <v>2013</v>
      </c>
      <c r="C2067">
        <v>8</v>
      </c>
      <c r="D2067">
        <v>1</v>
      </c>
      <c r="E2067">
        <v>11190</v>
      </c>
      <c r="F2067">
        <v>1343654.01</v>
      </c>
      <c r="G2067">
        <v>0</v>
      </c>
      <c r="H2067">
        <v>0</v>
      </c>
      <c r="I2067">
        <v>-1722.05</v>
      </c>
      <c r="J2067">
        <v>0</v>
      </c>
      <c r="K2067">
        <v>0</v>
      </c>
      <c r="L2067">
        <v>197971123.19999999</v>
      </c>
      <c r="M2067">
        <v>197971123.19999999</v>
      </c>
      <c r="N2067">
        <v>197971123.19999999</v>
      </c>
      <c r="O2067">
        <v>197971123.19999999</v>
      </c>
      <c r="P2067">
        <v>199970831.5</v>
      </c>
      <c r="Q2067">
        <v>199970831.5</v>
      </c>
      <c r="R2067" s="14">
        <f>_xlfn.XLOOKUP(Table2[[#This Row],[LoanID]],Table1[G-L ID],Table1[ManagerCode],-99)</f>
        <v>103</v>
      </c>
      <c r="T2067"/>
    </row>
    <row r="2068" spans="1:20" x14ac:dyDescent="0.25">
      <c r="A2068">
        <v>20130831</v>
      </c>
      <c r="B2068">
        <v>2013</v>
      </c>
      <c r="C2068">
        <v>8</v>
      </c>
      <c r="D2068">
        <v>1</v>
      </c>
      <c r="E2068">
        <v>11220</v>
      </c>
      <c r="F2068">
        <v>311937.5</v>
      </c>
      <c r="G2068">
        <v>0</v>
      </c>
      <c r="H2068">
        <v>0</v>
      </c>
      <c r="I2068">
        <v>0</v>
      </c>
      <c r="J2068">
        <v>0</v>
      </c>
      <c r="K2068">
        <v>0</v>
      </c>
      <c r="L2068">
        <v>34500000</v>
      </c>
      <c r="M2068">
        <v>34500000</v>
      </c>
      <c r="N2068">
        <v>34500000</v>
      </c>
      <c r="O2068">
        <v>34500000</v>
      </c>
      <c r="P2068">
        <v>34500000</v>
      </c>
      <c r="Q2068">
        <v>34500000</v>
      </c>
      <c r="R2068" s="14">
        <f>_xlfn.XLOOKUP(Table2[[#This Row],[LoanID]],Table1[G-L ID],Table1[ManagerCode],-99)</f>
        <v>220</v>
      </c>
      <c r="T2068"/>
    </row>
    <row r="2069" spans="1:20" x14ac:dyDescent="0.25">
      <c r="A2069">
        <v>20130831</v>
      </c>
      <c r="B2069">
        <v>2013</v>
      </c>
      <c r="C2069">
        <v>8</v>
      </c>
      <c r="D2069">
        <v>1</v>
      </c>
      <c r="E2069">
        <v>11230</v>
      </c>
      <c r="F2069">
        <v>245405.57</v>
      </c>
      <c r="G2069">
        <v>0</v>
      </c>
      <c r="H2069">
        <v>0</v>
      </c>
      <c r="I2069">
        <v>0</v>
      </c>
      <c r="J2069">
        <v>0</v>
      </c>
      <c r="K2069">
        <v>0</v>
      </c>
      <c r="L2069">
        <v>175436664</v>
      </c>
      <c r="M2069">
        <v>175436664</v>
      </c>
      <c r="N2069">
        <v>175436664</v>
      </c>
      <c r="O2069">
        <v>175436664</v>
      </c>
      <c r="P2069">
        <v>194929626.59999999</v>
      </c>
      <c r="Q2069">
        <v>194929626.59999999</v>
      </c>
      <c r="R2069" s="14">
        <f>_xlfn.XLOOKUP(Table2[[#This Row],[LoanID]],Table1[G-L ID],Table1[ManagerCode],-99)</f>
        <v>103</v>
      </c>
      <c r="T2069"/>
    </row>
    <row r="2070" spans="1:20" x14ac:dyDescent="0.25">
      <c r="A2070">
        <v>20130831</v>
      </c>
      <c r="B2070">
        <v>2013</v>
      </c>
      <c r="C2070">
        <v>8</v>
      </c>
      <c r="D2070">
        <v>1</v>
      </c>
      <c r="E2070">
        <v>11320</v>
      </c>
      <c r="F2070">
        <v>98088.29</v>
      </c>
      <c r="G2070">
        <v>0</v>
      </c>
      <c r="H2070">
        <v>0</v>
      </c>
      <c r="I2070">
        <v>0</v>
      </c>
      <c r="J2070">
        <v>0</v>
      </c>
      <c r="K2070">
        <v>0</v>
      </c>
      <c r="L2070">
        <v>12000000</v>
      </c>
      <c r="M2070">
        <v>12000000</v>
      </c>
      <c r="N2070">
        <v>12000000</v>
      </c>
      <c r="O2070">
        <v>12000000</v>
      </c>
      <c r="P2070">
        <v>12000000</v>
      </c>
      <c r="Q2070">
        <v>12000000</v>
      </c>
      <c r="R2070" s="14">
        <f>_xlfn.XLOOKUP(Table2[[#This Row],[LoanID]],Table1[G-L ID],Table1[ManagerCode],-99)</f>
        <v>119</v>
      </c>
      <c r="T2070"/>
    </row>
    <row r="2071" spans="1:20" x14ac:dyDescent="0.25">
      <c r="A2071">
        <v>20130831</v>
      </c>
      <c r="B2071">
        <v>2013</v>
      </c>
      <c r="C2071">
        <v>8</v>
      </c>
      <c r="D2071">
        <v>1</v>
      </c>
      <c r="E2071">
        <v>11340</v>
      </c>
      <c r="F2071">
        <v>301388.89</v>
      </c>
      <c r="G2071">
        <v>0</v>
      </c>
      <c r="H2071">
        <v>0</v>
      </c>
      <c r="I2071">
        <v>0</v>
      </c>
      <c r="J2071">
        <v>0</v>
      </c>
      <c r="K2071">
        <v>0</v>
      </c>
      <c r="L2071">
        <v>49500000</v>
      </c>
      <c r="M2071">
        <v>49500000</v>
      </c>
      <c r="N2071">
        <v>49500000</v>
      </c>
      <c r="O2071">
        <v>49500000</v>
      </c>
      <c r="P2071">
        <v>50000000</v>
      </c>
      <c r="Q2071">
        <v>50000000</v>
      </c>
      <c r="R2071" s="14">
        <f>_xlfn.XLOOKUP(Table2[[#This Row],[LoanID]],Table1[G-L ID],Table1[ManagerCode],-99)</f>
        <v>103</v>
      </c>
      <c r="T2071"/>
    </row>
    <row r="2072" spans="1:20" x14ac:dyDescent="0.25">
      <c r="A2072">
        <v>20130831</v>
      </c>
      <c r="B2072">
        <v>2013</v>
      </c>
      <c r="C2072">
        <v>8</v>
      </c>
      <c r="D2072">
        <v>1</v>
      </c>
      <c r="E2072">
        <v>11350</v>
      </c>
      <c r="F2072">
        <v>331527.78000000003</v>
      </c>
      <c r="G2072">
        <v>0</v>
      </c>
      <c r="H2072">
        <v>0</v>
      </c>
      <c r="I2072">
        <v>0</v>
      </c>
      <c r="J2072">
        <v>0</v>
      </c>
      <c r="K2072">
        <v>0</v>
      </c>
      <c r="L2072">
        <v>54449945.549999997</v>
      </c>
      <c r="M2072">
        <v>54449945.549999997</v>
      </c>
      <c r="N2072">
        <v>54449945.549999997</v>
      </c>
      <c r="O2072">
        <v>54449945.549999997</v>
      </c>
      <c r="P2072">
        <v>55000000</v>
      </c>
      <c r="Q2072">
        <v>55000000</v>
      </c>
      <c r="R2072" s="14">
        <f>_xlfn.XLOOKUP(Table2[[#This Row],[LoanID]],Table1[G-L ID],Table1[ManagerCode],-99)</f>
        <v>103</v>
      </c>
      <c r="T2072"/>
    </row>
    <row r="2073" spans="1:20" x14ac:dyDescent="0.25">
      <c r="A2073">
        <v>20130831</v>
      </c>
      <c r="B2073">
        <v>2013</v>
      </c>
      <c r="C2073">
        <v>8</v>
      </c>
      <c r="D2073">
        <v>1</v>
      </c>
      <c r="E2073">
        <v>11390</v>
      </c>
      <c r="F2073">
        <v>141265.28</v>
      </c>
      <c r="G2073">
        <v>0</v>
      </c>
      <c r="H2073">
        <v>0</v>
      </c>
      <c r="I2073">
        <v>0</v>
      </c>
      <c r="J2073">
        <v>-1180000</v>
      </c>
      <c r="K2073">
        <v>0</v>
      </c>
      <c r="L2073">
        <v>23820000</v>
      </c>
      <c r="M2073">
        <v>25000000</v>
      </c>
      <c r="N2073">
        <v>23820000</v>
      </c>
      <c r="O2073">
        <v>25000000</v>
      </c>
      <c r="P2073">
        <v>23820000</v>
      </c>
      <c r="Q2073">
        <v>25000000</v>
      </c>
      <c r="R2073" s="14">
        <f>_xlfn.XLOOKUP(Table2[[#This Row],[LoanID]],Table1[G-L ID],Table1[ManagerCode],-99)</f>
        <v>220</v>
      </c>
      <c r="T2073"/>
    </row>
    <row r="2074" spans="1:20" x14ac:dyDescent="0.25">
      <c r="A2074">
        <v>20130831</v>
      </c>
      <c r="B2074">
        <v>2013</v>
      </c>
      <c r="C2074">
        <v>8</v>
      </c>
      <c r="D2074">
        <v>1</v>
      </c>
      <c r="E2074">
        <v>11460</v>
      </c>
      <c r="F2074">
        <v>381.14</v>
      </c>
      <c r="G2074">
        <v>122090.8</v>
      </c>
      <c r="H2074">
        <v>0</v>
      </c>
      <c r="I2074">
        <v>0</v>
      </c>
      <c r="J2074">
        <v>0</v>
      </c>
      <c r="K2074">
        <v>0</v>
      </c>
      <c r="L2074">
        <v>10864359.800000001</v>
      </c>
      <c r="M2074">
        <v>10986450.6</v>
      </c>
      <c r="N2074">
        <v>10864359.800000001</v>
      </c>
      <c r="O2074">
        <v>10986450.6</v>
      </c>
      <c r="P2074">
        <v>10864359.800000001</v>
      </c>
      <c r="Q2074">
        <v>10986450.6</v>
      </c>
      <c r="R2074" s="14">
        <f>_xlfn.XLOOKUP(Table2[[#This Row],[LoanID]],Table1[G-L ID],Table1[ManagerCode],-99)</f>
        <v>183</v>
      </c>
      <c r="T2074"/>
    </row>
    <row r="2075" spans="1:20" x14ac:dyDescent="0.25">
      <c r="A2075">
        <v>20130831</v>
      </c>
      <c r="B2075">
        <v>2013</v>
      </c>
      <c r="C2075">
        <v>8</v>
      </c>
      <c r="D2075">
        <v>1</v>
      </c>
      <c r="E2075">
        <v>11560</v>
      </c>
      <c r="F2075">
        <v>77161.22</v>
      </c>
      <c r="G2075">
        <v>-208559.14</v>
      </c>
      <c r="H2075">
        <v>0</v>
      </c>
      <c r="I2075">
        <v>0</v>
      </c>
      <c r="J2075">
        <v>0</v>
      </c>
      <c r="K2075">
        <v>0</v>
      </c>
      <c r="L2075">
        <v>14018652.529999999</v>
      </c>
      <c r="M2075">
        <v>13810093.390000001</v>
      </c>
      <c r="N2075">
        <v>14018652.529999999</v>
      </c>
      <c r="O2075">
        <v>13810093.390000001</v>
      </c>
      <c r="P2075">
        <v>14018652.529999999</v>
      </c>
      <c r="Q2075">
        <v>13810093.390000001</v>
      </c>
      <c r="R2075" s="14">
        <f>_xlfn.XLOOKUP(Table2[[#This Row],[LoanID]],Table1[G-L ID],Table1[ManagerCode],-99)</f>
        <v>183</v>
      </c>
      <c r="T2075"/>
    </row>
    <row r="2076" spans="1:20" x14ac:dyDescent="0.25">
      <c r="A2076">
        <v>20130831</v>
      </c>
      <c r="B2076">
        <v>2013</v>
      </c>
      <c r="C2076">
        <v>8</v>
      </c>
      <c r="D2076">
        <v>1</v>
      </c>
      <c r="E2076">
        <v>11620</v>
      </c>
      <c r="F2076">
        <v>62602.76</v>
      </c>
      <c r="G2076">
        <v>27634.37</v>
      </c>
      <c r="H2076">
        <v>0</v>
      </c>
      <c r="I2076">
        <v>0</v>
      </c>
      <c r="J2076">
        <v>-500208</v>
      </c>
      <c r="K2076">
        <v>0</v>
      </c>
      <c r="L2076">
        <v>7836088.0800000001</v>
      </c>
      <c r="M2076">
        <v>8363930.4500000002</v>
      </c>
      <c r="N2076">
        <v>7836088.0800000001</v>
      </c>
      <c r="O2076">
        <v>8363930.4500000002</v>
      </c>
      <c r="P2076">
        <v>7836088.0800000001</v>
      </c>
      <c r="Q2076">
        <v>8363930.4500000002</v>
      </c>
      <c r="R2076" s="14">
        <f>_xlfn.XLOOKUP(Table2[[#This Row],[LoanID]],Table1[G-L ID],Table1[ManagerCode],-99)</f>
        <v>183</v>
      </c>
      <c r="T2076"/>
    </row>
    <row r="2077" spans="1:20" x14ac:dyDescent="0.25">
      <c r="A2077">
        <v>20130831</v>
      </c>
      <c r="B2077">
        <v>2013</v>
      </c>
      <c r="C2077">
        <v>8</v>
      </c>
      <c r="D2077">
        <v>1</v>
      </c>
      <c r="E2077">
        <v>11650</v>
      </c>
      <c r="F2077">
        <v>75000</v>
      </c>
      <c r="G2077">
        <v>0</v>
      </c>
      <c r="H2077">
        <v>0</v>
      </c>
      <c r="I2077">
        <v>0</v>
      </c>
      <c r="J2077">
        <v>0</v>
      </c>
      <c r="K2077">
        <v>0</v>
      </c>
      <c r="L2077">
        <v>9600000</v>
      </c>
      <c r="M2077">
        <v>9600000</v>
      </c>
      <c r="N2077">
        <v>9600000</v>
      </c>
      <c r="O2077">
        <v>9600000</v>
      </c>
      <c r="P2077">
        <v>12000000</v>
      </c>
      <c r="Q2077">
        <v>12000000</v>
      </c>
      <c r="R2077" s="14">
        <f>_xlfn.XLOOKUP(Table2[[#This Row],[LoanID]],Table1[G-L ID],Table1[ManagerCode],-99)</f>
        <v>103</v>
      </c>
      <c r="T2077"/>
    </row>
    <row r="2078" spans="1:20" x14ac:dyDescent="0.25">
      <c r="A2078">
        <v>20130831</v>
      </c>
      <c r="B2078">
        <v>2013</v>
      </c>
      <c r="C2078">
        <v>8</v>
      </c>
      <c r="D2078">
        <v>1</v>
      </c>
      <c r="E2078">
        <v>11670</v>
      </c>
      <c r="F2078">
        <v>188333.33</v>
      </c>
      <c r="G2078">
        <v>154686.51999999999</v>
      </c>
      <c r="H2078">
        <v>0</v>
      </c>
      <c r="I2078">
        <v>0</v>
      </c>
      <c r="J2078">
        <v>0</v>
      </c>
      <c r="K2078">
        <v>0</v>
      </c>
      <c r="L2078">
        <v>29401701.34</v>
      </c>
      <c r="M2078">
        <v>29556387.859999999</v>
      </c>
      <c r="N2078">
        <v>29401701.34</v>
      </c>
      <c r="O2078">
        <v>29556387.859999999</v>
      </c>
      <c r="P2078">
        <v>29401701.34</v>
      </c>
      <c r="Q2078">
        <v>29556387.859999999</v>
      </c>
      <c r="R2078" s="14">
        <f>_xlfn.XLOOKUP(Table2[[#This Row],[LoanID]],Table1[G-L ID],Table1[ManagerCode],-99)</f>
        <v>183</v>
      </c>
      <c r="T2078"/>
    </row>
    <row r="2079" spans="1:20" x14ac:dyDescent="0.25">
      <c r="A2079">
        <v>20130831</v>
      </c>
      <c r="B2079">
        <v>2013</v>
      </c>
      <c r="C2079">
        <v>8</v>
      </c>
      <c r="D2079">
        <v>1</v>
      </c>
      <c r="E2079">
        <v>11740</v>
      </c>
      <c r="F2079">
        <v>170500</v>
      </c>
      <c r="G2079">
        <v>0</v>
      </c>
      <c r="H2079">
        <v>0</v>
      </c>
      <c r="I2079">
        <v>0</v>
      </c>
      <c r="J2079">
        <v>0</v>
      </c>
      <c r="K2079">
        <v>0</v>
      </c>
      <c r="L2079">
        <v>18600000</v>
      </c>
      <c r="M2079">
        <v>18600000</v>
      </c>
      <c r="N2079">
        <v>18600000</v>
      </c>
      <c r="O2079">
        <v>18600000</v>
      </c>
      <c r="P2079">
        <v>18600000</v>
      </c>
      <c r="Q2079">
        <v>18600000</v>
      </c>
      <c r="R2079" s="14">
        <f>_xlfn.XLOOKUP(Table2[[#This Row],[LoanID]],Table1[G-L ID],Table1[ManagerCode],-99)</f>
        <v>183</v>
      </c>
      <c r="T2079"/>
    </row>
    <row r="2080" spans="1:20" x14ac:dyDescent="0.25">
      <c r="A2080">
        <v>20130831</v>
      </c>
      <c r="B2080">
        <v>2013</v>
      </c>
      <c r="C2080">
        <v>8</v>
      </c>
      <c r="D2080">
        <v>1</v>
      </c>
      <c r="E2080">
        <v>11770</v>
      </c>
      <c r="F2080">
        <v>501342.37</v>
      </c>
      <c r="G2080">
        <v>0</v>
      </c>
      <c r="H2080">
        <v>0</v>
      </c>
      <c r="I2080">
        <v>0</v>
      </c>
      <c r="J2080">
        <v>0</v>
      </c>
      <c r="K2080">
        <v>7558413.71</v>
      </c>
      <c r="L2080">
        <v>58220403.909999996</v>
      </c>
      <c r="M2080">
        <v>50661990.200000003</v>
      </c>
      <c r="N2080">
        <v>58220403.909999996</v>
      </c>
      <c r="O2080">
        <v>50661990.200000003</v>
      </c>
      <c r="P2080">
        <v>58220403.909999996</v>
      </c>
      <c r="Q2080">
        <v>50661990.200000003</v>
      </c>
      <c r="R2080" s="14">
        <f>_xlfn.XLOOKUP(Table2[[#This Row],[LoanID]],Table1[G-L ID],Table1[ManagerCode],-99)</f>
        <v>119</v>
      </c>
      <c r="T2080"/>
    </row>
    <row r="2081" spans="1:20" x14ac:dyDescent="0.25">
      <c r="A2081">
        <v>20130831</v>
      </c>
      <c r="B2081">
        <v>2013</v>
      </c>
      <c r="C2081">
        <v>8</v>
      </c>
      <c r="D2081">
        <v>1</v>
      </c>
      <c r="E2081">
        <v>11780</v>
      </c>
      <c r="F2081">
        <v>125249.16</v>
      </c>
      <c r="G2081">
        <v>0</v>
      </c>
      <c r="H2081">
        <v>0</v>
      </c>
      <c r="I2081">
        <v>-1115.76</v>
      </c>
      <c r="J2081">
        <v>0</v>
      </c>
      <c r="K2081">
        <v>0</v>
      </c>
      <c r="L2081">
        <v>40262654</v>
      </c>
      <c r="M2081">
        <v>40262654</v>
      </c>
      <c r="N2081">
        <v>40262654</v>
      </c>
      <c r="O2081">
        <v>40262654</v>
      </c>
      <c r="P2081">
        <v>64786446.619999997</v>
      </c>
      <c r="Q2081">
        <v>64786446.619999997</v>
      </c>
      <c r="R2081" s="14">
        <f>_xlfn.XLOOKUP(Table2[[#This Row],[LoanID]],Table1[G-L ID],Table1[ManagerCode],-99)</f>
        <v>103</v>
      </c>
      <c r="T2081"/>
    </row>
    <row r="2082" spans="1:20" x14ac:dyDescent="0.25">
      <c r="A2082">
        <v>20130831</v>
      </c>
      <c r="B2082">
        <v>2013</v>
      </c>
      <c r="C2082">
        <v>8</v>
      </c>
      <c r="D2082">
        <v>1</v>
      </c>
      <c r="E2082">
        <v>11800</v>
      </c>
      <c r="F2082">
        <v>158201.53</v>
      </c>
      <c r="G2082">
        <v>0</v>
      </c>
      <c r="H2082">
        <v>0</v>
      </c>
      <c r="I2082">
        <v>-266.2</v>
      </c>
      <c r="J2082">
        <v>0</v>
      </c>
      <c r="K2082">
        <v>78183.16</v>
      </c>
      <c r="L2082">
        <v>33100241.120000001</v>
      </c>
      <c r="M2082">
        <v>32808879.649999999</v>
      </c>
      <c r="N2082">
        <v>33100241.120000001</v>
      </c>
      <c r="O2082">
        <v>32808879.649999999</v>
      </c>
      <c r="P2082">
        <v>30913328.219999999</v>
      </c>
      <c r="Q2082">
        <v>30835145.059999999</v>
      </c>
      <c r="R2082" s="14">
        <f>_xlfn.XLOOKUP(Table2[[#This Row],[LoanID]],Table1[G-L ID],Table1[ManagerCode],-99)</f>
        <v>103</v>
      </c>
      <c r="T2082"/>
    </row>
    <row r="2083" spans="1:20" x14ac:dyDescent="0.25">
      <c r="A2083">
        <v>20130831</v>
      </c>
      <c r="B2083">
        <v>2013</v>
      </c>
      <c r="C2083">
        <v>8</v>
      </c>
      <c r="D2083">
        <v>1</v>
      </c>
      <c r="E2083">
        <v>11810</v>
      </c>
      <c r="F2083">
        <v>50448.87</v>
      </c>
      <c r="G2083">
        <v>0</v>
      </c>
      <c r="H2083">
        <v>0</v>
      </c>
      <c r="I2083">
        <v>0</v>
      </c>
      <c r="J2083">
        <v>0</v>
      </c>
      <c r="K2083">
        <v>10409.219999999999</v>
      </c>
      <c r="L2083">
        <v>9761116.8000000007</v>
      </c>
      <c r="M2083">
        <v>9750811.6600000001</v>
      </c>
      <c r="N2083">
        <v>9761116.8000000007</v>
      </c>
      <c r="O2083">
        <v>9750811.6600000001</v>
      </c>
      <c r="P2083">
        <v>9859713.9299999997</v>
      </c>
      <c r="Q2083">
        <v>9849304.7100000009</v>
      </c>
      <c r="R2083" s="14">
        <f>_xlfn.XLOOKUP(Table2[[#This Row],[LoanID]],Table1[G-L ID],Table1[ManagerCode],-99)</f>
        <v>103</v>
      </c>
      <c r="T2083"/>
    </row>
    <row r="2084" spans="1:20" x14ac:dyDescent="0.25">
      <c r="A2084">
        <v>20130831</v>
      </c>
      <c r="B2084">
        <v>2013</v>
      </c>
      <c r="C2084">
        <v>8</v>
      </c>
      <c r="D2084">
        <v>1</v>
      </c>
      <c r="E2084">
        <v>11840</v>
      </c>
      <c r="F2084">
        <v>52501.8</v>
      </c>
      <c r="G2084">
        <v>82166.240000000005</v>
      </c>
      <c r="H2084">
        <v>0</v>
      </c>
      <c r="I2084">
        <v>0</v>
      </c>
      <c r="J2084">
        <v>0</v>
      </c>
      <c r="K2084">
        <v>0</v>
      </c>
      <c r="L2084">
        <v>11144941.359999999</v>
      </c>
      <c r="M2084">
        <v>11227107.6</v>
      </c>
      <c r="N2084">
        <v>11144941.359999999</v>
      </c>
      <c r="O2084">
        <v>11227107.6</v>
      </c>
      <c r="P2084">
        <v>11144941.359999999</v>
      </c>
      <c r="Q2084">
        <v>11227107.6</v>
      </c>
      <c r="R2084" s="14">
        <f>_xlfn.XLOOKUP(Table2[[#This Row],[LoanID]],Table1[G-L ID],Table1[ManagerCode],-99)</f>
        <v>183</v>
      </c>
      <c r="T2084"/>
    </row>
    <row r="2085" spans="1:20" x14ac:dyDescent="0.25">
      <c r="A2085">
        <v>20130831</v>
      </c>
      <c r="B2085">
        <v>2013</v>
      </c>
      <c r="C2085">
        <v>8</v>
      </c>
      <c r="D2085">
        <v>1</v>
      </c>
      <c r="E2085">
        <v>11880</v>
      </c>
      <c r="F2085">
        <v>22632.94</v>
      </c>
      <c r="G2085">
        <v>45496.639999999999</v>
      </c>
      <c r="H2085">
        <v>0</v>
      </c>
      <c r="I2085">
        <v>0</v>
      </c>
      <c r="J2085">
        <v>-1826539.59</v>
      </c>
      <c r="K2085">
        <v>0</v>
      </c>
      <c r="L2085">
        <v>5376179.6500000004</v>
      </c>
      <c r="M2085">
        <v>7248215.8799999999</v>
      </c>
      <c r="N2085">
        <v>5376179.6500000004</v>
      </c>
      <c r="O2085">
        <v>7248215.8799999999</v>
      </c>
      <c r="P2085">
        <v>5376179.6500000004</v>
      </c>
      <c r="Q2085">
        <v>7248215.8799999999</v>
      </c>
      <c r="R2085" s="14">
        <f>_xlfn.XLOOKUP(Table2[[#This Row],[LoanID]],Table1[G-L ID],Table1[ManagerCode],-99)</f>
        <v>183</v>
      </c>
      <c r="T2085"/>
    </row>
    <row r="2086" spans="1:20" x14ac:dyDescent="0.25">
      <c r="A2086">
        <v>20130831</v>
      </c>
      <c r="B2086">
        <v>2013</v>
      </c>
      <c r="C2086">
        <v>8</v>
      </c>
      <c r="D2086">
        <v>1</v>
      </c>
      <c r="E2086">
        <v>11970</v>
      </c>
      <c r="F2086">
        <v>82226.37</v>
      </c>
      <c r="G2086">
        <v>49217.63</v>
      </c>
      <c r="H2086">
        <v>0</v>
      </c>
      <c r="I2086">
        <v>0</v>
      </c>
      <c r="J2086">
        <v>-82226.37</v>
      </c>
      <c r="K2086">
        <v>0</v>
      </c>
      <c r="L2086">
        <v>8759116.0800000001</v>
      </c>
      <c r="M2086">
        <v>8890560.0800000001</v>
      </c>
      <c r="N2086">
        <v>8759116.0800000001</v>
      </c>
      <c r="O2086">
        <v>8890560.0800000001</v>
      </c>
      <c r="P2086">
        <v>8759116.0800000001</v>
      </c>
      <c r="Q2086">
        <v>8890560.0800000001</v>
      </c>
      <c r="R2086" s="14">
        <f>_xlfn.XLOOKUP(Table2[[#This Row],[LoanID]],Table1[G-L ID],Table1[ManagerCode],-99)</f>
        <v>183</v>
      </c>
      <c r="T2086"/>
    </row>
    <row r="2087" spans="1:20" x14ac:dyDescent="0.25">
      <c r="A2087">
        <v>20130831</v>
      </c>
      <c r="B2087">
        <v>2013</v>
      </c>
      <c r="C2087">
        <v>8</v>
      </c>
      <c r="D2087">
        <v>1</v>
      </c>
      <c r="E2087">
        <v>12020</v>
      </c>
      <c r="F2087">
        <v>64178.16</v>
      </c>
      <c r="G2087">
        <v>2019.36</v>
      </c>
      <c r="H2087">
        <v>0</v>
      </c>
      <c r="I2087">
        <v>0</v>
      </c>
      <c r="J2087">
        <v>-64178.16</v>
      </c>
      <c r="K2087">
        <v>0</v>
      </c>
      <c r="L2087">
        <v>10238980.08</v>
      </c>
      <c r="M2087">
        <v>10305177.6</v>
      </c>
      <c r="N2087">
        <v>10238980.08</v>
      </c>
      <c r="O2087">
        <v>10305177.6</v>
      </c>
      <c r="P2087">
        <v>10238980.08</v>
      </c>
      <c r="Q2087">
        <v>10305177.6</v>
      </c>
      <c r="R2087" s="14">
        <f>_xlfn.XLOOKUP(Table2[[#This Row],[LoanID]],Table1[G-L ID],Table1[ManagerCode],-99)</f>
        <v>183</v>
      </c>
      <c r="T2087"/>
    </row>
    <row r="2088" spans="1:20" x14ac:dyDescent="0.25">
      <c r="A2088">
        <v>20130831</v>
      </c>
      <c r="B2088">
        <v>2013</v>
      </c>
      <c r="C2088">
        <v>8</v>
      </c>
      <c r="D2088">
        <v>1</v>
      </c>
      <c r="E2088">
        <v>12080</v>
      </c>
      <c r="F2088">
        <v>322278.56</v>
      </c>
      <c r="G2088">
        <v>0</v>
      </c>
      <c r="H2088">
        <v>0</v>
      </c>
      <c r="I2088">
        <v>0</v>
      </c>
      <c r="J2088">
        <v>0</v>
      </c>
      <c r="K2088">
        <v>0</v>
      </c>
      <c r="L2088">
        <v>39505264.829999998</v>
      </c>
      <c r="M2088">
        <v>39505264.829999998</v>
      </c>
      <c r="N2088">
        <v>39505264.829999998</v>
      </c>
      <c r="O2088">
        <v>39505264.829999998</v>
      </c>
      <c r="P2088">
        <v>39505264.829999998</v>
      </c>
      <c r="Q2088">
        <v>39505264.829999998</v>
      </c>
      <c r="R2088" s="14">
        <f>_xlfn.XLOOKUP(Table2[[#This Row],[LoanID]],Table1[G-L ID],Table1[ManagerCode],-99)</f>
        <v>119</v>
      </c>
      <c r="T2088"/>
    </row>
    <row r="2089" spans="1:20" x14ac:dyDescent="0.25">
      <c r="A2089">
        <v>20130831</v>
      </c>
      <c r="B2089">
        <v>2013</v>
      </c>
      <c r="C2089">
        <v>8</v>
      </c>
      <c r="D2089">
        <v>1</v>
      </c>
      <c r="E2089">
        <v>12090</v>
      </c>
      <c r="F2089">
        <v>164136.39000000001</v>
      </c>
      <c r="G2089">
        <v>0</v>
      </c>
      <c r="H2089">
        <v>0</v>
      </c>
      <c r="I2089">
        <v>0</v>
      </c>
      <c r="J2089">
        <v>0</v>
      </c>
      <c r="K2089">
        <v>0</v>
      </c>
      <c r="L2089">
        <v>17500000</v>
      </c>
      <c r="M2089">
        <v>17500000</v>
      </c>
      <c r="N2089">
        <v>17500000</v>
      </c>
      <c r="O2089">
        <v>17500000</v>
      </c>
      <c r="P2089">
        <v>17500000</v>
      </c>
      <c r="Q2089">
        <v>17500000</v>
      </c>
      <c r="R2089" s="14">
        <f>_xlfn.XLOOKUP(Table2[[#This Row],[LoanID]],Table1[G-L ID],Table1[ManagerCode],-99)</f>
        <v>220</v>
      </c>
      <c r="T2089"/>
    </row>
    <row r="2090" spans="1:20" x14ac:dyDescent="0.25">
      <c r="A2090">
        <v>20130831</v>
      </c>
      <c r="B2090">
        <v>2013</v>
      </c>
      <c r="C2090">
        <v>8</v>
      </c>
      <c r="D2090">
        <v>1</v>
      </c>
      <c r="E2090">
        <v>12100</v>
      </c>
      <c r="F2090">
        <v>46378.239999999998</v>
      </c>
      <c r="G2090">
        <v>72026.34</v>
      </c>
      <c r="H2090">
        <v>0</v>
      </c>
      <c r="I2090">
        <v>0</v>
      </c>
      <c r="J2090">
        <v>-46378.239999999998</v>
      </c>
      <c r="K2090">
        <v>0</v>
      </c>
      <c r="L2090">
        <v>9784791.5399999991</v>
      </c>
      <c r="M2090">
        <v>9903196.1199999992</v>
      </c>
      <c r="N2090">
        <v>9784791.5399999991</v>
      </c>
      <c r="O2090">
        <v>9903196.1199999992</v>
      </c>
      <c r="P2090">
        <v>9784791.5399999991</v>
      </c>
      <c r="Q2090">
        <v>9903196.1199999992</v>
      </c>
      <c r="R2090" s="14">
        <f>_xlfn.XLOOKUP(Table2[[#This Row],[LoanID]],Table1[G-L ID],Table1[ManagerCode],-99)</f>
        <v>183</v>
      </c>
      <c r="T2090"/>
    </row>
    <row r="2091" spans="1:20" x14ac:dyDescent="0.25">
      <c r="A2091">
        <v>20130831</v>
      </c>
      <c r="B2091">
        <v>2013</v>
      </c>
      <c r="C2091">
        <v>8</v>
      </c>
      <c r="D2091">
        <v>1</v>
      </c>
      <c r="E2091">
        <v>12130</v>
      </c>
      <c r="F2091">
        <v>103159.01</v>
      </c>
      <c r="G2091">
        <v>0</v>
      </c>
      <c r="H2091">
        <v>0</v>
      </c>
      <c r="I2091">
        <v>0</v>
      </c>
      <c r="J2091">
        <v>-1189324.1200000001</v>
      </c>
      <c r="K2091">
        <v>0</v>
      </c>
      <c r="L2091">
        <v>12783266.43</v>
      </c>
      <c r="M2091">
        <v>13972590.550000001</v>
      </c>
      <c r="N2091">
        <v>12783266.43</v>
      </c>
      <c r="O2091">
        <v>13972590.550000001</v>
      </c>
      <c r="P2091">
        <v>12783266.43</v>
      </c>
      <c r="Q2091">
        <v>13972590.550000001</v>
      </c>
      <c r="R2091" s="14">
        <f>_xlfn.XLOOKUP(Table2[[#This Row],[LoanID]],Table1[G-L ID],Table1[ManagerCode],-99)</f>
        <v>183</v>
      </c>
      <c r="T2091"/>
    </row>
    <row r="2092" spans="1:20" x14ac:dyDescent="0.25">
      <c r="A2092">
        <v>20130831</v>
      </c>
      <c r="B2092">
        <v>2013</v>
      </c>
      <c r="C2092">
        <v>8</v>
      </c>
      <c r="D2092">
        <v>1</v>
      </c>
      <c r="E2092">
        <v>12190</v>
      </c>
      <c r="F2092">
        <v>228906.25</v>
      </c>
      <c r="G2092">
        <v>0</v>
      </c>
      <c r="H2092">
        <v>0</v>
      </c>
      <c r="I2092">
        <v>0</v>
      </c>
      <c r="J2092">
        <v>-37500000</v>
      </c>
      <c r="K2092">
        <v>0</v>
      </c>
      <c r="L2092">
        <v>0</v>
      </c>
      <c r="M2092">
        <v>37500000</v>
      </c>
      <c r="N2092">
        <v>0</v>
      </c>
      <c r="O2092">
        <v>37500000</v>
      </c>
      <c r="P2092">
        <v>0</v>
      </c>
      <c r="Q2092">
        <v>37500000</v>
      </c>
      <c r="R2092" s="14">
        <f>_xlfn.XLOOKUP(Table2[[#This Row],[LoanID]],Table1[G-L ID],Table1[ManagerCode],-99)</f>
        <v>220</v>
      </c>
      <c r="T2092"/>
    </row>
    <row r="2093" spans="1:20" x14ac:dyDescent="0.25">
      <c r="A2093">
        <v>20130831</v>
      </c>
      <c r="B2093">
        <v>2013</v>
      </c>
      <c r="C2093">
        <v>8</v>
      </c>
      <c r="D2093">
        <v>1</v>
      </c>
      <c r="E2093">
        <v>12210</v>
      </c>
      <c r="F2093">
        <v>698194.62</v>
      </c>
      <c r="G2093">
        <v>0</v>
      </c>
      <c r="H2093">
        <v>0</v>
      </c>
      <c r="I2093">
        <v>0</v>
      </c>
      <c r="J2093">
        <v>0</v>
      </c>
      <c r="K2093">
        <v>202460.51</v>
      </c>
      <c r="L2093">
        <v>132604757.09999999</v>
      </c>
      <c r="M2093">
        <v>131149384.09999999</v>
      </c>
      <c r="N2093">
        <v>132604757.09999999</v>
      </c>
      <c r="O2093">
        <v>131149384.09999999</v>
      </c>
      <c r="P2093">
        <v>112969016.2</v>
      </c>
      <c r="Q2093">
        <v>112766555.7</v>
      </c>
      <c r="R2093" s="14">
        <f>_xlfn.XLOOKUP(Table2[[#This Row],[LoanID]],Table1[G-L ID],Table1[ManagerCode],-99)</f>
        <v>103</v>
      </c>
      <c r="T2093"/>
    </row>
    <row r="2094" spans="1:20" x14ac:dyDescent="0.25">
      <c r="A2094">
        <v>20130831</v>
      </c>
      <c r="B2094">
        <v>2013</v>
      </c>
      <c r="C2094">
        <v>8</v>
      </c>
      <c r="D2094">
        <v>1</v>
      </c>
      <c r="E2094">
        <v>12230</v>
      </c>
      <c r="F2094">
        <v>283202.76</v>
      </c>
      <c r="G2094">
        <v>0</v>
      </c>
      <c r="H2094">
        <v>0</v>
      </c>
      <c r="I2094">
        <v>0</v>
      </c>
      <c r="J2094">
        <v>0</v>
      </c>
      <c r="K2094">
        <v>0</v>
      </c>
      <c r="L2094">
        <v>54675074</v>
      </c>
      <c r="M2094">
        <v>54675074</v>
      </c>
      <c r="N2094">
        <v>36451872</v>
      </c>
      <c r="O2094">
        <v>36451872</v>
      </c>
      <c r="P2094">
        <v>54675074</v>
      </c>
      <c r="Q2094">
        <v>54675074</v>
      </c>
      <c r="R2094" s="14">
        <f>_xlfn.XLOOKUP(Table2[[#This Row],[LoanID]],Table1[G-L ID],Table1[ManagerCode],-99)</f>
        <v>183</v>
      </c>
      <c r="T2094"/>
    </row>
    <row r="2095" spans="1:20" x14ac:dyDescent="0.25">
      <c r="A2095">
        <v>20130831</v>
      </c>
      <c r="B2095">
        <v>2013</v>
      </c>
      <c r="C2095">
        <v>8</v>
      </c>
      <c r="D2095">
        <v>1</v>
      </c>
      <c r="E2095">
        <v>15580</v>
      </c>
      <c r="F2095">
        <v>119479.17</v>
      </c>
      <c r="G2095">
        <v>-31.24</v>
      </c>
      <c r="H2095">
        <v>0</v>
      </c>
      <c r="I2095">
        <v>0</v>
      </c>
      <c r="J2095">
        <v>0</v>
      </c>
      <c r="K2095">
        <v>3922.14</v>
      </c>
      <c r="L2095">
        <v>15119479.17</v>
      </c>
      <c r="M2095">
        <v>15115525.789999999</v>
      </c>
      <c r="N2095">
        <v>15119479.17</v>
      </c>
      <c r="O2095">
        <v>15115525.789999999</v>
      </c>
      <c r="P2095">
        <v>15119479.17</v>
      </c>
      <c r="Q2095">
        <v>15115525.789999999</v>
      </c>
      <c r="R2095" s="14">
        <f>_xlfn.XLOOKUP(Table2[[#This Row],[LoanID]],Table1[G-L ID],Table1[ManagerCode],-99)</f>
        <v>212</v>
      </c>
      <c r="T2095"/>
    </row>
    <row r="2096" spans="1:20" x14ac:dyDescent="0.25">
      <c r="A2096">
        <v>20130930</v>
      </c>
      <c r="B2096">
        <v>2013</v>
      </c>
      <c r="C2096">
        <v>9</v>
      </c>
      <c r="D2096">
        <v>1</v>
      </c>
      <c r="E2096">
        <v>10050</v>
      </c>
      <c r="F2096">
        <v>153981.01999999999</v>
      </c>
      <c r="G2096">
        <v>0</v>
      </c>
      <c r="H2096">
        <v>0</v>
      </c>
      <c r="I2096">
        <v>0</v>
      </c>
      <c r="J2096">
        <v>0</v>
      </c>
      <c r="K2096">
        <v>0</v>
      </c>
      <c r="L2096">
        <v>35687954.960000001</v>
      </c>
      <c r="M2096">
        <v>36218963.530000001</v>
      </c>
      <c r="N2096">
        <v>35687954.960000001</v>
      </c>
      <c r="O2096">
        <v>36218963.530000001</v>
      </c>
      <c r="P2096">
        <v>33333334</v>
      </c>
      <c r="Q2096">
        <v>33333334</v>
      </c>
      <c r="R2096" s="14">
        <f>_xlfn.XLOOKUP(Table2[[#This Row],[LoanID]],Table1[G-L ID],Table1[ManagerCode],-99)</f>
        <v>103</v>
      </c>
      <c r="T2096"/>
    </row>
    <row r="2097" spans="1:20" x14ac:dyDescent="0.25">
      <c r="A2097">
        <v>20130930</v>
      </c>
      <c r="B2097">
        <v>2013</v>
      </c>
      <c r="C2097">
        <v>9</v>
      </c>
      <c r="D2097">
        <v>1</v>
      </c>
      <c r="E2097">
        <v>10060</v>
      </c>
      <c r="F2097">
        <v>120833.33</v>
      </c>
      <c r="G2097">
        <v>0</v>
      </c>
      <c r="H2097">
        <v>0</v>
      </c>
      <c r="I2097">
        <v>0</v>
      </c>
      <c r="J2097">
        <v>0</v>
      </c>
      <c r="K2097">
        <v>0</v>
      </c>
      <c r="L2097">
        <v>19000000</v>
      </c>
      <c r="M2097">
        <v>19000000</v>
      </c>
      <c r="N2097">
        <v>19000000</v>
      </c>
      <c r="O2097">
        <v>19000000</v>
      </c>
      <c r="P2097">
        <v>20000000</v>
      </c>
      <c r="Q2097">
        <v>20000000</v>
      </c>
      <c r="R2097" s="14">
        <f>_xlfn.XLOOKUP(Table2[[#This Row],[LoanID]],Table1[G-L ID],Table1[ManagerCode],-99)</f>
        <v>103</v>
      </c>
      <c r="T2097"/>
    </row>
    <row r="2098" spans="1:20" x14ac:dyDescent="0.25">
      <c r="A2098">
        <v>20130930</v>
      </c>
      <c r="B2098">
        <v>2013</v>
      </c>
      <c r="C2098">
        <v>9</v>
      </c>
      <c r="D2098">
        <v>1</v>
      </c>
      <c r="E2098">
        <v>10080</v>
      </c>
      <c r="F2098">
        <v>351042.71</v>
      </c>
      <c r="G2098">
        <v>0</v>
      </c>
      <c r="H2098">
        <v>0</v>
      </c>
      <c r="I2098">
        <v>-164.9</v>
      </c>
      <c r="J2098">
        <v>0</v>
      </c>
      <c r="K2098">
        <v>0</v>
      </c>
      <c r="L2098">
        <v>74249925.75</v>
      </c>
      <c r="M2098">
        <v>74249925.75</v>
      </c>
      <c r="N2098">
        <v>74249925.75</v>
      </c>
      <c r="O2098">
        <v>74249925.75</v>
      </c>
      <c r="P2098">
        <v>75000000</v>
      </c>
      <c r="Q2098">
        <v>75000000</v>
      </c>
      <c r="R2098" s="14">
        <f>_xlfn.XLOOKUP(Table2[[#This Row],[LoanID]],Table1[G-L ID],Table1[ManagerCode],-99)</f>
        <v>103</v>
      </c>
      <c r="T2098"/>
    </row>
    <row r="2099" spans="1:20" x14ac:dyDescent="0.25">
      <c r="A2099">
        <v>20130930</v>
      </c>
      <c r="B2099">
        <v>2013</v>
      </c>
      <c r="C2099">
        <v>9</v>
      </c>
      <c r="D2099">
        <v>1</v>
      </c>
      <c r="E2099">
        <v>10170</v>
      </c>
      <c r="F2099">
        <v>240588.17</v>
      </c>
      <c r="G2099">
        <v>0</v>
      </c>
      <c r="H2099">
        <v>0</v>
      </c>
      <c r="I2099">
        <v>-1152.98</v>
      </c>
      <c r="J2099">
        <v>0</v>
      </c>
      <c r="K2099">
        <v>73885.72</v>
      </c>
      <c r="L2099">
        <v>46634959.299999997</v>
      </c>
      <c r="M2099">
        <v>46433409.57</v>
      </c>
      <c r="N2099">
        <v>46634959.299999997</v>
      </c>
      <c r="O2099">
        <v>46433409.57</v>
      </c>
      <c r="P2099">
        <v>44631423.82</v>
      </c>
      <c r="Q2099">
        <v>44557538.100000001</v>
      </c>
      <c r="R2099" s="14">
        <f>_xlfn.XLOOKUP(Table2[[#This Row],[LoanID]],Table1[G-L ID],Table1[ManagerCode],-99)</f>
        <v>103</v>
      </c>
      <c r="T2099"/>
    </row>
    <row r="2100" spans="1:20" x14ac:dyDescent="0.25">
      <c r="A2100">
        <v>20130930</v>
      </c>
      <c r="B2100">
        <v>2013</v>
      </c>
      <c r="C2100">
        <v>9</v>
      </c>
      <c r="D2100">
        <v>1</v>
      </c>
      <c r="E2100">
        <v>10190</v>
      </c>
      <c r="F2100">
        <v>20547.95</v>
      </c>
      <c r="G2100">
        <v>0</v>
      </c>
      <c r="H2100">
        <v>0</v>
      </c>
      <c r="I2100">
        <v>0</v>
      </c>
      <c r="J2100">
        <v>-10000000</v>
      </c>
      <c r="K2100">
        <v>0</v>
      </c>
      <c r="L2100">
        <v>0</v>
      </c>
      <c r="M2100">
        <v>9500000</v>
      </c>
      <c r="N2100">
        <v>0</v>
      </c>
      <c r="O2100">
        <v>9500000</v>
      </c>
      <c r="P2100">
        <v>0</v>
      </c>
      <c r="Q2100">
        <v>10000000</v>
      </c>
      <c r="R2100" s="14">
        <f>_xlfn.XLOOKUP(Table2[[#This Row],[LoanID]],Table1[G-L ID],Table1[ManagerCode],-99)</f>
        <v>103</v>
      </c>
      <c r="T2100"/>
    </row>
    <row r="2101" spans="1:20" x14ac:dyDescent="0.25">
      <c r="A2101">
        <v>20130930</v>
      </c>
      <c r="B2101">
        <v>2013</v>
      </c>
      <c r="C2101">
        <v>9</v>
      </c>
      <c r="D2101">
        <v>1</v>
      </c>
      <c r="E2101">
        <v>10200</v>
      </c>
      <c r="F2101">
        <v>63390.41</v>
      </c>
      <c r="G2101">
        <v>0</v>
      </c>
      <c r="H2101">
        <v>0</v>
      </c>
      <c r="I2101">
        <v>0</v>
      </c>
      <c r="J2101">
        <v>-30850000</v>
      </c>
      <c r="K2101">
        <v>0</v>
      </c>
      <c r="L2101">
        <v>0</v>
      </c>
      <c r="M2101">
        <v>29307500</v>
      </c>
      <c r="N2101">
        <v>0</v>
      </c>
      <c r="O2101">
        <v>29307500</v>
      </c>
      <c r="P2101">
        <v>0</v>
      </c>
      <c r="Q2101">
        <v>30850000</v>
      </c>
      <c r="R2101" s="14">
        <f>_xlfn.XLOOKUP(Table2[[#This Row],[LoanID]],Table1[G-L ID],Table1[ManagerCode],-99)</f>
        <v>103</v>
      </c>
      <c r="T2101"/>
    </row>
    <row r="2102" spans="1:20" x14ac:dyDescent="0.25">
      <c r="A2102">
        <v>20130930</v>
      </c>
      <c r="B2102">
        <v>2013</v>
      </c>
      <c r="C2102">
        <v>9</v>
      </c>
      <c r="D2102">
        <v>1</v>
      </c>
      <c r="E2102">
        <v>10220</v>
      </c>
      <c r="F2102">
        <v>0</v>
      </c>
      <c r="G2102">
        <v>0</v>
      </c>
      <c r="H2102">
        <v>0</v>
      </c>
      <c r="I2102">
        <v>0</v>
      </c>
      <c r="J2102">
        <v>0</v>
      </c>
      <c r="K2102">
        <v>0</v>
      </c>
      <c r="L2102">
        <v>99000000</v>
      </c>
      <c r="M2102">
        <v>99000000</v>
      </c>
      <c r="N2102">
        <v>99000000</v>
      </c>
      <c r="O2102">
        <v>99000000</v>
      </c>
      <c r="P2102">
        <v>100000000</v>
      </c>
      <c r="Q2102">
        <v>100000000</v>
      </c>
      <c r="R2102" s="14">
        <f>_xlfn.XLOOKUP(Table2[[#This Row],[LoanID]],Table1[G-L ID],Table1[ManagerCode],-99)</f>
        <v>103</v>
      </c>
      <c r="T2102"/>
    </row>
    <row r="2103" spans="1:20" x14ac:dyDescent="0.25">
      <c r="A2103">
        <v>20130930</v>
      </c>
      <c r="B2103">
        <v>2013</v>
      </c>
      <c r="C2103">
        <v>9</v>
      </c>
      <c r="D2103">
        <v>1</v>
      </c>
      <c r="E2103">
        <v>10230</v>
      </c>
      <c r="F2103">
        <v>175346.74</v>
      </c>
      <c r="G2103">
        <v>0</v>
      </c>
      <c r="H2103">
        <v>0</v>
      </c>
      <c r="I2103">
        <v>0</v>
      </c>
      <c r="J2103">
        <v>0</v>
      </c>
      <c r="K2103">
        <v>66251.33</v>
      </c>
      <c r="L2103">
        <v>29658053.199999999</v>
      </c>
      <c r="M2103">
        <v>29595114.460000001</v>
      </c>
      <c r="N2103">
        <v>29658053.199999999</v>
      </c>
      <c r="O2103">
        <v>29595114.460000001</v>
      </c>
      <c r="P2103">
        <v>31219003.379999999</v>
      </c>
      <c r="Q2103">
        <v>31152752.050000001</v>
      </c>
      <c r="R2103" s="14">
        <f>_xlfn.XLOOKUP(Table2[[#This Row],[LoanID]],Table1[G-L ID],Table1[ManagerCode],-99)</f>
        <v>103</v>
      </c>
      <c r="T2103"/>
    </row>
    <row r="2104" spans="1:20" x14ac:dyDescent="0.25">
      <c r="A2104">
        <v>20130930</v>
      </c>
      <c r="B2104">
        <v>2013</v>
      </c>
      <c r="C2104">
        <v>9</v>
      </c>
      <c r="D2104">
        <v>1</v>
      </c>
      <c r="E2104">
        <v>10280</v>
      </c>
      <c r="F2104">
        <v>181412</v>
      </c>
      <c r="G2104">
        <v>0</v>
      </c>
      <c r="H2104">
        <v>0</v>
      </c>
      <c r="I2104">
        <v>-0.02</v>
      </c>
      <c r="J2104">
        <v>0</v>
      </c>
      <c r="K2104">
        <v>0</v>
      </c>
      <c r="L2104">
        <v>34308009.329999998</v>
      </c>
      <c r="M2104">
        <v>35081743.770000003</v>
      </c>
      <c r="N2104">
        <v>34308009.329999998</v>
      </c>
      <c r="O2104">
        <v>35081743.770000003</v>
      </c>
      <c r="P2104">
        <v>35000000</v>
      </c>
      <c r="Q2104">
        <v>35000000</v>
      </c>
      <c r="R2104" s="14">
        <f>_xlfn.XLOOKUP(Table2[[#This Row],[LoanID]],Table1[G-L ID],Table1[ManagerCode],-99)</f>
        <v>103</v>
      </c>
      <c r="T2104"/>
    </row>
    <row r="2105" spans="1:20" x14ac:dyDescent="0.25">
      <c r="A2105">
        <v>20130930</v>
      </c>
      <c r="B2105">
        <v>2013</v>
      </c>
      <c r="C2105">
        <v>9</v>
      </c>
      <c r="D2105">
        <v>1</v>
      </c>
      <c r="E2105">
        <v>10290</v>
      </c>
      <c r="F2105">
        <v>171300.83</v>
      </c>
      <c r="G2105">
        <v>0</v>
      </c>
      <c r="H2105">
        <v>0</v>
      </c>
      <c r="I2105">
        <v>0</v>
      </c>
      <c r="J2105">
        <v>0</v>
      </c>
      <c r="K2105">
        <v>0</v>
      </c>
      <c r="L2105">
        <v>24750000</v>
      </c>
      <c r="M2105">
        <v>24750000</v>
      </c>
      <c r="N2105">
        <v>24750000</v>
      </c>
      <c r="O2105">
        <v>24750000</v>
      </c>
      <c r="P2105">
        <v>25000000</v>
      </c>
      <c r="Q2105">
        <v>25000000</v>
      </c>
      <c r="R2105" s="14">
        <f>_xlfn.XLOOKUP(Table2[[#This Row],[LoanID]],Table1[G-L ID],Table1[ManagerCode],-99)</f>
        <v>103</v>
      </c>
      <c r="T2105"/>
    </row>
    <row r="2106" spans="1:20" x14ac:dyDescent="0.25">
      <c r="A2106">
        <v>20130930</v>
      </c>
      <c r="B2106">
        <v>2013</v>
      </c>
      <c r="C2106">
        <v>9</v>
      </c>
      <c r="D2106">
        <v>1</v>
      </c>
      <c r="E2106">
        <v>10300</v>
      </c>
      <c r="F2106">
        <v>149887.93</v>
      </c>
      <c r="G2106">
        <v>0</v>
      </c>
      <c r="H2106">
        <v>0</v>
      </c>
      <c r="I2106">
        <v>0</v>
      </c>
      <c r="J2106">
        <v>0</v>
      </c>
      <c r="K2106">
        <v>0</v>
      </c>
      <c r="L2106">
        <v>34484015.960000001</v>
      </c>
      <c r="M2106">
        <v>34971146.210000001</v>
      </c>
      <c r="N2106">
        <v>34484015.960000001</v>
      </c>
      <c r="O2106">
        <v>34971146.210000001</v>
      </c>
      <c r="P2106">
        <v>35000000</v>
      </c>
      <c r="Q2106">
        <v>35000000</v>
      </c>
      <c r="R2106" s="14">
        <f>_xlfn.XLOOKUP(Table2[[#This Row],[LoanID]],Table1[G-L ID],Table1[ManagerCode],-99)</f>
        <v>103</v>
      </c>
      <c r="T2106"/>
    </row>
    <row r="2107" spans="1:20" x14ac:dyDescent="0.25">
      <c r="A2107">
        <v>20130930</v>
      </c>
      <c r="B2107">
        <v>2013</v>
      </c>
      <c r="C2107">
        <v>9</v>
      </c>
      <c r="D2107">
        <v>1</v>
      </c>
      <c r="E2107">
        <v>10340</v>
      </c>
      <c r="F2107">
        <v>104813.37</v>
      </c>
      <c r="G2107">
        <v>0</v>
      </c>
      <c r="H2107">
        <v>0</v>
      </c>
      <c r="I2107">
        <v>0</v>
      </c>
      <c r="J2107">
        <v>0</v>
      </c>
      <c r="K2107">
        <v>0</v>
      </c>
      <c r="L2107">
        <v>11875000</v>
      </c>
      <c r="M2107">
        <v>11875000</v>
      </c>
      <c r="N2107">
        <v>11875000</v>
      </c>
      <c r="O2107">
        <v>11875000</v>
      </c>
      <c r="P2107">
        <v>11875000</v>
      </c>
      <c r="Q2107">
        <v>11875000</v>
      </c>
      <c r="R2107" s="14">
        <f>_xlfn.XLOOKUP(Table2[[#This Row],[LoanID]],Table1[G-L ID],Table1[ManagerCode],-99)</f>
        <v>220</v>
      </c>
      <c r="T2107"/>
    </row>
    <row r="2108" spans="1:20" x14ac:dyDescent="0.25">
      <c r="A2108">
        <v>20130930</v>
      </c>
      <c r="B2108">
        <v>2013</v>
      </c>
      <c r="C2108">
        <v>9</v>
      </c>
      <c r="D2108">
        <v>1</v>
      </c>
      <c r="E2108">
        <v>10370</v>
      </c>
      <c r="F2108">
        <v>3643.5</v>
      </c>
      <c r="G2108">
        <v>0</v>
      </c>
      <c r="H2108">
        <v>0</v>
      </c>
      <c r="I2108">
        <v>0</v>
      </c>
      <c r="J2108">
        <v>0</v>
      </c>
      <c r="K2108">
        <v>40220.79</v>
      </c>
      <c r="L2108">
        <v>2071962.64</v>
      </c>
      <c r="M2108">
        <v>2033752.88</v>
      </c>
      <c r="N2108">
        <v>2071962.64</v>
      </c>
      <c r="O2108">
        <v>2033752.88</v>
      </c>
      <c r="P2108">
        <v>2181013.29</v>
      </c>
      <c r="Q2108">
        <v>2140792.5</v>
      </c>
      <c r="R2108" s="14">
        <f>_xlfn.XLOOKUP(Table2[[#This Row],[LoanID]],Table1[G-L ID],Table1[ManagerCode],-99)</f>
        <v>103</v>
      </c>
      <c r="T2108"/>
    </row>
    <row r="2109" spans="1:20" x14ac:dyDescent="0.25">
      <c r="A2109">
        <v>20130930</v>
      </c>
      <c r="B2109">
        <v>2013</v>
      </c>
      <c r="C2109">
        <v>9</v>
      </c>
      <c r="D2109">
        <v>1</v>
      </c>
      <c r="E2109">
        <v>10390</v>
      </c>
      <c r="F2109">
        <v>118750</v>
      </c>
      <c r="G2109">
        <v>0</v>
      </c>
      <c r="H2109">
        <v>0</v>
      </c>
      <c r="I2109">
        <v>0</v>
      </c>
      <c r="J2109">
        <v>0</v>
      </c>
      <c r="K2109">
        <v>0</v>
      </c>
      <c r="L2109">
        <v>23750000</v>
      </c>
      <c r="M2109">
        <v>23750000</v>
      </c>
      <c r="N2109">
        <v>23750000</v>
      </c>
      <c r="O2109">
        <v>23750000</v>
      </c>
      <c r="P2109">
        <v>24998367.23</v>
      </c>
      <c r="Q2109">
        <v>24998571.309999999</v>
      </c>
      <c r="R2109" s="14">
        <f>_xlfn.XLOOKUP(Table2[[#This Row],[LoanID]],Table1[G-L ID],Table1[ManagerCode],-99)</f>
        <v>103</v>
      </c>
      <c r="T2109"/>
    </row>
    <row r="2110" spans="1:20" x14ac:dyDescent="0.25">
      <c r="A2110">
        <v>20130930</v>
      </c>
      <c r="B2110">
        <v>2013</v>
      </c>
      <c r="C2110">
        <v>9</v>
      </c>
      <c r="D2110">
        <v>1</v>
      </c>
      <c r="E2110">
        <v>10400</v>
      </c>
      <c r="F2110">
        <v>0</v>
      </c>
      <c r="G2110">
        <v>0</v>
      </c>
      <c r="H2110">
        <v>0</v>
      </c>
      <c r="I2110">
        <v>0</v>
      </c>
      <c r="J2110">
        <v>0</v>
      </c>
      <c r="K2110">
        <v>0</v>
      </c>
      <c r="L2110">
        <v>45000000</v>
      </c>
      <c r="M2110">
        <v>45000000</v>
      </c>
      <c r="N2110">
        <v>45000000</v>
      </c>
      <c r="O2110">
        <v>45000000</v>
      </c>
      <c r="P2110">
        <v>45000000</v>
      </c>
      <c r="Q2110">
        <v>45000000</v>
      </c>
      <c r="R2110" s="14">
        <f>_xlfn.XLOOKUP(Table2[[#This Row],[LoanID]],Table1[G-L ID],Table1[ManagerCode],-99)</f>
        <v>220</v>
      </c>
      <c r="T2110"/>
    </row>
    <row r="2111" spans="1:20" x14ac:dyDescent="0.25">
      <c r="A2111">
        <v>20130930</v>
      </c>
      <c r="B2111">
        <v>2013</v>
      </c>
      <c r="C2111">
        <v>9</v>
      </c>
      <c r="D2111">
        <v>1</v>
      </c>
      <c r="E2111">
        <v>10430</v>
      </c>
      <c r="F2111">
        <v>62789.64</v>
      </c>
      <c r="G2111">
        <v>0</v>
      </c>
      <c r="H2111">
        <v>0</v>
      </c>
      <c r="I2111">
        <v>0</v>
      </c>
      <c r="J2111">
        <v>0</v>
      </c>
      <c r="K2111">
        <v>14875</v>
      </c>
      <c r="L2111">
        <v>6955375</v>
      </c>
      <c r="M2111">
        <v>6940500</v>
      </c>
      <c r="N2111">
        <v>6955375</v>
      </c>
      <c r="O2111">
        <v>6940500</v>
      </c>
      <c r="P2111">
        <v>6955375</v>
      </c>
      <c r="Q2111">
        <v>6940500</v>
      </c>
      <c r="R2111" s="14">
        <f>_xlfn.XLOOKUP(Table2[[#This Row],[LoanID]],Table1[G-L ID],Table1[ManagerCode],-99)</f>
        <v>119</v>
      </c>
      <c r="T2111"/>
    </row>
    <row r="2112" spans="1:20" x14ac:dyDescent="0.25">
      <c r="A2112">
        <v>20130930</v>
      </c>
      <c r="B2112">
        <v>2013</v>
      </c>
      <c r="C2112">
        <v>9</v>
      </c>
      <c r="D2112">
        <v>1</v>
      </c>
      <c r="E2112">
        <v>10460</v>
      </c>
      <c r="F2112">
        <v>103361.11</v>
      </c>
      <c r="G2112">
        <v>0</v>
      </c>
      <c r="H2112">
        <v>0</v>
      </c>
      <c r="I2112">
        <v>0</v>
      </c>
      <c r="J2112">
        <v>0</v>
      </c>
      <c r="K2112">
        <v>0</v>
      </c>
      <c r="L2112">
        <v>25704898.75</v>
      </c>
      <c r="M2112">
        <v>25699397.329999998</v>
      </c>
      <c r="N2112">
        <v>25704898.75</v>
      </c>
      <c r="O2112">
        <v>25699397.329999998</v>
      </c>
      <c r="P2112">
        <v>25000000.010000002</v>
      </c>
      <c r="Q2112">
        <v>25000000.010000002</v>
      </c>
      <c r="R2112" s="14">
        <f>_xlfn.XLOOKUP(Table2[[#This Row],[LoanID]],Table1[G-L ID],Table1[ManagerCode],-99)</f>
        <v>103</v>
      </c>
      <c r="T2112"/>
    </row>
    <row r="2113" spans="1:20" x14ac:dyDescent="0.25">
      <c r="A2113">
        <v>20130930</v>
      </c>
      <c r="B2113">
        <v>2013</v>
      </c>
      <c r="C2113">
        <v>9</v>
      </c>
      <c r="D2113">
        <v>1</v>
      </c>
      <c r="E2113">
        <v>10490</v>
      </c>
      <c r="F2113">
        <v>158538.1</v>
      </c>
      <c r="G2113">
        <v>0</v>
      </c>
      <c r="H2113">
        <v>0</v>
      </c>
      <c r="I2113">
        <v>0</v>
      </c>
      <c r="J2113">
        <v>0</v>
      </c>
      <c r="K2113">
        <v>0</v>
      </c>
      <c r="L2113">
        <v>17534168</v>
      </c>
      <c r="M2113">
        <v>17534168</v>
      </c>
      <c r="N2113">
        <v>17534168</v>
      </c>
      <c r="O2113">
        <v>17534168</v>
      </c>
      <c r="P2113">
        <v>17534168</v>
      </c>
      <c r="Q2113">
        <v>17534168</v>
      </c>
      <c r="R2113" s="14">
        <f>_xlfn.XLOOKUP(Table2[[#This Row],[LoanID]],Table1[G-L ID],Table1[ManagerCode],-99)</f>
        <v>220</v>
      </c>
      <c r="T2113"/>
    </row>
    <row r="2114" spans="1:20" x14ac:dyDescent="0.25">
      <c r="A2114">
        <v>20130930</v>
      </c>
      <c r="B2114">
        <v>2013</v>
      </c>
      <c r="C2114">
        <v>9</v>
      </c>
      <c r="D2114">
        <v>1</v>
      </c>
      <c r="E2114">
        <v>10510</v>
      </c>
      <c r="F2114">
        <v>399541.41</v>
      </c>
      <c r="G2114">
        <v>0</v>
      </c>
      <c r="H2114">
        <v>0</v>
      </c>
      <c r="I2114">
        <v>0</v>
      </c>
      <c r="J2114">
        <v>0</v>
      </c>
      <c r="K2114">
        <v>0</v>
      </c>
      <c r="L2114">
        <v>45000000</v>
      </c>
      <c r="M2114">
        <v>45000000</v>
      </c>
      <c r="N2114">
        <v>45000000</v>
      </c>
      <c r="O2114">
        <v>45000000</v>
      </c>
      <c r="P2114">
        <v>45000000</v>
      </c>
      <c r="Q2114">
        <v>45000000</v>
      </c>
      <c r="R2114" s="14">
        <f>_xlfn.XLOOKUP(Table2[[#This Row],[LoanID]],Table1[G-L ID],Table1[ManagerCode],-99)</f>
        <v>220</v>
      </c>
      <c r="T2114"/>
    </row>
    <row r="2115" spans="1:20" x14ac:dyDescent="0.25">
      <c r="A2115">
        <v>20130930</v>
      </c>
      <c r="B2115">
        <v>2013</v>
      </c>
      <c r="C2115">
        <v>9</v>
      </c>
      <c r="D2115">
        <v>1</v>
      </c>
      <c r="E2115">
        <v>10591</v>
      </c>
      <c r="F2115">
        <v>227969.14</v>
      </c>
      <c r="G2115">
        <v>0</v>
      </c>
      <c r="H2115">
        <v>0</v>
      </c>
      <c r="I2115">
        <v>0</v>
      </c>
      <c r="J2115">
        <v>0</v>
      </c>
      <c r="K2115">
        <v>86427.12</v>
      </c>
      <c r="L2115">
        <v>25963401.690000001</v>
      </c>
      <c r="M2115">
        <v>25876974.57</v>
      </c>
      <c r="N2115">
        <v>25963401.690000001</v>
      </c>
      <c r="O2115">
        <v>25876974.57</v>
      </c>
      <c r="P2115">
        <v>25963401.690000001</v>
      </c>
      <c r="Q2115">
        <v>25876974.57</v>
      </c>
      <c r="R2115" s="14">
        <f>_xlfn.XLOOKUP(Table2[[#This Row],[LoanID]],Table1[G-L ID],Table1[ManagerCode],-99)</f>
        <v>220</v>
      </c>
      <c r="T2115"/>
    </row>
    <row r="2116" spans="1:20" x14ac:dyDescent="0.25">
      <c r="A2116">
        <v>20130930</v>
      </c>
      <c r="B2116">
        <v>2013</v>
      </c>
      <c r="C2116">
        <v>9</v>
      </c>
      <c r="D2116">
        <v>1</v>
      </c>
      <c r="E2116">
        <v>10592</v>
      </c>
      <c r="F2116">
        <v>378163.6</v>
      </c>
      <c r="G2116">
        <v>0</v>
      </c>
      <c r="H2116">
        <v>0</v>
      </c>
      <c r="I2116">
        <v>0</v>
      </c>
      <c r="J2116">
        <v>0</v>
      </c>
      <c r="K2116">
        <v>127582.88</v>
      </c>
      <c r="L2116">
        <v>38326926.310000002</v>
      </c>
      <c r="M2116">
        <v>38199343.43</v>
      </c>
      <c r="N2116">
        <v>38326926.310000002</v>
      </c>
      <c r="O2116">
        <v>38199343.43</v>
      </c>
      <c r="P2116">
        <v>38326926.310000002</v>
      </c>
      <c r="Q2116">
        <v>38199343.43</v>
      </c>
      <c r="R2116" s="14">
        <f>_xlfn.XLOOKUP(Table2[[#This Row],[LoanID]],Table1[G-L ID],Table1[ManagerCode],-99)</f>
        <v>220</v>
      </c>
      <c r="T2116"/>
    </row>
    <row r="2117" spans="1:20" x14ac:dyDescent="0.25">
      <c r="A2117">
        <v>20130930</v>
      </c>
      <c r="B2117">
        <v>2013</v>
      </c>
      <c r="C2117">
        <v>9</v>
      </c>
      <c r="D2117">
        <v>1</v>
      </c>
      <c r="E2117">
        <v>10640</v>
      </c>
      <c r="F2117">
        <v>101556.61</v>
      </c>
      <c r="G2117">
        <v>0</v>
      </c>
      <c r="H2117">
        <v>0</v>
      </c>
      <c r="I2117">
        <v>0</v>
      </c>
      <c r="J2117">
        <v>0</v>
      </c>
      <c r="K2117">
        <v>0</v>
      </c>
      <c r="L2117">
        <v>11812500</v>
      </c>
      <c r="M2117">
        <v>11812500</v>
      </c>
      <c r="N2117">
        <v>11812500</v>
      </c>
      <c r="O2117">
        <v>11812500</v>
      </c>
      <c r="P2117">
        <v>11812500</v>
      </c>
      <c r="Q2117">
        <v>11812500</v>
      </c>
      <c r="R2117" s="14">
        <f>_xlfn.XLOOKUP(Table2[[#This Row],[LoanID]],Table1[G-L ID],Table1[ManagerCode],-99)</f>
        <v>220</v>
      </c>
      <c r="T2117"/>
    </row>
    <row r="2118" spans="1:20" x14ac:dyDescent="0.25">
      <c r="A2118">
        <v>20130930</v>
      </c>
      <c r="B2118">
        <v>2013</v>
      </c>
      <c r="C2118">
        <v>9</v>
      </c>
      <c r="D2118">
        <v>1</v>
      </c>
      <c r="E2118">
        <v>10660</v>
      </c>
      <c r="F2118">
        <v>0</v>
      </c>
      <c r="G2118">
        <v>0</v>
      </c>
      <c r="H2118">
        <v>0</v>
      </c>
      <c r="I2118">
        <v>0</v>
      </c>
      <c r="J2118">
        <v>-25000000</v>
      </c>
      <c r="K2118">
        <v>0</v>
      </c>
      <c r="L2118">
        <v>0</v>
      </c>
      <c r="M2118">
        <v>25000000</v>
      </c>
      <c r="N2118">
        <v>0</v>
      </c>
      <c r="O2118">
        <v>25000000</v>
      </c>
      <c r="P2118">
        <v>0</v>
      </c>
      <c r="Q2118">
        <v>25000000</v>
      </c>
      <c r="R2118" s="14">
        <f>_xlfn.XLOOKUP(Table2[[#This Row],[LoanID]],Table1[G-L ID],Table1[ManagerCode],-99)</f>
        <v>119</v>
      </c>
      <c r="T2118"/>
    </row>
    <row r="2119" spans="1:20" x14ac:dyDescent="0.25">
      <c r="A2119">
        <v>20130930</v>
      </c>
      <c r="B2119">
        <v>2013</v>
      </c>
      <c r="C2119">
        <v>9</v>
      </c>
      <c r="D2119">
        <v>1</v>
      </c>
      <c r="E2119">
        <v>10690</v>
      </c>
      <c r="F2119">
        <v>76710.8</v>
      </c>
      <c r="G2119">
        <v>23588.71</v>
      </c>
      <c r="H2119">
        <v>0</v>
      </c>
      <c r="I2119">
        <v>0</v>
      </c>
      <c r="J2119">
        <v>-1051455.3</v>
      </c>
      <c r="K2119">
        <v>0</v>
      </c>
      <c r="L2119">
        <v>12667669.119999999</v>
      </c>
      <c r="M2119">
        <v>13742713.130000001</v>
      </c>
      <c r="N2119">
        <v>12667669.119999999</v>
      </c>
      <c r="O2119">
        <v>13742713.130000001</v>
      </c>
      <c r="P2119">
        <v>12667669.119999999</v>
      </c>
      <c r="Q2119">
        <v>13742713.130000001</v>
      </c>
      <c r="R2119" s="14">
        <f>_xlfn.XLOOKUP(Table2[[#This Row],[LoanID]],Table1[G-L ID],Table1[ManagerCode],-99)</f>
        <v>183</v>
      </c>
      <c r="T2119"/>
    </row>
    <row r="2120" spans="1:20" x14ac:dyDescent="0.25">
      <c r="A2120">
        <v>20130930</v>
      </c>
      <c r="B2120">
        <v>2013</v>
      </c>
      <c r="C2120">
        <v>9</v>
      </c>
      <c r="D2120">
        <v>1</v>
      </c>
      <c r="E2120">
        <v>10720</v>
      </c>
      <c r="F2120">
        <v>125000</v>
      </c>
      <c r="G2120">
        <v>87345.34</v>
      </c>
      <c r="H2120">
        <v>0</v>
      </c>
      <c r="I2120">
        <v>0</v>
      </c>
      <c r="J2120">
        <v>0</v>
      </c>
      <c r="K2120">
        <v>177049</v>
      </c>
      <c r="L2120">
        <v>16439639.52</v>
      </c>
      <c r="M2120">
        <v>16349935.859999999</v>
      </c>
      <c r="N2120">
        <v>16439639.52</v>
      </c>
      <c r="O2120">
        <v>16349935.859999999</v>
      </c>
      <c r="P2120">
        <v>16439639.52</v>
      </c>
      <c r="Q2120">
        <v>16349935.859999999</v>
      </c>
      <c r="R2120" s="14">
        <f>_xlfn.XLOOKUP(Table2[[#This Row],[LoanID]],Table1[G-L ID],Table1[ManagerCode],-99)</f>
        <v>220</v>
      </c>
      <c r="T2120"/>
    </row>
    <row r="2121" spans="1:20" x14ac:dyDescent="0.25">
      <c r="A2121">
        <v>20130930</v>
      </c>
      <c r="B2121">
        <v>2013</v>
      </c>
      <c r="C2121">
        <v>9</v>
      </c>
      <c r="D2121">
        <v>1</v>
      </c>
      <c r="E2121">
        <v>10820</v>
      </c>
      <c r="F2121">
        <v>175041.78</v>
      </c>
      <c r="G2121">
        <v>0</v>
      </c>
      <c r="H2121">
        <v>0</v>
      </c>
      <c r="I2121">
        <v>0</v>
      </c>
      <c r="J2121">
        <v>0</v>
      </c>
      <c r="K2121">
        <v>0</v>
      </c>
      <c r="L2121">
        <v>21397297</v>
      </c>
      <c r="M2121">
        <v>21397297</v>
      </c>
      <c r="N2121">
        <v>21397297</v>
      </c>
      <c r="O2121">
        <v>21397297</v>
      </c>
      <c r="P2121">
        <v>21397297</v>
      </c>
      <c r="Q2121">
        <v>21397297</v>
      </c>
      <c r="R2121" s="14">
        <f>_xlfn.XLOOKUP(Table2[[#This Row],[LoanID]],Table1[G-L ID],Table1[ManagerCode],-99)</f>
        <v>220</v>
      </c>
      <c r="T2121"/>
    </row>
    <row r="2122" spans="1:20" x14ac:dyDescent="0.25">
      <c r="A2122">
        <v>20130930</v>
      </c>
      <c r="B2122">
        <v>2013</v>
      </c>
      <c r="C2122">
        <v>9</v>
      </c>
      <c r="D2122">
        <v>1</v>
      </c>
      <c r="E2122">
        <v>10830</v>
      </c>
      <c r="F2122">
        <v>57113.55</v>
      </c>
      <c r="G2122">
        <v>0</v>
      </c>
      <c r="H2122">
        <v>0</v>
      </c>
      <c r="I2122">
        <v>0</v>
      </c>
      <c r="J2122">
        <v>0</v>
      </c>
      <c r="K2122">
        <v>0</v>
      </c>
      <c r="L2122">
        <v>6981622</v>
      </c>
      <c r="M2122">
        <v>6981622</v>
      </c>
      <c r="N2122">
        <v>6981622</v>
      </c>
      <c r="O2122">
        <v>6981622</v>
      </c>
      <c r="P2122">
        <v>6981622</v>
      </c>
      <c r="Q2122">
        <v>6981622</v>
      </c>
      <c r="R2122" s="14">
        <f>_xlfn.XLOOKUP(Table2[[#This Row],[LoanID]],Table1[G-L ID],Table1[ManagerCode],-99)</f>
        <v>220</v>
      </c>
      <c r="T2122"/>
    </row>
    <row r="2123" spans="1:20" x14ac:dyDescent="0.25">
      <c r="A2123">
        <v>20130930</v>
      </c>
      <c r="B2123">
        <v>2013</v>
      </c>
      <c r="C2123">
        <v>9</v>
      </c>
      <c r="D2123">
        <v>1</v>
      </c>
      <c r="E2123">
        <v>10840</v>
      </c>
      <c r="F2123">
        <v>103968.23</v>
      </c>
      <c r="G2123">
        <v>0</v>
      </c>
      <c r="H2123">
        <v>0</v>
      </c>
      <c r="I2123">
        <v>0</v>
      </c>
      <c r="J2123">
        <v>0</v>
      </c>
      <c r="K2123">
        <v>0</v>
      </c>
      <c r="L2123">
        <v>12709189</v>
      </c>
      <c r="M2123">
        <v>12709189</v>
      </c>
      <c r="N2123">
        <v>12709189</v>
      </c>
      <c r="O2123">
        <v>12709189</v>
      </c>
      <c r="P2123">
        <v>12709189</v>
      </c>
      <c r="Q2123">
        <v>12709189</v>
      </c>
      <c r="R2123" s="14">
        <f>_xlfn.XLOOKUP(Table2[[#This Row],[LoanID]],Table1[G-L ID],Table1[ManagerCode],-99)</f>
        <v>220</v>
      </c>
      <c r="T2123"/>
    </row>
    <row r="2124" spans="1:20" x14ac:dyDescent="0.25">
      <c r="A2124">
        <v>20130930</v>
      </c>
      <c r="B2124">
        <v>2013</v>
      </c>
      <c r="C2124">
        <v>9</v>
      </c>
      <c r="D2124">
        <v>1</v>
      </c>
      <c r="E2124">
        <v>10850</v>
      </c>
      <c r="F2124">
        <v>110534.78</v>
      </c>
      <c r="G2124">
        <v>0</v>
      </c>
      <c r="H2124">
        <v>0</v>
      </c>
      <c r="I2124">
        <v>0</v>
      </c>
      <c r="J2124">
        <v>0</v>
      </c>
      <c r="K2124">
        <v>0</v>
      </c>
      <c r="L2124">
        <v>13511892</v>
      </c>
      <c r="M2124">
        <v>13511892</v>
      </c>
      <c r="N2124">
        <v>13511892</v>
      </c>
      <c r="O2124">
        <v>13511892</v>
      </c>
      <c r="P2124">
        <v>13511892</v>
      </c>
      <c r="Q2124">
        <v>13511892</v>
      </c>
      <c r="R2124" s="14">
        <f>_xlfn.XLOOKUP(Table2[[#This Row],[LoanID]],Table1[G-L ID],Table1[ManagerCode],-99)</f>
        <v>220</v>
      </c>
      <c r="T2124"/>
    </row>
    <row r="2125" spans="1:20" x14ac:dyDescent="0.25">
      <c r="A2125">
        <v>20130930</v>
      </c>
      <c r="B2125">
        <v>2013</v>
      </c>
      <c r="C2125">
        <v>9</v>
      </c>
      <c r="D2125">
        <v>1</v>
      </c>
      <c r="E2125">
        <v>10880</v>
      </c>
      <c r="F2125">
        <v>292899.53000000003</v>
      </c>
      <c r="G2125">
        <v>0</v>
      </c>
      <c r="H2125">
        <v>0</v>
      </c>
      <c r="I2125">
        <v>0</v>
      </c>
      <c r="J2125">
        <v>0</v>
      </c>
      <c r="K2125">
        <v>0</v>
      </c>
      <c r="L2125">
        <v>199727153.09999999</v>
      </c>
      <c r="M2125">
        <v>199727153.09999999</v>
      </c>
      <c r="N2125">
        <v>199727153.09999999</v>
      </c>
      <c r="O2125">
        <v>199727153.09999999</v>
      </c>
      <c r="P2125">
        <v>201744599.09999999</v>
      </c>
      <c r="Q2125">
        <v>201744599.09999999</v>
      </c>
      <c r="R2125" s="14">
        <f>_xlfn.XLOOKUP(Table2[[#This Row],[LoanID]],Table1[G-L ID],Table1[ManagerCode],-99)</f>
        <v>103</v>
      </c>
      <c r="T2125"/>
    </row>
    <row r="2126" spans="1:20" x14ac:dyDescent="0.25">
      <c r="A2126">
        <v>20130930</v>
      </c>
      <c r="B2126">
        <v>2013</v>
      </c>
      <c r="C2126">
        <v>9</v>
      </c>
      <c r="D2126">
        <v>1</v>
      </c>
      <c r="E2126">
        <v>10900</v>
      </c>
      <c r="F2126">
        <v>81158.080000000002</v>
      </c>
      <c r="G2126">
        <v>0</v>
      </c>
      <c r="H2126">
        <v>0</v>
      </c>
      <c r="I2126">
        <v>0</v>
      </c>
      <c r="J2126">
        <v>0</v>
      </c>
      <c r="K2126">
        <v>2458.98</v>
      </c>
      <c r="L2126">
        <v>8139607.54</v>
      </c>
      <c r="M2126">
        <v>8137271.5300000003</v>
      </c>
      <c r="N2126">
        <v>8139607.54</v>
      </c>
      <c r="O2126">
        <v>8137271.5300000003</v>
      </c>
      <c r="P2126">
        <v>8568007.9299999997</v>
      </c>
      <c r="Q2126">
        <v>8565548.9499999993</v>
      </c>
      <c r="R2126" s="14">
        <f>_xlfn.XLOOKUP(Table2[[#This Row],[LoanID]],Table1[G-L ID],Table1[ManagerCode],-99)</f>
        <v>103</v>
      </c>
      <c r="T2126"/>
    </row>
    <row r="2127" spans="1:20" x14ac:dyDescent="0.25">
      <c r="A2127">
        <v>20130930</v>
      </c>
      <c r="B2127">
        <v>2013</v>
      </c>
      <c r="C2127">
        <v>9</v>
      </c>
      <c r="D2127">
        <v>1</v>
      </c>
      <c r="E2127">
        <v>10920</v>
      </c>
      <c r="F2127">
        <v>114583.33</v>
      </c>
      <c r="G2127">
        <v>0</v>
      </c>
      <c r="H2127">
        <v>0</v>
      </c>
      <c r="I2127">
        <v>0</v>
      </c>
      <c r="J2127">
        <v>0</v>
      </c>
      <c r="K2127">
        <v>0</v>
      </c>
      <c r="L2127">
        <v>11000000</v>
      </c>
      <c r="M2127">
        <v>11000000</v>
      </c>
      <c r="N2127">
        <v>11000000</v>
      </c>
      <c r="O2127">
        <v>11000000</v>
      </c>
      <c r="P2127">
        <v>11000000</v>
      </c>
      <c r="Q2127">
        <v>11000000</v>
      </c>
      <c r="R2127" s="14">
        <f>_xlfn.XLOOKUP(Table2[[#This Row],[LoanID]],Table1[G-L ID],Table1[ManagerCode],-99)</f>
        <v>183</v>
      </c>
      <c r="T2127"/>
    </row>
    <row r="2128" spans="1:20" x14ac:dyDescent="0.25">
      <c r="A2128">
        <v>20130930</v>
      </c>
      <c r="B2128">
        <v>2013</v>
      </c>
      <c r="C2128">
        <v>9</v>
      </c>
      <c r="D2128">
        <v>1</v>
      </c>
      <c r="E2128">
        <v>10950</v>
      </c>
      <c r="F2128">
        <v>50867.74</v>
      </c>
      <c r="G2128">
        <v>0</v>
      </c>
      <c r="H2128">
        <v>0</v>
      </c>
      <c r="I2128">
        <v>0</v>
      </c>
      <c r="J2128">
        <v>0</v>
      </c>
      <c r="K2128">
        <v>26155.279999999999</v>
      </c>
      <c r="L2128">
        <v>10139409.32</v>
      </c>
      <c r="M2128">
        <v>10113515.609999999</v>
      </c>
      <c r="N2128">
        <v>10139409.32</v>
      </c>
      <c r="O2128">
        <v>10113515.609999999</v>
      </c>
      <c r="P2128">
        <v>10241827.6</v>
      </c>
      <c r="Q2128">
        <v>10215672.32</v>
      </c>
      <c r="R2128" s="14">
        <f>_xlfn.XLOOKUP(Table2[[#This Row],[LoanID]],Table1[G-L ID],Table1[ManagerCode],-99)</f>
        <v>103</v>
      </c>
      <c r="T2128"/>
    </row>
    <row r="2129" spans="1:20" x14ac:dyDescent="0.25">
      <c r="A2129">
        <v>20130930</v>
      </c>
      <c r="B2129">
        <v>2013</v>
      </c>
      <c r="C2129">
        <v>9</v>
      </c>
      <c r="D2129">
        <v>1</v>
      </c>
      <c r="E2129">
        <v>10980</v>
      </c>
      <c r="F2129">
        <v>184846.89</v>
      </c>
      <c r="G2129">
        <v>18302.5</v>
      </c>
      <c r="H2129">
        <v>0</v>
      </c>
      <c r="I2129">
        <v>0</v>
      </c>
      <c r="J2129">
        <v>-1364571.75</v>
      </c>
      <c r="K2129">
        <v>0</v>
      </c>
      <c r="L2129">
        <v>27557362.530000001</v>
      </c>
      <c r="M2129">
        <v>28940236.780000001</v>
      </c>
      <c r="N2129">
        <v>27557362.530000001</v>
      </c>
      <c r="O2129">
        <v>28940236.780000001</v>
      </c>
      <c r="P2129">
        <v>27557362.530000001</v>
      </c>
      <c r="Q2129">
        <v>28940236.780000001</v>
      </c>
      <c r="R2129" s="14">
        <f>_xlfn.XLOOKUP(Table2[[#This Row],[LoanID]],Table1[G-L ID],Table1[ManagerCode],-99)</f>
        <v>183</v>
      </c>
      <c r="T2129"/>
    </row>
    <row r="2130" spans="1:20" x14ac:dyDescent="0.25">
      <c r="A2130">
        <v>20130930</v>
      </c>
      <c r="B2130">
        <v>2013</v>
      </c>
      <c r="C2130">
        <v>9</v>
      </c>
      <c r="D2130">
        <v>1</v>
      </c>
      <c r="E2130">
        <v>11020</v>
      </c>
      <c r="F2130">
        <v>115500</v>
      </c>
      <c r="G2130">
        <v>0</v>
      </c>
      <c r="H2130">
        <v>0</v>
      </c>
      <c r="I2130">
        <v>0</v>
      </c>
      <c r="J2130">
        <v>0</v>
      </c>
      <c r="K2130">
        <v>0</v>
      </c>
      <c r="L2130">
        <v>12000000</v>
      </c>
      <c r="M2130">
        <v>12000000</v>
      </c>
      <c r="N2130">
        <v>12000000</v>
      </c>
      <c r="O2130">
        <v>12000000</v>
      </c>
      <c r="P2130">
        <v>12000000</v>
      </c>
      <c r="Q2130">
        <v>12000000</v>
      </c>
      <c r="R2130" s="14">
        <f>_xlfn.XLOOKUP(Table2[[#This Row],[LoanID]],Table1[G-L ID],Table1[ManagerCode],-99)</f>
        <v>119</v>
      </c>
      <c r="T2130"/>
    </row>
    <row r="2131" spans="1:20" x14ac:dyDescent="0.25">
      <c r="A2131">
        <v>20130930</v>
      </c>
      <c r="B2131">
        <v>2013</v>
      </c>
      <c r="C2131">
        <v>9</v>
      </c>
      <c r="D2131">
        <v>1</v>
      </c>
      <c r="E2131">
        <v>11050</v>
      </c>
      <c r="F2131">
        <v>0</v>
      </c>
      <c r="G2131">
        <v>0</v>
      </c>
      <c r="H2131">
        <v>0</v>
      </c>
      <c r="I2131">
        <v>0</v>
      </c>
      <c r="J2131">
        <v>-267552.77</v>
      </c>
      <c r="K2131">
        <v>0</v>
      </c>
      <c r="L2131">
        <v>24159442.98</v>
      </c>
      <c r="M2131">
        <v>24426995.75</v>
      </c>
      <c r="N2131">
        <v>24159442.98</v>
      </c>
      <c r="O2131">
        <v>24426995.75</v>
      </c>
      <c r="P2131">
        <v>24159442.98</v>
      </c>
      <c r="Q2131">
        <v>24426995.75</v>
      </c>
      <c r="R2131" s="14">
        <f>_xlfn.XLOOKUP(Table2[[#This Row],[LoanID]],Table1[G-L ID],Table1[ManagerCode],-99)</f>
        <v>220</v>
      </c>
      <c r="T2131"/>
    </row>
    <row r="2132" spans="1:20" x14ac:dyDescent="0.25">
      <c r="A2132">
        <v>20130930</v>
      </c>
      <c r="B2132">
        <v>2013</v>
      </c>
      <c r="C2132">
        <v>9</v>
      </c>
      <c r="D2132">
        <v>1</v>
      </c>
      <c r="E2132">
        <v>11070</v>
      </c>
      <c r="F2132">
        <v>144833.26999999999</v>
      </c>
      <c r="G2132">
        <v>0</v>
      </c>
      <c r="H2132">
        <v>0</v>
      </c>
      <c r="I2132">
        <v>0</v>
      </c>
      <c r="J2132">
        <v>0</v>
      </c>
      <c r="K2132">
        <v>10036.93</v>
      </c>
      <c r="L2132">
        <v>13901545.630000001</v>
      </c>
      <c r="M2132">
        <v>13893516.050000001</v>
      </c>
      <c r="N2132">
        <v>13901545.630000001</v>
      </c>
      <c r="O2132">
        <v>13893516.050000001</v>
      </c>
      <c r="P2132">
        <v>17376914.620000001</v>
      </c>
      <c r="Q2132">
        <v>17366877.690000001</v>
      </c>
      <c r="R2132" s="14">
        <f>_xlfn.XLOOKUP(Table2[[#This Row],[LoanID]],Table1[G-L ID],Table1[ManagerCode],-99)</f>
        <v>103</v>
      </c>
      <c r="T2132"/>
    </row>
    <row r="2133" spans="1:20" x14ac:dyDescent="0.25">
      <c r="A2133">
        <v>20130930</v>
      </c>
      <c r="B2133">
        <v>2013</v>
      </c>
      <c r="C2133">
        <v>9</v>
      </c>
      <c r="D2133">
        <v>1</v>
      </c>
      <c r="E2133">
        <v>11110</v>
      </c>
      <c r="F2133">
        <v>101158.23</v>
      </c>
      <c r="G2133">
        <v>0</v>
      </c>
      <c r="H2133">
        <v>0</v>
      </c>
      <c r="I2133">
        <v>0</v>
      </c>
      <c r="J2133">
        <v>-32649.65</v>
      </c>
      <c r="K2133">
        <v>0</v>
      </c>
      <c r="L2133">
        <v>14017303.49</v>
      </c>
      <c r="M2133">
        <v>14049953.140000001</v>
      </c>
      <c r="N2133">
        <v>14017303.49</v>
      </c>
      <c r="O2133">
        <v>14049953.140000001</v>
      </c>
      <c r="P2133">
        <v>14017303.49</v>
      </c>
      <c r="Q2133">
        <v>14049953.140000001</v>
      </c>
      <c r="R2133" s="14">
        <f>_xlfn.XLOOKUP(Table2[[#This Row],[LoanID]],Table1[G-L ID],Table1[ManagerCode],-99)</f>
        <v>183</v>
      </c>
      <c r="T2133"/>
    </row>
    <row r="2134" spans="1:20" x14ac:dyDescent="0.25">
      <c r="A2134">
        <v>20130930</v>
      </c>
      <c r="B2134">
        <v>2013</v>
      </c>
      <c r="C2134">
        <v>9</v>
      </c>
      <c r="D2134">
        <v>1</v>
      </c>
      <c r="E2134">
        <v>11140</v>
      </c>
      <c r="F2134">
        <v>558363.03</v>
      </c>
      <c r="G2134">
        <v>0</v>
      </c>
      <c r="H2134">
        <v>0</v>
      </c>
      <c r="I2134">
        <v>0</v>
      </c>
      <c r="J2134">
        <v>0</v>
      </c>
      <c r="K2134">
        <v>0</v>
      </c>
      <c r="L2134">
        <v>71711993.859999999</v>
      </c>
      <c r="M2134">
        <v>71711993.859999999</v>
      </c>
      <c r="N2134">
        <v>71711993.859999999</v>
      </c>
      <c r="O2134">
        <v>71711993.859999999</v>
      </c>
      <c r="P2134">
        <v>72436285</v>
      </c>
      <c r="Q2134">
        <v>72436285</v>
      </c>
      <c r="R2134" s="14">
        <f>_xlfn.XLOOKUP(Table2[[#This Row],[LoanID]],Table1[G-L ID],Table1[ManagerCode],-99)</f>
        <v>103</v>
      </c>
      <c r="T2134"/>
    </row>
    <row r="2135" spans="1:20" x14ac:dyDescent="0.25">
      <c r="A2135">
        <v>20130930</v>
      </c>
      <c r="B2135">
        <v>2013</v>
      </c>
      <c r="C2135">
        <v>9</v>
      </c>
      <c r="D2135">
        <v>1</v>
      </c>
      <c r="E2135">
        <v>11190</v>
      </c>
      <c r="F2135">
        <v>1343654.01</v>
      </c>
      <c r="G2135">
        <v>0</v>
      </c>
      <c r="H2135">
        <v>0</v>
      </c>
      <c r="I2135">
        <v>-1721.89</v>
      </c>
      <c r="J2135">
        <v>0</v>
      </c>
      <c r="K2135">
        <v>0</v>
      </c>
      <c r="L2135">
        <v>197971123.19999999</v>
      </c>
      <c r="M2135">
        <v>197971123.19999999</v>
      </c>
      <c r="N2135">
        <v>197971123.19999999</v>
      </c>
      <c r="O2135">
        <v>197971123.19999999</v>
      </c>
      <c r="P2135">
        <v>199970831.5</v>
      </c>
      <c r="Q2135">
        <v>199970831.5</v>
      </c>
      <c r="R2135" s="14">
        <f>_xlfn.XLOOKUP(Table2[[#This Row],[LoanID]],Table1[G-L ID],Table1[ManagerCode],-99)</f>
        <v>103</v>
      </c>
      <c r="T2135"/>
    </row>
    <row r="2136" spans="1:20" x14ac:dyDescent="0.25">
      <c r="A2136">
        <v>20130930</v>
      </c>
      <c r="B2136">
        <v>2013</v>
      </c>
      <c r="C2136">
        <v>9</v>
      </c>
      <c r="D2136">
        <v>1</v>
      </c>
      <c r="E2136">
        <v>11220</v>
      </c>
      <c r="F2136">
        <v>311937.5</v>
      </c>
      <c r="G2136">
        <v>0</v>
      </c>
      <c r="H2136">
        <v>0</v>
      </c>
      <c r="I2136">
        <v>0</v>
      </c>
      <c r="J2136">
        <v>0</v>
      </c>
      <c r="K2136">
        <v>0</v>
      </c>
      <c r="L2136">
        <v>34500000</v>
      </c>
      <c r="M2136">
        <v>34500000</v>
      </c>
      <c r="N2136">
        <v>34500000</v>
      </c>
      <c r="O2136">
        <v>34500000</v>
      </c>
      <c r="P2136">
        <v>34500000</v>
      </c>
      <c r="Q2136">
        <v>34500000</v>
      </c>
      <c r="R2136" s="14">
        <f>_xlfn.XLOOKUP(Table2[[#This Row],[LoanID]],Table1[G-L ID],Table1[ManagerCode],-99)</f>
        <v>220</v>
      </c>
      <c r="T2136"/>
    </row>
    <row r="2137" spans="1:20" x14ac:dyDescent="0.25">
      <c r="A2137">
        <v>20130930</v>
      </c>
      <c r="B2137">
        <v>2013</v>
      </c>
      <c r="C2137">
        <v>9</v>
      </c>
      <c r="D2137">
        <v>1</v>
      </c>
      <c r="E2137">
        <v>11230</v>
      </c>
      <c r="F2137">
        <v>244230.58</v>
      </c>
      <c r="G2137">
        <v>0</v>
      </c>
      <c r="H2137">
        <v>0</v>
      </c>
      <c r="I2137">
        <v>0.02</v>
      </c>
      <c r="J2137">
        <v>0</v>
      </c>
      <c r="K2137">
        <v>0</v>
      </c>
      <c r="L2137">
        <v>175436664</v>
      </c>
      <c r="M2137">
        <v>175436664</v>
      </c>
      <c r="N2137">
        <v>175436664</v>
      </c>
      <c r="O2137">
        <v>175436664</v>
      </c>
      <c r="P2137">
        <v>194929626.59999999</v>
      </c>
      <c r="Q2137">
        <v>194929626.59999999</v>
      </c>
      <c r="R2137" s="14">
        <f>_xlfn.XLOOKUP(Table2[[#This Row],[LoanID]],Table1[G-L ID],Table1[ManagerCode],-99)</f>
        <v>103</v>
      </c>
      <c r="T2137"/>
    </row>
    <row r="2138" spans="1:20" x14ac:dyDescent="0.25">
      <c r="A2138">
        <v>20130930</v>
      </c>
      <c r="B2138">
        <v>2013</v>
      </c>
      <c r="C2138">
        <v>9</v>
      </c>
      <c r="D2138">
        <v>1</v>
      </c>
      <c r="E2138">
        <v>11320</v>
      </c>
      <c r="F2138">
        <v>97993.14</v>
      </c>
      <c r="G2138">
        <v>0</v>
      </c>
      <c r="H2138">
        <v>0</v>
      </c>
      <c r="I2138">
        <v>0</v>
      </c>
      <c r="J2138">
        <v>0</v>
      </c>
      <c r="K2138">
        <v>0</v>
      </c>
      <c r="L2138">
        <v>12000000</v>
      </c>
      <c r="M2138">
        <v>12000000</v>
      </c>
      <c r="N2138">
        <v>12000000</v>
      </c>
      <c r="O2138">
        <v>12000000</v>
      </c>
      <c r="P2138">
        <v>12000000</v>
      </c>
      <c r="Q2138">
        <v>12000000</v>
      </c>
      <c r="R2138" s="14">
        <f>_xlfn.XLOOKUP(Table2[[#This Row],[LoanID]],Table1[G-L ID],Table1[ManagerCode],-99)</f>
        <v>119</v>
      </c>
      <c r="T2138"/>
    </row>
    <row r="2139" spans="1:20" x14ac:dyDescent="0.25">
      <c r="A2139">
        <v>20130930</v>
      </c>
      <c r="B2139">
        <v>2013</v>
      </c>
      <c r="C2139">
        <v>9</v>
      </c>
      <c r="D2139">
        <v>1</v>
      </c>
      <c r="E2139">
        <v>11340</v>
      </c>
      <c r="F2139">
        <v>301388.89</v>
      </c>
      <c r="G2139">
        <v>0</v>
      </c>
      <c r="H2139">
        <v>0</v>
      </c>
      <c r="I2139">
        <v>0</v>
      </c>
      <c r="J2139">
        <v>0</v>
      </c>
      <c r="K2139">
        <v>0</v>
      </c>
      <c r="L2139">
        <v>49500000</v>
      </c>
      <c r="M2139">
        <v>49500000</v>
      </c>
      <c r="N2139">
        <v>49500000</v>
      </c>
      <c r="O2139">
        <v>49500000</v>
      </c>
      <c r="P2139">
        <v>50000000</v>
      </c>
      <c r="Q2139">
        <v>50000000</v>
      </c>
      <c r="R2139" s="14">
        <f>_xlfn.XLOOKUP(Table2[[#This Row],[LoanID]],Table1[G-L ID],Table1[ManagerCode],-99)</f>
        <v>103</v>
      </c>
      <c r="T2139"/>
    </row>
    <row r="2140" spans="1:20" x14ac:dyDescent="0.25">
      <c r="A2140">
        <v>20130930</v>
      </c>
      <c r="B2140">
        <v>2013</v>
      </c>
      <c r="C2140">
        <v>9</v>
      </c>
      <c r="D2140">
        <v>1</v>
      </c>
      <c r="E2140">
        <v>11350</v>
      </c>
      <c r="F2140">
        <v>331527.78000000003</v>
      </c>
      <c r="G2140">
        <v>0</v>
      </c>
      <c r="H2140">
        <v>0</v>
      </c>
      <c r="I2140">
        <v>0</v>
      </c>
      <c r="J2140">
        <v>0</v>
      </c>
      <c r="K2140">
        <v>0</v>
      </c>
      <c r="L2140">
        <v>54449945.549999997</v>
      </c>
      <c r="M2140">
        <v>54449945.549999997</v>
      </c>
      <c r="N2140">
        <v>54449945.549999997</v>
      </c>
      <c r="O2140">
        <v>54449945.549999997</v>
      </c>
      <c r="P2140">
        <v>55000000</v>
      </c>
      <c r="Q2140">
        <v>55000000</v>
      </c>
      <c r="R2140" s="14">
        <f>_xlfn.XLOOKUP(Table2[[#This Row],[LoanID]],Table1[G-L ID],Table1[ManagerCode],-99)</f>
        <v>103</v>
      </c>
      <c r="T2140"/>
    </row>
    <row r="2141" spans="1:20" x14ac:dyDescent="0.25">
      <c r="A2141">
        <v>20130930</v>
      </c>
      <c r="B2141">
        <v>2013</v>
      </c>
      <c r="C2141">
        <v>9</v>
      </c>
      <c r="D2141">
        <v>1</v>
      </c>
      <c r="E2141">
        <v>11390</v>
      </c>
      <c r="F2141">
        <v>210734.55</v>
      </c>
      <c r="G2141">
        <v>0</v>
      </c>
      <c r="H2141">
        <v>0</v>
      </c>
      <c r="I2141">
        <v>0</v>
      </c>
      <c r="J2141">
        <v>0</v>
      </c>
      <c r="K2141">
        <v>0</v>
      </c>
      <c r="L2141">
        <v>25000000</v>
      </c>
      <c r="M2141">
        <v>25000000</v>
      </c>
      <c r="N2141">
        <v>25000000</v>
      </c>
      <c r="O2141">
        <v>25000000</v>
      </c>
      <c r="P2141">
        <v>25000000</v>
      </c>
      <c r="Q2141">
        <v>25000000</v>
      </c>
      <c r="R2141" s="14">
        <f>_xlfn.XLOOKUP(Table2[[#This Row],[LoanID]],Table1[G-L ID],Table1[ManagerCode],-99)</f>
        <v>220</v>
      </c>
      <c r="T2141"/>
    </row>
    <row r="2142" spans="1:20" x14ac:dyDescent="0.25">
      <c r="A2142">
        <v>20130930</v>
      </c>
      <c r="B2142">
        <v>2013</v>
      </c>
      <c r="C2142">
        <v>9</v>
      </c>
      <c r="D2142">
        <v>1</v>
      </c>
      <c r="E2142">
        <v>11460</v>
      </c>
      <c r="F2142">
        <v>2286.85</v>
      </c>
      <c r="G2142">
        <v>122329.18</v>
      </c>
      <c r="H2142">
        <v>0</v>
      </c>
      <c r="I2142">
        <v>0</v>
      </c>
      <c r="J2142">
        <v>-5566274.3899999997</v>
      </c>
      <c r="K2142">
        <v>0</v>
      </c>
      <c r="L2142">
        <v>10986450.6</v>
      </c>
      <c r="M2142">
        <v>16675054.17</v>
      </c>
      <c r="N2142">
        <v>10986450.6</v>
      </c>
      <c r="O2142">
        <v>16675054.17</v>
      </c>
      <c r="P2142">
        <v>10986450.6</v>
      </c>
      <c r="Q2142">
        <v>16675054.17</v>
      </c>
      <c r="R2142" s="14">
        <f>_xlfn.XLOOKUP(Table2[[#This Row],[LoanID]],Table1[G-L ID],Table1[ManagerCode],-99)</f>
        <v>183</v>
      </c>
      <c r="T2142"/>
    </row>
    <row r="2143" spans="1:20" x14ac:dyDescent="0.25">
      <c r="A2143">
        <v>20130930</v>
      </c>
      <c r="B2143">
        <v>2013</v>
      </c>
      <c r="C2143">
        <v>9</v>
      </c>
      <c r="D2143">
        <v>1</v>
      </c>
      <c r="E2143">
        <v>11560</v>
      </c>
      <c r="F2143">
        <v>366268.98</v>
      </c>
      <c r="G2143">
        <v>39349.54</v>
      </c>
      <c r="H2143">
        <v>0</v>
      </c>
      <c r="I2143">
        <v>0</v>
      </c>
      <c r="J2143">
        <v>0</v>
      </c>
      <c r="K2143">
        <v>0</v>
      </c>
      <c r="L2143">
        <v>13810093.390000001</v>
      </c>
      <c r="M2143">
        <v>13849442.93</v>
      </c>
      <c r="N2143">
        <v>13810093.390000001</v>
      </c>
      <c r="O2143">
        <v>13849442.93</v>
      </c>
      <c r="P2143">
        <v>13810093.390000001</v>
      </c>
      <c r="Q2143">
        <v>13849442.93</v>
      </c>
      <c r="R2143" s="14">
        <f>_xlfn.XLOOKUP(Table2[[#This Row],[LoanID]],Table1[G-L ID],Table1[ManagerCode],-99)</f>
        <v>183</v>
      </c>
      <c r="T2143"/>
    </row>
    <row r="2144" spans="1:20" x14ac:dyDescent="0.25">
      <c r="A2144">
        <v>20130930</v>
      </c>
      <c r="B2144">
        <v>2013</v>
      </c>
      <c r="C2144">
        <v>9</v>
      </c>
      <c r="D2144">
        <v>1</v>
      </c>
      <c r="E2144">
        <v>11620</v>
      </c>
      <c r="F2144">
        <v>65035.85</v>
      </c>
      <c r="G2144">
        <v>30285.53</v>
      </c>
      <c r="H2144">
        <v>0</v>
      </c>
      <c r="I2144">
        <v>0</v>
      </c>
      <c r="J2144">
        <v>-764077.4</v>
      </c>
      <c r="K2144">
        <v>0</v>
      </c>
      <c r="L2144">
        <v>8363930.4500000002</v>
      </c>
      <c r="M2144">
        <v>9158293.3800000008</v>
      </c>
      <c r="N2144">
        <v>8363930.4500000002</v>
      </c>
      <c r="O2144">
        <v>9158293.3800000008</v>
      </c>
      <c r="P2144">
        <v>8363930.4500000002</v>
      </c>
      <c r="Q2144">
        <v>9158293.3800000008</v>
      </c>
      <c r="R2144" s="14">
        <f>_xlfn.XLOOKUP(Table2[[#This Row],[LoanID]],Table1[G-L ID],Table1[ManagerCode],-99)</f>
        <v>183</v>
      </c>
      <c r="T2144"/>
    </row>
    <row r="2145" spans="1:20" x14ac:dyDescent="0.25">
      <c r="A2145">
        <v>20130930</v>
      </c>
      <c r="B2145">
        <v>2013</v>
      </c>
      <c r="C2145">
        <v>9</v>
      </c>
      <c r="D2145">
        <v>1</v>
      </c>
      <c r="E2145">
        <v>11650</v>
      </c>
      <c r="F2145">
        <v>75000</v>
      </c>
      <c r="G2145">
        <v>0</v>
      </c>
      <c r="H2145">
        <v>0</v>
      </c>
      <c r="I2145">
        <v>0</v>
      </c>
      <c r="J2145">
        <v>0</v>
      </c>
      <c r="K2145">
        <v>0</v>
      </c>
      <c r="L2145">
        <v>9600000</v>
      </c>
      <c r="M2145">
        <v>9600000</v>
      </c>
      <c r="N2145">
        <v>9600000</v>
      </c>
      <c r="O2145">
        <v>9600000</v>
      </c>
      <c r="P2145">
        <v>12000000</v>
      </c>
      <c r="Q2145">
        <v>12000000</v>
      </c>
      <c r="R2145" s="14">
        <f>_xlfn.XLOOKUP(Table2[[#This Row],[LoanID]],Table1[G-L ID],Table1[ManagerCode],-99)</f>
        <v>103</v>
      </c>
      <c r="T2145"/>
    </row>
    <row r="2146" spans="1:20" x14ac:dyDescent="0.25">
      <c r="A2146">
        <v>20130930</v>
      </c>
      <c r="B2146">
        <v>2013</v>
      </c>
      <c r="C2146">
        <v>9</v>
      </c>
      <c r="D2146">
        <v>1</v>
      </c>
      <c r="E2146">
        <v>11670</v>
      </c>
      <c r="F2146">
        <v>188333.33</v>
      </c>
      <c r="G2146">
        <v>156491.20000000001</v>
      </c>
      <c r="H2146">
        <v>0</v>
      </c>
      <c r="I2146">
        <v>0</v>
      </c>
      <c r="J2146">
        <v>0</v>
      </c>
      <c r="K2146">
        <v>0</v>
      </c>
      <c r="L2146">
        <v>29556387.859999999</v>
      </c>
      <c r="M2146">
        <v>29712879.059999999</v>
      </c>
      <c r="N2146">
        <v>29556387.859999999</v>
      </c>
      <c r="O2146">
        <v>29712879.059999999</v>
      </c>
      <c r="P2146">
        <v>29556387.859999999</v>
      </c>
      <c r="Q2146">
        <v>29712879.059999999</v>
      </c>
      <c r="R2146" s="14">
        <f>_xlfn.XLOOKUP(Table2[[#This Row],[LoanID]],Table1[G-L ID],Table1[ManagerCode],-99)</f>
        <v>183</v>
      </c>
      <c r="T2146"/>
    </row>
    <row r="2147" spans="1:20" x14ac:dyDescent="0.25">
      <c r="A2147">
        <v>20130930</v>
      </c>
      <c r="B2147">
        <v>2013</v>
      </c>
      <c r="C2147">
        <v>9</v>
      </c>
      <c r="D2147">
        <v>1</v>
      </c>
      <c r="E2147">
        <v>11740</v>
      </c>
      <c r="F2147">
        <v>170500</v>
      </c>
      <c r="G2147">
        <v>0</v>
      </c>
      <c r="H2147">
        <v>0</v>
      </c>
      <c r="I2147">
        <v>0</v>
      </c>
      <c r="J2147">
        <v>0</v>
      </c>
      <c r="K2147">
        <v>0</v>
      </c>
      <c r="L2147">
        <v>18600000</v>
      </c>
      <c r="M2147">
        <v>18600000</v>
      </c>
      <c r="N2147">
        <v>18600000</v>
      </c>
      <c r="O2147">
        <v>18600000</v>
      </c>
      <c r="P2147">
        <v>18600000</v>
      </c>
      <c r="Q2147">
        <v>18600000</v>
      </c>
      <c r="R2147" s="14">
        <f>_xlfn.XLOOKUP(Table2[[#This Row],[LoanID]],Table1[G-L ID],Table1[ManagerCode],-99)</f>
        <v>183</v>
      </c>
      <c r="T2147"/>
    </row>
    <row r="2148" spans="1:20" x14ac:dyDescent="0.25">
      <c r="A2148">
        <v>20130930</v>
      </c>
      <c r="B2148">
        <v>2013</v>
      </c>
      <c r="C2148">
        <v>9</v>
      </c>
      <c r="D2148">
        <v>1</v>
      </c>
      <c r="E2148">
        <v>11770</v>
      </c>
      <c r="F2148">
        <v>444645.96</v>
      </c>
      <c r="G2148">
        <v>0</v>
      </c>
      <c r="H2148">
        <v>0</v>
      </c>
      <c r="I2148">
        <v>0</v>
      </c>
      <c r="J2148">
        <v>0</v>
      </c>
      <c r="K2148">
        <v>5681289.46</v>
      </c>
      <c r="L2148">
        <v>50661990.200000003</v>
      </c>
      <c r="M2148">
        <v>44980700.740000002</v>
      </c>
      <c r="N2148">
        <v>50661990.200000003</v>
      </c>
      <c r="O2148">
        <v>44980700.740000002</v>
      </c>
      <c r="P2148">
        <v>50661990.200000003</v>
      </c>
      <c r="Q2148">
        <v>44980700.740000002</v>
      </c>
      <c r="R2148" s="14">
        <f>_xlfn.XLOOKUP(Table2[[#This Row],[LoanID]],Table1[G-L ID],Table1[ManagerCode],-99)</f>
        <v>119</v>
      </c>
      <c r="T2148"/>
    </row>
    <row r="2149" spans="1:20" x14ac:dyDescent="0.25">
      <c r="A2149">
        <v>20130930</v>
      </c>
      <c r="B2149">
        <v>2013</v>
      </c>
      <c r="C2149">
        <v>9</v>
      </c>
      <c r="D2149">
        <v>1</v>
      </c>
      <c r="E2149">
        <v>11780</v>
      </c>
      <c r="F2149">
        <v>122840.52</v>
      </c>
      <c r="G2149">
        <v>0</v>
      </c>
      <c r="H2149">
        <v>0</v>
      </c>
      <c r="I2149">
        <v>-1115.76</v>
      </c>
      <c r="J2149">
        <v>0</v>
      </c>
      <c r="K2149">
        <v>0</v>
      </c>
      <c r="L2149">
        <v>40262654</v>
      </c>
      <c r="M2149">
        <v>37997821</v>
      </c>
      <c r="N2149">
        <v>40262654</v>
      </c>
      <c r="O2149">
        <v>37997821</v>
      </c>
      <c r="P2149">
        <v>64786446.619999997</v>
      </c>
      <c r="Q2149">
        <v>64786446.619999997</v>
      </c>
      <c r="R2149" s="14">
        <f>_xlfn.XLOOKUP(Table2[[#This Row],[LoanID]],Table1[G-L ID],Table1[ManagerCode],-99)</f>
        <v>103</v>
      </c>
      <c r="T2149"/>
    </row>
    <row r="2150" spans="1:20" x14ac:dyDescent="0.25">
      <c r="A2150">
        <v>20130930</v>
      </c>
      <c r="B2150">
        <v>2013</v>
      </c>
      <c r="C2150">
        <v>9</v>
      </c>
      <c r="D2150">
        <v>1</v>
      </c>
      <c r="E2150">
        <v>11800</v>
      </c>
      <c r="F2150">
        <v>157801.42000000001</v>
      </c>
      <c r="G2150">
        <v>0</v>
      </c>
      <c r="H2150">
        <v>0</v>
      </c>
      <c r="I2150">
        <v>-265.52</v>
      </c>
      <c r="J2150">
        <v>0</v>
      </c>
      <c r="K2150">
        <v>78510.02</v>
      </c>
      <c r="L2150">
        <v>32808879.649999999</v>
      </c>
      <c r="M2150">
        <v>32972370.469999999</v>
      </c>
      <c r="N2150">
        <v>32808879.649999999</v>
      </c>
      <c r="O2150">
        <v>32972370.469999999</v>
      </c>
      <c r="P2150">
        <v>30835145.059999999</v>
      </c>
      <c r="Q2150">
        <v>30756635.039999999</v>
      </c>
      <c r="R2150" s="14">
        <f>_xlfn.XLOOKUP(Table2[[#This Row],[LoanID]],Table1[G-L ID],Table1[ManagerCode],-99)</f>
        <v>103</v>
      </c>
      <c r="T2150"/>
    </row>
    <row r="2151" spans="1:20" x14ac:dyDescent="0.25">
      <c r="A2151">
        <v>20130930</v>
      </c>
      <c r="B2151">
        <v>2013</v>
      </c>
      <c r="C2151">
        <v>9</v>
      </c>
      <c r="D2151">
        <v>1</v>
      </c>
      <c r="E2151">
        <v>11810</v>
      </c>
      <c r="F2151">
        <v>50395.61</v>
      </c>
      <c r="G2151">
        <v>0</v>
      </c>
      <c r="H2151">
        <v>0</v>
      </c>
      <c r="I2151">
        <v>0</v>
      </c>
      <c r="J2151">
        <v>0</v>
      </c>
      <c r="K2151">
        <v>10462.48</v>
      </c>
      <c r="L2151">
        <v>9750811.6600000001</v>
      </c>
      <c r="M2151">
        <v>9740453.8200000003</v>
      </c>
      <c r="N2151">
        <v>9750811.6600000001</v>
      </c>
      <c r="O2151">
        <v>9740453.8200000003</v>
      </c>
      <c r="P2151">
        <v>9849304.7100000009</v>
      </c>
      <c r="Q2151">
        <v>9838842.2300000004</v>
      </c>
      <c r="R2151" s="14">
        <f>_xlfn.XLOOKUP(Table2[[#This Row],[LoanID]],Table1[G-L ID],Table1[ManagerCode],-99)</f>
        <v>103</v>
      </c>
      <c r="T2151"/>
    </row>
    <row r="2152" spans="1:20" x14ac:dyDescent="0.25">
      <c r="A2152">
        <v>20130930</v>
      </c>
      <c r="B2152">
        <v>2013</v>
      </c>
      <c r="C2152">
        <v>9</v>
      </c>
      <c r="D2152">
        <v>1</v>
      </c>
      <c r="E2152">
        <v>11840</v>
      </c>
      <c r="F2152">
        <v>52501.8</v>
      </c>
      <c r="G2152">
        <v>83159.08</v>
      </c>
      <c r="H2152">
        <v>0</v>
      </c>
      <c r="I2152">
        <v>0</v>
      </c>
      <c r="J2152">
        <v>0</v>
      </c>
      <c r="K2152">
        <v>0</v>
      </c>
      <c r="L2152">
        <v>11227107.6</v>
      </c>
      <c r="M2152">
        <v>11310266.68</v>
      </c>
      <c r="N2152">
        <v>11227107.6</v>
      </c>
      <c r="O2152">
        <v>11310266.68</v>
      </c>
      <c r="P2152">
        <v>11227107.6</v>
      </c>
      <c r="Q2152">
        <v>11310266.68</v>
      </c>
      <c r="R2152" s="14">
        <f>_xlfn.XLOOKUP(Table2[[#This Row],[LoanID]],Table1[G-L ID],Table1[ManagerCode],-99)</f>
        <v>183</v>
      </c>
      <c r="T2152"/>
    </row>
    <row r="2153" spans="1:20" x14ac:dyDescent="0.25">
      <c r="A2153">
        <v>20130930</v>
      </c>
      <c r="B2153">
        <v>2013</v>
      </c>
      <c r="C2153">
        <v>9</v>
      </c>
      <c r="D2153">
        <v>1</v>
      </c>
      <c r="E2153">
        <v>11880</v>
      </c>
      <c r="F2153">
        <v>33554.04</v>
      </c>
      <c r="G2153">
        <v>59286.05</v>
      </c>
      <c r="H2153">
        <v>0</v>
      </c>
      <c r="I2153">
        <v>0</v>
      </c>
      <c r="J2153">
        <v>-2231206.85</v>
      </c>
      <c r="K2153">
        <v>0</v>
      </c>
      <c r="L2153">
        <v>7248215.8799999999</v>
      </c>
      <c r="M2153">
        <v>9538708.7799999993</v>
      </c>
      <c r="N2153">
        <v>7248215.8799999999</v>
      </c>
      <c r="O2153">
        <v>9538708.7799999993</v>
      </c>
      <c r="P2153">
        <v>7248215.8799999999</v>
      </c>
      <c r="Q2153">
        <v>9538708.7799999993</v>
      </c>
      <c r="R2153" s="14">
        <f>_xlfn.XLOOKUP(Table2[[#This Row],[LoanID]],Table1[G-L ID],Table1[ManagerCode],-99)</f>
        <v>183</v>
      </c>
      <c r="T2153"/>
    </row>
    <row r="2154" spans="1:20" x14ac:dyDescent="0.25">
      <c r="A2154">
        <v>20130930</v>
      </c>
      <c r="B2154">
        <v>2013</v>
      </c>
      <c r="C2154">
        <v>9</v>
      </c>
      <c r="D2154">
        <v>1</v>
      </c>
      <c r="E2154">
        <v>11970</v>
      </c>
      <c r="F2154">
        <v>83073.600000000006</v>
      </c>
      <c r="G2154">
        <v>50356.28</v>
      </c>
      <c r="H2154">
        <v>0</v>
      </c>
      <c r="I2154">
        <v>0</v>
      </c>
      <c r="J2154">
        <v>-83073.600000000006</v>
      </c>
      <c r="K2154">
        <v>0</v>
      </c>
      <c r="L2154">
        <v>8890560.0800000001</v>
      </c>
      <c r="M2154">
        <v>9023989.9600000009</v>
      </c>
      <c r="N2154">
        <v>8890560.0800000001</v>
      </c>
      <c r="O2154">
        <v>9023989.9600000009</v>
      </c>
      <c r="P2154">
        <v>8890560.0800000001</v>
      </c>
      <c r="Q2154">
        <v>9023989.9600000009</v>
      </c>
      <c r="R2154" s="14">
        <f>_xlfn.XLOOKUP(Table2[[#This Row],[LoanID]],Table1[G-L ID],Table1[ManagerCode],-99)</f>
        <v>183</v>
      </c>
      <c r="T2154"/>
    </row>
    <row r="2155" spans="1:20" x14ac:dyDescent="0.25">
      <c r="A2155">
        <v>20130930</v>
      </c>
      <c r="B2155">
        <v>2013</v>
      </c>
      <c r="C2155">
        <v>9</v>
      </c>
      <c r="D2155">
        <v>1</v>
      </c>
      <c r="E2155">
        <v>12020</v>
      </c>
      <c r="F2155">
        <v>64619.43</v>
      </c>
      <c r="G2155">
        <v>2028.76</v>
      </c>
      <c r="H2155">
        <v>0</v>
      </c>
      <c r="I2155">
        <v>0</v>
      </c>
      <c r="J2155">
        <v>-39970.81</v>
      </c>
      <c r="K2155">
        <v>0</v>
      </c>
      <c r="L2155">
        <v>10305177.6</v>
      </c>
      <c r="M2155">
        <v>10347177.17</v>
      </c>
      <c r="N2155">
        <v>10305177.6</v>
      </c>
      <c r="O2155">
        <v>10347177.17</v>
      </c>
      <c r="P2155">
        <v>10305177.6</v>
      </c>
      <c r="Q2155">
        <v>10347177.17</v>
      </c>
      <c r="R2155" s="14">
        <f>_xlfn.XLOOKUP(Table2[[#This Row],[LoanID]],Table1[G-L ID],Table1[ManagerCode],-99)</f>
        <v>183</v>
      </c>
      <c r="T2155"/>
    </row>
    <row r="2156" spans="1:20" x14ac:dyDescent="0.25">
      <c r="A2156">
        <v>20130930</v>
      </c>
      <c r="B2156">
        <v>2013</v>
      </c>
      <c r="C2156">
        <v>9</v>
      </c>
      <c r="D2156">
        <v>1</v>
      </c>
      <c r="E2156">
        <v>12080</v>
      </c>
      <c r="F2156">
        <v>320453.53999999998</v>
      </c>
      <c r="G2156">
        <v>0</v>
      </c>
      <c r="H2156">
        <v>0</v>
      </c>
      <c r="I2156">
        <v>0</v>
      </c>
      <c r="J2156">
        <v>0</v>
      </c>
      <c r="K2156">
        <v>0</v>
      </c>
      <c r="L2156">
        <v>39505264.829999998</v>
      </c>
      <c r="M2156">
        <v>39505264.829999998</v>
      </c>
      <c r="N2156">
        <v>39505264.829999998</v>
      </c>
      <c r="O2156">
        <v>39505264.829999998</v>
      </c>
      <c r="P2156">
        <v>39505264.829999998</v>
      </c>
      <c r="Q2156">
        <v>39505264.829999998</v>
      </c>
      <c r="R2156" s="14">
        <f>_xlfn.XLOOKUP(Table2[[#This Row],[LoanID]],Table1[G-L ID],Table1[ManagerCode],-99)</f>
        <v>119</v>
      </c>
      <c r="T2156"/>
    </row>
    <row r="2157" spans="1:20" x14ac:dyDescent="0.25">
      <c r="A2157">
        <v>20130930</v>
      </c>
      <c r="B2157">
        <v>2013</v>
      </c>
      <c r="C2157">
        <v>9</v>
      </c>
      <c r="D2157">
        <v>1</v>
      </c>
      <c r="E2157">
        <v>12090</v>
      </c>
      <c r="F2157">
        <v>164030.9</v>
      </c>
      <c r="G2157">
        <v>0</v>
      </c>
      <c r="H2157">
        <v>0</v>
      </c>
      <c r="I2157">
        <v>0</v>
      </c>
      <c r="J2157">
        <v>0</v>
      </c>
      <c r="K2157">
        <v>0</v>
      </c>
      <c r="L2157">
        <v>17500000</v>
      </c>
      <c r="M2157">
        <v>17500000</v>
      </c>
      <c r="N2157">
        <v>17500000</v>
      </c>
      <c r="O2157">
        <v>17500000</v>
      </c>
      <c r="P2157">
        <v>17500000</v>
      </c>
      <c r="Q2157">
        <v>17500000</v>
      </c>
      <c r="R2157" s="14">
        <f>_xlfn.XLOOKUP(Table2[[#This Row],[LoanID]],Table1[G-L ID],Table1[ManagerCode],-99)</f>
        <v>220</v>
      </c>
      <c r="T2157"/>
    </row>
    <row r="2158" spans="1:20" x14ac:dyDescent="0.25">
      <c r="A2158">
        <v>20130930</v>
      </c>
      <c r="B2158">
        <v>2013</v>
      </c>
      <c r="C2158">
        <v>9</v>
      </c>
      <c r="D2158">
        <v>1</v>
      </c>
      <c r="E2158">
        <v>12100</v>
      </c>
      <c r="F2158">
        <v>46617.52</v>
      </c>
      <c r="G2158">
        <v>73215.41</v>
      </c>
      <c r="H2158">
        <v>0</v>
      </c>
      <c r="I2158">
        <v>0</v>
      </c>
      <c r="J2158">
        <v>-46617.52</v>
      </c>
      <c r="K2158">
        <v>0</v>
      </c>
      <c r="L2158">
        <v>9903196.1199999992</v>
      </c>
      <c r="M2158">
        <v>10023029.050000001</v>
      </c>
      <c r="N2158">
        <v>9903196.1199999992</v>
      </c>
      <c r="O2158">
        <v>10023029.050000001</v>
      </c>
      <c r="P2158">
        <v>9903196.1199999992</v>
      </c>
      <c r="Q2158">
        <v>10023029.050000001</v>
      </c>
      <c r="R2158" s="14">
        <f>_xlfn.XLOOKUP(Table2[[#This Row],[LoanID]],Table1[G-L ID],Table1[ManagerCode],-99)</f>
        <v>183</v>
      </c>
      <c r="T2158"/>
    </row>
    <row r="2159" spans="1:20" x14ac:dyDescent="0.25">
      <c r="A2159">
        <v>20130930</v>
      </c>
      <c r="B2159">
        <v>2013</v>
      </c>
      <c r="C2159">
        <v>9</v>
      </c>
      <c r="D2159">
        <v>1</v>
      </c>
      <c r="E2159">
        <v>12130</v>
      </c>
      <c r="F2159">
        <v>108239.7</v>
      </c>
      <c r="G2159">
        <v>0</v>
      </c>
      <c r="H2159">
        <v>0</v>
      </c>
      <c r="I2159">
        <v>0</v>
      </c>
      <c r="J2159">
        <v>-723329.4</v>
      </c>
      <c r="K2159">
        <v>0</v>
      </c>
      <c r="L2159">
        <v>13972590.550000001</v>
      </c>
      <c r="M2159">
        <v>14695919.949999999</v>
      </c>
      <c r="N2159">
        <v>13972590.550000001</v>
      </c>
      <c r="O2159">
        <v>14695919.949999999</v>
      </c>
      <c r="P2159">
        <v>13972590.550000001</v>
      </c>
      <c r="Q2159">
        <v>14695919.949999999</v>
      </c>
      <c r="R2159" s="14">
        <f>_xlfn.XLOOKUP(Table2[[#This Row],[LoanID]],Table1[G-L ID],Table1[ManagerCode],-99)</f>
        <v>183</v>
      </c>
      <c r="T2159"/>
    </row>
    <row r="2160" spans="1:20" x14ac:dyDescent="0.25">
      <c r="A2160">
        <v>20130930</v>
      </c>
      <c r="B2160">
        <v>2013</v>
      </c>
      <c r="C2160">
        <v>9</v>
      </c>
      <c r="D2160">
        <v>1</v>
      </c>
      <c r="E2160">
        <v>12190</v>
      </c>
      <c r="F2160">
        <v>0</v>
      </c>
      <c r="G2160">
        <v>0</v>
      </c>
      <c r="H2160">
        <v>0</v>
      </c>
      <c r="I2160">
        <v>0</v>
      </c>
      <c r="J2160">
        <v>0</v>
      </c>
      <c r="K2160">
        <v>0</v>
      </c>
      <c r="L2160">
        <v>37500000</v>
      </c>
      <c r="M2160">
        <v>37500000</v>
      </c>
      <c r="N2160">
        <v>37500000</v>
      </c>
      <c r="O2160">
        <v>37500000</v>
      </c>
      <c r="P2160">
        <v>37500000</v>
      </c>
      <c r="Q2160">
        <v>37500000</v>
      </c>
      <c r="R2160" s="14">
        <f>_xlfn.XLOOKUP(Table2[[#This Row],[LoanID]],Table1[G-L ID],Table1[ManagerCode],-99)</f>
        <v>220</v>
      </c>
      <c r="T2160"/>
    </row>
    <row r="2161" spans="1:20" x14ac:dyDescent="0.25">
      <c r="A2161">
        <v>20130930</v>
      </c>
      <c r="B2161">
        <v>2013</v>
      </c>
      <c r="C2161">
        <v>9</v>
      </c>
      <c r="D2161">
        <v>1</v>
      </c>
      <c r="E2161">
        <v>12210</v>
      </c>
      <c r="F2161">
        <v>696943.32</v>
      </c>
      <c r="G2161">
        <v>0</v>
      </c>
      <c r="H2161">
        <v>0</v>
      </c>
      <c r="I2161">
        <v>0</v>
      </c>
      <c r="J2161">
        <v>0</v>
      </c>
      <c r="K2161">
        <v>203562.23</v>
      </c>
      <c r="L2161">
        <v>131149384.09999999</v>
      </c>
      <c r="M2161">
        <v>131730003</v>
      </c>
      <c r="N2161">
        <v>131149384.09999999</v>
      </c>
      <c r="O2161">
        <v>131730003</v>
      </c>
      <c r="P2161">
        <v>112766555.7</v>
      </c>
      <c r="Q2161">
        <v>112562993.40000001</v>
      </c>
      <c r="R2161" s="14">
        <f>_xlfn.XLOOKUP(Table2[[#This Row],[LoanID]],Table1[G-L ID],Table1[ManagerCode],-99)</f>
        <v>103</v>
      </c>
      <c r="T2161"/>
    </row>
    <row r="2162" spans="1:20" x14ac:dyDescent="0.25">
      <c r="A2162">
        <v>20130930</v>
      </c>
      <c r="B2162">
        <v>2013</v>
      </c>
      <c r="C2162">
        <v>9</v>
      </c>
      <c r="D2162">
        <v>1</v>
      </c>
      <c r="E2162">
        <v>12230</v>
      </c>
      <c r="F2162">
        <v>284427.95</v>
      </c>
      <c r="G2162">
        <v>0</v>
      </c>
      <c r="H2162">
        <v>0</v>
      </c>
      <c r="I2162">
        <v>0</v>
      </c>
      <c r="J2162">
        <v>0</v>
      </c>
      <c r="K2162">
        <v>0</v>
      </c>
      <c r="L2162">
        <v>54675074</v>
      </c>
      <c r="M2162">
        <v>54675074</v>
      </c>
      <c r="N2162">
        <v>36451872</v>
      </c>
      <c r="O2162">
        <v>36451872</v>
      </c>
      <c r="P2162">
        <v>54675074</v>
      </c>
      <c r="Q2162">
        <v>54675074</v>
      </c>
      <c r="R2162" s="14">
        <f>_xlfn.XLOOKUP(Table2[[#This Row],[LoanID]],Table1[G-L ID],Table1[ManagerCode],-99)</f>
        <v>183</v>
      </c>
      <c r="T2162"/>
    </row>
    <row r="2163" spans="1:20" x14ac:dyDescent="0.25">
      <c r="A2163">
        <v>20130930</v>
      </c>
      <c r="B2163">
        <v>2013</v>
      </c>
      <c r="C2163">
        <v>9</v>
      </c>
      <c r="D2163">
        <v>1</v>
      </c>
      <c r="E2163">
        <v>15580</v>
      </c>
      <c r="F2163">
        <v>119447.93</v>
      </c>
      <c r="G2163">
        <v>-3883.64</v>
      </c>
      <c r="H2163">
        <v>0</v>
      </c>
      <c r="I2163">
        <v>0</v>
      </c>
      <c r="J2163">
        <v>0</v>
      </c>
      <c r="K2163">
        <v>3953.38</v>
      </c>
      <c r="L2163">
        <v>15115525.789999999</v>
      </c>
      <c r="M2163">
        <v>15107688.77</v>
      </c>
      <c r="N2163">
        <v>15115525.789999999</v>
      </c>
      <c r="O2163">
        <v>15107688.77</v>
      </c>
      <c r="P2163">
        <v>15115525.789999999</v>
      </c>
      <c r="Q2163">
        <v>15107688.77</v>
      </c>
      <c r="R2163" s="14">
        <f>_xlfn.XLOOKUP(Table2[[#This Row],[LoanID]],Table1[G-L ID],Table1[ManagerCode],-99)</f>
        <v>212</v>
      </c>
      <c r="T2163"/>
    </row>
    <row r="2164" spans="1:20" x14ac:dyDescent="0.25">
      <c r="A2164">
        <v>20131031</v>
      </c>
      <c r="B2164">
        <v>2013</v>
      </c>
      <c r="C2164">
        <v>10</v>
      </c>
      <c r="D2164">
        <v>1</v>
      </c>
      <c r="E2164">
        <v>10050</v>
      </c>
      <c r="F2164">
        <v>149013.89000000001</v>
      </c>
      <c r="G2164">
        <v>0</v>
      </c>
      <c r="H2164">
        <v>0</v>
      </c>
      <c r="I2164">
        <v>0</v>
      </c>
      <c r="J2164">
        <v>0</v>
      </c>
      <c r="K2164">
        <v>0</v>
      </c>
      <c r="L2164">
        <v>36218963.530000001</v>
      </c>
      <c r="M2164">
        <v>36789929.240000002</v>
      </c>
      <c r="N2164">
        <v>36218963.530000001</v>
      </c>
      <c r="O2164">
        <v>36789929.240000002</v>
      </c>
      <c r="P2164">
        <v>33333334</v>
      </c>
      <c r="Q2164">
        <v>33333334</v>
      </c>
      <c r="R2164" s="14">
        <f>_xlfn.XLOOKUP(Table2[[#This Row],[LoanID]],Table1[G-L ID],Table1[ManagerCode],-99)</f>
        <v>103</v>
      </c>
      <c r="T2164"/>
    </row>
    <row r="2165" spans="1:20" x14ac:dyDescent="0.25">
      <c r="A2165">
        <v>20131031</v>
      </c>
      <c r="B2165">
        <v>2013</v>
      </c>
      <c r="C2165">
        <v>10</v>
      </c>
      <c r="D2165">
        <v>1</v>
      </c>
      <c r="E2165">
        <v>10060</v>
      </c>
      <c r="F2165">
        <v>120833.33</v>
      </c>
      <c r="G2165">
        <v>0</v>
      </c>
      <c r="H2165">
        <v>0</v>
      </c>
      <c r="I2165">
        <v>0</v>
      </c>
      <c r="J2165">
        <v>0</v>
      </c>
      <c r="K2165">
        <v>0</v>
      </c>
      <c r="L2165">
        <v>19000000</v>
      </c>
      <c r="M2165">
        <v>19000000</v>
      </c>
      <c r="N2165">
        <v>19000000</v>
      </c>
      <c r="O2165">
        <v>19000000</v>
      </c>
      <c r="P2165">
        <v>20000000</v>
      </c>
      <c r="Q2165">
        <v>20000000</v>
      </c>
      <c r="R2165" s="14">
        <f>_xlfn.XLOOKUP(Table2[[#This Row],[LoanID]],Table1[G-L ID],Table1[ManagerCode],-99)</f>
        <v>103</v>
      </c>
      <c r="T2165"/>
    </row>
    <row r="2166" spans="1:20" x14ac:dyDescent="0.25">
      <c r="A2166">
        <v>20131031</v>
      </c>
      <c r="B2166">
        <v>2013</v>
      </c>
      <c r="C2166">
        <v>10</v>
      </c>
      <c r="D2166">
        <v>1</v>
      </c>
      <c r="E2166">
        <v>10080</v>
      </c>
      <c r="F2166">
        <v>339718.75</v>
      </c>
      <c r="G2166">
        <v>0</v>
      </c>
      <c r="H2166">
        <v>0</v>
      </c>
      <c r="I2166">
        <v>-156.25</v>
      </c>
      <c r="J2166">
        <v>0</v>
      </c>
      <c r="K2166">
        <v>0</v>
      </c>
      <c r="L2166">
        <v>74249925.75</v>
      </c>
      <c r="M2166">
        <v>78024974.730000004</v>
      </c>
      <c r="N2166">
        <v>74249925.75</v>
      </c>
      <c r="O2166">
        <v>78024974.730000004</v>
      </c>
      <c r="P2166">
        <v>75000000</v>
      </c>
      <c r="Q2166">
        <v>75000000</v>
      </c>
      <c r="R2166" s="14">
        <f>_xlfn.XLOOKUP(Table2[[#This Row],[LoanID]],Table1[G-L ID],Table1[ManagerCode],-99)</f>
        <v>103</v>
      </c>
      <c r="T2166"/>
    </row>
    <row r="2167" spans="1:20" x14ac:dyDescent="0.25">
      <c r="A2167">
        <v>20131031</v>
      </c>
      <c r="B2167">
        <v>2013</v>
      </c>
      <c r="C2167">
        <v>10</v>
      </c>
      <c r="D2167">
        <v>1</v>
      </c>
      <c r="E2167">
        <v>10170</v>
      </c>
      <c r="F2167">
        <v>232441.82</v>
      </c>
      <c r="G2167">
        <v>0</v>
      </c>
      <c r="H2167">
        <v>0</v>
      </c>
      <c r="I2167">
        <v>-1113.94</v>
      </c>
      <c r="J2167">
        <v>0</v>
      </c>
      <c r="K2167">
        <v>80795.8</v>
      </c>
      <c r="L2167">
        <v>46433409.57</v>
      </c>
      <c r="M2167">
        <v>46232180.990000002</v>
      </c>
      <c r="N2167">
        <v>46433409.57</v>
      </c>
      <c r="O2167">
        <v>46232180.990000002</v>
      </c>
      <c r="P2167">
        <v>44557538.100000001</v>
      </c>
      <c r="Q2167">
        <v>44476742.299999997</v>
      </c>
      <c r="R2167" s="14">
        <f>_xlfn.XLOOKUP(Table2[[#This Row],[LoanID]],Table1[G-L ID],Table1[ManagerCode],-99)</f>
        <v>103</v>
      </c>
      <c r="T2167"/>
    </row>
    <row r="2168" spans="1:20" x14ac:dyDescent="0.25">
      <c r="A2168">
        <v>20131031</v>
      </c>
      <c r="B2168">
        <v>2013</v>
      </c>
      <c r="C2168">
        <v>10</v>
      </c>
      <c r="D2168">
        <v>1</v>
      </c>
      <c r="E2168">
        <v>10190</v>
      </c>
      <c r="F2168">
        <v>0</v>
      </c>
      <c r="G2168">
        <v>0</v>
      </c>
      <c r="H2168">
        <v>0</v>
      </c>
      <c r="I2168">
        <v>0</v>
      </c>
      <c r="J2168">
        <v>0</v>
      </c>
      <c r="K2168">
        <v>0</v>
      </c>
      <c r="L2168">
        <v>9500000</v>
      </c>
      <c r="M2168">
        <v>9500000</v>
      </c>
      <c r="N2168">
        <v>9500000</v>
      </c>
      <c r="O2168">
        <v>9500000</v>
      </c>
      <c r="P2168">
        <v>10000000</v>
      </c>
      <c r="Q2168">
        <v>10000000</v>
      </c>
      <c r="R2168" s="14">
        <f>_xlfn.XLOOKUP(Table2[[#This Row],[LoanID]],Table1[G-L ID],Table1[ManagerCode],-99)</f>
        <v>103</v>
      </c>
      <c r="T2168"/>
    </row>
    <row r="2169" spans="1:20" x14ac:dyDescent="0.25">
      <c r="A2169">
        <v>20131031</v>
      </c>
      <c r="B2169">
        <v>2013</v>
      </c>
      <c r="C2169">
        <v>10</v>
      </c>
      <c r="D2169">
        <v>1</v>
      </c>
      <c r="E2169">
        <v>10200</v>
      </c>
      <c r="F2169">
        <v>0</v>
      </c>
      <c r="G2169">
        <v>0</v>
      </c>
      <c r="H2169">
        <v>0</v>
      </c>
      <c r="I2169">
        <v>0</v>
      </c>
      <c r="J2169">
        <v>0</v>
      </c>
      <c r="K2169">
        <v>0</v>
      </c>
      <c r="L2169">
        <v>29307500</v>
      </c>
      <c r="M2169">
        <v>29307500</v>
      </c>
      <c r="N2169">
        <v>29307500</v>
      </c>
      <c r="O2169">
        <v>29307500</v>
      </c>
      <c r="P2169">
        <v>30850000</v>
      </c>
      <c r="Q2169">
        <v>30850000</v>
      </c>
      <c r="R2169" s="14">
        <f>_xlfn.XLOOKUP(Table2[[#This Row],[LoanID]],Table1[G-L ID],Table1[ManagerCode],-99)</f>
        <v>103</v>
      </c>
      <c r="T2169"/>
    </row>
    <row r="2170" spans="1:20" x14ac:dyDescent="0.25">
      <c r="A2170">
        <v>20131031</v>
      </c>
      <c r="B2170">
        <v>2013</v>
      </c>
      <c r="C2170">
        <v>10</v>
      </c>
      <c r="D2170">
        <v>1</v>
      </c>
      <c r="E2170">
        <v>10220</v>
      </c>
      <c r="F2170">
        <v>541666.67000000004</v>
      </c>
      <c r="G2170">
        <v>0</v>
      </c>
      <c r="H2170">
        <v>0</v>
      </c>
      <c r="I2170">
        <v>0</v>
      </c>
      <c r="J2170">
        <v>0</v>
      </c>
      <c r="K2170">
        <v>0</v>
      </c>
      <c r="L2170">
        <v>99000000</v>
      </c>
      <c r="M2170">
        <v>99000000</v>
      </c>
      <c r="N2170">
        <v>99000000</v>
      </c>
      <c r="O2170">
        <v>99000000</v>
      </c>
      <c r="P2170">
        <v>100000000</v>
      </c>
      <c r="Q2170">
        <v>100000000</v>
      </c>
      <c r="R2170" s="14">
        <f>_xlfn.XLOOKUP(Table2[[#This Row],[LoanID]],Table1[G-L ID],Table1[ManagerCode],-99)</f>
        <v>103</v>
      </c>
      <c r="T2170"/>
    </row>
    <row r="2171" spans="1:20" x14ac:dyDescent="0.25">
      <c r="A2171">
        <v>20131031</v>
      </c>
      <c r="B2171">
        <v>2013</v>
      </c>
      <c r="C2171">
        <v>10</v>
      </c>
      <c r="D2171">
        <v>1</v>
      </c>
      <c r="E2171">
        <v>10230</v>
      </c>
      <c r="F2171">
        <v>174974.62</v>
      </c>
      <c r="G2171">
        <v>0</v>
      </c>
      <c r="H2171">
        <v>0</v>
      </c>
      <c r="I2171">
        <v>0</v>
      </c>
      <c r="J2171">
        <v>0</v>
      </c>
      <c r="K2171">
        <v>66623.45</v>
      </c>
      <c r="L2171">
        <v>29595114.460000001</v>
      </c>
      <c r="M2171">
        <v>29531822.199999999</v>
      </c>
      <c r="N2171">
        <v>29595114.460000001</v>
      </c>
      <c r="O2171">
        <v>29531822.199999999</v>
      </c>
      <c r="P2171">
        <v>31152752.050000001</v>
      </c>
      <c r="Q2171">
        <v>31086128.600000001</v>
      </c>
      <c r="R2171" s="14">
        <f>_xlfn.XLOOKUP(Table2[[#This Row],[LoanID]],Table1[G-L ID],Table1[ManagerCode],-99)</f>
        <v>103</v>
      </c>
      <c r="T2171"/>
    </row>
    <row r="2172" spans="1:20" x14ac:dyDescent="0.25">
      <c r="A2172">
        <v>20131031</v>
      </c>
      <c r="B2172">
        <v>2013</v>
      </c>
      <c r="C2172">
        <v>10</v>
      </c>
      <c r="D2172">
        <v>1</v>
      </c>
      <c r="E2172">
        <v>10280</v>
      </c>
      <c r="F2172">
        <v>175560</v>
      </c>
      <c r="G2172">
        <v>0</v>
      </c>
      <c r="H2172">
        <v>0</v>
      </c>
      <c r="I2172">
        <v>0.01</v>
      </c>
      <c r="J2172">
        <v>0</v>
      </c>
      <c r="K2172">
        <v>0</v>
      </c>
      <c r="L2172">
        <v>35081743.770000003</v>
      </c>
      <c r="M2172">
        <v>36229561.399999999</v>
      </c>
      <c r="N2172">
        <v>35081743.770000003</v>
      </c>
      <c r="O2172">
        <v>36229561.399999999</v>
      </c>
      <c r="P2172">
        <v>35000000</v>
      </c>
      <c r="Q2172">
        <v>35000000</v>
      </c>
      <c r="R2172" s="14">
        <f>_xlfn.XLOOKUP(Table2[[#This Row],[LoanID]],Table1[G-L ID],Table1[ManagerCode],-99)</f>
        <v>103</v>
      </c>
      <c r="T2172"/>
    </row>
    <row r="2173" spans="1:20" x14ac:dyDescent="0.25">
      <c r="A2173">
        <v>20131031</v>
      </c>
      <c r="B2173">
        <v>2013</v>
      </c>
      <c r="C2173">
        <v>10</v>
      </c>
      <c r="D2173">
        <v>1</v>
      </c>
      <c r="E2173">
        <v>10290</v>
      </c>
      <c r="F2173">
        <v>165775</v>
      </c>
      <c r="G2173">
        <v>0</v>
      </c>
      <c r="H2173">
        <v>0</v>
      </c>
      <c r="I2173">
        <v>0</v>
      </c>
      <c r="J2173">
        <v>0</v>
      </c>
      <c r="K2173">
        <v>0</v>
      </c>
      <c r="L2173">
        <v>24750000</v>
      </c>
      <c r="M2173">
        <v>24750000</v>
      </c>
      <c r="N2173">
        <v>24750000</v>
      </c>
      <c r="O2173">
        <v>24750000</v>
      </c>
      <c r="P2173">
        <v>25000000</v>
      </c>
      <c r="Q2173">
        <v>25000000</v>
      </c>
      <c r="R2173" s="14">
        <f>_xlfn.XLOOKUP(Table2[[#This Row],[LoanID]],Table1[G-L ID],Table1[ManagerCode],-99)</f>
        <v>103</v>
      </c>
      <c r="T2173"/>
    </row>
    <row r="2174" spans="1:20" x14ac:dyDescent="0.25">
      <c r="A2174">
        <v>20131031</v>
      </c>
      <c r="B2174">
        <v>2013</v>
      </c>
      <c r="C2174">
        <v>10</v>
      </c>
      <c r="D2174">
        <v>1</v>
      </c>
      <c r="E2174">
        <v>10300</v>
      </c>
      <c r="F2174">
        <v>145052.82999999999</v>
      </c>
      <c r="G2174">
        <v>0</v>
      </c>
      <c r="H2174">
        <v>0</v>
      </c>
      <c r="I2174">
        <v>0</v>
      </c>
      <c r="J2174">
        <v>0</v>
      </c>
      <c r="K2174">
        <v>0</v>
      </c>
      <c r="L2174">
        <v>34971146.210000001</v>
      </c>
      <c r="M2174">
        <v>36532904.770000003</v>
      </c>
      <c r="N2174">
        <v>34971146.210000001</v>
      </c>
      <c r="O2174">
        <v>36532904.770000003</v>
      </c>
      <c r="P2174">
        <v>35000000</v>
      </c>
      <c r="Q2174">
        <v>35000000</v>
      </c>
      <c r="R2174" s="14">
        <f>_xlfn.XLOOKUP(Table2[[#This Row],[LoanID]],Table1[G-L ID],Table1[ManagerCode],-99)</f>
        <v>103</v>
      </c>
      <c r="T2174"/>
    </row>
    <row r="2175" spans="1:20" x14ac:dyDescent="0.25">
      <c r="A2175">
        <v>20131031</v>
      </c>
      <c r="B2175">
        <v>2013</v>
      </c>
      <c r="C2175">
        <v>10</v>
      </c>
      <c r="D2175">
        <v>1</v>
      </c>
      <c r="E2175">
        <v>10340</v>
      </c>
      <c r="F2175">
        <v>101432.29</v>
      </c>
      <c r="G2175">
        <v>0</v>
      </c>
      <c r="H2175">
        <v>0</v>
      </c>
      <c r="I2175">
        <v>0</v>
      </c>
      <c r="J2175">
        <v>0</v>
      </c>
      <c r="K2175">
        <v>0</v>
      </c>
      <c r="L2175">
        <v>11875000</v>
      </c>
      <c r="M2175">
        <v>11875000</v>
      </c>
      <c r="N2175">
        <v>11875000</v>
      </c>
      <c r="O2175">
        <v>11875000</v>
      </c>
      <c r="P2175">
        <v>11875000</v>
      </c>
      <c r="Q2175">
        <v>11875000</v>
      </c>
      <c r="R2175" s="14">
        <f>_xlfn.XLOOKUP(Table2[[#This Row],[LoanID]],Table1[G-L ID],Table1[ManagerCode],-99)</f>
        <v>220</v>
      </c>
      <c r="T2175"/>
    </row>
    <row r="2176" spans="1:20" x14ac:dyDescent="0.25">
      <c r="A2176">
        <v>20131031</v>
      </c>
      <c r="B2176">
        <v>2013</v>
      </c>
      <c r="C2176">
        <v>10</v>
      </c>
      <c r="D2176">
        <v>1</v>
      </c>
      <c r="E2176">
        <v>10370</v>
      </c>
      <c r="F2176">
        <v>3460.95</v>
      </c>
      <c r="G2176">
        <v>0</v>
      </c>
      <c r="H2176">
        <v>0</v>
      </c>
      <c r="I2176">
        <v>0</v>
      </c>
      <c r="J2176">
        <v>0</v>
      </c>
      <c r="K2176">
        <v>42054.59</v>
      </c>
      <c r="L2176">
        <v>2033752.88</v>
      </c>
      <c r="M2176">
        <v>1993801.01</v>
      </c>
      <c r="N2176">
        <v>2033752.88</v>
      </c>
      <c r="O2176">
        <v>1993801.01</v>
      </c>
      <c r="P2176">
        <v>2140792.5</v>
      </c>
      <c r="Q2176">
        <v>2098737.91</v>
      </c>
      <c r="R2176" s="14">
        <f>_xlfn.XLOOKUP(Table2[[#This Row],[LoanID]],Table1[G-L ID],Table1[ManagerCode],-99)</f>
        <v>103</v>
      </c>
      <c r="T2176"/>
    </row>
    <row r="2177" spans="1:20" x14ac:dyDescent="0.25">
      <c r="A2177">
        <v>20131031</v>
      </c>
      <c r="B2177">
        <v>2013</v>
      </c>
      <c r="C2177">
        <v>10</v>
      </c>
      <c r="D2177">
        <v>1</v>
      </c>
      <c r="E2177">
        <v>10390</v>
      </c>
      <c r="F2177">
        <v>118750</v>
      </c>
      <c r="G2177">
        <v>0</v>
      </c>
      <c r="H2177">
        <v>0</v>
      </c>
      <c r="I2177">
        <v>0</v>
      </c>
      <c r="J2177">
        <v>0</v>
      </c>
      <c r="K2177">
        <v>0</v>
      </c>
      <c r="L2177">
        <v>23750000</v>
      </c>
      <c r="M2177">
        <v>23750000</v>
      </c>
      <c r="N2177">
        <v>23750000</v>
      </c>
      <c r="O2177">
        <v>23750000</v>
      </c>
      <c r="P2177">
        <v>24998571.309999999</v>
      </c>
      <c r="Q2177">
        <v>24998775.390000001</v>
      </c>
      <c r="R2177" s="14">
        <f>_xlfn.XLOOKUP(Table2[[#This Row],[LoanID]],Table1[G-L ID],Table1[ManagerCode],-99)</f>
        <v>103</v>
      </c>
      <c r="T2177"/>
    </row>
    <row r="2178" spans="1:20" x14ac:dyDescent="0.25">
      <c r="A2178">
        <v>20131031</v>
      </c>
      <c r="B2178">
        <v>2013</v>
      </c>
      <c r="C2178">
        <v>10</v>
      </c>
      <c r="D2178">
        <v>1</v>
      </c>
      <c r="E2178">
        <v>10400</v>
      </c>
      <c r="F2178">
        <v>399375</v>
      </c>
      <c r="G2178">
        <v>0</v>
      </c>
      <c r="H2178">
        <v>0</v>
      </c>
      <c r="I2178">
        <v>0</v>
      </c>
      <c r="J2178">
        <v>0</v>
      </c>
      <c r="K2178">
        <v>0</v>
      </c>
      <c r="L2178">
        <v>45000000</v>
      </c>
      <c r="M2178">
        <v>45000000</v>
      </c>
      <c r="N2178">
        <v>45000000</v>
      </c>
      <c r="O2178">
        <v>45000000</v>
      </c>
      <c r="P2178">
        <v>45000000</v>
      </c>
      <c r="Q2178">
        <v>45000000</v>
      </c>
      <c r="R2178" s="14">
        <f>_xlfn.XLOOKUP(Table2[[#This Row],[LoanID]],Table1[G-L ID],Table1[ManagerCode],-99)</f>
        <v>220</v>
      </c>
      <c r="T2178"/>
    </row>
    <row r="2179" spans="1:20" x14ac:dyDescent="0.25">
      <c r="A2179">
        <v>20131031</v>
      </c>
      <c r="B2179">
        <v>2013</v>
      </c>
      <c r="C2179">
        <v>10</v>
      </c>
      <c r="D2179">
        <v>1</v>
      </c>
      <c r="E2179">
        <v>10430</v>
      </c>
      <c r="F2179">
        <v>60614.06</v>
      </c>
      <c r="G2179">
        <v>0</v>
      </c>
      <c r="H2179">
        <v>0</v>
      </c>
      <c r="I2179">
        <v>0</v>
      </c>
      <c r="J2179">
        <v>0</v>
      </c>
      <c r="K2179">
        <v>14875</v>
      </c>
      <c r="L2179">
        <v>6940500</v>
      </c>
      <c r="M2179">
        <v>6925625</v>
      </c>
      <c r="N2179">
        <v>6940500</v>
      </c>
      <c r="O2179">
        <v>6925625</v>
      </c>
      <c r="P2179">
        <v>6940500</v>
      </c>
      <c r="Q2179">
        <v>6925625</v>
      </c>
      <c r="R2179" s="14">
        <f>_xlfn.XLOOKUP(Table2[[#This Row],[LoanID]],Table1[G-L ID],Table1[ManagerCode],-99)</f>
        <v>119</v>
      </c>
      <c r="T2179"/>
    </row>
    <row r="2180" spans="1:20" x14ac:dyDescent="0.25">
      <c r="A2180">
        <v>20131031</v>
      </c>
      <c r="B2180">
        <v>2013</v>
      </c>
      <c r="C2180">
        <v>10</v>
      </c>
      <c r="D2180">
        <v>1</v>
      </c>
      <c r="E2180">
        <v>10460</v>
      </c>
      <c r="F2180">
        <v>0</v>
      </c>
      <c r="G2180">
        <v>0</v>
      </c>
      <c r="H2180">
        <v>0</v>
      </c>
      <c r="I2180">
        <v>0</v>
      </c>
      <c r="J2180">
        <v>0</v>
      </c>
      <c r="K2180">
        <v>0</v>
      </c>
      <c r="L2180">
        <v>25699397.329999998</v>
      </c>
      <c r="M2180">
        <v>25883021.91</v>
      </c>
      <c r="N2180">
        <v>25699397.329999998</v>
      </c>
      <c r="O2180">
        <v>25883021.91</v>
      </c>
      <c r="P2180">
        <v>25000000.010000002</v>
      </c>
      <c r="Q2180">
        <v>25000000.010000002</v>
      </c>
      <c r="R2180" s="14">
        <f>_xlfn.XLOOKUP(Table2[[#This Row],[LoanID]],Table1[G-L ID],Table1[ManagerCode],-99)</f>
        <v>103</v>
      </c>
      <c r="T2180"/>
    </row>
    <row r="2181" spans="1:20" x14ac:dyDescent="0.25">
      <c r="A2181">
        <v>20131031</v>
      </c>
      <c r="B2181">
        <v>2013</v>
      </c>
      <c r="C2181">
        <v>10</v>
      </c>
      <c r="D2181">
        <v>1</v>
      </c>
      <c r="E2181">
        <v>10490</v>
      </c>
      <c r="F2181">
        <v>153423.97</v>
      </c>
      <c r="G2181">
        <v>0</v>
      </c>
      <c r="H2181">
        <v>0</v>
      </c>
      <c r="I2181">
        <v>0</v>
      </c>
      <c r="J2181">
        <v>0</v>
      </c>
      <c r="K2181">
        <v>0</v>
      </c>
      <c r="L2181">
        <v>17534168</v>
      </c>
      <c r="M2181">
        <v>17534168</v>
      </c>
      <c r="N2181">
        <v>17534168</v>
      </c>
      <c r="O2181">
        <v>17534168</v>
      </c>
      <c r="P2181">
        <v>17534168</v>
      </c>
      <c r="Q2181">
        <v>17534168</v>
      </c>
      <c r="R2181" s="14">
        <f>_xlfn.XLOOKUP(Table2[[#This Row],[LoanID]],Table1[G-L ID],Table1[ManagerCode],-99)</f>
        <v>220</v>
      </c>
      <c r="T2181"/>
    </row>
    <row r="2182" spans="1:20" x14ac:dyDescent="0.25">
      <c r="A2182">
        <v>20131031</v>
      </c>
      <c r="B2182">
        <v>2013</v>
      </c>
      <c r="C2182">
        <v>10</v>
      </c>
      <c r="D2182">
        <v>1</v>
      </c>
      <c r="E2182">
        <v>10510</v>
      </c>
      <c r="F2182">
        <v>282470.88</v>
      </c>
      <c r="G2182">
        <v>0</v>
      </c>
      <c r="H2182">
        <v>0</v>
      </c>
      <c r="I2182">
        <v>0</v>
      </c>
      <c r="J2182">
        <v>0</v>
      </c>
      <c r="K2182">
        <v>0</v>
      </c>
      <c r="L2182">
        <v>45000000</v>
      </c>
      <c r="M2182">
        <v>45000000</v>
      </c>
      <c r="N2182">
        <v>45000000</v>
      </c>
      <c r="O2182">
        <v>45000000</v>
      </c>
      <c r="P2182">
        <v>45000000</v>
      </c>
      <c r="Q2182">
        <v>45000000</v>
      </c>
      <c r="R2182" s="14">
        <f>_xlfn.XLOOKUP(Table2[[#This Row],[LoanID]],Table1[G-L ID],Table1[ManagerCode],-99)</f>
        <v>220</v>
      </c>
      <c r="T2182"/>
    </row>
    <row r="2183" spans="1:20" x14ac:dyDescent="0.25">
      <c r="A2183">
        <v>20131031</v>
      </c>
      <c r="B2183">
        <v>2013</v>
      </c>
      <c r="C2183">
        <v>10</v>
      </c>
      <c r="D2183">
        <v>1</v>
      </c>
      <c r="E2183">
        <v>10570</v>
      </c>
      <c r="F2183">
        <v>0</v>
      </c>
      <c r="G2183">
        <v>0</v>
      </c>
      <c r="H2183">
        <v>0</v>
      </c>
      <c r="I2183">
        <v>0</v>
      </c>
      <c r="J2183">
        <v>-220000000</v>
      </c>
      <c r="K2183">
        <v>0</v>
      </c>
      <c r="L2183">
        <v>0</v>
      </c>
      <c r="M2183">
        <v>217800000</v>
      </c>
      <c r="N2183">
        <v>0</v>
      </c>
      <c r="O2183">
        <v>217800000</v>
      </c>
      <c r="P2183">
        <v>0</v>
      </c>
      <c r="Q2183">
        <v>220000000</v>
      </c>
      <c r="R2183" s="14">
        <f>_xlfn.XLOOKUP(Table2[[#This Row],[LoanID]],Table1[G-L ID],Table1[ManagerCode],-99)</f>
        <v>103</v>
      </c>
      <c r="T2183"/>
    </row>
    <row r="2184" spans="1:20" x14ac:dyDescent="0.25">
      <c r="A2184">
        <v>20131031</v>
      </c>
      <c r="B2184">
        <v>2013</v>
      </c>
      <c r="C2184">
        <v>10</v>
      </c>
      <c r="D2184">
        <v>1</v>
      </c>
      <c r="E2184">
        <v>10591</v>
      </c>
      <c r="F2184">
        <v>220157.99</v>
      </c>
      <c r="G2184">
        <v>0</v>
      </c>
      <c r="H2184">
        <v>0</v>
      </c>
      <c r="I2184">
        <v>0</v>
      </c>
      <c r="J2184">
        <v>0</v>
      </c>
      <c r="K2184">
        <v>30820.73</v>
      </c>
      <c r="L2184">
        <v>25876974.57</v>
      </c>
      <c r="M2184">
        <v>25846153.84</v>
      </c>
      <c r="N2184">
        <v>25876974.57</v>
      </c>
      <c r="O2184">
        <v>25846153.84</v>
      </c>
      <c r="P2184">
        <v>25876974.57</v>
      </c>
      <c r="Q2184">
        <v>25846153.84</v>
      </c>
      <c r="R2184" s="14">
        <f>_xlfn.XLOOKUP(Table2[[#This Row],[LoanID]],Table1[G-L ID],Table1[ManagerCode],-99)</f>
        <v>220</v>
      </c>
      <c r="T2184"/>
    </row>
    <row r="2185" spans="1:20" x14ac:dyDescent="0.25">
      <c r="A2185">
        <v>20131031</v>
      </c>
      <c r="B2185">
        <v>2013</v>
      </c>
      <c r="C2185">
        <v>10</v>
      </c>
      <c r="D2185">
        <v>1</v>
      </c>
      <c r="E2185">
        <v>10592</v>
      </c>
      <c r="F2185">
        <v>365215.13</v>
      </c>
      <c r="G2185">
        <v>0</v>
      </c>
      <c r="H2185">
        <v>0</v>
      </c>
      <c r="I2185">
        <v>0</v>
      </c>
      <c r="J2185">
        <v>0</v>
      </c>
      <c r="K2185">
        <v>45497.27</v>
      </c>
      <c r="L2185">
        <v>38199343.43</v>
      </c>
      <c r="M2185">
        <v>38153846.159999996</v>
      </c>
      <c r="N2185">
        <v>38199343.43</v>
      </c>
      <c r="O2185">
        <v>38153846.159999996</v>
      </c>
      <c r="P2185">
        <v>38199343.43</v>
      </c>
      <c r="Q2185">
        <v>38153846.159999996</v>
      </c>
      <c r="R2185" s="14">
        <f>_xlfn.XLOOKUP(Table2[[#This Row],[LoanID]],Table1[G-L ID],Table1[ManagerCode],-99)</f>
        <v>220</v>
      </c>
      <c r="T2185"/>
    </row>
    <row r="2186" spans="1:20" x14ac:dyDescent="0.25">
      <c r="A2186">
        <v>20131031</v>
      </c>
      <c r="B2186">
        <v>2013</v>
      </c>
      <c r="C2186">
        <v>10</v>
      </c>
      <c r="D2186">
        <v>1</v>
      </c>
      <c r="E2186">
        <v>10640</v>
      </c>
      <c r="F2186">
        <v>98263.27</v>
      </c>
      <c r="G2186">
        <v>0</v>
      </c>
      <c r="H2186">
        <v>0</v>
      </c>
      <c r="I2186">
        <v>0</v>
      </c>
      <c r="J2186">
        <v>0</v>
      </c>
      <c r="K2186">
        <v>0</v>
      </c>
      <c r="L2186">
        <v>11812500</v>
      </c>
      <c r="M2186">
        <v>11812500</v>
      </c>
      <c r="N2186">
        <v>11812500</v>
      </c>
      <c r="O2186">
        <v>11812500</v>
      </c>
      <c r="P2186">
        <v>11812500</v>
      </c>
      <c r="Q2186">
        <v>11812500</v>
      </c>
      <c r="R2186" s="14">
        <f>_xlfn.XLOOKUP(Table2[[#This Row],[LoanID]],Table1[G-L ID],Table1[ManagerCode],-99)</f>
        <v>220</v>
      </c>
      <c r="T2186"/>
    </row>
    <row r="2187" spans="1:20" x14ac:dyDescent="0.25">
      <c r="A2187">
        <v>20131031</v>
      </c>
      <c r="B2187">
        <v>2013</v>
      </c>
      <c r="C2187">
        <v>10</v>
      </c>
      <c r="D2187">
        <v>1</v>
      </c>
      <c r="E2187">
        <v>10660</v>
      </c>
      <c r="F2187">
        <v>154854.17000000001</v>
      </c>
      <c r="G2187">
        <v>0</v>
      </c>
      <c r="H2187">
        <v>0</v>
      </c>
      <c r="I2187">
        <v>0</v>
      </c>
      <c r="J2187">
        <v>0</v>
      </c>
      <c r="K2187">
        <v>0</v>
      </c>
      <c r="L2187">
        <v>25000000</v>
      </c>
      <c r="M2187">
        <v>25000000</v>
      </c>
      <c r="N2187">
        <v>25000000</v>
      </c>
      <c r="O2187">
        <v>25000000</v>
      </c>
      <c r="P2187">
        <v>25000000</v>
      </c>
      <c r="Q2187">
        <v>25000000</v>
      </c>
      <c r="R2187" s="14">
        <f>_xlfn.XLOOKUP(Table2[[#This Row],[LoanID]],Table1[G-L ID],Table1[ManagerCode],-99)</f>
        <v>119</v>
      </c>
      <c r="T2187"/>
    </row>
    <row r="2188" spans="1:20" x14ac:dyDescent="0.25">
      <c r="A2188">
        <v>20131031</v>
      </c>
      <c r="B2188">
        <v>2013</v>
      </c>
      <c r="C2188">
        <v>10</v>
      </c>
      <c r="D2188">
        <v>1</v>
      </c>
      <c r="E2188">
        <v>10690</v>
      </c>
      <c r="F2188">
        <v>83258.039999999994</v>
      </c>
      <c r="G2188">
        <v>23883.56</v>
      </c>
      <c r="H2188">
        <v>0</v>
      </c>
      <c r="I2188">
        <v>0</v>
      </c>
      <c r="J2188">
        <v>-372661.7</v>
      </c>
      <c r="K2188">
        <v>0</v>
      </c>
      <c r="L2188">
        <v>13742713.130000001</v>
      </c>
      <c r="M2188">
        <v>14139258.390000001</v>
      </c>
      <c r="N2188">
        <v>13742713.130000001</v>
      </c>
      <c r="O2188">
        <v>14139258.390000001</v>
      </c>
      <c r="P2188">
        <v>13742713.130000001</v>
      </c>
      <c r="Q2188">
        <v>14139258.390000001</v>
      </c>
      <c r="R2188" s="14">
        <f>_xlfn.XLOOKUP(Table2[[#This Row],[LoanID]],Table1[G-L ID],Table1[ManagerCode],-99)</f>
        <v>183</v>
      </c>
      <c r="T2188"/>
    </row>
    <row r="2189" spans="1:20" x14ac:dyDescent="0.25">
      <c r="A2189">
        <v>20131031</v>
      </c>
      <c r="B2189">
        <v>2013</v>
      </c>
      <c r="C2189">
        <v>10</v>
      </c>
      <c r="D2189">
        <v>1</v>
      </c>
      <c r="E2189">
        <v>10720</v>
      </c>
      <c r="F2189">
        <v>125000</v>
      </c>
      <c r="G2189">
        <v>86186.67</v>
      </c>
      <c r="H2189">
        <v>0</v>
      </c>
      <c r="I2189">
        <v>0</v>
      </c>
      <c r="J2189">
        <v>0</v>
      </c>
      <c r="K2189">
        <v>0</v>
      </c>
      <c r="L2189">
        <v>16349935.859999999</v>
      </c>
      <c r="M2189">
        <v>16436122.529999999</v>
      </c>
      <c r="N2189">
        <v>16349935.859999999</v>
      </c>
      <c r="O2189">
        <v>16436122.529999999</v>
      </c>
      <c r="P2189">
        <v>16349935.859999999</v>
      </c>
      <c r="Q2189">
        <v>16436122.529999999</v>
      </c>
      <c r="R2189" s="14">
        <f>_xlfn.XLOOKUP(Table2[[#This Row],[LoanID]],Table1[G-L ID],Table1[ManagerCode],-99)</f>
        <v>220</v>
      </c>
      <c r="T2189"/>
    </row>
    <row r="2190" spans="1:20" x14ac:dyDescent="0.25">
      <c r="A2190">
        <v>20131031</v>
      </c>
      <c r="B2190">
        <v>2013</v>
      </c>
      <c r="C2190">
        <v>10</v>
      </c>
      <c r="D2190">
        <v>1</v>
      </c>
      <c r="E2190">
        <v>10780</v>
      </c>
      <c r="F2190">
        <v>60372</v>
      </c>
      <c r="G2190">
        <v>0</v>
      </c>
      <c r="H2190">
        <v>0</v>
      </c>
      <c r="I2190">
        <v>0</v>
      </c>
      <c r="J2190">
        <v>-43000000</v>
      </c>
      <c r="K2190">
        <v>0</v>
      </c>
      <c r="L2190">
        <v>0</v>
      </c>
      <c r="M2190">
        <v>43000000</v>
      </c>
      <c r="N2190">
        <v>0</v>
      </c>
      <c r="O2190">
        <v>43000000</v>
      </c>
      <c r="P2190">
        <v>0</v>
      </c>
      <c r="Q2190">
        <v>43000000</v>
      </c>
      <c r="R2190" s="14">
        <f>_xlfn.XLOOKUP(Table2[[#This Row],[LoanID]],Table1[G-L ID],Table1[ManagerCode],-99)</f>
        <v>220</v>
      </c>
      <c r="T2190"/>
    </row>
    <row r="2191" spans="1:20" x14ac:dyDescent="0.25">
      <c r="A2191">
        <v>20131031</v>
      </c>
      <c r="B2191">
        <v>2013</v>
      </c>
      <c r="C2191">
        <v>10</v>
      </c>
      <c r="D2191">
        <v>1</v>
      </c>
      <c r="E2191">
        <v>10820</v>
      </c>
      <c r="F2191">
        <v>169395.27</v>
      </c>
      <c r="G2191">
        <v>0</v>
      </c>
      <c r="H2191">
        <v>0</v>
      </c>
      <c r="I2191">
        <v>0</v>
      </c>
      <c r="J2191">
        <v>0</v>
      </c>
      <c r="K2191">
        <v>0</v>
      </c>
      <c r="L2191">
        <v>21397297</v>
      </c>
      <c r="M2191">
        <v>21397297</v>
      </c>
      <c r="N2191">
        <v>21397297</v>
      </c>
      <c r="O2191">
        <v>21397297</v>
      </c>
      <c r="P2191">
        <v>21397297</v>
      </c>
      <c r="Q2191">
        <v>21397297</v>
      </c>
      <c r="R2191" s="14">
        <f>_xlfn.XLOOKUP(Table2[[#This Row],[LoanID]],Table1[G-L ID],Table1[ManagerCode],-99)</f>
        <v>220</v>
      </c>
      <c r="T2191"/>
    </row>
    <row r="2192" spans="1:20" x14ac:dyDescent="0.25">
      <c r="A2192">
        <v>20131031</v>
      </c>
      <c r="B2192">
        <v>2013</v>
      </c>
      <c r="C2192">
        <v>10</v>
      </c>
      <c r="D2192">
        <v>1</v>
      </c>
      <c r="E2192">
        <v>10830</v>
      </c>
      <c r="F2192">
        <v>55271.17</v>
      </c>
      <c r="G2192">
        <v>0</v>
      </c>
      <c r="H2192">
        <v>0</v>
      </c>
      <c r="I2192">
        <v>0</v>
      </c>
      <c r="J2192">
        <v>0</v>
      </c>
      <c r="K2192">
        <v>0</v>
      </c>
      <c r="L2192">
        <v>6981622</v>
      </c>
      <c r="M2192">
        <v>6981622</v>
      </c>
      <c r="N2192">
        <v>6981622</v>
      </c>
      <c r="O2192">
        <v>6981622</v>
      </c>
      <c r="P2192">
        <v>6981622</v>
      </c>
      <c r="Q2192">
        <v>6981622</v>
      </c>
      <c r="R2192" s="14">
        <f>_xlfn.XLOOKUP(Table2[[#This Row],[LoanID]],Table1[G-L ID],Table1[ManagerCode],-99)</f>
        <v>220</v>
      </c>
      <c r="T2192"/>
    </row>
    <row r="2193" spans="1:20" x14ac:dyDescent="0.25">
      <c r="A2193">
        <v>20131031</v>
      </c>
      <c r="B2193">
        <v>2013</v>
      </c>
      <c r="C2193">
        <v>10</v>
      </c>
      <c r="D2193">
        <v>1</v>
      </c>
      <c r="E2193">
        <v>10840</v>
      </c>
      <c r="F2193">
        <v>100614.41</v>
      </c>
      <c r="G2193">
        <v>0</v>
      </c>
      <c r="H2193">
        <v>0</v>
      </c>
      <c r="I2193">
        <v>0</v>
      </c>
      <c r="J2193">
        <v>0</v>
      </c>
      <c r="K2193">
        <v>0</v>
      </c>
      <c r="L2193">
        <v>12709189</v>
      </c>
      <c r="M2193">
        <v>12709189</v>
      </c>
      <c r="N2193">
        <v>12709189</v>
      </c>
      <c r="O2193">
        <v>12709189</v>
      </c>
      <c r="P2193">
        <v>12709189</v>
      </c>
      <c r="Q2193">
        <v>12709189</v>
      </c>
      <c r="R2193" s="14">
        <f>_xlfn.XLOOKUP(Table2[[#This Row],[LoanID]],Table1[G-L ID],Table1[ManagerCode],-99)</f>
        <v>220</v>
      </c>
      <c r="T2193"/>
    </row>
    <row r="2194" spans="1:20" x14ac:dyDescent="0.25">
      <c r="A2194">
        <v>20131031</v>
      </c>
      <c r="B2194">
        <v>2013</v>
      </c>
      <c r="C2194">
        <v>10</v>
      </c>
      <c r="D2194">
        <v>1</v>
      </c>
      <c r="E2194">
        <v>10850</v>
      </c>
      <c r="F2194">
        <v>106969.15</v>
      </c>
      <c r="G2194">
        <v>0</v>
      </c>
      <c r="H2194">
        <v>0</v>
      </c>
      <c r="I2194">
        <v>0</v>
      </c>
      <c r="J2194">
        <v>0</v>
      </c>
      <c r="K2194">
        <v>0</v>
      </c>
      <c r="L2194">
        <v>13511892</v>
      </c>
      <c r="M2194">
        <v>13511892</v>
      </c>
      <c r="N2194">
        <v>13511892</v>
      </c>
      <c r="O2194">
        <v>13511892</v>
      </c>
      <c r="P2194">
        <v>13511892</v>
      </c>
      <c r="Q2194">
        <v>13511892</v>
      </c>
      <c r="R2194" s="14">
        <f>_xlfn.XLOOKUP(Table2[[#This Row],[LoanID]],Table1[G-L ID],Table1[ManagerCode],-99)</f>
        <v>220</v>
      </c>
      <c r="T2194"/>
    </row>
    <row r="2195" spans="1:20" x14ac:dyDescent="0.25">
      <c r="A2195">
        <v>20131031</v>
      </c>
      <c r="B2195">
        <v>2013</v>
      </c>
      <c r="C2195">
        <v>10</v>
      </c>
      <c r="D2195">
        <v>1</v>
      </c>
      <c r="E2195">
        <v>10880</v>
      </c>
      <c r="F2195">
        <v>292204.64</v>
      </c>
      <c r="G2195">
        <v>0</v>
      </c>
      <c r="H2195">
        <v>0</v>
      </c>
      <c r="I2195">
        <v>0</v>
      </c>
      <c r="J2195">
        <v>0</v>
      </c>
      <c r="K2195">
        <v>0</v>
      </c>
      <c r="L2195">
        <v>199727153.09999999</v>
      </c>
      <c r="M2195">
        <v>199727153.09999999</v>
      </c>
      <c r="N2195">
        <v>199727153.09999999</v>
      </c>
      <c r="O2195">
        <v>199727153.09999999</v>
      </c>
      <c r="P2195">
        <v>201744599.09999999</v>
      </c>
      <c r="Q2195">
        <v>201744599.09999999</v>
      </c>
      <c r="R2195" s="14">
        <f>_xlfn.XLOOKUP(Table2[[#This Row],[LoanID]],Table1[G-L ID],Table1[ManagerCode],-99)</f>
        <v>103</v>
      </c>
      <c r="T2195"/>
    </row>
    <row r="2196" spans="1:20" x14ac:dyDescent="0.25">
      <c r="A2196">
        <v>20131031</v>
      </c>
      <c r="B2196">
        <v>2013</v>
      </c>
      <c r="C2196">
        <v>10</v>
      </c>
      <c r="D2196">
        <v>1</v>
      </c>
      <c r="E2196">
        <v>10900</v>
      </c>
      <c r="F2196">
        <v>78517.53</v>
      </c>
      <c r="G2196">
        <v>0</v>
      </c>
      <c r="H2196">
        <v>0</v>
      </c>
      <c r="I2196">
        <v>0</v>
      </c>
      <c r="J2196">
        <v>0</v>
      </c>
      <c r="K2196">
        <v>5099.53</v>
      </c>
      <c r="L2196">
        <v>8137271.5300000003</v>
      </c>
      <c r="M2196">
        <v>8132426.9699999997</v>
      </c>
      <c r="N2196">
        <v>8137271.5300000003</v>
      </c>
      <c r="O2196">
        <v>8132426.9699999997</v>
      </c>
      <c r="P2196">
        <v>8565548.9499999993</v>
      </c>
      <c r="Q2196">
        <v>8560449.4199999999</v>
      </c>
      <c r="R2196" s="14">
        <f>_xlfn.XLOOKUP(Table2[[#This Row],[LoanID]],Table1[G-L ID],Table1[ManagerCode],-99)</f>
        <v>103</v>
      </c>
      <c r="T2196"/>
    </row>
    <row r="2197" spans="1:20" x14ac:dyDescent="0.25">
      <c r="A2197">
        <v>20131031</v>
      </c>
      <c r="B2197">
        <v>2013</v>
      </c>
      <c r="C2197">
        <v>10</v>
      </c>
      <c r="D2197">
        <v>1</v>
      </c>
      <c r="E2197">
        <v>10920</v>
      </c>
      <c r="F2197">
        <v>114583.33</v>
      </c>
      <c r="G2197">
        <v>0</v>
      </c>
      <c r="H2197">
        <v>0</v>
      </c>
      <c r="I2197">
        <v>0</v>
      </c>
      <c r="J2197">
        <v>0</v>
      </c>
      <c r="K2197">
        <v>0</v>
      </c>
      <c r="L2197">
        <v>11000000</v>
      </c>
      <c r="M2197">
        <v>11000000</v>
      </c>
      <c r="N2197">
        <v>11000000</v>
      </c>
      <c r="O2197">
        <v>11000000</v>
      </c>
      <c r="P2197">
        <v>11000000</v>
      </c>
      <c r="Q2197">
        <v>11000000</v>
      </c>
      <c r="R2197" s="14">
        <f>_xlfn.XLOOKUP(Table2[[#This Row],[LoanID]],Table1[G-L ID],Table1[ManagerCode],-99)</f>
        <v>183</v>
      </c>
      <c r="T2197"/>
    </row>
    <row r="2198" spans="1:20" x14ac:dyDescent="0.25">
      <c r="A2198">
        <v>20131031</v>
      </c>
      <c r="B2198">
        <v>2013</v>
      </c>
      <c r="C2198">
        <v>10</v>
      </c>
      <c r="D2198">
        <v>1</v>
      </c>
      <c r="E2198">
        <v>10950</v>
      </c>
      <c r="F2198">
        <v>54074.03</v>
      </c>
      <c r="G2198">
        <v>0</v>
      </c>
      <c r="H2198">
        <v>0</v>
      </c>
      <c r="I2198">
        <v>0</v>
      </c>
      <c r="J2198">
        <v>0</v>
      </c>
      <c r="K2198">
        <v>10215672.32</v>
      </c>
      <c r="L2198">
        <v>10113515.609999999</v>
      </c>
      <c r="M2198">
        <v>0</v>
      </c>
      <c r="N2198">
        <v>10113515.609999999</v>
      </c>
      <c r="O2198">
        <v>0</v>
      </c>
      <c r="P2198">
        <v>10215672.32</v>
      </c>
      <c r="Q2198">
        <v>0</v>
      </c>
      <c r="R2198" s="14">
        <f>_xlfn.XLOOKUP(Table2[[#This Row],[LoanID]],Table1[G-L ID],Table1[ManagerCode],-99)</f>
        <v>103</v>
      </c>
      <c r="T2198"/>
    </row>
    <row r="2199" spans="1:20" x14ac:dyDescent="0.25">
      <c r="A2199">
        <v>20131031</v>
      </c>
      <c r="B2199">
        <v>2013</v>
      </c>
      <c r="C2199">
        <v>10</v>
      </c>
      <c r="D2199">
        <v>1</v>
      </c>
      <c r="E2199">
        <v>10980</v>
      </c>
      <c r="F2199">
        <v>190760.04</v>
      </c>
      <c r="G2199">
        <v>18302.5</v>
      </c>
      <c r="H2199">
        <v>0</v>
      </c>
      <c r="I2199">
        <v>0</v>
      </c>
      <c r="J2199">
        <v>0</v>
      </c>
      <c r="K2199">
        <v>0</v>
      </c>
      <c r="L2199">
        <v>28940236.780000001</v>
      </c>
      <c r="M2199">
        <v>28958539.280000001</v>
      </c>
      <c r="N2199">
        <v>28940236.780000001</v>
      </c>
      <c r="O2199">
        <v>28958539.280000001</v>
      </c>
      <c r="P2199">
        <v>28940236.780000001</v>
      </c>
      <c r="Q2199">
        <v>28958539.280000001</v>
      </c>
      <c r="R2199" s="14">
        <f>_xlfn.XLOOKUP(Table2[[#This Row],[LoanID]],Table1[G-L ID],Table1[ManagerCode],-99)</f>
        <v>183</v>
      </c>
      <c r="T2199"/>
    </row>
    <row r="2200" spans="1:20" x14ac:dyDescent="0.25">
      <c r="A2200">
        <v>20131031</v>
      </c>
      <c r="B2200">
        <v>2013</v>
      </c>
      <c r="C2200">
        <v>10</v>
      </c>
      <c r="D2200">
        <v>1</v>
      </c>
      <c r="E2200">
        <v>11020</v>
      </c>
      <c r="F2200">
        <v>98000</v>
      </c>
      <c r="G2200">
        <v>0</v>
      </c>
      <c r="H2200">
        <v>0</v>
      </c>
      <c r="I2200">
        <v>0</v>
      </c>
      <c r="J2200">
        <v>0</v>
      </c>
      <c r="K2200">
        <v>0</v>
      </c>
      <c r="L2200">
        <v>12000000</v>
      </c>
      <c r="M2200">
        <v>12000000</v>
      </c>
      <c r="N2200">
        <v>12000000</v>
      </c>
      <c r="O2200">
        <v>12000000</v>
      </c>
      <c r="P2200">
        <v>12000000</v>
      </c>
      <c r="Q2200">
        <v>12000000</v>
      </c>
      <c r="R2200" s="14">
        <f>_xlfn.XLOOKUP(Table2[[#This Row],[LoanID]],Table1[G-L ID],Table1[ManagerCode],-99)</f>
        <v>119</v>
      </c>
      <c r="T2200"/>
    </row>
    <row r="2201" spans="1:20" x14ac:dyDescent="0.25">
      <c r="A2201">
        <v>20131031</v>
      </c>
      <c r="B2201">
        <v>2013</v>
      </c>
      <c r="C2201">
        <v>10</v>
      </c>
      <c r="D2201">
        <v>1</v>
      </c>
      <c r="E2201">
        <v>11050</v>
      </c>
      <c r="F2201">
        <v>247083</v>
      </c>
      <c r="G2201">
        <v>0</v>
      </c>
      <c r="H2201">
        <v>0</v>
      </c>
      <c r="I2201">
        <v>0</v>
      </c>
      <c r="J2201">
        <v>-765452.98</v>
      </c>
      <c r="K2201">
        <v>0</v>
      </c>
      <c r="L2201">
        <v>24426995.75</v>
      </c>
      <c r="M2201">
        <v>25192448.73</v>
      </c>
      <c r="N2201">
        <v>24426995.75</v>
      </c>
      <c r="O2201">
        <v>25192448.73</v>
      </c>
      <c r="P2201">
        <v>24426995.75</v>
      </c>
      <c r="Q2201">
        <v>25192448.73</v>
      </c>
      <c r="R2201" s="14">
        <f>_xlfn.XLOOKUP(Table2[[#This Row],[LoanID]],Table1[G-L ID],Table1[ManagerCode],-99)</f>
        <v>220</v>
      </c>
      <c r="T2201"/>
    </row>
    <row r="2202" spans="1:20" x14ac:dyDescent="0.25">
      <c r="A2202">
        <v>20131031</v>
      </c>
      <c r="B2202">
        <v>2013</v>
      </c>
      <c r="C2202">
        <v>10</v>
      </c>
      <c r="D2202">
        <v>1</v>
      </c>
      <c r="E2202">
        <v>11070</v>
      </c>
      <c r="F2202">
        <v>144807.62</v>
      </c>
      <c r="G2202">
        <v>0</v>
      </c>
      <c r="H2202">
        <v>0</v>
      </c>
      <c r="I2202">
        <v>0</v>
      </c>
      <c r="J2202">
        <v>0</v>
      </c>
      <c r="K2202">
        <v>22608.9</v>
      </c>
      <c r="L2202">
        <v>13893516.050000001</v>
      </c>
      <c r="M2202">
        <v>13875428.92</v>
      </c>
      <c r="N2202">
        <v>13893516.050000001</v>
      </c>
      <c r="O2202">
        <v>13875428.92</v>
      </c>
      <c r="P2202">
        <v>17366877.690000001</v>
      </c>
      <c r="Q2202">
        <v>17344268.789999999</v>
      </c>
      <c r="R2202" s="14">
        <f>_xlfn.XLOOKUP(Table2[[#This Row],[LoanID]],Table1[G-L ID],Table1[ManagerCode],-99)</f>
        <v>103</v>
      </c>
      <c r="T2202"/>
    </row>
    <row r="2203" spans="1:20" x14ac:dyDescent="0.25">
      <c r="A2203">
        <v>20131031</v>
      </c>
      <c r="B2203">
        <v>2013</v>
      </c>
      <c r="C2203">
        <v>10</v>
      </c>
      <c r="D2203">
        <v>1</v>
      </c>
      <c r="E2203">
        <v>11110</v>
      </c>
      <c r="F2203">
        <v>101185.43</v>
      </c>
      <c r="G2203">
        <v>0</v>
      </c>
      <c r="H2203">
        <v>0</v>
      </c>
      <c r="I2203">
        <v>0</v>
      </c>
      <c r="J2203">
        <v>0</v>
      </c>
      <c r="K2203">
        <v>0</v>
      </c>
      <c r="L2203">
        <v>14049953.140000001</v>
      </c>
      <c r="M2203">
        <v>14049953.140000001</v>
      </c>
      <c r="N2203">
        <v>14049953.140000001</v>
      </c>
      <c r="O2203">
        <v>14049953.140000001</v>
      </c>
      <c r="P2203">
        <v>14049953.140000001</v>
      </c>
      <c r="Q2203">
        <v>14049953.140000001</v>
      </c>
      <c r="R2203" s="14">
        <f>_xlfn.XLOOKUP(Table2[[#This Row],[LoanID]],Table1[G-L ID],Table1[ManagerCode],-99)</f>
        <v>183</v>
      </c>
      <c r="T2203"/>
    </row>
    <row r="2204" spans="1:20" x14ac:dyDescent="0.25">
      <c r="A2204">
        <v>20131031</v>
      </c>
      <c r="B2204">
        <v>2013</v>
      </c>
      <c r="C2204">
        <v>10</v>
      </c>
      <c r="D2204">
        <v>1</v>
      </c>
      <c r="E2204">
        <v>11140</v>
      </c>
      <c r="F2204">
        <v>576975.13</v>
      </c>
      <c r="G2204">
        <v>0</v>
      </c>
      <c r="H2204">
        <v>0</v>
      </c>
      <c r="I2204">
        <v>0</v>
      </c>
      <c r="J2204">
        <v>0</v>
      </c>
      <c r="K2204">
        <v>0</v>
      </c>
      <c r="L2204">
        <v>71711993.859999999</v>
      </c>
      <c r="M2204">
        <v>71711993.859999999</v>
      </c>
      <c r="N2204">
        <v>71711993.859999999</v>
      </c>
      <c r="O2204">
        <v>71711993.859999999</v>
      </c>
      <c r="P2204">
        <v>72436285</v>
      </c>
      <c r="Q2204">
        <v>72436285</v>
      </c>
      <c r="R2204" s="14">
        <f>_xlfn.XLOOKUP(Table2[[#This Row],[LoanID]],Table1[G-L ID],Table1[ManagerCode],-99)</f>
        <v>103</v>
      </c>
      <c r="T2204"/>
    </row>
    <row r="2205" spans="1:20" x14ac:dyDescent="0.25">
      <c r="A2205">
        <v>20131031</v>
      </c>
      <c r="B2205">
        <v>2013</v>
      </c>
      <c r="C2205">
        <v>10</v>
      </c>
      <c r="D2205">
        <v>1</v>
      </c>
      <c r="E2205">
        <v>11190</v>
      </c>
      <c r="F2205">
        <v>1300310.33</v>
      </c>
      <c r="G2205">
        <v>0</v>
      </c>
      <c r="H2205">
        <v>0</v>
      </c>
      <c r="I2205">
        <v>-1666.42</v>
      </c>
      <c r="J2205">
        <v>0</v>
      </c>
      <c r="K2205">
        <v>0</v>
      </c>
      <c r="L2205">
        <v>197971123.19999999</v>
      </c>
      <c r="M2205">
        <v>197971123.19999999</v>
      </c>
      <c r="N2205">
        <v>197971123.19999999</v>
      </c>
      <c r="O2205">
        <v>197971123.19999999</v>
      </c>
      <c r="P2205">
        <v>199970831.5</v>
      </c>
      <c r="Q2205">
        <v>199970831.5</v>
      </c>
      <c r="R2205" s="14">
        <f>_xlfn.XLOOKUP(Table2[[#This Row],[LoanID]],Table1[G-L ID],Table1[ManagerCode],-99)</f>
        <v>103</v>
      </c>
      <c r="T2205"/>
    </row>
    <row r="2206" spans="1:20" x14ac:dyDescent="0.25">
      <c r="A2206">
        <v>20131031</v>
      </c>
      <c r="B2206">
        <v>2013</v>
      </c>
      <c r="C2206">
        <v>10</v>
      </c>
      <c r="D2206">
        <v>1</v>
      </c>
      <c r="E2206">
        <v>11220</v>
      </c>
      <c r="F2206">
        <v>301875</v>
      </c>
      <c r="G2206">
        <v>0</v>
      </c>
      <c r="H2206">
        <v>0</v>
      </c>
      <c r="I2206">
        <v>0</v>
      </c>
      <c r="J2206">
        <v>0</v>
      </c>
      <c r="K2206">
        <v>0</v>
      </c>
      <c r="L2206">
        <v>34500000</v>
      </c>
      <c r="M2206">
        <v>34500000</v>
      </c>
      <c r="N2206">
        <v>34500000</v>
      </c>
      <c r="O2206">
        <v>34500000</v>
      </c>
      <c r="P2206">
        <v>34500000</v>
      </c>
      <c r="Q2206">
        <v>34500000</v>
      </c>
      <c r="R2206" s="14">
        <f>_xlfn.XLOOKUP(Table2[[#This Row],[LoanID]],Table1[G-L ID],Table1[ManagerCode],-99)</f>
        <v>220</v>
      </c>
      <c r="T2206"/>
    </row>
    <row r="2207" spans="1:20" x14ac:dyDescent="0.25">
      <c r="A2207">
        <v>20131031</v>
      </c>
      <c r="B2207">
        <v>2013</v>
      </c>
      <c r="C2207">
        <v>10</v>
      </c>
      <c r="D2207">
        <v>1</v>
      </c>
      <c r="E2207">
        <v>11230</v>
      </c>
      <c r="F2207">
        <v>236027.29</v>
      </c>
      <c r="G2207">
        <v>0</v>
      </c>
      <c r="H2207">
        <v>0</v>
      </c>
      <c r="I2207">
        <v>-0.01</v>
      </c>
      <c r="J2207">
        <v>0</v>
      </c>
      <c r="K2207">
        <v>0</v>
      </c>
      <c r="L2207">
        <v>175436664</v>
      </c>
      <c r="M2207">
        <v>175436664</v>
      </c>
      <c r="N2207">
        <v>175436664</v>
      </c>
      <c r="O2207">
        <v>175436664</v>
      </c>
      <c r="P2207">
        <v>194929626.59999999</v>
      </c>
      <c r="Q2207">
        <v>194929626.59999999</v>
      </c>
      <c r="R2207" s="14">
        <f>_xlfn.XLOOKUP(Table2[[#This Row],[LoanID]],Table1[G-L ID],Table1[ManagerCode],-99)</f>
        <v>103</v>
      </c>
      <c r="T2207"/>
    </row>
    <row r="2208" spans="1:20" x14ac:dyDescent="0.25">
      <c r="A2208">
        <v>20131031</v>
      </c>
      <c r="B2208">
        <v>2013</v>
      </c>
      <c r="C2208">
        <v>10</v>
      </c>
      <c r="D2208">
        <v>1</v>
      </c>
      <c r="E2208">
        <v>11320</v>
      </c>
      <c r="F2208">
        <v>94800.639999999999</v>
      </c>
      <c r="G2208">
        <v>0</v>
      </c>
      <c r="H2208">
        <v>0</v>
      </c>
      <c r="I2208">
        <v>0</v>
      </c>
      <c r="J2208">
        <v>0</v>
      </c>
      <c r="K2208">
        <v>0</v>
      </c>
      <c r="L2208">
        <v>12000000</v>
      </c>
      <c r="M2208">
        <v>12000000</v>
      </c>
      <c r="N2208">
        <v>12000000</v>
      </c>
      <c r="O2208">
        <v>12000000</v>
      </c>
      <c r="P2208">
        <v>12000000</v>
      </c>
      <c r="Q2208">
        <v>12000000</v>
      </c>
      <c r="R2208" s="14">
        <f>_xlfn.XLOOKUP(Table2[[#This Row],[LoanID]],Table1[G-L ID],Table1[ManagerCode],-99)</f>
        <v>119</v>
      </c>
      <c r="T2208"/>
    </row>
    <row r="2209" spans="1:20" x14ac:dyDescent="0.25">
      <c r="A2209">
        <v>20131031</v>
      </c>
      <c r="B2209">
        <v>2013</v>
      </c>
      <c r="C2209">
        <v>10</v>
      </c>
      <c r="D2209">
        <v>1</v>
      </c>
      <c r="E2209">
        <v>11340</v>
      </c>
      <c r="F2209">
        <v>291666.67</v>
      </c>
      <c r="G2209">
        <v>0</v>
      </c>
      <c r="H2209">
        <v>0</v>
      </c>
      <c r="I2209">
        <v>0</v>
      </c>
      <c r="J2209">
        <v>0</v>
      </c>
      <c r="K2209">
        <v>0</v>
      </c>
      <c r="L2209">
        <v>49500000</v>
      </c>
      <c r="M2209">
        <v>49500000</v>
      </c>
      <c r="N2209">
        <v>49500000</v>
      </c>
      <c r="O2209">
        <v>49500000</v>
      </c>
      <c r="P2209">
        <v>50000000</v>
      </c>
      <c r="Q2209">
        <v>50000000</v>
      </c>
      <c r="R2209" s="14">
        <f>_xlfn.XLOOKUP(Table2[[#This Row],[LoanID]],Table1[G-L ID],Table1[ManagerCode],-99)</f>
        <v>103</v>
      </c>
      <c r="T2209"/>
    </row>
    <row r="2210" spans="1:20" x14ac:dyDescent="0.25">
      <c r="A2210">
        <v>20131031</v>
      </c>
      <c r="B2210">
        <v>2013</v>
      </c>
      <c r="C2210">
        <v>10</v>
      </c>
      <c r="D2210">
        <v>1</v>
      </c>
      <c r="E2210">
        <v>11350</v>
      </c>
      <c r="F2210">
        <v>320833.33</v>
      </c>
      <c r="G2210">
        <v>0</v>
      </c>
      <c r="H2210">
        <v>0</v>
      </c>
      <c r="I2210">
        <v>0</v>
      </c>
      <c r="J2210">
        <v>0</v>
      </c>
      <c r="K2210">
        <v>0</v>
      </c>
      <c r="L2210">
        <v>54449945.549999997</v>
      </c>
      <c r="M2210">
        <v>54449945.549999997</v>
      </c>
      <c r="N2210">
        <v>54449945.549999997</v>
      </c>
      <c r="O2210">
        <v>54449945.549999997</v>
      </c>
      <c r="P2210">
        <v>55000000</v>
      </c>
      <c r="Q2210">
        <v>55000000</v>
      </c>
      <c r="R2210" s="14">
        <f>_xlfn.XLOOKUP(Table2[[#This Row],[LoanID]],Table1[G-L ID],Table1[ManagerCode],-99)</f>
        <v>103</v>
      </c>
      <c r="T2210"/>
    </row>
    <row r="2211" spans="1:20" x14ac:dyDescent="0.25">
      <c r="A2211">
        <v>20131031</v>
      </c>
      <c r="B2211">
        <v>2013</v>
      </c>
      <c r="C2211">
        <v>10</v>
      </c>
      <c r="D2211">
        <v>1</v>
      </c>
      <c r="E2211">
        <v>11390</v>
      </c>
      <c r="F2211">
        <v>201990.59</v>
      </c>
      <c r="G2211">
        <v>0</v>
      </c>
      <c r="H2211">
        <v>0</v>
      </c>
      <c r="I2211">
        <v>0</v>
      </c>
      <c r="J2211">
        <v>0</v>
      </c>
      <c r="K2211">
        <v>0</v>
      </c>
      <c r="L2211">
        <v>25000000</v>
      </c>
      <c r="M2211">
        <v>25000000</v>
      </c>
      <c r="N2211">
        <v>25000000</v>
      </c>
      <c r="O2211">
        <v>25000000</v>
      </c>
      <c r="P2211">
        <v>25000000</v>
      </c>
      <c r="Q2211">
        <v>25000000</v>
      </c>
      <c r="R2211" s="14">
        <f>_xlfn.XLOOKUP(Table2[[#This Row],[LoanID]],Table1[G-L ID],Table1[ManagerCode],-99)</f>
        <v>220</v>
      </c>
      <c r="T2211"/>
    </row>
    <row r="2212" spans="1:20" x14ac:dyDescent="0.25">
      <c r="A2212">
        <v>20131031</v>
      </c>
      <c r="B2212">
        <v>2013</v>
      </c>
      <c r="C2212">
        <v>10</v>
      </c>
      <c r="D2212">
        <v>1</v>
      </c>
      <c r="E2212">
        <v>11460</v>
      </c>
      <c r="F2212">
        <v>7319.66</v>
      </c>
      <c r="G2212">
        <v>123759.47</v>
      </c>
      <c r="H2212">
        <v>0</v>
      </c>
      <c r="I2212">
        <v>0</v>
      </c>
      <c r="J2212">
        <v>-7319.66</v>
      </c>
      <c r="K2212">
        <v>0</v>
      </c>
      <c r="L2212">
        <v>16675054.17</v>
      </c>
      <c r="M2212">
        <v>16806133.300000001</v>
      </c>
      <c r="N2212">
        <v>16675054.17</v>
      </c>
      <c r="O2212">
        <v>16806133.300000001</v>
      </c>
      <c r="P2212">
        <v>16675054.17</v>
      </c>
      <c r="Q2212">
        <v>16806133.300000001</v>
      </c>
      <c r="R2212" s="14">
        <f>_xlfn.XLOOKUP(Table2[[#This Row],[LoanID]],Table1[G-L ID],Table1[ManagerCode],-99)</f>
        <v>183</v>
      </c>
      <c r="T2212"/>
    </row>
    <row r="2213" spans="1:20" x14ac:dyDescent="0.25">
      <c r="A2213">
        <v>20131031</v>
      </c>
      <c r="B2213">
        <v>2013</v>
      </c>
      <c r="C2213">
        <v>10</v>
      </c>
      <c r="D2213">
        <v>1</v>
      </c>
      <c r="E2213">
        <v>11540</v>
      </c>
      <c r="F2213">
        <v>89277.78</v>
      </c>
      <c r="G2213">
        <v>0</v>
      </c>
      <c r="H2213">
        <v>0</v>
      </c>
      <c r="I2213">
        <v>0</v>
      </c>
      <c r="J2213">
        <v>-10000000</v>
      </c>
      <c r="K2213">
        <v>0</v>
      </c>
      <c r="L2213">
        <v>0</v>
      </c>
      <c r="M2213">
        <v>10000000</v>
      </c>
      <c r="N2213">
        <v>0</v>
      </c>
      <c r="O2213">
        <v>10000000</v>
      </c>
      <c r="P2213">
        <v>0</v>
      </c>
      <c r="Q2213">
        <v>10000000</v>
      </c>
      <c r="R2213" s="14">
        <f>_xlfn.XLOOKUP(Table2[[#This Row],[LoanID]],Table1[G-L ID],Table1[ManagerCode],-99)</f>
        <v>220</v>
      </c>
      <c r="T2213"/>
    </row>
    <row r="2214" spans="1:20" x14ac:dyDescent="0.25">
      <c r="A2214">
        <v>20131031</v>
      </c>
      <c r="B2214">
        <v>2013</v>
      </c>
      <c r="C2214">
        <v>10</v>
      </c>
      <c r="D2214">
        <v>1</v>
      </c>
      <c r="E2214">
        <v>11560</v>
      </c>
      <c r="F2214">
        <v>116014.01</v>
      </c>
      <c r="G2214">
        <v>-70963.05</v>
      </c>
      <c r="H2214">
        <v>0</v>
      </c>
      <c r="I2214">
        <v>0</v>
      </c>
      <c r="J2214">
        <v>0</v>
      </c>
      <c r="K2214">
        <v>0</v>
      </c>
      <c r="L2214">
        <v>13849442.93</v>
      </c>
      <c r="M2214">
        <v>13778479.880000001</v>
      </c>
      <c r="N2214">
        <v>13849442.93</v>
      </c>
      <c r="O2214">
        <v>13778479.880000001</v>
      </c>
      <c r="P2214">
        <v>13849442.93</v>
      </c>
      <c r="Q2214">
        <v>13778479.880000001</v>
      </c>
      <c r="R2214" s="14">
        <f>_xlfn.XLOOKUP(Table2[[#This Row],[LoanID]],Table1[G-L ID],Table1[ManagerCode],-99)</f>
        <v>183</v>
      </c>
      <c r="T2214"/>
    </row>
    <row r="2215" spans="1:20" x14ac:dyDescent="0.25">
      <c r="A2215">
        <v>20131031</v>
      </c>
      <c r="B2215">
        <v>2013</v>
      </c>
      <c r="C2215">
        <v>10</v>
      </c>
      <c r="D2215">
        <v>1</v>
      </c>
      <c r="E2215">
        <v>11620</v>
      </c>
      <c r="F2215">
        <v>70771.850000000006</v>
      </c>
      <c r="G2215">
        <v>32586.86</v>
      </c>
      <c r="H2215">
        <v>0</v>
      </c>
      <c r="I2215">
        <v>0</v>
      </c>
      <c r="J2215">
        <v>-377043.13</v>
      </c>
      <c r="K2215">
        <v>0</v>
      </c>
      <c r="L2215">
        <v>9158293.3800000008</v>
      </c>
      <c r="M2215">
        <v>9567923.3699999992</v>
      </c>
      <c r="N2215">
        <v>9158293.3800000008</v>
      </c>
      <c r="O2215">
        <v>9567923.3699999992</v>
      </c>
      <c r="P2215">
        <v>9158293.3800000008</v>
      </c>
      <c r="Q2215">
        <v>9567923.3699999992</v>
      </c>
      <c r="R2215" s="14">
        <f>_xlfn.XLOOKUP(Table2[[#This Row],[LoanID]],Table1[G-L ID],Table1[ManagerCode],-99)</f>
        <v>183</v>
      </c>
      <c r="T2215"/>
    </row>
    <row r="2216" spans="1:20" x14ac:dyDescent="0.25">
      <c r="A2216">
        <v>20131031</v>
      </c>
      <c r="B2216">
        <v>2013</v>
      </c>
      <c r="C2216">
        <v>10</v>
      </c>
      <c r="D2216">
        <v>1</v>
      </c>
      <c r="E2216">
        <v>11650</v>
      </c>
      <c r="F2216">
        <v>75000</v>
      </c>
      <c r="G2216">
        <v>0</v>
      </c>
      <c r="H2216">
        <v>0</v>
      </c>
      <c r="I2216">
        <v>0</v>
      </c>
      <c r="J2216">
        <v>0</v>
      </c>
      <c r="K2216">
        <v>0</v>
      </c>
      <c r="L2216">
        <v>9600000</v>
      </c>
      <c r="M2216">
        <v>9600000</v>
      </c>
      <c r="N2216">
        <v>9600000</v>
      </c>
      <c r="O2216">
        <v>9600000</v>
      </c>
      <c r="P2216">
        <v>12000000</v>
      </c>
      <c r="Q2216">
        <v>12000000</v>
      </c>
      <c r="R2216" s="14">
        <f>_xlfn.XLOOKUP(Table2[[#This Row],[LoanID]],Table1[G-L ID],Table1[ManagerCode],-99)</f>
        <v>103</v>
      </c>
      <c r="T2216"/>
    </row>
    <row r="2217" spans="1:20" x14ac:dyDescent="0.25">
      <c r="A2217">
        <v>20131031</v>
      </c>
      <c r="B2217">
        <v>2013</v>
      </c>
      <c r="C2217">
        <v>10</v>
      </c>
      <c r="D2217">
        <v>1</v>
      </c>
      <c r="E2217">
        <v>11670</v>
      </c>
      <c r="F2217">
        <v>188333.33</v>
      </c>
      <c r="G2217">
        <v>158316.93</v>
      </c>
      <c r="H2217">
        <v>0</v>
      </c>
      <c r="I2217">
        <v>0</v>
      </c>
      <c r="J2217">
        <v>0</v>
      </c>
      <c r="K2217">
        <v>0</v>
      </c>
      <c r="L2217">
        <v>29712879.059999999</v>
      </c>
      <c r="M2217">
        <v>29871195.989999998</v>
      </c>
      <c r="N2217">
        <v>29712879.059999999</v>
      </c>
      <c r="O2217">
        <v>29871195.989999998</v>
      </c>
      <c r="P2217">
        <v>29712879.059999999</v>
      </c>
      <c r="Q2217">
        <v>29871195.989999998</v>
      </c>
      <c r="R2217" s="14">
        <f>_xlfn.XLOOKUP(Table2[[#This Row],[LoanID]],Table1[G-L ID],Table1[ManagerCode],-99)</f>
        <v>183</v>
      </c>
      <c r="T2217"/>
    </row>
    <row r="2218" spans="1:20" x14ac:dyDescent="0.25">
      <c r="A2218">
        <v>20131031</v>
      </c>
      <c r="B2218">
        <v>2013</v>
      </c>
      <c r="C2218">
        <v>10</v>
      </c>
      <c r="D2218">
        <v>1</v>
      </c>
      <c r="E2218">
        <v>11680</v>
      </c>
      <c r="F2218">
        <v>0</v>
      </c>
      <c r="G2218">
        <v>0</v>
      </c>
      <c r="H2218">
        <v>0</v>
      </c>
      <c r="I2218">
        <v>0</v>
      </c>
      <c r="J2218">
        <v>-6600000</v>
      </c>
      <c r="K2218">
        <v>0</v>
      </c>
      <c r="L2218">
        <v>0</v>
      </c>
      <c r="M2218">
        <v>6600000</v>
      </c>
      <c r="N2218">
        <v>0</v>
      </c>
      <c r="O2218">
        <v>6600000</v>
      </c>
      <c r="P2218">
        <v>0</v>
      </c>
      <c r="Q2218">
        <v>6600000</v>
      </c>
      <c r="R2218" s="14">
        <f>_xlfn.XLOOKUP(Table2[[#This Row],[LoanID]],Table1[G-L ID],Table1[ManagerCode],-99)</f>
        <v>183</v>
      </c>
      <c r="T2218"/>
    </row>
    <row r="2219" spans="1:20" x14ac:dyDescent="0.25">
      <c r="A2219">
        <v>20131031</v>
      </c>
      <c r="B2219">
        <v>2013</v>
      </c>
      <c r="C2219">
        <v>10</v>
      </c>
      <c r="D2219">
        <v>1</v>
      </c>
      <c r="E2219">
        <v>11710</v>
      </c>
      <c r="F2219">
        <v>0</v>
      </c>
      <c r="G2219">
        <v>0</v>
      </c>
      <c r="H2219">
        <v>90000</v>
      </c>
      <c r="I2219">
        <v>0</v>
      </c>
      <c r="J2219">
        <v>-12000000</v>
      </c>
      <c r="K2219">
        <v>0</v>
      </c>
      <c r="L2219">
        <v>0</v>
      </c>
      <c r="M2219">
        <v>12000000</v>
      </c>
      <c r="N2219">
        <v>0</v>
      </c>
      <c r="O2219">
        <v>12000000</v>
      </c>
      <c r="P2219">
        <v>0</v>
      </c>
      <c r="Q2219">
        <v>12000000</v>
      </c>
      <c r="R2219" s="14">
        <f>_xlfn.XLOOKUP(Table2[[#This Row],[LoanID]],Table1[G-L ID],Table1[ManagerCode],-99)</f>
        <v>119</v>
      </c>
      <c r="T2219"/>
    </row>
    <row r="2220" spans="1:20" x14ac:dyDescent="0.25">
      <c r="A2220">
        <v>20131031</v>
      </c>
      <c r="B2220">
        <v>2013</v>
      </c>
      <c r="C2220">
        <v>10</v>
      </c>
      <c r="D2220">
        <v>1</v>
      </c>
      <c r="E2220">
        <v>11740</v>
      </c>
      <c r="F2220">
        <v>170500</v>
      </c>
      <c r="G2220">
        <v>0</v>
      </c>
      <c r="H2220">
        <v>0</v>
      </c>
      <c r="I2220">
        <v>0</v>
      </c>
      <c r="J2220">
        <v>0</v>
      </c>
      <c r="K2220">
        <v>0</v>
      </c>
      <c r="L2220">
        <v>18600000</v>
      </c>
      <c r="M2220">
        <v>18600000</v>
      </c>
      <c r="N2220">
        <v>18600000</v>
      </c>
      <c r="O2220">
        <v>18600000</v>
      </c>
      <c r="P2220">
        <v>18600000</v>
      </c>
      <c r="Q2220">
        <v>18600000</v>
      </c>
      <c r="R2220" s="14">
        <f>_xlfn.XLOOKUP(Table2[[#This Row],[LoanID]],Table1[G-L ID],Table1[ManagerCode],-99)</f>
        <v>183</v>
      </c>
      <c r="T2220"/>
    </row>
    <row r="2221" spans="1:20" x14ac:dyDescent="0.25">
      <c r="A2221">
        <v>20131031</v>
      </c>
      <c r="B2221">
        <v>2013</v>
      </c>
      <c r="C2221">
        <v>10</v>
      </c>
      <c r="D2221">
        <v>1</v>
      </c>
      <c r="E2221">
        <v>11770</v>
      </c>
      <c r="F2221">
        <v>382729.85</v>
      </c>
      <c r="G2221">
        <v>0</v>
      </c>
      <c r="H2221">
        <v>0</v>
      </c>
      <c r="I2221">
        <v>0</v>
      </c>
      <c r="J2221">
        <v>0</v>
      </c>
      <c r="K2221">
        <v>0</v>
      </c>
      <c r="L2221">
        <v>44980700.740000002</v>
      </c>
      <c r="M2221">
        <v>44980700.740000002</v>
      </c>
      <c r="N2221">
        <v>44980700.740000002</v>
      </c>
      <c r="O2221">
        <v>44980700.740000002</v>
      </c>
      <c r="P2221">
        <v>44980700.740000002</v>
      </c>
      <c r="Q2221">
        <v>44980700.740000002</v>
      </c>
      <c r="R2221" s="14">
        <f>_xlfn.XLOOKUP(Table2[[#This Row],[LoanID]],Table1[G-L ID],Table1[ManagerCode],-99)</f>
        <v>119</v>
      </c>
      <c r="T2221"/>
    </row>
    <row r="2222" spans="1:20" x14ac:dyDescent="0.25">
      <c r="A2222">
        <v>20131031</v>
      </c>
      <c r="B2222">
        <v>2013</v>
      </c>
      <c r="C2222">
        <v>10</v>
      </c>
      <c r="D2222">
        <v>1</v>
      </c>
      <c r="E2222">
        <v>11780</v>
      </c>
      <c r="F2222">
        <v>118877.92</v>
      </c>
      <c r="G2222">
        <v>0</v>
      </c>
      <c r="H2222">
        <v>0</v>
      </c>
      <c r="I2222">
        <v>-1079.76</v>
      </c>
      <c r="J2222">
        <v>0</v>
      </c>
      <c r="K2222">
        <v>0</v>
      </c>
      <c r="L2222">
        <v>37997821</v>
      </c>
      <c r="M2222">
        <v>37997821</v>
      </c>
      <c r="N2222">
        <v>37997821</v>
      </c>
      <c r="O2222">
        <v>37997821</v>
      </c>
      <c r="P2222">
        <v>64786446.619999997</v>
      </c>
      <c r="Q2222">
        <v>64786446.619999997</v>
      </c>
      <c r="R2222" s="14">
        <f>_xlfn.XLOOKUP(Table2[[#This Row],[LoanID]],Table1[G-L ID],Table1[ManagerCode],-99)</f>
        <v>103</v>
      </c>
      <c r="T2222"/>
    </row>
    <row r="2223" spans="1:20" x14ac:dyDescent="0.25">
      <c r="A2223">
        <v>20131031</v>
      </c>
      <c r="B2223">
        <v>2013</v>
      </c>
      <c r="C2223">
        <v>10</v>
      </c>
      <c r="D2223">
        <v>1</v>
      </c>
      <c r="E2223">
        <v>11800</v>
      </c>
      <c r="F2223">
        <v>157347.4</v>
      </c>
      <c r="G2223">
        <v>0</v>
      </c>
      <c r="H2223">
        <v>0</v>
      </c>
      <c r="I2223">
        <v>-256.32</v>
      </c>
      <c r="J2223">
        <v>0</v>
      </c>
      <c r="K2223">
        <v>30756635.039999999</v>
      </c>
      <c r="L2223">
        <v>32972370.469999999</v>
      </c>
      <c r="M2223">
        <v>0</v>
      </c>
      <c r="N2223">
        <v>32972370.469999999</v>
      </c>
      <c r="O2223">
        <v>0</v>
      </c>
      <c r="P2223">
        <v>30756635.039999999</v>
      </c>
      <c r="Q2223">
        <v>0</v>
      </c>
      <c r="R2223" s="14">
        <f>_xlfn.XLOOKUP(Table2[[#This Row],[LoanID]],Table1[G-L ID],Table1[ManagerCode],-99)</f>
        <v>103</v>
      </c>
      <c r="T2223"/>
    </row>
    <row r="2224" spans="1:20" x14ac:dyDescent="0.25">
      <c r="A2224">
        <v>20131031</v>
      </c>
      <c r="B2224">
        <v>2013</v>
      </c>
      <c r="C2224">
        <v>10</v>
      </c>
      <c r="D2224">
        <v>1</v>
      </c>
      <c r="E2224">
        <v>11810</v>
      </c>
      <c r="F2224">
        <v>50342.080000000002</v>
      </c>
      <c r="G2224">
        <v>0</v>
      </c>
      <c r="H2224">
        <v>0</v>
      </c>
      <c r="I2224">
        <v>0</v>
      </c>
      <c r="J2224">
        <v>0</v>
      </c>
      <c r="K2224">
        <v>10516.01</v>
      </c>
      <c r="L2224">
        <v>9740453.8200000003</v>
      </c>
      <c r="M2224">
        <v>9730042.9600000009</v>
      </c>
      <c r="N2224">
        <v>9740453.8200000003</v>
      </c>
      <c r="O2224">
        <v>9730042.9600000009</v>
      </c>
      <c r="P2224">
        <v>9838842.2300000004</v>
      </c>
      <c r="Q2224">
        <v>9828326.2200000007</v>
      </c>
      <c r="R2224" s="14">
        <f>_xlfn.XLOOKUP(Table2[[#This Row],[LoanID]],Table1[G-L ID],Table1[ManagerCode],-99)</f>
        <v>103</v>
      </c>
      <c r="T2224"/>
    </row>
    <row r="2225" spans="1:20" x14ac:dyDescent="0.25">
      <c r="A2225">
        <v>20131031</v>
      </c>
      <c r="B2225">
        <v>2013</v>
      </c>
      <c r="C2225">
        <v>10</v>
      </c>
      <c r="D2225">
        <v>1</v>
      </c>
      <c r="E2225">
        <v>11840</v>
      </c>
      <c r="F2225">
        <v>52501.8</v>
      </c>
      <c r="G2225">
        <v>84163.92</v>
      </c>
      <c r="H2225">
        <v>0</v>
      </c>
      <c r="I2225">
        <v>0</v>
      </c>
      <c r="J2225">
        <v>0</v>
      </c>
      <c r="K2225">
        <v>0</v>
      </c>
      <c r="L2225">
        <v>11310266.68</v>
      </c>
      <c r="M2225">
        <v>11394430.6</v>
      </c>
      <c r="N2225">
        <v>11310266.68</v>
      </c>
      <c r="O2225">
        <v>11394430.6</v>
      </c>
      <c r="P2225">
        <v>11310266.68</v>
      </c>
      <c r="Q2225">
        <v>11394430.6</v>
      </c>
      <c r="R2225" s="14">
        <f>_xlfn.XLOOKUP(Table2[[#This Row],[LoanID]],Table1[G-L ID],Table1[ManagerCode],-99)</f>
        <v>183</v>
      </c>
      <c r="T2225"/>
    </row>
    <row r="2226" spans="1:20" x14ac:dyDescent="0.25">
      <c r="A2226">
        <v>20131031</v>
      </c>
      <c r="B2226">
        <v>2013</v>
      </c>
      <c r="C2226">
        <v>10</v>
      </c>
      <c r="D2226">
        <v>1</v>
      </c>
      <c r="E2226">
        <v>11880</v>
      </c>
      <c r="F2226">
        <v>39043.24</v>
      </c>
      <c r="G2226">
        <v>72191.539999999994</v>
      </c>
      <c r="H2226">
        <v>0</v>
      </c>
      <c r="I2226">
        <v>0</v>
      </c>
      <c r="J2226">
        <v>-1661020.99</v>
      </c>
      <c r="K2226">
        <v>0</v>
      </c>
      <c r="L2226">
        <v>9538708.7799999993</v>
      </c>
      <c r="M2226">
        <v>11271921.310000001</v>
      </c>
      <c r="N2226">
        <v>9538708.7799999993</v>
      </c>
      <c r="O2226">
        <v>11271921.310000001</v>
      </c>
      <c r="P2226">
        <v>9538708.7799999993</v>
      </c>
      <c r="Q2226">
        <v>11271921.310000001</v>
      </c>
      <c r="R2226" s="14">
        <f>_xlfn.XLOOKUP(Table2[[#This Row],[LoanID]],Table1[G-L ID],Table1[ManagerCode],-99)</f>
        <v>183</v>
      </c>
      <c r="T2226"/>
    </row>
    <row r="2227" spans="1:20" x14ac:dyDescent="0.25">
      <c r="A2227">
        <v>20131031</v>
      </c>
      <c r="B2227">
        <v>2013</v>
      </c>
      <c r="C2227">
        <v>10</v>
      </c>
      <c r="D2227">
        <v>1</v>
      </c>
      <c r="E2227">
        <v>11970</v>
      </c>
      <c r="F2227">
        <v>83874.39</v>
      </c>
      <c r="G2227">
        <v>51529.8</v>
      </c>
      <c r="H2227">
        <v>0</v>
      </c>
      <c r="I2227">
        <v>0</v>
      </c>
      <c r="J2227">
        <v>-83874.39</v>
      </c>
      <c r="K2227">
        <v>0</v>
      </c>
      <c r="L2227">
        <v>9023989.9600000009</v>
      </c>
      <c r="M2227">
        <v>9159394.1500000004</v>
      </c>
      <c r="N2227">
        <v>9023989.9600000009</v>
      </c>
      <c r="O2227">
        <v>9159394.1500000004</v>
      </c>
      <c r="P2227">
        <v>9023989.9600000009</v>
      </c>
      <c r="Q2227">
        <v>9159394.1500000004</v>
      </c>
      <c r="R2227" s="14">
        <f>_xlfn.XLOOKUP(Table2[[#This Row],[LoanID]],Table1[G-L ID],Table1[ManagerCode],-99)</f>
        <v>183</v>
      </c>
      <c r="T2227"/>
    </row>
    <row r="2228" spans="1:20" x14ac:dyDescent="0.25">
      <c r="A2228">
        <v>20131031</v>
      </c>
      <c r="B2228">
        <v>2013</v>
      </c>
      <c r="C2228">
        <v>10</v>
      </c>
      <c r="D2228">
        <v>1</v>
      </c>
      <c r="E2228">
        <v>12020</v>
      </c>
      <c r="F2228">
        <v>64920.06</v>
      </c>
      <c r="G2228">
        <v>2031.25</v>
      </c>
      <c r="H2228">
        <v>0</v>
      </c>
      <c r="I2228">
        <v>0</v>
      </c>
      <c r="J2228">
        <v>0</v>
      </c>
      <c r="K2228">
        <v>0</v>
      </c>
      <c r="L2228">
        <v>10347177.17</v>
      </c>
      <c r="M2228">
        <v>10349208.42</v>
      </c>
      <c r="N2228">
        <v>10347177.17</v>
      </c>
      <c r="O2228">
        <v>10349208.42</v>
      </c>
      <c r="P2228">
        <v>10347177.17</v>
      </c>
      <c r="Q2228">
        <v>10349208.42</v>
      </c>
      <c r="R2228" s="14">
        <f>_xlfn.XLOOKUP(Table2[[#This Row],[LoanID]],Table1[G-L ID],Table1[ManagerCode],-99)</f>
        <v>183</v>
      </c>
      <c r="T2228"/>
    </row>
    <row r="2229" spans="1:20" x14ac:dyDescent="0.25">
      <c r="A2229">
        <v>20131031</v>
      </c>
      <c r="B2229">
        <v>2013</v>
      </c>
      <c r="C2229">
        <v>10</v>
      </c>
      <c r="D2229">
        <v>1</v>
      </c>
      <c r="E2229">
        <v>12080</v>
      </c>
      <c r="F2229">
        <v>310116.33</v>
      </c>
      <c r="G2229">
        <v>0</v>
      </c>
      <c r="H2229">
        <v>0</v>
      </c>
      <c r="I2229">
        <v>0</v>
      </c>
      <c r="J2229">
        <v>0</v>
      </c>
      <c r="K2229">
        <v>0</v>
      </c>
      <c r="L2229">
        <v>39505264.829999998</v>
      </c>
      <c r="M2229">
        <v>39505264.829999998</v>
      </c>
      <c r="N2229">
        <v>39505264.829999998</v>
      </c>
      <c r="O2229">
        <v>39505264.829999998</v>
      </c>
      <c r="P2229">
        <v>39505264.829999998</v>
      </c>
      <c r="Q2229">
        <v>39505264.829999998</v>
      </c>
      <c r="R2229" s="14">
        <f>_xlfn.XLOOKUP(Table2[[#This Row],[LoanID]],Table1[G-L ID],Table1[ManagerCode],-99)</f>
        <v>119</v>
      </c>
      <c r="T2229"/>
    </row>
    <row r="2230" spans="1:20" x14ac:dyDescent="0.25">
      <c r="A2230">
        <v>20131031</v>
      </c>
      <c r="B2230">
        <v>2013</v>
      </c>
      <c r="C2230">
        <v>10</v>
      </c>
      <c r="D2230">
        <v>1</v>
      </c>
      <c r="E2230">
        <v>12090</v>
      </c>
      <c r="F2230">
        <v>158710.42000000001</v>
      </c>
      <c r="G2230">
        <v>0</v>
      </c>
      <c r="H2230">
        <v>0</v>
      </c>
      <c r="I2230">
        <v>0</v>
      </c>
      <c r="J2230">
        <v>0</v>
      </c>
      <c r="K2230">
        <v>0</v>
      </c>
      <c r="L2230">
        <v>17500000</v>
      </c>
      <c r="M2230">
        <v>17500000</v>
      </c>
      <c r="N2230">
        <v>17500000</v>
      </c>
      <c r="O2230">
        <v>17500000</v>
      </c>
      <c r="P2230">
        <v>17500000</v>
      </c>
      <c r="Q2230">
        <v>17500000</v>
      </c>
      <c r="R2230" s="14">
        <f>_xlfn.XLOOKUP(Table2[[#This Row],[LoanID]],Table1[G-L ID],Table1[ManagerCode],-99)</f>
        <v>220</v>
      </c>
      <c r="T2230"/>
    </row>
    <row r="2231" spans="1:20" x14ac:dyDescent="0.25">
      <c r="A2231">
        <v>20131031</v>
      </c>
      <c r="B2231">
        <v>2013</v>
      </c>
      <c r="C2231">
        <v>10</v>
      </c>
      <c r="D2231">
        <v>1</v>
      </c>
      <c r="E2231">
        <v>12100</v>
      </c>
      <c r="F2231">
        <v>46842.52</v>
      </c>
      <c r="G2231">
        <v>74431.42</v>
      </c>
      <c r="H2231">
        <v>0</v>
      </c>
      <c r="I2231">
        <v>0</v>
      </c>
      <c r="J2231">
        <v>-46842.52</v>
      </c>
      <c r="K2231">
        <v>0</v>
      </c>
      <c r="L2231">
        <v>10023029.050000001</v>
      </c>
      <c r="M2231">
        <v>10144302.99</v>
      </c>
      <c r="N2231">
        <v>10023029.050000001</v>
      </c>
      <c r="O2231">
        <v>10144302.99</v>
      </c>
      <c r="P2231">
        <v>10023029.050000001</v>
      </c>
      <c r="Q2231">
        <v>10144302.99</v>
      </c>
      <c r="R2231" s="14">
        <f>_xlfn.XLOOKUP(Table2[[#This Row],[LoanID]],Table1[G-L ID],Table1[ManagerCode],-99)</f>
        <v>183</v>
      </c>
      <c r="T2231"/>
    </row>
    <row r="2232" spans="1:20" x14ac:dyDescent="0.25">
      <c r="A2232">
        <v>20131031</v>
      </c>
      <c r="B2232">
        <v>2013</v>
      </c>
      <c r="C2232">
        <v>10</v>
      </c>
      <c r="D2232">
        <v>1</v>
      </c>
      <c r="E2232">
        <v>12130</v>
      </c>
      <c r="F2232">
        <v>111615.66</v>
      </c>
      <c r="G2232">
        <v>0</v>
      </c>
      <c r="H2232">
        <v>0</v>
      </c>
      <c r="I2232">
        <v>0</v>
      </c>
      <c r="J2232">
        <v>-728625.98</v>
      </c>
      <c r="K2232">
        <v>0</v>
      </c>
      <c r="L2232">
        <v>14695919.949999999</v>
      </c>
      <c r="M2232">
        <v>15424545.93</v>
      </c>
      <c r="N2232">
        <v>14695919.949999999</v>
      </c>
      <c r="O2232">
        <v>15424545.93</v>
      </c>
      <c r="P2232">
        <v>14695919.949999999</v>
      </c>
      <c r="Q2232">
        <v>15424545.93</v>
      </c>
      <c r="R2232" s="14">
        <f>_xlfn.XLOOKUP(Table2[[#This Row],[LoanID]],Table1[G-L ID],Table1[ManagerCode],-99)</f>
        <v>183</v>
      </c>
      <c r="T2232"/>
    </row>
    <row r="2233" spans="1:20" x14ac:dyDescent="0.25">
      <c r="A2233">
        <v>20131031</v>
      </c>
      <c r="B2233">
        <v>2013</v>
      </c>
      <c r="C2233">
        <v>10</v>
      </c>
      <c r="D2233">
        <v>1</v>
      </c>
      <c r="E2233">
        <v>12190</v>
      </c>
      <c r="F2233">
        <v>274687.5</v>
      </c>
      <c r="G2233">
        <v>0</v>
      </c>
      <c r="H2233">
        <v>0</v>
      </c>
      <c r="I2233">
        <v>0</v>
      </c>
      <c r="J2233">
        <v>0</v>
      </c>
      <c r="K2233">
        <v>0</v>
      </c>
      <c r="L2233">
        <v>37500000</v>
      </c>
      <c r="M2233">
        <v>37500000</v>
      </c>
      <c r="N2233">
        <v>37500000</v>
      </c>
      <c r="O2233">
        <v>37500000</v>
      </c>
      <c r="P2233">
        <v>37500000</v>
      </c>
      <c r="Q2233">
        <v>37500000</v>
      </c>
      <c r="R2233" s="14">
        <f>_xlfn.XLOOKUP(Table2[[#This Row],[LoanID]],Table1[G-L ID],Table1[ManagerCode],-99)</f>
        <v>220</v>
      </c>
      <c r="T2233"/>
    </row>
    <row r="2234" spans="1:20" x14ac:dyDescent="0.25">
      <c r="A2234">
        <v>20131031</v>
      </c>
      <c r="B2234">
        <v>2013</v>
      </c>
      <c r="C2234">
        <v>10</v>
      </c>
      <c r="D2234">
        <v>1</v>
      </c>
      <c r="E2234">
        <v>12210</v>
      </c>
      <c r="F2234">
        <v>695685.23</v>
      </c>
      <c r="G2234">
        <v>0</v>
      </c>
      <c r="H2234">
        <v>0</v>
      </c>
      <c r="I2234">
        <v>0</v>
      </c>
      <c r="J2234">
        <v>0</v>
      </c>
      <c r="K2234">
        <v>204669.95</v>
      </c>
      <c r="L2234">
        <v>131730003</v>
      </c>
      <c r="M2234">
        <v>132004511.2</v>
      </c>
      <c r="N2234">
        <v>131730003</v>
      </c>
      <c r="O2234">
        <v>132004511.2</v>
      </c>
      <c r="P2234">
        <v>112562993.40000001</v>
      </c>
      <c r="Q2234">
        <v>112358323.5</v>
      </c>
      <c r="R2234" s="14">
        <f>_xlfn.XLOOKUP(Table2[[#This Row],[LoanID]],Table1[G-L ID],Table1[ManagerCode],-99)</f>
        <v>103</v>
      </c>
      <c r="T2234"/>
    </row>
    <row r="2235" spans="1:20" x14ac:dyDescent="0.25">
      <c r="A2235">
        <v>20131031</v>
      </c>
      <c r="B2235">
        <v>2013</v>
      </c>
      <c r="C2235">
        <v>10</v>
      </c>
      <c r="D2235">
        <v>1</v>
      </c>
      <c r="E2235">
        <v>12230</v>
      </c>
      <c r="F2235">
        <v>285979.24</v>
      </c>
      <c r="G2235">
        <v>0</v>
      </c>
      <c r="H2235">
        <v>0</v>
      </c>
      <c r="I2235">
        <v>0</v>
      </c>
      <c r="J2235">
        <v>0</v>
      </c>
      <c r="K2235">
        <v>0</v>
      </c>
      <c r="L2235">
        <v>54675074</v>
      </c>
      <c r="M2235">
        <v>54675074</v>
      </c>
      <c r="N2235">
        <v>36451872</v>
      </c>
      <c r="O2235">
        <v>36451872</v>
      </c>
      <c r="P2235">
        <v>54675074</v>
      </c>
      <c r="Q2235">
        <v>54675074</v>
      </c>
      <c r="R2235" s="14">
        <f>_xlfn.XLOOKUP(Table2[[#This Row],[LoanID]],Table1[G-L ID],Table1[ManagerCode],-99)</f>
        <v>183</v>
      </c>
      <c r="T2235"/>
    </row>
    <row r="2236" spans="1:20" x14ac:dyDescent="0.25">
      <c r="A2236">
        <v>20131031</v>
      </c>
      <c r="B2236">
        <v>2013</v>
      </c>
      <c r="C2236">
        <v>10</v>
      </c>
      <c r="D2236">
        <v>1</v>
      </c>
      <c r="E2236">
        <v>15580</v>
      </c>
      <c r="F2236">
        <v>115564.29</v>
      </c>
      <c r="G2236">
        <v>3789.72</v>
      </c>
      <c r="H2236">
        <v>0</v>
      </c>
      <c r="I2236">
        <v>0</v>
      </c>
      <c r="J2236">
        <v>0</v>
      </c>
      <c r="K2236">
        <v>7837.02</v>
      </c>
      <c r="L2236">
        <v>15107688.77</v>
      </c>
      <c r="M2236">
        <v>15103641.470000001</v>
      </c>
      <c r="N2236">
        <v>15107688.77</v>
      </c>
      <c r="O2236">
        <v>15103641.470000001</v>
      </c>
      <c r="P2236">
        <v>15107688.77</v>
      </c>
      <c r="Q2236">
        <v>15103641.470000001</v>
      </c>
      <c r="R2236" s="14">
        <f>_xlfn.XLOOKUP(Table2[[#This Row],[LoanID]],Table1[G-L ID],Table1[ManagerCode],-99)</f>
        <v>212</v>
      </c>
      <c r="T2236"/>
    </row>
    <row r="2237" spans="1:20" x14ac:dyDescent="0.25">
      <c r="A2237">
        <v>20131130</v>
      </c>
      <c r="B2237">
        <v>2013</v>
      </c>
      <c r="C2237">
        <v>11</v>
      </c>
      <c r="D2237">
        <v>1</v>
      </c>
      <c r="E2237">
        <v>10050</v>
      </c>
      <c r="F2237">
        <v>153981.01999999999</v>
      </c>
      <c r="G2237">
        <v>0</v>
      </c>
      <c r="H2237">
        <v>0</v>
      </c>
      <c r="I2237">
        <v>0</v>
      </c>
      <c r="J2237">
        <v>0</v>
      </c>
      <c r="K2237">
        <v>0</v>
      </c>
      <c r="L2237">
        <v>36789929.240000002</v>
      </c>
      <c r="M2237">
        <v>35584777.270000003</v>
      </c>
      <c r="N2237">
        <v>36789929.240000002</v>
      </c>
      <c r="O2237">
        <v>35584777.270000003</v>
      </c>
      <c r="P2237">
        <v>33333334</v>
      </c>
      <c r="Q2237">
        <v>33333334</v>
      </c>
      <c r="R2237" s="14">
        <f>_xlfn.XLOOKUP(Table2[[#This Row],[LoanID]],Table1[G-L ID],Table1[ManagerCode],-99)</f>
        <v>103</v>
      </c>
      <c r="T2237"/>
    </row>
    <row r="2238" spans="1:20" x14ac:dyDescent="0.25">
      <c r="A2238">
        <v>20131130</v>
      </c>
      <c r="B2238">
        <v>2013</v>
      </c>
      <c r="C2238">
        <v>11</v>
      </c>
      <c r="D2238">
        <v>1</v>
      </c>
      <c r="E2238">
        <v>10060</v>
      </c>
      <c r="F2238">
        <v>120833.33</v>
      </c>
      <c r="G2238">
        <v>0</v>
      </c>
      <c r="H2238">
        <v>0</v>
      </c>
      <c r="I2238">
        <v>0</v>
      </c>
      <c r="J2238">
        <v>0</v>
      </c>
      <c r="K2238">
        <v>0</v>
      </c>
      <c r="L2238">
        <v>19000000</v>
      </c>
      <c r="M2238">
        <v>19000000</v>
      </c>
      <c r="N2238">
        <v>19000000</v>
      </c>
      <c r="O2238">
        <v>19000000</v>
      </c>
      <c r="P2238">
        <v>20000000</v>
      </c>
      <c r="Q2238">
        <v>20000000</v>
      </c>
      <c r="R2238" s="14">
        <f>_xlfn.XLOOKUP(Table2[[#This Row],[LoanID]],Table1[G-L ID],Table1[ManagerCode],-99)</f>
        <v>103</v>
      </c>
      <c r="T2238"/>
    </row>
    <row r="2239" spans="1:20" x14ac:dyDescent="0.25">
      <c r="A2239">
        <v>20131130</v>
      </c>
      <c r="B2239">
        <v>2013</v>
      </c>
      <c r="C2239">
        <v>11</v>
      </c>
      <c r="D2239">
        <v>1</v>
      </c>
      <c r="E2239">
        <v>10080</v>
      </c>
      <c r="F2239">
        <v>351042.71</v>
      </c>
      <c r="G2239">
        <v>0</v>
      </c>
      <c r="H2239">
        <v>0</v>
      </c>
      <c r="I2239">
        <v>-161.46</v>
      </c>
      <c r="J2239">
        <v>0</v>
      </c>
      <c r="K2239">
        <v>0</v>
      </c>
      <c r="L2239">
        <v>78024974.730000004</v>
      </c>
      <c r="M2239">
        <v>77686121.620000005</v>
      </c>
      <c r="N2239">
        <v>78024974.730000004</v>
      </c>
      <c r="O2239">
        <v>77686121.620000005</v>
      </c>
      <c r="P2239">
        <v>75000000</v>
      </c>
      <c r="Q2239">
        <v>75000000</v>
      </c>
      <c r="R2239" s="14">
        <f>_xlfn.XLOOKUP(Table2[[#This Row],[LoanID]],Table1[G-L ID],Table1[ManagerCode],-99)</f>
        <v>103</v>
      </c>
      <c r="T2239"/>
    </row>
    <row r="2240" spans="1:20" x14ac:dyDescent="0.25">
      <c r="A2240">
        <v>20131130</v>
      </c>
      <c r="B2240">
        <v>2013</v>
      </c>
      <c r="C2240">
        <v>11</v>
      </c>
      <c r="D2240">
        <v>1</v>
      </c>
      <c r="E2240">
        <v>10170</v>
      </c>
      <c r="F2240">
        <v>239754.35</v>
      </c>
      <c r="G2240">
        <v>0</v>
      </c>
      <c r="H2240">
        <v>0</v>
      </c>
      <c r="I2240">
        <v>-1148.98</v>
      </c>
      <c r="J2240">
        <v>0</v>
      </c>
      <c r="K2240">
        <v>74593</v>
      </c>
      <c r="L2240">
        <v>46232180.990000002</v>
      </c>
      <c r="M2240">
        <v>45989968.159999996</v>
      </c>
      <c r="N2240">
        <v>46232180.990000002</v>
      </c>
      <c r="O2240">
        <v>45989968.159999996</v>
      </c>
      <c r="P2240">
        <v>44476742.299999997</v>
      </c>
      <c r="Q2240">
        <v>44402149.299999997</v>
      </c>
      <c r="R2240" s="14">
        <f>_xlfn.XLOOKUP(Table2[[#This Row],[LoanID]],Table1[G-L ID],Table1[ManagerCode],-99)</f>
        <v>103</v>
      </c>
      <c r="T2240"/>
    </row>
    <row r="2241" spans="1:20" x14ac:dyDescent="0.25">
      <c r="A2241">
        <v>20131130</v>
      </c>
      <c r="B2241">
        <v>2013</v>
      </c>
      <c r="C2241">
        <v>11</v>
      </c>
      <c r="D2241">
        <v>1</v>
      </c>
      <c r="E2241">
        <v>10190</v>
      </c>
      <c r="F2241">
        <v>41666.67</v>
      </c>
      <c r="G2241">
        <v>0</v>
      </c>
      <c r="H2241">
        <v>0</v>
      </c>
      <c r="I2241">
        <v>0</v>
      </c>
      <c r="J2241">
        <v>0</v>
      </c>
      <c r="K2241">
        <v>0</v>
      </c>
      <c r="L2241">
        <v>9500000</v>
      </c>
      <c r="M2241">
        <v>9500000</v>
      </c>
      <c r="N2241">
        <v>9500000</v>
      </c>
      <c r="O2241">
        <v>9500000</v>
      </c>
      <c r="P2241">
        <v>10000000</v>
      </c>
      <c r="Q2241">
        <v>10000000</v>
      </c>
      <c r="R2241" s="14">
        <f>_xlfn.XLOOKUP(Table2[[#This Row],[LoanID]],Table1[G-L ID],Table1[ManagerCode],-99)</f>
        <v>103</v>
      </c>
      <c r="T2241"/>
    </row>
    <row r="2242" spans="1:20" x14ac:dyDescent="0.25">
      <c r="A2242">
        <v>20131130</v>
      </c>
      <c r="B2242">
        <v>2013</v>
      </c>
      <c r="C2242">
        <v>11</v>
      </c>
      <c r="D2242">
        <v>1</v>
      </c>
      <c r="E2242">
        <v>10200</v>
      </c>
      <c r="F2242">
        <v>128541.67</v>
      </c>
      <c r="G2242">
        <v>0</v>
      </c>
      <c r="H2242">
        <v>0</v>
      </c>
      <c r="I2242">
        <v>0</v>
      </c>
      <c r="J2242">
        <v>0</v>
      </c>
      <c r="K2242">
        <v>0</v>
      </c>
      <c r="L2242">
        <v>29307500</v>
      </c>
      <c r="M2242">
        <v>29307500</v>
      </c>
      <c r="N2242">
        <v>29307500</v>
      </c>
      <c r="O2242">
        <v>29307500</v>
      </c>
      <c r="P2242">
        <v>30850000</v>
      </c>
      <c r="Q2242">
        <v>30850000</v>
      </c>
      <c r="R2242" s="14">
        <f>_xlfn.XLOOKUP(Table2[[#This Row],[LoanID]],Table1[G-L ID],Table1[ManagerCode],-99)</f>
        <v>103</v>
      </c>
      <c r="T2242"/>
    </row>
    <row r="2243" spans="1:20" x14ac:dyDescent="0.25">
      <c r="A2243">
        <v>20131130</v>
      </c>
      <c r="B2243">
        <v>2013</v>
      </c>
      <c r="C2243">
        <v>11</v>
      </c>
      <c r="D2243">
        <v>1</v>
      </c>
      <c r="E2243">
        <v>10220</v>
      </c>
      <c r="F2243">
        <v>559722.22</v>
      </c>
      <c r="G2243">
        <v>0</v>
      </c>
      <c r="H2243">
        <v>0</v>
      </c>
      <c r="I2243">
        <v>0</v>
      </c>
      <c r="J2243">
        <v>0</v>
      </c>
      <c r="K2243">
        <v>0</v>
      </c>
      <c r="L2243">
        <v>99000000</v>
      </c>
      <c r="M2243">
        <v>99000000</v>
      </c>
      <c r="N2243">
        <v>99000000</v>
      </c>
      <c r="O2243">
        <v>99000000</v>
      </c>
      <c r="P2243">
        <v>100000000</v>
      </c>
      <c r="Q2243">
        <v>100000000</v>
      </c>
      <c r="R2243" s="14">
        <f>_xlfn.XLOOKUP(Table2[[#This Row],[LoanID]],Table1[G-L ID],Table1[ManagerCode],-99)</f>
        <v>103</v>
      </c>
      <c r="T2243"/>
    </row>
    <row r="2244" spans="1:20" x14ac:dyDescent="0.25">
      <c r="A2244">
        <v>20131130</v>
      </c>
      <c r="B2244">
        <v>2013</v>
      </c>
      <c r="C2244">
        <v>11</v>
      </c>
      <c r="D2244">
        <v>1</v>
      </c>
      <c r="E2244">
        <v>10230</v>
      </c>
      <c r="F2244">
        <v>174600.42</v>
      </c>
      <c r="G2244">
        <v>0</v>
      </c>
      <c r="H2244">
        <v>0</v>
      </c>
      <c r="I2244">
        <v>0</v>
      </c>
      <c r="J2244">
        <v>0</v>
      </c>
      <c r="K2244">
        <v>66997.649999999994</v>
      </c>
      <c r="L2244">
        <v>29531822.199999999</v>
      </c>
      <c r="M2244">
        <v>29468174.390000001</v>
      </c>
      <c r="N2244">
        <v>29531822.199999999</v>
      </c>
      <c r="O2244">
        <v>29468174.390000001</v>
      </c>
      <c r="P2244">
        <v>31086128.600000001</v>
      </c>
      <c r="Q2244">
        <v>31019130.949999999</v>
      </c>
      <c r="R2244" s="14">
        <f>_xlfn.XLOOKUP(Table2[[#This Row],[LoanID]],Table1[G-L ID],Table1[ManagerCode],-99)</f>
        <v>103</v>
      </c>
      <c r="T2244"/>
    </row>
    <row r="2245" spans="1:20" x14ac:dyDescent="0.25">
      <c r="A2245">
        <v>20131130</v>
      </c>
      <c r="B2245">
        <v>2013</v>
      </c>
      <c r="C2245">
        <v>11</v>
      </c>
      <c r="D2245">
        <v>1</v>
      </c>
      <c r="E2245">
        <v>10280</v>
      </c>
      <c r="F2245">
        <v>713477.86</v>
      </c>
      <c r="G2245">
        <v>0</v>
      </c>
      <c r="H2245">
        <v>0</v>
      </c>
      <c r="I2245">
        <v>-7.0000000000000007E-2</v>
      </c>
      <c r="J2245">
        <v>0</v>
      </c>
      <c r="K2245">
        <v>35000000</v>
      </c>
      <c r="L2245">
        <v>36229561.399999999</v>
      </c>
      <c r="M2245">
        <v>0</v>
      </c>
      <c r="N2245">
        <v>36229561.399999999</v>
      </c>
      <c r="O2245">
        <v>0</v>
      </c>
      <c r="P2245">
        <v>35000000</v>
      </c>
      <c r="Q2245">
        <v>0</v>
      </c>
      <c r="R2245" s="14">
        <f>_xlfn.XLOOKUP(Table2[[#This Row],[LoanID]],Table1[G-L ID],Table1[ManagerCode],-99)</f>
        <v>103</v>
      </c>
      <c r="T2245"/>
    </row>
    <row r="2246" spans="1:20" x14ac:dyDescent="0.25">
      <c r="A2246">
        <v>20131130</v>
      </c>
      <c r="B2246">
        <v>2013</v>
      </c>
      <c r="C2246">
        <v>11</v>
      </c>
      <c r="D2246">
        <v>1</v>
      </c>
      <c r="E2246">
        <v>10290</v>
      </c>
      <c r="F2246">
        <v>674583.87</v>
      </c>
      <c r="G2246">
        <v>0</v>
      </c>
      <c r="H2246">
        <v>0</v>
      </c>
      <c r="I2246">
        <v>0.01</v>
      </c>
      <c r="J2246">
        <v>0</v>
      </c>
      <c r="K2246">
        <v>25000000</v>
      </c>
      <c r="L2246">
        <v>24750000</v>
      </c>
      <c r="M2246">
        <v>0</v>
      </c>
      <c r="N2246">
        <v>24750000</v>
      </c>
      <c r="O2246">
        <v>0</v>
      </c>
      <c r="P2246">
        <v>25000000</v>
      </c>
      <c r="Q2246">
        <v>0</v>
      </c>
      <c r="R2246" s="14">
        <f>_xlfn.XLOOKUP(Table2[[#This Row],[LoanID]],Table1[G-L ID],Table1[ManagerCode],-99)</f>
        <v>103</v>
      </c>
      <c r="T2246"/>
    </row>
    <row r="2247" spans="1:20" x14ac:dyDescent="0.25">
      <c r="A2247">
        <v>20131130</v>
      </c>
      <c r="B2247">
        <v>2013</v>
      </c>
      <c r="C2247">
        <v>11</v>
      </c>
      <c r="D2247">
        <v>1</v>
      </c>
      <c r="E2247">
        <v>10300</v>
      </c>
      <c r="F2247">
        <v>588837.22</v>
      </c>
      <c r="G2247">
        <v>0</v>
      </c>
      <c r="H2247">
        <v>0</v>
      </c>
      <c r="I2247">
        <v>0.02</v>
      </c>
      <c r="J2247">
        <v>0</v>
      </c>
      <c r="K2247">
        <v>35000000</v>
      </c>
      <c r="L2247">
        <v>36532904.770000003</v>
      </c>
      <c r="M2247">
        <v>0</v>
      </c>
      <c r="N2247">
        <v>36532904.770000003</v>
      </c>
      <c r="O2247">
        <v>0</v>
      </c>
      <c r="P2247">
        <v>35000000</v>
      </c>
      <c r="Q2247">
        <v>0</v>
      </c>
      <c r="R2247" s="14">
        <f>_xlfn.XLOOKUP(Table2[[#This Row],[LoanID]],Table1[G-L ID],Table1[ManagerCode],-99)</f>
        <v>103</v>
      </c>
      <c r="T2247"/>
    </row>
    <row r="2248" spans="1:20" x14ac:dyDescent="0.25">
      <c r="A2248">
        <v>20131130</v>
      </c>
      <c r="B2248">
        <v>2013</v>
      </c>
      <c r="C2248">
        <v>11</v>
      </c>
      <c r="D2248">
        <v>1</v>
      </c>
      <c r="E2248">
        <v>10340</v>
      </c>
      <c r="F2248">
        <v>104813.37</v>
      </c>
      <c r="G2248">
        <v>0</v>
      </c>
      <c r="H2248">
        <v>0</v>
      </c>
      <c r="I2248">
        <v>0</v>
      </c>
      <c r="J2248">
        <v>0</v>
      </c>
      <c r="K2248">
        <v>0</v>
      </c>
      <c r="L2248">
        <v>11875000</v>
      </c>
      <c r="M2248">
        <v>11875000</v>
      </c>
      <c r="N2248">
        <v>11875000</v>
      </c>
      <c r="O2248">
        <v>11875000</v>
      </c>
      <c r="P2248">
        <v>11875000</v>
      </c>
      <c r="Q2248">
        <v>11875000</v>
      </c>
      <c r="R2248" s="14">
        <f>_xlfn.XLOOKUP(Table2[[#This Row],[LoanID]],Table1[G-L ID],Table1[ManagerCode],-99)</f>
        <v>220</v>
      </c>
      <c r="T2248"/>
    </row>
    <row r="2249" spans="1:20" x14ac:dyDescent="0.25">
      <c r="A2249">
        <v>20131130</v>
      </c>
      <c r="B2249">
        <v>2013</v>
      </c>
      <c r="C2249">
        <v>11</v>
      </c>
      <c r="D2249">
        <v>1</v>
      </c>
      <c r="E2249">
        <v>10370</v>
      </c>
      <c r="F2249">
        <v>3487.99</v>
      </c>
      <c r="G2249">
        <v>0</v>
      </c>
      <c r="H2249">
        <v>0</v>
      </c>
      <c r="I2249">
        <v>0</v>
      </c>
      <c r="J2249">
        <v>0</v>
      </c>
      <c r="K2249">
        <v>40708.93</v>
      </c>
      <c r="L2249">
        <v>1993801.01</v>
      </c>
      <c r="M2249">
        <v>1955127.52</v>
      </c>
      <c r="N2249">
        <v>1993801.01</v>
      </c>
      <c r="O2249">
        <v>1955127.52</v>
      </c>
      <c r="P2249">
        <v>2098737.91</v>
      </c>
      <c r="Q2249">
        <v>2058028.98</v>
      </c>
      <c r="R2249" s="14">
        <f>_xlfn.XLOOKUP(Table2[[#This Row],[LoanID]],Table1[G-L ID],Table1[ManagerCode],-99)</f>
        <v>103</v>
      </c>
      <c r="T2249"/>
    </row>
    <row r="2250" spans="1:20" x14ac:dyDescent="0.25">
      <c r="A2250">
        <v>20131130</v>
      </c>
      <c r="B2250">
        <v>2013</v>
      </c>
      <c r="C2250">
        <v>11</v>
      </c>
      <c r="D2250">
        <v>1</v>
      </c>
      <c r="E2250">
        <v>10390</v>
      </c>
      <c r="F2250">
        <v>118750</v>
      </c>
      <c r="G2250">
        <v>0</v>
      </c>
      <c r="H2250">
        <v>0</v>
      </c>
      <c r="I2250">
        <v>0</v>
      </c>
      <c r="J2250">
        <v>0</v>
      </c>
      <c r="K2250">
        <v>0</v>
      </c>
      <c r="L2250">
        <v>23750000</v>
      </c>
      <c r="M2250">
        <v>23750000</v>
      </c>
      <c r="N2250">
        <v>23750000</v>
      </c>
      <c r="O2250">
        <v>23750000</v>
      </c>
      <c r="P2250">
        <v>24998775.390000001</v>
      </c>
      <c r="Q2250">
        <v>24998979.469999999</v>
      </c>
      <c r="R2250" s="14">
        <f>_xlfn.XLOOKUP(Table2[[#This Row],[LoanID]],Table1[G-L ID],Table1[ManagerCode],-99)</f>
        <v>103</v>
      </c>
      <c r="T2250"/>
    </row>
    <row r="2251" spans="1:20" x14ac:dyDescent="0.25">
      <c r="A2251">
        <v>20131130</v>
      </c>
      <c r="B2251">
        <v>2013</v>
      </c>
      <c r="C2251">
        <v>11</v>
      </c>
      <c r="D2251">
        <v>1</v>
      </c>
      <c r="E2251">
        <v>10400</v>
      </c>
      <c r="F2251">
        <v>412687.5</v>
      </c>
      <c r="G2251">
        <v>0</v>
      </c>
      <c r="H2251">
        <v>0</v>
      </c>
      <c r="I2251">
        <v>0</v>
      </c>
      <c r="J2251">
        <v>0</v>
      </c>
      <c r="K2251">
        <v>0</v>
      </c>
      <c r="L2251">
        <v>45000000</v>
      </c>
      <c r="M2251">
        <v>45000000</v>
      </c>
      <c r="N2251">
        <v>45000000</v>
      </c>
      <c r="O2251">
        <v>45000000</v>
      </c>
      <c r="P2251">
        <v>45000000</v>
      </c>
      <c r="Q2251">
        <v>45000000</v>
      </c>
      <c r="R2251" s="14">
        <f>_xlfn.XLOOKUP(Table2[[#This Row],[LoanID]],Table1[G-L ID],Table1[ManagerCode],-99)</f>
        <v>220</v>
      </c>
      <c r="T2251"/>
    </row>
    <row r="2252" spans="1:20" x14ac:dyDescent="0.25">
      <c r="A2252">
        <v>20131130</v>
      </c>
      <c r="B2252">
        <v>2013</v>
      </c>
      <c r="C2252">
        <v>11</v>
      </c>
      <c r="D2252">
        <v>1</v>
      </c>
      <c r="E2252">
        <v>10430</v>
      </c>
      <c r="F2252">
        <v>62462.32</v>
      </c>
      <c r="G2252">
        <v>0</v>
      </c>
      <c r="H2252">
        <v>0</v>
      </c>
      <c r="I2252">
        <v>0</v>
      </c>
      <c r="J2252">
        <v>0</v>
      </c>
      <c r="K2252">
        <v>14875</v>
      </c>
      <c r="L2252">
        <v>6925625</v>
      </c>
      <c r="M2252">
        <v>6910750</v>
      </c>
      <c r="N2252">
        <v>6925625</v>
      </c>
      <c r="O2252">
        <v>6910750</v>
      </c>
      <c r="P2252">
        <v>6925625</v>
      </c>
      <c r="Q2252">
        <v>6910750</v>
      </c>
      <c r="R2252" s="14">
        <f>_xlfn.XLOOKUP(Table2[[#This Row],[LoanID]],Table1[G-L ID],Table1[ManagerCode],-99)</f>
        <v>119</v>
      </c>
      <c r="T2252"/>
    </row>
    <row r="2253" spans="1:20" x14ac:dyDescent="0.25">
      <c r="A2253">
        <v>20131130</v>
      </c>
      <c r="B2253">
        <v>2013</v>
      </c>
      <c r="C2253">
        <v>11</v>
      </c>
      <c r="D2253">
        <v>1</v>
      </c>
      <c r="E2253">
        <v>10460</v>
      </c>
      <c r="F2253">
        <v>52312.5</v>
      </c>
      <c r="G2253">
        <v>0</v>
      </c>
      <c r="H2253">
        <v>0</v>
      </c>
      <c r="I2253">
        <v>0</v>
      </c>
      <c r="J2253">
        <v>0</v>
      </c>
      <c r="K2253">
        <v>0</v>
      </c>
      <c r="L2253">
        <v>25883021.91</v>
      </c>
      <c r="M2253">
        <v>25784203.030000001</v>
      </c>
      <c r="N2253">
        <v>25883021.91</v>
      </c>
      <c r="O2253">
        <v>25784203.030000001</v>
      </c>
      <c r="P2253">
        <v>25000000.010000002</v>
      </c>
      <c r="Q2253">
        <v>25000000.010000002</v>
      </c>
      <c r="R2253" s="14">
        <f>_xlfn.XLOOKUP(Table2[[#This Row],[LoanID]],Table1[G-L ID],Table1[ManagerCode],-99)</f>
        <v>103</v>
      </c>
      <c r="T2253"/>
    </row>
    <row r="2254" spans="1:20" x14ac:dyDescent="0.25">
      <c r="A2254">
        <v>20131130</v>
      </c>
      <c r="B2254">
        <v>2013</v>
      </c>
      <c r="C2254">
        <v>11</v>
      </c>
      <c r="D2254">
        <v>1</v>
      </c>
      <c r="E2254">
        <v>10490</v>
      </c>
      <c r="F2254">
        <v>158538.1</v>
      </c>
      <c r="G2254">
        <v>0</v>
      </c>
      <c r="H2254">
        <v>0</v>
      </c>
      <c r="I2254">
        <v>0</v>
      </c>
      <c r="J2254">
        <v>0</v>
      </c>
      <c r="K2254">
        <v>0</v>
      </c>
      <c r="L2254">
        <v>17534168</v>
      </c>
      <c r="M2254">
        <v>17534168</v>
      </c>
      <c r="N2254">
        <v>17534168</v>
      </c>
      <c r="O2254">
        <v>17534168</v>
      </c>
      <c r="P2254">
        <v>17534168</v>
      </c>
      <c r="Q2254">
        <v>17534168</v>
      </c>
      <c r="R2254" s="14">
        <f>_xlfn.XLOOKUP(Table2[[#This Row],[LoanID]],Table1[G-L ID],Table1[ManagerCode],-99)</f>
        <v>220</v>
      </c>
      <c r="T2254"/>
    </row>
    <row r="2255" spans="1:20" x14ac:dyDescent="0.25">
      <c r="A2255">
        <v>20131130</v>
      </c>
      <c r="B2255">
        <v>2013</v>
      </c>
      <c r="C2255">
        <v>11</v>
      </c>
      <c r="D2255">
        <v>1</v>
      </c>
      <c r="E2255">
        <v>10510</v>
      </c>
      <c r="F2255">
        <v>301630</v>
      </c>
      <c r="G2255">
        <v>0</v>
      </c>
      <c r="H2255">
        <v>0</v>
      </c>
      <c r="I2255">
        <v>0</v>
      </c>
      <c r="J2255">
        <v>0</v>
      </c>
      <c r="K2255">
        <v>0</v>
      </c>
      <c r="L2255">
        <v>45000000</v>
      </c>
      <c r="M2255">
        <v>45000000</v>
      </c>
      <c r="N2255">
        <v>45000000</v>
      </c>
      <c r="O2255">
        <v>45000000</v>
      </c>
      <c r="P2255">
        <v>45000000</v>
      </c>
      <c r="Q2255">
        <v>45000000</v>
      </c>
      <c r="R2255" s="14">
        <f>_xlfn.XLOOKUP(Table2[[#This Row],[LoanID]],Table1[G-L ID],Table1[ManagerCode],-99)</f>
        <v>220</v>
      </c>
      <c r="T2255"/>
    </row>
    <row r="2256" spans="1:20" x14ac:dyDescent="0.25">
      <c r="A2256">
        <v>20131130</v>
      </c>
      <c r="B2256">
        <v>2013</v>
      </c>
      <c r="C2256">
        <v>11</v>
      </c>
      <c r="D2256">
        <v>1</v>
      </c>
      <c r="E2256">
        <v>10570</v>
      </c>
      <c r="F2256">
        <v>3778768.89</v>
      </c>
      <c r="G2256">
        <v>0</v>
      </c>
      <c r="H2256">
        <v>0</v>
      </c>
      <c r="I2256">
        <v>0</v>
      </c>
      <c r="J2256">
        <v>0</v>
      </c>
      <c r="K2256">
        <v>17710000</v>
      </c>
      <c r="L2256">
        <v>217800000</v>
      </c>
      <c r="M2256">
        <v>200267100</v>
      </c>
      <c r="N2256">
        <v>217800000</v>
      </c>
      <c r="O2256">
        <v>200267100</v>
      </c>
      <c r="P2256">
        <v>220000000</v>
      </c>
      <c r="Q2256">
        <v>202290000</v>
      </c>
      <c r="R2256" s="14">
        <f>_xlfn.XLOOKUP(Table2[[#This Row],[LoanID]],Table1[G-L ID],Table1[ManagerCode],-99)</f>
        <v>103</v>
      </c>
      <c r="T2256"/>
    </row>
    <row r="2257" spans="1:20" x14ac:dyDescent="0.25">
      <c r="A2257">
        <v>20131130</v>
      </c>
      <c r="B2257">
        <v>2013</v>
      </c>
      <c r="C2257">
        <v>11</v>
      </c>
      <c r="D2257">
        <v>1</v>
      </c>
      <c r="E2257">
        <v>10591</v>
      </c>
      <c r="F2257">
        <v>226588.65</v>
      </c>
      <c r="G2257">
        <v>0</v>
      </c>
      <c r="H2257">
        <v>0</v>
      </c>
      <c r="I2257">
        <v>0</v>
      </c>
      <c r="J2257">
        <v>0</v>
      </c>
      <c r="K2257">
        <v>62418.87</v>
      </c>
      <c r="L2257">
        <v>25846153.84</v>
      </c>
      <c r="M2257">
        <v>25783734.969999999</v>
      </c>
      <c r="N2257">
        <v>25846153.84</v>
      </c>
      <c r="O2257">
        <v>25783734.969999999</v>
      </c>
      <c r="P2257">
        <v>25846153.84</v>
      </c>
      <c r="Q2257">
        <v>25783734.969999999</v>
      </c>
      <c r="R2257" s="14">
        <f>_xlfn.XLOOKUP(Table2[[#This Row],[LoanID]],Table1[G-L ID],Table1[ManagerCode],-99)</f>
        <v>220</v>
      </c>
      <c r="T2257"/>
    </row>
    <row r="2258" spans="1:20" x14ac:dyDescent="0.25">
      <c r="A2258">
        <v>20131130</v>
      </c>
      <c r="B2258">
        <v>2013</v>
      </c>
      <c r="C2258">
        <v>11</v>
      </c>
      <c r="D2258">
        <v>1</v>
      </c>
      <c r="E2258">
        <v>10592</v>
      </c>
      <c r="F2258">
        <v>375907.51</v>
      </c>
      <c r="G2258">
        <v>0</v>
      </c>
      <c r="H2258">
        <v>0</v>
      </c>
      <c r="I2258">
        <v>0</v>
      </c>
      <c r="J2258">
        <v>0</v>
      </c>
      <c r="K2258">
        <v>92142.13</v>
      </c>
      <c r="L2258">
        <v>38153846.159999996</v>
      </c>
      <c r="M2258">
        <v>38061704.030000001</v>
      </c>
      <c r="N2258">
        <v>38153846.159999996</v>
      </c>
      <c r="O2258">
        <v>38061704.030000001</v>
      </c>
      <c r="P2258">
        <v>38153846.159999996</v>
      </c>
      <c r="Q2258">
        <v>38061704.030000001</v>
      </c>
      <c r="R2258" s="14">
        <f>_xlfn.XLOOKUP(Table2[[#This Row],[LoanID]],Table1[G-L ID],Table1[ManagerCode],-99)</f>
        <v>220</v>
      </c>
      <c r="T2258"/>
    </row>
    <row r="2259" spans="1:20" x14ac:dyDescent="0.25">
      <c r="A2259">
        <v>20131130</v>
      </c>
      <c r="B2259">
        <v>2013</v>
      </c>
      <c r="C2259">
        <v>11</v>
      </c>
      <c r="D2259">
        <v>1</v>
      </c>
      <c r="E2259">
        <v>10640</v>
      </c>
      <c r="F2259">
        <v>101454.28</v>
      </c>
      <c r="G2259">
        <v>0</v>
      </c>
      <c r="H2259">
        <v>0</v>
      </c>
      <c r="I2259">
        <v>0</v>
      </c>
      <c r="J2259">
        <v>0</v>
      </c>
      <c r="K2259">
        <v>0</v>
      </c>
      <c r="L2259">
        <v>11812500</v>
      </c>
      <c r="M2259">
        <v>11812500</v>
      </c>
      <c r="N2259">
        <v>11812500</v>
      </c>
      <c r="O2259">
        <v>11812500</v>
      </c>
      <c r="P2259">
        <v>11812500</v>
      </c>
      <c r="Q2259">
        <v>11812500</v>
      </c>
      <c r="R2259" s="14">
        <f>_xlfn.XLOOKUP(Table2[[#This Row],[LoanID]],Table1[G-L ID],Table1[ManagerCode],-99)</f>
        <v>220</v>
      </c>
      <c r="T2259"/>
    </row>
    <row r="2260" spans="1:20" x14ac:dyDescent="0.25">
      <c r="A2260">
        <v>20131130</v>
      </c>
      <c r="B2260">
        <v>2013</v>
      </c>
      <c r="C2260">
        <v>11</v>
      </c>
      <c r="D2260">
        <v>1</v>
      </c>
      <c r="E2260">
        <v>10660</v>
      </c>
      <c r="F2260">
        <v>159822.22</v>
      </c>
      <c r="G2260">
        <v>0</v>
      </c>
      <c r="H2260">
        <v>0</v>
      </c>
      <c r="I2260">
        <v>0</v>
      </c>
      <c r="J2260">
        <v>0</v>
      </c>
      <c r="K2260">
        <v>0</v>
      </c>
      <c r="L2260">
        <v>25000000</v>
      </c>
      <c r="M2260">
        <v>25000000</v>
      </c>
      <c r="N2260">
        <v>25000000</v>
      </c>
      <c r="O2260">
        <v>25000000</v>
      </c>
      <c r="P2260">
        <v>25000000</v>
      </c>
      <c r="Q2260">
        <v>25000000</v>
      </c>
      <c r="R2260" s="14">
        <f>_xlfn.XLOOKUP(Table2[[#This Row],[LoanID]],Table1[G-L ID],Table1[ManagerCode],-99)</f>
        <v>119</v>
      </c>
      <c r="T2260"/>
    </row>
    <row r="2261" spans="1:20" x14ac:dyDescent="0.25">
      <c r="A2261">
        <v>20131130</v>
      </c>
      <c r="B2261">
        <v>2013</v>
      </c>
      <c r="C2261">
        <v>11</v>
      </c>
      <c r="D2261">
        <v>1</v>
      </c>
      <c r="E2261">
        <v>10690</v>
      </c>
      <c r="F2261">
        <v>86464.45</v>
      </c>
      <c r="G2261">
        <v>24182.11</v>
      </c>
      <c r="H2261">
        <v>0</v>
      </c>
      <c r="I2261">
        <v>0</v>
      </c>
      <c r="J2261">
        <v>-1092292.77</v>
      </c>
      <c r="K2261">
        <v>0</v>
      </c>
      <c r="L2261">
        <v>14139258.390000001</v>
      </c>
      <c r="M2261">
        <v>15255733.27</v>
      </c>
      <c r="N2261">
        <v>14139258.390000001</v>
      </c>
      <c r="O2261">
        <v>15255733.27</v>
      </c>
      <c r="P2261">
        <v>14139258.390000001</v>
      </c>
      <c r="Q2261">
        <v>15255733.27</v>
      </c>
      <c r="R2261" s="14">
        <f>_xlfn.XLOOKUP(Table2[[#This Row],[LoanID]],Table1[G-L ID],Table1[ManagerCode],-99)</f>
        <v>183</v>
      </c>
      <c r="T2261"/>
    </row>
    <row r="2262" spans="1:20" x14ac:dyDescent="0.25">
      <c r="A2262">
        <v>20131130</v>
      </c>
      <c r="B2262">
        <v>2013</v>
      </c>
      <c r="C2262">
        <v>11</v>
      </c>
      <c r="D2262">
        <v>1</v>
      </c>
      <c r="E2262">
        <v>10720</v>
      </c>
      <c r="F2262">
        <v>125000</v>
      </c>
      <c r="G2262">
        <v>87299.92</v>
      </c>
      <c r="H2262">
        <v>0</v>
      </c>
      <c r="I2262">
        <v>0</v>
      </c>
      <c r="J2262">
        <v>0</v>
      </c>
      <c r="K2262">
        <v>0</v>
      </c>
      <c r="L2262">
        <v>16436122.529999999</v>
      </c>
      <c r="M2262">
        <v>16523422.449999999</v>
      </c>
      <c r="N2262">
        <v>16436122.529999999</v>
      </c>
      <c r="O2262">
        <v>16523422.449999999</v>
      </c>
      <c r="P2262">
        <v>16436122.529999999</v>
      </c>
      <c r="Q2262">
        <v>16523422.449999999</v>
      </c>
      <c r="R2262" s="14">
        <f>_xlfn.XLOOKUP(Table2[[#This Row],[LoanID]],Table1[G-L ID],Table1[ManagerCode],-99)</f>
        <v>220</v>
      </c>
      <c r="T2262"/>
    </row>
    <row r="2263" spans="1:20" x14ac:dyDescent="0.25">
      <c r="A2263">
        <v>20131130</v>
      </c>
      <c r="B2263">
        <v>2013</v>
      </c>
      <c r="C2263">
        <v>11</v>
      </c>
      <c r="D2263">
        <v>1</v>
      </c>
      <c r="E2263">
        <v>10780</v>
      </c>
      <c r="F2263">
        <v>311922</v>
      </c>
      <c r="G2263">
        <v>0</v>
      </c>
      <c r="H2263">
        <v>0</v>
      </c>
      <c r="I2263">
        <v>0</v>
      </c>
      <c r="J2263">
        <v>0</v>
      </c>
      <c r="K2263">
        <v>0</v>
      </c>
      <c r="L2263">
        <v>43000000</v>
      </c>
      <c r="M2263">
        <v>43000000</v>
      </c>
      <c r="N2263">
        <v>43000000</v>
      </c>
      <c r="O2263">
        <v>43000000</v>
      </c>
      <c r="P2263">
        <v>43000000</v>
      </c>
      <c r="Q2263">
        <v>43000000</v>
      </c>
      <c r="R2263" s="14">
        <f>_xlfn.XLOOKUP(Table2[[#This Row],[LoanID]],Table1[G-L ID],Table1[ManagerCode],-99)</f>
        <v>220</v>
      </c>
      <c r="T2263"/>
    </row>
    <row r="2264" spans="1:20" x14ac:dyDescent="0.25">
      <c r="A2264">
        <v>20131130</v>
      </c>
      <c r="B2264">
        <v>2013</v>
      </c>
      <c r="C2264">
        <v>11</v>
      </c>
      <c r="D2264">
        <v>1</v>
      </c>
      <c r="E2264">
        <v>10820</v>
      </c>
      <c r="F2264">
        <v>175041.78</v>
      </c>
      <c r="G2264">
        <v>0</v>
      </c>
      <c r="H2264">
        <v>0</v>
      </c>
      <c r="I2264">
        <v>0</v>
      </c>
      <c r="J2264">
        <v>0</v>
      </c>
      <c r="K2264">
        <v>0</v>
      </c>
      <c r="L2264">
        <v>21397297</v>
      </c>
      <c r="M2264">
        <v>21397297</v>
      </c>
      <c r="N2264">
        <v>21397297</v>
      </c>
      <c r="O2264">
        <v>21397297</v>
      </c>
      <c r="P2264">
        <v>21397297</v>
      </c>
      <c r="Q2264">
        <v>21397297</v>
      </c>
      <c r="R2264" s="14">
        <f>_xlfn.XLOOKUP(Table2[[#This Row],[LoanID]],Table1[G-L ID],Table1[ManagerCode],-99)</f>
        <v>220</v>
      </c>
      <c r="T2264"/>
    </row>
    <row r="2265" spans="1:20" x14ac:dyDescent="0.25">
      <c r="A2265">
        <v>20131130</v>
      </c>
      <c r="B2265">
        <v>2013</v>
      </c>
      <c r="C2265">
        <v>11</v>
      </c>
      <c r="D2265">
        <v>1</v>
      </c>
      <c r="E2265">
        <v>10830</v>
      </c>
      <c r="F2265">
        <v>57113.55</v>
      </c>
      <c r="G2265">
        <v>0</v>
      </c>
      <c r="H2265">
        <v>0</v>
      </c>
      <c r="I2265">
        <v>0</v>
      </c>
      <c r="J2265">
        <v>0</v>
      </c>
      <c r="K2265">
        <v>0</v>
      </c>
      <c r="L2265">
        <v>6981622</v>
      </c>
      <c r="M2265">
        <v>6981622</v>
      </c>
      <c r="N2265">
        <v>6981622</v>
      </c>
      <c r="O2265">
        <v>6981622</v>
      </c>
      <c r="P2265">
        <v>6981622</v>
      </c>
      <c r="Q2265">
        <v>6981622</v>
      </c>
      <c r="R2265" s="14">
        <f>_xlfn.XLOOKUP(Table2[[#This Row],[LoanID]],Table1[G-L ID],Table1[ManagerCode],-99)</f>
        <v>220</v>
      </c>
      <c r="T2265"/>
    </row>
    <row r="2266" spans="1:20" x14ac:dyDescent="0.25">
      <c r="A2266">
        <v>20131130</v>
      </c>
      <c r="B2266">
        <v>2013</v>
      </c>
      <c r="C2266">
        <v>11</v>
      </c>
      <c r="D2266">
        <v>1</v>
      </c>
      <c r="E2266">
        <v>10840</v>
      </c>
      <c r="F2266">
        <v>103968.23</v>
      </c>
      <c r="G2266">
        <v>0</v>
      </c>
      <c r="H2266">
        <v>0</v>
      </c>
      <c r="I2266">
        <v>0</v>
      </c>
      <c r="J2266">
        <v>0</v>
      </c>
      <c r="K2266">
        <v>0</v>
      </c>
      <c r="L2266">
        <v>12709189</v>
      </c>
      <c r="M2266">
        <v>12709189</v>
      </c>
      <c r="N2266">
        <v>12709189</v>
      </c>
      <c r="O2266">
        <v>12709189</v>
      </c>
      <c r="P2266">
        <v>12709189</v>
      </c>
      <c r="Q2266">
        <v>12709189</v>
      </c>
      <c r="R2266" s="14">
        <f>_xlfn.XLOOKUP(Table2[[#This Row],[LoanID]],Table1[G-L ID],Table1[ManagerCode],-99)</f>
        <v>220</v>
      </c>
      <c r="T2266"/>
    </row>
    <row r="2267" spans="1:20" x14ac:dyDescent="0.25">
      <c r="A2267">
        <v>20131130</v>
      </c>
      <c r="B2267">
        <v>2013</v>
      </c>
      <c r="C2267">
        <v>11</v>
      </c>
      <c r="D2267">
        <v>1</v>
      </c>
      <c r="E2267">
        <v>10850</v>
      </c>
      <c r="F2267">
        <v>110534.78</v>
      </c>
      <c r="G2267">
        <v>0</v>
      </c>
      <c r="H2267">
        <v>0</v>
      </c>
      <c r="I2267">
        <v>0</v>
      </c>
      <c r="J2267">
        <v>0</v>
      </c>
      <c r="K2267">
        <v>0</v>
      </c>
      <c r="L2267">
        <v>13511892</v>
      </c>
      <c r="M2267">
        <v>13511892</v>
      </c>
      <c r="N2267">
        <v>13511892</v>
      </c>
      <c r="O2267">
        <v>13511892</v>
      </c>
      <c r="P2267">
        <v>13511892</v>
      </c>
      <c r="Q2267">
        <v>13511892</v>
      </c>
      <c r="R2267" s="14">
        <f>_xlfn.XLOOKUP(Table2[[#This Row],[LoanID]],Table1[G-L ID],Table1[ManagerCode],-99)</f>
        <v>220</v>
      </c>
      <c r="T2267"/>
    </row>
    <row r="2268" spans="1:20" x14ac:dyDescent="0.25">
      <c r="A2268">
        <v>20131130</v>
      </c>
      <c r="B2268">
        <v>2013</v>
      </c>
      <c r="C2268">
        <v>11</v>
      </c>
      <c r="D2268">
        <v>1</v>
      </c>
      <c r="E2268">
        <v>10880</v>
      </c>
      <c r="F2268">
        <v>281601.84000000003</v>
      </c>
      <c r="G2268">
        <v>0</v>
      </c>
      <c r="H2268">
        <v>0</v>
      </c>
      <c r="I2268">
        <v>0</v>
      </c>
      <c r="J2268">
        <v>0</v>
      </c>
      <c r="K2268">
        <v>0</v>
      </c>
      <c r="L2268">
        <v>199727153.09999999</v>
      </c>
      <c r="M2268">
        <v>199727153.09999999</v>
      </c>
      <c r="N2268">
        <v>199727153.09999999</v>
      </c>
      <c r="O2268">
        <v>199727153.09999999</v>
      </c>
      <c r="P2268">
        <v>201744599.09999999</v>
      </c>
      <c r="Q2268">
        <v>201744599.09999999</v>
      </c>
      <c r="R2268" s="14">
        <f>_xlfn.XLOOKUP(Table2[[#This Row],[LoanID]],Table1[G-L ID],Table1[ManagerCode],-99)</f>
        <v>103</v>
      </c>
      <c r="T2268"/>
    </row>
    <row r="2269" spans="1:20" x14ac:dyDescent="0.25">
      <c r="A2269">
        <v>20131130</v>
      </c>
      <c r="B2269">
        <v>2013</v>
      </c>
      <c r="C2269">
        <v>11</v>
      </c>
      <c r="D2269">
        <v>1</v>
      </c>
      <c r="E2269">
        <v>10900</v>
      </c>
      <c r="F2269">
        <v>81086.48</v>
      </c>
      <c r="G2269">
        <v>0</v>
      </c>
      <c r="H2269">
        <v>0</v>
      </c>
      <c r="I2269">
        <v>0</v>
      </c>
      <c r="J2269">
        <v>0</v>
      </c>
      <c r="K2269">
        <v>2530.58</v>
      </c>
      <c r="L2269">
        <v>8132426.9699999997</v>
      </c>
      <c r="M2269">
        <v>8130022.9199999999</v>
      </c>
      <c r="N2269">
        <v>8132426.9699999997</v>
      </c>
      <c r="O2269">
        <v>8130022.9199999999</v>
      </c>
      <c r="P2269">
        <v>8560449.4199999999</v>
      </c>
      <c r="Q2269">
        <v>8557918.8399999999</v>
      </c>
      <c r="R2269" s="14">
        <f>_xlfn.XLOOKUP(Table2[[#This Row],[LoanID]],Table1[G-L ID],Table1[ManagerCode],-99)</f>
        <v>103</v>
      </c>
      <c r="T2269"/>
    </row>
    <row r="2270" spans="1:20" x14ac:dyDescent="0.25">
      <c r="A2270">
        <v>20131130</v>
      </c>
      <c r="B2270">
        <v>2013</v>
      </c>
      <c r="C2270">
        <v>11</v>
      </c>
      <c r="D2270">
        <v>1</v>
      </c>
      <c r="E2270">
        <v>10920</v>
      </c>
      <c r="F2270">
        <v>114583.33</v>
      </c>
      <c r="G2270">
        <v>0</v>
      </c>
      <c r="H2270">
        <v>0</v>
      </c>
      <c r="I2270">
        <v>0</v>
      </c>
      <c r="J2270">
        <v>0</v>
      </c>
      <c r="K2270">
        <v>0</v>
      </c>
      <c r="L2270">
        <v>11000000</v>
      </c>
      <c r="M2270">
        <v>11000000</v>
      </c>
      <c r="N2270">
        <v>11000000</v>
      </c>
      <c r="O2270">
        <v>11000000</v>
      </c>
      <c r="P2270">
        <v>11000000</v>
      </c>
      <c r="Q2270">
        <v>11000000</v>
      </c>
      <c r="R2270" s="14">
        <f>_xlfn.XLOOKUP(Table2[[#This Row],[LoanID]],Table1[G-L ID],Table1[ManagerCode],-99)</f>
        <v>183</v>
      </c>
      <c r="T2270"/>
    </row>
    <row r="2271" spans="1:20" x14ac:dyDescent="0.25">
      <c r="A2271">
        <v>20131130</v>
      </c>
      <c r="B2271">
        <v>2013</v>
      </c>
      <c r="C2271">
        <v>11</v>
      </c>
      <c r="D2271">
        <v>1</v>
      </c>
      <c r="E2271">
        <v>10980</v>
      </c>
      <c r="F2271">
        <v>191661.8</v>
      </c>
      <c r="G2271">
        <v>18302.5</v>
      </c>
      <c r="H2271">
        <v>0</v>
      </c>
      <c r="I2271">
        <v>0</v>
      </c>
      <c r="J2271">
        <v>0</v>
      </c>
      <c r="K2271">
        <v>0</v>
      </c>
      <c r="L2271">
        <v>28958539.280000001</v>
      </c>
      <c r="M2271">
        <v>28976841.780000001</v>
      </c>
      <c r="N2271">
        <v>28958539.280000001</v>
      </c>
      <c r="O2271">
        <v>28976841.780000001</v>
      </c>
      <c r="P2271">
        <v>28958539.280000001</v>
      </c>
      <c r="Q2271">
        <v>28976841.780000001</v>
      </c>
      <c r="R2271" s="14">
        <f>_xlfn.XLOOKUP(Table2[[#This Row],[LoanID]],Table1[G-L ID],Table1[ManagerCode],-99)</f>
        <v>183</v>
      </c>
      <c r="T2271"/>
    </row>
    <row r="2272" spans="1:20" x14ac:dyDescent="0.25">
      <c r="A2272">
        <v>20131130</v>
      </c>
      <c r="B2272">
        <v>2013</v>
      </c>
      <c r="C2272">
        <v>11</v>
      </c>
      <c r="D2272">
        <v>1</v>
      </c>
      <c r="E2272">
        <v>11020</v>
      </c>
      <c r="F2272">
        <v>108500</v>
      </c>
      <c r="G2272">
        <v>0</v>
      </c>
      <c r="H2272">
        <v>0</v>
      </c>
      <c r="I2272">
        <v>0</v>
      </c>
      <c r="J2272">
        <v>0</v>
      </c>
      <c r="K2272">
        <v>0</v>
      </c>
      <c r="L2272">
        <v>12000000</v>
      </c>
      <c r="M2272">
        <v>12000000</v>
      </c>
      <c r="N2272">
        <v>12000000</v>
      </c>
      <c r="O2272">
        <v>12000000</v>
      </c>
      <c r="P2272">
        <v>12000000</v>
      </c>
      <c r="Q2272">
        <v>12000000</v>
      </c>
      <c r="R2272" s="14">
        <f>_xlfn.XLOOKUP(Table2[[#This Row],[LoanID]],Table1[G-L ID],Table1[ManagerCode],-99)</f>
        <v>119</v>
      </c>
      <c r="T2272"/>
    </row>
    <row r="2273" spans="1:20" x14ac:dyDescent="0.25">
      <c r="A2273">
        <v>20131130</v>
      </c>
      <c r="B2273">
        <v>2013</v>
      </c>
      <c r="C2273">
        <v>11</v>
      </c>
      <c r="D2273">
        <v>1</v>
      </c>
      <c r="E2273">
        <v>11050</v>
      </c>
      <c r="F2273">
        <v>517045</v>
      </c>
      <c r="G2273">
        <v>0</v>
      </c>
      <c r="H2273">
        <v>0</v>
      </c>
      <c r="I2273">
        <v>0</v>
      </c>
      <c r="J2273">
        <v>-1799069.28</v>
      </c>
      <c r="K2273">
        <v>0</v>
      </c>
      <c r="L2273">
        <v>25192448.73</v>
      </c>
      <c r="M2273">
        <v>26991518.010000002</v>
      </c>
      <c r="N2273">
        <v>25192448.73</v>
      </c>
      <c r="O2273">
        <v>26991518.010000002</v>
      </c>
      <c r="P2273">
        <v>25192448.73</v>
      </c>
      <c r="Q2273">
        <v>26991518.010000002</v>
      </c>
      <c r="R2273" s="14">
        <f>_xlfn.XLOOKUP(Table2[[#This Row],[LoanID]],Table1[G-L ID],Table1[ManagerCode],-99)</f>
        <v>220</v>
      </c>
      <c r="T2273"/>
    </row>
    <row r="2274" spans="1:20" x14ac:dyDescent="0.25">
      <c r="A2274">
        <v>20131130</v>
      </c>
      <c r="B2274">
        <v>2013</v>
      </c>
      <c r="C2274">
        <v>11</v>
      </c>
      <c r="D2274">
        <v>1</v>
      </c>
      <c r="E2274">
        <v>11070</v>
      </c>
      <c r="F2274">
        <v>144509.82999999999</v>
      </c>
      <c r="G2274">
        <v>0</v>
      </c>
      <c r="H2274">
        <v>0</v>
      </c>
      <c r="I2274">
        <v>0</v>
      </c>
      <c r="J2274">
        <v>0</v>
      </c>
      <c r="K2274">
        <v>14088.48</v>
      </c>
      <c r="L2274">
        <v>13875428.92</v>
      </c>
      <c r="M2274">
        <v>13864158.109999999</v>
      </c>
      <c r="N2274">
        <v>13875428.92</v>
      </c>
      <c r="O2274">
        <v>13864158.109999999</v>
      </c>
      <c r="P2274">
        <v>17344268.789999999</v>
      </c>
      <c r="Q2274">
        <v>17330180.309999999</v>
      </c>
      <c r="R2274" s="14">
        <f>_xlfn.XLOOKUP(Table2[[#This Row],[LoanID]],Table1[G-L ID],Table1[ManagerCode],-99)</f>
        <v>103</v>
      </c>
      <c r="T2274"/>
    </row>
    <row r="2275" spans="1:20" x14ac:dyDescent="0.25">
      <c r="A2275">
        <v>20131130</v>
      </c>
      <c r="B2275">
        <v>2013</v>
      </c>
      <c r="C2275">
        <v>11</v>
      </c>
      <c r="D2275">
        <v>1</v>
      </c>
      <c r="E2275">
        <v>11110</v>
      </c>
      <c r="F2275">
        <v>101321.48</v>
      </c>
      <c r="G2275">
        <v>0</v>
      </c>
      <c r="H2275">
        <v>0</v>
      </c>
      <c r="I2275">
        <v>0</v>
      </c>
      <c r="J2275">
        <v>0</v>
      </c>
      <c r="K2275">
        <v>0</v>
      </c>
      <c r="L2275">
        <v>14049953.140000001</v>
      </c>
      <c r="M2275">
        <v>14049953.140000001</v>
      </c>
      <c r="N2275">
        <v>14049953.140000001</v>
      </c>
      <c r="O2275">
        <v>14049953.140000001</v>
      </c>
      <c r="P2275">
        <v>14049953.140000001</v>
      </c>
      <c r="Q2275">
        <v>14049953.140000001</v>
      </c>
      <c r="R2275" s="14">
        <f>_xlfn.XLOOKUP(Table2[[#This Row],[LoanID]],Table1[G-L ID],Table1[ManagerCode],-99)</f>
        <v>183</v>
      </c>
      <c r="T2275"/>
    </row>
    <row r="2276" spans="1:20" x14ac:dyDescent="0.25">
      <c r="A2276">
        <v>20131130</v>
      </c>
      <c r="B2276">
        <v>2013</v>
      </c>
      <c r="C2276">
        <v>11</v>
      </c>
      <c r="D2276">
        <v>1</v>
      </c>
      <c r="E2276">
        <v>11140</v>
      </c>
      <c r="F2276">
        <v>558363.03</v>
      </c>
      <c r="G2276">
        <v>0</v>
      </c>
      <c r="H2276">
        <v>0</v>
      </c>
      <c r="I2276">
        <v>0</v>
      </c>
      <c r="J2276">
        <v>0</v>
      </c>
      <c r="K2276">
        <v>0</v>
      </c>
      <c r="L2276">
        <v>71711993.859999999</v>
      </c>
      <c r="M2276">
        <v>71711993.859999999</v>
      </c>
      <c r="N2276">
        <v>71711993.859999999</v>
      </c>
      <c r="O2276">
        <v>71711993.859999999</v>
      </c>
      <c r="P2276">
        <v>72436285</v>
      </c>
      <c r="Q2276">
        <v>72436285</v>
      </c>
      <c r="R2276" s="14">
        <f>_xlfn.XLOOKUP(Table2[[#This Row],[LoanID]],Table1[G-L ID],Table1[ManagerCode],-99)</f>
        <v>103</v>
      </c>
      <c r="T2276"/>
    </row>
    <row r="2277" spans="1:20" x14ac:dyDescent="0.25">
      <c r="A2277">
        <v>20131130</v>
      </c>
      <c r="B2277">
        <v>2013</v>
      </c>
      <c r="C2277">
        <v>11</v>
      </c>
      <c r="D2277">
        <v>1</v>
      </c>
      <c r="E2277">
        <v>11190</v>
      </c>
      <c r="F2277">
        <v>1343654.01</v>
      </c>
      <c r="G2277">
        <v>0</v>
      </c>
      <c r="H2277">
        <v>0</v>
      </c>
      <c r="I2277">
        <v>-1721.97</v>
      </c>
      <c r="J2277">
        <v>0</v>
      </c>
      <c r="K2277">
        <v>0</v>
      </c>
      <c r="L2277">
        <v>197971123.19999999</v>
      </c>
      <c r="M2277">
        <v>197971123.19999999</v>
      </c>
      <c r="N2277">
        <v>197971123.19999999</v>
      </c>
      <c r="O2277">
        <v>197971123.19999999</v>
      </c>
      <c r="P2277">
        <v>199970831.5</v>
      </c>
      <c r="Q2277">
        <v>199970831.5</v>
      </c>
      <c r="R2277" s="14">
        <f>_xlfn.XLOOKUP(Table2[[#This Row],[LoanID]],Table1[G-L ID],Table1[ManagerCode],-99)</f>
        <v>103</v>
      </c>
      <c r="T2277"/>
    </row>
    <row r="2278" spans="1:20" x14ac:dyDescent="0.25">
      <c r="A2278">
        <v>20131130</v>
      </c>
      <c r="B2278">
        <v>2013</v>
      </c>
      <c r="C2278">
        <v>11</v>
      </c>
      <c r="D2278">
        <v>1</v>
      </c>
      <c r="E2278">
        <v>11220</v>
      </c>
      <c r="F2278">
        <v>311937.5</v>
      </c>
      <c r="G2278">
        <v>0</v>
      </c>
      <c r="H2278">
        <v>0</v>
      </c>
      <c r="I2278">
        <v>0</v>
      </c>
      <c r="J2278">
        <v>0</v>
      </c>
      <c r="K2278">
        <v>0</v>
      </c>
      <c r="L2278">
        <v>34500000</v>
      </c>
      <c r="M2278">
        <v>34500000</v>
      </c>
      <c r="N2278">
        <v>34500000</v>
      </c>
      <c r="O2278">
        <v>34500000</v>
      </c>
      <c r="P2278">
        <v>34500000</v>
      </c>
      <c r="Q2278">
        <v>34500000</v>
      </c>
      <c r="R2278" s="14">
        <f>_xlfn.XLOOKUP(Table2[[#This Row],[LoanID]],Table1[G-L ID],Table1[ManagerCode],-99)</f>
        <v>220</v>
      </c>
      <c r="T2278"/>
    </row>
    <row r="2279" spans="1:20" x14ac:dyDescent="0.25">
      <c r="A2279">
        <v>20131130</v>
      </c>
      <c r="B2279">
        <v>2013</v>
      </c>
      <c r="C2279">
        <v>11</v>
      </c>
      <c r="D2279">
        <v>1</v>
      </c>
      <c r="E2279">
        <v>11230</v>
      </c>
      <c r="F2279">
        <v>242384.16</v>
      </c>
      <c r="G2279">
        <v>0</v>
      </c>
      <c r="H2279">
        <v>0</v>
      </c>
      <c r="I2279">
        <v>0</v>
      </c>
      <c r="J2279">
        <v>0</v>
      </c>
      <c r="K2279">
        <v>0</v>
      </c>
      <c r="L2279">
        <v>175436664</v>
      </c>
      <c r="M2279">
        <v>175436664</v>
      </c>
      <c r="N2279">
        <v>175436664</v>
      </c>
      <c r="O2279">
        <v>175436664</v>
      </c>
      <c r="P2279">
        <v>194929626.59999999</v>
      </c>
      <c r="Q2279">
        <v>194929626.59999999</v>
      </c>
      <c r="R2279" s="14">
        <f>_xlfn.XLOOKUP(Table2[[#This Row],[LoanID]],Table1[G-L ID],Table1[ManagerCode],-99)</f>
        <v>103</v>
      </c>
      <c r="T2279"/>
    </row>
    <row r="2280" spans="1:20" x14ac:dyDescent="0.25">
      <c r="A2280">
        <v>20131130</v>
      </c>
      <c r="B2280">
        <v>2013</v>
      </c>
      <c r="C2280">
        <v>11</v>
      </c>
      <c r="D2280">
        <v>1</v>
      </c>
      <c r="E2280">
        <v>11320</v>
      </c>
      <c r="F2280">
        <v>97894.85</v>
      </c>
      <c r="G2280">
        <v>0</v>
      </c>
      <c r="H2280">
        <v>0</v>
      </c>
      <c r="I2280">
        <v>0</v>
      </c>
      <c r="J2280">
        <v>0</v>
      </c>
      <c r="K2280">
        <v>0</v>
      </c>
      <c r="L2280">
        <v>12000000</v>
      </c>
      <c r="M2280">
        <v>12000000</v>
      </c>
      <c r="N2280">
        <v>12000000</v>
      </c>
      <c r="O2280">
        <v>12000000</v>
      </c>
      <c r="P2280">
        <v>12000000</v>
      </c>
      <c r="Q2280">
        <v>12000000</v>
      </c>
      <c r="R2280" s="14">
        <f>_xlfn.XLOOKUP(Table2[[#This Row],[LoanID]],Table1[G-L ID],Table1[ManagerCode],-99)</f>
        <v>119</v>
      </c>
      <c r="T2280"/>
    </row>
    <row r="2281" spans="1:20" x14ac:dyDescent="0.25">
      <c r="A2281">
        <v>20131130</v>
      </c>
      <c r="B2281">
        <v>2013</v>
      </c>
      <c r="C2281">
        <v>11</v>
      </c>
      <c r="D2281">
        <v>1</v>
      </c>
      <c r="E2281">
        <v>11340</v>
      </c>
      <c r="F2281">
        <v>301388.89</v>
      </c>
      <c r="G2281">
        <v>0</v>
      </c>
      <c r="H2281">
        <v>0</v>
      </c>
      <c r="I2281">
        <v>0</v>
      </c>
      <c r="J2281">
        <v>0</v>
      </c>
      <c r="K2281">
        <v>0</v>
      </c>
      <c r="L2281">
        <v>49500000</v>
      </c>
      <c r="M2281">
        <v>49500000</v>
      </c>
      <c r="N2281">
        <v>49500000</v>
      </c>
      <c r="O2281">
        <v>49500000</v>
      </c>
      <c r="P2281">
        <v>50000000</v>
      </c>
      <c r="Q2281">
        <v>50000000</v>
      </c>
      <c r="R2281" s="14">
        <f>_xlfn.XLOOKUP(Table2[[#This Row],[LoanID]],Table1[G-L ID],Table1[ManagerCode],-99)</f>
        <v>103</v>
      </c>
      <c r="T2281"/>
    </row>
    <row r="2282" spans="1:20" x14ac:dyDescent="0.25">
      <c r="A2282">
        <v>20131130</v>
      </c>
      <c r="B2282">
        <v>2013</v>
      </c>
      <c r="C2282">
        <v>11</v>
      </c>
      <c r="D2282">
        <v>1</v>
      </c>
      <c r="E2282">
        <v>11350</v>
      </c>
      <c r="F2282">
        <v>331527.78000000003</v>
      </c>
      <c r="G2282">
        <v>0</v>
      </c>
      <c r="H2282">
        <v>0</v>
      </c>
      <c r="I2282">
        <v>0</v>
      </c>
      <c r="J2282">
        <v>0</v>
      </c>
      <c r="K2282">
        <v>0</v>
      </c>
      <c r="L2282">
        <v>54449945.549999997</v>
      </c>
      <c r="M2282">
        <v>54449945.549999997</v>
      </c>
      <c r="N2282">
        <v>54449945.549999997</v>
      </c>
      <c r="O2282">
        <v>54449945.549999997</v>
      </c>
      <c r="P2282">
        <v>55000000</v>
      </c>
      <c r="Q2282">
        <v>55000000</v>
      </c>
      <c r="R2282" s="14">
        <f>_xlfn.XLOOKUP(Table2[[#This Row],[LoanID]],Table1[G-L ID],Table1[ManagerCode],-99)</f>
        <v>103</v>
      </c>
      <c r="T2282"/>
    </row>
    <row r="2283" spans="1:20" x14ac:dyDescent="0.25">
      <c r="A2283">
        <v>20131130</v>
      </c>
      <c r="B2283">
        <v>2013</v>
      </c>
      <c r="C2283">
        <v>11</v>
      </c>
      <c r="D2283">
        <v>1</v>
      </c>
      <c r="E2283">
        <v>11390</v>
      </c>
      <c r="F2283">
        <v>207743.06</v>
      </c>
      <c r="G2283">
        <v>0</v>
      </c>
      <c r="H2283">
        <v>0</v>
      </c>
      <c r="I2283">
        <v>0</v>
      </c>
      <c r="J2283">
        <v>0</v>
      </c>
      <c r="K2283">
        <v>0</v>
      </c>
      <c r="L2283">
        <v>25000000</v>
      </c>
      <c r="M2283">
        <v>25000000</v>
      </c>
      <c r="N2283">
        <v>25000000</v>
      </c>
      <c r="O2283">
        <v>25000000</v>
      </c>
      <c r="P2283">
        <v>25000000</v>
      </c>
      <c r="Q2283">
        <v>25000000</v>
      </c>
      <c r="R2283" s="14">
        <f>_xlfn.XLOOKUP(Table2[[#This Row],[LoanID]],Table1[G-L ID],Table1[ManagerCode],-99)</f>
        <v>220</v>
      </c>
      <c r="T2283"/>
    </row>
    <row r="2284" spans="1:20" x14ac:dyDescent="0.25">
      <c r="A2284">
        <v>20131130</v>
      </c>
      <c r="B2284">
        <v>2013</v>
      </c>
      <c r="C2284">
        <v>11</v>
      </c>
      <c r="D2284">
        <v>1</v>
      </c>
      <c r="E2284">
        <v>11460</v>
      </c>
      <c r="F2284">
        <v>32465.25</v>
      </c>
      <c r="G2284">
        <v>125192.54</v>
      </c>
      <c r="H2284">
        <v>0</v>
      </c>
      <c r="I2284">
        <v>0</v>
      </c>
      <c r="J2284">
        <v>-550239.32999999996</v>
      </c>
      <c r="K2284">
        <v>0</v>
      </c>
      <c r="L2284">
        <v>16806133.300000001</v>
      </c>
      <c r="M2284">
        <v>17481565.170000002</v>
      </c>
      <c r="N2284">
        <v>16806133.300000001</v>
      </c>
      <c r="O2284">
        <v>17481565.170000002</v>
      </c>
      <c r="P2284">
        <v>16806133.300000001</v>
      </c>
      <c r="Q2284">
        <v>17481565.170000002</v>
      </c>
      <c r="R2284" s="14">
        <f>_xlfn.XLOOKUP(Table2[[#This Row],[LoanID]],Table1[G-L ID],Table1[ManagerCode],-99)</f>
        <v>183</v>
      </c>
      <c r="T2284"/>
    </row>
    <row r="2285" spans="1:20" x14ac:dyDescent="0.25">
      <c r="A2285">
        <v>20131130</v>
      </c>
      <c r="B2285">
        <v>2013</v>
      </c>
      <c r="C2285">
        <v>11</v>
      </c>
      <c r="D2285">
        <v>1</v>
      </c>
      <c r="E2285">
        <v>11540</v>
      </c>
      <c r="F2285">
        <v>78998.33</v>
      </c>
      <c r="G2285">
        <v>0</v>
      </c>
      <c r="H2285">
        <v>0</v>
      </c>
      <c r="I2285">
        <v>0</v>
      </c>
      <c r="J2285">
        <v>0</v>
      </c>
      <c r="K2285">
        <v>0</v>
      </c>
      <c r="L2285">
        <v>10000000</v>
      </c>
      <c r="M2285">
        <v>10000000</v>
      </c>
      <c r="N2285">
        <v>10000000</v>
      </c>
      <c r="O2285">
        <v>10000000</v>
      </c>
      <c r="P2285">
        <v>10000000</v>
      </c>
      <c r="Q2285">
        <v>10000000</v>
      </c>
      <c r="R2285" s="14">
        <f>_xlfn.XLOOKUP(Table2[[#This Row],[LoanID]],Table1[G-L ID],Table1[ManagerCode],-99)</f>
        <v>220</v>
      </c>
      <c r="T2285"/>
    </row>
    <row r="2286" spans="1:20" x14ac:dyDescent="0.25">
      <c r="A2286">
        <v>20131130</v>
      </c>
      <c r="B2286">
        <v>2013</v>
      </c>
      <c r="C2286">
        <v>11</v>
      </c>
      <c r="D2286">
        <v>1</v>
      </c>
      <c r="E2286">
        <v>11560</v>
      </c>
      <c r="F2286">
        <v>226769.28</v>
      </c>
      <c r="G2286">
        <v>83358.69</v>
      </c>
      <c r="H2286">
        <v>0</v>
      </c>
      <c r="I2286">
        <v>0</v>
      </c>
      <c r="J2286">
        <v>0</v>
      </c>
      <c r="K2286">
        <v>0</v>
      </c>
      <c r="L2286">
        <v>13778479.880000001</v>
      </c>
      <c r="M2286">
        <v>13861838.57</v>
      </c>
      <c r="N2286">
        <v>13778479.880000001</v>
      </c>
      <c r="O2286">
        <v>13861838.57</v>
      </c>
      <c r="P2286">
        <v>13778479.880000001</v>
      </c>
      <c r="Q2286">
        <v>13861838.57</v>
      </c>
      <c r="R2286" s="14">
        <f>_xlfn.XLOOKUP(Table2[[#This Row],[LoanID]],Table1[G-L ID],Table1[ManagerCode],-99)</f>
        <v>183</v>
      </c>
      <c r="T2286"/>
    </row>
    <row r="2287" spans="1:20" x14ac:dyDescent="0.25">
      <c r="A2287">
        <v>20131130</v>
      </c>
      <c r="B2287">
        <v>2013</v>
      </c>
      <c r="C2287">
        <v>11</v>
      </c>
      <c r="D2287">
        <v>1</v>
      </c>
      <c r="E2287">
        <v>11580</v>
      </c>
      <c r="F2287">
        <v>0</v>
      </c>
      <c r="G2287">
        <v>0</v>
      </c>
      <c r="H2287">
        <v>150000</v>
      </c>
      <c r="I2287">
        <v>0</v>
      </c>
      <c r="J2287">
        <v>-15000000</v>
      </c>
      <c r="K2287">
        <v>0</v>
      </c>
      <c r="L2287">
        <v>0</v>
      </c>
      <c r="M2287">
        <v>15000000</v>
      </c>
      <c r="N2287">
        <v>0</v>
      </c>
      <c r="O2287">
        <v>15000000</v>
      </c>
      <c r="P2287">
        <v>0</v>
      </c>
      <c r="Q2287">
        <v>15000000</v>
      </c>
      <c r="R2287" s="14">
        <f>_xlfn.XLOOKUP(Table2[[#This Row],[LoanID]],Table1[G-L ID],Table1[ManagerCode],-99)</f>
        <v>119</v>
      </c>
      <c r="T2287"/>
    </row>
    <row r="2288" spans="1:20" x14ac:dyDescent="0.25">
      <c r="A2288">
        <v>20131130</v>
      </c>
      <c r="B2288">
        <v>2013</v>
      </c>
      <c r="C2288">
        <v>11</v>
      </c>
      <c r="D2288">
        <v>1</v>
      </c>
      <c r="E2288">
        <v>11620</v>
      </c>
      <c r="F2288">
        <v>75568.800000000003</v>
      </c>
      <c r="G2288">
        <v>32873.9</v>
      </c>
      <c r="H2288">
        <v>0</v>
      </c>
      <c r="I2288">
        <v>0</v>
      </c>
      <c r="J2288">
        <v>-193723.6</v>
      </c>
      <c r="K2288">
        <v>0</v>
      </c>
      <c r="L2288">
        <v>9567923.3699999992</v>
      </c>
      <c r="M2288">
        <v>9794520.8699999992</v>
      </c>
      <c r="N2288">
        <v>9567923.3699999992</v>
      </c>
      <c r="O2288">
        <v>9794520.8699999992</v>
      </c>
      <c r="P2288">
        <v>9567923.3699999992</v>
      </c>
      <c r="Q2288">
        <v>9794520.8699999992</v>
      </c>
      <c r="R2288" s="14">
        <f>_xlfn.XLOOKUP(Table2[[#This Row],[LoanID]],Table1[G-L ID],Table1[ManagerCode],-99)</f>
        <v>183</v>
      </c>
      <c r="T2288"/>
    </row>
    <row r="2289" spans="1:20" x14ac:dyDescent="0.25">
      <c r="A2289">
        <v>20131130</v>
      </c>
      <c r="B2289">
        <v>2013</v>
      </c>
      <c r="C2289">
        <v>11</v>
      </c>
      <c r="D2289">
        <v>1</v>
      </c>
      <c r="E2289">
        <v>11650</v>
      </c>
      <c r="F2289">
        <v>75000</v>
      </c>
      <c r="G2289">
        <v>0</v>
      </c>
      <c r="H2289">
        <v>0</v>
      </c>
      <c r="I2289">
        <v>0</v>
      </c>
      <c r="J2289">
        <v>0</v>
      </c>
      <c r="K2289">
        <v>0</v>
      </c>
      <c r="L2289">
        <v>9600000</v>
      </c>
      <c r="M2289">
        <v>9600000</v>
      </c>
      <c r="N2289">
        <v>9600000</v>
      </c>
      <c r="O2289">
        <v>9600000</v>
      </c>
      <c r="P2289">
        <v>12000000</v>
      </c>
      <c r="Q2289">
        <v>12000000</v>
      </c>
      <c r="R2289" s="14">
        <f>_xlfn.XLOOKUP(Table2[[#This Row],[LoanID]],Table1[G-L ID],Table1[ManagerCode],-99)</f>
        <v>103</v>
      </c>
      <c r="T2289"/>
    </row>
    <row r="2290" spans="1:20" x14ac:dyDescent="0.25">
      <c r="A2290">
        <v>20131130</v>
      </c>
      <c r="B2290">
        <v>2013</v>
      </c>
      <c r="C2290">
        <v>11</v>
      </c>
      <c r="D2290">
        <v>1</v>
      </c>
      <c r="E2290">
        <v>11670</v>
      </c>
      <c r="F2290">
        <v>188333.33</v>
      </c>
      <c r="G2290">
        <v>160163.96</v>
      </c>
      <c r="H2290">
        <v>0</v>
      </c>
      <c r="I2290">
        <v>0</v>
      </c>
      <c r="J2290">
        <v>0</v>
      </c>
      <c r="K2290">
        <v>0</v>
      </c>
      <c r="L2290">
        <v>29871195.989999998</v>
      </c>
      <c r="M2290">
        <v>30031359.949999999</v>
      </c>
      <c r="N2290">
        <v>29871195.989999998</v>
      </c>
      <c r="O2290">
        <v>30031359.949999999</v>
      </c>
      <c r="P2290">
        <v>29871195.989999998</v>
      </c>
      <c r="Q2290">
        <v>30031359.949999999</v>
      </c>
      <c r="R2290" s="14">
        <f>_xlfn.XLOOKUP(Table2[[#This Row],[LoanID]],Table1[G-L ID],Table1[ManagerCode],-99)</f>
        <v>183</v>
      </c>
      <c r="T2290"/>
    </row>
    <row r="2291" spans="1:20" x14ac:dyDescent="0.25">
      <c r="A2291">
        <v>20131130</v>
      </c>
      <c r="B2291">
        <v>2013</v>
      </c>
      <c r="C2291">
        <v>11</v>
      </c>
      <c r="D2291">
        <v>1</v>
      </c>
      <c r="E2291">
        <v>11680</v>
      </c>
      <c r="F2291">
        <v>57126.559999999998</v>
      </c>
      <c r="G2291">
        <v>0</v>
      </c>
      <c r="H2291">
        <v>0</v>
      </c>
      <c r="I2291">
        <v>0</v>
      </c>
      <c r="J2291">
        <v>0</v>
      </c>
      <c r="K2291">
        <v>0</v>
      </c>
      <c r="L2291">
        <v>6600000</v>
      </c>
      <c r="M2291">
        <v>6600000</v>
      </c>
      <c r="N2291">
        <v>6600000</v>
      </c>
      <c r="O2291">
        <v>6600000</v>
      </c>
      <c r="P2291">
        <v>6600000</v>
      </c>
      <c r="Q2291">
        <v>6600000</v>
      </c>
      <c r="R2291" s="14">
        <f>_xlfn.XLOOKUP(Table2[[#This Row],[LoanID]],Table1[G-L ID],Table1[ManagerCode],-99)</f>
        <v>183</v>
      </c>
      <c r="T2291"/>
    </row>
    <row r="2292" spans="1:20" x14ac:dyDescent="0.25">
      <c r="A2292">
        <v>20131130</v>
      </c>
      <c r="B2292">
        <v>2013</v>
      </c>
      <c r="C2292">
        <v>11</v>
      </c>
      <c r="D2292">
        <v>1</v>
      </c>
      <c r="E2292">
        <v>11710</v>
      </c>
      <c r="F2292">
        <v>70942.67</v>
      </c>
      <c r="G2292">
        <v>0</v>
      </c>
      <c r="H2292">
        <v>0</v>
      </c>
      <c r="I2292">
        <v>0</v>
      </c>
      <c r="J2292">
        <v>0</v>
      </c>
      <c r="K2292">
        <v>0</v>
      </c>
      <c r="L2292">
        <v>12000000</v>
      </c>
      <c r="M2292">
        <v>12000000</v>
      </c>
      <c r="N2292">
        <v>12000000</v>
      </c>
      <c r="O2292">
        <v>12000000</v>
      </c>
      <c r="P2292">
        <v>12000000</v>
      </c>
      <c r="Q2292">
        <v>12000000</v>
      </c>
      <c r="R2292" s="14">
        <f>_xlfn.XLOOKUP(Table2[[#This Row],[LoanID]],Table1[G-L ID],Table1[ManagerCode],-99)</f>
        <v>119</v>
      </c>
      <c r="T2292"/>
    </row>
    <row r="2293" spans="1:20" x14ac:dyDescent="0.25">
      <c r="A2293">
        <v>20131130</v>
      </c>
      <c r="B2293">
        <v>2013</v>
      </c>
      <c r="C2293">
        <v>11</v>
      </c>
      <c r="D2293">
        <v>1</v>
      </c>
      <c r="E2293">
        <v>11740</v>
      </c>
      <c r="F2293">
        <v>170500</v>
      </c>
      <c r="G2293">
        <v>0</v>
      </c>
      <c r="H2293">
        <v>0</v>
      </c>
      <c r="I2293">
        <v>0</v>
      </c>
      <c r="J2293">
        <v>0</v>
      </c>
      <c r="K2293">
        <v>0</v>
      </c>
      <c r="L2293">
        <v>18600000</v>
      </c>
      <c r="M2293">
        <v>18600000</v>
      </c>
      <c r="N2293">
        <v>18600000</v>
      </c>
      <c r="O2293">
        <v>18600000</v>
      </c>
      <c r="P2293">
        <v>18600000</v>
      </c>
      <c r="Q2293">
        <v>18600000</v>
      </c>
      <c r="R2293" s="14">
        <f>_xlfn.XLOOKUP(Table2[[#This Row],[LoanID]],Table1[G-L ID],Table1[ManagerCode],-99)</f>
        <v>183</v>
      </c>
      <c r="T2293"/>
    </row>
    <row r="2294" spans="1:20" x14ac:dyDescent="0.25">
      <c r="A2294">
        <v>20131130</v>
      </c>
      <c r="B2294">
        <v>2013</v>
      </c>
      <c r="C2294">
        <v>11</v>
      </c>
      <c r="D2294">
        <v>1</v>
      </c>
      <c r="E2294">
        <v>11770</v>
      </c>
      <c r="F2294">
        <v>424817.73</v>
      </c>
      <c r="G2294">
        <v>0</v>
      </c>
      <c r="H2294">
        <v>0</v>
      </c>
      <c r="I2294">
        <v>0</v>
      </c>
      <c r="J2294">
        <v>0</v>
      </c>
      <c r="K2294">
        <v>0</v>
      </c>
      <c r="L2294">
        <v>44980700.740000002</v>
      </c>
      <c r="M2294">
        <v>44980700.740000002</v>
      </c>
      <c r="N2294">
        <v>44980700.740000002</v>
      </c>
      <c r="O2294">
        <v>44980700.740000002</v>
      </c>
      <c r="P2294">
        <v>44980700.740000002</v>
      </c>
      <c r="Q2294">
        <v>44980700.740000002</v>
      </c>
      <c r="R2294" s="14">
        <f>_xlfn.XLOOKUP(Table2[[#This Row],[LoanID]],Table1[G-L ID],Table1[ManagerCode],-99)</f>
        <v>119</v>
      </c>
      <c r="T2294"/>
    </row>
    <row r="2295" spans="1:20" x14ac:dyDescent="0.25">
      <c r="A2295">
        <v>20131130</v>
      </c>
      <c r="B2295">
        <v>2013</v>
      </c>
      <c r="C2295">
        <v>11</v>
      </c>
      <c r="D2295">
        <v>1</v>
      </c>
      <c r="E2295">
        <v>11780</v>
      </c>
      <c r="F2295">
        <v>122840.52</v>
      </c>
      <c r="G2295">
        <v>0</v>
      </c>
      <c r="H2295">
        <v>0</v>
      </c>
      <c r="I2295">
        <v>-1115.76</v>
      </c>
      <c r="J2295">
        <v>0</v>
      </c>
      <c r="K2295">
        <v>0</v>
      </c>
      <c r="L2295">
        <v>37997821</v>
      </c>
      <c r="M2295">
        <v>37997821</v>
      </c>
      <c r="N2295">
        <v>37997821</v>
      </c>
      <c r="O2295">
        <v>37997821</v>
      </c>
      <c r="P2295">
        <v>64786446.619999997</v>
      </c>
      <c r="Q2295">
        <v>64786446.619999997</v>
      </c>
      <c r="R2295" s="14">
        <f>_xlfn.XLOOKUP(Table2[[#This Row],[LoanID]],Table1[G-L ID],Table1[ManagerCode],-99)</f>
        <v>103</v>
      </c>
      <c r="T2295"/>
    </row>
    <row r="2296" spans="1:20" x14ac:dyDescent="0.25">
      <c r="A2296">
        <v>20131130</v>
      </c>
      <c r="B2296">
        <v>2013</v>
      </c>
      <c r="C2296">
        <v>11</v>
      </c>
      <c r="D2296">
        <v>1</v>
      </c>
      <c r="E2296">
        <v>11810</v>
      </c>
      <c r="F2296">
        <v>50288.27</v>
      </c>
      <c r="G2296">
        <v>0</v>
      </c>
      <c r="H2296">
        <v>0</v>
      </c>
      <c r="I2296">
        <v>0</v>
      </c>
      <c r="J2296">
        <v>0</v>
      </c>
      <c r="K2296">
        <v>10569.82</v>
      </c>
      <c r="L2296">
        <v>9730042.9600000009</v>
      </c>
      <c r="M2296">
        <v>9719578.8399999999</v>
      </c>
      <c r="N2296">
        <v>9730042.9600000009</v>
      </c>
      <c r="O2296">
        <v>9719578.8399999999</v>
      </c>
      <c r="P2296">
        <v>9828326.2200000007</v>
      </c>
      <c r="Q2296">
        <v>9817756.4000000004</v>
      </c>
      <c r="R2296" s="14">
        <f>_xlfn.XLOOKUP(Table2[[#This Row],[LoanID]],Table1[G-L ID],Table1[ManagerCode],-99)</f>
        <v>103</v>
      </c>
      <c r="T2296"/>
    </row>
    <row r="2297" spans="1:20" x14ac:dyDescent="0.25">
      <c r="A2297">
        <v>20131130</v>
      </c>
      <c r="B2297">
        <v>2013</v>
      </c>
      <c r="C2297">
        <v>11</v>
      </c>
      <c r="D2297">
        <v>1</v>
      </c>
      <c r="E2297">
        <v>11840</v>
      </c>
      <c r="F2297">
        <v>52501.8</v>
      </c>
      <c r="G2297">
        <v>85180.9</v>
      </c>
      <c r="H2297">
        <v>0</v>
      </c>
      <c r="I2297">
        <v>0</v>
      </c>
      <c r="J2297">
        <v>0</v>
      </c>
      <c r="K2297">
        <v>0</v>
      </c>
      <c r="L2297">
        <v>11394430.6</v>
      </c>
      <c r="M2297">
        <v>11479611.5</v>
      </c>
      <c r="N2297">
        <v>11394430.6</v>
      </c>
      <c r="O2297">
        <v>11479611.5</v>
      </c>
      <c r="P2297">
        <v>11394430.6</v>
      </c>
      <c r="Q2297">
        <v>11479611.5</v>
      </c>
      <c r="R2297" s="14">
        <f>_xlfn.XLOOKUP(Table2[[#This Row],[LoanID]],Table1[G-L ID],Table1[ManagerCode],-99)</f>
        <v>183</v>
      </c>
      <c r="T2297"/>
    </row>
    <row r="2298" spans="1:20" x14ac:dyDescent="0.25">
      <c r="A2298">
        <v>20131130</v>
      </c>
      <c r="B2298">
        <v>2013</v>
      </c>
      <c r="C2298">
        <v>11</v>
      </c>
      <c r="D2298">
        <v>1</v>
      </c>
      <c r="E2298">
        <v>11880</v>
      </c>
      <c r="F2298">
        <v>52658.400000000001</v>
      </c>
      <c r="G2298">
        <v>93687.99</v>
      </c>
      <c r="H2298">
        <v>0</v>
      </c>
      <c r="I2298">
        <v>0</v>
      </c>
      <c r="J2298">
        <v>-3249779.14</v>
      </c>
      <c r="K2298">
        <v>0</v>
      </c>
      <c r="L2298">
        <v>11271921.310000001</v>
      </c>
      <c r="M2298">
        <v>14615388.439999999</v>
      </c>
      <c r="N2298">
        <v>11271921.310000001</v>
      </c>
      <c r="O2298">
        <v>14615388.439999999</v>
      </c>
      <c r="P2298">
        <v>11271921.310000001</v>
      </c>
      <c r="Q2298">
        <v>14615388.439999999</v>
      </c>
      <c r="R2298" s="14">
        <f>_xlfn.XLOOKUP(Table2[[#This Row],[LoanID]],Table1[G-L ID],Table1[ManagerCode],-99)</f>
        <v>183</v>
      </c>
      <c r="T2298"/>
    </row>
    <row r="2299" spans="1:20" x14ac:dyDescent="0.25">
      <c r="A2299">
        <v>20131130</v>
      </c>
      <c r="B2299">
        <v>2013</v>
      </c>
      <c r="C2299">
        <v>11</v>
      </c>
      <c r="D2299">
        <v>1</v>
      </c>
      <c r="E2299">
        <v>11970</v>
      </c>
      <c r="F2299">
        <v>84710.73</v>
      </c>
      <c r="G2299">
        <v>52442.98</v>
      </c>
      <c r="H2299">
        <v>0</v>
      </c>
      <c r="I2299">
        <v>0</v>
      </c>
      <c r="J2299">
        <v>-3764.47</v>
      </c>
      <c r="K2299">
        <v>0</v>
      </c>
      <c r="L2299">
        <v>9159394.1500000004</v>
      </c>
      <c r="M2299">
        <v>9215601.5999999996</v>
      </c>
      <c r="N2299">
        <v>9159394.1500000004</v>
      </c>
      <c r="O2299">
        <v>9215601.5999999996</v>
      </c>
      <c r="P2299">
        <v>9159394.1500000004</v>
      </c>
      <c r="Q2299">
        <v>9215601.5999999996</v>
      </c>
      <c r="R2299" s="14">
        <f>_xlfn.XLOOKUP(Table2[[#This Row],[LoanID]],Table1[G-L ID],Table1[ManagerCode],-99)</f>
        <v>183</v>
      </c>
      <c r="T2299"/>
    </row>
    <row r="2300" spans="1:20" x14ac:dyDescent="0.25">
      <c r="A2300">
        <v>20131130</v>
      </c>
      <c r="B2300">
        <v>2013</v>
      </c>
      <c r="C2300">
        <v>11</v>
      </c>
      <c r="D2300">
        <v>1</v>
      </c>
      <c r="E2300">
        <v>12020</v>
      </c>
      <c r="F2300">
        <v>65000</v>
      </c>
      <c r="G2300">
        <v>2031.25</v>
      </c>
      <c r="H2300">
        <v>0</v>
      </c>
      <c r="I2300">
        <v>0</v>
      </c>
      <c r="J2300">
        <v>0</v>
      </c>
      <c r="K2300">
        <v>0</v>
      </c>
      <c r="L2300">
        <v>10349208.42</v>
      </c>
      <c r="M2300">
        <v>10351239.67</v>
      </c>
      <c r="N2300">
        <v>10349208.42</v>
      </c>
      <c r="O2300">
        <v>10351239.67</v>
      </c>
      <c r="P2300">
        <v>10349208.42</v>
      </c>
      <c r="Q2300">
        <v>10351239.67</v>
      </c>
      <c r="R2300" s="14">
        <f>_xlfn.XLOOKUP(Table2[[#This Row],[LoanID]],Table1[G-L ID],Table1[ManagerCode],-99)</f>
        <v>183</v>
      </c>
      <c r="T2300"/>
    </row>
    <row r="2301" spans="1:20" x14ac:dyDescent="0.25">
      <c r="A2301">
        <v>20131130</v>
      </c>
      <c r="B2301">
        <v>2013</v>
      </c>
      <c r="C2301">
        <v>11</v>
      </c>
      <c r="D2301">
        <v>1</v>
      </c>
      <c r="E2301">
        <v>12080</v>
      </c>
      <c r="F2301">
        <v>320453.53999999998</v>
      </c>
      <c r="G2301">
        <v>0</v>
      </c>
      <c r="H2301">
        <v>0</v>
      </c>
      <c r="I2301">
        <v>0</v>
      </c>
      <c r="J2301">
        <v>0</v>
      </c>
      <c r="K2301">
        <v>683176.39</v>
      </c>
      <c r="L2301">
        <v>39505264.829999998</v>
      </c>
      <c r="M2301">
        <v>38822088.439999998</v>
      </c>
      <c r="N2301">
        <v>39505264.829999998</v>
      </c>
      <c r="O2301">
        <v>38822088.439999998</v>
      </c>
      <c r="P2301">
        <v>39505264.829999998</v>
      </c>
      <c r="Q2301">
        <v>38822088.439999998</v>
      </c>
      <c r="R2301" s="14">
        <f>_xlfn.XLOOKUP(Table2[[#This Row],[LoanID]],Table1[G-L ID],Table1[ManagerCode],-99)</f>
        <v>119</v>
      </c>
      <c r="T2301"/>
    </row>
    <row r="2302" spans="1:20" x14ac:dyDescent="0.25">
      <c r="A2302">
        <v>20131130</v>
      </c>
      <c r="B2302">
        <v>2013</v>
      </c>
      <c r="C2302">
        <v>11</v>
      </c>
      <c r="D2302">
        <v>1</v>
      </c>
      <c r="E2302">
        <v>12090</v>
      </c>
      <c r="F2302">
        <v>163865.14000000001</v>
      </c>
      <c r="G2302">
        <v>0</v>
      </c>
      <c r="H2302">
        <v>0</v>
      </c>
      <c r="I2302">
        <v>0</v>
      </c>
      <c r="J2302">
        <v>0</v>
      </c>
      <c r="K2302">
        <v>0</v>
      </c>
      <c r="L2302">
        <v>17500000</v>
      </c>
      <c r="M2302">
        <v>17500000</v>
      </c>
      <c r="N2302">
        <v>17500000</v>
      </c>
      <c r="O2302">
        <v>17500000</v>
      </c>
      <c r="P2302">
        <v>17500000</v>
      </c>
      <c r="Q2302">
        <v>17500000</v>
      </c>
      <c r="R2302" s="14">
        <f>_xlfn.XLOOKUP(Table2[[#This Row],[LoanID]],Table1[G-L ID],Table1[ManagerCode],-99)</f>
        <v>220</v>
      </c>
      <c r="T2302"/>
    </row>
    <row r="2303" spans="1:20" x14ac:dyDescent="0.25">
      <c r="A2303">
        <v>20131130</v>
      </c>
      <c r="B2303">
        <v>2013</v>
      </c>
      <c r="C2303">
        <v>11</v>
      </c>
      <c r="D2303">
        <v>1</v>
      </c>
      <c r="E2303">
        <v>12100</v>
      </c>
      <c r="F2303">
        <v>47076.39</v>
      </c>
      <c r="G2303">
        <v>75685.990000000005</v>
      </c>
      <c r="H2303">
        <v>0</v>
      </c>
      <c r="I2303">
        <v>0</v>
      </c>
      <c r="J2303">
        <v>-47076.39</v>
      </c>
      <c r="K2303">
        <v>0</v>
      </c>
      <c r="L2303">
        <v>10144302.99</v>
      </c>
      <c r="M2303">
        <v>10267065.369999999</v>
      </c>
      <c r="N2303">
        <v>10144302.99</v>
      </c>
      <c r="O2303">
        <v>10267065.369999999</v>
      </c>
      <c r="P2303">
        <v>10144302.99</v>
      </c>
      <c r="Q2303">
        <v>10267065.369999999</v>
      </c>
      <c r="R2303" s="14">
        <f>_xlfn.XLOOKUP(Table2[[#This Row],[LoanID]],Table1[G-L ID],Table1[ManagerCode],-99)</f>
        <v>183</v>
      </c>
      <c r="T2303"/>
    </row>
    <row r="2304" spans="1:20" x14ac:dyDescent="0.25">
      <c r="A2304">
        <v>20131130</v>
      </c>
      <c r="B2304">
        <v>2013</v>
      </c>
      <c r="C2304">
        <v>11</v>
      </c>
      <c r="D2304">
        <v>1</v>
      </c>
      <c r="E2304">
        <v>12130</v>
      </c>
      <c r="F2304">
        <v>117222.07</v>
      </c>
      <c r="G2304">
        <v>0</v>
      </c>
      <c r="H2304">
        <v>0</v>
      </c>
      <c r="I2304">
        <v>0</v>
      </c>
      <c r="J2304">
        <v>-117222.07</v>
      </c>
      <c r="K2304">
        <v>0</v>
      </c>
      <c r="L2304">
        <v>15424545.93</v>
      </c>
      <c r="M2304">
        <v>15541768</v>
      </c>
      <c r="N2304">
        <v>15424545.93</v>
      </c>
      <c r="O2304">
        <v>15541768</v>
      </c>
      <c r="P2304">
        <v>15424545.93</v>
      </c>
      <c r="Q2304">
        <v>15541768</v>
      </c>
      <c r="R2304" s="14">
        <f>_xlfn.XLOOKUP(Table2[[#This Row],[LoanID]],Table1[G-L ID],Table1[ManagerCode],-99)</f>
        <v>183</v>
      </c>
      <c r="T2304"/>
    </row>
    <row r="2305" spans="1:20" x14ac:dyDescent="0.25">
      <c r="A2305">
        <v>20131130</v>
      </c>
      <c r="B2305">
        <v>2013</v>
      </c>
      <c r="C2305">
        <v>11</v>
      </c>
      <c r="D2305">
        <v>1</v>
      </c>
      <c r="E2305">
        <v>12190</v>
      </c>
      <c r="F2305">
        <v>557583.32999999996</v>
      </c>
      <c r="G2305">
        <v>0</v>
      </c>
      <c r="H2305">
        <v>0</v>
      </c>
      <c r="I2305">
        <v>0</v>
      </c>
      <c r="J2305">
        <v>0</v>
      </c>
      <c r="K2305">
        <v>0</v>
      </c>
      <c r="L2305">
        <v>37500000</v>
      </c>
      <c r="M2305">
        <v>37500000</v>
      </c>
      <c r="N2305">
        <v>37500000</v>
      </c>
      <c r="O2305">
        <v>37500000</v>
      </c>
      <c r="P2305">
        <v>37500000</v>
      </c>
      <c r="Q2305">
        <v>37500000</v>
      </c>
      <c r="R2305" s="14">
        <f>_xlfn.XLOOKUP(Table2[[#This Row],[LoanID]],Table1[G-L ID],Table1[ManagerCode],-99)</f>
        <v>220</v>
      </c>
      <c r="T2305"/>
    </row>
    <row r="2306" spans="1:20" x14ac:dyDescent="0.25">
      <c r="A2306">
        <v>20131130</v>
      </c>
      <c r="B2306">
        <v>2013</v>
      </c>
      <c r="C2306">
        <v>11</v>
      </c>
      <c r="D2306">
        <v>1</v>
      </c>
      <c r="E2306">
        <v>12210</v>
      </c>
      <c r="F2306">
        <v>694420.28</v>
      </c>
      <c r="G2306">
        <v>0</v>
      </c>
      <c r="H2306">
        <v>0</v>
      </c>
      <c r="I2306">
        <v>0</v>
      </c>
      <c r="J2306">
        <v>0</v>
      </c>
      <c r="K2306">
        <v>205783.7</v>
      </c>
      <c r="L2306">
        <v>132004511.2</v>
      </c>
      <c r="M2306">
        <v>131465611.40000001</v>
      </c>
      <c r="N2306">
        <v>132004511.2</v>
      </c>
      <c r="O2306">
        <v>131465611.40000001</v>
      </c>
      <c r="P2306">
        <v>112358323.5</v>
      </c>
      <c r="Q2306">
        <v>112152539.8</v>
      </c>
      <c r="R2306" s="14">
        <f>_xlfn.XLOOKUP(Table2[[#This Row],[LoanID]],Table1[G-L ID],Table1[ManagerCode],-99)</f>
        <v>103</v>
      </c>
      <c r="T2306"/>
    </row>
    <row r="2307" spans="1:20" x14ac:dyDescent="0.25">
      <c r="A2307">
        <v>20131130</v>
      </c>
      <c r="B2307">
        <v>2013</v>
      </c>
      <c r="C2307">
        <v>11</v>
      </c>
      <c r="D2307">
        <v>1</v>
      </c>
      <c r="E2307">
        <v>12230</v>
      </c>
      <c r="F2307">
        <v>284546.40000000002</v>
      </c>
      <c r="G2307">
        <v>0</v>
      </c>
      <c r="H2307">
        <v>0</v>
      </c>
      <c r="I2307">
        <v>0</v>
      </c>
      <c r="J2307">
        <v>0</v>
      </c>
      <c r="K2307">
        <v>0</v>
      </c>
      <c r="L2307">
        <v>54675074</v>
      </c>
      <c r="M2307">
        <v>54675074</v>
      </c>
      <c r="N2307">
        <v>36451872</v>
      </c>
      <c r="O2307">
        <v>36451872</v>
      </c>
      <c r="P2307">
        <v>54675074</v>
      </c>
      <c r="Q2307">
        <v>54675074</v>
      </c>
      <c r="R2307" s="14">
        <f>_xlfn.XLOOKUP(Table2[[#This Row],[LoanID]],Table1[G-L ID],Table1[ManagerCode],-99)</f>
        <v>183</v>
      </c>
      <c r="T2307"/>
    </row>
    <row r="2308" spans="1:20" x14ac:dyDescent="0.25">
      <c r="A2308">
        <v>20131130</v>
      </c>
      <c r="B2308">
        <v>2013</v>
      </c>
      <c r="C2308">
        <v>11</v>
      </c>
      <c r="D2308">
        <v>1</v>
      </c>
      <c r="E2308">
        <v>15580</v>
      </c>
      <c r="F2308">
        <v>119354.01</v>
      </c>
      <c r="G2308">
        <v>-3881.33</v>
      </c>
      <c r="H2308">
        <v>0</v>
      </c>
      <c r="I2308">
        <v>0</v>
      </c>
      <c r="J2308">
        <v>0</v>
      </c>
      <c r="K2308">
        <v>4047.3</v>
      </c>
      <c r="L2308">
        <v>15103641.470000001</v>
      </c>
      <c r="M2308">
        <v>15095712.84</v>
      </c>
      <c r="N2308">
        <v>15103641.470000001</v>
      </c>
      <c r="O2308">
        <v>15095712.84</v>
      </c>
      <c r="P2308">
        <v>15103641.470000001</v>
      </c>
      <c r="Q2308">
        <v>15095712.84</v>
      </c>
      <c r="R2308" s="14">
        <f>_xlfn.XLOOKUP(Table2[[#This Row],[LoanID]],Table1[G-L ID],Table1[ManagerCode],-99)</f>
        <v>212</v>
      </c>
      <c r="T2308"/>
    </row>
    <row r="2309" spans="1:20" x14ac:dyDescent="0.25">
      <c r="A2309">
        <v>20131231</v>
      </c>
      <c r="B2309">
        <v>2013</v>
      </c>
      <c r="C2309">
        <v>12</v>
      </c>
      <c r="D2309">
        <v>1</v>
      </c>
      <c r="E2309">
        <v>10050</v>
      </c>
      <c r="F2309">
        <v>149013.89000000001</v>
      </c>
      <c r="G2309">
        <v>0</v>
      </c>
      <c r="H2309">
        <v>0</v>
      </c>
      <c r="I2309">
        <v>0</v>
      </c>
      <c r="J2309">
        <v>0</v>
      </c>
      <c r="K2309">
        <v>0</v>
      </c>
      <c r="L2309">
        <v>35584777.270000003</v>
      </c>
      <c r="M2309">
        <v>35379109.600000001</v>
      </c>
      <c r="N2309">
        <v>35584777.270000003</v>
      </c>
      <c r="O2309">
        <v>35379109.600000001</v>
      </c>
      <c r="P2309">
        <v>33333334</v>
      </c>
      <c r="Q2309">
        <v>33333334</v>
      </c>
      <c r="R2309" s="14">
        <f>_xlfn.XLOOKUP(Table2[[#This Row],[LoanID]],Table1[G-L ID],Table1[ManagerCode],-99)</f>
        <v>103</v>
      </c>
      <c r="T2309"/>
    </row>
    <row r="2310" spans="1:20" x14ac:dyDescent="0.25">
      <c r="A2310">
        <v>20131231</v>
      </c>
      <c r="B2310">
        <v>2013</v>
      </c>
      <c r="C2310">
        <v>12</v>
      </c>
      <c r="D2310">
        <v>1</v>
      </c>
      <c r="E2310">
        <v>10060</v>
      </c>
      <c r="F2310">
        <v>120833.33</v>
      </c>
      <c r="G2310">
        <v>0</v>
      </c>
      <c r="H2310">
        <v>0</v>
      </c>
      <c r="I2310">
        <v>0</v>
      </c>
      <c r="J2310">
        <v>0</v>
      </c>
      <c r="K2310">
        <v>0</v>
      </c>
      <c r="L2310">
        <v>19000000</v>
      </c>
      <c r="M2310">
        <v>19000000</v>
      </c>
      <c r="N2310">
        <v>19000000</v>
      </c>
      <c r="O2310">
        <v>19000000</v>
      </c>
      <c r="P2310">
        <v>20000000</v>
      </c>
      <c r="Q2310">
        <v>20000000</v>
      </c>
      <c r="R2310" s="14">
        <f>_xlfn.XLOOKUP(Table2[[#This Row],[LoanID]],Table1[G-L ID],Table1[ManagerCode],-99)</f>
        <v>103</v>
      </c>
      <c r="T2310"/>
    </row>
    <row r="2311" spans="1:20" x14ac:dyDescent="0.25">
      <c r="A2311">
        <v>20131231</v>
      </c>
      <c r="B2311">
        <v>2013</v>
      </c>
      <c r="C2311">
        <v>12</v>
      </c>
      <c r="D2311">
        <v>1</v>
      </c>
      <c r="E2311">
        <v>10080</v>
      </c>
      <c r="F2311">
        <v>339718.75</v>
      </c>
      <c r="G2311">
        <v>0</v>
      </c>
      <c r="H2311">
        <v>0</v>
      </c>
      <c r="I2311">
        <v>-156.25</v>
      </c>
      <c r="J2311">
        <v>0</v>
      </c>
      <c r="K2311">
        <v>0</v>
      </c>
      <c r="L2311">
        <v>77686121.620000005</v>
      </c>
      <c r="M2311">
        <v>77711510.090000004</v>
      </c>
      <c r="N2311">
        <v>77686121.620000005</v>
      </c>
      <c r="O2311">
        <v>77711510.090000004</v>
      </c>
      <c r="P2311">
        <v>75000000</v>
      </c>
      <c r="Q2311">
        <v>75000000</v>
      </c>
      <c r="R2311" s="14">
        <f>_xlfn.XLOOKUP(Table2[[#This Row],[LoanID]],Table1[G-L ID],Table1[ManagerCode],-99)</f>
        <v>103</v>
      </c>
      <c r="T2311"/>
    </row>
    <row r="2312" spans="1:20" x14ac:dyDescent="0.25">
      <c r="A2312">
        <v>20131231</v>
      </c>
      <c r="B2312">
        <v>2013</v>
      </c>
      <c r="C2312">
        <v>12</v>
      </c>
      <c r="D2312">
        <v>1</v>
      </c>
      <c r="E2312">
        <v>10170</v>
      </c>
      <c r="F2312">
        <v>231631.21</v>
      </c>
      <c r="G2312">
        <v>0</v>
      </c>
      <c r="H2312">
        <v>0</v>
      </c>
      <c r="I2312">
        <v>-1110.05</v>
      </c>
      <c r="J2312">
        <v>0</v>
      </c>
      <c r="K2312">
        <v>81483.399999999994</v>
      </c>
      <c r="L2312">
        <v>45989968.159999996</v>
      </c>
      <c r="M2312">
        <v>45752256.399999999</v>
      </c>
      <c r="N2312">
        <v>45989968.159999996</v>
      </c>
      <c r="O2312">
        <v>45752256.399999999</v>
      </c>
      <c r="P2312">
        <v>44402149.299999997</v>
      </c>
      <c r="Q2312">
        <v>44320665.899999999</v>
      </c>
      <c r="R2312" s="14">
        <f>_xlfn.XLOOKUP(Table2[[#This Row],[LoanID]],Table1[G-L ID],Table1[ManagerCode],-99)</f>
        <v>103</v>
      </c>
      <c r="T2312"/>
    </row>
    <row r="2313" spans="1:20" x14ac:dyDescent="0.25">
      <c r="A2313">
        <v>20131231</v>
      </c>
      <c r="B2313">
        <v>2013</v>
      </c>
      <c r="C2313">
        <v>12</v>
      </c>
      <c r="D2313">
        <v>1</v>
      </c>
      <c r="E2313">
        <v>10190</v>
      </c>
      <c r="F2313">
        <v>41666.67</v>
      </c>
      <c r="G2313">
        <v>0</v>
      </c>
      <c r="H2313">
        <v>0</v>
      </c>
      <c r="I2313">
        <v>0</v>
      </c>
      <c r="J2313">
        <v>0</v>
      </c>
      <c r="K2313">
        <v>0</v>
      </c>
      <c r="L2313">
        <v>9500000</v>
      </c>
      <c r="M2313">
        <v>9500000</v>
      </c>
      <c r="N2313">
        <v>9500000</v>
      </c>
      <c r="O2313">
        <v>9500000</v>
      </c>
      <c r="P2313">
        <v>10000000</v>
      </c>
      <c r="Q2313">
        <v>10000000</v>
      </c>
      <c r="R2313" s="14">
        <f>_xlfn.XLOOKUP(Table2[[#This Row],[LoanID]],Table1[G-L ID],Table1[ManagerCode],-99)</f>
        <v>103</v>
      </c>
      <c r="T2313"/>
    </row>
    <row r="2314" spans="1:20" x14ac:dyDescent="0.25">
      <c r="A2314">
        <v>20131231</v>
      </c>
      <c r="B2314">
        <v>2013</v>
      </c>
      <c r="C2314">
        <v>12</v>
      </c>
      <c r="D2314">
        <v>1</v>
      </c>
      <c r="E2314">
        <v>10200</v>
      </c>
      <c r="F2314">
        <v>128541.67</v>
      </c>
      <c r="G2314">
        <v>0</v>
      </c>
      <c r="H2314">
        <v>0</v>
      </c>
      <c r="I2314">
        <v>0</v>
      </c>
      <c r="J2314">
        <v>0</v>
      </c>
      <c r="K2314">
        <v>0</v>
      </c>
      <c r="L2314">
        <v>29307500</v>
      </c>
      <c r="M2314">
        <v>29307500</v>
      </c>
      <c r="N2314">
        <v>29307500</v>
      </c>
      <c r="O2314">
        <v>29307500</v>
      </c>
      <c r="P2314">
        <v>30850000</v>
      </c>
      <c r="Q2314">
        <v>30850000</v>
      </c>
      <c r="R2314" s="14">
        <f>_xlfn.XLOOKUP(Table2[[#This Row],[LoanID]],Table1[G-L ID],Table1[ManagerCode],-99)</f>
        <v>103</v>
      </c>
      <c r="T2314"/>
    </row>
    <row r="2315" spans="1:20" x14ac:dyDescent="0.25">
      <c r="A2315">
        <v>20131231</v>
      </c>
      <c r="B2315">
        <v>2013</v>
      </c>
      <c r="C2315">
        <v>12</v>
      </c>
      <c r="D2315">
        <v>1</v>
      </c>
      <c r="E2315">
        <v>10220</v>
      </c>
      <c r="F2315">
        <v>1101388.8899999999</v>
      </c>
      <c r="G2315">
        <v>0</v>
      </c>
      <c r="H2315">
        <v>0</v>
      </c>
      <c r="I2315">
        <v>0</v>
      </c>
      <c r="J2315">
        <v>0</v>
      </c>
      <c r="K2315">
        <v>0</v>
      </c>
      <c r="L2315">
        <v>99000000</v>
      </c>
      <c r="M2315">
        <v>99000000</v>
      </c>
      <c r="N2315">
        <v>99000000</v>
      </c>
      <c r="O2315">
        <v>99000000</v>
      </c>
      <c r="P2315">
        <v>100000000</v>
      </c>
      <c r="Q2315">
        <v>100000000</v>
      </c>
      <c r="R2315" s="14">
        <f>_xlfn.XLOOKUP(Table2[[#This Row],[LoanID]],Table1[G-L ID],Table1[ManagerCode],-99)</f>
        <v>103</v>
      </c>
      <c r="T2315"/>
    </row>
    <row r="2316" spans="1:20" x14ac:dyDescent="0.25">
      <c r="A2316">
        <v>20131231</v>
      </c>
      <c r="B2316">
        <v>2013</v>
      </c>
      <c r="C2316">
        <v>12</v>
      </c>
      <c r="D2316">
        <v>1</v>
      </c>
      <c r="E2316">
        <v>10230</v>
      </c>
      <c r="F2316">
        <v>174224.12</v>
      </c>
      <c r="G2316">
        <v>0</v>
      </c>
      <c r="H2316">
        <v>0</v>
      </c>
      <c r="I2316">
        <v>0</v>
      </c>
      <c r="J2316">
        <v>0</v>
      </c>
      <c r="K2316">
        <v>67373.95</v>
      </c>
      <c r="L2316">
        <v>29468174.390000001</v>
      </c>
      <c r="M2316">
        <v>29404169.140000001</v>
      </c>
      <c r="N2316">
        <v>29468174.390000001</v>
      </c>
      <c r="O2316">
        <v>29404169.140000001</v>
      </c>
      <c r="P2316">
        <v>31019130.949999999</v>
      </c>
      <c r="Q2316">
        <v>30951757</v>
      </c>
      <c r="R2316" s="14">
        <f>_xlfn.XLOOKUP(Table2[[#This Row],[LoanID]],Table1[G-L ID],Table1[ManagerCode],-99)</f>
        <v>103</v>
      </c>
      <c r="T2316"/>
    </row>
    <row r="2317" spans="1:20" x14ac:dyDescent="0.25">
      <c r="A2317">
        <v>20131231</v>
      </c>
      <c r="B2317">
        <v>2013</v>
      </c>
      <c r="C2317">
        <v>12</v>
      </c>
      <c r="D2317">
        <v>1</v>
      </c>
      <c r="E2317">
        <v>10340</v>
      </c>
      <c r="F2317">
        <v>101432.29</v>
      </c>
      <c r="G2317">
        <v>0</v>
      </c>
      <c r="H2317">
        <v>0</v>
      </c>
      <c r="I2317">
        <v>0</v>
      </c>
      <c r="J2317">
        <v>0</v>
      </c>
      <c r="K2317">
        <v>0</v>
      </c>
      <c r="L2317">
        <v>11875000</v>
      </c>
      <c r="M2317">
        <v>11875000</v>
      </c>
      <c r="N2317">
        <v>11875000</v>
      </c>
      <c r="O2317">
        <v>11875000</v>
      </c>
      <c r="P2317">
        <v>11875000</v>
      </c>
      <c r="Q2317">
        <v>11875000</v>
      </c>
      <c r="R2317" s="14">
        <f>_xlfn.XLOOKUP(Table2[[#This Row],[LoanID]],Table1[G-L ID],Table1[ManagerCode],-99)</f>
        <v>220</v>
      </c>
      <c r="T2317"/>
    </row>
    <row r="2318" spans="1:20" x14ac:dyDescent="0.25">
      <c r="A2318">
        <v>20131231</v>
      </c>
      <c r="B2318">
        <v>2013</v>
      </c>
      <c r="C2318">
        <v>12</v>
      </c>
      <c r="D2318">
        <v>1</v>
      </c>
      <c r="E2318">
        <v>10370</v>
      </c>
      <c r="F2318">
        <v>5335.24</v>
      </c>
      <c r="G2318">
        <v>0</v>
      </c>
      <c r="H2318">
        <v>0</v>
      </c>
      <c r="I2318">
        <v>0</v>
      </c>
      <c r="J2318">
        <v>0</v>
      </c>
      <c r="K2318">
        <v>2058028.98</v>
      </c>
      <c r="L2318">
        <v>1955127.52</v>
      </c>
      <c r="M2318">
        <v>0</v>
      </c>
      <c r="N2318">
        <v>1955127.52</v>
      </c>
      <c r="O2318">
        <v>0</v>
      </c>
      <c r="P2318">
        <v>2058028.98</v>
      </c>
      <c r="Q2318">
        <v>0</v>
      </c>
      <c r="R2318" s="14">
        <f>_xlfn.XLOOKUP(Table2[[#This Row],[LoanID]],Table1[G-L ID],Table1[ManagerCode],-99)</f>
        <v>103</v>
      </c>
      <c r="T2318"/>
    </row>
    <row r="2319" spans="1:20" x14ac:dyDescent="0.25">
      <c r="A2319">
        <v>20131231</v>
      </c>
      <c r="B2319">
        <v>2013</v>
      </c>
      <c r="C2319">
        <v>12</v>
      </c>
      <c r="D2319">
        <v>1</v>
      </c>
      <c r="E2319">
        <v>10390</v>
      </c>
      <c r="F2319">
        <v>118750</v>
      </c>
      <c r="G2319">
        <v>0</v>
      </c>
      <c r="H2319">
        <v>0</v>
      </c>
      <c r="I2319">
        <v>0</v>
      </c>
      <c r="J2319">
        <v>0</v>
      </c>
      <c r="K2319">
        <v>0</v>
      </c>
      <c r="L2319">
        <v>23750000</v>
      </c>
      <c r="M2319">
        <v>23750000</v>
      </c>
      <c r="N2319">
        <v>23750000</v>
      </c>
      <c r="O2319">
        <v>23750000</v>
      </c>
      <c r="P2319">
        <v>24998979.469999999</v>
      </c>
      <c r="Q2319">
        <v>24999183.550000001</v>
      </c>
      <c r="R2319" s="14">
        <f>_xlfn.XLOOKUP(Table2[[#This Row],[LoanID]],Table1[G-L ID],Table1[ManagerCode],-99)</f>
        <v>103</v>
      </c>
      <c r="T2319"/>
    </row>
    <row r="2320" spans="1:20" x14ac:dyDescent="0.25">
      <c r="A2320">
        <v>20131231</v>
      </c>
      <c r="B2320">
        <v>2013</v>
      </c>
      <c r="C2320">
        <v>12</v>
      </c>
      <c r="D2320">
        <v>1</v>
      </c>
      <c r="E2320">
        <v>10400</v>
      </c>
      <c r="F2320">
        <v>812062.5</v>
      </c>
      <c r="G2320">
        <v>0</v>
      </c>
      <c r="H2320">
        <v>0</v>
      </c>
      <c r="I2320">
        <v>0</v>
      </c>
      <c r="J2320">
        <v>0</v>
      </c>
      <c r="K2320">
        <v>0</v>
      </c>
      <c r="L2320">
        <v>45000000</v>
      </c>
      <c r="M2320">
        <v>45000000</v>
      </c>
      <c r="N2320">
        <v>45000000</v>
      </c>
      <c r="O2320">
        <v>45000000</v>
      </c>
      <c r="P2320">
        <v>45000000</v>
      </c>
      <c r="Q2320">
        <v>45000000</v>
      </c>
      <c r="R2320" s="14">
        <f>_xlfn.XLOOKUP(Table2[[#This Row],[LoanID]],Table1[G-L ID],Table1[ManagerCode],-99)</f>
        <v>220</v>
      </c>
      <c r="T2320"/>
    </row>
    <row r="2321" spans="1:20" x14ac:dyDescent="0.25">
      <c r="A2321">
        <v>20131231</v>
      </c>
      <c r="B2321">
        <v>2013</v>
      </c>
      <c r="C2321">
        <v>12</v>
      </c>
      <c r="D2321">
        <v>1</v>
      </c>
      <c r="E2321">
        <v>10430</v>
      </c>
      <c r="F2321">
        <v>60276.38</v>
      </c>
      <c r="G2321">
        <v>0</v>
      </c>
      <c r="H2321">
        <v>0</v>
      </c>
      <c r="I2321">
        <v>0</v>
      </c>
      <c r="J2321">
        <v>0</v>
      </c>
      <c r="K2321">
        <v>14875</v>
      </c>
      <c r="L2321">
        <v>6910750</v>
      </c>
      <c r="M2321">
        <v>6895875</v>
      </c>
      <c r="N2321">
        <v>6910750</v>
      </c>
      <c r="O2321">
        <v>6895875</v>
      </c>
      <c r="P2321">
        <v>6910750</v>
      </c>
      <c r="Q2321">
        <v>6895875</v>
      </c>
      <c r="R2321" s="14">
        <f>_xlfn.XLOOKUP(Table2[[#This Row],[LoanID]],Table1[G-L ID],Table1[ManagerCode],-99)</f>
        <v>119</v>
      </c>
      <c r="T2321"/>
    </row>
    <row r="2322" spans="1:20" x14ac:dyDescent="0.25">
      <c r="A2322">
        <v>20131231</v>
      </c>
      <c r="B2322">
        <v>2013</v>
      </c>
      <c r="C2322">
        <v>12</v>
      </c>
      <c r="D2322">
        <v>1</v>
      </c>
      <c r="E2322">
        <v>10460</v>
      </c>
      <c r="F2322">
        <v>50416.67</v>
      </c>
      <c r="G2322">
        <v>0</v>
      </c>
      <c r="H2322">
        <v>0</v>
      </c>
      <c r="I2322">
        <v>0</v>
      </c>
      <c r="J2322">
        <v>-34999999.990000002</v>
      </c>
      <c r="K2322">
        <v>0</v>
      </c>
      <c r="L2322">
        <v>25784203.030000001</v>
      </c>
      <c r="M2322">
        <v>61908167.43</v>
      </c>
      <c r="N2322">
        <v>25784203.030000001</v>
      </c>
      <c r="O2322">
        <v>61908167.43</v>
      </c>
      <c r="P2322">
        <v>25000000.010000002</v>
      </c>
      <c r="Q2322">
        <v>60000000</v>
      </c>
      <c r="R2322" s="14">
        <f>_xlfn.XLOOKUP(Table2[[#This Row],[LoanID]],Table1[G-L ID],Table1[ManagerCode],-99)</f>
        <v>103</v>
      </c>
      <c r="T2322"/>
    </row>
    <row r="2323" spans="1:20" x14ac:dyDescent="0.25">
      <c r="A2323">
        <v>20131231</v>
      </c>
      <c r="B2323">
        <v>2013</v>
      </c>
      <c r="C2323">
        <v>12</v>
      </c>
      <c r="D2323">
        <v>1</v>
      </c>
      <c r="E2323">
        <v>10490</v>
      </c>
      <c r="F2323">
        <v>153423.97</v>
      </c>
      <c r="G2323">
        <v>0</v>
      </c>
      <c r="H2323">
        <v>0</v>
      </c>
      <c r="I2323">
        <v>0</v>
      </c>
      <c r="J2323">
        <v>0</v>
      </c>
      <c r="K2323">
        <v>0</v>
      </c>
      <c r="L2323">
        <v>17534168</v>
      </c>
      <c r="M2323">
        <v>17534168</v>
      </c>
      <c r="N2323">
        <v>17534168</v>
      </c>
      <c r="O2323">
        <v>17534168</v>
      </c>
      <c r="P2323">
        <v>17534168</v>
      </c>
      <c r="Q2323">
        <v>17534168</v>
      </c>
      <c r="R2323" s="14">
        <f>_xlfn.XLOOKUP(Table2[[#This Row],[LoanID]],Table1[G-L ID],Table1[ManagerCode],-99)</f>
        <v>220</v>
      </c>
      <c r="T2323"/>
    </row>
    <row r="2324" spans="1:20" x14ac:dyDescent="0.25">
      <c r="A2324">
        <v>20131231</v>
      </c>
      <c r="B2324">
        <v>2013</v>
      </c>
      <c r="C2324">
        <v>12</v>
      </c>
      <c r="D2324">
        <v>1</v>
      </c>
      <c r="E2324">
        <v>10510</v>
      </c>
      <c r="F2324">
        <v>301385.88</v>
      </c>
      <c r="G2324">
        <v>0</v>
      </c>
      <c r="H2324">
        <v>0</v>
      </c>
      <c r="I2324">
        <v>0</v>
      </c>
      <c r="J2324">
        <v>0</v>
      </c>
      <c r="K2324">
        <v>0</v>
      </c>
      <c r="L2324">
        <v>45000000</v>
      </c>
      <c r="M2324">
        <v>45000000</v>
      </c>
      <c r="N2324">
        <v>45000000</v>
      </c>
      <c r="O2324">
        <v>45000000</v>
      </c>
      <c r="P2324">
        <v>45000000</v>
      </c>
      <c r="Q2324">
        <v>45000000</v>
      </c>
      <c r="R2324" s="14">
        <f>_xlfn.XLOOKUP(Table2[[#This Row],[LoanID]],Table1[G-L ID],Table1[ManagerCode],-99)</f>
        <v>220</v>
      </c>
      <c r="T2324"/>
    </row>
    <row r="2325" spans="1:20" x14ac:dyDescent="0.25">
      <c r="A2325">
        <v>20131231</v>
      </c>
      <c r="B2325">
        <v>2013</v>
      </c>
      <c r="C2325">
        <v>12</v>
      </c>
      <c r="D2325">
        <v>1</v>
      </c>
      <c r="E2325">
        <v>10570</v>
      </c>
      <c r="F2325">
        <v>1084966.67</v>
      </c>
      <c r="G2325">
        <v>0</v>
      </c>
      <c r="H2325">
        <v>0</v>
      </c>
      <c r="I2325">
        <v>0.01</v>
      </c>
      <c r="J2325">
        <v>0</v>
      </c>
      <c r="K2325">
        <v>0</v>
      </c>
      <c r="L2325">
        <v>200267100</v>
      </c>
      <c r="M2325">
        <v>200267100</v>
      </c>
      <c r="N2325">
        <v>200267100</v>
      </c>
      <c r="O2325">
        <v>200267100</v>
      </c>
      <c r="P2325">
        <v>202290000</v>
      </c>
      <c r="Q2325">
        <v>202290000</v>
      </c>
      <c r="R2325" s="14">
        <f>_xlfn.XLOOKUP(Table2[[#This Row],[LoanID]],Table1[G-L ID],Table1[ManagerCode],-99)</f>
        <v>103</v>
      </c>
      <c r="T2325"/>
    </row>
    <row r="2326" spans="1:20" x14ac:dyDescent="0.25">
      <c r="A2326">
        <v>20131231</v>
      </c>
      <c r="B2326">
        <v>2013</v>
      </c>
      <c r="C2326">
        <v>12</v>
      </c>
      <c r="D2326">
        <v>1</v>
      </c>
      <c r="E2326">
        <v>10591</v>
      </c>
      <c r="F2326">
        <v>218902.24</v>
      </c>
      <c r="G2326">
        <v>0</v>
      </c>
      <c r="H2326">
        <v>0</v>
      </c>
      <c r="I2326">
        <v>0</v>
      </c>
      <c r="J2326">
        <v>0</v>
      </c>
      <c r="K2326">
        <v>66571.210000000006</v>
      </c>
      <c r="L2326">
        <v>25783734.969999999</v>
      </c>
      <c r="M2326">
        <v>25717163.760000002</v>
      </c>
      <c r="N2326">
        <v>25783734.969999999</v>
      </c>
      <c r="O2326">
        <v>25717163.760000002</v>
      </c>
      <c r="P2326">
        <v>25783734.969999999</v>
      </c>
      <c r="Q2326">
        <v>25717163.760000002</v>
      </c>
      <c r="R2326" s="14">
        <f>_xlfn.XLOOKUP(Table2[[#This Row],[LoanID]],Table1[G-L ID],Table1[ManagerCode],-99)</f>
        <v>220</v>
      </c>
      <c r="T2326"/>
    </row>
    <row r="2327" spans="1:20" x14ac:dyDescent="0.25">
      <c r="A2327">
        <v>20131231</v>
      </c>
      <c r="B2327">
        <v>2013</v>
      </c>
      <c r="C2327">
        <v>12</v>
      </c>
      <c r="D2327">
        <v>1</v>
      </c>
      <c r="E2327">
        <v>10592</v>
      </c>
      <c r="F2327">
        <v>363191.79</v>
      </c>
      <c r="G2327">
        <v>0</v>
      </c>
      <c r="H2327">
        <v>0</v>
      </c>
      <c r="I2327">
        <v>0</v>
      </c>
      <c r="J2327">
        <v>0</v>
      </c>
      <c r="K2327">
        <v>98271.79</v>
      </c>
      <c r="L2327">
        <v>38061704.030000001</v>
      </c>
      <c r="M2327">
        <v>37963432.240000002</v>
      </c>
      <c r="N2327">
        <v>38061704.030000001</v>
      </c>
      <c r="O2327">
        <v>37963432.240000002</v>
      </c>
      <c r="P2327">
        <v>38061704.030000001</v>
      </c>
      <c r="Q2327">
        <v>37963432.240000002</v>
      </c>
      <c r="R2327" s="14">
        <f>_xlfn.XLOOKUP(Table2[[#This Row],[LoanID]],Table1[G-L ID],Table1[ManagerCode],-99)</f>
        <v>220</v>
      </c>
      <c r="T2327"/>
    </row>
    <row r="2328" spans="1:20" x14ac:dyDescent="0.25">
      <c r="A2328">
        <v>20131231</v>
      </c>
      <c r="B2328">
        <v>2013</v>
      </c>
      <c r="C2328">
        <v>12</v>
      </c>
      <c r="D2328">
        <v>1</v>
      </c>
      <c r="E2328">
        <v>10640</v>
      </c>
      <c r="F2328">
        <v>98119.55</v>
      </c>
      <c r="G2328">
        <v>0</v>
      </c>
      <c r="H2328">
        <v>0</v>
      </c>
      <c r="I2328">
        <v>0</v>
      </c>
      <c r="J2328">
        <v>0</v>
      </c>
      <c r="K2328">
        <v>0</v>
      </c>
      <c r="L2328">
        <v>11812500</v>
      </c>
      <c r="M2328">
        <v>11812500</v>
      </c>
      <c r="N2328">
        <v>11812500</v>
      </c>
      <c r="O2328">
        <v>11812500</v>
      </c>
      <c r="P2328">
        <v>11812500</v>
      </c>
      <c r="Q2328">
        <v>11812500</v>
      </c>
      <c r="R2328" s="14">
        <f>_xlfn.XLOOKUP(Table2[[#This Row],[LoanID]],Table1[G-L ID],Table1[ManagerCode],-99)</f>
        <v>220</v>
      </c>
      <c r="T2328"/>
    </row>
    <row r="2329" spans="1:20" x14ac:dyDescent="0.25">
      <c r="A2329">
        <v>20131231</v>
      </c>
      <c r="B2329">
        <v>2013</v>
      </c>
      <c r="C2329">
        <v>12</v>
      </c>
      <c r="D2329">
        <v>1</v>
      </c>
      <c r="E2329">
        <v>10660</v>
      </c>
      <c r="F2329">
        <v>154541.67000000001</v>
      </c>
      <c r="G2329">
        <v>0</v>
      </c>
      <c r="H2329">
        <v>0</v>
      </c>
      <c r="I2329">
        <v>0</v>
      </c>
      <c r="J2329">
        <v>0</v>
      </c>
      <c r="K2329">
        <v>0</v>
      </c>
      <c r="L2329">
        <v>25000000</v>
      </c>
      <c r="M2329">
        <v>25000000</v>
      </c>
      <c r="N2329">
        <v>25000000</v>
      </c>
      <c r="O2329">
        <v>25000000</v>
      </c>
      <c r="P2329">
        <v>25000000</v>
      </c>
      <c r="Q2329">
        <v>25000000</v>
      </c>
      <c r="R2329" s="14">
        <f>_xlfn.XLOOKUP(Table2[[#This Row],[LoanID]],Table1[G-L ID],Table1[ManagerCode],-99)</f>
        <v>119</v>
      </c>
      <c r="T2329"/>
    </row>
    <row r="2330" spans="1:20" x14ac:dyDescent="0.25">
      <c r="A2330">
        <v>20131231</v>
      </c>
      <c r="B2330">
        <v>2013</v>
      </c>
      <c r="C2330">
        <v>12</v>
      </c>
      <c r="D2330">
        <v>1</v>
      </c>
      <c r="E2330">
        <v>10690</v>
      </c>
      <c r="F2330">
        <v>90204.74</v>
      </c>
      <c r="G2330">
        <v>24484.39</v>
      </c>
      <c r="H2330">
        <v>0</v>
      </c>
      <c r="I2330">
        <v>0</v>
      </c>
      <c r="J2330">
        <v>-571705.76</v>
      </c>
      <c r="K2330">
        <v>0</v>
      </c>
      <c r="L2330">
        <v>15255733.27</v>
      </c>
      <c r="M2330">
        <v>15851923.42</v>
      </c>
      <c r="N2330">
        <v>15255733.27</v>
      </c>
      <c r="O2330">
        <v>15851923.42</v>
      </c>
      <c r="P2330">
        <v>15255733.27</v>
      </c>
      <c r="Q2330">
        <v>15851923.42</v>
      </c>
      <c r="R2330" s="14">
        <f>_xlfn.XLOOKUP(Table2[[#This Row],[LoanID]],Table1[G-L ID],Table1[ManagerCode],-99)</f>
        <v>183</v>
      </c>
      <c r="T2330"/>
    </row>
    <row r="2331" spans="1:20" x14ac:dyDescent="0.25">
      <c r="A2331">
        <v>20131231</v>
      </c>
      <c r="B2331">
        <v>2013</v>
      </c>
      <c r="C2331">
        <v>12</v>
      </c>
      <c r="D2331">
        <v>1</v>
      </c>
      <c r="E2331">
        <v>10720</v>
      </c>
      <c r="F2331">
        <v>125000</v>
      </c>
      <c r="G2331">
        <v>88427.54</v>
      </c>
      <c r="H2331">
        <v>0</v>
      </c>
      <c r="I2331">
        <v>0</v>
      </c>
      <c r="J2331">
        <v>0</v>
      </c>
      <c r="K2331">
        <v>0</v>
      </c>
      <c r="L2331">
        <v>16523422.449999999</v>
      </c>
      <c r="M2331">
        <v>18320000</v>
      </c>
      <c r="N2331">
        <v>16523422.449999999</v>
      </c>
      <c r="O2331">
        <v>18320000</v>
      </c>
      <c r="P2331">
        <v>16523422.449999999</v>
      </c>
      <c r="Q2331">
        <v>16611849.99</v>
      </c>
      <c r="R2331" s="14">
        <f>_xlfn.XLOOKUP(Table2[[#This Row],[LoanID]],Table1[G-L ID],Table1[ManagerCode],-99)</f>
        <v>220</v>
      </c>
      <c r="T2331"/>
    </row>
    <row r="2332" spans="1:20" x14ac:dyDescent="0.25">
      <c r="A2332">
        <v>20131231</v>
      </c>
      <c r="B2332">
        <v>2013</v>
      </c>
      <c r="C2332">
        <v>12</v>
      </c>
      <c r="D2332">
        <v>1</v>
      </c>
      <c r="E2332">
        <v>10780</v>
      </c>
      <c r="F2332">
        <v>301645</v>
      </c>
      <c r="G2332">
        <v>0</v>
      </c>
      <c r="H2332">
        <v>0</v>
      </c>
      <c r="I2332">
        <v>0</v>
      </c>
      <c r="J2332">
        <v>0</v>
      </c>
      <c r="K2332">
        <v>0</v>
      </c>
      <c r="L2332">
        <v>43000000</v>
      </c>
      <c r="M2332">
        <v>43000000</v>
      </c>
      <c r="N2332">
        <v>43000000</v>
      </c>
      <c r="O2332">
        <v>43000000</v>
      </c>
      <c r="P2332">
        <v>43000000</v>
      </c>
      <c r="Q2332">
        <v>43000000</v>
      </c>
      <c r="R2332" s="14">
        <f>_xlfn.XLOOKUP(Table2[[#This Row],[LoanID]],Table1[G-L ID],Table1[ManagerCode],-99)</f>
        <v>220</v>
      </c>
      <c r="T2332"/>
    </row>
    <row r="2333" spans="1:20" x14ac:dyDescent="0.25">
      <c r="A2333">
        <v>20131231</v>
      </c>
      <c r="B2333">
        <v>2013</v>
      </c>
      <c r="C2333">
        <v>12</v>
      </c>
      <c r="D2333">
        <v>1</v>
      </c>
      <c r="E2333">
        <v>10820</v>
      </c>
      <c r="F2333">
        <v>169395.27</v>
      </c>
      <c r="G2333">
        <v>0</v>
      </c>
      <c r="H2333">
        <v>0</v>
      </c>
      <c r="I2333">
        <v>0</v>
      </c>
      <c r="J2333">
        <v>0</v>
      </c>
      <c r="K2333">
        <v>0</v>
      </c>
      <c r="L2333">
        <v>21397297</v>
      </c>
      <c r="M2333">
        <v>21397297</v>
      </c>
      <c r="N2333">
        <v>21397297</v>
      </c>
      <c r="O2333">
        <v>21397297</v>
      </c>
      <c r="P2333">
        <v>21397297</v>
      </c>
      <c r="Q2333">
        <v>21397297</v>
      </c>
      <c r="R2333" s="14">
        <f>_xlfn.XLOOKUP(Table2[[#This Row],[LoanID]],Table1[G-L ID],Table1[ManagerCode],-99)</f>
        <v>220</v>
      </c>
      <c r="T2333"/>
    </row>
    <row r="2334" spans="1:20" x14ac:dyDescent="0.25">
      <c r="A2334">
        <v>20131231</v>
      </c>
      <c r="B2334">
        <v>2013</v>
      </c>
      <c r="C2334">
        <v>12</v>
      </c>
      <c r="D2334">
        <v>1</v>
      </c>
      <c r="E2334">
        <v>10830</v>
      </c>
      <c r="F2334">
        <v>55271.17</v>
      </c>
      <c r="G2334">
        <v>0</v>
      </c>
      <c r="H2334">
        <v>0</v>
      </c>
      <c r="I2334">
        <v>0</v>
      </c>
      <c r="J2334">
        <v>0</v>
      </c>
      <c r="K2334">
        <v>0</v>
      </c>
      <c r="L2334">
        <v>6981622</v>
      </c>
      <c r="M2334">
        <v>6981622</v>
      </c>
      <c r="N2334">
        <v>6981622</v>
      </c>
      <c r="O2334">
        <v>6981622</v>
      </c>
      <c r="P2334">
        <v>6981622</v>
      </c>
      <c r="Q2334">
        <v>6981622</v>
      </c>
      <c r="R2334" s="14">
        <f>_xlfn.XLOOKUP(Table2[[#This Row],[LoanID]],Table1[G-L ID],Table1[ManagerCode],-99)</f>
        <v>220</v>
      </c>
      <c r="T2334"/>
    </row>
    <row r="2335" spans="1:20" x14ac:dyDescent="0.25">
      <c r="A2335">
        <v>20131231</v>
      </c>
      <c r="B2335">
        <v>2013</v>
      </c>
      <c r="C2335">
        <v>12</v>
      </c>
      <c r="D2335">
        <v>1</v>
      </c>
      <c r="E2335">
        <v>10840</v>
      </c>
      <c r="F2335">
        <v>100614.41</v>
      </c>
      <c r="G2335">
        <v>0</v>
      </c>
      <c r="H2335">
        <v>0</v>
      </c>
      <c r="I2335">
        <v>0</v>
      </c>
      <c r="J2335">
        <v>0</v>
      </c>
      <c r="K2335">
        <v>0</v>
      </c>
      <c r="L2335">
        <v>12709189</v>
      </c>
      <c r="M2335">
        <v>12709189</v>
      </c>
      <c r="N2335">
        <v>12709189</v>
      </c>
      <c r="O2335">
        <v>12709189</v>
      </c>
      <c r="P2335">
        <v>12709189</v>
      </c>
      <c r="Q2335">
        <v>12709189</v>
      </c>
      <c r="R2335" s="14">
        <f>_xlfn.XLOOKUP(Table2[[#This Row],[LoanID]],Table1[G-L ID],Table1[ManagerCode],-99)</f>
        <v>220</v>
      </c>
      <c r="T2335"/>
    </row>
    <row r="2336" spans="1:20" x14ac:dyDescent="0.25">
      <c r="A2336">
        <v>20131231</v>
      </c>
      <c r="B2336">
        <v>2013</v>
      </c>
      <c r="C2336">
        <v>12</v>
      </c>
      <c r="D2336">
        <v>1</v>
      </c>
      <c r="E2336">
        <v>10850</v>
      </c>
      <c r="F2336">
        <v>106969.15</v>
      </c>
      <c r="G2336">
        <v>0</v>
      </c>
      <c r="H2336">
        <v>0</v>
      </c>
      <c r="I2336">
        <v>0</v>
      </c>
      <c r="J2336">
        <v>0</v>
      </c>
      <c r="K2336">
        <v>0</v>
      </c>
      <c r="L2336">
        <v>13511892</v>
      </c>
      <c r="M2336">
        <v>13511892</v>
      </c>
      <c r="N2336">
        <v>13511892</v>
      </c>
      <c r="O2336">
        <v>13511892</v>
      </c>
      <c r="P2336">
        <v>13511892</v>
      </c>
      <c r="Q2336">
        <v>13511892</v>
      </c>
      <c r="R2336" s="14">
        <f>_xlfn.XLOOKUP(Table2[[#This Row],[LoanID]],Table1[G-L ID],Table1[ManagerCode],-99)</f>
        <v>220</v>
      </c>
      <c r="T2336"/>
    </row>
    <row r="2337" spans="1:20" x14ac:dyDescent="0.25">
      <c r="A2337">
        <v>20131231</v>
      </c>
      <c r="B2337">
        <v>2013</v>
      </c>
      <c r="C2337">
        <v>12</v>
      </c>
      <c r="D2337">
        <v>1</v>
      </c>
      <c r="E2337">
        <v>10880</v>
      </c>
      <c r="F2337">
        <v>16127990.01</v>
      </c>
      <c r="G2337">
        <v>0</v>
      </c>
      <c r="H2337">
        <v>0</v>
      </c>
      <c r="I2337">
        <v>0</v>
      </c>
      <c r="J2337">
        <v>0</v>
      </c>
      <c r="K2337">
        <v>201744599.09999999</v>
      </c>
      <c r="L2337">
        <v>199727153.09999999</v>
      </c>
      <c r="M2337">
        <v>0</v>
      </c>
      <c r="N2337">
        <v>199727153.09999999</v>
      </c>
      <c r="O2337">
        <v>0</v>
      </c>
      <c r="P2337">
        <v>201744599.09999999</v>
      </c>
      <c r="Q2337">
        <v>0</v>
      </c>
      <c r="R2337" s="14">
        <f>_xlfn.XLOOKUP(Table2[[#This Row],[LoanID]],Table1[G-L ID],Table1[ManagerCode],-99)</f>
        <v>103</v>
      </c>
      <c r="T2337"/>
    </row>
    <row r="2338" spans="1:20" x14ac:dyDescent="0.25">
      <c r="A2338">
        <v>20131231</v>
      </c>
      <c r="B2338">
        <v>2013</v>
      </c>
      <c r="C2338">
        <v>12</v>
      </c>
      <c r="D2338">
        <v>1</v>
      </c>
      <c r="E2338">
        <v>10900</v>
      </c>
      <c r="F2338">
        <v>78447.59</v>
      </c>
      <c r="G2338">
        <v>0</v>
      </c>
      <c r="H2338">
        <v>0</v>
      </c>
      <c r="I2338">
        <v>0</v>
      </c>
      <c r="J2338">
        <v>0</v>
      </c>
      <c r="K2338">
        <v>5169.47</v>
      </c>
      <c r="L2338">
        <v>8130022.9199999999</v>
      </c>
      <c r="M2338">
        <v>8125111.9199999999</v>
      </c>
      <c r="N2338">
        <v>8130022.9199999999</v>
      </c>
      <c r="O2338">
        <v>8125111.9199999999</v>
      </c>
      <c r="P2338">
        <v>8557918.8399999999</v>
      </c>
      <c r="Q2338">
        <v>8552749.3699999992</v>
      </c>
      <c r="R2338" s="14">
        <f>_xlfn.XLOOKUP(Table2[[#This Row],[LoanID]],Table1[G-L ID],Table1[ManagerCode],-99)</f>
        <v>103</v>
      </c>
      <c r="T2338"/>
    </row>
    <row r="2339" spans="1:20" x14ac:dyDescent="0.25">
      <c r="A2339">
        <v>20131231</v>
      </c>
      <c r="B2339">
        <v>2013</v>
      </c>
      <c r="C2339">
        <v>12</v>
      </c>
      <c r="D2339">
        <v>1</v>
      </c>
      <c r="E2339">
        <v>10920</v>
      </c>
      <c r="F2339">
        <v>114583.33</v>
      </c>
      <c r="G2339">
        <v>0</v>
      </c>
      <c r="H2339">
        <v>0</v>
      </c>
      <c r="I2339">
        <v>0</v>
      </c>
      <c r="J2339">
        <v>0</v>
      </c>
      <c r="K2339">
        <v>0</v>
      </c>
      <c r="L2339">
        <v>11000000</v>
      </c>
      <c r="M2339">
        <v>11000000</v>
      </c>
      <c r="N2339">
        <v>11000000</v>
      </c>
      <c r="O2339">
        <v>11000000</v>
      </c>
      <c r="P2339">
        <v>11000000</v>
      </c>
      <c r="Q2339">
        <v>11000000</v>
      </c>
      <c r="R2339" s="14">
        <f>_xlfn.XLOOKUP(Table2[[#This Row],[LoanID]],Table1[G-L ID],Table1[ManagerCode],-99)</f>
        <v>183</v>
      </c>
      <c r="T2339"/>
    </row>
    <row r="2340" spans="1:20" x14ac:dyDescent="0.25">
      <c r="A2340">
        <v>20131231</v>
      </c>
      <c r="B2340">
        <v>2013</v>
      </c>
      <c r="C2340">
        <v>12</v>
      </c>
      <c r="D2340">
        <v>1</v>
      </c>
      <c r="E2340">
        <v>10980</v>
      </c>
      <c r="F2340">
        <v>191661.8</v>
      </c>
      <c r="G2340">
        <v>18302.5</v>
      </c>
      <c r="H2340">
        <v>0</v>
      </c>
      <c r="I2340">
        <v>0</v>
      </c>
      <c r="J2340">
        <v>-38221</v>
      </c>
      <c r="K2340">
        <v>0</v>
      </c>
      <c r="L2340">
        <v>28976841.780000001</v>
      </c>
      <c r="M2340">
        <v>29033365.280000001</v>
      </c>
      <c r="N2340">
        <v>28976841.780000001</v>
      </c>
      <c r="O2340">
        <v>29033365.280000001</v>
      </c>
      <c r="P2340">
        <v>28976841.780000001</v>
      </c>
      <c r="Q2340">
        <v>29033365.280000001</v>
      </c>
      <c r="R2340" s="14">
        <f>_xlfn.XLOOKUP(Table2[[#This Row],[LoanID]],Table1[G-L ID],Table1[ManagerCode],-99)</f>
        <v>183</v>
      </c>
      <c r="T2340"/>
    </row>
    <row r="2341" spans="1:20" x14ac:dyDescent="0.25">
      <c r="A2341">
        <v>20131231</v>
      </c>
      <c r="B2341">
        <v>2013</v>
      </c>
      <c r="C2341">
        <v>12</v>
      </c>
      <c r="D2341">
        <v>1</v>
      </c>
      <c r="E2341">
        <v>11020</v>
      </c>
      <c r="F2341">
        <v>108500</v>
      </c>
      <c r="G2341">
        <v>0</v>
      </c>
      <c r="H2341">
        <v>0</v>
      </c>
      <c r="I2341">
        <v>0</v>
      </c>
      <c r="J2341">
        <v>0</v>
      </c>
      <c r="K2341">
        <v>0</v>
      </c>
      <c r="L2341">
        <v>12000000</v>
      </c>
      <c r="M2341">
        <v>12000000</v>
      </c>
      <c r="N2341">
        <v>12000000</v>
      </c>
      <c r="O2341">
        <v>12000000</v>
      </c>
      <c r="P2341">
        <v>12000000</v>
      </c>
      <c r="Q2341">
        <v>12000000</v>
      </c>
      <c r="R2341" s="14">
        <f>_xlfn.XLOOKUP(Table2[[#This Row],[LoanID]],Table1[G-L ID],Table1[ManagerCode],-99)</f>
        <v>119</v>
      </c>
      <c r="T2341"/>
    </row>
    <row r="2342" spans="1:20" x14ac:dyDescent="0.25">
      <c r="A2342">
        <v>20131231</v>
      </c>
      <c r="B2342">
        <v>2013</v>
      </c>
      <c r="C2342">
        <v>12</v>
      </c>
      <c r="D2342">
        <v>1</v>
      </c>
      <c r="E2342">
        <v>11050</v>
      </c>
      <c r="F2342">
        <v>292638</v>
      </c>
      <c r="G2342">
        <v>0</v>
      </c>
      <c r="H2342">
        <v>0</v>
      </c>
      <c r="I2342">
        <v>0</v>
      </c>
      <c r="J2342">
        <v>-1508482.03</v>
      </c>
      <c r="K2342">
        <v>0</v>
      </c>
      <c r="L2342">
        <v>26991518.010000002</v>
      </c>
      <c r="M2342">
        <v>29200000</v>
      </c>
      <c r="N2342">
        <v>26991518.010000002</v>
      </c>
      <c r="O2342">
        <v>29200000</v>
      </c>
      <c r="P2342">
        <v>26991518.010000002</v>
      </c>
      <c r="Q2342">
        <v>28500000</v>
      </c>
      <c r="R2342" s="14">
        <f>_xlfn.XLOOKUP(Table2[[#This Row],[LoanID]],Table1[G-L ID],Table1[ManagerCode],-99)</f>
        <v>220</v>
      </c>
      <c r="T2342"/>
    </row>
    <row r="2343" spans="1:20" x14ac:dyDescent="0.25">
      <c r="A2343">
        <v>20131231</v>
      </c>
      <c r="B2343">
        <v>2013</v>
      </c>
      <c r="C2343">
        <v>12</v>
      </c>
      <c r="D2343">
        <v>1</v>
      </c>
      <c r="E2343">
        <v>11070</v>
      </c>
      <c r="F2343">
        <v>144445.56</v>
      </c>
      <c r="G2343">
        <v>0</v>
      </c>
      <c r="H2343">
        <v>0</v>
      </c>
      <c r="I2343">
        <v>0</v>
      </c>
      <c r="J2343">
        <v>0</v>
      </c>
      <c r="K2343">
        <v>17917.27</v>
      </c>
      <c r="L2343">
        <v>13864158.109999999</v>
      </c>
      <c r="M2343">
        <v>13849824.279999999</v>
      </c>
      <c r="N2343">
        <v>13864158.109999999</v>
      </c>
      <c r="O2343">
        <v>13849824.279999999</v>
      </c>
      <c r="P2343">
        <v>17330180.309999999</v>
      </c>
      <c r="Q2343">
        <v>17312263.039999999</v>
      </c>
      <c r="R2343" s="14">
        <f>_xlfn.XLOOKUP(Table2[[#This Row],[LoanID]],Table1[G-L ID],Table1[ManagerCode],-99)</f>
        <v>103</v>
      </c>
      <c r="T2343"/>
    </row>
    <row r="2344" spans="1:20" x14ac:dyDescent="0.25">
      <c r="A2344">
        <v>20131231</v>
      </c>
      <c r="B2344">
        <v>2013</v>
      </c>
      <c r="C2344">
        <v>12</v>
      </c>
      <c r="D2344">
        <v>1</v>
      </c>
      <c r="E2344">
        <v>11110</v>
      </c>
      <c r="F2344">
        <v>101321.48</v>
      </c>
      <c r="G2344">
        <v>0</v>
      </c>
      <c r="H2344">
        <v>0</v>
      </c>
      <c r="I2344">
        <v>0</v>
      </c>
      <c r="J2344">
        <v>0</v>
      </c>
      <c r="K2344">
        <v>0</v>
      </c>
      <c r="L2344">
        <v>14049953.140000001</v>
      </c>
      <c r="M2344">
        <v>14049953.140000001</v>
      </c>
      <c r="N2344">
        <v>14049953.140000001</v>
      </c>
      <c r="O2344">
        <v>14049953.140000001</v>
      </c>
      <c r="P2344">
        <v>14049953.140000001</v>
      </c>
      <c r="Q2344">
        <v>14049953.140000001</v>
      </c>
      <c r="R2344" s="14">
        <f>_xlfn.XLOOKUP(Table2[[#This Row],[LoanID]],Table1[G-L ID],Table1[ManagerCode],-99)</f>
        <v>183</v>
      </c>
      <c r="T2344"/>
    </row>
    <row r="2345" spans="1:20" x14ac:dyDescent="0.25">
      <c r="A2345">
        <v>20131231</v>
      </c>
      <c r="B2345">
        <v>2013</v>
      </c>
      <c r="C2345">
        <v>12</v>
      </c>
      <c r="D2345">
        <v>1</v>
      </c>
      <c r="E2345">
        <v>11140</v>
      </c>
      <c r="F2345">
        <v>576975.13</v>
      </c>
      <c r="G2345">
        <v>0</v>
      </c>
      <c r="H2345">
        <v>0</v>
      </c>
      <c r="I2345">
        <v>0</v>
      </c>
      <c r="J2345">
        <v>0</v>
      </c>
      <c r="K2345">
        <v>0</v>
      </c>
      <c r="L2345">
        <v>71711993.859999999</v>
      </c>
      <c r="M2345">
        <v>71711993.859999999</v>
      </c>
      <c r="N2345">
        <v>71711993.859999999</v>
      </c>
      <c r="O2345">
        <v>71711993.859999999</v>
      </c>
      <c r="P2345">
        <v>72436285</v>
      </c>
      <c r="Q2345">
        <v>72436285</v>
      </c>
      <c r="R2345" s="14">
        <f>_xlfn.XLOOKUP(Table2[[#This Row],[LoanID]],Table1[G-L ID],Table1[ManagerCode],-99)</f>
        <v>103</v>
      </c>
      <c r="T2345"/>
    </row>
    <row r="2346" spans="1:20" x14ac:dyDescent="0.25">
      <c r="A2346">
        <v>20131231</v>
      </c>
      <c r="B2346">
        <v>2013</v>
      </c>
      <c r="C2346">
        <v>12</v>
      </c>
      <c r="D2346">
        <v>1</v>
      </c>
      <c r="E2346">
        <v>11190</v>
      </c>
      <c r="F2346">
        <v>1300310.33</v>
      </c>
      <c r="G2346">
        <v>0</v>
      </c>
      <c r="H2346">
        <v>0</v>
      </c>
      <c r="I2346">
        <v>-1666.42</v>
      </c>
      <c r="J2346">
        <v>0</v>
      </c>
      <c r="K2346">
        <v>0</v>
      </c>
      <c r="L2346">
        <v>197971123.19999999</v>
      </c>
      <c r="M2346">
        <v>197971123.19999999</v>
      </c>
      <c r="N2346">
        <v>197971123.19999999</v>
      </c>
      <c r="O2346">
        <v>197971123.19999999</v>
      </c>
      <c r="P2346">
        <v>199970831.5</v>
      </c>
      <c r="Q2346">
        <v>199970831.5</v>
      </c>
      <c r="R2346" s="14">
        <f>_xlfn.XLOOKUP(Table2[[#This Row],[LoanID]],Table1[G-L ID],Table1[ManagerCode],-99)</f>
        <v>103</v>
      </c>
      <c r="T2346"/>
    </row>
    <row r="2347" spans="1:20" x14ac:dyDescent="0.25">
      <c r="A2347">
        <v>20131231</v>
      </c>
      <c r="B2347">
        <v>2013</v>
      </c>
      <c r="C2347">
        <v>12</v>
      </c>
      <c r="D2347">
        <v>1</v>
      </c>
      <c r="E2347">
        <v>11220</v>
      </c>
      <c r="F2347">
        <v>301875</v>
      </c>
      <c r="G2347">
        <v>0</v>
      </c>
      <c r="H2347">
        <v>0</v>
      </c>
      <c r="I2347">
        <v>0</v>
      </c>
      <c r="J2347">
        <v>0</v>
      </c>
      <c r="K2347">
        <v>0</v>
      </c>
      <c r="L2347">
        <v>34500000</v>
      </c>
      <c r="M2347">
        <v>34500000</v>
      </c>
      <c r="N2347">
        <v>34500000</v>
      </c>
      <c r="O2347">
        <v>34500000</v>
      </c>
      <c r="P2347">
        <v>34500000</v>
      </c>
      <c r="Q2347">
        <v>34500000</v>
      </c>
      <c r="R2347" s="14">
        <f>_xlfn.XLOOKUP(Table2[[#This Row],[LoanID]],Table1[G-L ID],Table1[ManagerCode],-99)</f>
        <v>220</v>
      </c>
      <c r="T2347"/>
    </row>
    <row r="2348" spans="1:20" x14ac:dyDescent="0.25">
      <c r="A2348">
        <v>20131231</v>
      </c>
      <c r="B2348">
        <v>2013</v>
      </c>
      <c r="C2348">
        <v>12</v>
      </c>
      <c r="D2348">
        <v>1</v>
      </c>
      <c r="E2348">
        <v>11230</v>
      </c>
      <c r="F2348">
        <v>233590.67</v>
      </c>
      <c r="G2348">
        <v>0</v>
      </c>
      <c r="H2348">
        <v>0</v>
      </c>
      <c r="I2348">
        <v>0</v>
      </c>
      <c r="J2348">
        <v>0</v>
      </c>
      <c r="K2348">
        <v>0</v>
      </c>
      <c r="L2348">
        <v>175436664</v>
      </c>
      <c r="M2348">
        <v>185183145.30000001</v>
      </c>
      <c r="N2348">
        <v>175436664</v>
      </c>
      <c r="O2348">
        <v>185183145.30000001</v>
      </c>
      <c r="P2348">
        <v>194929626.59999999</v>
      </c>
      <c r="Q2348">
        <v>194929626.59999999</v>
      </c>
      <c r="R2348" s="14">
        <f>_xlfn.XLOOKUP(Table2[[#This Row],[LoanID]],Table1[G-L ID],Table1[ManagerCode],-99)</f>
        <v>103</v>
      </c>
      <c r="T2348"/>
    </row>
    <row r="2349" spans="1:20" x14ac:dyDescent="0.25">
      <c r="A2349">
        <v>20131231</v>
      </c>
      <c r="B2349">
        <v>2013</v>
      </c>
      <c r="C2349">
        <v>12</v>
      </c>
      <c r="D2349">
        <v>1</v>
      </c>
      <c r="E2349">
        <v>11320</v>
      </c>
      <c r="F2349">
        <v>94665.43</v>
      </c>
      <c r="G2349">
        <v>0</v>
      </c>
      <c r="H2349">
        <v>0</v>
      </c>
      <c r="I2349">
        <v>0</v>
      </c>
      <c r="J2349">
        <v>0</v>
      </c>
      <c r="K2349">
        <v>0</v>
      </c>
      <c r="L2349">
        <v>12000000</v>
      </c>
      <c r="M2349">
        <v>12000000</v>
      </c>
      <c r="N2349">
        <v>12000000</v>
      </c>
      <c r="O2349">
        <v>12000000</v>
      </c>
      <c r="P2349">
        <v>12000000</v>
      </c>
      <c r="Q2349">
        <v>12000000</v>
      </c>
      <c r="R2349" s="14">
        <f>_xlfn.XLOOKUP(Table2[[#This Row],[LoanID]],Table1[G-L ID],Table1[ManagerCode],-99)</f>
        <v>119</v>
      </c>
      <c r="T2349"/>
    </row>
    <row r="2350" spans="1:20" x14ac:dyDescent="0.25">
      <c r="A2350">
        <v>20131231</v>
      </c>
      <c r="B2350">
        <v>2013</v>
      </c>
      <c r="C2350">
        <v>12</v>
      </c>
      <c r="D2350">
        <v>1</v>
      </c>
      <c r="E2350">
        <v>11340</v>
      </c>
      <c r="F2350">
        <v>291666.67</v>
      </c>
      <c r="G2350">
        <v>0</v>
      </c>
      <c r="H2350">
        <v>0</v>
      </c>
      <c r="I2350">
        <v>0</v>
      </c>
      <c r="J2350">
        <v>0</v>
      </c>
      <c r="K2350">
        <v>0</v>
      </c>
      <c r="L2350">
        <v>49500000</v>
      </c>
      <c r="M2350">
        <v>49500000</v>
      </c>
      <c r="N2350">
        <v>49500000</v>
      </c>
      <c r="O2350">
        <v>49500000</v>
      </c>
      <c r="P2350">
        <v>50000000</v>
      </c>
      <c r="Q2350">
        <v>50000000</v>
      </c>
      <c r="R2350" s="14">
        <f>_xlfn.XLOOKUP(Table2[[#This Row],[LoanID]],Table1[G-L ID],Table1[ManagerCode],-99)</f>
        <v>103</v>
      </c>
      <c r="T2350"/>
    </row>
    <row r="2351" spans="1:20" x14ac:dyDescent="0.25">
      <c r="A2351">
        <v>20131231</v>
      </c>
      <c r="B2351">
        <v>2013</v>
      </c>
      <c r="C2351">
        <v>12</v>
      </c>
      <c r="D2351">
        <v>1</v>
      </c>
      <c r="E2351">
        <v>11350</v>
      </c>
      <c r="F2351">
        <v>320833.33</v>
      </c>
      <c r="G2351">
        <v>0</v>
      </c>
      <c r="H2351">
        <v>0</v>
      </c>
      <c r="I2351">
        <v>0</v>
      </c>
      <c r="J2351">
        <v>0</v>
      </c>
      <c r="K2351">
        <v>0</v>
      </c>
      <c r="L2351">
        <v>54449945.549999997</v>
      </c>
      <c r="M2351">
        <v>54449945.549999997</v>
      </c>
      <c r="N2351">
        <v>54449945.549999997</v>
      </c>
      <c r="O2351">
        <v>54449945.549999997</v>
      </c>
      <c r="P2351">
        <v>55000000</v>
      </c>
      <c r="Q2351">
        <v>55000000</v>
      </c>
      <c r="R2351" s="14">
        <f>_xlfn.XLOOKUP(Table2[[#This Row],[LoanID]],Table1[G-L ID],Table1[ManagerCode],-99)</f>
        <v>103</v>
      </c>
      <c r="T2351"/>
    </row>
    <row r="2352" spans="1:20" x14ac:dyDescent="0.25">
      <c r="A2352">
        <v>20131231</v>
      </c>
      <c r="B2352">
        <v>2013</v>
      </c>
      <c r="C2352">
        <v>12</v>
      </c>
      <c r="D2352">
        <v>1</v>
      </c>
      <c r="E2352">
        <v>11370</v>
      </c>
      <c r="F2352">
        <v>0</v>
      </c>
      <c r="G2352">
        <v>0</v>
      </c>
      <c r="H2352">
        <v>240594.88</v>
      </c>
      <c r="I2352">
        <v>0</v>
      </c>
      <c r="J2352">
        <v>-19025000</v>
      </c>
      <c r="K2352">
        <v>0</v>
      </c>
      <c r="L2352">
        <v>0</v>
      </c>
      <c r="M2352">
        <v>19025000</v>
      </c>
      <c r="N2352">
        <v>0</v>
      </c>
      <c r="O2352">
        <v>19025000</v>
      </c>
      <c r="P2352">
        <v>0</v>
      </c>
      <c r="Q2352">
        <v>19025000</v>
      </c>
      <c r="R2352" s="14">
        <f>_xlfn.XLOOKUP(Table2[[#This Row],[LoanID]],Table1[G-L ID],Table1[ManagerCode],-99)</f>
        <v>119</v>
      </c>
      <c r="T2352"/>
    </row>
    <row r="2353" spans="1:20" x14ac:dyDescent="0.25">
      <c r="A2353">
        <v>20131231</v>
      </c>
      <c r="B2353">
        <v>2013</v>
      </c>
      <c r="C2353">
        <v>12</v>
      </c>
      <c r="D2353">
        <v>1</v>
      </c>
      <c r="E2353">
        <v>11390</v>
      </c>
      <c r="F2353">
        <v>201041.67</v>
      </c>
      <c r="G2353">
        <v>0</v>
      </c>
      <c r="H2353">
        <v>0</v>
      </c>
      <c r="I2353">
        <v>0</v>
      </c>
      <c r="J2353">
        <v>0</v>
      </c>
      <c r="K2353">
        <v>0</v>
      </c>
      <c r="L2353">
        <v>25000000</v>
      </c>
      <c r="M2353">
        <v>25000000</v>
      </c>
      <c r="N2353">
        <v>25000000</v>
      </c>
      <c r="O2353">
        <v>25000000</v>
      </c>
      <c r="P2353">
        <v>25000000</v>
      </c>
      <c r="Q2353">
        <v>25000000</v>
      </c>
      <c r="R2353" s="14">
        <f>_xlfn.XLOOKUP(Table2[[#This Row],[LoanID]],Table1[G-L ID],Table1[ManagerCode],-99)</f>
        <v>220</v>
      </c>
      <c r="T2353"/>
    </row>
    <row r="2354" spans="1:20" x14ac:dyDescent="0.25">
      <c r="A2354">
        <v>20131231</v>
      </c>
      <c r="B2354">
        <v>2013</v>
      </c>
      <c r="C2354">
        <v>12</v>
      </c>
      <c r="D2354">
        <v>1</v>
      </c>
      <c r="E2354">
        <v>11460</v>
      </c>
      <c r="F2354">
        <v>57448.95</v>
      </c>
      <c r="G2354">
        <v>126642.37</v>
      </c>
      <c r="H2354">
        <v>0</v>
      </c>
      <c r="I2354">
        <v>0</v>
      </c>
      <c r="J2354">
        <v>-8273054.9800000004</v>
      </c>
      <c r="K2354">
        <v>0</v>
      </c>
      <c r="L2354">
        <v>17481565.170000002</v>
      </c>
      <c r="M2354">
        <v>25881262.52</v>
      </c>
      <c r="N2354">
        <v>17481565.170000002</v>
      </c>
      <c r="O2354">
        <v>25881262.52</v>
      </c>
      <c r="P2354">
        <v>17481565.170000002</v>
      </c>
      <c r="Q2354">
        <v>25881262.52</v>
      </c>
      <c r="R2354" s="14">
        <f>_xlfn.XLOOKUP(Table2[[#This Row],[LoanID]],Table1[G-L ID],Table1[ManagerCode],-99)</f>
        <v>183</v>
      </c>
      <c r="T2354"/>
    </row>
    <row r="2355" spans="1:20" x14ac:dyDescent="0.25">
      <c r="A2355">
        <v>20131231</v>
      </c>
      <c r="B2355">
        <v>2013</v>
      </c>
      <c r="C2355">
        <v>12</v>
      </c>
      <c r="D2355">
        <v>1</v>
      </c>
      <c r="E2355">
        <v>11540</v>
      </c>
      <c r="F2355">
        <v>76400</v>
      </c>
      <c r="G2355">
        <v>0</v>
      </c>
      <c r="H2355">
        <v>0</v>
      </c>
      <c r="I2355">
        <v>0</v>
      </c>
      <c r="J2355">
        <v>0</v>
      </c>
      <c r="K2355">
        <v>0</v>
      </c>
      <c r="L2355">
        <v>10000000</v>
      </c>
      <c r="M2355">
        <v>10000000</v>
      </c>
      <c r="N2355">
        <v>10000000</v>
      </c>
      <c r="O2355">
        <v>10000000</v>
      </c>
      <c r="P2355">
        <v>10000000</v>
      </c>
      <c r="Q2355">
        <v>10000000</v>
      </c>
      <c r="R2355" s="14">
        <f>_xlfn.XLOOKUP(Table2[[#This Row],[LoanID]],Table1[G-L ID],Table1[ManagerCode],-99)</f>
        <v>220</v>
      </c>
      <c r="T2355"/>
    </row>
    <row r="2356" spans="1:20" x14ac:dyDescent="0.25">
      <c r="A2356">
        <v>20131231</v>
      </c>
      <c r="B2356">
        <v>2013</v>
      </c>
      <c r="C2356">
        <v>12</v>
      </c>
      <c r="D2356">
        <v>1</v>
      </c>
      <c r="E2356">
        <v>11550</v>
      </c>
      <c r="F2356">
        <v>0</v>
      </c>
      <c r="G2356">
        <v>0</v>
      </c>
      <c r="H2356">
        <v>0</v>
      </c>
      <c r="I2356">
        <v>0</v>
      </c>
      <c r="J2356">
        <v>-23000000</v>
      </c>
      <c r="K2356">
        <v>0</v>
      </c>
      <c r="L2356">
        <v>0</v>
      </c>
      <c r="M2356">
        <v>21850065.550000001</v>
      </c>
      <c r="N2356">
        <v>0</v>
      </c>
      <c r="O2356">
        <v>21850065.550000001</v>
      </c>
      <c r="P2356">
        <v>0</v>
      </c>
      <c r="Q2356">
        <v>23000000</v>
      </c>
      <c r="R2356" s="14">
        <f>_xlfn.XLOOKUP(Table2[[#This Row],[LoanID]],Table1[G-L ID],Table1[ManagerCode],-99)</f>
        <v>103</v>
      </c>
      <c r="T2356"/>
    </row>
    <row r="2357" spans="1:20" x14ac:dyDescent="0.25">
      <c r="A2357">
        <v>20131231</v>
      </c>
      <c r="B2357">
        <v>2013</v>
      </c>
      <c r="C2357">
        <v>12</v>
      </c>
      <c r="D2357">
        <v>1</v>
      </c>
      <c r="E2357">
        <v>11560</v>
      </c>
      <c r="F2357">
        <v>71649.210000000006</v>
      </c>
      <c r="G2357">
        <v>155945.68</v>
      </c>
      <c r="H2357">
        <v>0</v>
      </c>
      <c r="I2357">
        <v>0</v>
      </c>
      <c r="J2357">
        <v>0</v>
      </c>
      <c r="K2357">
        <v>0</v>
      </c>
      <c r="L2357">
        <v>13861838.57</v>
      </c>
      <c r="M2357">
        <v>14017784.25</v>
      </c>
      <c r="N2357">
        <v>13861838.57</v>
      </c>
      <c r="O2357">
        <v>14017784.25</v>
      </c>
      <c r="P2357">
        <v>13861838.57</v>
      </c>
      <c r="Q2357">
        <v>14017784.25</v>
      </c>
      <c r="R2357" s="14">
        <f>_xlfn.XLOOKUP(Table2[[#This Row],[LoanID]],Table1[G-L ID],Table1[ManagerCode],-99)</f>
        <v>183</v>
      </c>
      <c r="T2357"/>
    </row>
    <row r="2358" spans="1:20" x14ac:dyDescent="0.25">
      <c r="A2358">
        <v>20131231</v>
      </c>
      <c r="B2358">
        <v>2013</v>
      </c>
      <c r="C2358">
        <v>12</v>
      </c>
      <c r="D2358">
        <v>1</v>
      </c>
      <c r="E2358">
        <v>11580</v>
      </c>
      <c r="F2358">
        <v>111600</v>
      </c>
      <c r="G2358">
        <v>0</v>
      </c>
      <c r="H2358">
        <v>0</v>
      </c>
      <c r="I2358">
        <v>0</v>
      </c>
      <c r="J2358">
        <v>0</v>
      </c>
      <c r="K2358">
        <v>0</v>
      </c>
      <c r="L2358">
        <v>15000000</v>
      </c>
      <c r="M2358">
        <v>15000000</v>
      </c>
      <c r="N2358">
        <v>15000000</v>
      </c>
      <c r="O2358">
        <v>15000000</v>
      </c>
      <c r="P2358">
        <v>15000000</v>
      </c>
      <c r="Q2358">
        <v>15000000</v>
      </c>
      <c r="R2358" s="14">
        <f>_xlfn.XLOOKUP(Table2[[#This Row],[LoanID]],Table1[G-L ID],Table1[ManagerCode],-99)</f>
        <v>119</v>
      </c>
      <c r="T2358"/>
    </row>
    <row r="2359" spans="1:20" x14ac:dyDescent="0.25">
      <c r="A2359">
        <v>20131231</v>
      </c>
      <c r="B2359">
        <v>2013</v>
      </c>
      <c r="C2359">
        <v>12</v>
      </c>
      <c r="D2359">
        <v>1</v>
      </c>
      <c r="E2359">
        <v>11620</v>
      </c>
      <c r="F2359">
        <v>79913.740000000005</v>
      </c>
      <c r="G2359">
        <v>33654.06</v>
      </c>
      <c r="H2359">
        <v>0</v>
      </c>
      <c r="I2359">
        <v>0</v>
      </c>
      <c r="J2359">
        <v>-78592.17</v>
      </c>
      <c r="K2359">
        <v>0</v>
      </c>
      <c r="L2359">
        <v>9794520.8699999992</v>
      </c>
      <c r="M2359">
        <v>9906767.0999999996</v>
      </c>
      <c r="N2359">
        <v>9794520.8699999992</v>
      </c>
      <c r="O2359">
        <v>9906767.0999999996</v>
      </c>
      <c r="P2359">
        <v>9794520.8699999992</v>
      </c>
      <c r="Q2359">
        <v>9906767.0999999996</v>
      </c>
      <c r="R2359" s="14">
        <f>_xlfn.XLOOKUP(Table2[[#This Row],[LoanID]],Table1[G-L ID],Table1[ManagerCode],-99)</f>
        <v>183</v>
      </c>
      <c r="T2359"/>
    </row>
    <row r="2360" spans="1:20" x14ac:dyDescent="0.25">
      <c r="A2360">
        <v>20131231</v>
      </c>
      <c r="B2360">
        <v>2013</v>
      </c>
      <c r="C2360">
        <v>12</v>
      </c>
      <c r="D2360">
        <v>1</v>
      </c>
      <c r="E2360">
        <v>11650</v>
      </c>
      <c r="F2360">
        <v>75000</v>
      </c>
      <c r="G2360">
        <v>0</v>
      </c>
      <c r="H2360">
        <v>0</v>
      </c>
      <c r="I2360">
        <v>0</v>
      </c>
      <c r="J2360">
        <v>0</v>
      </c>
      <c r="K2360">
        <v>0</v>
      </c>
      <c r="L2360">
        <v>9600000</v>
      </c>
      <c r="M2360">
        <v>9600000</v>
      </c>
      <c r="N2360">
        <v>9600000</v>
      </c>
      <c r="O2360">
        <v>9600000</v>
      </c>
      <c r="P2360">
        <v>12000000</v>
      </c>
      <c r="Q2360">
        <v>12000000</v>
      </c>
      <c r="R2360" s="14">
        <f>_xlfn.XLOOKUP(Table2[[#This Row],[LoanID]],Table1[G-L ID],Table1[ManagerCode],-99)</f>
        <v>103</v>
      </c>
      <c r="T2360"/>
    </row>
    <row r="2361" spans="1:20" x14ac:dyDescent="0.25">
      <c r="A2361">
        <v>20131231</v>
      </c>
      <c r="B2361">
        <v>2013</v>
      </c>
      <c r="C2361">
        <v>12</v>
      </c>
      <c r="D2361">
        <v>1</v>
      </c>
      <c r="E2361">
        <v>11670</v>
      </c>
      <c r="F2361">
        <v>188333.33</v>
      </c>
      <c r="G2361">
        <v>162032.54</v>
      </c>
      <c r="H2361">
        <v>0</v>
      </c>
      <c r="I2361">
        <v>0</v>
      </c>
      <c r="J2361">
        <v>0</v>
      </c>
      <c r="K2361">
        <v>0</v>
      </c>
      <c r="L2361">
        <v>30031359.949999999</v>
      </c>
      <c r="M2361">
        <v>30193392.489999998</v>
      </c>
      <c r="N2361">
        <v>30031359.949999999</v>
      </c>
      <c r="O2361">
        <v>30193392.489999998</v>
      </c>
      <c r="P2361">
        <v>30031359.949999999</v>
      </c>
      <c r="Q2361">
        <v>30193392.489999998</v>
      </c>
      <c r="R2361" s="14">
        <f>_xlfn.XLOOKUP(Table2[[#This Row],[LoanID]],Table1[G-L ID],Table1[ManagerCode],-99)</f>
        <v>183</v>
      </c>
      <c r="T2361"/>
    </row>
    <row r="2362" spans="1:20" x14ac:dyDescent="0.25">
      <c r="A2362">
        <v>20131231</v>
      </c>
      <c r="B2362">
        <v>2013</v>
      </c>
      <c r="C2362">
        <v>12</v>
      </c>
      <c r="D2362">
        <v>1</v>
      </c>
      <c r="E2362">
        <v>11680</v>
      </c>
      <c r="F2362">
        <v>57126.559999999998</v>
      </c>
      <c r="G2362">
        <v>0</v>
      </c>
      <c r="H2362">
        <v>0</v>
      </c>
      <c r="I2362">
        <v>0</v>
      </c>
      <c r="J2362">
        <v>0</v>
      </c>
      <c r="K2362">
        <v>0</v>
      </c>
      <c r="L2362">
        <v>6600000</v>
      </c>
      <c r="M2362">
        <v>6600000</v>
      </c>
      <c r="N2362">
        <v>6600000</v>
      </c>
      <c r="O2362">
        <v>6600000</v>
      </c>
      <c r="P2362">
        <v>6600000</v>
      </c>
      <c r="Q2362">
        <v>6600000</v>
      </c>
      <c r="R2362" s="14">
        <f>_xlfn.XLOOKUP(Table2[[#This Row],[LoanID]],Table1[G-L ID],Table1[ManagerCode],-99)</f>
        <v>183</v>
      </c>
      <c r="T2362"/>
    </row>
    <row r="2363" spans="1:20" x14ac:dyDescent="0.25">
      <c r="A2363">
        <v>20131231</v>
      </c>
      <c r="B2363">
        <v>2013</v>
      </c>
      <c r="C2363">
        <v>12</v>
      </c>
      <c r="D2363">
        <v>1</v>
      </c>
      <c r="E2363">
        <v>11710</v>
      </c>
      <c r="F2363">
        <v>99902.67</v>
      </c>
      <c r="G2363">
        <v>0</v>
      </c>
      <c r="H2363">
        <v>0</v>
      </c>
      <c r="I2363">
        <v>0</v>
      </c>
      <c r="J2363">
        <v>0</v>
      </c>
      <c r="K2363">
        <v>0</v>
      </c>
      <c r="L2363">
        <v>12000000</v>
      </c>
      <c r="M2363">
        <v>12000000</v>
      </c>
      <c r="N2363">
        <v>12000000</v>
      </c>
      <c r="O2363">
        <v>12000000</v>
      </c>
      <c r="P2363">
        <v>12000000</v>
      </c>
      <c r="Q2363">
        <v>12000000</v>
      </c>
      <c r="R2363" s="14">
        <f>_xlfn.XLOOKUP(Table2[[#This Row],[LoanID]],Table1[G-L ID],Table1[ManagerCode],-99)</f>
        <v>119</v>
      </c>
      <c r="T2363"/>
    </row>
    <row r="2364" spans="1:20" x14ac:dyDescent="0.25">
      <c r="A2364">
        <v>20131231</v>
      </c>
      <c r="B2364">
        <v>2013</v>
      </c>
      <c r="C2364">
        <v>12</v>
      </c>
      <c r="D2364">
        <v>1</v>
      </c>
      <c r="E2364">
        <v>11740</v>
      </c>
      <c r="F2364">
        <v>170500</v>
      </c>
      <c r="G2364">
        <v>0</v>
      </c>
      <c r="H2364">
        <v>0</v>
      </c>
      <c r="I2364">
        <v>0</v>
      </c>
      <c r="J2364">
        <v>0</v>
      </c>
      <c r="K2364">
        <v>0</v>
      </c>
      <c r="L2364">
        <v>18600000</v>
      </c>
      <c r="M2364">
        <v>18600000</v>
      </c>
      <c r="N2364">
        <v>18600000</v>
      </c>
      <c r="O2364">
        <v>18600000</v>
      </c>
      <c r="P2364">
        <v>18600000</v>
      </c>
      <c r="Q2364">
        <v>18600000</v>
      </c>
      <c r="R2364" s="14">
        <f>_xlfn.XLOOKUP(Table2[[#This Row],[LoanID]],Table1[G-L ID],Table1[ManagerCode],-99)</f>
        <v>183</v>
      </c>
      <c r="T2364"/>
    </row>
    <row r="2365" spans="1:20" x14ac:dyDescent="0.25">
      <c r="A2365">
        <v>20131231</v>
      </c>
      <c r="B2365">
        <v>2013</v>
      </c>
      <c r="C2365">
        <v>12</v>
      </c>
      <c r="D2365">
        <v>1</v>
      </c>
      <c r="E2365">
        <v>11770</v>
      </c>
      <c r="F2365">
        <v>315494.64</v>
      </c>
      <c r="G2365">
        <v>0</v>
      </c>
      <c r="H2365">
        <v>0</v>
      </c>
      <c r="I2365">
        <v>0</v>
      </c>
      <c r="J2365">
        <v>0</v>
      </c>
      <c r="K2365">
        <v>19674558.5</v>
      </c>
      <c r="L2365">
        <v>44980700.740000002</v>
      </c>
      <c r="M2365">
        <v>25306142.239999998</v>
      </c>
      <c r="N2365">
        <v>44980700.740000002</v>
      </c>
      <c r="O2365">
        <v>25306142.239999998</v>
      </c>
      <c r="P2365">
        <v>44980700.740000002</v>
      </c>
      <c r="Q2365">
        <v>25306142.239999998</v>
      </c>
      <c r="R2365" s="14">
        <f>_xlfn.XLOOKUP(Table2[[#This Row],[LoanID]],Table1[G-L ID],Table1[ManagerCode],-99)</f>
        <v>119</v>
      </c>
      <c r="T2365"/>
    </row>
    <row r="2366" spans="1:20" x14ac:dyDescent="0.25">
      <c r="A2366">
        <v>20131231</v>
      </c>
      <c r="B2366">
        <v>2013</v>
      </c>
      <c r="C2366">
        <v>12</v>
      </c>
      <c r="D2366">
        <v>1</v>
      </c>
      <c r="E2366">
        <v>11780</v>
      </c>
      <c r="F2366">
        <v>118877.92</v>
      </c>
      <c r="G2366">
        <v>0</v>
      </c>
      <c r="H2366">
        <v>0</v>
      </c>
      <c r="I2366">
        <v>-1079.76</v>
      </c>
      <c r="J2366">
        <v>0</v>
      </c>
      <c r="K2366">
        <v>0</v>
      </c>
      <c r="L2366">
        <v>37997821</v>
      </c>
      <c r="M2366">
        <v>42883514</v>
      </c>
      <c r="N2366">
        <v>37997821</v>
      </c>
      <c r="O2366">
        <v>42883514</v>
      </c>
      <c r="P2366">
        <v>64786446.619999997</v>
      </c>
      <c r="Q2366">
        <v>64786446.619999997</v>
      </c>
      <c r="R2366" s="14">
        <f>_xlfn.XLOOKUP(Table2[[#This Row],[LoanID]],Table1[G-L ID],Table1[ManagerCode],-99)</f>
        <v>103</v>
      </c>
      <c r="T2366"/>
    </row>
    <row r="2367" spans="1:20" x14ac:dyDescent="0.25">
      <c r="A2367">
        <v>20131231</v>
      </c>
      <c r="B2367">
        <v>2013</v>
      </c>
      <c r="C2367">
        <v>12</v>
      </c>
      <c r="D2367">
        <v>1</v>
      </c>
      <c r="E2367">
        <v>11810</v>
      </c>
      <c r="F2367">
        <v>50234.19</v>
      </c>
      <c r="G2367">
        <v>0</v>
      </c>
      <c r="H2367">
        <v>0</v>
      </c>
      <c r="I2367">
        <v>0</v>
      </c>
      <c r="J2367">
        <v>0</v>
      </c>
      <c r="K2367">
        <v>10623.9</v>
      </c>
      <c r="L2367">
        <v>9719578.8399999999</v>
      </c>
      <c r="M2367">
        <v>9709061.1799999997</v>
      </c>
      <c r="N2367">
        <v>9719578.8399999999</v>
      </c>
      <c r="O2367">
        <v>9709061.1799999997</v>
      </c>
      <c r="P2367">
        <v>9817756.4000000004</v>
      </c>
      <c r="Q2367">
        <v>9807132.5</v>
      </c>
      <c r="R2367" s="14">
        <f>_xlfn.XLOOKUP(Table2[[#This Row],[LoanID]],Table1[G-L ID],Table1[ManagerCode],-99)</f>
        <v>103</v>
      </c>
      <c r="T2367"/>
    </row>
    <row r="2368" spans="1:20" x14ac:dyDescent="0.25">
      <c r="A2368">
        <v>20131231</v>
      </c>
      <c r="B2368">
        <v>2013</v>
      </c>
      <c r="C2368">
        <v>12</v>
      </c>
      <c r="D2368">
        <v>1</v>
      </c>
      <c r="E2368">
        <v>11840</v>
      </c>
      <c r="F2368">
        <v>52501.8</v>
      </c>
      <c r="G2368">
        <v>86210.17</v>
      </c>
      <c r="H2368">
        <v>0</v>
      </c>
      <c r="I2368">
        <v>0</v>
      </c>
      <c r="J2368">
        <v>0</v>
      </c>
      <c r="K2368">
        <v>0</v>
      </c>
      <c r="L2368">
        <v>11479611.5</v>
      </c>
      <c r="M2368">
        <v>11617712</v>
      </c>
      <c r="N2368">
        <v>11479611.5</v>
      </c>
      <c r="O2368">
        <v>11617712</v>
      </c>
      <c r="P2368">
        <v>11479611.5</v>
      </c>
      <c r="Q2368">
        <v>11565821.67</v>
      </c>
      <c r="R2368" s="14">
        <f>_xlfn.XLOOKUP(Table2[[#This Row],[LoanID]],Table1[G-L ID],Table1[ManagerCode],-99)</f>
        <v>183</v>
      </c>
      <c r="T2368"/>
    </row>
    <row r="2369" spans="1:20" x14ac:dyDescent="0.25">
      <c r="A2369">
        <v>20131231</v>
      </c>
      <c r="B2369">
        <v>2013</v>
      </c>
      <c r="C2369">
        <v>12</v>
      </c>
      <c r="D2369">
        <v>1</v>
      </c>
      <c r="E2369">
        <v>11880</v>
      </c>
      <c r="F2369">
        <v>68149.03</v>
      </c>
      <c r="G2369">
        <v>109817.73</v>
      </c>
      <c r="H2369">
        <v>0</v>
      </c>
      <c r="I2369">
        <v>0</v>
      </c>
      <c r="J2369">
        <v>-3700197.83</v>
      </c>
      <c r="K2369">
        <v>0</v>
      </c>
      <c r="L2369">
        <v>14615388.439999999</v>
      </c>
      <c r="M2369">
        <v>18425404</v>
      </c>
      <c r="N2369">
        <v>14615388.439999999</v>
      </c>
      <c r="O2369">
        <v>18425404</v>
      </c>
      <c r="P2369">
        <v>14615388.439999999</v>
      </c>
      <c r="Q2369">
        <v>18425404</v>
      </c>
      <c r="R2369" s="14">
        <f>_xlfn.XLOOKUP(Table2[[#This Row],[LoanID]],Table1[G-L ID],Table1[ManagerCode],-99)</f>
        <v>183</v>
      </c>
      <c r="T2369"/>
    </row>
    <row r="2370" spans="1:20" x14ac:dyDescent="0.25">
      <c r="A2370">
        <v>20131231</v>
      </c>
      <c r="B2370">
        <v>2013</v>
      </c>
      <c r="C2370">
        <v>12</v>
      </c>
      <c r="D2370">
        <v>1</v>
      </c>
      <c r="E2370">
        <v>11920</v>
      </c>
      <c r="F2370">
        <v>15597.48</v>
      </c>
      <c r="G2370">
        <v>0</v>
      </c>
      <c r="H2370">
        <v>122500</v>
      </c>
      <c r="I2370">
        <v>0</v>
      </c>
      <c r="J2370">
        <v>-12250000</v>
      </c>
      <c r="K2370">
        <v>0</v>
      </c>
      <c r="L2370">
        <v>0</v>
      </c>
      <c r="M2370">
        <v>12250000</v>
      </c>
      <c r="N2370">
        <v>0</v>
      </c>
      <c r="O2370">
        <v>12250000</v>
      </c>
      <c r="P2370">
        <v>0</v>
      </c>
      <c r="Q2370">
        <v>12250000</v>
      </c>
      <c r="R2370" s="14">
        <f>_xlfn.XLOOKUP(Table2[[#This Row],[LoanID]],Table1[G-L ID],Table1[ManagerCode],-99)</f>
        <v>220</v>
      </c>
      <c r="T2370"/>
    </row>
    <row r="2371" spans="1:20" x14ac:dyDescent="0.25">
      <c r="A2371">
        <v>20131231</v>
      </c>
      <c r="B2371">
        <v>2013</v>
      </c>
      <c r="C2371">
        <v>12</v>
      </c>
      <c r="D2371">
        <v>1</v>
      </c>
      <c r="E2371">
        <v>11970</v>
      </c>
      <c r="F2371">
        <v>84991.22</v>
      </c>
      <c r="G2371">
        <v>53234.02</v>
      </c>
      <c r="H2371">
        <v>0</v>
      </c>
      <c r="I2371">
        <v>0</v>
      </c>
      <c r="J2371">
        <v>0</v>
      </c>
      <c r="K2371">
        <v>0</v>
      </c>
      <c r="L2371">
        <v>9215601.5999999996</v>
      </c>
      <c r="M2371">
        <v>9268835.6199999992</v>
      </c>
      <c r="N2371">
        <v>9215601.5999999996</v>
      </c>
      <c r="O2371">
        <v>9268835.6199999992</v>
      </c>
      <c r="P2371">
        <v>9215601.5999999996</v>
      </c>
      <c r="Q2371">
        <v>9268835.6199999992</v>
      </c>
      <c r="R2371" s="14">
        <f>_xlfn.XLOOKUP(Table2[[#This Row],[LoanID]],Table1[G-L ID],Table1[ManagerCode],-99)</f>
        <v>183</v>
      </c>
      <c r="T2371"/>
    </row>
    <row r="2372" spans="1:20" x14ac:dyDescent="0.25">
      <c r="A2372">
        <v>20131231</v>
      </c>
      <c r="B2372">
        <v>2013</v>
      </c>
      <c r="C2372">
        <v>12</v>
      </c>
      <c r="D2372">
        <v>1</v>
      </c>
      <c r="E2372">
        <v>12020</v>
      </c>
      <c r="F2372">
        <v>65000</v>
      </c>
      <c r="G2372">
        <v>2031.25</v>
      </c>
      <c r="H2372">
        <v>0</v>
      </c>
      <c r="I2372">
        <v>0</v>
      </c>
      <c r="J2372">
        <v>0</v>
      </c>
      <c r="K2372">
        <v>0</v>
      </c>
      <c r="L2372">
        <v>10351239.67</v>
      </c>
      <c r="M2372">
        <v>10353270.92</v>
      </c>
      <c r="N2372">
        <v>10351239.67</v>
      </c>
      <c r="O2372">
        <v>10353270.92</v>
      </c>
      <c r="P2372">
        <v>10351239.67</v>
      </c>
      <c r="Q2372">
        <v>10353270.92</v>
      </c>
      <c r="R2372" s="14">
        <f>_xlfn.XLOOKUP(Table2[[#This Row],[LoanID]],Table1[G-L ID],Table1[ManagerCode],-99)</f>
        <v>183</v>
      </c>
      <c r="T2372"/>
    </row>
    <row r="2373" spans="1:20" x14ac:dyDescent="0.25">
      <c r="A2373">
        <v>20131231</v>
      </c>
      <c r="B2373">
        <v>2013</v>
      </c>
      <c r="C2373">
        <v>12</v>
      </c>
      <c r="D2373">
        <v>1</v>
      </c>
      <c r="E2373">
        <v>12080</v>
      </c>
      <c r="F2373">
        <v>305735.28000000003</v>
      </c>
      <c r="G2373">
        <v>0</v>
      </c>
      <c r="H2373">
        <v>0</v>
      </c>
      <c r="I2373">
        <v>0</v>
      </c>
      <c r="J2373">
        <v>0</v>
      </c>
      <c r="K2373">
        <v>0</v>
      </c>
      <c r="L2373">
        <v>38822088.439999998</v>
      </c>
      <c r="M2373">
        <v>38822088.439999998</v>
      </c>
      <c r="N2373">
        <v>38822088.439999998</v>
      </c>
      <c r="O2373">
        <v>38822088.439999998</v>
      </c>
      <c r="P2373">
        <v>38822088.439999998</v>
      </c>
      <c r="Q2373">
        <v>38822088.439999998</v>
      </c>
      <c r="R2373" s="14">
        <f>_xlfn.XLOOKUP(Table2[[#This Row],[LoanID]],Table1[G-L ID],Table1[ManagerCode],-99)</f>
        <v>119</v>
      </c>
      <c r="T2373"/>
    </row>
    <row r="2374" spans="1:20" x14ac:dyDescent="0.25">
      <c r="A2374">
        <v>20131231</v>
      </c>
      <c r="B2374">
        <v>2013</v>
      </c>
      <c r="C2374">
        <v>12</v>
      </c>
      <c r="D2374">
        <v>1</v>
      </c>
      <c r="E2374">
        <v>12090</v>
      </c>
      <c r="F2374">
        <v>158491.67000000001</v>
      </c>
      <c r="G2374">
        <v>0</v>
      </c>
      <c r="H2374">
        <v>0</v>
      </c>
      <c r="I2374">
        <v>0</v>
      </c>
      <c r="J2374">
        <v>0</v>
      </c>
      <c r="K2374">
        <v>0</v>
      </c>
      <c r="L2374">
        <v>17500000</v>
      </c>
      <c r="M2374">
        <v>17500000</v>
      </c>
      <c r="N2374">
        <v>17500000</v>
      </c>
      <c r="O2374">
        <v>17500000</v>
      </c>
      <c r="P2374">
        <v>17500000</v>
      </c>
      <c r="Q2374">
        <v>17500000</v>
      </c>
      <c r="R2374" s="14">
        <f>_xlfn.XLOOKUP(Table2[[#This Row],[LoanID]],Table1[G-L ID],Table1[ManagerCode],-99)</f>
        <v>220</v>
      </c>
      <c r="T2374"/>
    </row>
    <row r="2375" spans="1:20" x14ac:dyDescent="0.25">
      <c r="A2375">
        <v>20131231</v>
      </c>
      <c r="B2375">
        <v>2013</v>
      </c>
      <c r="C2375">
        <v>12</v>
      </c>
      <c r="D2375">
        <v>1</v>
      </c>
      <c r="E2375">
        <v>12100</v>
      </c>
      <c r="F2375">
        <v>47327.12</v>
      </c>
      <c r="G2375">
        <v>76913</v>
      </c>
      <c r="H2375">
        <v>0</v>
      </c>
      <c r="I2375">
        <v>0</v>
      </c>
      <c r="J2375">
        <v>-47327.12</v>
      </c>
      <c r="K2375">
        <v>0</v>
      </c>
      <c r="L2375">
        <v>10267065.369999999</v>
      </c>
      <c r="M2375">
        <v>10391305.49</v>
      </c>
      <c r="N2375">
        <v>10267065.369999999</v>
      </c>
      <c r="O2375">
        <v>10391305.49</v>
      </c>
      <c r="P2375">
        <v>10267065.369999999</v>
      </c>
      <c r="Q2375">
        <v>10391305.49</v>
      </c>
      <c r="R2375" s="14">
        <f>_xlfn.XLOOKUP(Table2[[#This Row],[LoanID]],Table1[G-L ID],Table1[ManagerCode],-99)</f>
        <v>183</v>
      </c>
      <c r="T2375"/>
    </row>
    <row r="2376" spans="1:20" x14ac:dyDescent="0.25">
      <c r="A2376">
        <v>20131231</v>
      </c>
      <c r="B2376">
        <v>2013</v>
      </c>
      <c r="C2376">
        <v>12</v>
      </c>
      <c r="D2376">
        <v>1</v>
      </c>
      <c r="E2376">
        <v>12130</v>
      </c>
      <c r="F2376">
        <v>118113.05</v>
      </c>
      <c r="G2376">
        <v>0</v>
      </c>
      <c r="H2376">
        <v>0</v>
      </c>
      <c r="I2376">
        <v>0</v>
      </c>
      <c r="J2376">
        <v>-1556383.16</v>
      </c>
      <c r="K2376">
        <v>0</v>
      </c>
      <c r="L2376">
        <v>15541768</v>
      </c>
      <c r="M2376">
        <v>17098151.16</v>
      </c>
      <c r="N2376">
        <v>15541768</v>
      </c>
      <c r="O2376">
        <v>17098151.16</v>
      </c>
      <c r="P2376">
        <v>15541768</v>
      </c>
      <c r="Q2376">
        <v>17098151.16</v>
      </c>
      <c r="R2376" s="14">
        <f>_xlfn.XLOOKUP(Table2[[#This Row],[LoanID]],Table1[G-L ID],Table1[ManagerCode],-99)</f>
        <v>183</v>
      </c>
      <c r="T2376"/>
    </row>
    <row r="2377" spans="1:20" x14ac:dyDescent="0.25">
      <c r="A2377">
        <v>20131231</v>
      </c>
      <c r="B2377">
        <v>2013</v>
      </c>
      <c r="C2377">
        <v>12</v>
      </c>
      <c r="D2377">
        <v>1</v>
      </c>
      <c r="E2377">
        <v>12190</v>
      </c>
      <c r="F2377">
        <v>283197.92</v>
      </c>
      <c r="G2377">
        <v>0</v>
      </c>
      <c r="H2377">
        <v>0</v>
      </c>
      <c r="I2377">
        <v>0</v>
      </c>
      <c r="J2377">
        <v>0</v>
      </c>
      <c r="K2377">
        <v>0</v>
      </c>
      <c r="L2377">
        <v>37500000</v>
      </c>
      <c r="M2377">
        <v>37500000</v>
      </c>
      <c r="N2377">
        <v>37500000</v>
      </c>
      <c r="O2377">
        <v>37500000</v>
      </c>
      <c r="P2377">
        <v>37500000</v>
      </c>
      <c r="Q2377">
        <v>37500000</v>
      </c>
      <c r="R2377" s="14">
        <f>_xlfn.XLOOKUP(Table2[[#This Row],[LoanID]],Table1[G-L ID],Table1[ManagerCode],-99)</f>
        <v>220</v>
      </c>
      <c r="T2377"/>
    </row>
    <row r="2378" spans="1:20" x14ac:dyDescent="0.25">
      <c r="A2378">
        <v>20131231</v>
      </c>
      <c r="B2378">
        <v>2013</v>
      </c>
      <c r="C2378">
        <v>12</v>
      </c>
      <c r="D2378">
        <v>1</v>
      </c>
      <c r="E2378">
        <v>12210</v>
      </c>
      <c r="F2378">
        <v>693148.47</v>
      </c>
      <c r="G2378">
        <v>0</v>
      </c>
      <c r="H2378">
        <v>0</v>
      </c>
      <c r="I2378">
        <v>0</v>
      </c>
      <c r="J2378">
        <v>0</v>
      </c>
      <c r="K2378">
        <v>206903.5</v>
      </c>
      <c r="L2378">
        <v>131465611.40000001</v>
      </c>
      <c r="M2378">
        <v>129863417.59999999</v>
      </c>
      <c r="N2378">
        <v>131465611.40000001</v>
      </c>
      <c r="O2378">
        <v>129863417.59999999</v>
      </c>
      <c r="P2378">
        <v>112152539.8</v>
      </c>
      <c r="Q2378">
        <v>111945636.3</v>
      </c>
      <c r="R2378" s="14">
        <f>_xlfn.XLOOKUP(Table2[[#This Row],[LoanID]],Table1[G-L ID],Table1[ManagerCode],-99)</f>
        <v>103</v>
      </c>
      <c r="T2378"/>
    </row>
    <row r="2379" spans="1:20" x14ac:dyDescent="0.25">
      <c r="A2379">
        <v>20131231</v>
      </c>
      <c r="B2379">
        <v>2013</v>
      </c>
      <c r="C2379">
        <v>12</v>
      </c>
      <c r="D2379">
        <v>1</v>
      </c>
      <c r="E2379">
        <v>12230</v>
      </c>
      <c r="F2379">
        <v>286125.98</v>
      </c>
      <c r="G2379">
        <v>0</v>
      </c>
      <c r="H2379">
        <v>0</v>
      </c>
      <c r="I2379">
        <v>0</v>
      </c>
      <c r="J2379">
        <v>-63857.82</v>
      </c>
      <c r="K2379">
        <v>34000001</v>
      </c>
      <c r="L2379">
        <v>54675074</v>
      </c>
      <c r="M2379">
        <v>21843000</v>
      </c>
      <c r="N2379">
        <v>36451872</v>
      </c>
      <c r="O2379">
        <v>3619798</v>
      </c>
      <c r="P2379">
        <v>54675074</v>
      </c>
      <c r="Q2379">
        <v>20738930.82</v>
      </c>
      <c r="R2379" s="14">
        <f>_xlfn.XLOOKUP(Table2[[#This Row],[LoanID]],Table1[G-L ID],Table1[ManagerCode],-99)</f>
        <v>183</v>
      </c>
      <c r="T2379"/>
    </row>
    <row r="2380" spans="1:20" x14ac:dyDescent="0.25">
      <c r="A2380">
        <v>20131231</v>
      </c>
      <c r="B2380">
        <v>2013</v>
      </c>
      <c r="C2380">
        <v>12</v>
      </c>
      <c r="D2380">
        <v>1</v>
      </c>
      <c r="E2380">
        <v>15580</v>
      </c>
      <c r="F2380">
        <v>115472.68</v>
      </c>
      <c r="G2380">
        <v>3785.94</v>
      </c>
      <c r="H2380">
        <v>0</v>
      </c>
      <c r="I2380">
        <v>0</v>
      </c>
      <c r="J2380">
        <v>0</v>
      </c>
      <c r="K2380">
        <v>7928.63</v>
      </c>
      <c r="L2380">
        <v>15095712.84</v>
      </c>
      <c r="M2380">
        <v>15091570.15</v>
      </c>
      <c r="N2380">
        <v>15095712.84</v>
      </c>
      <c r="O2380">
        <v>15091570.15</v>
      </c>
      <c r="P2380">
        <v>15095712.84</v>
      </c>
      <c r="Q2380">
        <v>15091570.15</v>
      </c>
      <c r="R2380" s="14">
        <f>_xlfn.XLOOKUP(Table2[[#This Row],[LoanID]],Table1[G-L ID],Table1[ManagerCode],-99)</f>
        <v>212</v>
      </c>
      <c r="T2380"/>
    </row>
    <row r="2381" spans="1:20" x14ac:dyDescent="0.25">
      <c r="A2381">
        <v>20140131</v>
      </c>
      <c r="B2381">
        <v>2014</v>
      </c>
      <c r="C2381">
        <v>1</v>
      </c>
      <c r="D2381">
        <v>1</v>
      </c>
      <c r="E2381">
        <v>10050</v>
      </c>
      <c r="F2381">
        <v>153981.01999999999</v>
      </c>
      <c r="G2381">
        <v>0</v>
      </c>
      <c r="H2381">
        <v>0</v>
      </c>
      <c r="I2381">
        <v>0</v>
      </c>
      <c r="J2381">
        <v>0</v>
      </c>
      <c r="K2381">
        <v>0</v>
      </c>
      <c r="L2381">
        <v>35379109.600000001</v>
      </c>
      <c r="M2381">
        <v>36683386.039999999</v>
      </c>
      <c r="N2381">
        <v>35379109.600000001</v>
      </c>
      <c r="O2381">
        <v>36683386.039999999</v>
      </c>
      <c r="P2381">
        <v>33333334</v>
      </c>
      <c r="Q2381">
        <v>33333334</v>
      </c>
      <c r="R2381" s="14">
        <f>_xlfn.XLOOKUP(Table2[[#This Row],[LoanID]],Table1[G-L ID],Table1[ManagerCode],-99)</f>
        <v>103</v>
      </c>
      <c r="T2381"/>
    </row>
    <row r="2382" spans="1:20" x14ac:dyDescent="0.25">
      <c r="A2382">
        <v>20140131</v>
      </c>
      <c r="B2382">
        <v>2014</v>
      </c>
      <c r="C2382">
        <v>1</v>
      </c>
      <c r="D2382">
        <v>1</v>
      </c>
      <c r="E2382">
        <v>10060</v>
      </c>
      <c r="F2382">
        <v>120833.33</v>
      </c>
      <c r="G2382">
        <v>0</v>
      </c>
      <c r="H2382">
        <v>0</v>
      </c>
      <c r="I2382">
        <v>0</v>
      </c>
      <c r="J2382">
        <v>0</v>
      </c>
      <c r="K2382">
        <v>0</v>
      </c>
      <c r="L2382">
        <v>19000000</v>
      </c>
      <c r="M2382">
        <v>19000000</v>
      </c>
      <c r="N2382">
        <v>19000000</v>
      </c>
      <c r="O2382">
        <v>19000000</v>
      </c>
      <c r="P2382">
        <v>20000000</v>
      </c>
      <c r="Q2382">
        <v>20000000</v>
      </c>
      <c r="R2382" s="14">
        <f>_xlfn.XLOOKUP(Table2[[#This Row],[LoanID]],Table1[G-L ID],Table1[ManagerCode],-99)</f>
        <v>103</v>
      </c>
      <c r="T2382"/>
    </row>
    <row r="2383" spans="1:20" x14ac:dyDescent="0.25">
      <c r="A2383">
        <v>20140131</v>
      </c>
      <c r="B2383">
        <v>2014</v>
      </c>
      <c r="C2383">
        <v>1</v>
      </c>
      <c r="D2383">
        <v>1</v>
      </c>
      <c r="E2383">
        <v>10080</v>
      </c>
      <c r="F2383">
        <v>351042.71</v>
      </c>
      <c r="G2383">
        <v>0</v>
      </c>
      <c r="H2383">
        <v>0</v>
      </c>
      <c r="I2383">
        <v>-161.46</v>
      </c>
      <c r="J2383">
        <v>0</v>
      </c>
      <c r="K2383">
        <v>0</v>
      </c>
      <c r="L2383">
        <v>77711510.090000004</v>
      </c>
      <c r="M2383">
        <v>77709042.810000002</v>
      </c>
      <c r="N2383">
        <v>77711510.090000004</v>
      </c>
      <c r="O2383">
        <v>77709042.810000002</v>
      </c>
      <c r="P2383">
        <v>75000000</v>
      </c>
      <c r="Q2383">
        <v>75000000</v>
      </c>
      <c r="R2383" s="14">
        <f>_xlfn.XLOOKUP(Table2[[#This Row],[LoanID]],Table1[G-L ID],Table1[ManagerCode],-99)</f>
        <v>103</v>
      </c>
      <c r="T2383"/>
    </row>
    <row r="2384" spans="1:20" x14ac:dyDescent="0.25">
      <c r="A2384">
        <v>20140131</v>
      </c>
      <c r="B2384">
        <v>2014</v>
      </c>
      <c r="C2384">
        <v>1</v>
      </c>
      <c r="D2384">
        <v>1</v>
      </c>
      <c r="E2384">
        <v>10170</v>
      </c>
      <c r="F2384">
        <v>238913.01</v>
      </c>
      <c r="G2384">
        <v>0</v>
      </c>
      <c r="H2384">
        <v>0</v>
      </c>
      <c r="I2384">
        <v>-1144.95</v>
      </c>
      <c r="J2384">
        <v>0</v>
      </c>
      <c r="K2384">
        <v>75306.66</v>
      </c>
      <c r="L2384">
        <v>45752256.399999999</v>
      </c>
      <c r="M2384">
        <v>45553756.799999997</v>
      </c>
      <c r="N2384">
        <v>45752256.399999999</v>
      </c>
      <c r="O2384">
        <v>45553756.799999997</v>
      </c>
      <c r="P2384">
        <v>44320665.899999999</v>
      </c>
      <c r="Q2384">
        <v>44245359.240000002</v>
      </c>
      <c r="R2384" s="14">
        <f>_xlfn.XLOOKUP(Table2[[#This Row],[LoanID]],Table1[G-L ID],Table1[ManagerCode],-99)</f>
        <v>103</v>
      </c>
      <c r="T2384"/>
    </row>
    <row r="2385" spans="1:20" x14ac:dyDescent="0.25">
      <c r="A2385">
        <v>20140131</v>
      </c>
      <c r="B2385">
        <v>2014</v>
      </c>
      <c r="C2385">
        <v>1</v>
      </c>
      <c r="D2385">
        <v>1</v>
      </c>
      <c r="E2385">
        <v>10190</v>
      </c>
      <c r="F2385">
        <v>41666.67</v>
      </c>
      <c r="G2385">
        <v>0</v>
      </c>
      <c r="H2385">
        <v>0</v>
      </c>
      <c r="I2385">
        <v>0</v>
      </c>
      <c r="J2385">
        <v>0</v>
      </c>
      <c r="K2385">
        <v>0</v>
      </c>
      <c r="L2385">
        <v>9500000</v>
      </c>
      <c r="M2385">
        <v>9500000</v>
      </c>
      <c r="N2385">
        <v>9500000</v>
      </c>
      <c r="O2385">
        <v>9500000</v>
      </c>
      <c r="P2385">
        <v>10000000</v>
      </c>
      <c r="Q2385">
        <v>10000000</v>
      </c>
      <c r="R2385" s="14">
        <f>_xlfn.XLOOKUP(Table2[[#This Row],[LoanID]],Table1[G-L ID],Table1[ManagerCode],-99)</f>
        <v>103</v>
      </c>
      <c r="T2385"/>
    </row>
    <row r="2386" spans="1:20" x14ac:dyDescent="0.25">
      <c r="A2386">
        <v>20140131</v>
      </c>
      <c r="B2386">
        <v>2014</v>
      </c>
      <c r="C2386">
        <v>1</v>
      </c>
      <c r="D2386">
        <v>1</v>
      </c>
      <c r="E2386">
        <v>10200</v>
      </c>
      <c r="F2386">
        <v>128541.67</v>
      </c>
      <c r="G2386">
        <v>0</v>
      </c>
      <c r="H2386">
        <v>0</v>
      </c>
      <c r="I2386">
        <v>0</v>
      </c>
      <c r="J2386">
        <v>0</v>
      </c>
      <c r="K2386">
        <v>0</v>
      </c>
      <c r="L2386">
        <v>29307500</v>
      </c>
      <c r="M2386">
        <v>29307500</v>
      </c>
      <c r="N2386">
        <v>29307500</v>
      </c>
      <c r="O2386">
        <v>29307500</v>
      </c>
      <c r="P2386">
        <v>30850000</v>
      </c>
      <c r="Q2386">
        <v>30850000</v>
      </c>
      <c r="R2386" s="14">
        <f>_xlfn.XLOOKUP(Table2[[#This Row],[LoanID]],Table1[G-L ID],Table1[ManagerCode],-99)</f>
        <v>103</v>
      </c>
      <c r="T2386"/>
    </row>
    <row r="2387" spans="1:20" x14ac:dyDescent="0.25">
      <c r="A2387">
        <v>20140131</v>
      </c>
      <c r="B2387">
        <v>2014</v>
      </c>
      <c r="C2387">
        <v>1</v>
      </c>
      <c r="D2387">
        <v>1</v>
      </c>
      <c r="E2387">
        <v>10220</v>
      </c>
      <c r="F2387">
        <v>559722.22</v>
      </c>
      <c r="G2387">
        <v>0</v>
      </c>
      <c r="H2387">
        <v>0</v>
      </c>
      <c r="I2387">
        <v>0</v>
      </c>
      <c r="J2387">
        <v>0</v>
      </c>
      <c r="K2387">
        <v>0</v>
      </c>
      <c r="L2387">
        <v>99000000</v>
      </c>
      <c r="M2387">
        <v>99000000</v>
      </c>
      <c r="N2387">
        <v>99000000</v>
      </c>
      <c r="O2387">
        <v>99000000</v>
      </c>
      <c r="P2387">
        <v>100000000</v>
      </c>
      <c r="Q2387">
        <v>100000000</v>
      </c>
      <c r="R2387" s="14">
        <f>_xlfn.XLOOKUP(Table2[[#This Row],[LoanID]],Table1[G-L ID],Table1[ManagerCode],-99)</f>
        <v>103</v>
      </c>
      <c r="T2387"/>
    </row>
    <row r="2388" spans="1:20" x14ac:dyDescent="0.25">
      <c r="A2388">
        <v>20140131</v>
      </c>
      <c r="B2388">
        <v>2014</v>
      </c>
      <c r="C2388">
        <v>1</v>
      </c>
      <c r="D2388">
        <v>1</v>
      </c>
      <c r="E2388">
        <v>10230</v>
      </c>
      <c r="F2388">
        <v>173845.7</v>
      </c>
      <c r="G2388">
        <v>0</v>
      </c>
      <c r="H2388">
        <v>0</v>
      </c>
      <c r="I2388">
        <v>0</v>
      </c>
      <c r="J2388">
        <v>0</v>
      </c>
      <c r="K2388">
        <v>67752.37</v>
      </c>
      <c r="L2388">
        <v>29404169.140000001</v>
      </c>
      <c r="M2388">
        <v>29339804.399999999</v>
      </c>
      <c r="N2388">
        <v>29404169.140000001</v>
      </c>
      <c r="O2388">
        <v>29339804.399999999</v>
      </c>
      <c r="P2388">
        <v>30951757</v>
      </c>
      <c r="Q2388">
        <v>30884004.629999999</v>
      </c>
      <c r="R2388" s="14">
        <f>_xlfn.XLOOKUP(Table2[[#This Row],[LoanID]],Table1[G-L ID],Table1[ManagerCode],-99)</f>
        <v>103</v>
      </c>
      <c r="T2388"/>
    </row>
    <row r="2389" spans="1:20" x14ac:dyDescent="0.25">
      <c r="A2389">
        <v>20140131</v>
      </c>
      <c r="B2389">
        <v>2014</v>
      </c>
      <c r="C2389">
        <v>1</v>
      </c>
      <c r="D2389">
        <v>1</v>
      </c>
      <c r="E2389">
        <v>10340</v>
      </c>
      <c r="F2389">
        <v>104813.37</v>
      </c>
      <c r="G2389">
        <v>0</v>
      </c>
      <c r="H2389">
        <v>0</v>
      </c>
      <c r="I2389">
        <v>0</v>
      </c>
      <c r="J2389">
        <v>-652473</v>
      </c>
      <c r="K2389">
        <v>0</v>
      </c>
      <c r="L2389">
        <v>11875000</v>
      </c>
      <c r="M2389">
        <v>12527473</v>
      </c>
      <c r="N2389">
        <v>11875000</v>
      </c>
      <c r="O2389">
        <v>12527473</v>
      </c>
      <c r="P2389">
        <v>11875000</v>
      </c>
      <c r="Q2389">
        <v>12527473</v>
      </c>
      <c r="R2389" s="14">
        <f>_xlfn.XLOOKUP(Table2[[#This Row],[LoanID]],Table1[G-L ID],Table1[ManagerCode],-99)</f>
        <v>220</v>
      </c>
      <c r="T2389"/>
    </row>
    <row r="2390" spans="1:20" x14ac:dyDescent="0.25">
      <c r="A2390">
        <v>20140131</v>
      </c>
      <c r="B2390">
        <v>2014</v>
      </c>
      <c r="C2390">
        <v>1</v>
      </c>
      <c r="D2390">
        <v>1</v>
      </c>
      <c r="E2390">
        <v>10390</v>
      </c>
      <c r="F2390">
        <v>235873.29</v>
      </c>
      <c r="G2390">
        <v>0</v>
      </c>
      <c r="H2390">
        <v>0</v>
      </c>
      <c r="I2390">
        <v>0</v>
      </c>
      <c r="J2390">
        <v>0</v>
      </c>
      <c r="K2390">
        <v>25000000</v>
      </c>
      <c r="L2390">
        <v>23750000</v>
      </c>
      <c r="M2390">
        <v>0</v>
      </c>
      <c r="N2390">
        <v>23750000</v>
      </c>
      <c r="O2390">
        <v>0</v>
      </c>
      <c r="P2390">
        <v>24999183.550000001</v>
      </c>
      <c r="Q2390">
        <v>0</v>
      </c>
      <c r="R2390" s="14">
        <f>_xlfn.XLOOKUP(Table2[[#This Row],[LoanID]],Table1[G-L ID],Table1[ManagerCode],-99)</f>
        <v>103</v>
      </c>
      <c r="T2390"/>
    </row>
    <row r="2391" spans="1:20" x14ac:dyDescent="0.25">
      <c r="A2391">
        <v>20140131</v>
      </c>
      <c r="B2391">
        <v>2014</v>
      </c>
      <c r="C2391">
        <v>1</v>
      </c>
      <c r="D2391">
        <v>1</v>
      </c>
      <c r="E2391">
        <v>10400</v>
      </c>
      <c r="F2391">
        <v>412687.5</v>
      </c>
      <c r="G2391">
        <v>0</v>
      </c>
      <c r="H2391">
        <v>0</v>
      </c>
      <c r="I2391">
        <v>0</v>
      </c>
      <c r="J2391">
        <v>0</v>
      </c>
      <c r="K2391">
        <v>0</v>
      </c>
      <c r="L2391">
        <v>45000000</v>
      </c>
      <c r="M2391">
        <v>45000000</v>
      </c>
      <c r="N2391">
        <v>45000000</v>
      </c>
      <c r="O2391">
        <v>45000000</v>
      </c>
      <c r="P2391">
        <v>45000000</v>
      </c>
      <c r="Q2391">
        <v>45000000</v>
      </c>
      <c r="R2391" s="14">
        <f>_xlfn.XLOOKUP(Table2[[#This Row],[LoanID]],Table1[G-L ID],Table1[ManagerCode],-99)</f>
        <v>220</v>
      </c>
      <c r="T2391"/>
    </row>
    <row r="2392" spans="1:20" x14ac:dyDescent="0.25">
      <c r="A2392">
        <v>20140131</v>
      </c>
      <c r="B2392">
        <v>2014</v>
      </c>
      <c r="C2392">
        <v>1</v>
      </c>
      <c r="D2392">
        <v>1</v>
      </c>
      <c r="E2392">
        <v>10430</v>
      </c>
      <c r="F2392">
        <v>62150.75</v>
      </c>
      <c r="G2392">
        <v>0</v>
      </c>
      <c r="H2392">
        <v>0</v>
      </c>
      <c r="I2392">
        <v>0</v>
      </c>
      <c r="J2392">
        <v>0</v>
      </c>
      <c r="K2392">
        <v>14875</v>
      </c>
      <c r="L2392">
        <v>6895875</v>
      </c>
      <c r="M2392">
        <v>6881000</v>
      </c>
      <c r="N2392">
        <v>6895875</v>
      </c>
      <c r="O2392">
        <v>6881000</v>
      </c>
      <c r="P2392">
        <v>6895875</v>
      </c>
      <c r="Q2392">
        <v>6881000</v>
      </c>
      <c r="R2392" s="14">
        <f>_xlfn.XLOOKUP(Table2[[#This Row],[LoanID]],Table1[G-L ID],Table1[ManagerCode],-99)</f>
        <v>119</v>
      </c>
      <c r="T2392"/>
    </row>
    <row r="2393" spans="1:20" x14ac:dyDescent="0.25">
      <c r="A2393">
        <v>20140131</v>
      </c>
      <c r="B2393">
        <v>2014</v>
      </c>
      <c r="C2393">
        <v>1</v>
      </c>
      <c r="D2393">
        <v>1</v>
      </c>
      <c r="E2393">
        <v>10460</v>
      </c>
      <c r="F2393">
        <v>248230.55</v>
      </c>
      <c r="G2393">
        <v>0</v>
      </c>
      <c r="H2393">
        <v>0</v>
      </c>
      <c r="I2393">
        <v>0</v>
      </c>
      <c r="J2393">
        <v>0</v>
      </c>
      <c r="K2393">
        <v>0</v>
      </c>
      <c r="L2393">
        <v>61908167.43</v>
      </c>
      <c r="M2393">
        <v>61476296.119999997</v>
      </c>
      <c r="N2393">
        <v>61908167.43</v>
      </c>
      <c r="O2393">
        <v>61476296.119999997</v>
      </c>
      <c r="P2393">
        <v>60000000</v>
      </c>
      <c r="Q2393">
        <v>60000000</v>
      </c>
      <c r="R2393" s="14">
        <f>_xlfn.XLOOKUP(Table2[[#This Row],[LoanID]],Table1[G-L ID],Table1[ManagerCode],-99)</f>
        <v>103</v>
      </c>
      <c r="T2393"/>
    </row>
    <row r="2394" spans="1:20" x14ac:dyDescent="0.25">
      <c r="A2394">
        <v>20140131</v>
      </c>
      <c r="B2394">
        <v>2014</v>
      </c>
      <c r="C2394">
        <v>1</v>
      </c>
      <c r="D2394">
        <v>1</v>
      </c>
      <c r="E2394">
        <v>10490</v>
      </c>
      <c r="F2394">
        <v>168766.36</v>
      </c>
      <c r="G2394">
        <v>0</v>
      </c>
      <c r="H2394">
        <v>0</v>
      </c>
      <c r="I2394">
        <v>0</v>
      </c>
      <c r="J2394">
        <v>0</v>
      </c>
      <c r="K2394">
        <v>17534168</v>
      </c>
      <c r="L2394">
        <v>17534168</v>
      </c>
      <c r="M2394">
        <v>0</v>
      </c>
      <c r="N2394">
        <v>17534168</v>
      </c>
      <c r="O2394">
        <v>0</v>
      </c>
      <c r="P2394">
        <v>17534168</v>
      </c>
      <c r="Q2394">
        <v>0</v>
      </c>
      <c r="R2394" s="14">
        <f>_xlfn.XLOOKUP(Table2[[#This Row],[LoanID]],Table1[G-L ID],Table1[ManagerCode],-99)</f>
        <v>220</v>
      </c>
      <c r="T2394"/>
    </row>
    <row r="2395" spans="1:20" x14ac:dyDescent="0.25">
      <c r="A2395">
        <v>20140131</v>
      </c>
      <c r="B2395">
        <v>2014</v>
      </c>
      <c r="C2395">
        <v>1</v>
      </c>
      <c r="D2395">
        <v>1</v>
      </c>
      <c r="E2395">
        <v>10510</v>
      </c>
      <c r="F2395">
        <v>291622.5</v>
      </c>
      <c r="G2395">
        <v>0</v>
      </c>
      <c r="H2395">
        <v>0</v>
      </c>
      <c r="I2395">
        <v>0</v>
      </c>
      <c r="J2395">
        <v>0</v>
      </c>
      <c r="K2395">
        <v>0</v>
      </c>
      <c r="L2395">
        <v>45000000</v>
      </c>
      <c r="M2395">
        <v>45000000</v>
      </c>
      <c r="N2395">
        <v>45000000</v>
      </c>
      <c r="O2395">
        <v>45000000</v>
      </c>
      <c r="P2395">
        <v>45000000</v>
      </c>
      <c r="Q2395">
        <v>45000000</v>
      </c>
      <c r="R2395" s="14">
        <f>_xlfn.XLOOKUP(Table2[[#This Row],[LoanID]],Table1[G-L ID],Table1[ManagerCode],-99)</f>
        <v>220</v>
      </c>
      <c r="T2395"/>
    </row>
    <row r="2396" spans="1:20" x14ac:dyDescent="0.25">
      <c r="A2396">
        <v>20140131</v>
      </c>
      <c r="B2396">
        <v>2014</v>
      </c>
      <c r="C2396">
        <v>1</v>
      </c>
      <c r="D2396">
        <v>1</v>
      </c>
      <c r="E2396">
        <v>10570</v>
      </c>
      <c r="F2396">
        <v>1030706.88</v>
      </c>
      <c r="G2396">
        <v>0</v>
      </c>
      <c r="H2396">
        <v>2656500</v>
      </c>
      <c r="I2396">
        <v>0</v>
      </c>
      <c r="J2396">
        <v>0</v>
      </c>
      <c r="K2396">
        <v>2656500</v>
      </c>
      <c r="L2396">
        <v>200267100</v>
      </c>
      <c r="M2396">
        <v>197637165</v>
      </c>
      <c r="N2396">
        <v>200267100</v>
      </c>
      <c r="O2396">
        <v>197637165</v>
      </c>
      <c r="P2396">
        <v>202290000</v>
      </c>
      <c r="Q2396">
        <v>199633500</v>
      </c>
      <c r="R2396" s="14">
        <f>_xlfn.XLOOKUP(Table2[[#This Row],[LoanID]],Table1[G-L ID],Table1[ManagerCode],-99)</f>
        <v>103</v>
      </c>
      <c r="T2396"/>
    </row>
    <row r="2397" spans="1:20" x14ac:dyDescent="0.25">
      <c r="A2397">
        <v>20140131</v>
      </c>
      <c r="B2397">
        <v>2014</v>
      </c>
      <c r="C2397">
        <v>1</v>
      </c>
      <c r="D2397">
        <v>1</v>
      </c>
      <c r="E2397">
        <v>10591</v>
      </c>
      <c r="F2397">
        <v>225626.77</v>
      </c>
      <c r="G2397">
        <v>0</v>
      </c>
      <c r="H2397">
        <v>0</v>
      </c>
      <c r="I2397">
        <v>0</v>
      </c>
      <c r="J2397">
        <v>0</v>
      </c>
      <c r="K2397">
        <v>45890.65</v>
      </c>
      <c r="L2397">
        <v>25717163.760000002</v>
      </c>
      <c r="M2397">
        <v>25671273.109999999</v>
      </c>
      <c r="N2397">
        <v>25717163.760000002</v>
      </c>
      <c r="O2397">
        <v>25671273.109999999</v>
      </c>
      <c r="P2397">
        <v>25717163.760000002</v>
      </c>
      <c r="Q2397">
        <v>25671273.109999999</v>
      </c>
      <c r="R2397" s="14">
        <f>_xlfn.XLOOKUP(Table2[[#This Row],[LoanID]],Table1[G-L ID],Table1[ManagerCode],-99)</f>
        <v>220</v>
      </c>
      <c r="T2397"/>
    </row>
    <row r="2398" spans="1:20" x14ac:dyDescent="0.25">
      <c r="A2398">
        <v>20140131</v>
      </c>
      <c r="B2398">
        <v>2014</v>
      </c>
      <c r="C2398">
        <v>1</v>
      </c>
      <c r="D2398">
        <v>1</v>
      </c>
      <c r="E2398">
        <v>10592</v>
      </c>
      <c r="F2398">
        <v>374348.93</v>
      </c>
      <c r="G2398">
        <v>0</v>
      </c>
      <c r="H2398">
        <v>0</v>
      </c>
      <c r="I2398">
        <v>0</v>
      </c>
      <c r="J2398">
        <v>0</v>
      </c>
      <c r="K2398">
        <v>67743.350000000006</v>
      </c>
      <c r="L2398">
        <v>37963432.240000002</v>
      </c>
      <c r="M2398">
        <v>37895688.890000001</v>
      </c>
      <c r="N2398">
        <v>37963432.240000002</v>
      </c>
      <c r="O2398">
        <v>37895688.890000001</v>
      </c>
      <c r="P2398">
        <v>37963432.240000002</v>
      </c>
      <c r="Q2398">
        <v>37895688.890000001</v>
      </c>
      <c r="R2398" s="14">
        <f>_xlfn.XLOOKUP(Table2[[#This Row],[LoanID]],Table1[G-L ID],Table1[ManagerCode],-99)</f>
        <v>220</v>
      </c>
      <c r="T2398"/>
    </row>
    <row r="2399" spans="1:20" x14ac:dyDescent="0.25">
      <c r="A2399">
        <v>20140131</v>
      </c>
      <c r="B2399">
        <v>2014</v>
      </c>
      <c r="C2399">
        <v>1</v>
      </c>
      <c r="D2399">
        <v>1</v>
      </c>
      <c r="E2399">
        <v>10640</v>
      </c>
      <c r="F2399">
        <v>101379.01</v>
      </c>
      <c r="G2399">
        <v>0</v>
      </c>
      <c r="H2399">
        <v>0</v>
      </c>
      <c r="I2399">
        <v>0</v>
      </c>
      <c r="J2399">
        <v>-384562.5</v>
      </c>
      <c r="K2399">
        <v>0</v>
      </c>
      <c r="L2399">
        <v>11812500</v>
      </c>
      <c r="M2399">
        <v>12197063</v>
      </c>
      <c r="N2399">
        <v>11812500</v>
      </c>
      <c r="O2399">
        <v>12197063</v>
      </c>
      <c r="P2399">
        <v>11812500</v>
      </c>
      <c r="Q2399">
        <v>12197063</v>
      </c>
      <c r="R2399" s="14">
        <f>_xlfn.XLOOKUP(Table2[[#This Row],[LoanID]],Table1[G-L ID],Table1[ManagerCode],-99)</f>
        <v>220</v>
      </c>
      <c r="T2399"/>
    </row>
    <row r="2400" spans="1:20" x14ac:dyDescent="0.25">
      <c r="A2400">
        <v>20140131</v>
      </c>
      <c r="B2400">
        <v>2014</v>
      </c>
      <c r="C2400">
        <v>1</v>
      </c>
      <c r="D2400">
        <v>1</v>
      </c>
      <c r="E2400">
        <v>10660</v>
      </c>
      <c r="F2400">
        <v>159671.53</v>
      </c>
      <c r="G2400">
        <v>0</v>
      </c>
      <c r="H2400">
        <v>0</v>
      </c>
      <c r="I2400">
        <v>0</v>
      </c>
      <c r="J2400">
        <v>0</v>
      </c>
      <c r="K2400">
        <v>0</v>
      </c>
      <c r="L2400">
        <v>25000000</v>
      </c>
      <c r="M2400">
        <v>25000000</v>
      </c>
      <c r="N2400">
        <v>25000000</v>
      </c>
      <c r="O2400">
        <v>25000000</v>
      </c>
      <c r="P2400">
        <v>25000000</v>
      </c>
      <c r="Q2400">
        <v>25000000</v>
      </c>
      <c r="R2400" s="14">
        <f>_xlfn.XLOOKUP(Table2[[#This Row],[LoanID]],Table1[G-L ID],Table1[ManagerCode],-99)</f>
        <v>119</v>
      </c>
      <c r="T2400"/>
    </row>
    <row r="2401" spans="1:20" x14ac:dyDescent="0.25">
      <c r="A2401">
        <v>20140131</v>
      </c>
      <c r="B2401">
        <v>2014</v>
      </c>
      <c r="C2401">
        <v>1</v>
      </c>
      <c r="D2401">
        <v>1</v>
      </c>
      <c r="E2401">
        <v>10690</v>
      </c>
      <c r="F2401">
        <v>93683.37</v>
      </c>
      <c r="G2401">
        <v>24790.44</v>
      </c>
      <c r="H2401">
        <v>0</v>
      </c>
      <c r="I2401">
        <v>0</v>
      </c>
      <c r="J2401">
        <v>-93683.37</v>
      </c>
      <c r="K2401">
        <v>0</v>
      </c>
      <c r="L2401">
        <v>15851923.42</v>
      </c>
      <c r="M2401">
        <v>15970397.23</v>
      </c>
      <c r="N2401">
        <v>15851923.42</v>
      </c>
      <c r="O2401">
        <v>15970397.23</v>
      </c>
      <c r="P2401">
        <v>15851923.42</v>
      </c>
      <c r="Q2401">
        <v>15970397.23</v>
      </c>
      <c r="R2401" s="14">
        <f>_xlfn.XLOOKUP(Table2[[#This Row],[LoanID]],Table1[G-L ID],Table1[ManagerCode],-99)</f>
        <v>183</v>
      </c>
      <c r="T2401"/>
    </row>
    <row r="2402" spans="1:20" x14ac:dyDescent="0.25">
      <c r="A2402">
        <v>20140131</v>
      </c>
      <c r="B2402">
        <v>2014</v>
      </c>
      <c r="C2402">
        <v>1</v>
      </c>
      <c r="D2402">
        <v>1</v>
      </c>
      <c r="E2402">
        <v>10720</v>
      </c>
      <c r="F2402">
        <v>125000</v>
      </c>
      <c r="G2402">
        <v>89569.73</v>
      </c>
      <c r="H2402">
        <v>0</v>
      </c>
      <c r="I2402">
        <v>0</v>
      </c>
      <c r="J2402">
        <v>0</v>
      </c>
      <c r="K2402">
        <v>0</v>
      </c>
      <c r="L2402">
        <v>18320000</v>
      </c>
      <c r="M2402">
        <v>18418780.23</v>
      </c>
      <c r="N2402">
        <v>18320000</v>
      </c>
      <c r="O2402">
        <v>18418780.23</v>
      </c>
      <c r="P2402">
        <v>16611849.99</v>
      </c>
      <c r="Q2402">
        <v>16701419.73</v>
      </c>
      <c r="R2402" s="14">
        <f>_xlfn.XLOOKUP(Table2[[#This Row],[LoanID]],Table1[G-L ID],Table1[ManagerCode],-99)</f>
        <v>220</v>
      </c>
      <c r="T2402"/>
    </row>
    <row r="2403" spans="1:20" x14ac:dyDescent="0.25">
      <c r="A2403">
        <v>20140131</v>
      </c>
      <c r="B2403">
        <v>2014</v>
      </c>
      <c r="C2403">
        <v>1</v>
      </c>
      <c r="D2403">
        <v>1</v>
      </c>
      <c r="E2403">
        <v>10780</v>
      </c>
      <c r="F2403">
        <v>311662.81</v>
      </c>
      <c r="G2403">
        <v>0</v>
      </c>
      <c r="H2403">
        <v>0</v>
      </c>
      <c r="I2403">
        <v>0</v>
      </c>
      <c r="J2403">
        <v>0</v>
      </c>
      <c r="K2403">
        <v>0</v>
      </c>
      <c r="L2403">
        <v>43000000</v>
      </c>
      <c r="M2403">
        <v>43000000</v>
      </c>
      <c r="N2403">
        <v>43000000</v>
      </c>
      <c r="O2403">
        <v>43000000</v>
      </c>
      <c r="P2403">
        <v>43000000</v>
      </c>
      <c r="Q2403">
        <v>43000000</v>
      </c>
      <c r="R2403" s="14">
        <f>_xlfn.XLOOKUP(Table2[[#This Row],[LoanID]],Table1[G-L ID],Table1[ManagerCode],-99)</f>
        <v>220</v>
      </c>
      <c r="T2403"/>
    </row>
    <row r="2404" spans="1:20" x14ac:dyDescent="0.25">
      <c r="A2404">
        <v>20140131</v>
      </c>
      <c r="B2404">
        <v>2014</v>
      </c>
      <c r="C2404">
        <v>1</v>
      </c>
      <c r="D2404">
        <v>1</v>
      </c>
      <c r="E2404">
        <v>10820</v>
      </c>
      <c r="F2404">
        <v>175041.78</v>
      </c>
      <c r="G2404">
        <v>0</v>
      </c>
      <c r="H2404">
        <v>0</v>
      </c>
      <c r="I2404">
        <v>0</v>
      </c>
      <c r="J2404">
        <v>0</v>
      </c>
      <c r="K2404">
        <v>0</v>
      </c>
      <c r="L2404">
        <v>21397297</v>
      </c>
      <c r="M2404">
        <v>21397297</v>
      </c>
      <c r="N2404">
        <v>21397297</v>
      </c>
      <c r="O2404">
        <v>21397297</v>
      </c>
      <c r="P2404">
        <v>21397297</v>
      </c>
      <c r="Q2404">
        <v>21397297</v>
      </c>
      <c r="R2404" s="14">
        <f>_xlfn.XLOOKUP(Table2[[#This Row],[LoanID]],Table1[G-L ID],Table1[ManagerCode],-99)</f>
        <v>220</v>
      </c>
      <c r="T2404"/>
    </row>
    <row r="2405" spans="1:20" x14ac:dyDescent="0.25">
      <c r="A2405">
        <v>20140131</v>
      </c>
      <c r="B2405">
        <v>2014</v>
      </c>
      <c r="C2405">
        <v>1</v>
      </c>
      <c r="D2405">
        <v>1</v>
      </c>
      <c r="E2405">
        <v>10830</v>
      </c>
      <c r="F2405">
        <v>57113.55</v>
      </c>
      <c r="G2405">
        <v>0</v>
      </c>
      <c r="H2405">
        <v>0</v>
      </c>
      <c r="I2405">
        <v>0</v>
      </c>
      <c r="J2405">
        <v>0</v>
      </c>
      <c r="K2405">
        <v>0</v>
      </c>
      <c r="L2405">
        <v>6981622</v>
      </c>
      <c r="M2405">
        <v>6981622</v>
      </c>
      <c r="N2405">
        <v>6981622</v>
      </c>
      <c r="O2405">
        <v>6981622</v>
      </c>
      <c r="P2405">
        <v>6981622</v>
      </c>
      <c r="Q2405">
        <v>6981622</v>
      </c>
      <c r="R2405" s="14">
        <f>_xlfn.XLOOKUP(Table2[[#This Row],[LoanID]],Table1[G-L ID],Table1[ManagerCode],-99)</f>
        <v>220</v>
      </c>
      <c r="T2405"/>
    </row>
    <row r="2406" spans="1:20" x14ac:dyDescent="0.25">
      <c r="A2406">
        <v>20140131</v>
      </c>
      <c r="B2406">
        <v>2014</v>
      </c>
      <c r="C2406">
        <v>1</v>
      </c>
      <c r="D2406">
        <v>1</v>
      </c>
      <c r="E2406">
        <v>10840</v>
      </c>
      <c r="F2406">
        <v>103968.23</v>
      </c>
      <c r="G2406">
        <v>0</v>
      </c>
      <c r="H2406">
        <v>0</v>
      </c>
      <c r="I2406">
        <v>0</v>
      </c>
      <c r="J2406">
        <v>0</v>
      </c>
      <c r="K2406">
        <v>0</v>
      </c>
      <c r="L2406">
        <v>12709189</v>
      </c>
      <c r="M2406">
        <v>12709189</v>
      </c>
      <c r="N2406">
        <v>12709189</v>
      </c>
      <c r="O2406">
        <v>12709189</v>
      </c>
      <c r="P2406">
        <v>12709189</v>
      </c>
      <c r="Q2406">
        <v>12709189</v>
      </c>
      <c r="R2406" s="14">
        <f>_xlfn.XLOOKUP(Table2[[#This Row],[LoanID]],Table1[G-L ID],Table1[ManagerCode],-99)</f>
        <v>220</v>
      </c>
      <c r="T2406"/>
    </row>
    <row r="2407" spans="1:20" x14ac:dyDescent="0.25">
      <c r="A2407">
        <v>20140131</v>
      </c>
      <c r="B2407">
        <v>2014</v>
      </c>
      <c r="C2407">
        <v>1</v>
      </c>
      <c r="D2407">
        <v>1</v>
      </c>
      <c r="E2407">
        <v>10850</v>
      </c>
      <c r="F2407">
        <v>110534.78</v>
      </c>
      <c r="G2407">
        <v>0</v>
      </c>
      <c r="H2407">
        <v>0</v>
      </c>
      <c r="I2407">
        <v>0</v>
      </c>
      <c r="J2407">
        <v>0</v>
      </c>
      <c r="K2407">
        <v>0</v>
      </c>
      <c r="L2407">
        <v>13511892</v>
      </c>
      <c r="M2407">
        <v>13511892</v>
      </c>
      <c r="N2407">
        <v>13511892</v>
      </c>
      <c r="O2407">
        <v>13511892</v>
      </c>
      <c r="P2407">
        <v>13511892</v>
      </c>
      <c r="Q2407">
        <v>13511892</v>
      </c>
      <c r="R2407" s="14">
        <f>_xlfn.XLOOKUP(Table2[[#This Row],[LoanID]],Table1[G-L ID],Table1[ManagerCode],-99)</f>
        <v>220</v>
      </c>
      <c r="T2407"/>
    </row>
    <row r="2408" spans="1:20" x14ac:dyDescent="0.25">
      <c r="A2408">
        <v>20140131</v>
      </c>
      <c r="B2408">
        <v>2014</v>
      </c>
      <c r="C2408">
        <v>1</v>
      </c>
      <c r="D2408">
        <v>1</v>
      </c>
      <c r="E2408">
        <v>10900</v>
      </c>
      <c r="F2408">
        <v>81013.539999999994</v>
      </c>
      <c r="G2408">
        <v>0</v>
      </c>
      <c r="H2408">
        <v>0</v>
      </c>
      <c r="I2408">
        <v>0</v>
      </c>
      <c r="J2408">
        <v>0</v>
      </c>
      <c r="K2408">
        <v>2603.52</v>
      </c>
      <c r="L2408">
        <v>8125111.9199999999</v>
      </c>
      <c r="M2408">
        <v>8122638.5499999998</v>
      </c>
      <c r="N2408">
        <v>8125111.9199999999</v>
      </c>
      <c r="O2408">
        <v>8122638.5499999998</v>
      </c>
      <c r="P2408">
        <v>8552749.3699999992</v>
      </c>
      <c r="Q2408">
        <v>8550145.8499999996</v>
      </c>
      <c r="R2408" s="14">
        <f>_xlfn.XLOOKUP(Table2[[#This Row],[LoanID]],Table1[G-L ID],Table1[ManagerCode],-99)</f>
        <v>103</v>
      </c>
      <c r="T2408"/>
    </row>
    <row r="2409" spans="1:20" x14ac:dyDescent="0.25">
      <c r="A2409">
        <v>20140131</v>
      </c>
      <c r="B2409">
        <v>2014</v>
      </c>
      <c r="C2409">
        <v>1</v>
      </c>
      <c r="D2409">
        <v>1</v>
      </c>
      <c r="E2409">
        <v>10920</v>
      </c>
      <c r="F2409">
        <v>114583.33</v>
      </c>
      <c r="G2409">
        <v>0</v>
      </c>
      <c r="H2409">
        <v>0</v>
      </c>
      <c r="I2409">
        <v>0</v>
      </c>
      <c r="J2409">
        <v>0</v>
      </c>
      <c r="K2409">
        <v>0</v>
      </c>
      <c r="L2409">
        <v>11000000</v>
      </c>
      <c r="M2409">
        <v>11000000</v>
      </c>
      <c r="N2409">
        <v>11000000</v>
      </c>
      <c r="O2409">
        <v>11000000</v>
      </c>
      <c r="P2409">
        <v>11000000</v>
      </c>
      <c r="Q2409">
        <v>11000000</v>
      </c>
      <c r="R2409" s="14">
        <f>_xlfn.XLOOKUP(Table2[[#This Row],[LoanID]],Table1[G-L ID],Table1[ManagerCode],-99)</f>
        <v>183</v>
      </c>
      <c r="T2409"/>
    </row>
    <row r="2410" spans="1:20" x14ac:dyDescent="0.25">
      <c r="A2410">
        <v>20140131</v>
      </c>
      <c r="B2410">
        <v>2014</v>
      </c>
      <c r="C2410">
        <v>1</v>
      </c>
      <c r="D2410">
        <v>1</v>
      </c>
      <c r="E2410">
        <v>10980</v>
      </c>
      <c r="F2410">
        <v>191848.11</v>
      </c>
      <c r="G2410">
        <v>18302.5</v>
      </c>
      <c r="H2410">
        <v>0</v>
      </c>
      <c r="I2410">
        <v>0</v>
      </c>
      <c r="J2410">
        <v>0</v>
      </c>
      <c r="K2410">
        <v>0</v>
      </c>
      <c r="L2410">
        <v>29033365.280000001</v>
      </c>
      <c r="M2410">
        <v>29051667.780000001</v>
      </c>
      <c r="N2410">
        <v>29033365.280000001</v>
      </c>
      <c r="O2410">
        <v>29051667.780000001</v>
      </c>
      <c r="P2410">
        <v>29033365.280000001</v>
      </c>
      <c r="Q2410">
        <v>29051667.780000001</v>
      </c>
      <c r="R2410" s="14">
        <f>_xlfn.XLOOKUP(Table2[[#This Row],[LoanID]],Table1[G-L ID],Table1[ManagerCode],-99)</f>
        <v>183</v>
      </c>
      <c r="T2410"/>
    </row>
    <row r="2411" spans="1:20" x14ac:dyDescent="0.25">
      <c r="A2411">
        <v>20140131</v>
      </c>
      <c r="B2411">
        <v>2014</v>
      </c>
      <c r="C2411">
        <v>1</v>
      </c>
      <c r="D2411">
        <v>1</v>
      </c>
      <c r="E2411">
        <v>11020</v>
      </c>
      <c r="F2411">
        <v>108500</v>
      </c>
      <c r="G2411">
        <v>0</v>
      </c>
      <c r="H2411">
        <v>0</v>
      </c>
      <c r="I2411">
        <v>0</v>
      </c>
      <c r="J2411">
        <v>0</v>
      </c>
      <c r="K2411">
        <v>0</v>
      </c>
      <c r="L2411">
        <v>12000000</v>
      </c>
      <c r="M2411">
        <v>12000000</v>
      </c>
      <c r="N2411">
        <v>12000000</v>
      </c>
      <c r="O2411">
        <v>12000000</v>
      </c>
      <c r="P2411">
        <v>12000000</v>
      </c>
      <c r="Q2411">
        <v>12000000</v>
      </c>
      <c r="R2411" s="14">
        <f>_xlfn.XLOOKUP(Table2[[#This Row],[LoanID]],Table1[G-L ID],Table1[ManagerCode],-99)</f>
        <v>119</v>
      </c>
      <c r="T2411"/>
    </row>
    <row r="2412" spans="1:20" x14ac:dyDescent="0.25">
      <c r="A2412">
        <v>20140131</v>
      </c>
      <c r="B2412">
        <v>2014</v>
      </c>
      <c r="C2412">
        <v>1</v>
      </c>
      <c r="D2412">
        <v>1</v>
      </c>
      <c r="E2412">
        <v>11030</v>
      </c>
      <c r="F2412">
        <v>0</v>
      </c>
      <c r="G2412">
        <v>0</v>
      </c>
      <c r="H2412">
        <v>80000</v>
      </c>
      <c r="I2412">
        <v>0</v>
      </c>
      <c r="J2412">
        <v>-8000000</v>
      </c>
      <c r="K2412">
        <v>0</v>
      </c>
      <c r="L2412">
        <v>0</v>
      </c>
      <c r="M2412">
        <v>8000000</v>
      </c>
      <c r="N2412">
        <v>0</v>
      </c>
      <c r="O2412">
        <v>8000000</v>
      </c>
      <c r="P2412">
        <v>0</v>
      </c>
      <c r="Q2412">
        <v>8000000</v>
      </c>
      <c r="R2412" s="14">
        <f>_xlfn.XLOOKUP(Table2[[#This Row],[LoanID]],Table1[G-L ID],Table1[ManagerCode],-99)</f>
        <v>119</v>
      </c>
      <c r="T2412"/>
    </row>
    <row r="2413" spans="1:20" x14ac:dyDescent="0.25">
      <c r="A2413">
        <v>20140131</v>
      </c>
      <c r="B2413">
        <v>2014</v>
      </c>
      <c r="C2413">
        <v>1</v>
      </c>
      <c r="D2413">
        <v>1</v>
      </c>
      <c r="E2413">
        <v>11050</v>
      </c>
      <c r="F2413">
        <v>300635</v>
      </c>
      <c r="G2413">
        <v>0</v>
      </c>
      <c r="H2413">
        <v>0</v>
      </c>
      <c r="I2413">
        <v>0</v>
      </c>
      <c r="J2413">
        <v>0</v>
      </c>
      <c r="K2413">
        <v>0</v>
      </c>
      <c r="L2413">
        <v>29200000</v>
      </c>
      <c r="M2413">
        <v>29200000</v>
      </c>
      <c r="N2413">
        <v>29200000</v>
      </c>
      <c r="O2413">
        <v>29200000</v>
      </c>
      <c r="P2413">
        <v>28500000</v>
      </c>
      <c r="Q2413">
        <v>28500000</v>
      </c>
      <c r="R2413" s="14">
        <f>_xlfn.XLOOKUP(Table2[[#This Row],[LoanID]],Table1[G-L ID],Table1[ManagerCode],-99)</f>
        <v>220</v>
      </c>
      <c r="T2413"/>
    </row>
    <row r="2414" spans="1:20" x14ac:dyDescent="0.25">
      <c r="A2414">
        <v>20140131</v>
      </c>
      <c r="B2414">
        <v>2014</v>
      </c>
      <c r="C2414">
        <v>1</v>
      </c>
      <c r="D2414">
        <v>1</v>
      </c>
      <c r="E2414">
        <v>11070</v>
      </c>
      <c r="F2414">
        <v>144288.76999999999</v>
      </c>
      <c r="G2414">
        <v>0</v>
      </c>
      <c r="H2414">
        <v>0</v>
      </c>
      <c r="I2414">
        <v>0</v>
      </c>
      <c r="J2414">
        <v>0</v>
      </c>
      <c r="K2414">
        <v>1505.6</v>
      </c>
      <c r="L2414">
        <v>13849824.279999999</v>
      </c>
      <c r="M2414">
        <v>13848605.949999999</v>
      </c>
      <c r="N2414">
        <v>13849824.279999999</v>
      </c>
      <c r="O2414">
        <v>13848605.949999999</v>
      </c>
      <c r="P2414">
        <v>17312263.039999999</v>
      </c>
      <c r="Q2414">
        <v>17310757.440000001</v>
      </c>
      <c r="R2414" s="14">
        <f>_xlfn.XLOOKUP(Table2[[#This Row],[LoanID]],Table1[G-L ID],Table1[ManagerCode],-99)</f>
        <v>103</v>
      </c>
      <c r="T2414"/>
    </row>
    <row r="2415" spans="1:20" x14ac:dyDescent="0.25">
      <c r="A2415">
        <v>20140131</v>
      </c>
      <c r="B2415">
        <v>2014</v>
      </c>
      <c r="C2415">
        <v>1</v>
      </c>
      <c r="D2415">
        <v>1</v>
      </c>
      <c r="E2415">
        <v>11110</v>
      </c>
      <c r="F2415">
        <v>101321.48</v>
      </c>
      <c r="G2415">
        <v>0</v>
      </c>
      <c r="H2415">
        <v>0</v>
      </c>
      <c r="I2415">
        <v>0</v>
      </c>
      <c r="J2415">
        <v>0</v>
      </c>
      <c r="K2415">
        <v>0</v>
      </c>
      <c r="L2415">
        <v>14049953.140000001</v>
      </c>
      <c r="M2415">
        <v>14049953.140000001</v>
      </c>
      <c r="N2415">
        <v>14049953.140000001</v>
      </c>
      <c r="O2415">
        <v>14049953.140000001</v>
      </c>
      <c r="P2415">
        <v>14049953.140000001</v>
      </c>
      <c r="Q2415">
        <v>14049953.140000001</v>
      </c>
      <c r="R2415" s="14">
        <f>_xlfn.XLOOKUP(Table2[[#This Row],[LoanID]],Table1[G-L ID],Table1[ManagerCode],-99)</f>
        <v>183</v>
      </c>
      <c r="T2415"/>
    </row>
    <row r="2416" spans="1:20" x14ac:dyDescent="0.25">
      <c r="A2416">
        <v>20140131</v>
      </c>
      <c r="B2416">
        <v>2014</v>
      </c>
      <c r="C2416">
        <v>1</v>
      </c>
      <c r="D2416">
        <v>1</v>
      </c>
      <c r="E2416">
        <v>11140</v>
      </c>
      <c r="F2416">
        <v>576975.13</v>
      </c>
      <c r="G2416">
        <v>0</v>
      </c>
      <c r="H2416">
        <v>0</v>
      </c>
      <c r="I2416">
        <v>0</v>
      </c>
      <c r="J2416">
        <v>0</v>
      </c>
      <c r="K2416">
        <v>0</v>
      </c>
      <c r="L2416">
        <v>71711993.859999999</v>
      </c>
      <c r="M2416">
        <v>71711922.150000006</v>
      </c>
      <c r="N2416">
        <v>71711993.859999999</v>
      </c>
      <c r="O2416">
        <v>71711922.150000006</v>
      </c>
      <c r="P2416">
        <v>72436285</v>
      </c>
      <c r="Q2416">
        <v>72436285</v>
      </c>
      <c r="R2416" s="14">
        <f>_xlfn.XLOOKUP(Table2[[#This Row],[LoanID]],Table1[G-L ID],Table1[ManagerCode],-99)</f>
        <v>103</v>
      </c>
      <c r="T2416"/>
    </row>
    <row r="2417" spans="1:20" x14ac:dyDescent="0.25">
      <c r="A2417">
        <v>20140131</v>
      </c>
      <c r="B2417">
        <v>2014</v>
      </c>
      <c r="C2417">
        <v>1</v>
      </c>
      <c r="D2417">
        <v>1</v>
      </c>
      <c r="E2417">
        <v>11190</v>
      </c>
      <c r="F2417">
        <v>1343654.01</v>
      </c>
      <c r="G2417">
        <v>0</v>
      </c>
      <c r="H2417">
        <v>0</v>
      </c>
      <c r="I2417">
        <v>-1721.97</v>
      </c>
      <c r="J2417">
        <v>0</v>
      </c>
      <c r="K2417">
        <v>0</v>
      </c>
      <c r="L2417">
        <v>197971123.19999999</v>
      </c>
      <c r="M2417">
        <v>197971123.09999999</v>
      </c>
      <c r="N2417">
        <v>197971123.19999999</v>
      </c>
      <c r="O2417">
        <v>197971123.09999999</v>
      </c>
      <c r="P2417">
        <v>199970831.5</v>
      </c>
      <c r="Q2417">
        <v>199970831.5</v>
      </c>
      <c r="R2417" s="14">
        <f>_xlfn.XLOOKUP(Table2[[#This Row],[LoanID]],Table1[G-L ID],Table1[ManagerCode],-99)</f>
        <v>103</v>
      </c>
      <c r="T2417"/>
    </row>
    <row r="2418" spans="1:20" x14ac:dyDescent="0.25">
      <c r="A2418">
        <v>20140131</v>
      </c>
      <c r="B2418">
        <v>2014</v>
      </c>
      <c r="C2418">
        <v>1</v>
      </c>
      <c r="D2418">
        <v>1</v>
      </c>
      <c r="E2418">
        <v>11220</v>
      </c>
      <c r="F2418">
        <v>311937.5</v>
      </c>
      <c r="G2418">
        <v>0</v>
      </c>
      <c r="H2418">
        <v>0</v>
      </c>
      <c r="I2418">
        <v>0</v>
      </c>
      <c r="J2418">
        <v>0</v>
      </c>
      <c r="K2418">
        <v>0</v>
      </c>
      <c r="L2418">
        <v>34500000</v>
      </c>
      <c r="M2418">
        <v>34500000</v>
      </c>
      <c r="N2418">
        <v>34500000</v>
      </c>
      <c r="O2418">
        <v>34500000</v>
      </c>
      <c r="P2418">
        <v>34500000</v>
      </c>
      <c r="Q2418">
        <v>34500000</v>
      </c>
      <c r="R2418" s="14">
        <f>_xlfn.XLOOKUP(Table2[[#This Row],[LoanID]],Table1[G-L ID],Table1[ManagerCode],-99)</f>
        <v>220</v>
      </c>
      <c r="T2418"/>
    </row>
    <row r="2419" spans="1:20" x14ac:dyDescent="0.25">
      <c r="A2419">
        <v>20140131</v>
      </c>
      <c r="B2419">
        <v>2014</v>
      </c>
      <c r="C2419">
        <v>1</v>
      </c>
      <c r="D2419">
        <v>1</v>
      </c>
      <c r="E2419">
        <v>11230</v>
      </c>
      <c r="F2419">
        <v>241209.17</v>
      </c>
      <c r="G2419">
        <v>0</v>
      </c>
      <c r="H2419">
        <v>0</v>
      </c>
      <c r="I2419">
        <v>0.01</v>
      </c>
      <c r="J2419">
        <v>0</v>
      </c>
      <c r="K2419">
        <v>0</v>
      </c>
      <c r="L2419">
        <v>185183145.30000001</v>
      </c>
      <c r="M2419">
        <v>185182960.09999999</v>
      </c>
      <c r="N2419">
        <v>185183145.30000001</v>
      </c>
      <c r="O2419">
        <v>185182960.09999999</v>
      </c>
      <c r="P2419">
        <v>194929626.59999999</v>
      </c>
      <c r="Q2419">
        <v>194929626.59999999</v>
      </c>
      <c r="R2419" s="14">
        <f>_xlfn.XLOOKUP(Table2[[#This Row],[LoanID]],Table1[G-L ID],Table1[ManagerCode],-99)</f>
        <v>103</v>
      </c>
      <c r="T2419"/>
    </row>
    <row r="2420" spans="1:20" x14ac:dyDescent="0.25">
      <c r="A2420">
        <v>20140131</v>
      </c>
      <c r="B2420">
        <v>2014</v>
      </c>
      <c r="C2420">
        <v>1</v>
      </c>
      <c r="D2420">
        <v>1</v>
      </c>
      <c r="E2420">
        <v>11320</v>
      </c>
      <c r="F2420">
        <v>97819.67</v>
      </c>
      <c r="G2420">
        <v>0</v>
      </c>
      <c r="H2420">
        <v>0</v>
      </c>
      <c r="I2420">
        <v>0</v>
      </c>
      <c r="J2420">
        <v>0</v>
      </c>
      <c r="K2420">
        <v>0</v>
      </c>
      <c r="L2420">
        <v>12000000</v>
      </c>
      <c r="M2420">
        <v>12000000</v>
      </c>
      <c r="N2420">
        <v>12000000</v>
      </c>
      <c r="O2420">
        <v>12000000</v>
      </c>
      <c r="P2420">
        <v>12000000</v>
      </c>
      <c r="Q2420">
        <v>12000000</v>
      </c>
      <c r="R2420" s="14">
        <f>_xlfn.XLOOKUP(Table2[[#This Row],[LoanID]],Table1[G-L ID],Table1[ManagerCode],-99)</f>
        <v>119</v>
      </c>
      <c r="T2420"/>
    </row>
    <row r="2421" spans="1:20" x14ac:dyDescent="0.25">
      <c r="A2421">
        <v>20140131</v>
      </c>
      <c r="B2421">
        <v>2014</v>
      </c>
      <c r="C2421">
        <v>1</v>
      </c>
      <c r="D2421">
        <v>1</v>
      </c>
      <c r="E2421">
        <v>11340</v>
      </c>
      <c r="F2421">
        <v>301388.89</v>
      </c>
      <c r="G2421">
        <v>0</v>
      </c>
      <c r="H2421">
        <v>0</v>
      </c>
      <c r="I2421">
        <v>0</v>
      </c>
      <c r="J2421">
        <v>0</v>
      </c>
      <c r="K2421">
        <v>0</v>
      </c>
      <c r="L2421">
        <v>49500000</v>
      </c>
      <c r="M2421">
        <v>49500000</v>
      </c>
      <c r="N2421">
        <v>49500000</v>
      </c>
      <c r="O2421">
        <v>49500000</v>
      </c>
      <c r="P2421">
        <v>50000000</v>
      </c>
      <c r="Q2421">
        <v>50000000</v>
      </c>
      <c r="R2421" s="14">
        <f>_xlfn.XLOOKUP(Table2[[#This Row],[LoanID]],Table1[G-L ID],Table1[ManagerCode],-99)</f>
        <v>103</v>
      </c>
      <c r="T2421"/>
    </row>
    <row r="2422" spans="1:20" x14ac:dyDescent="0.25">
      <c r="A2422">
        <v>20140131</v>
      </c>
      <c r="B2422">
        <v>2014</v>
      </c>
      <c r="C2422">
        <v>1</v>
      </c>
      <c r="D2422">
        <v>1</v>
      </c>
      <c r="E2422">
        <v>11350</v>
      </c>
      <c r="F2422">
        <v>331527.78000000003</v>
      </c>
      <c r="G2422">
        <v>0</v>
      </c>
      <c r="H2422">
        <v>0</v>
      </c>
      <c r="I2422">
        <v>0</v>
      </c>
      <c r="J2422">
        <v>0</v>
      </c>
      <c r="K2422">
        <v>0</v>
      </c>
      <c r="L2422">
        <v>54449945.549999997</v>
      </c>
      <c r="M2422">
        <v>54449945.549999997</v>
      </c>
      <c r="N2422">
        <v>54449945.549999997</v>
      </c>
      <c r="O2422">
        <v>54449945.549999997</v>
      </c>
      <c r="P2422">
        <v>55000000</v>
      </c>
      <c r="Q2422">
        <v>55000000</v>
      </c>
      <c r="R2422" s="14">
        <f>_xlfn.XLOOKUP(Table2[[#This Row],[LoanID]],Table1[G-L ID],Table1[ManagerCode],-99)</f>
        <v>103</v>
      </c>
      <c r="T2422"/>
    </row>
    <row r="2423" spans="1:20" x14ac:dyDescent="0.25">
      <c r="A2423">
        <v>20140131</v>
      </c>
      <c r="B2423">
        <v>2014</v>
      </c>
      <c r="C2423">
        <v>1</v>
      </c>
      <c r="D2423">
        <v>1</v>
      </c>
      <c r="E2423">
        <v>11370</v>
      </c>
      <c r="F2423">
        <v>103328.13</v>
      </c>
      <c r="G2423">
        <v>0</v>
      </c>
      <c r="H2423">
        <v>-190724.35</v>
      </c>
      <c r="I2423">
        <v>0</v>
      </c>
      <c r="J2423">
        <v>13500000</v>
      </c>
      <c r="K2423">
        <v>0</v>
      </c>
      <c r="L2423">
        <v>19025000</v>
      </c>
      <c r="M2423">
        <v>5525000</v>
      </c>
      <c r="N2423">
        <v>19025000</v>
      </c>
      <c r="O2423">
        <v>5525000</v>
      </c>
      <c r="P2423">
        <v>19025000</v>
      </c>
      <c r="Q2423">
        <v>5525000</v>
      </c>
      <c r="R2423" s="14">
        <f>_xlfn.XLOOKUP(Table2[[#This Row],[LoanID]],Table1[G-L ID],Table1[ManagerCode],-99)</f>
        <v>119</v>
      </c>
      <c r="T2423"/>
    </row>
    <row r="2424" spans="1:20" x14ac:dyDescent="0.25">
      <c r="A2424">
        <v>20140131</v>
      </c>
      <c r="B2424">
        <v>2014</v>
      </c>
      <c r="C2424">
        <v>1</v>
      </c>
      <c r="D2424">
        <v>1</v>
      </c>
      <c r="E2424">
        <v>11390</v>
      </c>
      <c r="F2424">
        <v>207743.06</v>
      </c>
      <c r="G2424">
        <v>0</v>
      </c>
      <c r="H2424">
        <v>0</v>
      </c>
      <c r="I2424">
        <v>0</v>
      </c>
      <c r="J2424">
        <v>0</v>
      </c>
      <c r="K2424">
        <v>0</v>
      </c>
      <c r="L2424">
        <v>25000000</v>
      </c>
      <c r="M2424">
        <v>25000000</v>
      </c>
      <c r="N2424">
        <v>25000000</v>
      </c>
      <c r="O2424">
        <v>25000000</v>
      </c>
      <c r="P2424">
        <v>25000000</v>
      </c>
      <c r="Q2424">
        <v>25000000</v>
      </c>
      <c r="R2424" s="14">
        <f>_xlfn.XLOOKUP(Table2[[#This Row],[LoanID]],Table1[G-L ID],Table1[ManagerCode],-99)</f>
        <v>220</v>
      </c>
      <c r="T2424"/>
    </row>
    <row r="2425" spans="1:20" x14ac:dyDescent="0.25">
      <c r="A2425">
        <v>20140131</v>
      </c>
      <c r="B2425">
        <v>2014</v>
      </c>
      <c r="C2425">
        <v>1</v>
      </c>
      <c r="D2425">
        <v>1</v>
      </c>
      <c r="E2425">
        <v>11460</v>
      </c>
      <c r="F2425">
        <v>87375.28</v>
      </c>
      <c r="G2425">
        <v>128108.99</v>
      </c>
      <c r="H2425">
        <v>0</v>
      </c>
      <c r="I2425">
        <v>0</v>
      </c>
      <c r="J2425">
        <v>-6338374.7599999998</v>
      </c>
      <c r="K2425">
        <v>0</v>
      </c>
      <c r="L2425">
        <v>25881262.52</v>
      </c>
      <c r="M2425">
        <v>32347746.27</v>
      </c>
      <c r="N2425">
        <v>25881262.52</v>
      </c>
      <c r="O2425">
        <v>32347746.27</v>
      </c>
      <c r="P2425">
        <v>25881262.52</v>
      </c>
      <c r="Q2425">
        <v>32347746.27</v>
      </c>
      <c r="R2425" s="14">
        <f>_xlfn.XLOOKUP(Table2[[#This Row],[LoanID]],Table1[G-L ID],Table1[ManagerCode],-99)</f>
        <v>183</v>
      </c>
      <c r="T2425"/>
    </row>
    <row r="2426" spans="1:20" x14ac:dyDescent="0.25">
      <c r="A2426">
        <v>20140131</v>
      </c>
      <c r="B2426">
        <v>2014</v>
      </c>
      <c r="C2426">
        <v>1</v>
      </c>
      <c r="D2426">
        <v>1</v>
      </c>
      <c r="E2426">
        <v>11540</v>
      </c>
      <c r="F2426">
        <v>78938.06</v>
      </c>
      <c r="G2426">
        <v>0</v>
      </c>
      <c r="H2426">
        <v>0</v>
      </c>
      <c r="I2426">
        <v>0</v>
      </c>
      <c r="J2426">
        <v>0</v>
      </c>
      <c r="K2426">
        <v>0</v>
      </c>
      <c r="L2426">
        <v>10000000</v>
      </c>
      <c r="M2426">
        <v>10000000</v>
      </c>
      <c r="N2426">
        <v>10000000</v>
      </c>
      <c r="O2426">
        <v>10000000</v>
      </c>
      <c r="P2426">
        <v>10000000</v>
      </c>
      <c r="Q2426">
        <v>10000000</v>
      </c>
      <c r="R2426" s="14">
        <f>_xlfn.XLOOKUP(Table2[[#This Row],[LoanID]],Table1[G-L ID],Table1[ManagerCode],-99)</f>
        <v>220</v>
      </c>
      <c r="T2426"/>
    </row>
    <row r="2427" spans="1:20" x14ac:dyDescent="0.25">
      <c r="A2427">
        <v>20140131</v>
      </c>
      <c r="B2427">
        <v>2014</v>
      </c>
      <c r="C2427">
        <v>1</v>
      </c>
      <c r="D2427">
        <v>1</v>
      </c>
      <c r="E2427">
        <v>11550</v>
      </c>
      <c r="F2427">
        <v>127092.25</v>
      </c>
      <c r="G2427">
        <v>0</v>
      </c>
      <c r="H2427">
        <v>0</v>
      </c>
      <c r="I2427">
        <v>0</v>
      </c>
      <c r="J2427">
        <v>0</v>
      </c>
      <c r="K2427">
        <v>0</v>
      </c>
      <c r="L2427">
        <v>21850065.550000001</v>
      </c>
      <c r="M2427">
        <v>21850043.699999999</v>
      </c>
      <c r="N2427">
        <v>21850065.550000001</v>
      </c>
      <c r="O2427">
        <v>21850043.699999999</v>
      </c>
      <c r="P2427">
        <v>23000000</v>
      </c>
      <c r="Q2427">
        <v>23000000</v>
      </c>
      <c r="R2427" s="14">
        <f>_xlfn.XLOOKUP(Table2[[#This Row],[LoanID]],Table1[G-L ID],Table1[ManagerCode],-99)</f>
        <v>103</v>
      </c>
      <c r="T2427"/>
    </row>
    <row r="2428" spans="1:20" x14ac:dyDescent="0.25">
      <c r="A2428">
        <v>20140131</v>
      </c>
      <c r="B2428">
        <v>2014</v>
      </c>
      <c r="C2428">
        <v>1</v>
      </c>
      <c r="D2428">
        <v>1</v>
      </c>
      <c r="E2428">
        <v>11560</v>
      </c>
      <c r="F2428">
        <v>0</v>
      </c>
      <c r="G2428">
        <v>120650.39</v>
      </c>
      <c r="H2428">
        <v>0</v>
      </c>
      <c r="I2428">
        <v>0</v>
      </c>
      <c r="J2428">
        <v>0</v>
      </c>
      <c r="K2428">
        <v>0</v>
      </c>
      <c r="L2428">
        <v>14017784.25</v>
      </c>
      <c r="M2428">
        <v>14138434.640000001</v>
      </c>
      <c r="N2428">
        <v>14017784.25</v>
      </c>
      <c r="O2428">
        <v>14138434.640000001</v>
      </c>
      <c r="P2428">
        <v>14017784.25</v>
      </c>
      <c r="Q2428">
        <v>14138434.640000001</v>
      </c>
      <c r="R2428" s="14">
        <f>_xlfn.XLOOKUP(Table2[[#This Row],[LoanID]],Table1[G-L ID],Table1[ManagerCode],-99)</f>
        <v>183</v>
      </c>
      <c r="T2428"/>
    </row>
    <row r="2429" spans="1:20" x14ac:dyDescent="0.25">
      <c r="A2429">
        <v>20140131</v>
      </c>
      <c r="B2429">
        <v>2014</v>
      </c>
      <c r="C2429">
        <v>1</v>
      </c>
      <c r="D2429">
        <v>1</v>
      </c>
      <c r="E2429">
        <v>11580</v>
      </c>
      <c r="F2429">
        <v>115281.25</v>
      </c>
      <c r="G2429">
        <v>0</v>
      </c>
      <c r="H2429">
        <v>0</v>
      </c>
      <c r="I2429">
        <v>0</v>
      </c>
      <c r="J2429">
        <v>0</v>
      </c>
      <c r="K2429">
        <v>0</v>
      </c>
      <c r="L2429">
        <v>15000000</v>
      </c>
      <c r="M2429">
        <v>15000000</v>
      </c>
      <c r="N2429">
        <v>15000000</v>
      </c>
      <c r="O2429">
        <v>15000000</v>
      </c>
      <c r="P2429">
        <v>15000000</v>
      </c>
      <c r="Q2429">
        <v>15000000</v>
      </c>
      <c r="R2429" s="14">
        <f>_xlfn.XLOOKUP(Table2[[#This Row],[LoanID]],Table1[G-L ID],Table1[ManagerCode],-99)</f>
        <v>119</v>
      </c>
      <c r="T2429"/>
    </row>
    <row r="2430" spans="1:20" x14ac:dyDescent="0.25">
      <c r="A2430">
        <v>20140131</v>
      </c>
      <c r="B2430">
        <v>2014</v>
      </c>
      <c r="C2430">
        <v>1</v>
      </c>
      <c r="D2430">
        <v>1</v>
      </c>
      <c r="E2430">
        <v>11620</v>
      </c>
      <c r="F2430">
        <v>80692.73</v>
      </c>
      <c r="G2430">
        <v>36528.519999999997</v>
      </c>
      <c r="H2430">
        <v>0</v>
      </c>
      <c r="I2430">
        <v>0</v>
      </c>
      <c r="J2430">
        <v>-79427.31</v>
      </c>
      <c r="K2430">
        <v>0</v>
      </c>
      <c r="L2430">
        <v>9906767.0999999996</v>
      </c>
      <c r="M2430">
        <v>10022722.93</v>
      </c>
      <c r="N2430">
        <v>9906767.0999999996</v>
      </c>
      <c r="O2430">
        <v>10022722.93</v>
      </c>
      <c r="P2430">
        <v>9906767.0999999996</v>
      </c>
      <c r="Q2430">
        <v>10022722.93</v>
      </c>
      <c r="R2430" s="14">
        <f>_xlfn.XLOOKUP(Table2[[#This Row],[LoanID]],Table1[G-L ID],Table1[ManagerCode],-99)</f>
        <v>183</v>
      </c>
      <c r="T2430"/>
    </row>
    <row r="2431" spans="1:20" x14ac:dyDescent="0.25">
      <c r="A2431">
        <v>20140131</v>
      </c>
      <c r="B2431">
        <v>2014</v>
      </c>
      <c r="C2431">
        <v>1</v>
      </c>
      <c r="D2431">
        <v>1</v>
      </c>
      <c r="E2431">
        <v>11650</v>
      </c>
      <c r="F2431">
        <v>75000</v>
      </c>
      <c r="G2431">
        <v>0</v>
      </c>
      <c r="H2431">
        <v>0</v>
      </c>
      <c r="I2431">
        <v>0</v>
      </c>
      <c r="J2431">
        <v>0</v>
      </c>
      <c r="K2431">
        <v>0</v>
      </c>
      <c r="L2431">
        <v>9600000</v>
      </c>
      <c r="M2431">
        <v>9600000</v>
      </c>
      <c r="N2431">
        <v>9600000</v>
      </c>
      <c r="O2431">
        <v>9600000</v>
      </c>
      <c r="P2431">
        <v>12000000</v>
      </c>
      <c r="Q2431">
        <v>12000000</v>
      </c>
      <c r="R2431" s="14">
        <f>_xlfn.XLOOKUP(Table2[[#This Row],[LoanID]],Table1[G-L ID],Table1[ManagerCode],-99)</f>
        <v>103</v>
      </c>
      <c r="T2431"/>
    </row>
    <row r="2432" spans="1:20" x14ac:dyDescent="0.25">
      <c r="A2432">
        <v>20140131</v>
      </c>
      <c r="B2432">
        <v>2014</v>
      </c>
      <c r="C2432">
        <v>1</v>
      </c>
      <c r="D2432">
        <v>1</v>
      </c>
      <c r="E2432">
        <v>11670</v>
      </c>
      <c r="F2432">
        <v>188333.33</v>
      </c>
      <c r="G2432">
        <v>163922.92000000001</v>
      </c>
      <c r="H2432">
        <v>0</v>
      </c>
      <c r="I2432">
        <v>0</v>
      </c>
      <c r="J2432">
        <v>0</v>
      </c>
      <c r="K2432">
        <v>0</v>
      </c>
      <c r="L2432">
        <v>30193392.489999998</v>
      </c>
      <c r="M2432">
        <v>30357315.41</v>
      </c>
      <c r="N2432">
        <v>30193392.489999998</v>
      </c>
      <c r="O2432">
        <v>30357315.41</v>
      </c>
      <c r="P2432">
        <v>30193392.489999998</v>
      </c>
      <c r="Q2432">
        <v>30357315.41</v>
      </c>
      <c r="R2432" s="14">
        <f>_xlfn.XLOOKUP(Table2[[#This Row],[LoanID]],Table1[G-L ID],Table1[ManagerCode],-99)</f>
        <v>183</v>
      </c>
      <c r="T2432"/>
    </row>
    <row r="2433" spans="1:20" x14ac:dyDescent="0.25">
      <c r="A2433">
        <v>20140131</v>
      </c>
      <c r="B2433">
        <v>2014</v>
      </c>
      <c r="C2433">
        <v>1</v>
      </c>
      <c r="D2433">
        <v>1</v>
      </c>
      <c r="E2433">
        <v>11680</v>
      </c>
      <c r="F2433">
        <v>57126.559999999998</v>
      </c>
      <c r="G2433">
        <v>0</v>
      </c>
      <c r="H2433">
        <v>0</v>
      </c>
      <c r="I2433">
        <v>0</v>
      </c>
      <c r="J2433">
        <v>0</v>
      </c>
      <c r="K2433">
        <v>0</v>
      </c>
      <c r="L2433">
        <v>6600000</v>
      </c>
      <c r="M2433">
        <v>6600000</v>
      </c>
      <c r="N2433">
        <v>6600000</v>
      </c>
      <c r="O2433">
        <v>6600000</v>
      </c>
      <c r="P2433">
        <v>6600000</v>
      </c>
      <c r="Q2433">
        <v>6600000</v>
      </c>
      <c r="R2433" s="14">
        <f>_xlfn.XLOOKUP(Table2[[#This Row],[LoanID]],Table1[G-L ID],Table1[ManagerCode],-99)</f>
        <v>183</v>
      </c>
      <c r="T2433"/>
    </row>
    <row r="2434" spans="1:20" x14ac:dyDescent="0.25">
      <c r="A2434">
        <v>20140131</v>
      </c>
      <c r="B2434">
        <v>2014</v>
      </c>
      <c r="C2434">
        <v>1</v>
      </c>
      <c r="D2434">
        <v>1</v>
      </c>
      <c r="E2434">
        <v>11710</v>
      </c>
      <c r="F2434">
        <v>99910.42</v>
      </c>
      <c r="G2434">
        <v>0</v>
      </c>
      <c r="H2434">
        <v>0</v>
      </c>
      <c r="I2434">
        <v>0</v>
      </c>
      <c r="J2434">
        <v>0</v>
      </c>
      <c r="K2434">
        <v>0</v>
      </c>
      <c r="L2434">
        <v>12000000</v>
      </c>
      <c r="M2434">
        <v>12000000</v>
      </c>
      <c r="N2434">
        <v>12000000</v>
      </c>
      <c r="O2434">
        <v>12000000</v>
      </c>
      <c r="P2434">
        <v>12000000</v>
      </c>
      <c r="Q2434">
        <v>12000000</v>
      </c>
      <c r="R2434" s="14">
        <f>_xlfn.XLOOKUP(Table2[[#This Row],[LoanID]],Table1[G-L ID],Table1[ManagerCode],-99)</f>
        <v>119</v>
      </c>
      <c r="T2434"/>
    </row>
    <row r="2435" spans="1:20" x14ac:dyDescent="0.25">
      <c r="A2435">
        <v>20140131</v>
      </c>
      <c r="B2435">
        <v>2014</v>
      </c>
      <c r="C2435">
        <v>1</v>
      </c>
      <c r="D2435">
        <v>1</v>
      </c>
      <c r="E2435">
        <v>11740</v>
      </c>
      <c r="F2435">
        <v>170500</v>
      </c>
      <c r="G2435">
        <v>0</v>
      </c>
      <c r="H2435">
        <v>0</v>
      </c>
      <c r="I2435">
        <v>0</v>
      </c>
      <c r="J2435">
        <v>0</v>
      </c>
      <c r="K2435">
        <v>0</v>
      </c>
      <c r="L2435">
        <v>18600000</v>
      </c>
      <c r="M2435">
        <v>18600000</v>
      </c>
      <c r="N2435">
        <v>18600000</v>
      </c>
      <c r="O2435">
        <v>18600000</v>
      </c>
      <c r="P2435">
        <v>18600000</v>
      </c>
      <c r="Q2435">
        <v>18600000</v>
      </c>
      <c r="R2435" s="14">
        <f>_xlfn.XLOOKUP(Table2[[#This Row],[LoanID]],Table1[G-L ID],Table1[ManagerCode],-99)</f>
        <v>183</v>
      </c>
      <c r="T2435"/>
    </row>
    <row r="2436" spans="1:20" x14ac:dyDescent="0.25">
      <c r="A2436">
        <v>20140131</v>
      </c>
      <c r="B2436">
        <v>2014</v>
      </c>
      <c r="C2436">
        <v>1</v>
      </c>
      <c r="D2436">
        <v>1</v>
      </c>
      <c r="E2436">
        <v>11770</v>
      </c>
      <c r="F2436">
        <v>177992.16</v>
      </c>
      <c r="G2436">
        <v>0</v>
      </c>
      <c r="H2436">
        <v>0</v>
      </c>
      <c r="I2436">
        <v>0</v>
      </c>
      <c r="J2436">
        <v>0</v>
      </c>
      <c r="K2436">
        <v>0</v>
      </c>
      <c r="L2436">
        <v>25306142.239999998</v>
      </c>
      <c r="M2436">
        <v>25306142.239999998</v>
      </c>
      <c r="N2436">
        <v>25306142.239999998</v>
      </c>
      <c r="O2436">
        <v>25306142.239999998</v>
      </c>
      <c r="P2436">
        <v>25306142.239999998</v>
      </c>
      <c r="Q2436">
        <v>25306142.239999998</v>
      </c>
      <c r="R2436" s="14">
        <f>_xlfn.XLOOKUP(Table2[[#This Row],[LoanID]],Table1[G-L ID],Table1[ManagerCode],-99)</f>
        <v>119</v>
      </c>
      <c r="T2436"/>
    </row>
    <row r="2437" spans="1:20" x14ac:dyDescent="0.25">
      <c r="A2437">
        <v>20140131</v>
      </c>
      <c r="B2437">
        <v>2014</v>
      </c>
      <c r="C2437">
        <v>1</v>
      </c>
      <c r="D2437">
        <v>1</v>
      </c>
      <c r="E2437">
        <v>11780</v>
      </c>
      <c r="F2437">
        <v>122840.52</v>
      </c>
      <c r="G2437">
        <v>0</v>
      </c>
      <c r="H2437">
        <v>0</v>
      </c>
      <c r="I2437">
        <v>-1115.76</v>
      </c>
      <c r="J2437">
        <v>0</v>
      </c>
      <c r="K2437">
        <v>0</v>
      </c>
      <c r="L2437">
        <v>42883514</v>
      </c>
      <c r="M2437">
        <v>42883514</v>
      </c>
      <c r="N2437">
        <v>42883514</v>
      </c>
      <c r="O2437">
        <v>42883514</v>
      </c>
      <c r="P2437">
        <v>64786446.619999997</v>
      </c>
      <c r="Q2437">
        <v>64786446.619999997</v>
      </c>
      <c r="R2437" s="14">
        <f>_xlfn.XLOOKUP(Table2[[#This Row],[LoanID]],Table1[G-L ID],Table1[ManagerCode],-99)</f>
        <v>103</v>
      </c>
      <c r="T2437"/>
    </row>
    <row r="2438" spans="1:20" x14ac:dyDescent="0.25">
      <c r="A2438">
        <v>20140131</v>
      </c>
      <c r="B2438">
        <v>2014</v>
      </c>
      <c r="C2438">
        <v>1</v>
      </c>
      <c r="D2438">
        <v>1</v>
      </c>
      <c r="E2438">
        <v>11810</v>
      </c>
      <c r="F2438">
        <v>50179.83</v>
      </c>
      <c r="G2438">
        <v>0</v>
      </c>
      <c r="H2438">
        <v>0</v>
      </c>
      <c r="I2438">
        <v>0</v>
      </c>
      <c r="J2438">
        <v>0</v>
      </c>
      <c r="K2438">
        <v>10678.26</v>
      </c>
      <c r="L2438">
        <v>9709061.1799999997</v>
      </c>
      <c r="M2438">
        <v>9698489.6999999993</v>
      </c>
      <c r="N2438">
        <v>9709061.1799999997</v>
      </c>
      <c r="O2438">
        <v>9698489.6999999993</v>
      </c>
      <c r="P2438">
        <v>9807132.5</v>
      </c>
      <c r="Q2438">
        <v>9796454.2400000002</v>
      </c>
      <c r="R2438" s="14">
        <f>_xlfn.XLOOKUP(Table2[[#This Row],[LoanID]],Table1[G-L ID],Table1[ManagerCode],-99)</f>
        <v>103</v>
      </c>
      <c r="T2438"/>
    </row>
    <row r="2439" spans="1:20" x14ac:dyDescent="0.25">
      <c r="A2439">
        <v>20140131</v>
      </c>
      <c r="B2439">
        <v>2014</v>
      </c>
      <c r="C2439">
        <v>1</v>
      </c>
      <c r="D2439">
        <v>1</v>
      </c>
      <c r="E2439">
        <v>11840</v>
      </c>
      <c r="F2439">
        <v>52501.8</v>
      </c>
      <c r="G2439">
        <v>87251.88</v>
      </c>
      <c r="H2439">
        <v>0</v>
      </c>
      <c r="I2439">
        <v>0</v>
      </c>
      <c r="J2439">
        <v>0</v>
      </c>
      <c r="K2439">
        <v>0</v>
      </c>
      <c r="L2439">
        <v>11617712</v>
      </c>
      <c r="M2439">
        <v>11653073.550000001</v>
      </c>
      <c r="N2439">
        <v>11617712</v>
      </c>
      <c r="O2439">
        <v>11653073.550000001</v>
      </c>
      <c r="P2439">
        <v>11565821.67</v>
      </c>
      <c r="Q2439">
        <v>11653073.550000001</v>
      </c>
      <c r="R2439" s="14">
        <f>_xlfn.XLOOKUP(Table2[[#This Row],[LoanID]],Table1[G-L ID],Table1[ManagerCode],-99)</f>
        <v>183</v>
      </c>
      <c r="T2439"/>
    </row>
    <row r="2440" spans="1:20" x14ac:dyDescent="0.25">
      <c r="A2440">
        <v>20140131</v>
      </c>
      <c r="B2440">
        <v>2014</v>
      </c>
      <c r="C2440">
        <v>1</v>
      </c>
      <c r="D2440">
        <v>1</v>
      </c>
      <c r="E2440">
        <v>11880</v>
      </c>
      <c r="F2440">
        <v>82380.53</v>
      </c>
      <c r="G2440">
        <v>111863.5</v>
      </c>
      <c r="H2440">
        <v>0</v>
      </c>
      <c r="I2440">
        <v>0</v>
      </c>
      <c r="J2440">
        <v>-82380.53</v>
      </c>
      <c r="K2440">
        <v>0</v>
      </c>
      <c r="L2440">
        <v>18425404</v>
      </c>
      <c r="M2440">
        <v>18619648.030000001</v>
      </c>
      <c r="N2440">
        <v>18425404</v>
      </c>
      <c r="O2440">
        <v>18619648.030000001</v>
      </c>
      <c r="P2440">
        <v>18425404</v>
      </c>
      <c r="Q2440">
        <v>18619648.030000001</v>
      </c>
      <c r="R2440" s="14">
        <f>_xlfn.XLOOKUP(Table2[[#This Row],[LoanID]],Table1[G-L ID],Table1[ManagerCode],-99)</f>
        <v>183</v>
      </c>
      <c r="T2440"/>
    </row>
    <row r="2441" spans="1:20" x14ac:dyDescent="0.25">
      <c r="A2441">
        <v>20140131</v>
      </c>
      <c r="B2441">
        <v>2014</v>
      </c>
      <c r="C2441">
        <v>1</v>
      </c>
      <c r="D2441">
        <v>1</v>
      </c>
      <c r="E2441">
        <v>11920</v>
      </c>
      <c r="F2441">
        <v>96730.76</v>
      </c>
      <c r="G2441">
        <v>0</v>
      </c>
      <c r="H2441">
        <v>0</v>
      </c>
      <c r="I2441">
        <v>0</v>
      </c>
      <c r="J2441">
        <v>0</v>
      </c>
      <c r="K2441">
        <v>0</v>
      </c>
      <c r="L2441">
        <v>12250000</v>
      </c>
      <c r="M2441">
        <v>12250000</v>
      </c>
      <c r="N2441">
        <v>12250000</v>
      </c>
      <c r="O2441">
        <v>12250000</v>
      </c>
      <c r="P2441">
        <v>12250000</v>
      </c>
      <c r="Q2441">
        <v>12250000</v>
      </c>
      <c r="R2441" s="14">
        <f>_xlfn.XLOOKUP(Table2[[#This Row],[LoanID]],Table1[G-L ID],Table1[ManagerCode],-99)</f>
        <v>220</v>
      </c>
      <c r="T2441"/>
    </row>
    <row r="2442" spans="1:20" x14ac:dyDescent="0.25">
      <c r="A2442">
        <v>20140131</v>
      </c>
      <c r="B2442">
        <v>2014</v>
      </c>
      <c r="C2442">
        <v>1</v>
      </c>
      <c r="D2442">
        <v>1</v>
      </c>
      <c r="E2442">
        <v>11970</v>
      </c>
      <c r="F2442">
        <v>85000</v>
      </c>
      <c r="G2442">
        <v>54032.53</v>
      </c>
      <c r="H2442">
        <v>0</v>
      </c>
      <c r="I2442">
        <v>0</v>
      </c>
      <c r="J2442">
        <v>0</v>
      </c>
      <c r="K2442">
        <v>0</v>
      </c>
      <c r="L2442">
        <v>9268835.6199999992</v>
      </c>
      <c r="M2442">
        <v>9322868.1500000004</v>
      </c>
      <c r="N2442">
        <v>9268835.6199999992</v>
      </c>
      <c r="O2442">
        <v>9322868.1500000004</v>
      </c>
      <c r="P2442">
        <v>9268835.6199999992</v>
      </c>
      <c r="Q2442">
        <v>9322868.1500000004</v>
      </c>
      <c r="R2442" s="14">
        <f>_xlfn.XLOOKUP(Table2[[#This Row],[LoanID]],Table1[G-L ID],Table1[ManagerCode],-99)</f>
        <v>183</v>
      </c>
      <c r="T2442"/>
    </row>
    <row r="2443" spans="1:20" x14ac:dyDescent="0.25">
      <c r="A2443">
        <v>20140131</v>
      </c>
      <c r="B2443">
        <v>2014</v>
      </c>
      <c r="C2443">
        <v>1</v>
      </c>
      <c r="D2443">
        <v>1</v>
      </c>
      <c r="E2443">
        <v>12020</v>
      </c>
      <c r="F2443">
        <v>65000</v>
      </c>
      <c r="G2443">
        <v>2031.25</v>
      </c>
      <c r="H2443">
        <v>0</v>
      </c>
      <c r="I2443">
        <v>0</v>
      </c>
      <c r="J2443">
        <v>0</v>
      </c>
      <c r="K2443">
        <v>0</v>
      </c>
      <c r="L2443">
        <v>10353270.92</v>
      </c>
      <c r="M2443">
        <v>10355302.17</v>
      </c>
      <c r="N2443">
        <v>10353270.92</v>
      </c>
      <c r="O2443">
        <v>10355302.17</v>
      </c>
      <c r="P2443">
        <v>10353270.92</v>
      </c>
      <c r="Q2443">
        <v>10355302.17</v>
      </c>
      <c r="R2443" s="14">
        <f>_xlfn.XLOOKUP(Table2[[#This Row],[LoanID]],Table1[G-L ID],Table1[ManagerCode],-99)</f>
        <v>183</v>
      </c>
      <c r="T2443"/>
    </row>
    <row r="2444" spans="1:20" x14ac:dyDescent="0.25">
      <c r="A2444">
        <v>20140131</v>
      </c>
      <c r="B2444">
        <v>2014</v>
      </c>
      <c r="C2444">
        <v>1</v>
      </c>
      <c r="D2444">
        <v>1</v>
      </c>
      <c r="E2444">
        <v>12080</v>
      </c>
      <c r="F2444">
        <v>314911.84000000003</v>
      </c>
      <c r="G2444">
        <v>0</v>
      </c>
      <c r="H2444">
        <v>0</v>
      </c>
      <c r="I2444">
        <v>0</v>
      </c>
      <c r="J2444">
        <v>0</v>
      </c>
      <c r="K2444">
        <v>0</v>
      </c>
      <c r="L2444">
        <v>38822088.439999998</v>
      </c>
      <c r="M2444">
        <v>38822088.439999998</v>
      </c>
      <c r="N2444">
        <v>38822088.439999998</v>
      </c>
      <c r="O2444">
        <v>38822088.439999998</v>
      </c>
      <c r="P2444">
        <v>38822088.439999998</v>
      </c>
      <c r="Q2444">
        <v>38822088.439999998</v>
      </c>
      <c r="R2444" s="14">
        <f>_xlfn.XLOOKUP(Table2[[#This Row],[LoanID]],Table1[G-L ID],Table1[ManagerCode],-99)</f>
        <v>119</v>
      </c>
      <c r="T2444"/>
    </row>
    <row r="2445" spans="1:20" x14ac:dyDescent="0.25">
      <c r="A2445">
        <v>20140131</v>
      </c>
      <c r="B2445">
        <v>2014</v>
      </c>
      <c r="C2445">
        <v>1</v>
      </c>
      <c r="D2445">
        <v>1</v>
      </c>
      <c r="E2445">
        <v>12090</v>
      </c>
      <c r="F2445">
        <v>163759.65</v>
      </c>
      <c r="G2445">
        <v>0</v>
      </c>
      <c r="H2445">
        <v>0</v>
      </c>
      <c r="I2445">
        <v>0</v>
      </c>
      <c r="J2445">
        <v>0</v>
      </c>
      <c r="K2445">
        <v>0</v>
      </c>
      <c r="L2445">
        <v>17500000</v>
      </c>
      <c r="M2445">
        <v>17500000</v>
      </c>
      <c r="N2445">
        <v>17500000</v>
      </c>
      <c r="O2445">
        <v>17500000</v>
      </c>
      <c r="P2445">
        <v>17500000</v>
      </c>
      <c r="Q2445">
        <v>17500000</v>
      </c>
      <c r="R2445" s="14">
        <f>_xlfn.XLOOKUP(Table2[[#This Row],[LoanID]],Table1[G-L ID],Table1[ManagerCode],-99)</f>
        <v>220</v>
      </c>
      <c r="T2445"/>
    </row>
    <row r="2446" spans="1:20" x14ac:dyDescent="0.25">
      <c r="A2446">
        <v>20140131</v>
      </c>
      <c r="B2446">
        <v>2014</v>
      </c>
      <c r="C2446">
        <v>1</v>
      </c>
      <c r="D2446">
        <v>1</v>
      </c>
      <c r="E2446">
        <v>12100</v>
      </c>
      <c r="F2446">
        <v>47547.68</v>
      </c>
      <c r="G2446">
        <v>78145.009999999995</v>
      </c>
      <c r="H2446">
        <v>0</v>
      </c>
      <c r="I2446">
        <v>0</v>
      </c>
      <c r="J2446">
        <v>-47547.68</v>
      </c>
      <c r="K2446">
        <v>0</v>
      </c>
      <c r="L2446">
        <v>10391305.49</v>
      </c>
      <c r="M2446">
        <v>10516998.18</v>
      </c>
      <c r="N2446">
        <v>10391305.49</v>
      </c>
      <c r="O2446">
        <v>10516998.18</v>
      </c>
      <c r="P2446">
        <v>10391305.49</v>
      </c>
      <c r="Q2446">
        <v>10516998.18</v>
      </c>
      <c r="R2446" s="14">
        <f>_xlfn.XLOOKUP(Table2[[#This Row],[LoanID]],Table1[G-L ID],Table1[ManagerCode],-99)</f>
        <v>183</v>
      </c>
      <c r="T2446"/>
    </row>
    <row r="2447" spans="1:20" x14ac:dyDescent="0.25">
      <c r="A2447">
        <v>20140131</v>
      </c>
      <c r="B2447">
        <v>2014</v>
      </c>
      <c r="C2447">
        <v>1</v>
      </c>
      <c r="D2447">
        <v>1</v>
      </c>
      <c r="E2447">
        <v>12130</v>
      </c>
      <c r="F2447">
        <v>184911.42</v>
      </c>
      <c r="G2447">
        <v>0</v>
      </c>
      <c r="H2447">
        <v>500979.08</v>
      </c>
      <c r="I2447">
        <v>0</v>
      </c>
      <c r="J2447">
        <v>0</v>
      </c>
      <c r="K2447">
        <v>17098151.16</v>
      </c>
      <c r="L2447">
        <v>17098151.16</v>
      </c>
      <c r="M2447">
        <v>0</v>
      </c>
      <c r="N2447">
        <v>17098151.16</v>
      </c>
      <c r="O2447">
        <v>0</v>
      </c>
      <c r="P2447">
        <v>17098151.16</v>
      </c>
      <c r="Q2447">
        <v>0</v>
      </c>
      <c r="R2447" s="14">
        <f>_xlfn.XLOOKUP(Table2[[#This Row],[LoanID]],Table1[G-L ID],Table1[ManagerCode],-99)</f>
        <v>183</v>
      </c>
      <c r="T2447"/>
    </row>
    <row r="2448" spans="1:20" x14ac:dyDescent="0.25">
      <c r="A2448">
        <v>20140131</v>
      </c>
      <c r="B2448">
        <v>2014</v>
      </c>
      <c r="C2448">
        <v>1</v>
      </c>
      <c r="D2448">
        <v>1</v>
      </c>
      <c r="E2448">
        <v>12190</v>
      </c>
      <c r="F2448">
        <v>283197.92</v>
      </c>
      <c r="G2448">
        <v>0</v>
      </c>
      <c r="H2448">
        <v>0</v>
      </c>
      <c r="I2448">
        <v>0</v>
      </c>
      <c r="J2448">
        <v>0</v>
      </c>
      <c r="K2448">
        <v>0</v>
      </c>
      <c r="L2448">
        <v>37500000</v>
      </c>
      <c r="M2448">
        <v>37500000</v>
      </c>
      <c r="N2448">
        <v>37500000</v>
      </c>
      <c r="O2448">
        <v>37500000</v>
      </c>
      <c r="P2448">
        <v>37500000</v>
      </c>
      <c r="Q2448">
        <v>37500000</v>
      </c>
      <c r="R2448" s="14">
        <f>_xlfn.XLOOKUP(Table2[[#This Row],[LoanID]],Table1[G-L ID],Table1[ManagerCode],-99)</f>
        <v>220</v>
      </c>
      <c r="T2448"/>
    </row>
    <row r="2449" spans="1:20" x14ac:dyDescent="0.25">
      <c r="A2449">
        <v>20140131</v>
      </c>
      <c r="B2449">
        <v>2014</v>
      </c>
      <c r="C2449">
        <v>1</v>
      </c>
      <c r="D2449">
        <v>1</v>
      </c>
      <c r="E2449">
        <v>12210</v>
      </c>
      <c r="F2449">
        <v>691869.71</v>
      </c>
      <c r="G2449">
        <v>0</v>
      </c>
      <c r="H2449">
        <v>0</v>
      </c>
      <c r="I2449">
        <v>0</v>
      </c>
      <c r="J2449">
        <v>0</v>
      </c>
      <c r="K2449">
        <v>208029.4</v>
      </c>
      <c r="L2449">
        <v>129863417.59999999</v>
      </c>
      <c r="M2449">
        <v>130290671.2</v>
      </c>
      <c r="N2449">
        <v>129863417.59999999</v>
      </c>
      <c r="O2449">
        <v>130290671.2</v>
      </c>
      <c r="P2449">
        <v>111945636.3</v>
      </c>
      <c r="Q2449">
        <v>111737606.90000001</v>
      </c>
      <c r="R2449" s="14">
        <f>_xlfn.XLOOKUP(Table2[[#This Row],[LoanID]],Table1[G-L ID],Table1[ManagerCode],-99)</f>
        <v>103</v>
      </c>
      <c r="T2449"/>
    </row>
    <row r="2450" spans="1:20" x14ac:dyDescent="0.25">
      <c r="A2450">
        <v>20140131</v>
      </c>
      <c r="B2450">
        <v>2014</v>
      </c>
      <c r="C2450">
        <v>1</v>
      </c>
      <c r="D2450">
        <v>1</v>
      </c>
      <c r="E2450">
        <v>12230</v>
      </c>
      <c r="F2450">
        <v>302415.15999999997</v>
      </c>
      <c r="G2450">
        <v>0</v>
      </c>
      <c r="H2450">
        <v>0</v>
      </c>
      <c r="I2450">
        <v>0</v>
      </c>
      <c r="J2450">
        <v>-982896.39</v>
      </c>
      <c r="K2450">
        <v>-11665500</v>
      </c>
      <c r="L2450">
        <v>21843000</v>
      </c>
      <c r="M2450">
        <v>22825896.390000001</v>
      </c>
      <c r="N2450">
        <v>3619798</v>
      </c>
      <c r="O2450">
        <v>16268194.390000001</v>
      </c>
      <c r="P2450">
        <v>20738930.82</v>
      </c>
      <c r="Q2450">
        <v>21721827.210000001</v>
      </c>
      <c r="R2450" s="14">
        <f>_xlfn.XLOOKUP(Table2[[#This Row],[LoanID]],Table1[G-L ID],Table1[ManagerCode],-99)</f>
        <v>183</v>
      </c>
      <c r="T2450"/>
    </row>
    <row r="2451" spans="1:20" x14ac:dyDescent="0.25">
      <c r="A2451">
        <v>20140131</v>
      </c>
      <c r="B2451">
        <v>2014</v>
      </c>
      <c r="C2451">
        <v>1</v>
      </c>
      <c r="D2451">
        <v>1</v>
      </c>
      <c r="E2451">
        <v>15580</v>
      </c>
      <c r="F2451">
        <v>119258.62</v>
      </c>
      <c r="G2451">
        <v>-33</v>
      </c>
      <c r="H2451">
        <v>0</v>
      </c>
      <c r="I2451">
        <v>0</v>
      </c>
      <c r="J2451">
        <v>0</v>
      </c>
      <c r="K2451">
        <v>4142.6899999999996</v>
      </c>
      <c r="L2451">
        <v>15091570.15</v>
      </c>
      <c r="M2451">
        <v>15087394.460000001</v>
      </c>
      <c r="N2451">
        <v>15091570.15</v>
      </c>
      <c r="O2451">
        <v>15087394.460000001</v>
      </c>
      <c r="P2451">
        <v>15091570.15</v>
      </c>
      <c r="Q2451">
        <v>15087394.460000001</v>
      </c>
      <c r="R2451" s="14">
        <f>_xlfn.XLOOKUP(Table2[[#This Row],[LoanID]],Table1[G-L ID],Table1[ManagerCode],-99)</f>
        <v>212</v>
      </c>
      <c r="T2451"/>
    </row>
    <row r="2452" spans="1:20" x14ac:dyDescent="0.25">
      <c r="A2452">
        <v>20140228</v>
      </c>
      <c r="B2452">
        <v>2014</v>
      </c>
      <c r="C2452">
        <v>2</v>
      </c>
      <c r="D2452">
        <v>1</v>
      </c>
      <c r="E2452">
        <v>10050</v>
      </c>
      <c r="F2452">
        <v>153981.01999999999</v>
      </c>
      <c r="G2452">
        <v>0</v>
      </c>
      <c r="H2452">
        <v>0</v>
      </c>
      <c r="I2452">
        <v>0</v>
      </c>
      <c r="J2452">
        <v>0</v>
      </c>
      <c r="K2452">
        <v>0</v>
      </c>
      <c r="L2452">
        <v>36683386.039999999</v>
      </c>
      <c r="M2452">
        <v>35078501.369999997</v>
      </c>
      <c r="N2452">
        <v>36683386.039999999</v>
      </c>
      <c r="O2452">
        <v>35078501.369999997</v>
      </c>
      <c r="P2452">
        <v>33333334</v>
      </c>
      <c r="Q2452">
        <v>33333334</v>
      </c>
      <c r="R2452" s="14">
        <f>_xlfn.XLOOKUP(Table2[[#This Row],[LoanID]],Table1[G-L ID],Table1[ManagerCode],-99)</f>
        <v>103</v>
      </c>
      <c r="T2452"/>
    </row>
    <row r="2453" spans="1:20" x14ac:dyDescent="0.25">
      <c r="A2453">
        <v>20140228</v>
      </c>
      <c r="B2453">
        <v>2014</v>
      </c>
      <c r="C2453">
        <v>2</v>
      </c>
      <c r="D2453">
        <v>1</v>
      </c>
      <c r="E2453">
        <v>10060</v>
      </c>
      <c r="F2453">
        <v>120833.33</v>
      </c>
      <c r="G2453">
        <v>0</v>
      </c>
      <c r="H2453">
        <v>0</v>
      </c>
      <c r="I2453">
        <v>0</v>
      </c>
      <c r="J2453">
        <v>0</v>
      </c>
      <c r="K2453">
        <v>0</v>
      </c>
      <c r="L2453">
        <v>19000000</v>
      </c>
      <c r="M2453">
        <v>19000000</v>
      </c>
      <c r="N2453">
        <v>19000000</v>
      </c>
      <c r="O2453">
        <v>19000000</v>
      </c>
      <c r="P2453">
        <v>20000000</v>
      </c>
      <c r="Q2453">
        <v>20000000</v>
      </c>
      <c r="R2453" s="14">
        <f>_xlfn.XLOOKUP(Table2[[#This Row],[LoanID]],Table1[G-L ID],Table1[ManagerCode],-99)</f>
        <v>103</v>
      </c>
      <c r="T2453"/>
    </row>
    <row r="2454" spans="1:20" x14ac:dyDescent="0.25">
      <c r="A2454">
        <v>20140228</v>
      </c>
      <c r="B2454">
        <v>2014</v>
      </c>
      <c r="C2454">
        <v>2</v>
      </c>
      <c r="D2454">
        <v>1</v>
      </c>
      <c r="E2454">
        <v>10080</v>
      </c>
      <c r="F2454">
        <v>351042.71</v>
      </c>
      <c r="G2454">
        <v>0</v>
      </c>
      <c r="H2454">
        <v>0</v>
      </c>
      <c r="I2454">
        <v>-161.46</v>
      </c>
      <c r="J2454">
        <v>0</v>
      </c>
      <c r="K2454">
        <v>0</v>
      </c>
      <c r="L2454">
        <v>77709042.810000002</v>
      </c>
      <c r="M2454">
        <v>77054372.900000006</v>
      </c>
      <c r="N2454">
        <v>77709042.810000002</v>
      </c>
      <c r="O2454">
        <v>77054372.900000006</v>
      </c>
      <c r="P2454">
        <v>75000000</v>
      </c>
      <c r="Q2454">
        <v>75000000</v>
      </c>
      <c r="R2454" s="14">
        <f>_xlfn.XLOOKUP(Table2[[#This Row],[LoanID]],Table1[G-L ID],Table1[ManagerCode],-99)</f>
        <v>103</v>
      </c>
      <c r="T2454"/>
    </row>
    <row r="2455" spans="1:20" x14ac:dyDescent="0.25">
      <c r="A2455">
        <v>20140228</v>
      </c>
      <c r="B2455">
        <v>2014</v>
      </c>
      <c r="C2455">
        <v>2</v>
      </c>
      <c r="D2455">
        <v>1</v>
      </c>
      <c r="E2455">
        <v>10090</v>
      </c>
      <c r="F2455">
        <v>0</v>
      </c>
      <c r="G2455">
        <v>0</v>
      </c>
      <c r="H2455">
        <v>172500</v>
      </c>
      <c r="I2455">
        <v>0</v>
      </c>
      <c r="J2455">
        <v>-23000000</v>
      </c>
      <c r="K2455">
        <v>0</v>
      </c>
      <c r="L2455">
        <v>0</v>
      </c>
      <c r="M2455">
        <v>23000000</v>
      </c>
      <c r="N2455">
        <v>0</v>
      </c>
      <c r="O2455">
        <v>23000000</v>
      </c>
      <c r="P2455">
        <v>0</v>
      </c>
      <c r="Q2455">
        <v>23000000</v>
      </c>
      <c r="R2455" s="14">
        <f>_xlfn.XLOOKUP(Table2[[#This Row],[LoanID]],Table1[G-L ID],Table1[ManagerCode],-99)</f>
        <v>119</v>
      </c>
      <c r="T2455"/>
    </row>
    <row r="2456" spans="1:20" x14ac:dyDescent="0.25">
      <c r="A2456">
        <v>20140228</v>
      </c>
      <c r="B2456">
        <v>2014</v>
      </c>
      <c r="C2456">
        <v>2</v>
      </c>
      <c r="D2456">
        <v>1</v>
      </c>
      <c r="E2456">
        <v>10170</v>
      </c>
      <c r="F2456">
        <v>238507.07</v>
      </c>
      <c r="G2456">
        <v>0</v>
      </c>
      <c r="H2456">
        <v>0</v>
      </c>
      <c r="I2456">
        <v>-1143.01</v>
      </c>
      <c r="J2456">
        <v>0</v>
      </c>
      <c r="K2456">
        <v>75651</v>
      </c>
      <c r="L2456">
        <v>45553756.799999997</v>
      </c>
      <c r="M2456">
        <v>45316070.869999997</v>
      </c>
      <c r="N2456">
        <v>45553756.799999997</v>
      </c>
      <c r="O2456">
        <v>45316070.869999997</v>
      </c>
      <c r="P2456">
        <v>44245359.240000002</v>
      </c>
      <c r="Q2456">
        <v>44169708.240000002</v>
      </c>
      <c r="R2456" s="14">
        <f>_xlfn.XLOOKUP(Table2[[#This Row],[LoanID]],Table1[G-L ID],Table1[ManagerCode],-99)</f>
        <v>103</v>
      </c>
      <c r="T2456"/>
    </row>
    <row r="2457" spans="1:20" x14ac:dyDescent="0.25">
      <c r="A2457">
        <v>20140228</v>
      </c>
      <c r="B2457">
        <v>2014</v>
      </c>
      <c r="C2457">
        <v>2</v>
      </c>
      <c r="D2457">
        <v>1</v>
      </c>
      <c r="E2457">
        <v>10190</v>
      </c>
      <c r="F2457">
        <v>41666.67</v>
      </c>
      <c r="G2457">
        <v>0</v>
      </c>
      <c r="H2457">
        <v>0</v>
      </c>
      <c r="I2457">
        <v>0</v>
      </c>
      <c r="J2457">
        <v>0</v>
      </c>
      <c r="K2457">
        <v>0</v>
      </c>
      <c r="L2457">
        <v>9500000</v>
      </c>
      <c r="M2457">
        <v>9500000</v>
      </c>
      <c r="N2457">
        <v>9500000</v>
      </c>
      <c r="O2457">
        <v>9500000</v>
      </c>
      <c r="P2457">
        <v>10000000</v>
      </c>
      <c r="Q2457">
        <v>10000000</v>
      </c>
      <c r="R2457" s="14">
        <f>_xlfn.XLOOKUP(Table2[[#This Row],[LoanID]],Table1[G-L ID],Table1[ManagerCode],-99)</f>
        <v>103</v>
      </c>
      <c r="T2457"/>
    </row>
    <row r="2458" spans="1:20" x14ac:dyDescent="0.25">
      <c r="A2458">
        <v>20140228</v>
      </c>
      <c r="B2458">
        <v>2014</v>
      </c>
      <c r="C2458">
        <v>2</v>
      </c>
      <c r="D2458">
        <v>1</v>
      </c>
      <c r="E2458">
        <v>10200</v>
      </c>
      <c r="F2458">
        <v>128541.67</v>
      </c>
      <c r="G2458">
        <v>0</v>
      </c>
      <c r="H2458">
        <v>0</v>
      </c>
      <c r="I2458">
        <v>0</v>
      </c>
      <c r="J2458">
        <v>0</v>
      </c>
      <c r="K2458">
        <v>0</v>
      </c>
      <c r="L2458">
        <v>29307500</v>
      </c>
      <c r="M2458">
        <v>29307500</v>
      </c>
      <c r="N2458">
        <v>29307500</v>
      </c>
      <c r="O2458">
        <v>29307500</v>
      </c>
      <c r="P2458">
        <v>30850000</v>
      </c>
      <c r="Q2458">
        <v>30850000</v>
      </c>
      <c r="R2458" s="14">
        <f>_xlfn.XLOOKUP(Table2[[#This Row],[LoanID]],Table1[G-L ID],Table1[ManagerCode],-99)</f>
        <v>103</v>
      </c>
      <c r="T2458"/>
    </row>
    <row r="2459" spans="1:20" x14ac:dyDescent="0.25">
      <c r="A2459">
        <v>20140228</v>
      </c>
      <c r="B2459">
        <v>2014</v>
      </c>
      <c r="C2459">
        <v>2</v>
      </c>
      <c r="D2459">
        <v>1</v>
      </c>
      <c r="E2459">
        <v>10220</v>
      </c>
      <c r="F2459">
        <v>0</v>
      </c>
      <c r="G2459">
        <v>0</v>
      </c>
      <c r="H2459">
        <v>0</v>
      </c>
      <c r="I2459">
        <v>0</v>
      </c>
      <c r="J2459">
        <v>0</v>
      </c>
      <c r="K2459">
        <v>0</v>
      </c>
      <c r="L2459">
        <v>99000000</v>
      </c>
      <c r="M2459">
        <v>99000000</v>
      </c>
      <c r="N2459">
        <v>99000000</v>
      </c>
      <c r="O2459">
        <v>99000000</v>
      </c>
      <c r="P2459">
        <v>100000000</v>
      </c>
      <c r="Q2459">
        <v>100000000</v>
      </c>
      <c r="R2459" s="14">
        <f>_xlfn.XLOOKUP(Table2[[#This Row],[LoanID]],Table1[G-L ID],Table1[ManagerCode],-99)</f>
        <v>103</v>
      </c>
      <c r="T2459"/>
    </row>
    <row r="2460" spans="1:20" x14ac:dyDescent="0.25">
      <c r="A2460">
        <v>20140228</v>
      </c>
      <c r="B2460">
        <v>2014</v>
      </c>
      <c r="C2460">
        <v>2</v>
      </c>
      <c r="D2460">
        <v>1</v>
      </c>
      <c r="E2460">
        <v>10230</v>
      </c>
      <c r="F2460">
        <v>173465.16</v>
      </c>
      <c r="G2460">
        <v>0</v>
      </c>
      <c r="H2460">
        <v>0</v>
      </c>
      <c r="I2460">
        <v>0</v>
      </c>
      <c r="J2460">
        <v>0</v>
      </c>
      <c r="K2460">
        <v>68132.91</v>
      </c>
      <c r="L2460">
        <v>29339804.399999999</v>
      </c>
      <c r="M2460">
        <v>29275078.129999999</v>
      </c>
      <c r="N2460">
        <v>29339804.399999999</v>
      </c>
      <c r="O2460">
        <v>29275078.129999999</v>
      </c>
      <c r="P2460">
        <v>30884004.629999999</v>
      </c>
      <c r="Q2460">
        <v>30815871.719999999</v>
      </c>
      <c r="R2460" s="14">
        <f>_xlfn.XLOOKUP(Table2[[#This Row],[LoanID]],Table1[G-L ID],Table1[ManagerCode],-99)</f>
        <v>103</v>
      </c>
      <c r="T2460"/>
    </row>
    <row r="2461" spans="1:20" x14ac:dyDescent="0.25">
      <c r="A2461">
        <v>20140228</v>
      </c>
      <c r="B2461">
        <v>2014</v>
      </c>
      <c r="C2461">
        <v>2</v>
      </c>
      <c r="D2461">
        <v>1</v>
      </c>
      <c r="E2461">
        <v>10340</v>
      </c>
      <c r="F2461">
        <v>109829.25</v>
      </c>
      <c r="G2461">
        <v>0</v>
      </c>
      <c r="H2461">
        <v>0</v>
      </c>
      <c r="I2461">
        <v>0</v>
      </c>
      <c r="J2461">
        <v>0</v>
      </c>
      <c r="K2461">
        <v>0</v>
      </c>
      <c r="L2461">
        <v>12527473</v>
      </c>
      <c r="M2461">
        <v>12527473</v>
      </c>
      <c r="N2461">
        <v>12527473</v>
      </c>
      <c r="O2461">
        <v>12527473</v>
      </c>
      <c r="P2461">
        <v>12527473</v>
      </c>
      <c r="Q2461">
        <v>12527473</v>
      </c>
      <c r="R2461" s="14">
        <f>_xlfn.XLOOKUP(Table2[[#This Row],[LoanID]],Table1[G-L ID],Table1[ManagerCode],-99)</f>
        <v>220</v>
      </c>
      <c r="T2461"/>
    </row>
    <row r="2462" spans="1:20" x14ac:dyDescent="0.25">
      <c r="A2462">
        <v>20140228</v>
      </c>
      <c r="B2462">
        <v>2014</v>
      </c>
      <c r="C2462">
        <v>2</v>
      </c>
      <c r="D2462">
        <v>1</v>
      </c>
      <c r="E2462">
        <v>10400</v>
      </c>
      <c r="F2462">
        <v>372750</v>
      </c>
      <c r="G2462">
        <v>0</v>
      </c>
      <c r="H2462">
        <v>0</v>
      </c>
      <c r="I2462">
        <v>0</v>
      </c>
      <c r="J2462">
        <v>0</v>
      </c>
      <c r="K2462">
        <v>0</v>
      </c>
      <c r="L2462">
        <v>45000000</v>
      </c>
      <c r="M2462">
        <v>45000000</v>
      </c>
      <c r="N2462">
        <v>45000000</v>
      </c>
      <c r="O2462">
        <v>45000000</v>
      </c>
      <c r="P2462">
        <v>45000000</v>
      </c>
      <c r="Q2462">
        <v>45000000</v>
      </c>
      <c r="R2462" s="14">
        <f>_xlfn.XLOOKUP(Table2[[#This Row],[LoanID]],Table1[G-L ID],Table1[ManagerCode],-99)</f>
        <v>220</v>
      </c>
      <c r="T2462"/>
    </row>
    <row r="2463" spans="1:20" x14ac:dyDescent="0.25">
      <c r="A2463">
        <v>20140228</v>
      </c>
      <c r="B2463">
        <v>2014</v>
      </c>
      <c r="C2463">
        <v>2</v>
      </c>
      <c r="D2463">
        <v>1</v>
      </c>
      <c r="E2463">
        <v>10430</v>
      </c>
      <c r="F2463">
        <v>61977.15</v>
      </c>
      <c r="G2463">
        <v>0</v>
      </c>
      <c r="H2463">
        <v>0</v>
      </c>
      <c r="I2463">
        <v>0</v>
      </c>
      <c r="J2463">
        <v>0</v>
      </c>
      <c r="K2463">
        <v>14875</v>
      </c>
      <c r="L2463">
        <v>6881000</v>
      </c>
      <c r="M2463">
        <v>6866125</v>
      </c>
      <c r="N2463">
        <v>6881000</v>
      </c>
      <c r="O2463">
        <v>6866125</v>
      </c>
      <c r="P2463">
        <v>6881000</v>
      </c>
      <c r="Q2463">
        <v>6866125</v>
      </c>
      <c r="R2463" s="14">
        <f>_xlfn.XLOOKUP(Table2[[#This Row],[LoanID]],Table1[G-L ID],Table1[ManagerCode],-99)</f>
        <v>119</v>
      </c>
      <c r="T2463"/>
    </row>
    <row r="2464" spans="1:20" x14ac:dyDescent="0.25">
      <c r="A2464">
        <v>20140228</v>
      </c>
      <c r="B2464">
        <v>2014</v>
      </c>
      <c r="C2464">
        <v>2</v>
      </c>
      <c r="D2464">
        <v>1</v>
      </c>
      <c r="E2464">
        <v>10460</v>
      </c>
      <c r="F2464">
        <v>112466.67</v>
      </c>
      <c r="G2464">
        <v>0</v>
      </c>
      <c r="H2464">
        <v>0</v>
      </c>
      <c r="I2464">
        <v>0</v>
      </c>
      <c r="J2464">
        <v>0</v>
      </c>
      <c r="K2464">
        <v>0</v>
      </c>
      <c r="L2464">
        <v>61476296.119999997</v>
      </c>
      <c r="M2464">
        <v>61910969.68</v>
      </c>
      <c r="N2464">
        <v>61476296.119999997</v>
      </c>
      <c r="O2464">
        <v>61910969.68</v>
      </c>
      <c r="P2464">
        <v>60000000</v>
      </c>
      <c r="Q2464">
        <v>60000000</v>
      </c>
      <c r="R2464" s="14">
        <f>_xlfn.XLOOKUP(Table2[[#This Row],[LoanID]],Table1[G-L ID],Table1[ManagerCode],-99)</f>
        <v>103</v>
      </c>
      <c r="T2464"/>
    </row>
    <row r="2465" spans="1:20" x14ac:dyDescent="0.25">
      <c r="A2465">
        <v>20140228</v>
      </c>
      <c r="B2465">
        <v>2014</v>
      </c>
      <c r="C2465">
        <v>2</v>
      </c>
      <c r="D2465">
        <v>1</v>
      </c>
      <c r="E2465">
        <v>10510</v>
      </c>
      <c r="F2465">
        <v>330225</v>
      </c>
      <c r="G2465">
        <v>0</v>
      </c>
      <c r="H2465">
        <v>0</v>
      </c>
      <c r="I2465">
        <v>0</v>
      </c>
      <c r="J2465">
        <v>0</v>
      </c>
      <c r="K2465">
        <v>0</v>
      </c>
      <c r="L2465">
        <v>45000000</v>
      </c>
      <c r="M2465">
        <v>45000000</v>
      </c>
      <c r="N2465">
        <v>45000000</v>
      </c>
      <c r="O2465">
        <v>45000000</v>
      </c>
      <c r="P2465">
        <v>45000000</v>
      </c>
      <c r="Q2465">
        <v>45000000</v>
      </c>
      <c r="R2465" s="14">
        <f>_xlfn.XLOOKUP(Table2[[#This Row],[LoanID]],Table1[G-L ID],Table1[ManagerCode],-99)</f>
        <v>220</v>
      </c>
      <c r="T2465"/>
    </row>
    <row r="2466" spans="1:20" x14ac:dyDescent="0.25">
      <c r="A2466">
        <v>20140228</v>
      </c>
      <c r="B2466">
        <v>2014</v>
      </c>
      <c r="C2466">
        <v>2</v>
      </c>
      <c r="D2466">
        <v>1</v>
      </c>
      <c r="E2466">
        <v>10570</v>
      </c>
      <c r="F2466">
        <v>1002432.77</v>
      </c>
      <c r="G2466">
        <v>0</v>
      </c>
      <c r="H2466">
        <v>0</v>
      </c>
      <c r="I2466">
        <v>0</v>
      </c>
      <c r="J2466">
        <v>0</v>
      </c>
      <c r="K2466">
        <v>0</v>
      </c>
      <c r="L2466">
        <v>197637165</v>
      </c>
      <c r="M2466">
        <v>197637165</v>
      </c>
      <c r="N2466">
        <v>197637165</v>
      </c>
      <c r="O2466">
        <v>197637165</v>
      </c>
      <c r="P2466">
        <v>199633500</v>
      </c>
      <c r="Q2466">
        <v>199633500</v>
      </c>
      <c r="R2466" s="14">
        <f>_xlfn.XLOOKUP(Table2[[#This Row],[LoanID]],Table1[G-L ID],Table1[ManagerCode],-99)</f>
        <v>103</v>
      </c>
      <c r="T2466"/>
    </row>
    <row r="2467" spans="1:20" x14ac:dyDescent="0.25">
      <c r="A2467">
        <v>20140228</v>
      </c>
      <c r="B2467">
        <v>2014</v>
      </c>
      <c r="C2467">
        <v>2</v>
      </c>
      <c r="D2467">
        <v>1</v>
      </c>
      <c r="E2467">
        <v>10591</v>
      </c>
      <c r="F2467">
        <v>224858.69</v>
      </c>
      <c r="G2467">
        <v>0</v>
      </c>
      <c r="H2467">
        <v>0</v>
      </c>
      <c r="I2467">
        <v>0</v>
      </c>
      <c r="J2467">
        <v>0</v>
      </c>
      <c r="K2467">
        <v>27042.75</v>
      </c>
      <c r="L2467">
        <v>25671273.109999999</v>
      </c>
      <c r="M2467">
        <v>25644230.359999999</v>
      </c>
      <c r="N2467">
        <v>25671273.109999999</v>
      </c>
      <c r="O2467">
        <v>25644230.359999999</v>
      </c>
      <c r="P2467">
        <v>25671273.109999999</v>
      </c>
      <c r="Q2467">
        <v>25644230.359999999</v>
      </c>
      <c r="R2467" s="14">
        <f>_xlfn.XLOOKUP(Table2[[#This Row],[LoanID]],Table1[G-L ID],Table1[ManagerCode],-99)</f>
        <v>220</v>
      </c>
      <c r="T2467"/>
    </row>
    <row r="2468" spans="1:20" x14ac:dyDescent="0.25">
      <c r="A2468">
        <v>20140228</v>
      </c>
      <c r="B2468">
        <v>2014</v>
      </c>
      <c r="C2468">
        <v>2</v>
      </c>
      <c r="D2468">
        <v>1</v>
      </c>
      <c r="E2468">
        <v>10592</v>
      </c>
      <c r="F2468">
        <v>373097.06</v>
      </c>
      <c r="G2468">
        <v>0</v>
      </c>
      <c r="H2468">
        <v>0</v>
      </c>
      <c r="I2468">
        <v>0</v>
      </c>
      <c r="J2468">
        <v>0</v>
      </c>
      <c r="K2468">
        <v>39920.25</v>
      </c>
      <c r="L2468">
        <v>37895688.890000001</v>
      </c>
      <c r="M2468">
        <v>37855768.640000001</v>
      </c>
      <c r="N2468">
        <v>37895688.890000001</v>
      </c>
      <c r="O2468">
        <v>37855768.640000001</v>
      </c>
      <c r="P2468">
        <v>37895688.890000001</v>
      </c>
      <c r="Q2468">
        <v>37855768.640000001</v>
      </c>
      <c r="R2468" s="14">
        <f>_xlfn.XLOOKUP(Table2[[#This Row],[LoanID]],Table1[G-L ID],Table1[ManagerCode],-99)</f>
        <v>220</v>
      </c>
      <c r="T2468"/>
    </row>
    <row r="2469" spans="1:20" x14ac:dyDescent="0.25">
      <c r="A2469">
        <v>20140228</v>
      </c>
      <c r="B2469">
        <v>2014</v>
      </c>
      <c r="C2469">
        <v>2</v>
      </c>
      <c r="D2469">
        <v>1</v>
      </c>
      <c r="E2469">
        <v>10640</v>
      </c>
      <c r="F2469">
        <v>103333.39</v>
      </c>
      <c r="G2469">
        <v>0</v>
      </c>
      <c r="H2469">
        <v>0</v>
      </c>
      <c r="I2469">
        <v>0</v>
      </c>
      <c r="J2469">
        <v>0</v>
      </c>
      <c r="K2469">
        <v>0</v>
      </c>
      <c r="L2469">
        <v>12197063</v>
      </c>
      <c r="M2469">
        <v>12197063</v>
      </c>
      <c r="N2469">
        <v>12197063</v>
      </c>
      <c r="O2469">
        <v>12197063</v>
      </c>
      <c r="P2469">
        <v>12197063</v>
      </c>
      <c r="Q2469">
        <v>12197063</v>
      </c>
      <c r="R2469" s="14">
        <f>_xlfn.XLOOKUP(Table2[[#This Row],[LoanID]],Table1[G-L ID],Table1[ManagerCode],-99)</f>
        <v>220</v>
      </c>
      <c r="T2469"/>
    </row>
    <row r="2470" spans="1:20" x14ac:dyDescent="0.25">
      <c r="A2470">
        <v>20140228</v>
      </c>
      <c r="B2470">
        <v>2014</v>
      </c>
      <c r="C2470">
        <v>2</v>
      </c>
      <c r="D2470">
        <v>1</v>
      </c>
      <c r="E2470">
        <v>10660</v>
      </c>
      <c r="F2470">
        <v>159520.82999999999</v>
      </c>
      <c r="G2470">
        <v>0</v>
      </c>
      <c r="H2470">
        <v>0</v>
      </c>
      <c r="I2470">
        <v>0</v>
      </c>
      <c r="J2470">
        <v>0</v>
      </c>
      <c r="K2470">
        <v>0</v>
      </c>
      <c r="L2470">
        <v>25000000</v>
      </c>
      <c r="M2470">
        <v>25000000</v>
      </c>
      <c r="N2470">
        <v>25000000</v>
      </c>
      <c r="O2470">
        <v>25000000</v>
      </c>
      <c r="P2470">
        <v>25000000</v>
      </c>
      <c r="Q2470">
        <v>25000000</v>
      </c>
      <c r="R2470" s="14">
        <f>_xlfn.XLOOKUP(Table2[[#This Row],[LoanID]],Table1[G-L ID],Table1[ManagerCode],-99)</f>
        <v>119</v>
      </c>
      <c r="T2470"/>
    </row>
    <row r="2471" spans="1:20" x14ac:dyDescent="0.25">
      <c r="A2471">
        <v>20140228</v>
      </c>
      <c r="B2471">
        <v>2014</v>
      </c>
      <c r="C2471">
        <v>2</v>
      </c>
      <c r="D2471">
        <v>1</v>
      </c>
      <c r="E2471">
        <v>10690</v>
      </c>
      <c r="F2471">
        <v>95624.49</v>
      </c>
      <c r="G2471">
        <v>25100.32</v>
      </c>
      <c r="H2471">
        <v>0</v>
      </c>
      <c r="I2471">
        <v>0</v>
      </c>
      <c r="J2471">
        <v>-127011.7</v>
      </c>
      <c r="K2471">
        <v>0</v>
      </c>
      <c r="L2471">
        <v>15970397.23</v>
      </c>
      <c r="M2471">
        <v>16122509.25</v>
      </c>
      <c r="N2471">
        <v>15970397.23</v>
      </c>
      <c r="O2471">
        <v>16122509.25</v>
      </c>
      <c r="P2471">
        <v>15970397.23</v>
      </c>
      <c r="Q2471">
        <v>16122509.25</v>
      </c>
      <c r="R2471" s="14">
        <f>_xlfn.XLOOKUP(Table2[[#This Row],[LoanID]],Table1[G-L ID],Table1[ManagerCode],-99)</f>
        <v>183</v>
      </c>
      <c r="T2471"/>
    </row>
    <row r="2472" spans="1:20" x14ac:dyDescent="0.25">
      <c r="A2472">
        <v>20140228</v>
      </c>
      <c r="B2472">
        <v>2014</v>
      </c>
      <c r="C2472">
        <v>2</v>
      </c>
      <c r="D2472">
        <v>1</v>
      </c>
      <c r="E2472">
        <v>10720</v>
      </c>
      <c r="F2472">
        <v>125000</v>
      </c>
      <c r="G2472">
        <v>90726.67</v>
      </c>
      <c r="H2472">
        <v>0</v>
      </c>
      <c r="I2472">
        <v>0</v>
      </c>
      <c r="J2472">
        <v>0</v>
      </c>
      <c r="K2472">
        <v>0</v>
      </c>
      <c r="L2472">
        <v>18418780.23</v>
      </c>
      <c r="M2472">
        <v>18518836.440000001</v>
      </c>
      <c r="N2472">
        <v>18418780.23</v>
      </c>
      <c r="O2472">
        <v>18518836.440000001</v>
      </c>
      <c r="P2472">
        <v>16701419.73</v>
      </c>
      <c r="Q2472">
        <v>16792146.399999999</v>
      </c>
      <c r="R2472" s="14">
        <f>_xlfn.XLOOKUP(Table2[[#This Row],[LoanID]],Table1[G-L ID],Table1[ManagerCode],-99)</f>
        <v>220</v>
      </c>
      <c r="T2472"/>
    </row>
    <row r="2473" spans="1:20" x14ac:dyDescent="0.25">
      <c r="A2473">
        <v>20140228</v>
      </c>
      <c r="B2473">
        <v>2014</v>
      </c>
      <c r="C2473">
        <v>2</v>
      </c>
      <c r="D2473">
        <v>1</v>
      </c>
      <c r="E2473">
        <v>10780</v>
      </c>
      <c r="F2473">
        <v>311403.61</v>
      </c>
      <c r="G2473">
        <v>0</v>
      </c>
      <c r="H2473">
        <v>0</v>
      </c>
      <c r="I2473">
        <v>0</v>
      </c>
      <c r="J2473">
        <v>0</v>
      </c>
      <c r="K2473">
        <v>0</v>
      </c>
      <c r="L2473">
        <v>43000000</v>
      </c>
      <c r="M2473">
        <v>43000000</v>
      </c>
      <c r="N2473">
        <v>43000000</v>
      </c>
      <c r="O2473">
        <v>43000000</v>
      </c>
      <c r="P2473">
        <v>43000000</v>
      </c>
      <c r="Q2473">
        <v>43000000</v>
      </c>
      <c r="R2473" s="14">
        <f>_xlfn.XLOOKUP(Table2[[#This Row],[LoanID]],Table1[G-L ID],Table1[ManagerCode],-99)</f>
        <v>220</v>
      </c>
      <c r="T2473"/>
    </row>
    <row r="2474" spans="1:20" x14ac:dyDescent="0.25">
      <c r="A2474">
        <v>20140228</v>
      </c>
      <c r="B2474">
        <v>2014</v>
      </c>
      <c r="C2474">
        <v>2</v>
      </c>
      <c r="D2474">
        <v>1</v>
      </c>
      <c r="E2474">
        <v>10820</v>
      </c>
      <c r="F2474">
        <v>175041.78</v>
      </c>
      <c r="G2474">
        <v>0</v>
      </c>
      <c r="H2474">
        <v>0</v>
      </c>
      <c r="I2474">
        <v>0</v>
      </c>
      <c r="J2474">
        <v>0</v>
      </c>
      <c r="K2474">
        <v>0</v>
      </c>
      <c r="L2474">
        <v>21397297</v>
      </c>
      <c r="M2474">
        <v>21397297</v>
      </c>
      <c r="N2474">
        <v>21397297</v>
      </c>
      <c r="O2474">
        <v>21397297</v>
      </c>
      <c r="P2474">
        <v>21397297</v>
      </c>
      <c r="Q2474">
        <v>21397297</v>
      </c>
      <c r="R2474" s="14">
        <f>_xlfn.XLOOKUP(Table2[[#This Row],[LoanID]],Table1[G-L ID],Table1[ManagerCode],-99)</f>
        <v>220</v>
      </c>
      <c r="T2474"/>
    </row>
    <row r="2475" spans="1:20" x14ac:dyDescent="0.25">
      <c r="A2475">
        <v>20140228</v>
      </c>
      <c r="B2475">
        <v>2014</v>
      </c>
      <c r="C2475">
        <v>2</v>
      </c>
      <c r="D2475">
        <v>1</v>
      </c>
      <c r="E2475">
        <v>10830</v>
      </c>
      <c r="F2475">
        <v>57113.55</v>
      </c>
      <c r="G2475">
        <v>0</v>
      </c>
      <c r="H2475">
        <v>0</v>
      </c>
      <c r="I2475">
        <v>0</v>
      </c>
      <c r="J2475">
        <v>0</v>
      </c>
      <c r="K2475">
        <v>0</v>
      </c>
      <c r="L2475">
        <v>6981622</v>
      </c>
      <c r="M2475">
        <v>6981622</v>
      </c>
      <c r="N2475">
        <v>6981622</v>
      </c>
      <c r="O2475">
        <v>6981622</v>
      </c>
      <c r="P2475">
        <v>6981622</v>
      </c>
      <c r="Q2475">
        <v>6981622</v>
      </c>
      <c r="R2475" s="14">
        <f>_xlfn.XLOOKUP(Table2[[#This Row],[LoanID]],Table1[G-L ID],Table1[ManagerCode],-99)</f>
        <v>220</v>
      </c>
      <c r="T2475"/>
    </row>
    <row r="2476" spans="1:20" x14ac:dyDescent="0.25">
      <c r="A2476">
        <v>20140228</v>
      </c>
      <c r="B2476">
        <v>2014</v>
      </c>
      <c r="C2476">
        <v>2</v>
      </c>
      <c r="D2476">
        <v>1</v>
      </c>
      <c r="E2476">
        <v>10840</v>
      </c>
      <c r="F2476">
        <v>103968.23</v>
      </c>
      <c r="G2476">
        <v>0</v>
      </c>
      <c r="H2476">
        <v>0</v>
      </c>
      <c r="I2476">
        <v>0</v>
      </c>
      <c r="J2476">
        <v>0</v>
      </c>
      <c r="K2476">
        <v>0</v>
      </c>
      <c r="L2476">
        <v>12709189</v>
      </c>
      <c r="M2476">
        <v>12709189</v>
      </c>
      <c r="N2476">
        <v>12709189</v>
      </c>
      <c r="O2476">
        <v>12709189</v>
      </c>
      <c r="P2476">
        <v>12709189</v>
      </c>
      <c r="Q2476">
        <v>12709189</v>
      </c>
      <c r="R2476" s="14">
        <f>_xlfn.XLOOKUP(Table2[[#This Row],[LoanID]],Table1[G-L ID],Table1[ManagerCode],-99)</f>
        <v>220</v>
      </c>
      <c r="T2476"/>
    </row>
    <row r="2477" spans="1:20" x14ac:dyDescent="0.25">
      <c r="A2477">
        <v>20140228</v>
      </c>
      <c r="B2477">
        <v>2014</v>
      </c>
      <c r="C2477">
        <v>2</v>
      </c>
      <c r="D2477">
        <v>1</v>
      </c>
      <c r="E2477">
        <v>10850</v>
      </c>
      <c r="F2477">
        <v>110534.78</v>
      </c>
      <c r="G2477">
        <v>0</v>
      </c>
      <c r="H2477">
        <v>0</v>
      </c>
      <c r="I2477">
        <v>0</v>
      </c>
      <c r="J2477">
        <v>0</v>
      </c>
      <c r="K2477">
        <v>0</v>
      </c>
      <c r="L2477">
        <v>13511892</v>
      </c>
      <c r="M2477">
        <v>13511892</v>
      </c>
      <c r="N2477">
        <v>13511892</v>
      </c>
      <c r="O2477">
        <v>13511892</v>
      </c>
      <c r="P2477">
        <v>13511892</v>
      </c>
      <c r="Q2477">
        <v>13511892</v>
      </c>
      <c r="R2477" s="14">
        <f>_xlfn.XLOOKUP(Table2[[#This Row],[LoanID]],Table1[G-L ID],Table1[ManagerCode],-99)</f>
        <v>220</v>
      </c>
      <c r="T2477"/>
    </row>
    <row r="2478" spans="1:20" x14ac:dyDescent="0.25">
      <c r="A2478">
        <v>20140228</v>
      </c>
      <c r="B2478">
        <v>2014</v>
      </c>
      <c r="C2478">
        <v>2</v>
      </c>
      <c r="D2478">
        <v>1</v>
      </c>
      <c r="E2478">
        <v>10900</v>
      </c>
      <c r="F2478">
        <v>80988.88</v>
      </c>
      <c r="G2478">
        <v>0</v>
      </c>
      <c r="H2478">
        <v>0</v>
      </c>
      <c r="I2478">
        <v>0</v>
      </c>
      <c r="J2478">
        <v>0</v>
      </c>
      <c r="K2478">
        <v>2628.18</v>
      </c>
      <c r="L2478">
        <v>8122638.5499999998</v>
      </c>
      <c r="M2478">
        <v>8120141.7999999998</v>
      </c>
      <c r="N2478">
        <v>8122638.5499999998</v>
      </c>
      <c r="O2478">
        <v>8120141.7999999998</v>
      </c>
      <c r="P2478">
        <v>8550145.8499999996</v>
      </c>
      <c r="Q2478">
        <v>8547517.6699999999</v>
      </c>
      <c r="R2478" s="14">
        <f>_xlfn.XLOOKUP(Table2[[#This Row],[LoanID]],Table1[G-L ID],Table1[ManagerCode],-99)</f>
        <v>103</v>
      </c>
      <c r="T2478"/>
    </row>
    <row r="2479" spans="1:20" x14ac:dyDescent="0.25">
      <c r="A2479">
        <v>20140228</v>
      </c>
      <c r="B2479">
        <v>2014</v>
      </c>
      <c r="C2479">
        <v>2</v>
      </c>
      <c r="D2479">
        <v>1</v>
      </c>
      <c r="E2479">
        <v>10920</v>
      </c>
      <c r="F2479">
        <v>114583.33</v>
      </c>
      <c r="G2479">
        <v>0</v>
      </c>
      <c r="H2479">
        <v>0</v>
      </c>
      <c r="I2479">
        <v>0</v>
      </c>
      <c r="J2479">
        <v>0</v>
      </c>
      <c r="K2479">
        <v>0</v>
      </c>
      <c r="L2479">
        <v>11000000</v>
      </c>
      <c r="M2479">
        <v>11000000</v>
      </c>
      <c r="N2479">
        <v>11000000</v>
      </c>
      <c r="O2479">
        <v>11000000</v>
      </c>
      <c r="P2479">
        <v>11000000</v>
      </c>
      <c r="Q2479">
        <v>11000000</v>
      </c>
      <c r="R2479" s="14">
        <f>_xlfn.XLOOKUP(Table2[[#This Row],[LoanID]],Table1[G-L ID],Table1[ManagerCode],-99)</f>
        <v>183</v>
      </c>
      <c r="T2479"/>
    </row>
    <row r="2480" spans="1:20" x14ac:dyDescent="0.25">
      <c r="A2480">
        <v>20140228</v>
      </c>
      <c r="B2480">
        <v>2014</v>
      </c>
      <c r="C2480">
        <v>2</v>
      </c>
      <c r="D2480">
        <v>1</v>
      </c>
      <c r="E2480">
        <v>10980</v>
      </c>
      <c r="F2480">
        <v>191860.85</v>
      </c>
      <c r="G2480">
        <v>18302.5</v>
      </c>
      <c r="H2480">
        <v>0</v>
      </c>
      <c r="I2480">
        <v>0</v>
      </c>
      <c r="J2480">
        <v>0</v>
      </c>
      <c r="K2480">
        <v>0</v>
      </c>
      <c r="L2480">
        <v>29051667.780000001</v>
      </c>
      <c r="M2480">
        <v>29069970.280000001</v>
      </c>
      <c r="N2480">
        <v>29051667.780000001</v>
      </c>
      <c r="O2480">
        <v>29069970.280000001</v>
      </c>
      <c r="P2480">
        <v>29051667.780000001</v>
      </c>
      <c r="Q2480">
        <v>29069970.280000001</v>
      </c>
      <c r="R2480" s="14">
        <f>_xlfn.XLOOKUP(Table2[[#This Row],[LoanID]],Table1[G-L ID],Table1[ManagerCode],-99)</f>
        <v>183</v>
      </c>
      <c r="T2480"/>
    </row>
    <row r="2481" spans="1:20" x14ac:dyDescent="0.25">
      <c r="A2481">
        <v>20140228</v>
      </c>
      <c r="B2481">
        <v>2014</v>
      </c>
      <c r="C2481">
        <v>2</v>
      </c>
      <c r="D2481">
        <v>1</v>
      </c>
      <c r="E2481">
        <v>11020</v>
      </c>
      <c r="F2481">
        <v>112000</v>
      </c>
      <c r="G2481">
        <v>0</v>
      </c>
      <c r="H2481">
        <v>0</v>
      </c>
      <c r="I2481">
        <v>0</v>
      </c>
      <c r="J2481">
        <v>0</v>
      </c>
      <c r="K2481">
        <v>0</v>
      </c>
      <c r="L2481">
        <v>12000000</v>
      </c>
      <c r="M2481">
        <v>12000000</v>
      </c>
      <c r="N2481">
        <v>12000000</v>
      </c>
      <c r="O2481">
        <v>12000000</v>
      </c>
      <c r="P2481">
        <v>12000000</v>
      </c>
      <c r="Q2481">
        <v>12000000</v>
      </c>
      <c r="R2481" s="14">
        <f>_xlfn.XLOOKUP(Table2[[#This Row],[LoanID]],Table1[G-L ID],Table1[ManagerCode],-99)</f>
        <v>119</v>
      </c>
      <c r="T2481"/>
    </row>
    <row r="2482" spans="1:20" x14ac:dyDescent="0.25">
      <c r="A2482">
        <v>20140228</v>
      </c>
      <c r="B2482">
        <v>2014</v>
      </c>
      <c r="C2482">
        <v>2</v>
      </c>
      <c r="D2482">
        <v>1</v>
      </c>
      <c r="E2482">
        <v>11030</v>
      </c>
      <c r="F2482">
        <v>35776.31</v>
      </c>
      <c r="G2482">
        <v>0</v>
      </c>
      <c r="H2482">
        <v>0</v>
      </c>
      <c r="I2482">
        <v>0</v>
      </c>
      <c r="J2482">
        <v>0</v>
      </c>
      <c r="K2482">
        <v>0</v>
      </c>
      <c r="L2482">
        <v>8000000</v>
      </c>
      <c r="M2482">
        <v>8000000</v>
      </c>
      <c r="N2482">
        <v>8000000</v>
      </c>
      <c r="O2482">
        <v>8000000</v>
      </c>
      <c r="P2482">
        <v>8000000</v>
      </c>
      <c r="Q2482">
        <v>8000000</v>
      </c>
      <c r="R2482" s="14">
        <f>_xlfn.XLOOKUP(Table2[[#This Row],[LoanID]],Table1[G-L ID],Table1[ManagerCode],-99)</f>
        <v>119</v>
      </c>
      <c r="T2482"/>
    </row>
    <row r="2483" spans="1:20" x14ac:dyDescent="0.25">
      <c r="A2483">
        <v>20140228</v>
      </c>
      <c r="B2483">
        <v>2014</v>
      </c>
      <c r="C2483">
        <v>2</v>
      </c>
      <c r="D2483">
        <v>1</v>
      </c>
      <c r="E2483">
        <v>11040</v>
      </c>
      <c r="F2483">
        <v>84430.56</v>
      </c>
      <c r="G2483">
        <v>0</v>
      </c>
      <c r="H2483">
        <v>562500</v>
      </c>
      <c r="I2483">
        <v>0</v>
      </c>
      <c r="J2483">
        <v>-50000000</v>
      </c>
      <c r="K2483">
        <v>0</v>
      </c>
      <c r="L2483">
        <v>0</v>
      </c>
      <c r="M2483">
        <v>50000000</v>
      </c>
      <c r="N2483">
        <v>0</v>
      </c>
      <c r="O2483">
        <v>50000000</v>
      </c>
      <c r="P2483">
        <v>0</v>
      </c>
      <c r="Q2483">
        <v>50000000</v>
      </c>
      <c r="R2483" s="14">
        <f>_xlfn.XLOOKUP(Table2[[#This Row],[LoanID]],Table1[G-L ID],Table1[ManagerCode],-99)</f>
        <v>220</v>
      </c>
      <c r="T2483"/>
    </row>
    <row r="2484" spans="1:20" x14ac:dyDescent="0.25">
      <c r="A2484">
        <v>20140228</v>
      </c>
      <c r="B2484">
        <v>2014</v>
      </c>
      <c r="C2484">
        <v>2</v>
      </c>
      <c r="D2484">
        <v>1</v>
      </c>
      <c r="E2484">
        <v>11050</v>
      </c>
      <c r="F2484">
        <v>271542</v>
      </c>
      <c r="G2484">
        <v>0</v>
      </c>
      <c r="H2484">
        <v>0</v>
      </c>
      <c r="I2484">
        <v>0</v>
      </c>
      <c r="J2484">
        <v>0</v>
      </c>
      <c r="K2484">
        <v>0</v>
      </c>
      <c r="L2484">
        <v>29200000</v>
      </c>
      <c r="M2484">
        <v>29200000</v>
      </c>
      <c r="N2484">
        <v>29200000</v>
      </c>
      <c r="O2484">
        <v>29200000</v>
      </c>
      <c r="P2484">
        <v>28500000</v>
      </c>
      <c r="Q2484">
        <v>28500000</v>
      </c>
      <c r="R2484" s="14">
        <f>_xlfn.XLOOKUP(Table2[[#This Row],[LoanID]],Table1[G-L ID],Table1[ManagerCode],-99)</f>
        <v>220</v>
      </c>
      <c r="T2484"/>
    </row>
    <row r="2485" spans="1:20" x14ac:dyDescent="0.25">
      <c r="A2485">
        <v>20140228</v>
      </c>
      <c r="B2485">
        <v>2014</v>
      </c>
      <c r="C2485">
        <v>2</v>
      </c>
      <c r="D2485">
        <v>1</v>
      </c>
      <c r="E2485">
        <v>11070</v>
      </c>
      <c r="F2485">
        <v>144268.85999999999</v>
      </c>
      <c r="G2485">
        <v>0</v>
      </c>
      <c r="H2485">
        <v>0</v>
      </c>
      <c r="I2485">
        <v>0</v>
      </c>
      <c r="J2485">
        <v>0</v>
      </c>
      <c r="K2485">
        <v>1560.37</v>
      </c>
      <c r="L2485">
        <v>13848605.949999999</v>
      </c>
      <c r="M2485">
        <v>13847357.66</v>
      </c>
      <c r="N2485">
        <v>13848605.949999999</v>
      </c>
      <c r="O2485">
        <v>13847357.66</v>
      </c>
      <c r="P2485">
        <v>17310757.440000001</v>
      </c>
      <c r="Q2485">
        <v>17309197.07</v>
      </c>
      <c r="R2485" s="14">
        <f>_xlfn.XLOOKUP(Table2[[#This Row],[LoanID]],Table1[G-L ID],Table1[ManagerCode],-99)</f>
        <v>103</v>
      </c>
      <c r="T2485"/>
    </row>
    <row r="2486" spans="1:20" x14ac:dyDescent="0.25">
      <c r="A2486">
        <v>20140228</v>
      </c>
      <c r="B2486">
        <v>2014</v>
      </c>
      <c r="C2486">
        <v>2</v>
      </c>
      <c r="D2486">
        <v>1</v>
      </c>
      <c r="E2486">
        <v>11100</v>
      </c>
      <c r="F2486">
        <v>0</v>
      </c>
      <c r="G2486">
        <v>0</v>
      </c>
      <c r="H2486">
        <v>0</v>
      </c>
      <c r="I2486">
        <v>0</v>
      </c>
      <c r="J2486">
        <v>-925122.36</v>
      </c>
      <c r="K2486">
        <v>0</v>
      </c>
      <c r="L2486">
        <v>0</v>
      </c>
      <c r="M2486">
        <v>878866.24</v>
      </c>
      <c r="N2486">
        <v>0</v>
      </c>
      <c r="O2486">
        <v>878866.24</v>
      </c>
      <c r="P2486">
        <v>0</v>
      </c>
      <c r="Q2486">
        <v>925122.36</v>
      </c>
      <c r="R2486" s="14">
        <f>_xlfn.XLOOKUP(Table2[[#This Row],[LoanID]],Table1[G-L ID],Table1[ManagerCode],-99)</f>
        <v>103</v>
      </c>
      <c r="T2486"/>
    </row>
    <row r="2487" spans="1:20" x14ac:dyDescent="0.25">
      <c r="A2487">
        <v>20140228</v>
      </c>
      <c r="B2487">
        <v>2014</v>
      </c>
      <c r="C2487">
        <v>2</v>
      </c>
      <c r="D2487">
        <v>1</v>
      </c>
      <c r="E2487">
        <v>11110</v>
      </c>
      <c r="F2487">
        <v>158736.98000000001</v>
      </c>
      <c r="G2487">
        <v>0</v>
      </c>
      <c r="H2487">
        <v>0</v>
      </c>
      <c r="I2487">
        <v>0</v>
      </c>
      <c r="J2487">
        <v>0</v>
      </c>
      <c r="K2487">
        <v>14049953.140000001</v>
      </c>
      <c r="L2487">
        <v>14049953.140000001</v>
      </c>
      <c r="M2487">
        <v>0</v>
      </c>
      <c r="N2487">
        <v>14049953.140000001</v>
      </c>
      <c r="O2487">
        <v>0</v>
      </c>
      <c r="P2487">
        <v>14049953.140000001</v>
      </c>
      <c r="Q2487">
        <v>0</v>
      </c>
      <c r="R2487" s="14">
        <f>_xlfn.XLOOKUP(Table2[[#This Row],[LoanID]],Table1[G-L ID],Table1[ManagerCode],-99)</f>
        <v>183</v>
      </c>
      <c r="T2487"/>
    </row>
    <row r="2488" spans="1:20" x14ac:dyDescent="0.25">
      <c r="A2488">
        <v>20140228</v>
      </c>
      <c r="B2488">
        <v>2014</v>
      </c>
      <c r="C2488">
        <v>2</v>
      </c>
      <c r="D2488">
        <v>1</v>
      </c>
      <c r="E2488">
        <v>11140</v>
      </c>
      <c r="F2488">
        <v>521138.83</v>
      </c>
      <c r="G2488">
        <v>0</v>
      </c>
      <c r="H2488">
        <v>0</v>
      </c>
      <c r="I2488">
        <v>0</v>
      </c>
      <c r="J2488">
        <v>0</v>
      </c>
      <c r="K2488">
        <v>0</v>
      </c>
      <c r="L2488">
        <v>71711922.150000006</v>
      </c>
      <c r="M2488">
        <v>71711922.150000006</v>
      </c>
      <c r="N2488">
        <v>71711922.150000006</v>
      </c>
      <c r="O2488">
        <v>71711922.150000006</v>
      </c>
      <c r="P2488">
        <v>72436285</v>
      </c>
      <c r="Q2488">
        <v>72436285</v>
      </c>
      <c r="R2488" s="14">
        <f>_xlfn.XLOOKUP(Table2[[#This Row],[LoanID]],Table1[G-L ID],Table1[ManagerCode],-99)</f>
        <v>103</v>
      </c>
      <c r="T2488"/>
    </row>
    <row r="2489" spans="1:20" x14ac:dyDescent="0.25">
      <c r="A2489">
        <v>20140228</v>
      </c>
      <c r="B2489">
        <v>2014</v>
      </c>
      <c r="C2489">
        <v>2</v>
      </c>
      <c r="D2489">
        <v>1</v>
      </c>
      <c r="E2489">
        <v>11190</v>
      </c>
      <c r="F2489">
        <v>1343654.01</v>
      </c>
      <c r="G2489">
        <v>0</v>
      </c>
      <c r="H2489">
        <v>0</v>
      </c>
      <c r="I2489">
        <v>-1721.97</v>
      </c>
      <c r="J2489">
        <v>0</v>
      </c>
      <c r="K2489">
        <v>0</v>
      </c>
      <c r="L2489">
        <v>197971123.09999999</v>
      </c>
      <c r="M2489">
        <v>197971123.09999999</v>
      </c>
      <c r="N2489">
        <v>197971123.09999999</v>
      </c>
      <c r="O2489">
        <v>197971123.09999999</v>
      </c>
      <c r="P2489">
        <v>199970831.5</v>
      </c>
      <c r="Q2489">
        <v>199970831.5</v>
      </c>
      <c r="R2489" s="14">
        <f>_xlfn.XLOOKUP(Table2[[#This Row],[LoanID]],Table1[G-L ID],Table1[ManagerCode],-99)</f>
        <v>103</v>
      </c>
      <c r="T2489"/>
    </row>
    <row r="2490" spans="1:20" x14ac:dyDescent="0.25">
      <c r="A2490">
        <v>20140228</v>
      </c>
      <c r="B2490">
        <v>2014</v>
      </c>
      <c r="C2490">
        <v>2</v>
      </c>
      <c r="D2490">
        <v>1</v>
      </c>
      <c r="E2490">
        <v>11220</v>
      </c>
      <c r="F2490">
        <v>311937.5</v>
      </c>
      <c r="G2490">
        <v>0</v>
      </c>
      <c r="H2490">
        <v>0</v>
      </c>
      <c r="I2490">
        <v>0</v>
      </c>
      <c r="J2490">
        <v>0</v>
      </c>
      <c r="K2490">
        <v>0</v>
      </c>
      <c r="L2490">
        <v>34500000</v>
      </c>
      <c r="M2490">
        <v>34500000</v>
      </c>
      <c r="N2490">
        <v>34500000</v>
      </c>
      <c r="O2490">
        <v>34500000</v>
      </c>
      <c r="P2490">
        <v>34500000</v>
      </c>
      <c r="Q2490">
        <v>34500000</v>
      </c>
      <c r="R2490" s="14">
        <f>_xlfn.XLOOKUP(Table2[[#This Row],[LoanID]],Table1[G-L ID],Table1[ManagerCode],-99)</f>
        <v>220</v>
      </c>
      <c r="T2490"/>
    </row>
    <row r="2491" spans="1:20" x14ac:dyDescent="0.25">
      <c r="A2491">
        <v>20140228</v>
      </c>
      <c r="B2491">
        <v>2014</v>
      </c>
      <c r="C2491">
        <v>2</v>
      </c>
      <c r="D2491">
        <v>1</v>
      </c>
      <c r="E2491">
        <v>11230</v>
      </c>
      <c r="F2491">
        <v>240034.18</v>
      </c>
      <c r="G2491">
        <v>0</v>
      </c>
      <c r="H2491">
        <v>0</v>
      </c>
      <c r="I2491">
        <v>0</v>
      </c>
      <c r="J2491">
        <v>0</v>
      </c>
      <c r="K2491">
        <v>0</v>
      </c>
      <c r="L2491">
        <v>185182960.09999999</v>
      </c>
      <c r="M2491">
        <v>185182960.09999999</v>
      </c>
      <c r="N2491">
        <v>185182960.09999999</v>
      </c>
      <c r="O2491">
        <v>185182960.09999999</v>
      </c>
      <c r="P2491">
        <v>194929626.59999999</v>
      </c>
      <c r="Q2491">
        <v>194929626.59999999</v>
      </c>
      <c r="R2491" s="14">
        <f>_xlfn.XLOOKUP(Table2[[#This Row],[LoanID]],Table1[G-L ID],Table1[ManagerCode],-99)</f>
        <v>103</v>
      </c>
      <c r="T2491"/>
    </row>
    <row r="2492" spans="1:20" x14ac:dyDescent="0.25">
      <c r="A2492">
        <v>20140228</v>
      </c>
      <c r="B2492">
        <v>2014</v>
      </c>
      <c r="C2492">
        <v>2</v>
      </c>
      <c r="D2492">
        <v>1</v>
      </c>
      <c r="E2492">
        <v>11320</v>
      </c>
      <c r="F2492">
        <v>97750.64</v>
      </c>
      <c r="G2492">
        <v>0</v>
      </c>
      <c r="H2492">
        <v>0</v>
      </c>
      <c r="I2492">
        <v>0</v>
      </c>
      <c r="J2492">
        <v>0</v>
      </c>
      <c r="K2492">
        <v>0</v>
      </c>
      <c r="L2492">
        <v>12000000</v>
      </c>
      <c r="M2492">
        <v>12000000</v>
      </c>
      <c r="N2492">
        <v>12000000</v>
      </c>
      <c r="O2492">
        <v>12000000</v>
      </c>
      <c r="P2492">
        <v>12000000</v>
      </c>
      <c r="Q2492">
        <v>12000000</v>
      </c>
      <c r="R2492" s="14">
        <f>_xlfn.XLOOKUP(Table2[[#This Row],[LoanID]],Table1[G-L ID],Table1[ManagerCode],-99)</f>
        <v>119</v>
      </c>
      <c r="T2492"/>
    </row>
    <row r="2493" spans="1:20" x14ac:dyDescent="0.25">
      <c r="A2493">
        <v>20140228</v>
      </c>
      <c r="B2493">
        <v>2014</v>
      </c>
      <c r="C2493">
        <v>2</v>
      </c>
      <c r="D2493">
        <v>1</v>
      </c>
      <c r="E2493">
        <v>11340</v>
      </c>
      <c r="F2493">
        <v>301388.89</v>
      </c>
      <c r="G2493">
        <v>0</v>
      </c>
      <c r="H2493">
        <v>0</v>
      </c>
      <c r="I2493">
        <v>0</v>
      </c>
      <c r="J2493">
        <v>0</v>
      </c>
      <c r="K2493">
        <v>0</v>
      </c>
      <c r="L2493">
        <v>49500000</v>
      </c>
      <c r="M2493">
        <v>49500000</v>
      </c>
      <c r="N2493">
        <v>49500000</v>
      </c>
      <c r="O2493">
        <v>49500000</v>
      </c>
      <c r="P2493">
        <v>50000000</v>
      </c>
      <c r="Q2493">
        <v>50000000</v>
      </c>
      <c r="R2493" s="14">
        <f>_xlfn.XLOOKUP(Table2[[#This Row],[LoanID]],Table1[G-L ID],Table1[ManagerCode],-99)</f>
        <v>103</v>
      </c>
      <c r="T2493"/>
    </row>
    <row r="2494" spans="1:20" x14ac:dyDescent="0.25">
      <c r="A2494">
        <v>20140228</v>
      </c>
      <c r="B2494">
        <v>2014</v>
      </c>
      <c r="C2494">
        <v>2</v>
      </c>
      <c r="D2494">
        <v>1</v>
      </c>
      <c r="E2494">
        <v>11350</v>
      </c>
      <c r="F2494">
        <v>331527.78000000003</v>
      </c>
      <c r="G2494">
        <v>0</v>
      </c>
      <c r="H2494">
        <v>0</v>
      </c>
      <c r="I2494">
        <v>0</v>
      </c>
      <c r="J2494">
        <v>0</v>
      </c>
      <c r="K2494">
        <v>0</v>
      </c>
      <c r="L2494">
        <v>54449945.549999997</v>
      </c>
      <c r="M2494">
        <v>54449945.549999997</v>
      </c>
      <c r="N2494">
        <v>54449945.549999997</v>
      </c>
      <c r="O2494">
        <v>54449945.549999997</v>
      </c>
      <c r="P2494">
        <v>55000000</v>
      </c>
      <c r="Q2494">
        <v>55000000</v>
      </c>
      <c r="R2494" s="14">
        <f>_xlfn.XLOOKUP(Table2[[#This Row],[LoanID]],Table1[G-L ID],Table1[ManagerCode],-99)</f>
        <v>103</v>
      </c>
      <c r="T2494"/>
    </row>
    <row r="2495" spans="1:20" x14ac:dyDescent="0.25">
      <c r="A2495">
        <v>20140228</v>
      </c>
      <c r="B2495">
        <v>2014</v>
      </c>
      <c r="C2495">
        <v>2</v>
      </c>
      <c r="D2495">
        <v>1</v>
      </c>
      <c r="E2495">
        <v>11370</v>
      </c>
      <c r="F2495">
        <v>51763.11</v>
      </c>
      <c r="G2495">
        <v>0</v>
      </c>
      <c r="H2495">
        <v>0</v>
      </c>
      <c r="I2495">
        <v>0</v>
      </c>
      <c r="J2495">
        <v>0</v>
      </c>
      <c r="K2495">
        <v>0</v>
      </c>
      <c r="L2495">
        <v>5525000</v>
      </c>
      <c r="M2495">
        <v>5525000</v>
      </c>
      <c r="N2495">
        <v>5525000</v>
      </c>
      <c r="O2495">
        <v>5525000</v>
      </c>
      <c r="P2495">
        <v>5525000</v>
      </c>
      <c r="Q2495">
        <v>5525000</v>
      </c>
      <c r="R2495" s="14">
        <f>_xlfn.XLOOKUP(Table2[[#This Row],[LoanID]],Table1[G-L ID],Table1[ManagerCode],-99)</f>
        <v>119</v>
      </c>
      <c r="T2495"/>
    </row>
    <row r="2496" spans="1:20" x14ac:dyDescent="0.25">
      <c r="A2496">
        <v>20140228</v>
      </c>
      <c r="B2496">
        <v>2014</v>
      </c>
      <c r="C2496">
        <v>2</v>
      </c>
      <c r="D2496">
        <v>1</v>
      </c>
      <c r="E2496">
        <v>11390</v>
      </c>
      <c r="F2496">
        <v>207743.06</v>
      </c>
      <c r="G2496">
        <v>0</v>
      </c>
      <c r="H2496">
        <v>0</v>
      </c>
      <c r="I2496">
        <v>0</v>
      </c>
      <c r="J2496">
        <v>0</v>
      </c>
      <c r="K2496">
        <v>0</v>
      </c>
      <c r="L2496">
        <v>25000000</v>
      </c>
      <c r="M2496">
        <v>25000000</v>
      </c>
      <c r="N2496">
        <v>25000000</v>
      </c>
      <c r="O2496">
        <v>25000000</v>
      </c>
      <c r="P2496">
        <v>25000000</v>
      </c>
      <c r="Q2496">
        <v>25000000</v>
      </c>
      <c r="R2496" s="14">
        <f>_xlfn.XLOOKUP(Table2[[#This Row],[LoanID]],Table1[G-L ID],Table1[ManagerCode],-99)</f>
        <v>220</v>
      </c>
      <c r="T2496"/>
    </row>
    <row r="2497" spans="1:20" x14ac:dyDescent="0.25">
      <c r="A2497">
        <v>20140228</v>
      </c>
      <c r="B2497">
        <v>2014</v>
      </c>
      <c r="C2497">
        <v>2</v>
      </c>
      <c r="D2497">
        <v>1</v>
      </c>
      <c r="E2497">
        <v>11460</v>
      </c>
      <c r="F2497">
        <v>110486.9</v>
      </c>
      <c r="G2497">
        <v>0</v>
      </c>
      <c r="H2497">
        <v>4080473.91</v>
      </c>
      <c r="I2497">
        <v>0</v>
      </c>
      <c r="J2497">
        <v>0</v>
      </c>
      <c r="K2497">
        <v>32347746.27</v>
      </c>
      <c r="L2497">
        <v>32347746.27</v>
      </c>
      <c r="M2497">
        <v>0</v>
      </c>
      <c r="N2497">
        <v>32347746.27</v>
      </c>
      <c r="O2497">
        <v>0</v>
      </c>
      <c r="P2497">
        <v>32347746.27</v>
      </c>
      <c r="Q2497">
        <v>0</v>
      </c>
      <c r="R2497" s="14">
        <f>_xlfn.XLOOKUP(Table2[[#This Row],[LoanID]],Table1[G-L ID],Table1[ManagerCode],-99)</f>
        <v>183</v>
      </c>
      <c r="T2497"/>
    </row>
    <row r="2498" spans="1:20" x14ac:dyDescent="0.25">
      <c r="A2498">
        <v>20140228</v>
      </c>
      <c r="B2498">
        <v>2014</v>
      </c>
      <c r="C2498">
        <v>2</v>
      </c>
      <c r="D2498">
        <v>1</v>
      </c>
      <c r="E2498">
        <v>11540</v>
      </c>
      <c r="F2498">
        <v>78877.78</v>
      </c>
      <c r="G2498">
        <v>0</v>
      </c>
      <c r="H2498">
        <v>0</v>
      </c>
      <c r="I2498">
        <v>0</v>
      </c>
      <c r="J2498">
        <v>0</v>
      </c>
      <c r="K2498">
        <v>0</v>
      </c>
      <c r="L2498">
        <v>10000000</v>
      </c>
      <c r="M2498">
        <v>10000000</v>
      </c>
      <c r="N2498">
        <v>10000000</v>
      </c>
      <c r="O2498">
        <v>10000000</v>
      </c>
      <c r="P2498">
        <v>10000000</v>
      </c>
      <c r="Q2498">
        <v>10000000</v>
      </c>
      <c r="R2498" s="14">
        <f>_xlfn.XLOOKUP(Table2[[#This Row],[LoanID]],Table1[G-L ID],Table1[ManagerCode],-99)</f>
        <v>220</v>
      </c>
      <c r="T2498"/>
    </row>
    <row r="2499" spans="1:20" x14ac:dyDescent="0.25">
      <c r="A2499">
        <v>20140228</v>
      </c>
      <c r="B2499">
        <v>2014</v>
      </c>
      <c r="C2499">
        <v>2</v>
      </c>
      <c r="D2499">
        <v>1</v>
      </c>
      <c r="E2499">
        <v>11550</v>
      </c>
      <c r="F2499">
        <v>126953.61</v>
      </c>
      <c r="G2499">
        <v>0</v>
      </c>
      <c r="H2499">
        <v>0</v>
      </c>
      <c r="I2499">
        <v>0</v>
      </c>
      <c r="J2499">
        <v>0</v>
      </c>
      <c r="K2499">
        <v>0</v>
      </c>
      <c r="L2499">
        <v>21850043.699999999</v>
      </c>
      <c r="M2499">
        <v>21850043.699999999</v>
      </c>
      <c r="N2499">
        <v>21850043.699999999</v>
      </c>
      <c r="O2499">
        <v>21850043.699999999</v>
      </c>
      <c r="P2499">
        <v>23000000</v>
      </c>
      <c r="Q2499">
        <v>23000000</v>
      </c>
      <c r="R2499" s="14">
        <f>_xlfn.XLOOKUP(Table2[[#This Row],[LoanID]],Table1[G-L ID],Table1[ManagerCode],-99)</f>
        <v>103</v>
      </c>
      <c r="T2499"/>
    </row>
    <row r="2500" spans="1:20" x14ac:dyDescent="0.25">
      <c r="A2500">
        <v>20140228</v>
      </c>
      <c r="B2500">
        <v>2014</v>
      </c>
      <c r="C2500">
        <v>2</v>
      </c>
      <c r="D2500">
        <v>1</v>
      </c>
      <c r="E2500">
        <v>11560</v>
      </c>
      <c r="F2500">
        <v>37049.68</v>
      </c>
      <c r="G2500">
        <v>-1783.82</v>
      </c>
      <c r="H2500">
        <v>0</v>
      </c>
      <c r="I2500">
        <v>0</v>
      </c>
      <c r="J2500">
        <v>0</v>
      </c>
      <c r="K2500">
        <v>0</v>
      </c>
      <c r="L2500">
        <v>14138434.640000001</v>
      </c>
      <c r="M2500">
        <v>14136650.82</v>
      </c>
      <c r="N2500">
        <v>14138434.640000001</v>
      </c>
      <c r="O2500">
        <v>14136650.82</v>
      </c>
      <c r="P2500">
        <v>14138434.640000001</v>
      </c>
      <c r="Q2500">
        <v>14136650.82</v>
      </c>
      <c r="R2500" s="14">
        <f>_xlfn.XLOOKUP(Table2[[#This Row],[LoanID]],Table1[G-L ID],Table1[ManagerCode],-99)</f>
        <v>183</v>
      </c>
      <c r="T2500"/>
    </row>
    <row r="2501" spans="1:20" x14ac:dyDescent="0.25">
      <c r="A2501">
        <v>20140228</v>
      </c>
      <c r="B2501">
        <v>2014</v>
      </c>
      <c r="C2501">
        <v>2</v>
      </c>
      <c r="D2501">
        <v>1</v>
      </c>
      <c r="E2501">
        <v>11580</v>
      </c>
      <c r="F2501">
        <v>122837.77</v>
      </c>
      <c r="G2501">
        <v>0</v>
      </c>
      <c r="H2501">
        <v>0</v>
      </c>
      <c r="I2501">
        <v>0</v>
      </c>
      <c r="J2501">
        <v>0</v>
      </c>
      <c r="K2501">
        <v>0</v>
      </c>
      <c r="L2501">
        <v>15000000</v>
      </c>
      <c r="M2501">
        <v>15000000</v>
      </c>
      <c r="N2501">
        <v>15000000</v>
      </c>
      <c r="O2501">
        <v>15000000</v>
      </c>
      <c r="P2501">
        <v>15000000</v>
      </c>
      <c r="Q2501">
        <v>15000000</v>
      </c>
      <c r="R2501" s="14">
        <f>_xlfn.XLOOKUP(Table2[[#This Row],[LoanID]],Table1[G-L ID],Table1[ManagerCode],-99)</f>
        <v>119</v>
      </c>
      <c r="T2501"/>
    </row>
    <row r="2502" spans="1:20" x14ac:dyDescent="0.25">
      <c r="A2502">
        <v>20140228</v>
      </c>
      <c r="B2502">
        <v>2014</v>
      </c>
      <c r="C2502">
        <v>2</v>
      </c>
      <c r="D2502">
        <v>1</v>
      </c>
      <c r="E2502">
        <v>11620</v>
      </c>
      <c r="F2502">
        <v>79047.02</v>
      </c>
      <c r="G2502">
        <v>37818.68</v>
      </c>
      <c r="H2502">
        <v>0</v>
      </c>
      <c r="I2502">
        <v>0</v>
      </c>
      <c r="J2502">
        <v>-48845.24</v>
      </c>
      <c r="K2502">
        <v>0</v>
      </c>
      <c r="L2502">
        <v>10022722.93</v>
      </c>
      <c r="M2502">
        <v>10109386.85</v>
      </c>
      <c r="N2502">
        <v>10022722.93</v>
      </c>
      <c r="O2502">
        <v>10109386.85</v>
      </c>
      <c r="P2502">
        <v>10022722.93</v>
      </c>
      <c r="Q2502">
        <v>10109386.85</v>
      </c>
      <c r="R2502" s="14">
        <f>_xlfn.XLOOKUP(Table2[[#This Row],[LoanID]],Table1[G-L ID],Table1[ManagerCode],-99)</f>
        <v>183</v>
      </c>
      <c r="T2502"/>
    </row>
    <row r="2503" spans="1:20" x14ac:dyDescent="0.25">
      <c r="A2503">
        <v>20140228</v>
      </c>
      <c r="B2503">
        <v>2014</v>
      </c>
      <c r="C2503">
        <v>2</v>
      </c>
      <c r="D2503">
        <v>1</v>
      </c>
      <c r="E2503">
        <v>11650</v>
      </c>
      <c r="F2503">
        <v>75000</v>
      </c>
      <c r="G2503">
        <v>0</v>
      </c>
      <c r="H2503">
        <v>0</v>
      </c>
      <c r="I2503">
        <v>0</v>
      </c>
      <c r="J2503">
        <v>0</v>
      </c>
      <c r="K2503">
        <v>0</v>
      </c>
      <c r="L2503">
        <v>9600000</v>
      </c>
      <c r="M2503">
        <v>9600000</v>
      </c>
      <c r="N2503">
        <v>9600000</v>
      </c>
      <c r="O2503">
        <v>9600000</v>
      </c>
      <c r="P2503">
        <v>12000000</v>
      </c>
      <c r="Q2503">
        <v>12000000</v>
      </c>
      <c r="R2503" s="14">
        <f>_xlfn.XLOOKUP(Table2[[#This Row],[LoanID]],Table1[G-L ID],Table1[ManagerCode],-99)</f>
        <v>103</v>
      </c>
      <c r="T2503"/>
    </row>
    <row r="2504" spans="1:20" x14ac:dyDescent="0.25">
      <c r="A2504">
        <v>20140228</v>
      </c>
      <c r="B2504">
        <v>2014</v>
      </c>
      <c r="C2504">
        <v>2</v>
      </c>
      <c r="D2504">
        <v>1</v>
      </c>
      <c r="E2504">
        <v>11670</v>
      </c>
      <c r="F2504">
        <v>188333.33</v>
      </c>
      <c r="G2504">
        <v>165835.35</v>
      </c>
      <c r="H2504">
        <v>0</v>
      </c>
      <c r="I2504">
        <v>0</v>
      </c>
      <c r="J2504">
        <v>0</v>
      </c>
      <c r="K2504">
        <v>0</v>
      </c>
      <c r="L2504">
        <v>30357315.41</v>
      </c>
      <c r="M2504">
        <v>30523150.760000002</v>
      </c>
      <c r="N2504">
        <v>30357315.41</v>
      </c>
      <c r="O2504">
        <v>30523150.760000002</v>
      </c>
      <c r="P2504">
        <v>30357315.41</v>
      </c>
      <c r="Q2504">
        <v>30523150.760000002</v>
      </c>
      <c r="R2504" s="14">
        <f>_xlfn.XLOOKUP(Table2[[#This Row],[LoanID]],Table1[G-L ID],Table1[ManagerCode],-99)</f>
        <v>183</v>
      </c>
      <c r="T2504"/>
    </row>
    <row r="2505" spans="1:20" x14ac:dyDescent="0.25">
      <c r="A2505">
        <v>20140228</v>
      </c>
      <c r="B2505">
        <v>2014</v>
      </c>
      <c r="C2505">
        <v>2</v>
      </c>
      <c r="D2505">
        <v>1</v>
      </c>
      <c r="E2505">
        <v>11680</v>
      </c>
      <c r="F2505">
        <v>57126.559999999998</v>
      </c>
      <c r="G2505">
        <v>0</v>
      </c>
      <c r="H2505">
        <v>0</v>
      </c>
      <c r="I2505">
        <v>0</v>
      </c>
      <c r="J2505">
        <v>0</v>
      </c>
      <c r="K2505">
        <v>0</v>
      </c>
      <c r="L2505">
        <v>6600000</v>
      </c>
      <c r="M2505">
        <v>6600000</v>
      </c>
      <c r="N2505">
        <v>6600000</v>
      </c>
      <c r="O2505">
        <v>6600000</v>
      </c>
      <c r="P2505">
        <v>6600000</v>
      </c>
      <c r="Q2505">
        <v>6600000</v>
      </c>
      <c r="R2505" s="14">
        <f>_xlfn.XLOOKUP(Table2[[#This Row],[LoanID]],Table1[G-L ID],Table1[ManagerCode],-99)</f>
        <v>183</v>
      </c>
      <c r="T2505"/>
    </row>
    <row r="2506" spans="1:20" x14ac:dyDescent="0.25">
      <c r="A2506">
        <v>20140228</v>
      </c>
      <c r="B2506">
        <v>2014</v>
      </c>
      <c r="C2506">
        <v>2</v>
      </c>
      <c r="D2506">
        <v>1</v>
      </c>
      <c r="E2506">
        <v>11710</v>
      </c>
      <c r="F2506">
        <v>103148.8</v>
      </c>
      <c r="G2506">
        <v>0</v>
      </c>
      <c r="H2506">
        <v>0</v>
      </c>
      <c r="I2506">
        <v>0</v>
      </c>
      <c r="J2506">
        <v>0</v>
      </c>
      <c r="K2506">
        <v>0</v>
      </c>
      <c r="L2506">
        <v>12000000</v>
      </c>
      <c r="M2506">
        <v>12000000</v>
      </c>
      <c r="N2506">
        <v>12000000</v>
      </c>
      <c r="O2506">
        <v>12000000</v>
      </c>
      <c r="P2506">
        <v>12000000</v>
      </c>
      <c r="Q2506">
        <v>12000000</v>
      </c>
      <c r="R2506" s="14">
        <f>_xlfn.XLOOKUP(Table2[[#This Row],[LoanID]],Table1[G-L ID],Table1[ManagerCode],-99)</f>
        <v>119</v>
      </c>
      <c r="T2506"/>
    </row>
    <row r="2507" spans="1:20" x14ac:dyDescent="0.25">
      <c r="A2507">
        <v>20140228</v>
      </c>
      <c r="B2507">
        <v>2014</v>
      </c>
      <c r="C2507">
        <v>2</v>
      </c>
      <c r="D2507">
        <v>1</v>
      </c>
      <c r="E2507">
        <v>11740</v>
      </c>
      <c r="F2507">
        <v>170500</v>
      </c>
      <c r="G2507">
        <v>0</v>
      </c>
      <c r="H2507">
        <v>0</v>
      </c>
      <c r="I2507">
        <v>0</v>
      </c>
      <c r="J2507">
        <v>0</v>
      </c>
      <c r="K2507">
        <v>0</v>
      </c>
      <c r="L2507">
        <v>18600000</v>
      </c>
      <c r="M2507">
        <v>18600000</v>
      </c>
      <c r="N2507">
        <v>18600000</v>
      </c>
      <c r="O2507">
        <v>18600000</v>
      </c>
      <c r="P2507">
        <v>18600000</v>
      </c>
      <c r="Q2507">
        <v>18600000</v>
      </c>
      <c r="R2507" s="14">
        <f>_xlfn.XLOOKUP(Table2[[#This Row],[LoanID]],Table1[G-L ID],Table1[ManagerCode],-99)</f>
        <v>183</v>
      </c>
      <c r="T2507"/>
    </row>
    <row r="2508" spans="1:20" x14ac:dyDescent="0.25">
      <c r="A2508">
        <v>20140228</v>
      </c>
      <c r="B2508">
        <v>2014</v>
      </c>
      <c r="C2508">
        <v>2</v>
      </c>
      <c r="D2508">
        <v>1</v>
      </c>
      <c r="E2508">
        <v>11770</v>
      </c>
      <c r="F2508">
        <v>183598.87</v>
      </c>
      <c r="G2508">
        <v>0</v>
      </c>
      <c r="H2508">
        <v>0</v>
      </c>
      <c r="I2508">
        <v>0</v>
      </c>
      <c r="J2508">
        <v>0</v>
      </c>
      <c r="K2508">
        <v>0</v>
      </c>
      <c r="L2508">
        <v>25306142.239999998</v>
      </c>
      <c r="M2508">
        <v>25306142.239999998</v>
      </c>
      <c r="N2508">
        <v>25306142.239999998</v>
      </c>
      <c r="O2508">
        <v>25306142.239999998</v>
      </c>
      <c r="P2508">
        <v>25306142.239999998</v>
      </c>
      <c r="Q2508">
        <v>25306142.239999998</v>
      </c>
      <c r="R2508" s="14">
        <f>_xlfn.XLOOKUP(Table2[[#This Row],[LoanID]],Table1[G-L ID],Table1[ManagerCode],-99)</f>
        <v>119</v>
      </c>
      <c r="T2508"/>
    </row>
    <row r="2509" spans="1:20" x14ac:dyDescent="0.25">
      <c r="A2509">
        <v>20140228</v>
      </c>
      <c r="B2509">
        <v>2014</v>
      </c>
      <c r="C2509">
        <v>2</v>
      </c>
      <c r="D2509">
        <v>1</v>
      </c>
      <c r="E2509">
        <v>11780</v>
      </c>
      <c r="F2509">
        <v>122840.52</v>
      </c>
      <c r="G2509">
        <v>0</v>
      </c>
      <c r="H2509">
        <v>0</v>
      </c>
      <c r="I2509">
        <v>-1115.76</v>
      </c>
      <c r="J2509">
        <v>0</v>
      </c>
      <c r="K2509">
        <v>0</v>
      </c>
      <c r="L2509">
        <v>42883514</v>
      </c>
      <c r="M2509">
        <v>42883514</v>
      </c>
      <c r="N2509">
        <v>42883514</v>
      </c>
      <c r="O2509">
        <v>42883514</v>
      </c>
      <c r="P2509">
        <v>64786446.619999997</v>
      </c>
      <c r="Q2509">
        <v>64786446.619999997</v>
      </c>
      <c r="R2509" s="14">
        <f>_xlfn.XLOOKUP(Table2[[#This Row],[LoanID]],Table1[G-L ID],Table1[ManagerCode],-99)</f>
        <v>103</v>
      </c>
      <c r="T2509"/>
    </row>
    <row r="2510" spans="1:20" x14ac:dyDescent="0.25">
      <c r="A2510">
        <v>20140228</v>
      </c>
      <c r="B2510">
        <v>2014</v>
      </c>
      <c r="C2510">
        <v>2</v>
      </c>
      <c r="D2510">
        <v>1</v>
      </c>
      <c r="E2510">
        <v>11810</v>
      </c>
      <c r="F2510">
        <v>50125.19</v>
      </c>
      <c r="G2510">
        <v>0</v>
      </c>
      <c r="H2510">
        <v>0</v>
      </c>
      <c r="I2510">
        <v>0</v>
      </c>
      <c r="J2510">
        <v>0</v>
      </c>
      <c r="K2510">
        <v>10732.9</v>
      </c>
      <c r="L2510">
        <v>9698489.6999999993</v>
      </c>
      <c r="M2510">
        <v>9687864.1400000006</v>
      </c>
      <c r="N2510">
        <v>9698489.6999999993</v>
      </c>
      <c r="O2510">
        <v>9687864.1400000006</v>
      </c>
      <c r="P2510">
        <v>9796454.2400000002</v>
      </c>
      <c r="Q2510">
        <v>9785721.3399999999</v>
      </c>
      <c r="R2510" s="14">
        <f>_xlfn.XLOOKUP(Table2[[#This Row],[LoanID]],Table1[G-L ID],Table1[ManagerCode],-99)</f>
        <v>103</v>
      </c>
      <c r="T2510"/>
    </row>
    <row r="2511" spans="1:20" x14ac:dyDescent="0.25">
      <c r="A2511">
        <v>20140228</v>
      </c>
      <c r="B2511">
        <v>2014</v>
      </c>
      <c r="C2511">
        <v>2</v>
      </c>
      <c r="D2511">
        <v>1</v>
      </c>
      <c r="E2511">
        <v>11840</v>
      </c>
      <c r="F2511">
        <v>52501.8</v>
      </c>
      <c r="G2511">
        <v>88306.17</v>
      </c>
      <c r="H2511">
        <v>0</v>
      </c>
      <c r="I2511">
        <v>0</v>
      </c>
      <c r="J2511">
        <v>0</v>
      </c>
      <c r="K2511">
        <v>0</v>
      </c>
      <c r="L2511">
        <v>11653073.550000001</v>
      </c>
      <c r="M2511">
        <v>11741379.720000001</v>
      </c>
      <c r="N2511">
        <v>11653073.550000001</v>
      </c>
      <c r="O2511">
        <v>11741379.720000001</v>
      </c>
      <c r="P2511">
        <v>11653073.550000001</v>
      </c>
      <c r="Q2511">
        <v>11741379.720000001</v>
      </c>
      <c r="R2511" s="14">
        <f>_xlfn.XLOOKUP(Table2[[#This Row],[LoanID]],Table1[G-L ID],Table1[ManagerCode],-99)</f>
        <v>183</v>
      </c>
      <c r="T2511"/>
    </row>
    <row r="2512" spans="1:20" x14ac:dyDescent="0.25">
      <c r="A2512">
        <v>20140228</v>
      </c>
      <c r="B2512">
        <v>2014</v>
      </c>
      <c r="C2512">
        <v>2</v>
      </c>
      <c r="D2512">
        <v>1</v>
      </c>
      <c r="E2512">
        <v>11880</v>
      </c>
      <c r="F2512">
        <v>89470.09</v>
      </c>
      <c r="G2512">
        <v>113168.57</v>
      </c>
      <c r="H2512">
        <v>0</v>
      </c>
      <c r="I2512">
        <v>0</v>
      </c>
      <c r="J2512">
        <v>-2341879.5</v>
      </c>
      <c r="K2512">
        <v>0</v>
      </c>
      <c r="L2512">
        <v>18619648.030000001</v>
      </c>
      <c r="M2512">
        <v>21074696.100000001</v>
      </c>
      <c r="N2512">
        <v>18619648.030000001</v>
      </c>
      <c r="O2512">
        <v>21074696.100000001</v>
      </c>
      <c r="P2512">
        <v>18619648.030000001</v>
      </c>
      <c r="Q2512">
        <v>21074696.100000001</v>
      </c>
      <c r="R2512" s="14">
        <f>_xlfn.XLOOKUP(Table2[[#This Row],[LoanID]],Table1[G-L ID],Table1[ManagerCode],-99)</f>
        <v>183</v>
      </c>
      <c r="T2512"/>
    </row>
    <row r="2513" spans="1:20" x14ac:dyDescent="0.25">
      <c r="A2513">
        <v>20140228</v>
      </c>
      <c r="B2513">
        <v>2014</v>
      </c>
      <c r="C2513">
        <v>2</v>
      </c>
      <c r="D2513">
        <v>1</v>
      </c>
      <c r="E2513">
        <v>11920</v>
      </c>
      <c r="F2513">
        <v>96730.76</v>
      </c>
      <c r="G2513">
        <v>0</v>
      </c>
      <c r="H2513">
        <v>0</v>
      </c>
      <c r="I2513">
        <v>0</v>
      </c>
      <c r="J2513">
        <v>0</v>
      </c>
      <c r="K2513">
        <v>0</v>
      </c>
      <c r="L2513">
        <v>12250000</v>
      </c>
      <c r="M2513">
        <v>12250000</v>
      </c>
      <c r="N2513">
        <v>12250000</v>
      </c>
      <c r="O2513">
        <v>12250000</v>
      </c>
      <c r="P2513">
        <v>12250000</v>
      </c>
      <c r="Q2513">
        <v>12250000</v>
      </c>
      <c r="R2513" s="14">
        <f>_xlfn.XLOOKUP(Table2[[#This Row],[LoanID]],Table1[G-L ID],Table1[ManagerCode],-99)</f>
        <v>220</v>
      </c>
      <c r="T2513"/>
    </row>
    <row r="2514" spans="1:20" x14ac:dyDescent="0.25">
      <c r="A2514">
        <v>20140228</v>
      </c>
      <c r="B2514">
        <v>2014</v>
      </c>
      <c r="C2514">
        <v>2</v>
      </c>
      <c r="D2514">
        <v>1</v>
      </c>
      <c r="E2514">
        <v>11970</v>
      </c>
      <c r="F2514">
        <v>85000</v>
      </c>
      <c r="G2514">
        <v>54843.02</v>
      </c>
      <c r="H2514">
        <v>85000</v>
      </c>
      <c r="I2514">
        <v>0</v>
      </c>
      <c r="J2514">
        <v>0</v>
      </c>
      <c r="K2514">
        <v>0</v>
      </c>
      <c r="L2514">
        <v>9322868.1500000004</v>
      </c>
      <c r="M2514">
        <v>9377711.1699999999</v>
      </c>
      <c r="N2514">
        <v>9322868.1500000004</v>
      </c>
      <c r="O2514">
        <v>9377711.1699999999</v>
      </c>
      <c r="P2514">
        <v>9322868.1500000004</v>
      </c>
      <c r="Q2514">
        <v>9377711.1699999999</v>
      </c>
      <c r="R2514" s="14">
        <f>_xlfn.XLOOKUP(Table2[[#This Row],[LoanID]],Table1[G-L ID],Table1[ManagerCode],-99)</f>
        <v>183</v>
      </c>
      <c r="T2514"/>
    </row>
    <row r="2515" spans="1:20" x14ac:dyDescent="0.25">
      <c r="A2515">
        <v>20140228</v>
      </c>
      <c r="B2515">
        <v>2014</v>
      </c>
      <c r="C2515">
        <v>2</v>
      </c>
      <c r="D2515">
        <v>1</v>
      </c>
      <c r="E2515">
        <v>12020</v>
      </c>
      <c r="F2515">
        <v>65000</v>
      </c>
      <c r="G2515">
        <v>-122968.75</v>
      </c>
      <c r="H2515">
        <v>0</v>
      </c>
      <c r="I2515">
        <v>0</v>
      </c>
      <c r="J2515">
        <v>0</v>
      </c>
      <c r="K2515">
        <v>0</v>
      </c>
      <c r="L2515">
        <v>10355302.17</v>
      </c>
      <c r="M2515">
        <v>10232333.42</v>
      </c>
      <c r="N2515">
        <v>10355302.17</v>
      </c>
      <c r="O2515">
        <v>10232333.42</v>
      </c>
      <c r="P2515">
        <v>10355302.17</v>
      </c>
      <c r="Q2515">
        <v>10232333.42</v>
      </c>
      <c r="R2515" s="14">
        <f>_xlfn.XLOOKUP(Table2[[#This Row],[LoanID]],Table1[G-L ID],Table1[ManagerCode],-99)</f>
        <v>183</v>
      </c>
      <c r="T2515"/>
    </row>
    <row r="2516" spans="1:20" x14ac:dyDescent="0.25">
      <c r="A2516">
        <v>20140228</v>
      </c>
      <c r="B2516">
        <v>2014</v>
      </c>
      <c r="C2516">
        <v>2</v>
      </c>
      <c r="D2516">
        <v>1</v>
      </c>
      <c r="E2516">
        <v>12080</v>
      </c>
      <c r="F2516">
        <v>314911.84000000003</v>
      </c>
      <c r="G2516">
        <v>0</v>
      </c>
      <c r="H2516">
        <v>0</v>
      </c>
      <c r="I2516">
        <v>0</v>
      </c>
      <c r="J2516">
        <v>0</v>
      </c>
      <c r="K2516">
        <v>22559</v>
      </c>
      <c r="L2516">
        <v>38822088.439999998</v>
      </c>
      <c r="M2516">
        <v>38799529.439999998</v>
      </c>
      <c r="N2516">
        <v>38822088.439999998</v>
      </c>
      <c r="O2516">
        <v>38799529.439999998</v>
      </c>
      <c r="P2516">
        <v>38822088.439999998</v>
      </c>
      <c r="Q2516">
        <v>38799529.439999998</v>
      </c>
      <c r="R2516" s="14">
        <f>_xlfn.XLOOKUP(Table2[[#This Row],[LoanID]],Table1[G-L ID],Table1[ManagerCode],-99)</f>
        <v>119</v>
      </c>
      <c r="T2516"/>
    </row>
    <row r="2517" spans="1:20" x14ac:dyDescent="0.25">
      <c r="A2517">
        <v>20140228</v>
      </c>
      <c r="B2517">
        <v>2014</v>
      </c>
      <c r="C2517">
        <v>2</v>
      </c>
      <c r="D2517">
        <v>1</v>
      </c>
      <c r="E2517">
        <v>12090</v>
      </c>
      <c r="F2517">
        <v>0</v>
      </c>
      <c r="G2517">
        <v>0</v>
      </c>
      <c r="H2517">
        <v>0</v>
      </c>
      <c r="I2517">
        <v>0</v>
      </c>
      <c r="J2517">
        <v>0</v>
      </c>
      <c r="K2517">
        <v>0</v>
      </c>
      <c r="L2517">
        <v>17500000</v>
      </c>
      <c r="M2517">
        <v>17500000</v>
      </c>
      <c r="N2517">
        <v>17500000</v>
      </c>
      <c r="O2517">
        <v>17500000</v>
      </c>
      <c r="P2517">
        <v>17500000</v>
      </c>
      <c r="Q2517">
        <v>17500000</v>
      </c>
      <c r="R2517" s="14">
        <f>_xlfn.XLOOKUP(Table2[[#This Row],[LoanID]],Table1[G-L ID],Table1[ManagerCode],-99)</f>
        <v>220</v>
      </c>
      <c r="T2517"/>
    </row>
    <row r="2518" spans="1:20" x14ac:dyDescent="0.25">
      <c r="A2518">
        <v>20140228</v>
      </c>
      <c r="B2518">
        <v>2014</v>
      </c>
      <c r="C2518">
        <v>2</v>
      </c>
      <c r="D2518">
        <v>1</v>
      </c>
      <c r="E2518">
        <v>12100</v>
      </c>
      <c r="F2518">
        <v>47761.32</v>
      </c>
      <c r="G2518">
        <v>79460.81</v>
      </c>
      <c r="H2518">
        <v>0</v>
      </c>
      <c r="I2518">
        <v>0</v>
      </c>
      <c r="J2518">
        <v>-47761.32</v>
      </c>
      <c r="K2518">
        <v>0</v>
      </c>
      <c r="L2518">
        <v>10516998.18</v>
      </c>
      <c r="M2518">
        <v>10644220.310000001</v>
      </c>
      <c r="N2518">
        <v>10516998.18</v>
      </c>
      <c r="O2518">
        <v>10644220.310000001</v>
      </c>
      <c r="P2518">
        <v>10516998.18</v>
      </c>
      <c r="Q2518">
        <v>10644220.310000001</v>
      </c>
      <c r="R2518" s="14">
        <f>_xlfn.XLOOKUP(Table2[[#This Row],[LoanID]],Table1[G-L ID],Table1[ManagerCode],-99)</f>
        <v>183</v>
      </c>
      <c r="T2518"/>
    </row>
    <row r="2519" spans="1:20" x14ac:dyDescent="0.25">
      <c r="A2519">
        <v>20140228</v>
      </c>
      <c r="B2519">
        <v>2014</v>
      </c>
      <c r="C2519">
        <v>2</v>
      </c>
      <c r="D2519">
        <v>1</v>
      </c>
      <c r="E2519">
        <v>12190</v>
      </c>
      <c r="F2519">
        <v>255500</v>
      </c>
      <c r="G2519">
        <v>0</v>
      </c>
      <c r="H2519">
        <v>0</v>
      </c>
      <c r="I2519">
        <v>0</v>
      </c>
      <c r="J2519">
        <v>0</v>
      </c>
      <c r="K2519">
        <v>0</v>
      </c>
      <c r="L2519">
        <v>37500000</v>
      </c>
      <c r="M2519">
        <v>37500000</v>
      </c>
      <c r="N2519">
        <v>37500000</v>
      </c>
      <c r="O2519">
        <v>37500000</v>
      </c>
      <c r="P2519">
        <v>37500000</v>
      </c>
      <c r="Q2519">
        <v>37500000</v>
      </c>
      <c r="R2519" s="14">
        <f>_xlfn.XLOOKUP(Table2[[#This Row],[LoanID]],Table1[G-L ID],Table1[ManagerCode],-99)</f>
        <v>220</v>
      </c>
      <c r="T2519"/>
    </row>
    <row r="2520" spans="1:20" x14ac:dyDescent="0.25">
      <c r="A2520">
        <v>20140228</v>
      </c>
      <c r="B2520">
        <v>2014</v>
      </c>
      <c r="C2520">
        <v>2</v>
      </c>
      <c r="D2520">
        <v>1</v>
      </c>
      <c r="E2520">
        <v>12210</v>
      </c>
      <c r="F2520">
        <v>690584</v>
      </c>
      <c r="G2520">
        <v>0</v>
      </c>
      <c r="H2520">
        <v>0</v>
      </c>
      <c r="I2520">
        <v>0</v>
      </c>
      <c r="J2520">
        <v>0</v>
      </c>
      <c r="K2520">
        <v>209161.43</v>
      </c>
      <c r="L2520">
        <v>130290671.2</v>
      </c>
      <c r="M2520">
        <v>129797336.2</v>
      </c>
      <c r="N2520">
        <v>130290671.2</v>
      </c>
      <c r="O2520">
        <v>129797336.2</v>
      </c>
      <c r="P2520">
        <v>111737606.90000001</v>
      </c>
      <c r="Q2520">
        <v>111528445.40000001</v>
      </c>
      <c r="R2520" s="14">
        <f>_xlfn.XLOOKUP(Table2[[#This Row],[LoanID]],Table1[G-L ID],Table1[ManagerCode],-99)</f>
        <v>103</v>
      </c>
      <c r="T2520"/>
    </row>
    <row r="2521" spans="1:20" x14ac:dyDescent="0.25">
      <c r="A2521">
        <v>20140228</v>
      </c>
      <c r="B2521">
        <v>2014</v>
      </c>
      <c r="C2521">
        <v>2</v>
      </c>
      <c r="D2521">
        <v>1</v>
      </c>
      <c r="E2521">
        <v>12230</v>
      </c>
      <c r="F2521">
        <v>116058.48</v>
      </c>
      <c r="G2521">
        <v>0</v>
      </c>
      <c r="H2521">
        <v>0</v>
      </c>
      <c r="I2521">
        <v>0</v>
      </c>
      <c r="J2521">
        <v>0</v>
      </c>
      <c r="K2521">
        <v>2018541.77</v>
      </c>
      <c r="L2521">
        <v>22825896.390000001</v>
      </c>
      <c r="M2521">
        <v>20298160.120000001</v>
      </c>
      <c r="N2521">
        <v>16268194.390000001</v>
      </c>
      <c r="O2521">
        <v>14249652.619999999</v>
      </c>
      <c r="P2521">
        <v>21721827.210000001</v>
      </c>
      <c r="Q2521">
        <v>19194090.940000001</v>
      </c>
      <c r="R2521" s="14">
        <f>_xlfn.XLOOKUP(Table2[[#This Row],[LoanID]],Table1[G-L ID],Table1[ManagerCode],-99)</f>
        <v>183</v>
      </c>
      <c r="T2521"/>
    </row>
    <row r="2522" spans="1:20" x14ac:dyDescent="0.25">
      <c r="A2522">
        <v>20140228</v>
      </c>
      <c r="B2522">
        <v>2014</v>
      </c>
      <c r="C2522">
        <v>2</v>
      </c>
      <c r="D2522">
        <v>1</v>
      </c>
      <c r="E2522">
        <v>15580</v>
      </c>
      <c r="F2522">
        <v>119225.62</v>
      </c>
      <c r="G2522">
        <v>-11568</v>
      </c>
      <c r="H2522">
        <v>0</v>
      </c>
      <c r="I2522">
        <v>0</v>
      </c>
      <c r="J2522">
        <v>0</v>
      </c>
      <c r="K2522">
        <v>4175.6899999999996</v>
      </c>
      <c r="L2522">
        <v>15087394.460000001</v>
      </c>
      <c r="M2522">
        <v>15071650.77</v>
      </c>
      <c r="N2522">
        <v>15087394.460000001</v>
      </c>
      <c r="O2522">
        <v>15071650.77</v>
      </c>
      <c r="P2522">
        <v>15087394.460000001</v>
      </c>
      <c r="Q2522">
        <v>15071650.77</v>
      </c>
      <c r="R2522" s="14">
        <f>_xlfn.XLOOKUP(Table2[[#This Row],[LoanID]],Table1[G-L ID],Table1[ManagerCode],-99)</f>
        <v>212</v>
      </c>
      <c r="T2522"/>
    </row>
    <row r="2523" spans="1:20" x14ac:dyDescent="0.25">
      <c r="A2523">
        <v>20140331</v>
      </c>
      <c r="B2523">
        <v>2014</v>
      </c>
      <c r="C2523">
        <v>3</v>
      </c>
      <c r="D2523">
        <v>1</v>
      </c>
      <c r="E2523">
        <v>10050</v>
      </c>
      <c r="F2523">
        <v>139079.63</v>
      </c>
      <c r="G2523">
        <v>0</v>
      </c>
      <c r="H2523">
        <v>0</v>
      </c>
      <c r="I2523">
        <v>0</v>
      </c>
      <c r="J2523">
        <v>0</v>
      </c>
      <c r="K2523">
        <v>0</v>
      </c>
      <c r="L2523">
        <v>35078501.369999997</v>
      </c>
      <c r="M2523">
        <v>36784693.200000003</v>
      </c>
      <c r="N2523">
        <v>35078501.369999997</v>
      </c>
      <c r="O2523">
        <v>36784693.200000003</v>
      </c>
      <c r="P2523">
        <v>33333334</v>
      </c>
      <c r="Q2523">
        <v>33333334</v>
      </c>
      <c r="R2523" s="14">
        <f>_xlfn.XLOOKUP(Table2[[#This Row],[LoanID]],Table1[G-L ID],Table1[ManagerCode],-99)</f>
        <v>103</v>
      </c>
      <c r="T2523"/>
    </row>
    <row r="2524" spans="1:20" x14ac:dyDescent="0.25">
      <c r="A2524">
        <v>20140331</v>
      </c>
      <c r="B2524">
        <v>2014</v>
      </c>
      <c r="C2524">
        <v>3</v>
      </c>
      <c r="D2524">
        <v>1</v>
      </c>
      <c r="E2524">
        <v>10060</v>
      </c>
      <c r="F2524">
        <v>120833.33</v>
      </c>
      <c r="G2524">
        <v>0</v>
      </c>
      <c r="H2524">
        <v>0</v>
      </c>
      <c r="I2524">
        <v>0</v>
      </c>
      <c r="J2524">
        <v>0</v>
      </c>
      <c r="K2524">
        <v>0</v>
      </c>
      <c r="L2524">
        <v>19000000</v>
      </c>
      <c r="M2524">
        <v>19000000</v>
      </c>
      <c r="N2524">
        <v>19000000</v>
      </c>
      <c r="O2524">
        <v>19000000</v>
      </c>
      <c r="P2524">
        <v>20000000</v>
      </c>
      <c r="Q2524">
        <v>20000000</v>
      </c>
      <c r="R2524" s="14">
        <f>_xlfn.XLOOKUP(Table2[[#This Row],[LoanID]],Table1[G-L ID],Table1[ManagerCode],-99)</f>
        <v>103</v>
      </c>
      <c r="T2524"/>
    </row>
    <row r="2525" spans="1:20" x14ac:dyDescent="0.25">
      <c r="A2525">
        <v>20140331</v>
      </c>
      <c r="B2525">
        <v>2014</v>
      </c>
      <c r="C2525">
        <v>3</v>
      </c>
      <c r="D2525">
        <v>1</v>
      </c>
      <c r="E2525">
        <v>10080</v>
      </c>
      <c r="F2525">
        <v>317070.83</v>
      </c>
      <c r="G2525">
        <v>0</v>
      </c>
      <c r="H2525">
        <v>0</v>
      </c>
      <c r="I2525">
        <v>-145.83000000000001</v>
      </c>
      <c r="J2525">
        <v>0</v>
      </c>
      <c r="K2525">
        <v>0</v>
      </c>
      <c r="L2525">
        <v>77054372.900000006</v>
      </c>
      <c r="M2525">
        <v>77469328.329999998</v>
      </c>
      <c r="N2525">
        <v>77054372.900000006</v>
      </c>
      <c r="O2525">
        <v>77469328.329999998</v>
      </c>
      <c r="P2525">
        <v>75000000</v>
      </c>
      <c r="Q2525">
        <v>75000000</v>
      </c>
      <c r="R2525" s="14">
        <f>_xlfn.XLOOKUP(Table2[[#This Row],[LoanID]],Table1[G-L ID],Table1[ManagerCode],-99)</f>
        <v>103</v>
      </c>
      <c r="T2525"/>
    </row>
    <row r="2526" spans="1:20" x14ac:dyDescent="0.25">
      <c r="A2526">
        <v>20140331</v>
      </c>
      <c r="B2526">
        <v>2014</v>
      </c>
      <c r="C2526">
        <v>3</v>
      </c>
      <c r="D2526">
        <v>1</v>
      </c>
      <c r="E2526">
        <v>10090</v>
      </c>
      <c r="F2526">
        <v>115319.44</v>
      </c>
      <c r="G2526">
        <v>0</v>
      </c>
      <c r="H2526">
        <v>0</v>
      </c>
      <c r="I2526">
        <v>0</v>
      </c>
      <c r="J2526">
        <v>0</v>
      </c>
      <c r="K2526">
        <v>0</v>
      </c>
      <c r="L2526">
        <v>23000000</v>
      </c>
      <c r="M2526">
        <v>23000000</v>
      </c>
      <c r="N2526">
        <v>23000000</v>
      </c>
      <c r="O2526">
        <v>23000000</v>
      </c>
      <c r="P2526">
        <v>23000000</v>
      </c>
      <c r="Q2526">
        <v>23000000</v>
      </c>
      <c r="R2526" s="14">
        <f>_xlfn.XLOOKUP(Table2[[#This Row],[LoanID]],Table1[G-L ID],Table1[ManagerCode],-99)</f>
        <v>119</v>
      </c>
      <c r="T2526"/>
    </row>
    <row r="2527" spans="1:20" x14ac:dyDescent="0.25">
      <c r="A2527">
        <v>20140331</v>
      </c>
      <c r="B2527">
        <v>2014</v>
      </c>
      <c r="C2527">
        <v>3</v>
      </c>
      <c r="D2527">
        <v>1</v>
      </c>
      <c r="E2527">
        <v>10170</v>
      </c>
      <c r="F2527">
        <v>215057.4</v>
      </c>
      <c r="G2527">
        <v>0</v>
      </c>
      <c r="H2527">
        <v>0</v>
      </c>
      <c r="I2527">
        <v>-1030.6300000000001</v>
      </c>
      <c r="J2527">
        <v>0</v>
      </c>
      <c r="K2527">
        <v>95542.01</v>
      </c>
      <c r="L2527">
        <v>45316070.869999997</v>
      </c>
      <c r="M2527">
        <v>45079618.5</v>
      </c>
      <c r="N2527">
        <v>45316070.869999997</v>
      </c>
      <c r="O2527">
        <v>45079618.5</v>
      </c>
      <c r="P2527">
        <v>44169708.240000002</v>
      </c>
      <c r="Q2527">
        <v>44074166.229999997</v>
      </c>
      <c r="R2527" s="14">
        <f>_xlfn.XLOOKUP(Table2[[#This Row],[LoanID]],Table1[G-L ID],Table1[ManagerCode],-99)</f>
        <v>103</v>
      </c>
      <c r="T2527"/>
    </row>
    <row r="2528" spans="1:20" x14ac:dyDescent="0.25">
      <c r="A2528">
        <v>20140331</v>
      </c>
      <c r="B2528">
        <v>2014</v>
      </c>
      <c r="C2528">
        <v>3</v>
      </c>
      <c r="D2528">
        <v>1</v>
      </c>
      <c r="E2528">
        <v>10190</v>
      </c>
      <c r="F2528">
        <v>41666.67</v>
      </c>
      <c r="G2528">
        <v>0</v>
      </c>
      <c r="H2528">
        <v>0</v>
      </c>
      <c r="I2528">
        <v>0</v>
      </c>
      <c r="J2528">
        <v>0</v>
      </c>
      <c r="K2528">
        <v>0</v>
      </c>
      <c r="L2528">
        <v>9500000</v>
      </c>
      <c r="M2528">
        <v>9500000</v>
      </c>
      <c r="N2528">
        <v>9500000</v>
      </c>
      <c r="O2528">
        <v>9500000</v>
      </c>
      <c r="P2528">
        <v>10000000</v>
      </c>
      <c r="Q2528">
        <v>10000000</v>
      </c>
      <c r="R2528" s="14">
        <f>_xlfn.XLOOKUP(Table2[[#This Row],[LoanID]],Table1[G-L ID],Table1[ManagerCode],-99)</f>
        <v>103</v>
      </c>
      <c r="T2528"/>
    </row>
    <row r="2529" spans="1:20" x14ac:dyDescent="0.25">
      <c r="A2529">
        <v>20140331</v>
      </c>
      <c r="B2529">
        <v>2014</v>
      </c>
      <c r="C2529">
        <v>3</v>
      </c>
      <c r="D2529">
        <v>1</v>
      </c>
      <c r="E2529">
        <v>10200</v>
      </c>
      <c r="F2529">
        <v>128541.67</v>
      </c>
      <c r="G2529">
        <v>0</v>
      </c>
      <c r="H2529">
        <v>0</v>
      </c>
      <c r="I2529">
        <v>0</v>
      </c>
      <c r="J2529">
        <v>0</v>
      </c>
      <c r="K2529">
        <v>0</v>
      </c>
      <c r="L2529">
        <v>29307500</v>
      </c>
      <c r="M2529">
        <v>29307500</v>
      </c>
      <c r="N2529">
        <v>29307500</v>
      </c>
      <c r="O2529">
        <v>29307500</v>
      </c>
      <c r="P2529">
        <v>30850000</v>
      </c>
      <c r="Q2529">
        <v>30850000</v>
      </c>
      <c r="R2529" s="14">
        <f>_xlfn.XLOOKUP(Table2[[#This Row],[LoanID]],Table1[G-L ID],Table1[ManagerCode],-99)</f>
        <v>103</v>
      </c>
      <c r="T2529"/>
    </row>
    <row r="2530" spans="1:20" x14ac:dyDescent="0.25">
      <c r="A2530">
        <v>20140331</v>
      </c>
      <c r="B2530">
        <v>2014</v>
      </c>
      <c r="C2530">
        <v>3</v>
      </c>
      <c r="D2530">
        <v>1</v>
      </c>
      <c r="E2530">
        <v>10220</v>
      </c>
      <c r="F2530">
        <v>505555.56</v>
      </c>
      <c r="G2530">
        <v>0</v>
      </c>
      <c r="H2530">
        <v>0</v>
      </c>
      <c r="I2530">
        <v>0</v>
      </c>
      <c r="J2530">
        <v>0</v>
      </c>
      <c r="K2530">
        <v>0</v>
      </c>
      <c r="L2530">
        <v>99000000</v>
      </c>
      <c r="M2530">
        <v>99000000</v>
      </c>
      <c r="N2530">
        <v>99000000</v>
      </c>
      <c r="O2530">
        <v>99000000</v>
      </c>
      <c r="P2530">
        <v>100000000</v>
      </c>
      <c r="Q2530">
        <v>100000000</v>
      </c>
      <c r="R2530" s="14">
        <f>_xlfn.XLOOKUP(Table2[[#This Row],[LoanID]],Table1[G-L ID],Table1[ManagerCode],-99)</f>
        <v>103</v>
      </c>
      <c r="T2530"/>
    </row>
    <row r="2531" spans="1:20" x14ac:dyDescent="0.25">
      <c r="A2531">
        <v>20140331</v>
      </c>
      <c r="B2531">
        <v>2014</v>
      </c>
      <c r="C2531">
        <v>3</v>
      </c>
      <c r="D2531">
        <v>1</v>
      </c>
      <c r="E2531">
        <v>10230</v>
      </c>
      <c r="F2531">
        <v>173082.48</v>
      </c>
      <c r="G2531">
        <v>0</v>
      </c>
      <c r="H2531">
        <v>0</v>
      </c>
      <c r="I2531">
        <v>0</v>
      </c>
      <c r="J2531">
        <v>0</v>
      </c>
      <c r="K2531">
        <v>68515.59</v>
      </c>
      <c r="L2531">
        <v>29275078.129999999</v>
      </c>
      <c r="M2531">
        <v>29209988.32</v>
      </c>
      <c r="N2531">
        <v>29275078.129999999</v>
      </c>
      <c r="O2531">
        <v>29209988.32</v>
      </c>
      <c r="P2531">
        <v>30815871.719999999</v>
      </c>
      <c r="Q2531">
        <v>30747356.129999999</v>
      </c>
      <c r="R2531" s="14">
        <f>_xlfn.XLOOKUP(Table2[[#This Row],[LoanID]],Table1[G-L ID],Table1[ManagerCode],-99)</f>
        <v>103</v>
      </c>
      <c r="T2531"/>
    </row>
    <row r="2532" spans="1:20" x14ac:dyDescent="0.25">
      <c r="A2532">
        <v>20140331</v>
      </c>
      <c r="B2532">
        <v>2014</v>
      </c>
      <c r="C2532">
        <v>3</v>
      </c>
      <c r="D2532">
        <v>1</v>
      </c>
      <c r="E2532">
        <v>10340</v>
      </c>
      <c r="F2532">
        <v>99871.8</v>
      </c>
      <c r="G2532">
        <v>0</v>
      </c>
      <c r="H2532">
        <v>0</v>
      </c>
      <c r="I2532">
        <v>0</v>
      </c>
      <c r="J2532">
        <v>0</v>
      </c>
      <c r="K2532">
        <v>0</v>
      </c>
      <c r="L2532">
        <v>12527473</v>
      </c>
      <c r="M2532">
        <v>12527473</v>
      </c>
      <c r="N2532">
        <v>12527473</v>
      </c>
      <c r="O2532">
        <v>12527473</v>
      </c>
      <c r="P2532">
        <v>12527473</v>
      </c>
      <c r="Q2532">
        <v>12527473</v>
      </c>
      <c r="R2532" s="14">
        <f>_xlfn.XLOOKUP(Table2[[#This Row],[LoanID]],Table1[G-L ID],Table1[ManagerCode],-99)</f>
        <v>220</v>
      </c>
      <c r="T2532"/>
    </row>
    <row r="2533" spans="1:20" x14ac:dyDescent="0.25">
      <c r="A2533">
        <v>20140331</v>
      </c>
      <c r="B2533">
        <v>2014</v>
      </c>
      <c r="C2533">
        <v>3</v>
      </c>
      <c r="D2533">
        <v>1</v>
      </c>
      <c r="E2533">
        <v>10400</v>
      </c>
      <c r="F2533">
        <v>0</v>
      </c>
      <c r="G2533">
        <v>0</v>
      </c>
      <c r="H2533">
        <v>0</v>
      </c>
      <c r="I2533">
        <v>0</v>
      </c>
      <c r="J2533">
        <v>0</v>
      </c>
      <c r="K2533">
        <v>0</v>
      </c>
      <c r="L2533">
        <v>45000000</v>
      </c>
      <c r="M2533">
        <v>45000000</v>
      </c>
      <c r="N2533">
        <v>45000000</v>
      </c>
      <c r="O2533">
        <v>45000000</v>
      </c>
      <c r="P2533">
        <v>45000000</v>
      </c>
      <c r="Q2533">
        <v>45000000</v>
      </c>
      <c r="R2533" s="14">
        <f>_xlfn.XLOOKUP(Table2[[#This Row],[LoanID]],Table1[G-L ID],Table1[ManagerCode],-99)</f>
        <v>220</v>
      </c>
      <c r="T2533"/>
    </row>
    <row r="2534" spans="1:20" x14ac:dyDescent="0.25">
      <c r="A2534">
        <v>20140331</v>
      </c>
      <c r="B2534">
        <v>2014</v>
      </c>
      <c r="C2534">
        <v>3</v>
      </c>
      <c r="D2534">
        <v>1</v>
      </c>
      <c r="E2534">
        <v>10430</v>
      </c>
      <c r="F2534">
        <v>55837.67</v>
      </c>
      <c r="G2534">
        <v>0</v>
      </c>
      <c r="H2534">
        <v>0</v>
      </c>
      <c r="I2534">
        <v>0</v>
      </c>
      <c r="J2534">
        <v>0</v>
      </c>
      <c r="K2534">
        <v>14875</v>
      </c>
      <c r="L2534">
        <v>6866125</v>
      </c>
      <c r="M2534">
        <v>6851250</v>
      </c>
      <c r="N2534">
        <v>6866125</v>
      </c>
      <c r="O2534">
        <v>6851250</v>
      </c>
      <c r="P2534">
        <v>6866125</v>
      </c>
      <c r="Q2534">
        <v>6851250</v>
      </c>
      <c r="R2534" s="14">
        <f>_xlfn.XLOOKUP(Table2[[#This Row],[LoanID]],Table1[G-L ID],Table1[ManagerCode],-99)</f>
        <v>119</v>
      </c>
      <c r="T2534"/>
    </row>
    <row r="2535" spans="1:20" x14ac:dyDescent="0.25">
      <c r="A2535">
        <v>20140331</v>
      </c>
      <c r="B2535">
        <v>2014</v>
      </c>
      <c r="C2535">
        <v>3</v>
      </c>
      <c r="D2535">
        <v>1</v>
      </c>
      <c r="E2535">
        <v>10460</v>
      </c>
      <c r="F2535">
        <v>0</v>
      </c>
      <c r="G2535">
        <v>0</v>
      </c>
      <c r="H2535">
        <v>0</v>
      </c>
      <c r="I2535">
        <v>0</v>
      </c>
      <c r="J2535">
        <v>0</v>
      </c>
      <c r="K2535">
        <v>0</v>
      </c>
      <c r="L2535">
        <v>61910969.68</v>
      </c>
      <c r="M2535">
        <v>61980424.649999999</v>
      </c>
      <c r="N2535">
        <v>61910969.68</v>
      </c>
      <c r="O2535">
        <v>61980424.649999999</v>
      </c>
      <c r="P2535">
        <v>60000000</v>
      </c>
      <c r="Q2535">
        <v>60000000</v>
      </c>
      <c r="R2535" s="14">
        <f>_xlfn.XLOOKUP(Table2[[#This Row],[LoanID]],Table1[G-L ID],Table1[ManagerCode],-99)</f>
        <v>103</v>
      </c>
      <c r="T2535"/>
    </row>
    <row r="2536" spans="1:20" x14ac:dyDescent="0.25">
      <c r="A2536">
        <v>20140331</v>
      </c>
      <c r="B2536">
        <v>2014</v>
      </c>
      <c r="C2536">
        <v>3</v>
      </c>
      <c r="D2536">
        <v>1</v>
      </c>
      <c r="E2536">
        <v>10510</v>
      </c>
      <c r="F2536">
        <v>262051.88</v>
      </c>
      <c r="G2536">
        <v>0</v>
      </c>
      <c r="H2536">
        <v>0</v>
      </c>
      <c r="I2536">
        <v>0</v>
      </c>
      <c r="J2536">
        <v>0</v>
      </c>
      <c r="K2536">
        <v>0</v>
      </c>
      <c r="L2536">
        <v>45000000</v>
      </c>
      <c r="M2536">
        <v>45000000</v>
      </c>
      <c r="N2536">
        <v>45000000</v>
      </c>
      <c r="O2536">
        <v>45000000</v>
      </c>
      <c r="P2536">
        <v>45000000</v>
      </c>
      <c r="Q2536">
        <v>45000000</v>
      </c>
      <c r="R2536" s="14">
        <f>_xlfn.XLOOKUP(Table2[[#This Row],[LoanID]],Table1[G-L ID],Table1[ManagerCode],-99)</f>
        <v>220</v>
      </c>
      <c r="T2536"/>
    </row>
    <row r="2537" spans="1:20" x14ac:dyDescent="0.25">
      <c r="A2537">
        <v>20140331</v>
      </c>
      <c r="B2537">
        <v>2014</v>
      </c>
      <c r="C2537">
        <v>3</v>
      </c>
      <c r="D2537">
        <v>1</v>
      </c>
      <c r="E2537">
        <v>10570</v>
      </c>
      <c r="F2537">
        <v>916872.31</v>
      </c>
      <c r="G2537">
        <v>0</v>
      </c>
      <c r="H2537">
        <v>0</v>
      </c>
      <c r="I2537">
        <v>0</v>
      </c>
      <c r="J2537">
        <v>0</v>
      </c>
      <c r="K2537">
        <v>0</v>
      </c>
      <c r="L2537">
        <v>197637165</v>
      </c>
      <c r="M2537">
        <v>197637165</v>
      </c>
      <c r="N2537">
        <v>197637165</v>
      </c>
      <c r="O2537">
        <v>197637165</v>
      </c>
      <c r="P2537">
        <v>199633500</v>
      </c>
      <c r="Q2537">
        <v>199633500</v>
      </c>
      <c r="R2537" s="14">
        <f>_xlfn.XLOOKUP(Table2[[#This Row],[LoanID]],Table1[G-L ID],Table1[ManagerCode],-99)</f>
        <v>103</v>
      </c>
      <c r="T2537"/>
    </row>
    <row r="2538" spans="1:20" x14ac:dyDescent="0.25">
      <c r="A2538">
        <v>20140331</v>
      </c>
      <c r="B2538">
        <v>2014</v>
      </c>
      <c r="C2538">
        <v>3</v>
      </c>
      <c r="D2538">
        <v>1</v>
      </c>
      <c r="E2538">
        <v>10591</v>
      </c>
      <c r="F2538">
        <v>202710.37</v>
      </c>
      <c r="G2538">
        <v>0</v>
      </c>
      <c r="H2538">
        <v>0</v>
      </c>
      <c r="I2538">
        <v>0</v>
      </c>
      <c r="J2538">
        <v>0</v>
      </c>
      <c r="K2538">
        <v>0</v>
      </c>
      <c r="L2538">
        <v>25644230.359999999</v>
      </c>
      <c r="M2538">
        <v>26600000</v>
      </c>
      <c r="N2538">
        <v>25644230.359999999</v>
      </c>
      <c r="O2538">
        <v>26600000</v>
      </c>
      <c r="P2538">
        <v>25644230.359999999</v>
      </c>
      <c r="Q2538">
        <v>25644230.359999999</v>
      </c>
      <c r="R2538" s="14">
        <f>_xlfn.XLOOKUP(Table2[[#This Row],[LoanID]],Table1[G-L ID],Table1[ManagerCode],-99)</f>
        <v>220</v>
      </c>
      <c r="T2538"/>
    </row>
    <row r="2539" spans="1:20" x14ac:dyDescent="0.25">
      <c r="A2539">
        <v>20140331</v>
      </c>
      <c r="B2539">
        <v>2014</v>
      </c>
      <c r="C2539">
        <v>3</v>
      </c>
      <c r="D2539">
        <v>1</v>
      </c>
      <c r="E2539">
        <v>10592</v>
      </c>
      <c r="F2539">
        <v>336365.04</v>
      </c>
      <c r="G2539">
        <v>0</v>
      </c>
      <c r="H2539">
        <v>0</v>
      </c>
      <c r="I2539">
        <v>0</v>
      </c>
      <c r="J2539">
        <v>0</v>
      </c>
      <c r="K2539">
        <v>0</v>
      </c>
      <c r="L2539">
        <v>37855768.640000001</v>
      </c>
      <c r="M2539">
        <v>39100000</v>
      </c>
      <c r="N2539">
        <v>37855768.640000001</v>
      </c>
      <c r="O2539">
        <v>39100000</v>
      </c>
      <c r="P2539">
        <v>37855768.640000001</v>
      </c>
      <c r="Q2539">
        <v>37855768.640000001</v>
      </c>
      <c r="R2539" s="14">
        <f>_xlfn.XLOOKUP(Table2[[#This Row],[LoanID]],Table1[G-L ID],Table1[ManagerCode],-99)</f>
        <v>220</v>
      </c>
      <c r="T2539"/>
    </row>
    <row r="2540" spans="1:20" x14ac:dyDescent="0.25">
      <c r="A2540">
        <v>20140331</v>
      </c>
      <c r="B2540">
        <v>2014</v>
      </c>
      <c r="C2540">
        <v>3</v>
      </c>
      <c r="D2540">
        <v>1</v>
      </c>
      <c r="E2540">
        <v>10640</v>
      </c>
      <c r="F2540">
        <v>94434.4</v>
      </c>
      <c r="G2540">
        <v>0</v>
      </c>
      <c r="H2540">
        <v>0</v>
      </c>
      <c r="I2540">
        <v>0</v>
      </c>
      <c r="J2540">
        <v>0</v>
      </c>
      <c r="K2540">
        <v>0</v>
      </c>
      <c r="L2540">
        <v>12197063</v>
      </c>
      <c r="M2540">
        <v>12197063</v>
      </c>
      <c r="N2540">
        <v>12197063</v>
      </c>
      <c r="O2540">
        <v>12197063</v>
      </c>
      <c r="P2540">
        <v>12197063</v>
      </c>
      <c r="Q2540">
        <v>12197063</v>
      </c>
      <c r="R2540" s="14">
        <f>_xlfn.XLOOKUP(Table2[[#This Row],[LoanID]],Table1[G-L ID],Table1[ManagerCode],-99)</f>
        <v>220</v>
      </c>
      <c r="T2540"/>
    </row>
    <row r="2541" spans="1:20" x14ac:dyDescent="0.25">
      <c r="A2541">
        <v>20140331</v>
      </c>
      <c r="B2541">
        <v>2014</v>
      </c>
      <c r="C2541">
        <v>3</v>
      </c>
      <c r="D2541">
        <v>1</v>
      </c>
      <c r="E2541">
        <v>10660</v>
      </c>
      <c r="F2541">
        <v>143986.10999999999</v>
      </c>
      <c r="G2541">
        <v>0</v>
      </c>
      <c r="H2541">
        <v>0</v>
      </c>
      <c r="I2541">
        <v>0</v>
      </c>
      <c r="J2541">
        <v>0</v>
      </c>
      <c r="K2541">
        <v>0</v>
      </c>
      <c r="L2541">
        <v>25000000</v>
      </c>
      <c r="M2541">
        <v>25000000</v>
      </c>
      <c r="N2541">
        <v>25000000</v>
      </c>
      <c r="O2541">
        <v>25000000</v>
      </c>
      <c r="P2541">
        <v>25000000</v>
      </c>
      <c r="Q2541">
        <v>25000000</v>
      </c>
      <c r="R2541" s="14">
        <f>_xlfn.XLOOKUP(Table2[[#This Row],[LoanID]],Table1[G-L ID],Table1[ManagerCode],-99)</f>
        <v>119</v>
      </c>
      <c r="T2541"/>
    </row>
    <row r="2542" spans="1:20" x14ac:dyDescent="0.25">
      <c r="A2542">
        <v>20140331</v>
      </c>
      <c r="B2542">
        <v>2014</v>
      </c>
      <c r="C2542">
        <v>3</v>
      </c>
      <c r="D2542">
        <v>1</v>
      </c>
      <c r="E2542">
        <v>10690</v>
      </c>
      <c r="F2542">
        <v>96204.09</v>
      </c>
      <c r="G2542">
        <v>25414.07</v>
      </c>
      <c r="H2542">
        <v>0</v>
      </c>
      <c r="I2542">
        <v>0</v>
      </c>
      <c r="J2542">
        <v>-144134.71</v>
      </c>
      <c r="K2542">
        <v>0</v>
      </c>
      <c r="L2542">
        <v>16122509.25</v>
      </c>
      <c r="M2542">
        <v>16292058.029999999</v>
      </c>
      <c r="N2542">
        <v>16122509.25</v>
      </c>
      <c r="O2542">
        <v>16292058.029999999</v>
      </c>
      <c r="P2542">
        <v>16122509.25</v>
      </c>
      <c r="Q2542">
        <v>16292058.029999999</v>
      </c>
      <c r="R2542" s="14">
        <f>_xlfn.XLOOKUP(Table2[[#This Row],[LoanID]],Table1[G-L ID],Table1[ManagerCode],-99)</f>
        <v>183</v>
      </c>
      <c r="T2542"/>
    </row>
    <row r="2543" spans="1:20" x14ac:dyDescent="0.25">
      <c r="A2543">
        <v>20140331</v>
      </c>
      <c r="B2543">
        <v>2014</v>
      </c>
      <c r="C2543">
        <v>3</v>
      </c>
      <c r="D2543">
        <v>1</v>
      </c>
      <c r="E2543">
        <v>10720</v>
      </c>
      <c r="F2543">
        <v>125000</v>
      </c>
      <c r="G2543">
        <v>91898.559999999998</v>
      </c>
      <c r="H2543">
        <v>0</v>
      </c>
      <c r="I2543">
        <v>0</v>
      </c>
      <c r="J2543">
        <v>0</v>
      </c>
      <c r="K2543">
        <v>0</v>
      </c>
      <c r="L2543">
        <v>18518836.440000001</v>
      </c>
      <c r="M2543">
        <v>18620184.050000001</v>
      </c>
      <c r="N2543">
        <v>18518836.440000001</v>
      </c>
      <c r="O2543">
        <v>18620184.050000001</v>
      </c>
      <c r="P2543">
        <v>16792146.399999999</v>
      </c>
      <c r="Q2543">
        <v>16884044.960000001</v>
      </c>
      <c r="R2543" s="14">
        <f>_xlfn.XLOOKUP(Table2[[#This Row],[LoanID]],Table1[G-L ID],Table1[ManagerCode],-99)</f>
        <v>220</v>
      </c>
      <c r="T2543"/>
    </row>
    <row r="2544" spans="1:20" x14ac:dyDescent="0.25">
      <c r="A2544">
        <v>20140331</v>
      </c>
      <c r="B2544">
        <v>2014</v>
      </c>
      <c r="C2544">
        <v>3</v>
      </c>
      <c r="D2544">
        <v>1</v>
      </c>
      <c r="E2544">
        <v>10780</v>
      </c>
      <c r="F2544">
        <v>281100.56</v>
      </c>
      <c r="G2544">
        <v>0</v>
      </c>
      <c r="H2544">
        <v>0</v>
      </c>
      <c r="I2544">
        <v>0</v>
      </c>
      <c r="J2544">
        <v>0</v>
      </c>
      <c r="K2544">
        <v>0</v>
      </c>
      <c r="L2544">
        <v>43000000</v>
      </c>
      <c r="M2544">
        <v>43000000</v>
      </c>
      <c r="N2544">
        <v>43000000</v>
      </c>
      <c r="O2544">
        <v>43000000</v>
      </c>
      <c r="P2544">
        <v>43000000</v>
      </c>
      <c r="Q2544">
        <v>43000000</v>
      </c>
      <c r="R2544" s="14">
        <f>_xlfn.XLOOKUP(Table2[[#This Row],[LoanID]],Table1[G-L ID],Table1[ManagerCode],-99)</f>
        <v>220</v>
      </c>
      <c r="T2544"/>
    </row>
    <row r="2545" spans="1:20" x14ac:dyDescent="0.25">
      <c r="A2545">
        <v>20140331</v>
      </c>
      <c r="B2545">
        <v>2014</v>
      </c>
      <c r="C2545">
        <v>3</v>
      </c>
      <c r="D2545">
        <v>1</v>
      </c>
      <c r="E2545">
        <v>10820</v>
      </c>
      <c r="F2545">
        <v>158102.25</v>
      </c>
      <c r="G2545">
        <v>0</v>
      </c>
      <c r="H2545">
        <v>0</v>
      </c>
      <c r="I2545">
        <v>0</v>
      </c>
      <c r="J2545">
        <v>0</v>
      </c>
      <c r="K2545">
        <v>0</v>
      </c>
      <c r="L2545">
        <v>21397297</v>
      </c>
      <c r="M2545">
        <v>21397297</v>
      </c>
      <c r="N2545">
        <v>21397297</v>
      </c>
      <c r="O2545">
        <v>21397297</v>
      </c>
      <c r="P2545">
        <v>21397297</v>
      </c>
      <c r="Q2545">
        <v>21397297</v>
      </c>
      <c r="R2545" s="14">
        <f>_xlfn.XLOOKUP(Table2[[#This Row],[LoanID]],Table1[G-L ID],Table1[ManagerCode],-99)</f>
        <v>220</v>
      </c>
      <c r="T2545"/>
    </row>
    <row r="2546" spans="1:20" x14ac:dyDescent="0.25">
      <c r="A2546">
        <v>20140331</v>
      </c>
      <c r="B2546">
        <v>2014</v>
      </c>
      <c r="C2546">
        <v>3</v>
      </c>
      <c r="D2546">
        <v>1</v>
      </c>
      <c r="E2546">
        <v>10830</v>
      </c>
      <c r="F2546">
        <v>51586.43</v>
      </c>
      <c r="G2546">
        <v>0</v>
      </c>
      <c r="H2546">
        <v>0</v>
      </c>
      <c r="I2546">
        <v>0</v>
      </c>
      <c r="J2546">
        <v>0</v>
      </c>
      <c r="K2546">
        <v>0</v>
      </c>
      <c r="L2546">
        <v>6981622</v>
      </c>
      <c r="M2546">
        <v>6981622</v>
      </c>
      <c r="N2546">
        <v>6981622</v>
      </c>
      <c r="O2546">
        <v>6981622</v>
      </c>
      <c r="P2546">
        <v>6981622</v>
      </c>
      <c r="Q2546">
        <v>6981622</v>
      </c>
      <c r="R2546" s="14">
        <f>_xlfn.XLOOKUP(Table2[[#This Row],[LoanID]],Table1[G-L ID],Table1[ManagerCode],-99)</f>
        <v>220</v>
      </c>
      <c r="T2546"/>
    </row>
    <row r="2547" spans="1:20" x14ac:dyDescent="0.25">
      <c r="A2547">
        <v>20140331</v>
      </c>
      <c r="B2547">
        <v>2014</v>
      </c>
      <c r="C2547">
        <v>3</v>
      </c>
      <c r="D2547">
        <v>1</v>
      </c>
      <c r="E2547">
        <v>10840</v>
      </c>
      <c r="F2547">
        <v>93906.79</v>
      </c>
      <c r="G2547">
        <v>0</v>
      </c>
      <c r="H2547">
        <v>0</v>
      </c>
      <c r="I2547">
        <v>0</v>
      </c>
      <c r="J2547">
        <v>0</v>
      </c>
      <c r="K2547">
        <v>0</v>
      </c>
      <c r="L2547">
        <v>12709189</v>
      </c>
      <c r="M2547">
        <v>12709189</v>
      </c>
      <c r="N2547">
        <v>12709189</v>
      </c>
      <c r="O2547">
        <v>12709189</v>
      </c>
      <c r="P2547">
        <v>12709189</v>
      </c>
      <c r="Q2547">
        <v>12709189</v>
      </c>
      <c r="R2547" s="14">
        <f>_xlfn.XLOOKUP(Table2[[#This Row],[LoanID]],Table1[G-L ID],Table1[ManagerCode],-99)</f>
        <v>220</v>
      </c>
      <c r="T2547"/>
    </row>
    <row r="2548" spans="1:20" x14ac:dyDescent="0.25">
      <c r="A2548">
        <v>20140331</v>
      </c>
      <c r="B2548">
        <v>2014</v>
      </c>
      <c r="C2548">
        <v>3</v>
      </c>
      <c r="D2548">
        <v>1</v>
      </c>
      <c r="E2548">
        <v>10850</v>
      </c>
      <c r="F2548">
        <v>99837.87</v>
      </c>
      <c r="G2548">
        <v>0</v>
      </c>
      <c r="H2548">
        <v>0</v>
      </c>
      <c r="I2548">
        <v>0</v>
      </c>
      <c r="J2548">
        <v>0</v>
      </c>
      <c r="K2548">
        <v>0</v>
      </c>
      <c r="L2548">
        <v>13511892</v>
      </c>
      <c r="M2548">
        <v>13511892</v>
      </c>
      <c r="N2548">
        <v>13511892</v>
      </c>
      <c r="O2548">
        <v>13511892</v>
      </c>
      <c r="P2548">
        <v>13511892</v>
      </c>
      <c r="Q2548">
        <v>13511892</v>
      </c>
      <c r="R2548" s="14">
        <f>_xlfn.XLOOKUP(Table2[[#This Row],[LoanID]],Table1[G-L ID],Table1[ManagerCode],-99)</f>
        <v>220</v>
      </c>
      <c r="T2548"/>
    </row>
    <row r="2549" spans="1:20" x14ac:dyDescent="0.25">
      <c r="A2549">
        <v>20140331</v>
      </c>
      <c r="B2549">
        <v>2014</v>
      </c>
      <c r="C2549">
        <v>3</v>
      </c>
      <c r="D2549">
        <v>1</v>
      </c>
      <c r="E2549">
        <v>10900</v>
      </c>
      <c r="F2549">
        <v>73128.759999999995</v>
      </c>
      <c r="G2549">
        <v>0</v>
      </c>
      <c r="H2549">
        <v>0</v>
      </c>
      <c r="I2549">
        <v>0</v>
      </c>
      <c r="J2549">
        <v>0</v>
      </c>
      <c r="K2549">
        <v>10488.3</v>
      </c>
      <c r="L2549">
        <v>8120141.7999999998</v>
      </c>
      <c r="M2549">
        <v>8110177.9100000001</v>
      </c>
      <c r="N2549">
        <v>8120141.7999999998</v>
      </c>
      <c r="O2549">
        <v>8110177.9100000001</v>
      </c>
      <c r="P2549">
        <v>8547517.6699999999</v>
      </c>
      <c r="Q2549">
        <v>8537029.3699999992</v>
      </c>
      <c r="R2549" s="14">
        <f>_xlfn.XLOOKUP(Table2[[#This Row],[LoanID]],Table1[G-L ID],Table1[ManagerCode],-99)</f>
        <v>103</v>
      </c>
      <c r="T2549"/>
    </row>
    <row r="2550" spans="1:20" x14ac:dyDescent="0.25">
      <c r="A2550">
        <v>20140331</v>
      </c>
      <c r="B2550">
        <v>2014</v>
      </c>
      <c r="C2550">
        <v>3</v>
      </c>
      <c r="D2550">
        <v>1</v>
      </c>
      <c r="E2550">
        <v>10920</v>
      </c>
      <c r="F2550">
        <v>114583.33</v>
      </c>
      <c r="G2550">
        <v>0</v>
      </c>
      <c r="H2550">
        <v>0</v>
      </c>
      <c r="I2550">
        <v>0</v>
      </c>
      <c r="J2550">
        <v>0</v>
      </c>
      <c r="K2550">
        <v>0</v>
      </c>
      <c r="L2550">
        <v>11000000</v>
      </c>
      <c r="M2550">
        <v>11000000</v>
      </c>
      <c r="N2550">
        <v>11000000</v>
      </c>
      <c r="O2550">
        <v>11000000</v>
      </c>
      <c r="P2550">
        <v>11000000</v>
      </c>
      <c r="Q2550">
        <v>11000000</v>
      </c>
      <c r="R2550" s="14">
        <f>_xlfn.XLOOKUP(Table2[[#This Row],[LoanID]],Table1[G-L ID],Table1[ManagerCode],-99)</f>
        <v>183</v>
      </c>
      <c r="T2550"/>
    </row>
    <row r="2551" spans="1:20" x14ac:dyDescent="0.25">
      <c r="A2551">
        <v>20140331</v>
      </c>
      <c r="B2551">
        <v>2014</v>
      </c>
      <c r="C2551">
        <v>3</v>
      </c>
      <c r="D2551">
        <v>1</v>
      </c>
      <c r="E2551">
        <v>10940</v>
      </c>
      <c r="F2551">
        <v>0</v>
      </c>
      <c r="G2551">
        <v>21628.44</v>
      </c>
      <c r="H2551">
        <v>114000</v>
      </c>
      <c r="I2551">
        <v>0</v>
      </c>
      <c r="J2551">
        <v>-5211998.87</v>
      </c>
      <c r="K2551">
        <v>100000</v>
      </c>
      <c r="L2551">
        <v>0</v>
      </c>
      <c r="M2551">
        <v>5133627.3099999996</v>
      </c>
      <c r="N2551">
        <v>0</v>
      </c>
      <c r="O2551">
        <v>5133627.3099999996</v>
      </c>
      <c r="P2551">
        <v>0</v>
      </c>
      <c r="Q2551">
        <v>5133627.3099999996</v>
      </c>
      <c r="R2551" s="14">
        <f>_xlfn.XLOOKUP(Table2[[#This Row],[LoanID]],Table1[G-L ID],Table1[ManagerCode],-99)</f>
        <v>183</v>
      </c>
      <c r="T2551"/>
    </row>
    <row r="2552" spans="1:20" x14ac:dyDescent="0.25">
      <c r="A2552">
        <v>20140331</v>
      </c>
      <c r="B2552">
        <v>2014</v>
      </c>
      <c r="C2552">
        <v>3</v>
      </c>
      <c r="D2552">
        <v>1</v>
      </c>
      <c r="E2552">
        <v>10980</v>
      </c>
      <c r="F2552">
        <v>191860.85</v>
      </c>
      <c r="G2552">
        <v>18302.5</v>
      </c>
      <c r="H2552">
        <v>0</v>
      </c>
      <c r="I2552">
        <v>0</v>
      </c>
      <c r="J2552">
        <v>0</v>
      </c>
      <c r="K2552">
        <v>0</v>
      </c>
      <c r="L2552">
        <v>29069970.280000001</v>
      </c>
      <c r="M2552">
        <v>29088272.780000001</v>
      </c>
      <c r="N2552">
        <v>29069970.280000001</v>
      </c>
      <c r="O2552">
        <v>29088272.780000001</v>
      </c>
      <c r="P2552">
        <v>29069970.280000001</v>
      </c>
      <c r="Q2552">
        <v>29088272.780000001</v>
      </c>
      <c r="R2552" s="14">
        <f>_xlfn.XLOOKUP(Table2[[#This Row],[LoanID]],Table1[G-L ID],Table1[ManagerCode],-99)</f>
        <v>183</v>
      </c>
      <c r="T2552"/>
    </row>
    <row r="2553" spans="1:20" x14ac:dyDescent="0.25">
      <c r="A2553">
        <v>20140331</v>
      </c>
      <c r="B2553">
        <v>2014</v>
      </c>
      <c r="C2553">
        <v>3</v>
      </c>
      <c r="D2553">
        <v>1</v>
      </c>
      <c r="E2553">
        <v>11020</v>
      </c>
      <c r="F2553">
        <v>98000</v>
      </c>
      <c r="G2553">
        <v>0</v>
      </c>
      <c r="H2553">
        <v>0</v>
      </c>
      <c r="I2553">
        <v>0</v>
      </c>
      <c r="J2553">
        <v>0</v>
      </c>
      <c r="K2553">
        <v>0</v>
      </c>
      <c r="L2553">
        <v>12000000</v>
      </c>
      <c r="M2553">
        <v>12000000</v>
      </c>
      <c r="N2553">
        <v>12000000</v>
      </c>
      <c r="O2553">
        <v>12000000</v>
      </c>
      <c r="P2553">
        <v>12000000</v>
      </c>
      <c r="Q2553">
        <v>12000000</v>
      </c>
      <c r="R2553" s="14">
        <f>_xlfn.XLOOKUP(Table2[[#This Row],[LoanID]],Table1[G-L ID],Table1[ManagerCode],-99)</f>
        <v>119</v>
      </c>
      <c r="T2553"/>
    </row>
    <row r="2554" spans="1:20" x14ac:dyDescent="0.25">
      <c r="A2554">
        <v>20140331</v>
      </c>
      <c r="B2554">
        <v>2014</v>
      </c>
      <c r="C2554">
        <v>3</v>
      </c>
      <c r="D2554">
        <v>1</v>
      </c>
      <c r="E2554">
        <v>11030</v>
      </c>
      <c r="F2554">
        <v>58852.89</v>
      </c>
      <c r="G2554">
        <v>0</v>
      </c>
      <c r="H2554">
        <v>0</v>
      </c>
      <c r="I2554">
        <v>0</v>
      </c>
      <c r="J2554">
        <v>0</v>
      </c>
      <c r="K2554">
        <v>0</v>
      </c>
      <c r="L2554">
        <v>8000000</v>
      </c>
      <c r="M2554">
        <v>8000000</v>
      </c>
      <c r="N2554">
        <v>8000000</v>
      </c>
      <c r="O2554">
        <v>8000000</v>
      </c>
      <c r="P2554">
        <v>8000000</v>
      </c>
      <c r="Q2554">
        <v>8000000</v>
      </c>
      <c r="R2554" s="14">
        <f>_xlfn.XLOOKUP(Table2[[#This Row],[LoanID]],Table1[G-L ID],Table1[ManagerCode],-99)</f>
        <v>119</v>
      </c>
      <c r="T2554"/>
    </row>
    <row r="2555" spans="1:20" x14ac:dyDescent="0.25">
      <c r="A2555">
        <v>20140331</v>
      </c>
      <c r="B2555">
        <v>2014</v>
      </c>
      <c r="C2555">
        <v>3</v>
      </c>
      <c r="D2555">
        <v>1</v>
      </c>
      <c r="E2555">
        <v>11040</v>
      </c>
      <c r="F2555">
        <v>472694.44</v>
      </c>
      <c r="G2555">
        <v>0</v>
      </c>
      <c r="H2555">
        <v>0</v>
      </c>
      <c r="I2555">
        <v>0</v>
      </c>
      <c r="J2555">
        <v>0</v>
      </c>
      <c r="K2555">
        <v>0</v>
      </c>
      <c r="L2555">
        <v>50000000</v>
      </c>
      <c r="M2555">
        <v>50000000</v>
      </c>
      <c r="N2555">
        <v>50000000</v>
      </c>
      <c r="O2555">
        <v>50000000</v>
      </c>
      <c r="P2555">
        <v>50000000</v>
      </c>
      <c r="Q2555">
        <v>50000000</v>
      </c>
      <c r="R2555" s="14">
        <f>_xlfn.XLOOKUP(Table2[[#This Row],[LoanID]],Table1[G-L ID],Table1[ManagerCode],-99)</f>
        <v>220</v>
      </c>
      <c r="T2555"/>
    </row>
    <row r="2556" spans="1:20" x14ac:dyDescent="0.25">
      <c r="A2556">
        <v>20140331</v>
      </c>
      <c r="B2556">
        <v>2014</v>
      </c>
      <c r="C2556">
        <v>3</v>
      </c>
      <c r="D2556">
        <v>1</v>
      </c>
      <c r="E2556">
        <v>11050</v>
      </c>
      <c r="F2556">
        <v>0</v>
      </c>
      <c r="G2556">
        <v>0</v>
      </c>
      <c r="H2556">
        <v>0</v>
      </c>
      <c r="I2556">
        <v>0</v>
      </c>
      <c r="J2556">
        <v>0</v>
      </c>
      <c r="K2556">
        <v>0</v>
      </c>
      <c r="L2556">
        <v>29200000</v>
      </c>
      <c r="M2556">
        <v>29200000</v>
      </c>
      <c r="N2556">
        <v>29200000</v>
      </c>
      <c r="O2556">
        <v>29200000</v>
      </c>
      <c r="P2556">
        <v>28500000</v>
      </c>
      <c r="Q2556">
        <v>28500000</v>
      </c>
      <c r="R2556" s="14">
        <f>_xlfn.XLOOKUP(Table2[[#This Row],[LoanID]],Table1[G-L ID],Table1[ManagerCode],-99)</f>
        <v>220</v>
      </c>
      <c r="T2556"/>
    </row>
    <row r="2557" spans="1:20" x14ac:dyDescent="0.25">
      <c r="A2557">
        <v>20140331</v>
      </c>
      <c r="B2557">
        <v>2014</v>
      </c>
      <c r="C2557">
        <v>3</v>
      </c>
      <c r="D2557">
        <v>1</v>
      </c>
      <c r="E2557">
        <v>11070</v>
      </c>
      <c r="F2557">
        <v>144236.29999999999</v>
      </c>
      <c r="G2557">
        <v>0</v>
      </c>
      <c r="H2557">
        <v>0</v>
      </c>
      <c r="I2557">
        <v>0</v>
      </c>
      <c r="J2557">
        <v>0</v>
      </c>
      <c r="K2557">
        <v>0</v>
      </c>
      <c r="L2557">
        <v>13847357.66</v>
      </c>
      <c r="M2557">
        <v>13847357.66</v>
      </c>
      <c r="N2557">
        <v>13847357.66</v>
      </c>
      <c r="O2557">
        <v>13847357.66</v>
      </c>
      <c r="P2557">
        <v>17309197.07</v>
      </c>
      <c r="Q2557">
        <v>17309197.07</v>
      </c>
      <c r="R2557" s="14">
        <f>_xlfn.XLOOKUP(Table2[[#This Row],[LoanID]],Table1[G-L ID],Table1[ManagerCode],-99)</f>
        <v>103</v>
      </c>
      <c r="T2557"/>
    </row>
    <row r="2558" spans="1:20" x14ac:dyDescent="0.25">
      <c r="A2558">
        <v>20140331</v>
      </c>
      <c r="B2558">
        <v>2014</v>
      </c>
      <c r="C2558">
        <v>3</v>
      </c>
      <c r="D2558">
        <v>1</v>
      </c>
      <c r="E2558">
        <v>11100</v>
      </c>
      <c r="F2558">
        <v>0</v>
      </c>
      <c r="G2558">
        <v>0</v>
      </c>
      <c r="H2558">
        <v>0</v>
      </c>
      <c r="I2558">
        <v>0</v>
      </c>
      <c r="J2558">
        <v>0</v>
      </c>
      <c r="K2558">
        <v>0</v>
      </c>
      <c r="L2558">
        <v>878866.24</v>
      </c>
      <c r="M2558">
        <v>878866.24</v>
      </c>
      <c r="N2558">
        <v>878866.24</v>
      </c>
      <c r="O2558">
        <v>878866.24</v>
      </c>
      <c r="P2558">
        <v>925122.36</v>
      </c>
      <c r="Q2558">
        <v>925122.36</v>
      </c>
      <c r="R2558" s="14">
        <f>_xlfn.XLOOKUP(Table2[[#This Row],[LoanID]],Table1[G-L ID],Table1[ManagerCode],-99)</f>
        <v>103</v>
      </c>
      <c r="T2558"/>
    </row>
    <row r="2559" spans="1:20" x14ac:dyDescent="0.25">
      <c r="A2559">
        <v>20140331</v>
      </c>
      <c r="B2559">
        <v>2014</v>
      </c>
      <c r="C2559">
        <v>3</v>
      </c>
      <c r="D2559">
        <v>1</v>
      </c>
      <c r="E2559">
        <v>11140</v>
      </c>
      <c r="F2559">
        <v>576975.13</v>
      </c>
      <c r="G2559">
        <v>0</v>
      </c>
      <c r="H2559">
        <v>0</v>
      </c>
      <c r="I2559">
        <v>0</v>
      </c>
      <c r="J2559">
        <v>0</v>
      </c>
      <c r="K2559">
        <v>0</v>
      </c>
      <c r="L2559">
        <v>71711922.150000006</v>
      </c>
      <c r="M2559">
        <v>71711922.150000006</v>
      </c>
      <c r="N2559">
        <v>71711922.150000006</v>
      </c>
      <c r="O2559">
        <v>71711922.150000006</v>
      </c>
      <c r="P2559">
        <v>72436285</v>
      </c>
      <c r="Q2559">
        <v>72436285</v>
      </c>
      <c r="R2559" s="14">
        <f>_xlfn.XLOOKUP(Table2[[#This Row],[LoanID]],Table1[G-L ID],Table1[ManagerCode],-99)</f>
        <v>103</v>
      </c>
      <c r="T2559"/>
    </row>
    <row r="2560" spans="1:20" x14ac:dyDescent="0.25">
      <c r="A2560">
        <v>20140331</v>
      </c>
      <c r="B2560">
        <v>2014</v>
      </c>
      <c r="C2560">
        <v>3</v>
      </c>
      <c r="D2560">
        <v>1</v>
      </c>
      <c r="E2560">
        <v>11190</v>
      </c>
      <c r="F2560">
        <v>1213622.98</v>
      </c>
      <c r="G2560">
        <v>0</v>
      </c>
      <c r="H2560">
        <v>0</v>
      </c>
      <c r="I2560">
        <v>-1555.33</v>
      </c>
      <c r="J2560">
        <v>0</v>
      </c>
      <c r="K2560">
        <v>0</v>
      </c>
      <c r="L2560">
        <v>197971123.09999999</v>
      </c>
      <c r="M2560">
        <v>197971123.09999999</v>
      </c>
      <c r="N2560">
        <v>197971123.09999999</v>
      </c>
      <c r="O2560">
        <v>197971123.09999999</v>
      </c>
      <c r="P2560">
        <v>199970831.5</v>
      </c>
      <c r="Q2560">
        <v>199970831.5</v>
      </c>
      <c r="R2560" s="14">
        <f>_xlfn.XLOOKUP(Table2[[#This Row],[LoanID]],Table1[G-L ID],Table1[ManagerCode],-99)</f>
        <v>103</v>
      </c>
      <c r="T2560"/>
    </row>
    <row r="2561" spans="1:20" x14ac:dyDescent="0.25">
      <c r="A2561">
        <v>20140331</v>
      </c>
      <c r="B2561">
        <v>2014</v>
      </c>
      <c r="C2561">
        <v>3</v>
      </c>
      <c r="D2561">
        <v>1</v>
      </c>
      <c r="E2561">
        <v>11220</v>
      </c>
      <c r="F2561">
        <v>281750</v>
      </c>
      <c r="G2561">
        <v>0</v>
      </c>
      <c r="H2561">
        <v>0</v>
      </c>
      <c r="I2561">
        <v>0</v>
      </c>
      <c r="J2561">
        <v>0</v>
      </c>
      <c r="K2561">
        <v>0</v>
      </c>
      <c r="L2561">
        <v>34500000</v>
      </c>
      <c r="M2561">
        <v>34500000</v>
      </c>
      <c r="N2561">
        <v>34500000</v>
      </c>
      <c r="O2561">
        <v>34500000</v>
      </c>
      <c r="P2561">
        <v>34500000</v>
      </c>
      <c r="Q2561">
        <v>34500000</v>
      </c>
      <c r="R2561" s="14">
        <f>_xlfn.XLOOKUP(Table2[[#This Row],[LoanID]],Table1[G-L ID],Table1[ManagerCode],-99)</f>
        <v>220</v>
      </c>
      <c r="T2561"/>
    </row>
    <row r="2562" spans="1:20" x14ac:dyDescent="0.25">
      <c r="A2562">
        <v>20140331</v>
      </c>
      <c r="B2562">
        <v>2014</v>
      </c>
      <c r="C2562">
        <v>3</v>
      </c>
      <c r="D2562">
        <v>1</v>
      </c>
      <c r="E2562">
        <v>11230</v>
      </c>
      <c r="F2562">
        <v>216047</v>
      </c>
      <c r="G2562">
        <v>0</v>
      </c>
      <c r="H2562">
        <v>0</v>
      </c>
      <c r="I2562">
        <v>0</v>
      </c>
      <c r="J2562">
        <v>0</v>
      </c>
      <c r="K2562">
        <v>0</v>
      </c>
      <c r="L2562">
        <v>185182960.09999999</v>
      </c>
      <c r="M2562">
        <v>185182960.09999999</v>
      </c>
      <c r="N2562">
        <v>185182960.09999999</v>
      </c>
      <c r="O2562">
        <v>185182960.09999999</v>
      </c>
      <c r="P2562">
        <v>194929626.59999999</v>
      </c>
      <c r="Q2562">
        <v>194929626.59999999</v>
      </c>
      <c r="R2562" s="14">
        <f>_xlfn.XLOOKUP(Table2[[#This Row],[LoanID]],Table1[G-L ID],Table1[ManagerCode],-99)</f>
        <v>103</v>
      </c>
      <c r="T2562"/>
    </row>
    <row r="2563" spans="1:20" x14ac:dyDescent="0.25">
      <c r="A2563">
        <v>20140331</v>
      </c>
      <c r="B2563">
        <v>2014</v>
      </c>
      <c r="C2563">
        <v>3</v>
      </c>
      <c r="D2563">
        <v>1</v>
      </c>
      <c r="E2563">
        <v>11320</v>
      </c>
      <c r="F2563">
        <v>88254.73</v>
      </c>
      <c r="G2563">
        <v>0</v>
      </c>
      <c r="H2563">
        <v>0</v>
      </c>
      <c r="I2563">
        <v>0</v>
      </c>
      <c r="J2563">
        <v>0</v>
      </c>
      <c r="K2563">
        <v>0</v>
      </c>
      <c r="L2563">
        <v>12000000</v>
      </c>
      <c r="M2563">
        <v>12000000</v>
      </c>
      <c r="N2563">
        <v>12000000</v>
      </c>
      <c r="O2563">
        <v>12000000</v>
      </c>
      <c r="P2563">
        <v>12000000</v>
      </c>
      <c r="Q2563">
        <v>12000000</v>
      </c>
      <c r="R2563" s="14">
        <f>_xlfn.XLOOKUP(Table2[[#This Row],[LoanID]],Table1[G-L ID],Table1[ManagerCode],-99)</f>
        <v>119</v>
      </c>
      <c r="T2563"/>
    </row>
    <row r="2564" spans="1:20" x14ac:dyDescent="0.25">
      <c r="A2564">
        <v>20140331</v>
      </c>
      <c r="B2564">
        <v>2014</v>
      </c>
      <c r="C2564">
        <v>3</v>
      </c>
      <c r="D2564">
        <v>1</v>
      </c>
      <c r="E2564">
        <v>11340</v>
      </c>
      <c r="F2564">
        <v>272222.21999999997</v>
      </c>
      <c r="G2564">
        <v>0</v>
      </c>
      <c r="H2564">
        <v>0</v>
      </c>
      <c r="I2564">
        <v>0</v>
      </c>
      <c r="J2564">
        <v>0</v>
      </c>
      <c r="K2564">
        <v>0</v>
      </c>
      <c r="L2564">
        <v>49500000</v>
      </c>
      <c r="M2564">
        <v>49500000</v>
      </c>
      <c r="N2564">
        <v>49500000</v>
      </c>
      <c r="O2564">
        <v>49500000</v>
      </c>
      <c r="P2564">
        <v>50000000</v>
      </c>
      <c r="Q2564">
        <v>50000000</v>
      </c>
      <c r="R2564" s="14">
        <f>_xlfn.XLOOKUP(Table2[[#This Row],[LoanID]],Table1[G-L ID],Table1[ManagerCode],-99)</f>
        <v>103</v>
      </c>
      <c r="T2564"/>
    </row>
    <row r="2565" spans="1:20" x14ac:dyDescent="0.25">
      <c r="A2565">
        <v>20140331</v>
      </c>
      <c r="B2565">
        <v>2014</v>
      </c>
      <c r="C2565">
        <v>3</v>
      </c>
      <c r="D2565">
        <v>1</v>
      </c>
      <c r="E2565">
        <v>11350</v>
      </c>
      <c r="F2565">
        <v>299444.44</v>
      </c>
      <c r="G2565">
        <v>0</v>
      </c>
      <c r="H2565">
        <v>0</v>
      </c>
      <c r="I2565">
        <v>0</v>
      </c>
      <c r="J2565">
        <v>0</v>
      </c>
      <c r="K2565">
        <v>0</v>
      </c>
      <c r="L2565">
        <v>54449945.549999997</v>
      </c>
      <c r="M2565">
        <v>54449945.549999997</v>
      </c>
      <c r="N2565">
        <v>54449945.549999997</v>
      </c>
      <c r="O2565">
        <v>54449945.549999997</v>
      </c>
      <c r="P2565">
        <v>55000000</v>
      </c>
      <c r="Q2565">
        <v>55000000</v>
      </c>
      <c r="R2565" s="14">
        <f>_xlfn.XLOOKUP(Table2[[#This Row],[LoanID]],Table1[G-L ID],Table1[ManagerCode],-99)</f>
        <v>103</v>
      </c>
      <c r="T2565"/>
    </row>
    <row r="2566" spans="1:20" x14ac:dyDescent="0.25">
      <c r="A2566">
        <v>20140331</v>
      </c>
      <c r="B2566">
        <v>2014</v>
      </c>
      <c r="C2566">
        <v>3</v>
      </c>
      <c r="D2566">
        <v>1</v>
      </c>
      <c r="E2566">
        <v>11370</v>
      </c>
      <c r="F2566">
        <v>46753.78</v>
      </c>
      <c r="G2566">
        <v>0</v>
      </c>
      <c r="H2566">
        <v>0</v>
      </c>
      <c r="I2566">
        <v>0</v>
      </c>
      <c r="J2566">
        <v>0</v>
      </c>
      <c r="K2566">
        <v>0</v>
      </c>
      <c r="L2566">
        <v>5525000</v>
      </c>
      <c r="M2566">
        <v>5525000</v>
      </c>
      <c r="N2566">
        <v>5525000</v>
      </c>
      <c r="O2566">
        <v>5525000</v>
      </c>
      <c r="P2566">
        <v>5525000</v>
      </c>
      <c r="Q2566">
        <v>5525000</v>
      </c>
      <c r="R2566" s="14">
        <f>_xlfn.XLOOKUP(Table2[[#This Row],[LoanID]],Table1[G-L ID],Table1[ManagerCode],-99)</f>
        <v>119</v>
      </c>
      <c r="T2566"/>
    </row>
    <row r="2567" spans="1:20" x14ac:dyDescent="0.25">
      <c r="A2567">
        <v>20140331</v>
      </c>
      <c r="B2567">
        <v>2014</v>
      </c>
      <c r="C2567">
        <v>3</v>
      </c>
      <c r="D2567">
        <v>1</v>
      </c>
      <c r="E2567">
        <v>11390</v>
      </c>
      <c r="F2567">
        <v>187638.89</v>
      </c>
      <c r="G2567">
        <v>0</v>
      </c>
      <c r="H2567">
        <v>0</v>
      </c>
      <c r="I2567">
        <v>0</v>
      </c>
      <c r="J2567">
        <v>0</v>
      </c>
      <c r="K2567">
        <v>0</v>
      </c>
      <c r="L2567">
        <v>25000000</v>
      </c>
      <c r="M2567">
        <v>25000000</v>
      </c>
      <c r="N2567">
        <v>25000000</v>
      </c>
      <c r="O2567">
        <v>25000000</v>
      </c>
      <c r="P2567">
        <v>25000000</v>
      </c>
      <c r="Q2567">
        <v>25000000</v>
      </c>
      <c r="R2567" s="14">
        <f>_xlfn.XLOOKUP(Table2[[#This Row],[LoanID]],Table1[G-L ID],Table1[ManagerCode],-99)</f>
        <v>220</v>
      </c>
      <c r="T2567"/>
    </row>
    <row r="2568" spans="1:20" x14ac:dyDescent="0.25">
      <c r="A2568">
        <v>20140331</v>
      </c>
      <c r="B2568">
        <v>2014</v>
      </c>
      <c r="C2568">
        <v>3</v>
      </c>
      <c r="D2568">
        <v>1</v>
      </c>
      <c r="E2568">
        <v>11540</v>
      </c>
      <c r="F2568">
        <v>71205.56</v>
      </c>
      <c r="G2568">
        <v>0</v>
      </c>
      <c r="H2568">
        <v>0</v>
      </c>
      <c r="I2568">
        <v>0</v>
      </c>
      <c r="J2568">
        <v>0</v>
      </c>
      <c r="K2568">
        <v>0</v>
      </c>
      <c r="L2568">
        <v>10000000</v>
      </c>
      <c r="M2568">
        <v>10000000</v>
      </c>
      <c r="N2568">
        <v>10000000</v>
      </c>
      <c r="O2568">
        <v>10000000</v>
      </c>
      <c r="P2568">
        <v>10000000</v>
      </c>
      <c r="Q2568">
        <v>10000000</v>
      </c>
      <c r="R2568" s="14">
        <f>_xlfn.XLOOKUP(Table2[[#This Row],[LoanID]],Table1[G-L ID],Table1[ManagerCode],-99)</f>
        <v>220</v>
      </c>
      <c r="T2568"/>
    </row>
    <row r="2569" spans="1:20" x14ac:dyDescent="0.25">
      <c r="A2569">
        <v>20140331</v>
      </c>
      <c r="B2569">
        <v>2014</v>
      </c>
      <c r="C2569">
        <v>3</v>
      </c>
      <c r="D2569">
        <v>1</v>
      </c>
      <c r="E2569">
        <v>11550</v>
      </c>
      <c r="F2569">
        <v>114578.33</v>
      </c>
      <c r="G2569">
        <v>0</v>
      </c>
      <c r="H2569">
        <v>0</v>
      </c>
      <c r="I2569">
        <v>0</v>
      </c>
      <c r="J2569">
        <v>0</v>
      </c>
      <c r="K2569">
        <v>0</v>
      </c>
      <c r="L2569">
        <v>21850043.699999999</v>
      </c>
      <c r="M2569">
        <v>21850043.699999999</v>
      </c>
      <c r="N2569">
        <v>21850043.699999999</v>
      </c>
      <c r="O2569">
        <v>21850043.699999999</v>
      </c>
      <c r="P2569">
        <v>23000000</v>
      </c>
      <c r="Q2569">
        <v>23000000</v>
      </c>
      <c r="R2569" s="14">
        <f>_xlfn.XLOOKUP(Table2[[#This Row],[LoanID]],Table1[G-L ID],Table1[ManagerCode],-99)</f>
        <v>103</v>
      </c>
      <c r="T2569"/>
    </row>
    <row r="2570" spans="1:20" x14ac:dyDescent="0.25">
      <c r="A2570">
        <v>20140331</v>
      </c>
      <c r="B2570">
        <v>2014</v>
      </c>
      <c r="C2570">
        <v>3</v>
      </c>
      <c r="D2570">
        <v>1</v>
      </c>
      <c r="E2570">
        <v>11560</v>
      </c>
      <c r="F2570">
        <v>160841.21</v>
      </c>
      <c r="G2570">
        <v>-34248.32</v>
      </c>
      <c r="H2570">
        <v>0</v>
      </c>
      <c r="I2570">
        <v>0</v>
      </c>
      <c r="J2570">
        <v>0</v>
      </c>
      <c r="K2570">
        <v>0</v>
      </c>
      <c r="L2570">
        <v>14136650.82</v>
      </c>
      <c r="M2570">
        <v>14102402.5</v>
      </c>
      <c r="N2570">
        <v>14136650.82</v>
      </c>
      <c r="O2570">
        <v>14102402.5</v>
      </c>
      <c r="P2570">
        <v>14136650.82</v>
      </c>
      <c r="Q2570">
        <v>14102402.5</v>
      </c>
      <c r="R2570" s="14">
        <f>_xlfn.XLOOKUP(Table2[[#This Row],[LoanID]],Table1[G-L ID],Table1[ManagerCode],-99)</f>
        <v>183</v>
      </c>
      <c r="T2570"/>
    </row>
    <row r="2571" spans="1:20" x14ac:dyDescent="0.25">
      <c r="A2571">
        <v>20140331</v>
      </c>
      <c r="B2571">
        <v>2014</v>
      </c>
      <c r="C2571">
        <v>3</v>
      </c>
      <c r="D2571">
        <v>1</v>
      </c>
      <c r="E2571">
        <v>11580</v>
      </c>
      <c r="F2571">
        <v>104049.17</v>
      </c>
      <c r="G2571">
        <v>0</v>
      </c>
      <c r="H2571">
        <v>0</v>
      </c>
      <c r="I2571">
        <v>0</v>
      </c>
      <c r="J2571">
        <v>0</v>
      </c>
      <c r="K2571">
        <v>0</v>
      </c>
      <c r="L2571">
        <v>15000000</v>
      </c>
      <c r="M2571">
        <v>15000000</v>
      </c>
      <c r="N2571">
        <v>15000000</v>
      </c>
      <c r="O2571">
        <v>15000000</v>
      </c>
      <c r="P2571">
        <v>15000000</v>
      </c>
      <c r="Q2571">
        <v>15000000</v>
      </c>
      <c r="R2571" s="14">
        <f>_xlfn.XLOOKUP(Table2[[#This Row],[LoanID]],Table1[G-L ID],Table1[ManagerCode],-99)</f>
        <v>119</v>
      </c>
      <c r="T2571"/>
    </row>
    <row r="2572" spans="1:20" x14ac:dyDescent="0.25">
      <c r="A2572">
        <v>20140331</v>
      </c>
      <c r="B2572">
        <v>2014</v>
      </c>
      <c r="C2572">
        <v>3</v>
      </c>
      <c r="D2572">
        <v>1</v>
      </c>
      <c r="E2572">
        <v>11620</v>
      </c>
      <c r="F2572">
        <v>78957.539999999994</v>
      </c>
      <c r="G2572">
        <v>36698.199999999997</v>
      </c>
      <c r="H2572">
        <v>0</v>
      </c>
      <c r="I2572">
        <v>0</v>
      </c>
      <c r="J2572">
        <v>0</v>
      </c>
      <c r="K2572">
        <v>0</v>
      </c>
      <c r="L2572">
        <v>10109386.85</v>
      </c>
      <c r="M2572">
        <v>10146085.050000001</v>
      </c>
      <c r="N2572">
        <v>10109386.85</v>
      </c>
      <c r="O2572">
        <v>10146085.050000001</v>
      </c>
      <c r="P2572">
        <v>10109386.85</v>
      </c>
      <c r="Q2572">
        <v>10146085.050000001</v>
      </c>
      <c r="R2572" s="14">
        <f>_xlfn.XLOOKUP(Table2[[#This Row],[LoanID]],Table1[G-L ID],Table1[ManagerCode],-99)</f>
        <v>183</v>
      </c>
      <c r="T2572"/>
    </row>
    <row r="2573" spans="1:20" x14ac:dyDescent="0.25">
      <c r="A2573">
        <v>20140331</v>
      </c>
      <c r="B2573">
        <v>2014</v>
      </c>
      <c r="C2573">
        <v>3</v>
      </c>
      <c r="D2573">
        <v>1</v>
      </c>
      <c r="E2573">
        <v>11650</v>
      </c>
      <c r="F2573">
        <v>75000</v>
      </c>
      <c r="G2573">
        <v>0</v>
      </c>
      <c r="H2573">
        <v>0</v>
      </c>
      <c r="I2573">
        <v>0</v>
      </c>
      <c r="J2573">
        <v>0</v>
      </c>
      <c r="K2573">
        <v>0</v>
      </c>
      <c r="L2573">
        <v>9600000</v>
      </c>
      <c r="M2573">
        <v>9600000</v>
      </c>
      <c r="N2573">
        <v>9600000</v>
      </c>
      <c r="O2573">
        <v>9600000</v>
      </c>
      <c r="P2573">
        <v>12000000</v>
      </c>
      <c r="Q2573">
        <v>12000000</v>
      </c>
      <c r="R2573" s="14">
        <f>_xlfn.XLOOKUP(Table2[[#This Row],[LoanID]],Table1[G-L ID],Table1[ManagerCode],-99)</f>
        <v>103</v>
      </c>
      <c r="T2573"/>
    </row>
    <row r="2574" spans="1:20" x14ac:dyDescent="0.25">
      <c r="A2574">
        <v>20140331</v>
      </c>
      <c r="B2574">
        <v>2014</v>
      </c>
      <c r="C2574">
        <v>3</v>
      </c>
      <c r="D2574">
        <v>1</v>
      </c>
      <c r="E2574">
        <v>11670</v>
      </c>
      <c r="F2574">
        <v>188333.33</v>
      </c>
      <c r="G2574">
        <v>167770.1</v>
      </c>
      <c r="H2574">
        <v>0</v>
      </c>
      <c r="I2574">
        <v>0</v>
      </c>
      <c r="J2574">
        <v>0</v>
      </c>
      <c r="K2574">
        <v>0</v>
      </c>
      <c r="L2574">
        <v>30523150.760000002</v>
      </c>
      <c r="M2574">
        <v>30690920.859999999</v>
      </c>
      <c r="N2574">
        <v>30523150.760000002</v>
      </c>
      <c r="O2574">
        <v>30690920.859999999</v>
      </c>
      <c r="P2574">
        <v>30523150.760000002</v>
      </c>
      <c r="Q2574">
        <v>30690920.859999999</v>
      </c>
      <c r="R2574" s="14">
        <f>_xlfn.XLOOKUP(Table2[[#This Row],[LoanID]],Table1[G-L ID],Table1[ManagerCode],-99)</f>
        <v>183</v>
      </c>
      <c r="T2574"/>
    </row>
    <row r="2575" spans="1:20" x14ac:dyDescent="0.25">
      <c r="A2575">
        <v>20140331</v>
      </c>
      <c r="B2575">
        <v>2014</v>
      </c>
      <c r="C2575">
        <v>3</v>
      </c>
      <c r="D2575">
        <v>1</v>
      </c>
      <c r="E2575">
        <v>11680</v>
      </c>
      <c r="F2575">
        <v>57126.559999999998</v>
      </c>
      <c r="G2575">
        <v>0</v>
      </c>
      <c r="H2575">
        <v>0</v>
      </c>
      <c r="I2575">
        <v>0</v>
      </c>
      <c r="J2575">
        <v>0</v>
      </c>
      <c r="K2575">
        <v>0</v>
      </c>
      <c r="L2575">
        <v>6600000</v>
      </c>
      <c r="M2575">
        <v>6600000</v>
      </c>
      <c r="N2575">
        <v>6600000</v>
      </c>
      <c r="O2575">
        <v>6600000</v>
      </c>
      <c r="P2575">
        <v>6600000</v>
      </c>
      <c r="Q2575">
        <v>6600000</v>
      </c>
      <c r="R2575" s="14">
        <f>_xlfn.XLOOKUP(Table2[[#This Row],[LoanID]],Table1[G-L ID],Table1[ManagerCode],-99)</f>
        <v>183</v>
      </c>
      <c r="T2575"/>
    </row>
    <row r="2576" spans="1:20" x14ac:dyDescent="0.25">
      <c r="A2576">
        <v>20140331</v>
      </c>
      <c r="B2576">
        <v>2014</v>
      </c>
      <c r="C2576">
        <v>3</v>
      </c>
      <c r="D2576">
        <v>1</v>
      </c>
      <c r="E2576">
        <v>11710</v>
      </c>
      <c r="F2576">
        <v>90146</v>
      </c>
      <c r="G2576">
        <v>0</v>
      </c>
      <c r="H2576">
        <v>0</v>
      </c>
      <c r="I2576">
        <v>0</v>
      </c>
      <c r="J2576">
        <v>0</v>
      </c>
      <c r="K2576">
        <v>0</v>
      </c>
      <c r="L2576">
        <v>12000000</v>
      </c>
      <c r="M2576">
        <v>12000000</v>
      </c>
      <c r="N2576">
        <v>12000000</v>
      </c>
      <c r="O2576">
        <v>12000000</v>
      </c>
      <c r="P2576">
        <v>12000000</v>
      </c>
      <c r="Q2576">
        <v>12000000</v>
      </c>
      <c r="R2576" s="14">
        <f>_xlfn.XLOOKUP(Table2[[#This Row],[LoanID]],Table1[G-L ID],Table1[ManagerCode],-99)</f>
        <v>119</v>
      </c>
      <c r="T2576"/>
    </row>
    <row r="2577" spans="1:20" x14ac:dyDescent="0.25">
      <c r="A2577">
        <v>20140331</v>
      </c>
      <c r="B2577">
        <v>2014</v>
      </c>
      <c r="C2577">
        <v>3</v>
      </c>
      <c r="D2577">
        <v>1</v>
      </c>
      <c r="E2577">
        <v>11740</v>
      </c>
      <c r="F2577">
        <v>170500</v>
      </c>
      <c r="G2577">
        <v>0</v>
      </c>
      <c r="H2577">
        <v>0</v>
      </c>
      <c r="I2577">
        <v>0</v>
      </c>
      <c r="J2577">
        <v>0</v>
      </c>
      <c r="K2577">
        <v>0</v>
      </c>
      <c r="L2577">
        <v>18600000</v>
      </c>
      <c r="M2577">
        <v>18600000</v>
      </c>
      <c r="N2577">
        <v>18600000</v>
      </c>
      <c r="O2577">
        <v>18600000</v>
      </c>
      <c r="P2577">
        <v>18600000</v>
      </c>
      <c r="Q2577">
        <v>18600000</v>
      </c>
      <c r="R2577" s="14">
        <f>_xlfn.XLOOKUP(Table2[[#This Row],[LoanID]],Table1[G-L ID],Table1[ManagerCode],-99)</f>
        <v>183</v>
      </c>
      <c r="T2577"/>
    </row>
    <row r="2578" spans="1:20" x14ac:dyDescent="0.25">
      <c r="A2578">
        <v>20140331</v>
      </c>
      <c r="B2578">
        <v>2014</v>
      </c>
      <c r="C2578">
        <v>3</v>
      </c>
      <c r="D2578">
        <v>1</v>
      </c>
      <c r="E2578">
        <v>11770</v>
      </c>
      <c r="F2578">
        <v>160550.6</v>
      </c>
      <c r="G2578">
        <v>0</v>
      </c>
      <c r="H2578">
        <v>0</v>
      </c>
      <c r="I2578">
        <v>0</v>
      </c>
      <c r="J2578">
        <v>0</v>
      </c>
      <c r="K2578">
        <v>0</v>
      </c>
      <c r="L2578">
        <v>25306142.239999998</v>
      </c>
      <c r="M2578">
        <v>25306142.239999998</v>
      </c>
      <c r="N2578">
        <v>25306142.239999998</v>
      </c>
      <c r="O2578">
        <v>25306142.239999998</v>
      </c>
      <c r="P2578">
        <v>25306142.239999998</v>
      </c>
      <c r="Q2578">
        <v>25306142.239999998</v>
      </c>
      <c r="R2578" s="14">
        <f>_xlfn.XLOOKUP(Table2[[#This Row],[LoanID]],Table1[G-L ID],Table1[ManagerCode],-99)</f>
        <v>119</v>
      </c>
      <c r="T2578"/>
    </row>
    <row r="2579" spans="1:20" x14ac:dyDescent="0.25">
      <c r="A2579">
        <v>20140331</v>
      </c>
      <c r="B2579">
        <v>2014</v>
      </c>
      <c r="C2579">
        <v>3</v>
      </c>
      <c r="D2579">
        <v>1</v>
      </c>
      <c r="E2579">
        <v>11780</v>
      </c>
      <c r="F2579">
        <v>110952.73</v>
      </c>
      <c r="G2579">
        <v>0</v>
      </c>
      <c r="H2579">
        <v>0</v>
      </c>
      <c r="I2579">
        <v>-1007.78</v>
      </c>
      <c r="J2579">
        <v>0</v>
      </c>
      <c r="K2579">
        <v>0</v>
      </c>
      <c r="L2579">
        <v>42883514</v>
      </c>
      <c r="M2579">
        <v>43278336</v>
      </c>
      <c r="N2579">
        <v>42883514</v>
      </c>
      <c r="O2579">
        <v>43278336</v>
      </c>
      <c r="P2579">
        <v>64786446.619999997</v>
      </c>
      <c r="Q2579">
        <v>64786446.619999997</v>
      </c>
      <c r="R2579" s="14">
        <f>_xlfn.XLOOKUP(Table2[[#This Row],[LoanID]],Table1[G-L ID],Table1[ManagerCode],-99)</f>
        <v>103</v>
      </c>
      <c r="T2579"/>
    </row>
    <row r="2580" spans="1:20" x14ac:dyDescent="0.25">
      <c r="A2580">
        <v>20140331</v>
      </c>
      <c r="B2580">
        <v>2014</v>
      </c>
      <c r="C2580">
        <v>3</v>
      </c>
      <c r="D2580">
        <v>1</v>
      </c>
      <c r="E2580">
        <v>11810</v>
      </c>
      <c r="F2580">
        <v>50070.27</v>
      </c>
      <c r="G2580">
        <v>0</v>
      </c>
      <c r="H2580">
        <v>0</v>
      </c>
      <c r="I2580">
        <v>0</v>
      </c>
      <c r="J2580">
        <v>0</v>
      </c>
      <c r="K2580">
        <v>10787.82</v>
      </c>
      <c r="L2580">
        <v>9687864.1400000006</v>
      </c>
      <c r="M2580">
        <v>9677184.1799999997</v>
      </c>
      <c r="N2580">
        <v>9687864.1400000006</v>
      </c>
      <c r="O2580">
        <v>9677184.1799999997</v>
      </c>
      <c r="P2580">
        <v>9785721.3399999999</v>
      </c>
      <c r="Q2580">
        <v>9774933.5199999996</v>
      </c>
      <c r="R2580" s="14">
        <f>_xlfn.XLOOKUP(Table2[[#This Row],[LoanID]],Table1[G-L ID],Table1[ManagerCode],-99)</f>
        <v>103</v>
      </c>
      <c r="T2580"/>
    </row>
    <row r="2581" spans="1:20" x14ac:dyDescent="0.25">
      <c r="A2581">
        <v>20140331</v>
      </c>
      <c r="B2581">
        <v>2014</v>
      </c>
      <c r="C2581">
        <v>3</v>
      </c>
      <c r="D2581">
        <v>1</v>
      </c>
      <c r="E2581">
        <v>11840</v>
      </c>
      <c r="F2581">
        <v>52501.8</v>
      </c>
      <c r="G2581">
        <v>89373.2</v>
      </c>
      <c r="H2581">
        <v>0</v>
      </c>
      <c r="I2581">
        <v>0</v>
      </c>
      <c r="J2581">
        <v>0</v>
      </c>
      <c r="K2581">
        <v>0</v>
      </c>
      <c r="L2581">
        <v>11741379.720000001</v>
      </c>
      <c r="M2581">
        <v>11830752.92</v>
      </c>
      <c r="N2581">
        <v>11741379.720000001</v>
      </c>
      <c r="O2581">
        <v>11830752.92</v>
      </c>
      <c r="P2581">
        <v>11741379.720000001</v>
      </c>
      <c r="Q2581">
        <v>11830752.92</v>
      </c>
      <c r="R2581" s="14">
        <f>_xlfn.XLOOKUP(Table2[[#This Row],[LoanID]],Table1[G-L ID],Table1[ManagerCode],-99)</f>
        <v>183</v>
      </c>
      <c r="T2581"/>
    </row>
    <row r="2582" spans="1:20" x14ac:dyDescent="0.25">
      <c r="A2582">
        <v>20140331</v>
      </c>
      <c r="B2582">
        <v>2014</v>
      </c>
      <c r="C2582">
        <v>3</v>
      </c>
      <c r="D2582">
        <v>1</v>
      </c>
      <c r="E2582">
        <v>11880</v>
      </c>
      <c r="F2582">
        <v>99894.43</v>
      </c>
      <c r="G2582">
        <v>114488.87</v>
      </c>
      <c r="H2582">
        <v>0</v>
      </c>
      <c r="I2582">
        <v>0</v>
      </c>
      <c r="J2582">
        <v>-1171096.54</v>
      </c>
      <c r="K2582">
        <v>0</v>
      </c>
      <c r="L2582">
        <v>21074696.100000001</v>
      </c>
      <c r="M2582">
        <v>22360281.510000002</v>
      </c>
      <c r="N2582">
        <v>21074696.100000001</v>
      </c>
      <c r="O2582">
        <v>22360281.510000002</v>
      </c>
      <c r="P2582">
        <v>21074696.100000001</v>
      </c>
      <c r="Q2582">
        <v>22360281.510000002</v>
      </c>
      <c r="R2582" s="14">
        <f>_xlfn.XLOOKUP(Table2[[#This Row],[LoanID]],Table1[G-L ID],Table1[ManagerCode],-99)</f>
        <v>183</v>
      </c>
      <c r="T2582"/>
    </row>
    <row r="2583" spans="1:20" x14ac:dyDescent="0.25">
      <c r="A2583">
        <v>20140331</v>
      </c>
      <c r="B2583">
        <v>2014</v>
      </c>
      <c r="C2583">
        <v>3</v>
      </c>
      <c r="D2583">
        <v>1</v>
      </c>
      <c r="E2583">
        <v>11920</v>
      </c>
      <c r="F2583">
        <v>87274.44</v>
      </c>
      <c r="G2583">
        <v>0</v>
      </c>
      <c r="H2583">
        <v>0</v>
      </c>
      <c r="I2583">
        <v>0</v>
      </c>
      <c r="J2583">
        <v>0</v>
      </c>
      <c r="K2583">
        <v>0</v>
      </c>
      <c r="L2583">
        <v>12250000</v>
      </c>
      <c r="M2583">
        <v>12250000</v>
      </c>
      <c r="N2583">
        <v>12250000</v>
      </c>
      <c r="O2583">
        <v>12250000</v>
      </c>
      <c r="P2583">
        <v>12250000</v>
      </c>
      <c r="Q2583">
        <v>12250000</v>
      </c>
      <c r="R2583" s="14">
        <f>_xlfn.XLOOKUP(Table2[[#This Row],[LoanID]],Table1[G-L ID],Table1[ManagerCode],-99)</f>
        <v>220</v>
      </c>
      <c r="T2583"/>
    </row>
    <row r="2584" spans="1:20" x14ac:dyDescent="0.25">
      <c r="A2584">
        <v>20140331</v>
      </c>
      <c r="B2584">
        <v>2014</v>
      </c>
      <c r="C2584">
        <v>3</v>
      </c>
      <c r="D2584">
        <v>1</v>
      </c>
      <c r="E2584">
        <v>11970</v>
      </c>
      <c r="F2584">
        <v>85000</v>
      </c>
      <c r="G2584">
        <v>55665.67</v>
      </c>
      <c r="H2584">
        <v>0</v>
      </c>
      <c r="I2584">
        <v>0</v>
      </c>
      <c r="J2584">
        <v>0</v>
      </c>
      <c r="K2584">
        <v>0</v>
      </c>
      <c r="L2584">
        <v>9377711.1699999999</v>
      </c>
      <c r="M2584">
        <v>9433376.8399999999</v>
      </c>
      <c r="N2584">
        <v>9377711.1699999999</v>
      </c>
      <c r="O2584">
        <v>9433376.8399999999</v>
      </c>
      <c r="P2584">
        <v>9377711.1699999999</v>
      </c>
      <c r="Q2584">
        <v>9433376.8399999999</v>
      </c>
      <c r="R2584" s="14">
        <f>_xlfn.XLOOKUP(Table2[[#This Row],[LoanID]],Table1[G-L ID],Table1[ManagerCode],-99)</f>
        <v>183</v>
      </c>
      <c r="T2584"/>
    </row>
    <row r="2585" spans="1:20" x14ac:dyDescent="0.25">
      <c r="A2585">
        <v>20140331</v>
      </c>
      <c r="B2585">
        <v>2014</v>
      </c>
      <c r="C2585">
        <v>3</v>
      </c>
      <c r="D2585">
        <v>1</v>
      </c>
      <c r="E2585">
        <v>12020</v>
      </c>
      <c r="F2585">
        <v>190000</v>
      </c>
      <c r="G2585">
        <v>2031.25</v>
      </c>
      <c r="H2585">
        <v>0</v>
      </c>
      <c r="I2585">
        <v>0</v>
      </c>
      <c r="J2585">
        <v>0</v>
      </c>
      <c r="K2585">
        <v>0</v>
      </c>
      <c r="L2585">
        <v>10232333.42</v>
      </c>
      <c r="M2585">
        <v>10234364.67</v>
      </c>
      <c r="N2585">
        <v>10232333.42</v>
      </c>
      <c r="O2585">
        <v>10234364.67</v>
      </c>
      <c r="P2585">
        <v>10232333.42</v>
      </c>
      <c r="Q2585">
        <v>10234364.67</v>
      </c>
      <c r="R2585" s="14">
        <f>_xlfn.XLOOKUP(Table2[[#This Row],[LoanID]],Table1[G-L ID],Table1[ManagerCode],-99)</f>
        <v>183</v>
      </c>
      <c r="T2585"/>
    </row>
    <row r="2586" spans="1:20" x14ac:dyDescent="0.25">
      <c r="A2586">
        <v>20140331</v>
      </c>
      <c r="B2586">
        <v>2014</v>
      </c>
      <c r="C2586">
        <v>3</v>
      </c>
      <c r="D2586">
        <v>1</v>
      </c>
      <c r="E2586">
        <v>12080</v>
      </c>
      <c r="F2586">
        <v>284259.40999999997</v>
      </c>
      <c r="G2586">
        <v>0</v>
      </c>
      <c r="H2586">
        <v>0</v>
      </c>
      <c r="I2586">
        <v>0</v>
      </c>
      <c r="J2586">
        <v>0</v>
      </c>
      <c r="K2586">
        <v>0</v>
      </c>
      <c r="L2586">
        <v>38799529.439999998</v>
      </c>
      <c r="M2586">
        <v>38799529.439999998</v>
      </c>
      <c r="N2586">
        <v>38799529.439999998</v>
      </c>
      <c r="O2586">
        <v>38799529.439999998</v>
      </c>
      <c r="P2586">
        <v>38799529.439999998</v>
      </c>
      <c r="Q2586">
        <v>38799529.439999998</v>
      </c>
      <c r="R2586" s="14">
        <f>_xlfn.XLOOKUP(Table2[[#This Row],[LoanID]],Table1[G-L ID],Table1[ManagerCode],-99)</f>
        <v>119</v>
      </c>
      <c r="T2586"/>
    </row>
    <row r="2587" spans="1:20" x14ac:dyDescent="0.25">
      <c r="A2587">
        <v>20140331</v>
      </c>
      <c r="B2587">
        <v>2014</v>
      </c>
      <c r="C2587">
        <v>3</v>
      </c>
      <c r="D2587">
        <v>1</v>
      </c>
      <c r="E2587">
        <v>12090</v>
      </c>
      <c r="F2587">
        <v>0</v>
      </c>
      <c r="G2587">
        <v>0</v>
      </c>
      <c r="H2587">
        <v>0</v>
      </c>
      <c r="I2587">
        <v>0</v>
      </c>
      <c r="J2587">
        <v>0</v>
      </c>
      <c r="K2587">
        <v>0</v>
      </c>
      <c r="L2587">
        <v>17500000</v>
      </c>
      <c r="M2587">
        <v>17500000</v>
      </c>
      <c r="N2587">
        <v>17500000</v>
      </c>
      <c r="O2587">
        <v>17500000</v>
      </c>
      <c r="P2587">
        <v>17500000</v>
      </c>
      <c r="Q2587">
        <v>17500000</v>
      </c>
      <c r="R2587" s="14">
        <f>_xlfn.XLOOKUP(Table2[[#This Row],[LoanID]],Table1[G-L ID],Table1[ManagerCode],-99)</f>
        <v>220</v>
      </c>
      <c r="T2587"/>
    </row>
    <row r="2588" spans="1:20" x14ac:dyDescent="0.25">
      <c r="A2588">
        <v>20140331</v>
      </c>
      <c r="B2588">
        <v>2014</v>
      </c>
      <c r="C2588">
        <v>3</v>
      </c>
      <c r="D2588">
        <v>1</v>
      </c>
      <c r="E2588">
        <v>12100</v>
      </c>
      <c r="F2588">
        <v>48023.57</v>
      </c>
      <c r="G2588">
        <v>80749.210000000006</v>
      </c>
      <c r="H2588">
        <v>0</v>
      </c>
      <c r="I2588">
        <v>0</v>
      </c>
      <c r="J2588">
        <v>-48023.57</v>
      </c>
      <c r="K2588">
        <v>0</v>
      </c>
      <c r="L2588">
        <v>10644220.310000001</v>
      </c>
      <c r="M2588">
        <v>10772993.09</v>
      </c>
      <c r="N2588">
        <v>10644220.310000001</v>
      </c>
      <c r="O2588">
        <v>10772993.09</v>
      </c>
      <c r="P2588">
        <v>10644220.310000001</v>
      </c>
      <c r="Q2588">
        <v>10772993.09</v>
      </c>
      <c r="R2588" s="14">
        <f>_xlfn.XLOOKUP(Table2[[#This Row],[LoanID]],Table1[G-L ID],Table1[ManagerCode],-99)</f>
        <v>183</v>
      </c>
      <c r="T2588"/>
    </row>
    <row r="2589" spans="1:20" x14ac:dyDescent="0.25">
      <c r="A2589">
        <v>20140331</v>
      </c>
      <c r="B2589">
        <v>2014</v>
      </c>
      <c r="C2589">
        <v>3</v>
      </c>
      <c r="D2589">
        <v>1</v>
      </c>
      <c r="E2589">
        <v>12180</v>
      </c>
      <c r="F2589">
        <v>30138.89</v>
      </c>
      <c r="G2589">
        <v>0</v>
      </c>
      <c r="H2589">
        <v>175000</v>
      </c>
      <c r="I2589">
        <v>-32000</v>
      </c>
      <c r="J2589">
        <v>-35000000</v>
      </c>
      <c r="K2589">
        <v>0</v>
      </c>
      <c r="L2589">
        <v>0</v>
      </c>
      <c r="M2589">
        <v>35000000</v>
      </c>
      <c r="N2589">
        <v>0</v>
      </c>
      <c r="O2589">
        <v>35000000</v>
      </c>
      <c r="P2589">
        <v>0</v>
      </c>
      <c r="Q2589">
        <v>35000000</v>
      </c>
      <c r="R2589" s="14">
        <f>_xlfn.XLOOKUP(Table2[[#This Row],[LoanID]],Table1[G-L ID],Table1[ManagerCode],-99)</f>
        <v>220</v>
      </c>
      <c r="T2589"/>
    </row>
    <row r="2590" spans="1:20" x14ac:dyDescent="0.25">
      <c r="A2590">
        <v>20140331</v>
      </c>
      <c r="B2590">
        <v>2014</v>
      </c>
      <c r="C2590">
        <v>3</v>
      </c>
      <c r="D2590">
        <v>1</v>
      </c>
      <c r="E2590">
        <v>12190</v>
      </c>
      <c r="F2590">
        <v>0</v>
      </c>
      <c r="G2590">
        <v>0</v>
      </c>
      <c r="H2590">
        <v>0</v>
      </c>
      <c r="I2590">
        <v>0</v>
      </c>
      <c r="J2590">
        <v>0</v>
      </c>
      <c r="K2590">
        <v>0</v>
      </c>
      <c r="L2590">
        <v>37500000</v>
      </c>
      <c r="M2590">
        <v>37500000</v>
      </c>
      <c r="N2590">
        <v>37500000</v>
      </c>
      <c r="O2590">
        <v>37500000</v>
      </c>
      <c r="P2590">
        <v>37500000</v>
      </c>
      <c r="Q2590">
        <v>37500000</v>
      </c>
      <c r="R2590" s="14">
        <f>_xlfn.XLOOKUP(Table2[[#This Row],[LoanID]],Table1[G-L ID],Table1[ManagerCode],-99)</f>
        <v>220</v>
      </c>
      <c r="T2590"/>
    </row>
    <row r="2591" spans="1:20" x14ac:dyDescent="0.25">
      <c r="A2591">
        <v>20140331</v>
      </c>
      <c r="B2591">
        <v>2014</v>
      </c>
      <c r="C2591">
        <v>3</v>
      </c>
      <c r="D2591">
        <v>1</v>
      </c>
      <c r="E2591">
        <v>12210</v>
      </c>
      <c r="F2591">
        <v>689291.31</v>
      </c>
      <c r="G2591">
        <v>0</v>
      </c>
      <c r="H2591">
        <v>0</v>
      </c>
      <c r="I2591">
        <v>0</v>
      </c>
      <c r="J2591">
        <v>0</v>
      </c>
      <c r="K2591">
        <v>210299.61</v>
      </c>
      <c r="L2591">
        <v>129797336.2</v>
      </c>
      <c r="M2591">
        <v>128854391.5</v>
      </c>
      <c r="N2591">
        <v>129797336.2</v>
      </c>
      <c r="O2591">
        <v>128854391.5</v>
      </c>
      <c r="P2591">
        <v>111528445.40000001</v>
      </c>
      <c r="Q2591">
        <v>111318145.8</v>
      </c>
      <c r="R2591" s="14">
        <f>_xlfn.XLOOKUP(Table2[[#This Row],[LoanID]],Table1[G-L ID],Table1[ManagerCode],-99)</f>
        <v>103</v>
      </c>
      <c r="T2591"/>
    </row>
    <row r="2592" spans="1:20" x14ac:dyDescent="0.25">
      <c r="A2592">
        <v>20140331</v>
      </c>
      <c r="B2592">
        <v>2014</v>
      </c>
      <c r="C2592">
        <v>3</v>
      </c>
      <c r="D2592">
        <v>1</v>
      </c>
      <c r="E2592">
        <v>12230</v>
      </c>
      <c r="F2592">
        <v>115557.64</v>
      </c>
      <c r="G2592">
        <v>0</v>
      </c>
      <c r="H2592">
        <v>0</v>
      </c>
      <c r="I2592">
        <v>0</v>
      </c>
      <c r="J2592">
        <v>0</v>
      </c>
      <c r="K2592">
        <v>0</v>
      </c>
      <c r="L2592">
        <v>20298160.120000001</v>
      </c>
      <c r="M2592">
        <v>20164000</v>
      </c>
      <c r="N2592">
        <v>14249652.619999999</v>
      </c>
      <c r="O2592">
        <v>14115492.5</v>
      </c>
      <c r="P2592">
        <v>19194090.940000001</v>
      </c>
      <c r="Q2592">
        <v>19194090.940000001</v>
      </c>
      <c r="R2592" s="14">
        <f>_xlfn.XLOOKUP(Table2[[#This Row],[LoanID]],Table1[G-L ID],Table1[ManagerCode],-99)</f>
        <v>183</v>
      </c>
      <c r="T2592"/>
    </row>
    <row r="2593" spans="1:20" x14ac:dyDescent="0.25">
      <c r="A2593">
        <v>20140331</v>
      </c>
      <c r="B2593">
        <v>2014</v>
      </c>
      <c r="C2593">
        <v>3</v>
      </c>
      <c r="D2593">
        <v>1</v>
      </c>
      <c r="E2593">
        <v>15580</v>
      </c>
      <c r="F2593">
        <v>107657.62</v>
      </c>
      <c r="G2593">
        <v>11409.34</v>
      </c>
      <c r="H2593">
        <v>0</v>
      </c>
      <c r="I2593">
        <v>0</v>
      </c>
      <c r="J2593">
        <v>0</v>
      </c>
      <c r="K2593">
        <v>15743.69</v>
      </c>
      <c r="L2593">
        <v>15071650.77</v>
      </c>
      <c r="M2593">
        <v>15067316.42</v>
      </c>
      <c r="N2593">
        <v>15071650.77</v>
      </c>
      <c r="O2593">
        <v>15067316.42</v>
      </c>
      <c r="P2593">
        <v>15071650.77</v>
      </c>
      <c r="Q2593">
        <v>15067316.42</v>
      </c>
      <c r="R2593" s="14">
        <f>_xlfn.XLOOKUP(Table2[[#This Row],[LoanID]],Table1[G-L ID],Table1[ManagerCode],-99)</f>
        <v>212</v>
      </c>
      <c r="T2593"/>
    </row>
    <row r="2594" spans="1:20" x14ac:dyDescent="0.25">
      <c r="A2594">
        <v>20140430</v>
      </c>
      <c r="B2594">
        <v>2014</v>
      </c>
      <c r="C2594">
        <v>4</v>
      </c>
      <c r="D2594">
        <v>1</v>
      </c>
      <c r="E2594">
        <v>10050</v>
      </c>
      <c r="F2594">
        <v>153981.01999999999</v>
      </c>
      <c r="G2594">
        <v>0</v>
      </c>
      <c r="H2594">
        <v>0</v>
      </c>
      <c r="I2594">
        <v>0</v>
      </c>
      <c r="J2594">
        <v>0</v>
      </c>
      <c r="K2594">
        <v>0</v>
      </c>
      <c r="L2594">
        <v>36784693.200000003</v>
      </c>
      <c r="M2594">
        <v>36722616.630000003</v>
      </c>
      <c r="N2594">
        <v>36784693.200000003</v>
      </c>
      <c r="O2594">
        <v>36722616.630000003</v>
      </c>
      <c r="P2594">
        <v>33333334</v>
      </c>
      <c r="Q2594">
        <v>33333334</v>
      </c>
      <c r="R2594" s="14">
        <f>_xlfn.XLOOKUP(Table2[[#This Row],[LoanID]],Table1[G-L ID],Table1[ManagerCode],-99)</f>
        <v>103</v>
      </c>
      <c r="T2594"/>
    </row>
    <row r="2595" spans="1:20" x14ac:dyDescent="0.25">
      <c r="A2595">
        <v>20140430</v>
      </c>
      <c r="B2595">
        <v>2014</v>
      </c>
      <c r="C2595">
        <v>4</v>
      </c>
      <c r="D2595">
        <v>1</v>
      </c>
      <c r="E2595">
        <v>10060</v>
      </c>
      <c r="F2595">
        <v>120833.33</v>
      </c>
      <c r="G2595">
        <v>0</v>
      </c>
      <c r="H2595">
        <v>0</v>
      </c>
      <c r="I2595">
        <v>0</v>
      </c>
      <c r="J2595">
        <v>0</v>
      </c>
      <c r="K2595">
        <v>0</v>
      </c>
      <c r="L2595">
        <v>19000000</v>
      </c>
      <c r="M2595">
        <v>19000000</v>
      </c>
      <c r="N2595">
        <v>19000000</v>
      </c>
      <c r="O2595">
        <v>19000000</v>
      </c>
      <c r="P2595">
        <v>20000000</v>
      </c>
      <c r="Q2595">
        <v>20000000</v>
      </c>
      <c r="R2595" s="14">
        <f>_xlfn.XLOOKUP(Table2[[#This Row],[LoanID]],Table1[G-L ID],Table1[ManagerCode],-99)</f>
        <v>103</v>
      </c>
      <c r="T2595"/>
    </row>
    <row r="2596" spans="1:20" x14ac:dyDescent="0.25">
      <c r="A2596">
        <v>20140430</v>
      </c>
      <c r="B2596">
        <v>2014</v>
      </c>
      <c r="C2596">
        <v>4</v>
      </c>
      <c r="D2596">
        <v>1</v>
      </c>
      <c r="E2596">
        <v>10080</v>
      </c>
      <c r="F2596">
        <v>351042.71</v>
      </c>
      <c r="G2596">
        <v>0</v>
      </c>
      <c r="H2596">
        <v>0</v>
      </c>
      <c r="I2596">
        <v>-161.46</v>
      </c>
      <c r="J2596">
        <v>0</v>
      </c>
      <c r="K2596">
        <v>0</v>
      </c>
      <c r="L2596">
        <v>77469328.329999998</v>
      </c>
      <c r="M2596">
        <v>77261066.019999996</v>
      </c>
      <c r="N2596">
        <v>77469328.329999998</v>
      </c>
      <c r="O2596">
        <v>77261066.019999996</v>
      </c>
      <c r="P2596">
        <v>75000000</v>
      </c>
      <c r="Q2596">
        <v>75000000</v>
      </c>
      <c r="R2596" s="14">
        <f>_xlfn.XLOOKUP(Table2[[#This Row],[LoanID]],Table1[G-L ID],Table1[ManagerCode],-99)</f>
        <v>103</v>
      </c>
      <c r="T2596"/>
    </row>
    <row r="2597" spans="1:20" x14ac:dyDescent="0.25">
      <c r="A2597">
        <v>20140430</v>
      </c>
      <c r="B2597">
        <v>2014</v>
      </c>
      <c r="C2597">
        <v>4</v>
      </c>
      <c r="D2597">
        <v>1</v>
      </c>
      <c r="E2597">
        <v>10090</v>
      </c>
      <c r="F2597">
        <v>188152.78</v>
      </c>
      <c r="G2597">
        <v>0</v>
      </c>
      <c r="H2597">
        <v>0</v>
      </c>
      <c r="I2597">
        <v>0</v>
      </c>
      <c r="J2597">
        <v>0</v>
      </c>
      <c r="K2597">
        <v>0</v>
      </c>
      <c r="L2597">
        <v>23000000</v>
      </c>
      <c r="M2597">
        <v>23000000</v>
      </c>
      <c r="N2597">
        <v>23000000</v>
      </c>
      <c r="O2597">
        <v>23000000</v>
      </c>
      <c r="P2597">
        <v>23000000</v>
      </c>
      <c r="Q2597">
        <v>23000000</v>
      </c>
      <c r="R2597" s="14">
        <f>_xlfn.XLOOKUP(Table2[[#This Row],[LoanID]],Table1[G-L ID],Table1[ManagerCode],-99)</f>
        <v>119</v>
      </c>
      <c r="T2597"/>
    </row>
    <row r="2598" spans="1:20" x14ac:dyDescent="0.25">
      <c r="A2598">
        <v>20140430</v>
      </c>
      <c r="B2598">
        <v>2014</v>
      </c>
      <c r="C2598">
        <v>4</v>
      </c>
      <c r="D2598">
        <v>1</v>
      </c>
      <c r="E2598">
        <v>10170</v>
      </c>
      <c r="F2598">
        <v>237584.24</v>
      </c>
      <c r="G2598">
        <v>0</v>
      </c>
      <c r="H2598">
        <v>0</v>
      </c>
      <c r="I2598">
        <v>-1138.58</v>
      </c>
      <c r="J2598">
        <v>0</v>
      </c>
      <c r="K2598">
        <v>76433.78</v>
      </c>
      <c r="L2598">
        <v>45079618.5</v>
      </c>
      <c r="M2598">
        <v>44851515.899999999</v>
      </c>
      <c r="N2598">
        <v>45079618.5</v>
      </c>
      <c r="O2598">
        <v>44851515.899999999</v>
      </c>
      <c r="P2598">
        <v>44074166.229999997</v>
      </c>
      <c r="Q2598">
        <v>43997732.450000003</v>
      </c>
      <c r="R2598" s="14">
        <f>_xlfn.XLOOKUP(Table2[[#This Row],[LoanID]],Table1[G-L ID],Table1[ManagerCode],-99)</f>
        <v>103</v>
      </c>
      <c r="T2598"/>
    </row>
    <row r="2599" spans="1:20" x14ac:dyDescent="0.25">
      <c r="A2599">
        <v>20140430</v>
      </c>
      <c r="B2599">
        <v>2014</v>
      </c>
      <c r="C2599">
        <v>4</v>
      </c>
      <c r="D2599">
        <v>1</v>
      </c>
      <c r="E2599">
        <v>10190</v>
      </c>
      <c r="F2599">
        <v>41666.67</v>
      </c>
      <c r="G2599">
        <v>0</v>
      </c>
      <c r="H2599">
        <v>0</v>
      </c>
      <c r="I2599">
        <v>0</v>
      </c>
      <c r="J2599">
        <v>0</v>
      </c>
      <c r="K2599">
        <v>0</v>
      </c>
      <c r="L2599">
        <v>9500000</v>
      </c>
      <c r="M2599">
        <v>9500000</v>
      </c>
      <c r="N2599">
        <v>9500000</v>
      </c>
      <c r="O2599">
        <v>9500000</v>
      </c>
      <c r="P2599">
        <v>10000000</v>
      </c>
      <c r="Q2599">
        <v>10000000</v>
      </c>
      <c r="R2599" s="14">
        <f>_xlfn.XLOOKUP(Table2[[#This Row],[LoanID]],Table1[G-L ID],Table1[ManagerCode],-99)</f>
        <v>103</v>
      </c>
      <c r="T2599"/>
    </row>
    <row r="2600" spans="1:20" x14ac:dyDescent="0.25">
      <c r="A2600">
        <v>20140430</v>
      </c>
      <c r="B2600">
        <v>2014</v>
      </c>
      <c r="C2600">
        <v>4</v>
      </c>
      <c r="D2600">
        <v>1</v>
      </c>
      <c r="E2600">
        <v>10200</v>
      </c>
      <c r="F2600">
        <v>128541.67</v>
      </c>
      <c r="G2600">
        <v>0</v>
      </c>
      <c r="H2600">
        <v>0</v>
      </c>
      <c r="I2600">
        <v>0</v>
      </c>
      <c r="J2600">
        <v>0</v>
      </c>
      <c r="K2600">
        <v>0</v>
      </c>
      <c r="L2600">
        <v>29307500</v>
      </c>
      <c r="M2600">
        <v>29307500</v>
      </c>
      <c r="N2600">
        <v>29307500</v>
      </c>
      <c r="O2600">
        <v>29307500</v>
      </c>
      <c r="P2600">
        <v>30850000</v>
      </c>
      <c r="Q2600">
        <v>30850000</v>
      </c>
      <c r="R2600" s="14">
        <f>_xlfn.XLOOKUP(Table2[[#This Row],[LoanID]],Table1[G-L ID],Table1[ManagerCode],-99)</f>
        <v>103</v>
      </c>
      <c r="T2600"/>
    </row>
    <row r="2601" spans="1:20" x14ac:dyDescent="0.25">
      <c r="A2601">
        <v>20140430</v>
      </c>
      <c r="B2601">
        <v>2014</v>
      </c>
      <c r="C2601">
        <v>4</v>
      </c>
      <c r="D2601">
        <v>1</v>
      </c>
      <c r="E2601">
        <v>10220</v>
      </c>
      <c r="F2601">
        <v>559722.22</v>
      </c>
      <c r="G2601">
        <v>0</v>
      </c>
      <c r="H2601">
        <v>0</v>
      </c>
      <c r="I2601">
        <v>0</v>
      </c>
      <c r="J2601">
        <v>0</v>
      </c>
      <c r="K2601">
        <v>0</v>
      </c>
      <c r="L2601">
        <v>99000000</v>
      </c>
      <c r="M2601">
        <v>99000000</v>
      </c>
      <c r="N2601">
        <v>99000000</v>
      </c>
      <c r="O2601">
        <v>99000000</v>
      </c>
      <c r="P2601">
        <v>100000000</v>
      </c>
      <c r="Q2601">
        <v>100000000</v>
      </c>
      <c r="R2601" s="14">
        <f>_xlfn.XLOOKUP(Table2[[#This Row],[LoanID]],Table1[G-L ID],Table1[ManagerCode],-99)</f>
        <v>103</v>
      </c>
      <c r="T2601"/>
    </row>
    <row r="2602" spans="1:20" x14ac:dyDescent="0.25">
      <c r="A2602">
        <v>20140430</v>
      </c>
      <c r="B2602">
        <v>2014</v>
      </c>
      <c r="C2602">
        <v>4</v>
      </c>
      <c r="D2602">
        <v>1</v>
      </c>
      <c r="E2602">
        <v>10230</v>
      </c>
      <c r="F2602">
        <v>172697.65</v>
      </c>
      <c r="G2602">
        <v>0</v>
      </c>
      <c r="H2602">
        <v>0</v>
      </c>
      <c r="I2602">
        <v>0</v>
      </c>
      <c r="J2602">
        <v>0</v>
      </c>
      <c r="K2602">
        <v>68900.42</v>
      </c>
      <c r="L2602">
        <v>29209988.32</v>
      </c>
      <c r="M2602">
        <v>29144532.91</v>
      </c>
      <c r="N2602">
        <v>29209988.32</v>
      </c>
      <c r="O2602">
        <v>29144532.91</v>
      </c>
      <c r="P2602">
        <v>30747356.129999999</v>
      </c>
      <c r="Q2602">
        <v>30678455.710000001</v>
      </c>
      <c r="R2602" s="14">
        <f>_xlfn.XLOOKUP(Table2[[#This Row],[LoanID]],Table1[G-L ID],Table1[ManagerCode],-99)</f>
        <v>103</v>
      </c>
      <c r="T2602"/>
    </row>
    <row r="2603" spans="1:20" x14ac:dyDescent="0.25">
      <c r="A2603">
        <v>20140430</v>
      </c>
      <c r="B2603">
        <v>2014</v>
      </c>
      <c r="C2603">
        <v>4</v>
      </c>
      <c r="D2603">
        <v>1</v>
      </c>
      <c r="E2603">
        <v>10340</v>
      </c>
      <c r="F2603">
        <v>110572.35</v>
      </c>
      <c r="G2603">
        <v>0</v>
      </c>
      <c r="H2603">
        <v>0</v>
      </c>
      <c r="I2603">
        <v>0</v>
      </c>
      <c r="J2603">
        <v>0</v>
      </c>
      <c r="K2603">
        <v>0</v>
      </c>
      <c r="L2603">
        <v>12527473</v>
      </c>
      <c r="M2603">
        <v>12527473</v>
      </c>
      <c r="N2603">
        <v>12527473</v>
      </c>
      <c r="O2603">
        <v>12527473</v>
      </c>
      <c r="P2603">
        <v>12527473</v>
      </c>
      <c r="Q2603">
        <v>12527473</v>
      </c>
      <c r="R2603" s="14">
        <f>_xlfn.XLOOKUP(Table2[[#This Row],[LoanID]],Table1[G-L ID],Table1[ManagerCode],-99)</f>
        <v>220</v>
      </c>
      <c r="T2603"/>
    </row>
    <row r="2604" spans="1:20" x14ac:dyDescent="0.25">
      <c r="A2604">
        <v>20140430</v>
      </c>
      <c r="B2604">
        <v>2014</v>
      </c>
      <c r="C2604">
        <v>4</v>
      </c>
      <c r="D2604">
        <v>1</v>
      </c>
      <c r="E2604">
        <v>10400</v>
      </c>
      <c r="F2604">
        <v>412687.5</v>
      </c>
      <c r="G2604">
        <v>0</v>
      </c>
      <c r="H2604">
        <v>0</v>
      </c>
      <c r="I2604">
        <v>0</v>
      </c>
      <c r="J2604">
        <v>0</v>
      </c>
      <c r="K2604">
        <v>0</v>
      </c>
      <c r="L2604">
        <v>45000000</v>
      </c>
      <c r="M2604">
        <v>45000000</v>
      </c>
      <c r="N2604">
        <v>45000000</v>
      </c>
      <c r="O2604">
        <v>45000000</v>
      </c>
      <c r="P2604">
        <v>45000000</v>
      </c>
      <c r="Q2604">
        <v>45000000</v>
      </c>
      <c r="R2604" s="14">
        <f>_xlfn.XLOOKUP(Table2[[#This Row],[LoanID]],Table1[G-L ID],Table1[ManagerCode],-99)</f>
        <v>220</v>
      </c>
      <c r="T2604"/>
    </row>
    <row r="2605" spans="1:20" x14ac:dyDescent="0.25">
      <c r="A2605">
        <v>20140430</v>
      </c>
      <c r="B2605">
        <v>2014</v>
      </c>
      <c r="C2605">
        <v>4</v>
      </c>
      <c r="D2605">
        <v>1</v>
      </c>
      <c r="E2605">
        <v>10430</v>
      </c>
      <c r="F2605">
        <v>61687.78</v>
      </c>
      <c r="G2605">
        <v>0</v>
      </c>
      <c r="H2605">
        <v>0</v>
      </c>
      <c r="I2605">
        <v>0</v>
      </c>
      <c r="J2605">
        <v>0</v>
      </c>
      <c r="K2605">
        <v>14875</v>
      </c>
      <c r="L2605">
        <v>6851250</v>
      </c>
      <c r="M2605">
        <v>6836375</v>
      </c>
      <c r="N2605">
        <v>6851250</v>
      </c>
      <c r="O2605">
        <v>6836375</v>
      </c>
      <c r="P2605">
        <v>6851250</v>
      </c>
      <c r="Q2605">
        <v>6836375</v>
      </c>
      <c r="R2605" s="14">
        <f>_xlfn.XLOOKUP(Table2[[#This Row],[LoanID]],Table1[G-L ID],Table1[ManagerCode],-99)</f>
        <v>119</v>
      </c>
      <c r="T2605"/>
    </row>
    <row r="2606" spans="1:20" x14ac:dyDescent="0.25">
      <c r="A2606">
        <v>20140430</v>
      </c>
      <c r="B2606">
        <v>2014</v>
      </c>
      <c r="C2606">
        <v>4</v>
      </c>
      <c r="D2606">
        <v>1</v>
      </c>
      <c r="E2606">
        <v>10460</v>
      </c>
      <c r="F2606">
        <v>124516.67</v>
      </c>
      <c r="G2606">
        <v>0</v>
      </c>
      <c r="H2606">
        <v>0</v>
      </c>
      <c r="I2606">
        <v>0</v>
      </c>
      <c r="J2606">
        <v>0</v>
      </c>
      <c r="K2606">
        <v>0</v>
      </c>
      <c r="L2606">
        <v>61980424.649999999</v>
      </c>
      <c r="M2606">
        <v>61781706.689999998</v>
      </c>
      <c r="N2606">
        <v>61980424.649999999</v>
      </c>
      <c r="O2606">
        <v>61781706.689999998</v>
      </c>
      <c r="P2606">
        <v>60000000</v>
      </c>
      <c r="Q2606">
        <v>60000000</v>
      </c>
      <c r="R2606" s="14">
        <f>_xlfn.XLOOKUP(Table2[[#This Row],[LoanID]],Table1[G-L ID],Table1[ManagerCode],-99)</f>
        <v>103</v>
      </c>
      <c r="T2606"/>
    </row>
    <row r="2607" spans="1:20" x14ac:dyDescent="0.25">
      <c r="A2607">
        <v>20140430</v>
      </c>
      <c r="B2607">
        <v>2014</v>
      </c>
      <c r="C2607">
        <v>4</v>
      </c>
      <c r="D2607">
        <v>1</v>
      </c>
      <c r="E2607">
        <v>10510</v>
      </c>
      <c r="F2607">
        <v>281481.25</v>
      </c>
      <c r="G2607">
        <v>0</v>
      </c>
      <c r="H2607">
        <v>0</v>
      </c>
      <c r="I2607">
        <v>0</v>
      </c>
      <c r="J2607">
        <v>0</v>
      </c>
      <c r="K2607">
        <v>0</v>
      </c>
      <c r="L2607">
        <v>45000000</v>
      </c>
      <c r="M2607">
        <v>45000000</v>
      </c>
      <c r="N2607">
        <v>45000000</v>
      </c>
      <c r="O2607">
        <v>45000000</v>
      </c>
      <c r="P2607">
        <v>45000000</v>
      </c>
      <c r="Q2607">
        <v>45000000</v>
      </c>
      <c r="R2607" s="14">
        <f>_xlfn.XLOOKUP(Table2[[#This Row],[LoanID]],Table1[G-L ID],Table1[ManagerCode],-99)</f>
        <v>220</v>
      </c>
      <c r="T2607"/>
    </row>
    <row r="2608" spans="1:20" x14ac:dyDescent="0.25">
      <c r="A2608">
        <v>20140430</v>
      </c>
      <c r="B2608">
        <v>2014</v>
      </c>
      <c r="C2608">
        <v>4</v>
      </c>
      <c r="D2608">
        <v>1</v>
      </c>
      <c r="E2608">
        <v>10570</v>
      </c>
      <c r="F2608">
        <v>1015108.62</v>
      </c>
      <c r="G2608">
        <v>0</v>
      </c>
      <c r="H2608">
        <v>0</v>
      </c>
      <c r="I2608">
        <v>0</v>
      </c>
      <c r="J2608">
        <v>0</v>
      </c>
      <c r="K2608">
        <v>0</v>
      </c>
      <c r="L2608">
        <v>197637165</v>
      </c>
      <c r="M2608">
        <v>197637165</v>
      </c>
      <c r="N2608">
        <v>197637165</v>
      </c>
      <c r="O2608">
        <v>197637165</v>
      </c>
      <c r="P2608">
        <v>199633500</v>
      </c>
      <c r="Q2608">
        <v>199633500</v>
      </c>
      <c r="R2608" s="14">
        <f>_xlfn.XLOOKUP(Table2[[#This Row],[LoanID]],Table1[G-L ID],Table1[ManagerCode],-99)</f>
        <v>103</v>
      </c>
      <c r="T2608"/>
    </row>
    <row r="2609" spans="1:20" x14ac:dyDescent="0.25">
      <c r="A2609">
        <v>20140430</v>
      </c>
      <c r="B2609">
        <v>2014</v>
      </c>
      <c r="C2609">
        <v>4</v>
      </c>
      <c r="D2609">
        <v>1</v>
      </c>
      <c r="E2609">
        <v>10591</v>
      </c>
      <c r="F2609">
        <v>224244.47</v>
      </c>
      <c r="G2609">
        <v>0</v>
      </c>
      <c r="H2609">
        <v>0</v>
      </c>
      <c r="I2609">
        <v>0</v>
      </c>
      <c r="J2609">
        <v>0</v>
      </c>
      <c r="K2609">
        <v>0</v>
      </c>
      <c r="L2609">
        <v>26600000</v>
      </c>
      <c r="M2609">
        <v>26600000</v>
      </c>
      <c r="N2609">
        <v>26600000</v>
      </c>
      <c r="O2609">
        <v>26600000</v>
      </c>
      <c r="P2609">
        <v>25644230.359999999</v>
      </c>
      <c r="Q2609">
        <v>25644230.359999999</v>
      </c>
      <c r="R2609" s="14">
        <f>_xlfn.XLOOKUP(Table2[[#This Row],[LoanID]],Table1[G-L ID],Table1[ManagerCode],-99)</f>
        <v>220</v>
      </c>
      <c r="T2609"/>
    </row>
    <row r="2610" spans="1:20" x14ac:dyDescent="0.25">
      <c r="A2610">
        <v>20140430</v>
      </c>
      <c r="B2610">
        <v>2014</v>
      </c>
      <c r="C2610">
        <v>4</v>
      </c>
      <c r="D2610">
        <v>1</v>
      </c>
      <c r="E2610">
        <v>10592</v>
      </c>
      <c r="F2610">
        <v>372098.27</v>
      </c>
      <c r="G2610">
        <v>0</v>
      </c>
      <c r="H2610">
        <v>0</v>
      </c>
      <c r="I2610">
        <v>0</v>
      </c>
      <c r="J2610">
        <v>0</v>
      </c>
      <c r="K2610">
        <v>0</v>
      </c>
      <c r="L2610">
        <v>39100000</v>
      </c>
      <c r="M2610">
        <v>39100000</v>
      </c>
      <c r="N2610">
        <v>39100000</v>
      </c>
      <c r="O2610">
        <v>39100000</v>
      </c>
      <c r="P2610">
        <v>37855768.640000001</v>
      </c>
      <c r="Q2610">
        <v>37855768.640000001</v>
      </c>
      <c r="R2610" s="14">
        <f>_xlfn.XLOOKUP(Table2[[#This Row],[LoanID]],Table1[G-L ID],Table1[ManagerCode],-99)</f>
        <v>220</v>
      </c>
      <c r="T2610"/>
    </row>
    <row r="2611" spans="1:20" x14ac:dyDescent="0.25">
      <c r="A2611">
        <v>20140430</v>
      </c>
      <c r="B2611">
        <v>2014</v>
      </c>
      <c r="C2611">
        <v>4</v>
      </c>
      <c r="D2611">
        <v>1</v>
      </c>
      <c r="E2611">
        <v>10640</v>
      </c>
      <c r="F2611">
        <v>104557.63</v>
      </c>
      <c r="G2611">
        <v>0</v>
      </c>
      <c r="H2611">
        <v>0</v>
      </c>
      <c r="I2611">
        <v>0</v>
      </c>
      <c r="J2611">
        <v>0</v>
      </c>
      <c r="K2611">
        <v>0</v>
      </c>
      <c r="L2611">
        <v>12197063</v>
      </c>
      <c r="M2611">
        <v>12197063</v>
      </c>
      <c r="N2611">
        <v>12197063</v>
      </c>
      <c r="O2611">
        <v>12197063</v>
      </c>
      <c r="P2611">
        <v>12197063</v>
      </c>
      <c r="Q2611">
        <v>12197063</v>
      </c>
      <c r="R2611" s="14">
        <f>_xlfn.XLOOKUP(Table2[[#This Row],[LoanID]],Table1[G-L ID],Table1[ManagerCode],-99)</f>
        <v>220</v>
      </c>
      <c r="T2611"/>
    </row>
    <row r="2612" spans="1:20" x14ac:dyDescent="0.25">
      <c r="A2612">
        <v>20140430</v>
      </c>
      <c r="B2612">
        <v>2014</v>
      </c>
      <c r="C2612">
        <v>4</v>
      </c>
      <c r="D2612">
        <v>1</v>
      </c>
      <c r="E2612">
        <v>10660</v>
      </c>
      <c r="F2612">
        <v>159413.19</v>
      </c>
      <c r="G2612">
        <v>0</v>
      </c>
      <c r="H2612">
        <v>0</v>
      </c>
      <c r="I2612">
        <v>0</v>
      </c>
      <c r="J2612">
        <v>0</v>
      </c>
      <c r="K2612">
        <v>0</v>
      </c>
      <c r="L2612">
        <v>25000000</v>
      </c>
      <c r="M2612">
        <v>25000000</v>
      </c>
      <c r="N2612">
        <v>25000000</v>
      </c>
      <c r="O2612">
        <v>25000000</v>
      </c>
      <c r="P2612">
        <v>25000000</v>
      </c>
      <c r="Q2612">
        <v>25000000</v>
      </c>
      <c r="R2612" s="14">
        <f>_xlfn.XLOOKUP(Table2[[#This Row],[LoanID]],Table1[G-L ID],Table1[ManagerCode],-99)</f>
        <v>119</v>
      </c>
      <c r="T2612"/>
    </row>
    <row r="2613" spans="1:20" x14ac:dyDescent="0.25">
      <c r="A2613">
        <v>20140430</v>
      </c>
      <c r="B2613">
        <v>2014</v>
      </c>
      <c r="C2613">
        <v>4</v>
      </c>
      <c r="D2613">
        <v>1</v>
      </c>
      <c r="E2613">
        <v>10690</v>
      </c>
      <c r="F2613">
        <v>96847.48</v>
      </c>
      <c r="G2613">
        <v>25731.75</v>
      </c>
      <c r="H2613">
        <v>0</v>
      </c>
      <c r="I2613">
        <v>0</v>
      </c>
      <c r="J2613">
        <v>-121900.49</v>
      </c>
      <c r="K2613">
        <v>0</v>
      </c>
      <c r="L2613">
        <v>16292058.029999999</v>
      </c>
      <c r="M2613">
        <v>16439690.27</v>
      </c>
      <c r="N2613">
        <v>16292058.029999999</v>
      </c>
      <c r="O2613">
        <v>16439690.27</v>
      </c>
      <c r="P2613">
        <v>16292058.029999999</v>
      </c>
      <c r="Q2613">
        <v>16439690.27</v>
      </c>
      <c r="R2613" s="14">
        <f>_xlfn.XLOOKUP(Table2[[#This Row],[LoanID]],Table1[G-L ID],Table1[ManagerCode],-99)</f>
        <v>183</v>
      </c>
      <c r="T2613"/>
    </row>
    <row r="2614" spans="1:20" x14ac:dyDescent="0.25">
      <c r="A2614">
        <v>20140430</v>
      </c>
      <c r="B2614">
        <v>2014</v>
      </c>
      <c r="C2614">
        <v>4</v>
      </c>
      <c r="D2614">
        <v>1</v>
      </c>
      <c r="E2614">
        <v>10720</v>
      </c>
      <c r="F2614">
        <v>125000</v>
      </c>
      <c r="G2614">
        <v>93085.58</v>
      </c>
      <c r="H2614">
        <v>0</v>
      </c>
      <c r="I2614">
        <v>0</v>
      </c>
      <c r="J2614">
        <v>0</v>
      </c>
      <c r="K2614">
        <v>0</v>
      </c>
      <c r="L2614">
        <v>18620184.050000001</v>
      </c>
      <c r="M2614">
        <v>18722841.82</v>
      </c>
      <c r="N2614">
        <v>18620184.050000001</v>
      </c>
      <c r="O2614">
        <v>18722841.82</v>
      </c>
      <c r="P2614">
        <v>16884044.960000001</v>
      </c>
      <c r="Q2614">
        <v>16977130.539999999</v>
      </c>
      <c r="R2614" s="14">
        <f>_xlfn.XLOOKUP(Table2[[#This Row],[LoanID]],Table1[G-L ID],Table1[ManagerCode],-99)</f>
        <v>220</v>
      </c>
      <c r="T2614"/>
    </row>
    <row r="2615" spans="1:20" x14ac:dyDescent="0.25">
      <c r="A2615">
        <v>20140430</v>
      </c>
      <c r="B2615">
        <v>2014</v>
      </c>
      <c r="C2615">
        <v>4</v>
      </c>
      <c r="D2615">
        <v>1</v>
      </c>
      <c r="E2615">
        <v>10780</v>
      </c>
      <c r="F2615">
        <v>311218.46999999997</v>
      </c>
      <c r="G2615">
        <v>0</v>
      </c>
      <c r="H2615">
        <v>0</v>
      </c>
      <c r="I2615">
        <v>0</v>
      </c>
      <c r="J2615">
        <v>0</v>
      </c>
      <c r="K2615">
        <v>0</v>
      </c>
      <c r="L2615">
        <v>43000000</v>
      </c>
      <c r="M2615">
        <v>43000000</v>
      </c>
      <c r="N2615">
        <v>43000000</v>
      </c>
      <c r="O2615">
        <v>43000000</v>
      </c>
      <c r="P2615">
        <v>43000000</v>
      </c>
      <c r="Q2615">
        <v>43000000</v>
      </c>
      <c r="R2615" s="14">
        <f>_xlfn.XLOOKUP(Table2[[#This Row],[LoanID]],Table1[G-L ID],Table1[ManagerCode],-99)</f>
        <v>220</v>
      </c>
      <c r="T2615"/>
    </row>
    <row r="2616" spans="1:20" x14ac:dyDescent="0.25">
      <c r="A2616">
        <v>20140430</v>
      </c>
      <c r="B2616">
        <v>2014</v>
      </c>
      <c r="C2616">
        <v>4</v>
      </c>
      <c r="D2616">
        <v>1</v>
      </c>
      <c r="E2616">
        <v>10820</v>
      </c>
      <c r="F2616">
        <v>175041.78</v>
      </c>
      <c r="G2616">
        <v>0</v>
      </c>
      <c r="H2616">
        <v>0</v>
      </c>
      <c r="I2616">
        <v>0</v>
      </c>
      <c r="J2616">
        <v>0</v>
      </c>
      <c r="K2616">
        <v>0</v>
      </c>
      <c r="L2616">
        <v>21397297</v>
      </c>
      <c r="M2616">
        <v>21397297</v>
      </c>
      <c r="N2616">
        <v>21397297</v>
      </c>
      <c r="O2616">
        <v>21397297</v>
      </c>
      <c r="P2616">
        <v>21397297</v>
      </c>
      <c r="Q2616">
        <v>21397297</v>
      </c>
      <c r="R2616" s="14">
        <f>_xlfn.XLOOKUP(Table2[[#This Row],[LoanID]],Table1[G-L ID],Table1[ManagerCode],-99)</f>
        <v>220</v>
      </c>
      <c r="T2616"/>
    </row>
    <row r="2617" spans="1:20" x14ac:dyDescent="0.25">
      <c r="A2617">
        <v>20140430</v>
      </c>
      <c r="B2617">
        <v>2014</v>
      </c>
      <c r="C2617">
        <v>4</v>
      </c>
      <c r="D2617">
        <v>1</v>
      </c>
      <c r="E2617">
        <v>10830</v>
      </c>
      <c r="F2617">
        <v>57113.55</v>
      </c>
      <c r="G2617">
        <v>0</v>
      </c>
      <c r="H2617">
        <v>0</v>
      </c>
      <c r="I2617">
        <v>0</v>
      </c>
      <c r="J2617">
        <v>-119062.33</v>
      </c>
      <c r="K2617">
        <v>0</v>
      </c>
      <c r="L2617">
        <v>6981622</v>
      </c>
      <c r="M2617">
        <v>7100684.3300000001</v>
      </c>
      <c r="N2617">
        <v>6981622</v>
      </c>
      <c r="O2617">
        <v>7100684.3300000001</v>
      </c>
      <c r="P2617">
        <v>6981622</v>
      </c>
      <c r="Q2617">
        <v>7100684.3300000001</v>
      </c>
      <c r="R2617" s="14">
        <f>_xlfn.XLOOKUP(Table2[[#This Row],[LoanID]],Table1[G-L ID],Table1[ManagerCode],-99)</f>
        <v>220</v>
      </c>
      <c r="T2617"/>
    </row>
    <row r="2618" spans="1:20" x14ac:dyDescent="0.25">
      <c r="A2618">
        <v>20140430</v>
      </c>
      <c r="B2618">
        <v>2014</v>
      </c>
      <c r="C2618">
        <v>4</v>
      </c>
      <c r="D2618">
        <v>1</v>
      </c>
      <c r="E2618">
        <v>10840</v>
      </c>
      <c r="F2618">
        <v>103968.23</v>
      </c>
      <c r="G2618">
        <v>0</v>
      </c>
      <c r="H2618">
        <v>0</v>
      </c>
      <c r="I2618">
        <v>0</v>
      </c>
      <c r="J2618">
        <v>0</v>
      </c>
      <c r="K2618">
        <v>0</v>
      </c>
      <c r="L2618">
        <v>12709189</v>
      </c>
      <c r="M2618">
        <v>12709189</v>
      </c>
      <c r="N2618">
        <v>12709189</v>
      </c>
      <c r="O2618">
        <v>12709189</v>
      </c>
      <c r="P2618">
        <v>12709189</v>
      </c>
      <c r="Q2618">
        <v>12709189</v>
      </c>
      <c r="R2618" s="14">
        <f>_xlfn.XLOOKUP(Table2[[#This Row],[LoanID]],Table1[G-L ID],Table1[ManagerCode],-99)</f>
        <v>220</v>
      </c>
      <c r="T2618"/>
    </row>
    <row r="2619" spans="1:20" x14ac:dyDescent="0.25">
      <c r="A2619">
        <v>20140430</v>
      </c>
      <c r="B2619">
        <v>2014</v>
      </c>
      <c r="C2619">
        <v>4</v>
      </c>
      <c r="D2619">
        <v>1</v>
      </c>
      <c r="E2619">
        <v>10850</v>
      </c>
      <c r="F2619">
        <v>110534.78</v>
      </c>
      <c r="G2619">
        <v>0</v>
      </c>
      <c r="H2619">
        <v>0</v>
      </c>
      <c r="I2619">
        <v>0</v>
      </c>
      <c r="J2619">
        <v>0</v>
      </c>
      <c r="K2619">
        <v>0</v>
      </c>
      <c r="L2619">
        <v>13511892</v>
      </c>
      <c r="M2619">
        <v>13511892</v>
      </c>
      <c r="N2619">
        <v>13511892</v>
      </c>
      <c r="O2619">
        <v>13511892</v>
      </c>
      <c r="P2619">
        <v>13511892</v>
      </c>
      <c r="Q2619">
        <v>13511892</v>
      </c>
      <c r="R2619" s="14">
        <f>_xlfn.XLOOKUP(Table2[[#This Row],[LoanID]],Table1[G-L ID],Table1[ManagerCode],-99)</f>
        <v>220</v>
      </c>
      <c r="T2619"/>
    </row>
    <row r="2620" spans="1:20" x14ac:dyDescent="0.25">
      <c r="A2620">
        <v>20140430</v>
      </c>
      <c r="B2620">
        <v>2014</v>
      </c>
      <c r="C2620">
        <v>4</v>
      </c>
      <c r="D2620">
        <v>1</v>
      </c>
      <c r="E2620">
        <v>10900</v>
      </c>
      <c r="F2620">
        <v>80864.639999999999</v>
      </c>
      <c r="G2620">
        <v>0</v>
      </c>
      <c r="H2620">
        <v>0</v>
      </c>
      <c r="I2620">
        <v>-0.01</v>
      </c>
      <c r="J2620">
        <v>0</v>
      </c>
      <c r="K2620">
        <v>2752.42</v>
      </c>
      <c r="L2620">
        <v>8110177.9100000001</v>
      </c>
      <c r="M2620">
        <v>8107563.0899999999</v>
      </c>
      <c r="N2620">
        <v>8110177.9100000001</v>
      </c>
      <c r="O2620">
        <v>8107563.0899999999</v>
      </c>
      <c r="P2620">
        <v>8537029.3699999992</v>
      </c>
      <c r="Q2620">
        <v>8534276.9499999993</v>
      </c>
      <c r="R2620" s="14">
        <f>_xlfn.XLOOKUP(Table2[[#This Row],[LoanID]],Table1[G-L ID],Table1[ManagerCode],-99)</f>
        <v>103</v>
      </c>
      <c r="T2620"/>
    </row>
    <row r="2621" spans="1:20" x14ac:dyDescent="0.25">
      <c r="A2621">
        <v>20140430</v>
      </c>
      <c r="B2621">
        <v>2014</v>
      </c>
      <c r="C2621">
        <v>4</v>
      </c>
      <c r="D2621">
        <v>1</v>
      </c>
      <c r="E2621">
        <v>10920</v>
      </c>
      <c r="F2621">
        <v>114583.33</v>
      </c>
      <c r="G2621">
        <v>0</v>
      </c>
      <c r="H2621">
        <v>0</v>
      </c>
      <c r="I2621">
        <v>0</v>
      </c>
      <c r="J2621">
        <v>0</v>
      </c>
      <c r="K2621">
        <v>0</v>
      </c>
      <c r="L2621">
        <v>11000000</v>
      </c>
      <c r="M2621">
        <v>11000000</v>
      </c>
      <c r="N2621">
        <v>11000000</v>
      </c>
      <c r="O2621">
        <v>11000000</v>
      </c>
      <c r="P2621">
        <v>11000000</v>
      </c>
      <c r="Q2621">
        <v>11000000</v>
      </c>
      <c r="R2621" s="14">
        <f>_xlfn.XLOOKUP(Table2[[#This Row],[LoanID]],Table1[G-L ID],Table1[ManagerCode],-99)</f>
        <v>183</v>
      </c>
      <c r="T2621"/>
    </row>
    <row r="2622" spans="1:20" x14ac:dyDescent="0.25">
      <c r="A2622">
        <v>20140430</v>
      </c>
      <c r="B2622">
        <v>2014</v>
      </c>
      <c r="C2622">
        <v>4</v>
      </c>
      <c r="D2622">
        <v>1</v>
      </c>
      <c r="E2622">
        <v>10940</v>
      </c>
      <c r="F2622">
        <v>16221.33</v>
      </c>
      <c r="G2622">
        <v>44200.58</v>
      </c>
      <c r="H2622">
        <v>0</v>
      </c>
      <c r="I2622">
        <v>0</v>
      </c>
      <c r="J2622">
        <v>-2584188.15</v>
      </c>
      <c r="K2622">
        <v>0</v>
      </c>
      <c r="L2622">
        <v>5133627.3099999996</v>
      </c>
      <c r="M2622">
        <v>7762016.04</v>
      </c>
      <c r="N2622">
        <v>5133627.3099999996</v>
      </c>
      <c r="O2622">
        <v>7762016.04</v>
      </c>
      <c r="P2622">
        <v>5133627.3099999996</v>
      </c>
      <c r="Q2622">
        <v>7762016.04</v>
      </c>
      <c r="R2622" s="14">
        <f>_xlfn.XLOOKUP(Table2[[#This Row],[LoanID]],Table1[G-L ID],Table1[ManagerCode],-99)</f>
        <v>183</v>
      </c>
      <c r="T2622"/>
    </row>
    <row r="2623" spans="1:20" x14ac:dyDescent="0.25">
      <c r="A2623">
        <v>20140430</v>
      </c>
      <c r="B2623">
        <v>2014</v>
      </c>
      <c r="C2623">
        <v>4</v>
      </c>
      <c r="D2623">
        <v>1</v>
      </c>
      <c r="E2623">
        <v>10980</v>
      </c>
      <c r="F2623">
        <v>389233.48</v>
      </c>
      <c r="G2623">
        <v>0</v>
      </c>
      <c r="H2623">
        <v>0</v>
      </c>
      <c r="I2623">
        <v>0</v>
      </c>
      <c r="J2623">
        <v>0</v>
      </c>
      <c r="K2623">
        <v>29088272.780000001</v>
      </c>
      <c r="L2623">
        <v>29088272.780000001</v>
      </c>
      <c r="M2623">
        <v>0</v>
      </c>
      <c r="N2623">
        <v>29088272.780000001</v>
      </c>
      <c r="O2623">
        <v>0</v>
      </c>
      <c r="P2623">
        <v>29088272.780000001</v>
      </c>
      <c r="Q2623">
        <v>0</v>
      </c>
      <c r="R2623" s="14">
        <f>_xlfn.XLOOKUP(Table2[[#This Row],[LoanID]],Table1[G-L ID],Table1[ManagerCode],-99)</f>
        <v>183</v>
      </c>
      <c r="T2623"/>
    </row>
    <row r="2624" spans="1:20" x14ac:dyDescent="0.25">
      <c r="A2624">
        <v>20140430</v>
      </c>
      <c r="B2624">
        <v>2014</v>
      </c>
      <c r="C2624">
        <v>4</v>
      </c>
      <c r="D2624">
        <v>1</v>
      </c>
      <c r="E2624">
        <v>11020</v>
      </c>
      <c r="F2624">
        <v>101500</v>
      </c>
      <c r="G2624">
        <v>0</v>
      </c>
      <c r="H2624">
        <v>0</v>
      </c>
      <c r="I2624">
        <v>0</v>
      </c>
      <c r="J2624">
        <v>0</v>
      </c>
      <c r="K2624">
        <v>0</v>
      </c>
      <c r="L2624">
        <v>12000000</v>
      </c>
      <c r="M2624">
        <v>12000000</v>
      </c>
      <c r="N2624">
        <v>12000000</v>
      </c>
      <c r="O2624">
        <v>12000000</v>
      </c>
      <c r="P2624">
        <v>12000000</v>
      </c>
      <c r="Q2624">
        <v>12000000</v>
      </c>
      <c r="R2624" s="14">
        <f>_xlfn.XLOOKUP(Table2[[#This Row],[LoanID]],Table1[G-L ID],Table1[ManagerCode],-99)</f>
        <v>119</v>
      </c>
      <c r="T2624"/>
    </row>
    <row r="2625" spans="1:20" x14ac:dyDescent="0.25">
      <c r="A2625">
        <v>20140430</v>
      </c>
      <c r="B2625">
        <v>2014</v>
      </c>
      <c r="C2625">
        <v>4</v>
      </c>
      <c r="D2625">
        <v>1</v>
      </c>
      <c r="E2625">
        <v>11030</v>
      </c>
      <c r="F2625">
        <v>60929</v>
      </c>
      <c r="G2625">
        <v>0</v>
      </c>
      <c r="H2625">
        <v>0</v>
      </c>
      <c r="I2625">
        <v>0</v>
      </c>
      <c r="J2625">
        <v>0</v>
      </c>
      <c r="K2625">
        <v>0</v>
      </c>
      <c r="L2625">
        <v>8000000</v>
      </c>
      <c r="M2625">
        <v>8000000</v>
      </c>
      <c r="N2625">
        <v>8000000</v>
      </c>
      <c r="O2625">
        <v>8000000</v>
      </c>
      <c r="P2625">
        <v>8000000</v>
      </c>
      <c r="Q2625">
        <v>8000000</v>
      </c>
      <c r="R2625" s="14">
        <f>_xlfn.XLOOKUP(Table2[[#This Row],[LoanID]],Table1[G-L ID],Table1[ManagerCode],-99)</f>
        <v>119</v>
      </c>
      <c r="T2625"/>
    </row>
    <row r="2626" spans="1:20" x14ac:dyDescent="0.25">
      <c r="A2626">
        <v>20140430</v>
      </c>
      <c r="B2626">
        <v>2014</v>
      </c>
      <c r="C2626">
        <v>4</v>
      </c>
      <c r="D2626">
        <v>1</v>
      </c>
      <c r="E2626">
        <v>11040</v>
      </c>
      <c r="F2626">
        <v>523340.28</v>
      </c>
      <c r="G2626">
        <v>0</v>
      </c>
      <c r="H2626">
        <v>0</v>
      </c>
      <c r="I2626">
        <v>0</v>
      </c>
      <c r="J2626">
        <v>0</v>
      </c>
      <c r="K2626">
        <v>0</v>
      </c>
      <c r="L2626">
        <v>50000000</v>
      </c>
      <c r="M2626">
        <v>50000000</v>
      </c>
      <c r="N2626">
        <v>50000000</v>
      </c>
      <c r="O2626">
        <v>50000000</v>
      </c>
      <c r="P2626">
        <v>50000000</v>
      </c>
      <c r="Q2626">
        <v>50000000</v>
      </c>
      <c r="R2626" s="14">
        <f>_xlfn.XLOOKUP(Table2[[#This Row],[LoanID]],Table1[G-L ID],Table1[ManagerCode],-99)</f>
        <v>220</v>
      </c>
      <c r="T2626"/>
    </row>
    <row r="2627" spans="1:20" x14ac:dyDescent="0.25">
      <c r="A2627">
        <v>20140430</v>
      </c>
      <c r="B2627">
        <v>2014</v>
      </c>
      <c r="C2627">
        <v>4</v>
      </c>
      <c r="D2627">
        <v>1</v>
      </c>
      <c r="E2627">
        <v>11050</v>
      </c>
      <c r="F2627">
        <v>300635</v>
      </c>
      <c r="G2627">
        <v>0</v>
      </c>
      <c r="H2627">
        <v>0</v>
      </c>
      <c r="I2627">
        <v>0</v>
      </c>
      <c r="J2627">
        <v>0</v>
      </c>
      <c r="K2627">
        <v>0</v>
      </c>
      <c r="L2627">
        <v>29200000</v>
      </c>
      <c r="M2627">
        <v>29200000</v>
      </c>
      <c r="N2627">
        <v>29200000</v>
      </c>
      <c r="O2627">
        <v>29200000</v>
      </c>
      <c r="P2627">
        <v>28500000</v>
      </c>
      <c r="Q2627">
        <v>28500000</v>
      </c>
      <c r="R2627" s="14">
        <f>_xlfn.XLOOKUP(Table2[[#This Row],[LoanID]],Table1[G-L ID],Table1[ManagerCode],-99)</f>
        <v>220</v>
      </c>
      <c r="T2627"/>
    </row>
    <row r="2628" spans="1:20" x14ac:dyDescent="0.25">
      <c r="A2628">
        <v>20140430</v>
      </c>
      <c r="B2628">
        <v>2014</v>
      </c>
      <c r="C2628">
        <v>4</v>
      </c>
      <c r="D2628">
        <v>1</v>
      </c>
      <c r="E2628">
        <v>11070</v>
      </c>
      <c r="F2628">
        <v>144243.31</v>
      </c>
      <c r="G2628">
        <v>0</v>
      </c>
      <c r="H2628">
        <v>0</v>
      </c>
      <c r="I2628">
        <v>0.03</v>
      </c>
      <c r="J2628">
        <v>0</v>
      </c>
      <c r="K2628">
        <v>8094.53</v>
      </c>
      <c r="L2628">
        <v>13847357.66</v>
      </c>
      <c r="M2628">
        <v>13840882.029999999</v>
      </c>
      <c r="N2628">
        <v>13847357.66</v>
      </c>
      <c r="O2628">
        <v>13840882.029999999</v>
      </c>
      <c r="P2628">
        <v>17309197.07</v>
      </c>
      <c r="Q2628">
        <v>17301102.539999999</v>
      </c>
      <c r="R2628" s="14">
        <f>_xlfn.XLOOKUP(Table2[[#This Row],[LoanID]],Table1[G-L ID],Table1[ManagerCode],-99)</f>
        <v>103</v>
      </c>
      <c r="T2628"/>
    </row>
    <row r="2629" spans="1:20" x14ac:dyDescent="0.25">
      <c r="A2629">
        <v>20140430</v>
      </c>
      <c r="B2629">
        <v>2014</v>
      </c>
      <c r="C2629">
        <v>4</v>
      </c>
      <c r="D2629">
        <v>1</v>
      </c>
      <c r="E2629">
        <v>11100</v>
      </c>
      <c r="F2629">
        <v>3415.32</v>
      </c>
      <c r="G2629">
        <v>0</v>
      </c>
      <c r="H2629">
        <v>0</v>
      </c>
      <c r="I2629">
        <v>0</v>
      </c>
      <c r="J2629">
        <v>-7760420.6900000004</v>
      </c>
      <c r="K2629">
        <v>0</v>
      </c>
      <c r="L2629">
        <v>878866.24</v>
      </c>
      <c r="M2629">
        <v>8184846.6399999997</v>
      </c>
      <c r="N2629">
        <v>878866.24</v>
      </c>
      <c r="O2629">
        <v>8184846.6399999997</v>
      </c>
      <c r="P2629">
        <v>925122.36</v>
      </c>
      <c r="Q2629">
        <v>8685543.0500000007</v>
      </c>
      <c r="R2629" s="14">
        <f>_xlfn.XLOOKUP(Table2[[#This Row],[LoanID]],Table1[G-L ID],Table1[ManagerCode],-99)</f>
        <v>103</v>
      </c>
      <c r="T2629"/>
    </row>
    <row r="2630" spans="1:20" x14ac:dyDescent="0.25">
      <c r="A2630">
        <v>20140430</v>
      </c>
      <c r="B2630">
        <v>2014</v>
      </c>
      <c r="C2630">
        <v>4</v>
      </c>
      <c r="D2630">
        <v>1</v>
      </c>
      <c r="E2630">
        <v>11140</v>
      </c>
      <c r="F2630">
        <v>558363.03</v>
      </c>
      <c r="G2630">
        <v>0</v>
      </c>
      <c r="H2630">
        <v>0</v>
      </c>
      <c r="I2630">
        <v>0</v>
      </c>
      <c r="J2630">
        <v>0</v>
      </c>
      <c r="K2630">
        <v>0</v>
      </c>
      <c r="L2630">
        <v>71711922.150000006</v>
      </c>
      <c r="M2630">
        <v>71711922.150000006</v>
      </c>
      <c r="N2630">
        <v>71711922.150000006</v>
      </c>
      <c r="O2630">
        <v>71711922.150000006</v>
      </c>
      <c r="P2630">
        <v>72436285</v>
      </c>
      <c r="Q2630">
        <v>72436285</v>
      </c>
      <c r="R2630" s="14">
        <f>_xlfn.XLOOKUP(Table2[[#This Row],[LoanID]],Table1[G-L ID],Table1[ManagerCode],-99)</f>
        <v>103</v>
      </c>
      <c r="T2630"/>
    </row>
    <row r="2631" spans="1:20" x14ac:dyDescent="0.25">
      <c r="A2631">
        <v>20140430</v>
      </c>
      <c r="B2631">
        <v>2014</v>
      </c>
      <c r="C2631">
        <v>4</v>
      </c>
      <c r="D2631">
        <v>1</v>
      </c>
      <c r="E2631">
        <v>11190</v>
      </c>
      <c r="F2631">
        <v>1343654.01</v>
      </c>
      <c r="G2631">
        <v>0</v>
      </c>
      <c r="H2631">
        <v>0</v>
      </c>
      <c r="I2631">
        <v>-1721.97</v>
      </c>
      <c r="J2631">
        <v>0</v>
      </c>
      <c r="K2631">
        <v>0</v>
      </c>
      <c r="L2631">
        <v>197971123.09999999</v>
      </c>
      <c r="M2631">
        <v>197971123.09999999</v>
      </c>
      <c r="N2631">
        <v>197971123.09999999</v>
      </c>
      <c r="O2631">
        <v>197971123.09999999</v>
      </c>
      <c r="P2631">
        <v>199970831.5</v>
      </c>
      <c r="Q2631">
        <v>199970831.5</v>
      </c>
      <c r="R2631" s="14">
        <f>_xlfn.XLOOKUP(Table2[[#This Row],[LoanID]],Table1[G-L ID],Table1[ManagerCode],-99)</f>
        <v>103</v>
      </c>
      <c r="T2631"/>
    </row>
    <row r="2632" spans="1:20" x14ac:dyDescent="0.25">
      <c r="A2632">
        <v>20140430</v>
      </c>
      <c r="B2632">
        <v>2014</v>
      </c>
      <c r="C2632">
        <v>4</v>
      </c>
      <c r="D2632">
        <v>1</v>
      </c>
      <c r="E2632">
        <v>11220</v>
      </c>
      <c r="F2632">
        <v>311937.5</v>
      </c>
      <c r="G2632">
        <v>0</v>
      </c>
      <c r="H2632">
        <v>0</v>
      </c>
      <c r="I2632">
        <v>0</v>
      </c>
      <c r="J2632">
        <v>0</v>
      </c>
      <c r="K2632">
        <v>0</v>
      </c>
      <c r="L2632">
        <v>34500000</v>
      </c>
      <c r="M2632">
        <v>34500000</v>
      </c>
      <c r="N2632">
        <v>34500000</v>
      </c>
      <c r="O2632">
        <v>34500000</v>
      </c>
      <c r="P2632">
        <v>34500000</v>
      </c>
      <c r="Q2632">
        <v>34500000</v>
      </c>
      <c r="R2632" s="14">
        <f>_xlfn.XLOOKUP(Table2[[#This Row],[LoanID]],Table1[G-L ID],Table1[ManagerCode],-99)</f>
        <v>220</v>
      </c>
      <c r="T2632"/>
    </row>
    <row r="2633" spans="1:20" x14ac:dyDescent="0.25">
      <c r="A2633">
        <v>20140430</v>
      </c>
      <c r="B2633">
        <v>2014</v>
      </c>
      <c r="C2633">
        <v>4</v>
      </c>
      <c r="D2633">
        <v>1</v>
      </c>
      <c r="E2633">
        <v>11230</v>
      </c>
      <c r="F2633">
        <v>239194.9</v>
      </c>
      <c r="G2633">
        <v>0</v>
      </c>
      <c r="H2633">
        <v>0</v>
      </c>
      <c r="I2633">
        <v>0</v>
      </c>
      <c r="J2633">
        <v>0</v>
      </c>
      <c r="K2633">
        <v>0</v>
      </c>
      <c r="L2633">
        <v>185182960.09999999</v>
      </c>
      <c r="M2633">
        <v>185182960.09999999</v>
      </c>
      <c r="N2633">
        <v>185182960.09999999</v>
      </c>
      <c r="O2633">
        <v>185182960.09999999</v>
      </c>
      <c r="P2633">
        <v>194929626.59999999</v>
      </c>
      <c r="Q2633">
        <v>194929626.59999999</v>
      </c>
      <c r="R2633" s="14">
        <f>_xlfn.XLOOKUP(Table2[[#This Row],[LoanID]],Table1[G-L ID],Table1[ManagerCode],-99)</f>
        <v>103</v>
      </c>
      <c r="T2633"/>
    </row>
    <row r="2634" spans="1:20" x14ac:dyDescent="0.25">
      <c r="A2634">
        <v>20140430</v>
      </c>
      <c r="B2634">
        <v>2014</v>
      </c>
      <c r="C2634">
        <v>4</v>
      </c>
      <c r="D2634">
        <v>1</v>
      </c>
      <c r="E2634">
        <v>11320</v>
      </c>
      <c r="F2634">
        <v>97713.15</v>
      </c>
      <c r="G2634">
        <v>0</v>
      </c>
      <c r="H2634">
        <v>0</v>
      </c>
      <c r="I2634">
        <v>0</v>
      </c>
      <c r="J2634">
        <v>0</v>
      </c>
      <c r="K2634">
        <v>0</v>
      </c>
      <c r="L2634">
        <v>12000000</v>
      </c>
      <c r="M2634">
        <v>12000000</v>
      </c>
      <c r="N2634">
        <v>12000000</v>
      </c>
      <c r="O2634">
        <v>12000000</v>
      </c>
      <c r="P2634">
        <v>12000000</v>
      </c>
      <c r="Q2634">
        <v>12000000</v>
      </c>
      <c r="R2634" s="14">
        <f>_xlfn.XLOOKUP(Table2[[#This Row],[LoanID]],Table1[G-L ID],Table1[ManagerCode],-99)</f>
        <v>119</v>
      </c>
      <c r="T2634"/>
    </row>
    <row r="2635" spans="1:20" x14ac:dyDescent="0.25">
      <c r="A2635">
        <v>20140430</v>
      </c>
      <c r="B2635">
        <v>2014</v>
      </c>
      <c r="C2635">
        <v>4</v>
      </c>
      <c r="D2635">
        <v>1</v>
      </c>
      <c r="E2635">
        <v>11340</v>
      </c>
      <c r="F2635">
        <v>301388.89</v>
      </c>
      <c r="G2635">
        <v>0</v>
      </c>
      <c r="H2635">
        <v>0</v>
      </c>
      <c r="I2635">
        <v>0</v>
      </c>
      <c r="J2635">
        <v>0</v>
      </c>
      <c r="K2635">
        <v>0</v>
      </c>
      <c r="L2635">
        <v>49500000</v>
      </c>
      <c r="M2635">
        <v>49500000</v>
      </c>
      <c r="N2635">
        <v>49500000</v>
      </c>
      <c r="O2635">
        <v>49500000</v>
      </c>
      <c r="P2635">
        <v>50000000</v>
      </c>
      <c r="Q2635">
        <v>50000000</v>
      </c>
      <c r="R2635" s="14">
        <f>_xlfn.XLOOKUP(Table2[[#This Row],[LoanID]],Table1[G-L ID],Table1[ManagerCode],-99)</f>
        <v>103</v>
      </c>
      <c r="T2635"/>
    </row>
    <row r="2636" spans="1:20" x14ac:dyDescent="0.25">
      <c r="A2636">
        <v>20140430</v>
      </c>
      <c r="B2636">
        <v>2014</v>
      </c>
      <c r="C2636">
        <v>4</v>
      </c>
      <c r="D2636">
        <v>1</v>
      </c>
      <c r="E2636">
        <v>11350</v>
      </c>
      <c r="F2636">
        <v>331527.78000000003</v>
      </c>
      <c r="G2636">
        <v>0</v>
      </c>
      <c r="H2636">
        <v>0</v>
      </c>
      <c r="I2636">
        <v>0</v>
      </c>
      <c r="J2636">
        <v>0</v>
      </c>
      <c r="K2636">
        <v>0</v>
      </c>
      <c r="L2636">
        <v>54449945.549999997</v>
      </c>
      <c r="M2636">
        <v>54449945.549999997</v>
      </c>
      <c r="N2636">
        <v>54449945.549999997</v>
      </c>
      <c r="O2636">
        <v>54449945.549999997</v>
      </c>
      <c r="P2636">
        <v>55000000</v>
      </c>
      <c r="Q2636">
        <v>55000000</v>
      </c>
      <c r="R2636" s="14">
        <f>_xlfn.XLOOKUP(Table2[[#This Row],[LoanID]],Table1[G-L ID],Table1[ManagerCode],-99)</f>
        <v>103</v>
      </c>
      <c r="T2636"/>
    </row>
    <row r="2637" spans="1:20" x14ac:dyDescent="0.25">
      <c r="A2637">
        <v>20140430</v>
      </c>
      <c r="B2637">
        <v>2014</v>
      </c>
      <c r="C2637">
        <v>4</v>
      </c>
      <c r="D2637">
        <v>1</v>
      </c>
      <c r="E2637">
        <v>11370</v>
      </c>
      <c r="F2637">
        <v>51763.11</v>
      </c>
      <c r="G2637">
        <v>0</v>
      </c>
      <c r="H2637">
        <v>0</v>
      </c>
      <c r="I2637">
        <v>0</v>
      </c>
      <c r="J2637">
        <v>0</v>
      </c>
      <c r="K2637">
        <v>0</v>
      </c>
      <c r="L2637">
        <v>5525000</v>
      </c>
      <c r="M2637">
        <v>5525000</v>
      </c>
      <c r="N2637">
        <v>5525000</v>
      </c>
      <c r="O2637">
        <v>5525000</v>
      </c>
      <c r="P2637">
        <v>5525000</v>
      </c>
      <c r="Q2637">
        <v>5525000</v>
      </c>
      <c r="R2637" s="14">
        <f>_xlfn.XLOOKUP(Table2[[#This Row],[LoanID]],Table1[G-L ID],Table1[ManagerCode],-99)</f>
        <v>119</v>
      </c>
      <c r="T2637"/>
    </row>
    <row r="2638" spans="1:20" x14ac:dyDescent="0.25">
      <c r="A2638">
        <v>20140430</v>
      </c>
      <c r="B2638">
        <v>2014</v>
      </c>
      <c r="C2638">
        <v>4</v>
      </c>
      <c r="D2638">
        <v>1</v>
      </c>
      <c r="E2638">
        <v>11390</v>
      </c>
      <c r="F2638">
        <v>207743.06</v>
      </c>
      <c r="G2638">
        <v>0</v>
      </c>
      <c r="H2638">
        <v>0</v>
      </c>
      <c r="I2638">
        <v>0</v>
      </c>
      <c r="J2638">
        <v>0</v>
      </c>
      <c r="K2638">
        <v>0</v>
      </c>
      <c r="L2638">
        <v>25000000</v>
      </c>
      <c r="M2638">
        <v>25000000</v>
      </c>
      <c r="N2638">
        <v>25000000</v>
      </c>
      <c r="O2638">
        <v>25000000</v>
      </c>
      <c r="P2638">
        <v>25000000</v>
      </c>
      <c r="Q2638">
        <v>25000000</v>
      </c>
      <c r="R2638" s="14">
        <f>_xlfn.XLOOKUP(Table2[[#This Row],[LoanID]],Table1[G-L ID],Table1[ManagerCode],-99)</f>
        <v>220</v>
      </c>
      <c r="T2638"/>
    </row>
    <row r="2639" spans="1:20" x14ac:dyDescent="0.25">
      <c r="A2639">
        <v>20140430</v>
      </c>
      <c r="B2639">
        <v>2014</v>
      </c>
      <c r="C2639">
        <v>4</v>
      </c>
      <c r="D2639">
        <v>1</v>
      </c>
      <c r="E2639">
        <v>11540</v>
      </c>
      <c r="F2639">
        <v>78834.720000000001</v>
      </c>
      <c r="G2639">
        <v>0</v>
      </c>
      <c r="H2639">
        <v>0</v>
      </c>
      <c r="I2639">
        <v>0</v>
      </c>
      <c r="J2639">
        <v>0</v>
      </c>
      <c r="K2639">
        <v>0</v>
      </c>
      <c r="L2639">
        <v>10000000</v>
      </c>
      <c r="M2639">
        <v>10000000</v>
      </c>
      <c r="N2639">
        <v>10000000</v>
      </c>
      <c r="O2639">
        <v>10000000</v>
      </c>
      <c r="P2639">
        <v>10000000</v>
      </c>
      <c r="Q2639">
        <v>10000000</v>
      </c>
      <c r="R2639" s="14">
        <f>_xlfn.XLOOKUP(Table2[[#This Row],[LoanID]],Table1[G-L ID],Table1[ManagerCode],-99)</f>
        <v>220</v>
      </c>
      <c r="T2639"/>
    </row>
    <row r="2640" spans="1:20" x14ac:dyDescent="0.25">
      <c r="A2640">
        <v>20140430</v>
      </c>
      <c r="B2640">
        <v>2014</v>
      </c>
      <c r="C2640">
        <v>4</v>
      </c>
      <c r="D2640">
        <v>1</v>
      </c>
      <c r="E2640">
        <v>11550</v>
      </c>
      <c r="F2640">
        <v>126854.58</v>
      </c>
      <c r="G2640">
        <v>0</v>
      </c>
      <c r="H2640">
        <v>0</v>
      </c>
      <c r="I2640">
        <v>0</v>
      </c>
      <c r="J2640">
        <v>0</v>
      </c>
      <c r="K2640">
        <v>0</v>
      </c>
      <c r="L2640">
        <v>21850043.699999999</v>
      </c>
      <c r="M2640">
        <v>21850043.699999999</v>
      </c>
      <c r="N2640">
        <v>21850043.699999999</v>
      </c>
      <c r="O2640">
        <v>21850043.699999999</v>
      </c>
      <c r="P2640">
        <v>23000000</v>
      </c>
      <c r="Q2640">
        <v>23000000</v>
      </c>
      <c r="R2640" s="14">
        <f>_xlfn.XLOOKUP(Table2[[#This Row],[LoanID]],Table1[G-L ID],Table1[ManagerCode],-99)</f>
        <v>103</v>
      </c>
      <c r="T2640"/>
    </row>
    <row r="2641" spans="1:20" x14ac:dyDescent="0.25">
      <c r="A2641">
        <v>20140430</v>
      </c>
      <c r="B2641">
        <v>2014</v>
      </c>
      <c r="C2641">
        <v>4</v>
      </c>
      <c r="D2641">
        <v>1</v>
      </c>
      <c r="E2641">
        <v>11560</v>
      </c>
      <c r="F2641">
        <v>193285.64</v>
      </c>
      <c r="G2641">
        <v>158652.03</v>
      </c>
      <c r="H2641">
        <v>0</v>
      </c>
      <c r="I2641">
        <v>0</v>
      </c>
      <c r="J2641">
        <v>0</v>
      </c>
      <c r="K2641">
        <v>0</v>
      </c>
      <c r="L2641">
        <v>14102402.5</v>
      </c>
      <c r="M2641">
        <v>14261054.529999999</v>
      </c>
      <c r="N2641">
        <v>14102402.5</v>
      </c>
      <c r="O2641">
        <v>14261054.529999999</v>
      </c>
      <c r="P2641">
        <v>14102402.5</v>
      </c>
      <c r="Q2641">
        <v>14261054.529999999</v>
      </c>
      <c r="R2641" s="14">
        <f>_xlfn.XLOOKUP(Table2[[#This Row],[LoanID]],Table1[G-L ID],Table1[ManagerCode],-99)</f>
        <v>183</v>
      </c>
      <c r="T2641"/>
    </row>
    <row r="2642" spans="1:20" x14ac:dyDescent="0.25">
      <c r="A2642">
        <v>20140430</v>
      </c>
      <c r="B2642">
        <v>2014</v>
      </c>
      <c r="C2642">
        <v>4</v>
      </c>
      <c r="D2642">
        <v>1</v>
      </c>
      <c r="E2642">
        <v>11580</v>
      </c>
      <c r="F2642">
        <v>107716.88</v>
      </c>
      <c r="G2642">
        <v>0</v>
      </c>
      <c r="H2642">
        <v>0</v>
      </c>
      <c r="I2642">
        <v>0</v>
      </c>
      <c r="J2642">
        <v>0</v>
      </c>
      <c r="K2642">
        <v>0</v>
      </c>
      <c r="L2642">
        <v>15000000</v>
      </c>
      <c r="M2642">
        <v>15000000</v>
      </c>
      <c r="N2642">
        <v>15000000</v>
      </c>
      <c r="O2642">
        <v>15000000</v>
      </c>
      <c r="P2642">
        <v>15000000</v>
      </c>
      <c r="Q2642">
        <v>15000000</v>
      </c>
      <c r="R2642" s="14">
        <f>_xlfn.XLOOKUP(Table2[[#This Row],[LoanID]],Table1[G-L ID],Table1[ManagerCode],-99)</f>
        <v>119</v>
      </c>
      <c r="T2642"/>
    </row>
    <row r="2643" spans="1:20" x14ac:dyDescent="0.25">
      <c r="A2643">
        <v>20140430</v>
      </c>
      <c r="B2643">
        <v>2014</v>
      </c>
      <c r="C2643">
        <v>4</v>
      </c>
      <c r="D2643">
        <v>1</v>
      </c>
      <c r="E2643">
        <v>11620</v>
      </c>
      <c r="F2643">
        <v>80692.73</v>
      </c>
      <c r="G2643">
        <v>37128.11</v>
      </c>
      <c r="H2643">
        <v>0</v>
      </c>
      <c r="I2643">
        <v>0</v>
      </c>
      <c r="J2643">
        <v>0</v>
      </c>
      <c r="K2643">
        <v>0</v>
      </c>
      <c r="L2643">
        <v>10146085.050000001</v>
      </c>
      <c r="M2643">
        <v>10183213.16</v>
      </c>
      <c r="N2643">
        <v>10146085.050000001</v>
      </c>
      <c r="O2643">
        <v>10183213.16</v>
      </c>
      <c r="P2643">
        <v>10146085.050000001</v>
      </c>
      <c r="Q2643">
        <v>10183213.16</v>
      </c>
      <c r="R2643" s="14">
        <f>_xlfn.XLOOKUP(Table2[[#This Row],[LoanID]],Table1[G-L ID],Table1[ManagerCode],-99)</f>
        <v>183</v>
      </c>
      <c r="T2643"/>
    </row>
    <row r="2644" spans="1:20" x14ac:dyDescent="0.25">
      <c r="A2644">
        <v>20140430</v>
      </c>
      <c r="B2644">
        <v>2014</v>
      </c>
      <c r="C2644">
        <v>4</v>
      </c>
      <c r="D2644">
        <v>1</v>
      </c>
      <c r="E2644">
        <v>11650</v>
      </c>
      <c r="F2644">
        <v>75000</v>
      </c>
      <c r="G2644">
        <v>0</v>
      </c>
      <c r="H2644">
        <v>0</v>
      </c>
      <c r="I2644">
        <v>0</v>
      </c>
      <c r="J2644">
        <v>0</v>
      </c>
      <c r="K2644">
        <v>0</v>
      </c>
      <c r="L2644">
        <v>9600000</v>
      </c>
      <c r="M2644">
        <v>9600000</v>
      </c>
      <c r="N2644">
        <v>9600000</v>
      </c>
      <c r="O2644">
        <v>9600000</v>
      </c>
      <c r="P2644">
        <v>12000000</v>
      </c>
      <c r="Q2644">
        <v>12000000</v>
      </c>
      <c r="R2644" s="14">
        <f>_xlfn.XLOOKUP(Table2[[#This Row],[LoanID]],Table1[G-L ID],Table1[ManagerCode],-99)</f>
        <v>103</v>
      </c>
      <c r="T2644"/>
    </row>
    <row r="2645" spans="1:20" x14ac:dyDescent="0.25">
      <c r="A2645">
        <v>20140430</v>
      </c>
      <c r="B2645">
        <v>2014</v>
      </c>
      <c r="C2645">
        <v>4</v>
      </c>
      <c r="D2645">
        <v>1</v>
      </c>
      <c r="E2645">
        <v>11670</v>
      </c>
      <c r="F2645">
        <v>379299.05</v>
      </c>
      <c r="G2645">
        <v>0</v>
      </c>
      <c r="H2645">
        <v>1168705.22</v>
      </c>
      <c r="I2645">
        <v>0</v>
      </c>
      <c r="J2645">
        <v>0</v>
      </c>
      <c r="K2645">
        <v>30690920.859999999</v>
      </c>
      <c r="L2645">
        <v>30690920.859999999</v>
      </c>
      <c r="M2645">
        <v>0</v>
      </c>
      <c r="N2645">
        <v>30690920.859999999</v>
      </c>
      <c r="O2645">
        <v>0</v>
      </c>
      <c r="P2645">
        <v>30690920.859999999</v>
      </c>
      <c r="Q2645">
        <v>0</v>
      </c>
      <c r="R2645" s="14">
        <f>_xlfn.XLOOKUP(Table2[[#This Row],[LoanID]],Table1[G-L ID],Table1[ManagerCode],-99)</f>
        <v>183</v>
      </c>
      <c r="T2645"/>
    </row>
    <row r="2646" spans="1:20" x14ac:dyDescent="0.25">
      <c r="A2646">
        <v>20140430</v>
      </c>
      <c r="B2646">
        <v>2014</v>
      </c>
      <c r="C2646">
        <v>4</v>
      </c>
      <c r="D2646">
        <v>1</v>
      </c>
      <c r="E2646">
        <v>11680</v>
      </c>
      <c r="F2646">
        <v>57126.559999999998</v>
      </c>
      <c r="G2646">
        <v>0</v>
      </c>
      <c r="H2646">
        <v>0</v>
      </c>
      <c r="I2646">
        <v>0</v>
      </c>
      <c r="J2646">
        <v>0</v>
      </c>
      <c r="K2646">
        <v>0</v>
      </c>
      <c r="L2646">
        <v>6600000</v>
      </c>
      <c r="M2646">
        <v>6600000</v>
      </c>
      <c r="N2646">
        <v>6600000</v>
      </c>
      <c r="O2646">
        <v>6600000</v>
      </c>
      <c r="P2646">
        <v>6600000</v>
      </c>
      <c r="Q2646">
        <v>6600000</v>
      </c>
      <c r="R2646" s="14">
        <f>_xlfn.XLOOKUP(Table2[[#This Row],[LoanID]],Table1[G-L ID],Table1[ManagerCode],-99)</f>
        <v>183</v>
      </c>
      <c r="T2646"/>
    </row>
    <row r="2647" spans="1:20" x14ac:dyDescent="0.25">
      <c r="A2647">
        <v>20140430</v>
      </c>
      <c r="B2647">
        <v>2014</v>
      </c>
      <c r="C2647">
        <v>4</v>
      </c>
      <c r="D2647">
        <v>1</v>
      </c>
      <c r="E2647">
        <v>11710</v>
      </c>
      <c r="F2647">
        <v>93326.83</v>
      </c>
      <c r="G2647">
        <v>0</v>
      </c>
      <c r="H2647">
        <v>0</v>
      </c>
      <c r="I2647">
        <v>0</v>
      </c>
      <c r="J2647">
        <v>0</v>
      </c>
      <c r="K2647">
        <v>0</v>
      </c>
      <c r="L2647">
        <v>12000000</v>
      </c>
      <c r="M2647">
        <v>12000000</v>
      </c>
      <c r="N2647">
        <v>12000000</v>
      </c>
      <c r="O2647">
        <v>12000000</v>
      </c>
      <c r="P2647">
        <v>12000000</v>
      </c>
      <c r="Q2647">
        <v>12000000</v>
      </c>
      <c r="R2647" s="14">
        <f>_xlfn.XLOOKUP(Table2[[#This Row],[LoanID]],Table1[G-L ID],Table1[ManagerCode],-99)</f>
        <v>119</v>
      </c>
      <c r="T2647"/>
    </row>
    <row r="2648" spans="1:20" x14ac:dyDescent="0.25">
      <c r="A2648">
        <v>20140430</v>
      </c>
      <c r="B2648">
        <v>2014</v>
      </c>
      <c r="C2648">
        <v>4</v>
      </c>
      <c r="D2648">
        <v>1</v>
      </c>
      <c r="E2648">
        <v>11740</v>
      </c>
      <c r="F2648">
        <v>170500</v>
      </c>
      <c r="G2648">
        <v>0</v>
      </c>
      <c r="H2648">
        <v>0</v>
      </c>
      <c r="I2648">
        <v>0</v>
      </c>
      <c r="J2648">
        <v>-510000</v>
      </c>
      <c r="K2648">
        <v>0</v>
      </c>
      <c r="L2648">
        <v>18600000</v>
      </c>
      <c r="M2648">
        <v>19110000</v>
      </c>
      <c r="N2648">
        <v>18600000</v>
      </c>
      <c r="O2648">
        <v>19110000</v>
      </c>
      <c r="P2648">
        <v>18600000</v>
      </c>
      <c r="Q2648">
        <v>19110000</v>
      </c>
      <c r="R2648" s="14">
        <f>_xlfn.XLOOKUP(Table2[[#This Row],[LoanID]],Table1[G-L ID],Table1[ManagerCode],-99)</f>
        <v>183</v>
      </c>
      <c r="T2648"/>
    </row>
    <row r="2649" spans="1:20" x14ac:dyDescent="0.25">
      <c r="A2649">
        <v>20140430</v>
      </c>
      <c r="B2649">
        <v>2014</v>
      </c>
      <c r="C2649">
        <v>4</v>
      </c>
      <c r="D2649">
        <v>1</v>
      </c>
      <c r="E2649">
        <v>11770</v>
      </c>
      <c r="F2649">
        <v>263663.28999999998</v>
      </c>
      <c r="G2649">
        <v>0</v>
      </c>
      <c r="H2649">
        <v>0</v>
      </c>
      <c r="I2649">
        <v>0</v>
      </c>
      <c r="J2649">
        <v>0</v>
      </c>
      <c r="K2649">
        <v>241069.76</v>
      </c>
      <c r="L2649">
        <v>25306142.239999998</v>
      </c>
      <c r="M2649">
        <v>25065072.48</v>
      </c>
      <c r="N2649">
        <v>25306142.239999998</v>
      </c>
      <c r="O2649">
        <v>25065072.48</v>
      </c>
      <c r="P2649">
        <v>25306142.239999998</v>
      </c>
      <c r="Q2649">
        <v>25065072.48</v>
      </c>
      <c r="R2649" s="14">
        <f>_xlfn.XLOOKUP(Table2[[#This Row],[LoanID]],Table1[G-L ID],Table1[ManagerCode],-99)</f>
        <v>119</v>
      </c>
      <c r="T2649"/>
    </row>
    <row r="2650" spans="1:20" x14ac:dyDescent="0.25">
      <c r="A2650">
        <v>20140430</v>
      </c>
      <c r="B2650">
        <v>2014</v>
      </c>
      <c r="C2650">
        <v>4</v>
      </c>
      <c r="D2650">
        <v>1</v>
      </c>
      <c r="E2650">
        <v>11780</v>
      </c>
      <c r="F2650">
        <v>122840.52</v>
      </c>
      <c r="G2650">
        <v>0</v>
      </c>
      <c r="H2650">
        <v>0</v>
      </c>
      <c r="I2650">
        <v>-1115.76</v>
      </c>
      <c r="J2650">
        <v>0</v>
      </c>
      <c r="K2650">
        <v>0</v>
      </c>
      <c r="L2650">
        <v>43278336</v>
      </c>
      <c r="M2650">
        <v>43278336</v>
      </c>
      <c r="N2650">
        <v>43278336</v>
      </c>
      <c r="O2650">
        <v>43278336</v>
      </c>
      <c r="P2650">
        <v>64786446.619999997</v>
      </c>
      <c r="Q2650">
        <v>64786446.619999997</v>
      </c>
      <c r="R2650" s="14">
        <f>_xlfn.XLOOKUP(Table2[[#This Row],[LoanID]],Table1[G-L ID],Table1[ManagerCode],-99)</f>
        <v>103</v>
      </c>
      <c r="T2650"/>
    </row>
    <row r="2651" spans="1:20" x14ac:dyDescent="0.25">
      <c r="A2651">
        <v>20140430</v>
      </c>
      <c r="B2651">
        <v>2014</v>
      </c>
      <c r="C2651">
        <v>4</v>
      </c>
      <c r="D2651">
        <v>1</v>
      </c>
      <c r="E2651">
        <v>11810</v>
      </c>
      <c r="F2651">
        <v>50015.08</v>
      </c>
      <c r="G2651">
        <v>0</v>
      </c>
      <c r="H2651">
        <v>0</v>
      </c>
      <c r="I2651">
        <v>0</v>
      </c>
      <c r="J2651">
        <v>0</v>
      </c>
      <c r="K2651">
        <v>10843.01</v>
      </c>
      <c r="L2651">
        <v>9677184.1799999997</v>
      </c>
      <c r="M2651">
        <v>9666449.5999999996</v>
      </c>
      <c r="N2651">
        <v>9677184.1799999997</v>
      </c>
      <c r="O2651">
        <v>9666449.5999999996</v>
      </c>
      <c r="P2651">
        <v>9774933.5199999996</v>
      </c>
      <c r="Q2651">
        <v>9764090.5099999998</v>
      </c>
      <c r="R2651" s="14">
        <f>_xlfn.XLOOKUP(Table2[[#This Row],[LoanID]],Table1[G-L ID],Table1[ManagerCode],-99)</f>
        <v>103</v>
      </c>
      <c r="T2651"/>
    </row>
    <row r="2652" spans="1:20" x14ac:dyDescent="0.25">
      <c r="A2652">
        <v>20140430</v>
      </c>
      <c r="B2652">
        <v>2014</v>
      </c>
      <c r="C2652">
        <v>4</v>
      </c>
      <c r="D2652">
        <v>1</v>
      </c>
      <c r="E2652">
        <v>11840</v>
      </c>
      <c r="F2652">
        <v>52501.8</v>
      </c>
      <c r="G2652">
        <v>90453.13</v>
      </c>
      <c r="H2652">
        <v>0</v>
      </c>
      <c r="I2652">
        <v>0</v>
      </c>
      <c r="J2652">
        <v>0</v>
      </c>
      <c r="K2652">
        <v>0</v>
      </c>
      <c r="L2652">
        <v>11830752.92</v>
      </c>
      <c r="M2652">
        <v>11921206.050000001</v>
      </c>
      <c r="N2652">
        <v>11830752.92</v>
      </c>
      <c r="O2652">
        <v>11921206.050000001</v>
      </c>
      <c r="P2652">
        <v>11830752.92</v>
      </c>
      <c r="Q2652">
        <v>11921206.050000001</v>
      </c>
      <c r="R2652" s="14">
        <f>_xlfn.XLOOKUP(Table2[[#This Row],[LoanID]],Table1[G-L ID],Table1[ManagerCode],-99)</f>
        <v>183</v>
      </c>
      <c r="T2652"/>
    </row>
    <row r="2653" spans="1:20" x14ac:dyDescent="0.25">
      <c r="A2653">
        <v>20140430</v>
      </c>
      <c r="B2653">
        <v>2014</v>
      </c>
      <c r="C2653">
        <v>4</v>
      </c>
      <c r="D2653">
        <v>1</v>
      </c>
      <c r="E2653">
        <v>11880</v>
      </c>
      <c r="F2653">
        <v>104844.56</v>
      </c>
      <c r="G2653">
        <v>115824.58</v>
      </c>
      <c r="H2653">
        <v>0</v>
      </c>
      <c r="I2653">
        <v>0</v>
      </c>
      <c r="J2653">
        <v>-1280351.75</v>
      </c>
      <c r="K2653">
        <v>0</v>
      </c>
      <c r="L2653">
        <v>22360281.510000002</v>
      </c>
      <c r="M2653">
        <v>23756457.84</v>
      </c>
      <c r="N2653">
        <v>22360281.510000002</v>
      </c>
      <c r="O2653">
        <v>23756457.84</v>
      </c>
      <c r="P2653">
        <v>22360281.510000002</v>
      </c>
      <c r="Q2653">
        <v>23756457.84</v>
      </c>
      <c r="R2653" s="14">
        <f>_xlfn.XLOOKUP(Table2[[#This Row],[LoanID]],Table1[G-L ID],Table1[ManagerCode],-99)</f>
        <v>183</v>
      </c>
      <c r="T2653"/>
    </row>
    <row r="2654" spans="1:20" x14ac:dyDescent="0.25">
      <c r="A2654">
        <v>20140430</v>
      </c>
      <c r="B2654">
        <v>2014</v>
      </c>
      <c r="C2654">
        <v>4</v>
      </c>
      <c r="D2654">
        <v>1</v>
      </c>
      <c r="E2654">
        <v>11920</v>
      </c>
      <c r="F2654">
        <v>96625.279999999999</v>
      </c>
      <c r="G2654">
        <v>0</v>
      </c>
      <c r="H2654">
        <v>0</v>
      </c>
      <c r="I2654">
        <v>0</v>
      </c>
      <c r="J2654">
        <v>0</v>
      </c>
      <c r="K2654">
        <v>0</v>
      </c>
      <c r="L2654">
        <v>12250000</v>
      </c>
      <c r="M2654">
        <v>12250000</v>
      </c>
      <c r="N2654">
        <v>12250000</v>
      </c>
      <c r="O2654">
        <v>12250000</v>
      </c>
      <c r="P2654">
        <v>12250000</v>
      </c>
      <c r="Q2654">
        <v>12250000</v>
      </c>
      <c r="R2654" s="14">
        <f>_xlfn.XLOOKUP(Table2[[#This Row],[LoanID]],Table1[G-L ID],Table1[ManagerCode],-99)</f>
        <v>220</v>
      </c>
      <c r="T2654"/>
    </row>
    <row r="2655" spans="1:20" x14ac:dyDescent="0.25">
      <c r="A2655">
        <v>20140430</v>
      </c>
      <c r="B2655">
        <v>2014</v>
      </c>
      <c r="C2655">
        <v>4</v>
      </c>
      <c r="D2655">
        <v>1</v>
      </c>
      <c r="E2655">
        <v>11970</v>
      </c>
      <c r="F2655">
        <v>85000</v>
      </c>
      <c r="G2655">
        <v>56500.65</v>
      </c>
      <c r="H2655">
        <v>0</v>
      </c>
      <c r="I2655">
        <v>0</v>
      </c>
      <c r="J2655">
        <v>0</v>
      </c>
      <c r="K2655">
        <v>0</v>
      </c>
      <c r="L2655">
        <v>9433376.8399999999</v>
      </c>
      <c r="M2655">
        <v>9489877.4900000002</v>
      </c>
      <c r="N2655">
        <v>9433376.8399999999</v>
      </c>
      <c r="O2655">
        <v>9489877.4900000002</v>
      </c>
      <c r="P2655">
        <v>9433376.8399999999</v>
      </c>
      <c r="Q2655">
        <v>9489877.4900000002</v>
      </c>
      <c r="R2655" s="14">
        <f>_xlfn.XLOOKUP(Table2[[#This Row],[LoanID]],Table1[G-L ID],Table1[ManagerCode],-99)</f>
        <v>183</v>
      </c>
      <c r="T2655"/>
    </row>
    <row r="2656" spans="1:20" x14ac:dyDescent="0.25">
      <c r="A2656">
        <v>20140430</v>
      </c>
      <c r="B2656">
        <v>2014</v>
      </c>
      <c r="C2656">
        <v>4</v>
      </c>
      <c r="D2656">
        <v>1</v>
      </c>
      <c r="E2656">
        <v>12020</v>
      </c>
      <c r="F2656">
        <v>65000</v>
      </c>
      <c r="G2656">
        <v>2031.25</v>
      </c>
      <c r="H2656">
        <v>0</v>
      </c>
      <c r="I2656">
        <v>0</v>
      </c>
      <c r="J2656">
        <v>0</v>
      </c>
      <c r="K2656">
        <v>0</v>
      </c>
      <c r="L2656">
        <v>10234364.67</v>
      </c>
      <c r="M2656">
        <v>10236395.92</v>
      </c>
      <c r="N2656">
        <v>10234364.67</v>
      </c>
      <c r="O2656">
        <v>10236395.92</v>
      </c>
      <c r="P2656">
        <v>10234364.67</v>
      </c>
      <c r="Q2656">
        <v>10236395.92</v>
      </c>
      <c r="R2656" s="14">
        <f>_xlfn.XLOOKUP(Table2[[#This Row],[LoanID]],Table1[G-L ID],Table1[ManagerCode],-99)</f>
        <v>183</v>
      </c>
      <c r="T2656"/>
    </row>
    <row r="2657" spans="1:20" x14ac:dyDescent="0.25">
      <c r="A2657">
        <v>20140430</v>
      </c>
      <c r="B2657">
        <v>2014</v>
      </c>
      <c r="C2657">
        <v>4</v>
      </c>
      <c r="D2657">
        <v>1</v>
      </c>
      <c r="E2657">
        <v>12080</v>
      </c>
      <c r="F2657">
        <v>314728.84999999998</v>
      </c>
      <c r="G2657">
        <v>0</v>
      </c>
      <c r="H2657">
        <v>0</v>
      </c>
      <c r="I2657">
        <v>0</v>
      </c>
      <c r="J2657">
        <v>0</v>
      </c>
      <c r="K2657">
        <v>894285.71</v>
      </c>
      <c r="L2657">
        <v>38799529.439999998</v>
      </c>
      <c r="M2657">
        <v>37905243.729999997</v>
      </c>
      <c r="N2657">
        <v>38799529.439999998</v>
      </c>
      <c r="O2657">
        <v>37905243.729999997</v>
      </c>
      <c r="P2657">
        <v>38799529.439999998</v>
      </c>
      <c r="Q2657">
        <v>37905243.729999997</v>
      </c>
      <c r="R2657" s="14">
        <f>_xlfn.XLOOKUP(Table2[[#This Row],[LoanID]],Table1[G-L ID],Table1[ManagerCode],-99)</f>
        <v>119</v>
      </c>
      <c r="T2657"/>
    </row>
    <row r="2658" spans="1:20" x14ac:dyDescent="0.25">
      <c r="A2658">
        <v>20140430</v>
      </c>
      <c r="B2658">
        <v>2014</v>
      </c>
      <c r="C2658">
        <v>4</v>
      </c>
      <c r="D2658">
        <v>1</v>
      </c>
      <c r="E2658">
        <v>12090</v>
      </c>
      <c r="F2658">
        <v>0</v>
      </c>
      <c r="G2658">
        <v>0</v>
      </c>
      <c r="H2658">
        <v>0</v>
      </c>
      <c r="I2658">
        <v>0</v>
      </c>
      <c r="J2658">
        <v>0</v>
      </c>
      <c r="K2658">
        <v>17500000</v>
      </c>
      <c r="L2658">
        <v>17500000</v>
      </c>
      <c r="M2658">
        <v>0</v>
      </c>
      <c r="N2658">
        <v>17500000</v>
      </c>
      <c r="O2658">
        <v>0</v>
      </c>
      <c r="P2658">
        <v>17500000</v>
      </c>
      <c r="Q2658">
        <v>0</v>
      </c>
      <c r="R2658" s="14">
        <f>_xlfn.XLOOKUP(Table2[[#This Row],[LoanID]],Table1[G-L ID],Table1[ManagerCode],-99)</f>
        <v>220</v>
      </c>
      <c r="T2658"/>
    </row>
    <row r="2659" spans="1:20" x14ac:dyDescent="0.25">
      <c r="A2659">
        <v>20140430</v>
      </c>
      <c r="B2659">
        <v>2014</v>
      </c>
      <c r="C2659">
        <v>4</v>
      </c>
      <c r="D2659">
        <v>1</v>
      </c>
      <c r="E2659">
        <v>12100</v>
      </c>
      <c r="F2659">
        <v>48255.3</v>
      </c>
      <c r="G2659">
        <v>82077.600000000006</v>
      </c>
      <c r="H2659">
        <v>0</v>
      </c>
      <c r="I2659">
        <v>0</v>
      </c>
      <c r="J2659">
        <v>-48255.3</v>
      </c>
      <c r="K2659">
        <v>0</v>
      </c>
      <c r="L2659">
        <v>10772993.09</v>
      </c>
      <c r="M2659">
        <v>10903325.99</v>
      </c>
      <c r="N2659">
        <v>10772993.09</v>
      </c>
      <c r="O2659">
        <v>10903325.99</v>
      </c>
      <c r="P2659">
        <v>10772993.09</v>
      </c>
      <c r="Q2659">
        <v>10903325.99</v>
      </c>
      <c r="R2659" s="14">
        <f>_xlfn.XLOOKUP(Table2[[#This Row],[LoanID]],Table1[G-L ID],Table1[ManagerCode],-99)</f>
        <v>183</v>
      </c>
      <c r="T2659"/>
    </row>
    <row r="2660" spans="1:20" x14ac:dyDescent="0.25">
      <c r="A2660">
        <v>20140430</v>
      </c>
      <c r="B2660">
        <v>2014</v>
      </c>
      <c r="C2660">
        <v>4</v>
      </c>
      <c r="D2660">
        <v>1</v>
      </c>
      <c r="E2660">
        <v>12160</v>
      </c>
      <c r="F2660">
        <v>0</v>
      </c>
      <c r="G2660">
        <v>8753.51</v>
      </c>
      <c r="H2660">
        <v>165000</v>
      </c>
      <c r="I2660">
        <v>0</v>
      </c>
      <c r="J2660">
        <v>-1889812.95</v>
      </c>
      <c r="K2660">
        <v>0</v>
      </c>
      <c r="L2660">
        <v>0</v>
      </c>
      <c r="M2660">
        <v>1898566.46</v>
      </c>
      <c r="N2660">
        <v>0</v>
      </c>
      <c r="O2660">
        <v>1898566.46</v>
      </c>
      <c r="P2660">
        <v>0</v>
      </c>
      <c r="Q2660">
        <v>1898566.46</v>
      </c>
      <c r="R2660" s="14">
        <f>_xlfn.XLOOKUP(Table2[[#This Row],[LoanID]],Table1[G-L ID],Table1[ManagerCode],-99)</f>
        <v>183</v>
      </c>
      <c r="T2660"/>
    </row>
    <row r="2661" spans="1:20" x14ac:dyDescent="0.25">
      <c r="A2661">
        <v>20140430</v>
      </c>
      <c r="B2661">
        <v>2014</v>
      </c>
      <c r="C2661">
        <v>4</v>
      </c>
      <c r="D2661">
        <v>1</v>
      </c>
      <c r="E2661">
        <v>12180</v>
      </c>
      <c r="F2661">
        <v>233576.39</v>
      </c>
      <c r="G2661">
        <v>0</v>
      </c>
      <c r="H2661">
        <v>0</v>
      </c>
      <c r="I2661">
        <v>0</v>
      </c>
      <c r="J2661">
        <v>0</v>
      </c>
      <c r="K2661">
        <v>0</v>
      </c>
      <c r="L2661">
        <v>35000000</v>
      </c>
      <c r="M2661">
        <v>35000000</v>
      </c>
      <c r="N2661">
        <v>35000000</v>
      </c>
      <c r="O2661">
        <v>35000000</v>
      </c>
      <c r="P2661">
        <v>35000000</v>
      </c>
      <c r="Q2661">
        <v>35000000</v>
      </c>
      <c r="R2661" s="14">
        <f>_xlfn.XLOOKUP(Table2[[#This Row],[LoanID]],Table1[G-L ID],Table1[ManagerCode],-99)</f>
        <v>220</v>
      </c>
      <c r="T2661"/>
    </row>
    <row r="2662" spans="1:20" x14ac:dyDescent="0.25">
      <c r="A2662">
        <v>20140430</v>
      </c>
      <c r="B2662">
        <v>2014</v>
      </c>
      <c r="C2662">
        <v>4</v>
      </c>
      <c r="D2662">
        <v>1</v>
      </c>
      <c r="E2662">
        <v>12190</v>
      </c>
      <c r="F2662">
        <v>282875</v>
      </c>
      <c r="G2662">
        <v>0</v>
      </c>
      <c r="H2662">
        <v>0</v>
      </c>
      <c r="I2662">
        <v>0</v>
      </c>
      <c r="J2662">
        <v>0</v>
      </c>
      <c r="K2662">
        <v>0</v>
      </c>
      <c r="L2662">
        <v>37500000</v>
      </c>
      <c r="M2662">
        <v>37500000</v>
      </c>
      <c r="N2662">
        <v>37500000</v>
      </c>
      <c r="O2662">
        <v>37500000</v>
      </c>
      <c r="P2662">
        <v>37500000</v>
      </c>
      <c r="Q2662">
        <v>37500000</v>
      </c>
      <c r="R2662" s="14">
        <f>_xlfn.XLOOKUP(Table2[[#This Row],[LoanID]],Table1[G-L ID],Table1[ManagerCode],-99)</f>
        <v>220</v>
      </c>
      <c r="T2662"/>
    </row>
    <row r="2663" spans="1:20" x14ac:dyDescent="0.25">
      <c r="A2663">
        <v>20140430</v>
      </c>
      <c r="B2663">
        <v>2014</v>
      </c>
      <c r="C2663">
        <v>4</v>
      </c>
      <c r="D2663">
        <v>1</v>
      </c>
      <c r="E2663">
        <v>12210</v>
      </c>
      <c r="F2663">
        <v>687991.57</v>
      </c>
      <c r="G2663">
        <v>0</v>
      </c>
      <c r="H2663">
        <v>0</v>
      </c>
      <c r="I2663">
        <v>0</v>
      </c>
      <c r="J2663">
        <v>0</v>
      </c>
      <c r="K2663">
        <v>211443.99</v>
      </c>
      <c r="L2663">
        <v>128854391.5</v>
      </c>
      <c r="M2663">
        <v>128822514.5</v>
      </c>
      <c r="N2663">
        <v>128854391.5</v>
      </c>
      <c r="O2663">
        <v>128822514.5</v>
      </c>
      <c r="P2663">
        <v>111318145.8</v>
      </c>
      <c r="Q2663">
        <v>111106701.8</v>
      </c>
      <c r="R2663" s="14">
        <f>_xlfn.XLOOKUP(Table2[[#This Row],[LoanID]],Table1[G-L ID],Table1[ManagerCode],-99)</f>
        <v>103</v>
      </c>
      <c r="T2663"/>
    </row>
    <row r="2664" spans="1:20" x14ac:dyDescent="0.25">
      <c r="A2664">
        <v>20140430</v>
      </c>
      <c r="B2664">
        <v>2014</v>
      </c>
      <c r="C2664">
        <v>4</v>
      </c>
      <c r="D2664">
        <v>1</v>
      </c>
      <c r="E2664">
        <v>12230</v>
      </c>
      <c r="F2664">
        <v>102060.23</v>
      </c>
      <c r="G2664">
        <v>0</v>
      </c>
      <c r="H2664">
        <v>0</v>
      </c>
      <c r="I2664">
        <v>0</v>
      </c>
      <c r="J2664">
        <v>0</v>
      </c>
      <c r="K2664">
        <v>0</v>
      </c>
      <c r="L2664">
        <v>20164000</v>
      </c>
      <c r="M2664">
        <v>20164000</v>
      </c>
      <c r="N2664">
        <v>14115492.5</v>
      </c>
      <c r="O2664">
        <v>14115492.5</v>
      </c>
      <c r="P2664">
        <v>19194090.940000001</v>
      </c>
      <c r="Q2664">
        <v>19194090.940000001</v>
      </c>
      <c r="R2664" s="14">
        <f>_xlfn.XLOOKUP(Table2[[#This Row],[LoanID]],Table1[G-L ID],Table1[ManagerCode],-99)</f>
        <v>183</v>
      </c>
      <c r="T2664"/>
    </row>
    <row r="2665" spans="1:20" x14ac:dyDescent="0.25">
      <c r="A2665">
        <v>20140430</v>
      </c>
      <c r="B2665">
        <v>2014</v>
      </c>
      <c r="C2665">
        <v>4</v>
      </c>
      <c r="D2665">
        <v>1</v>
      </c>
      <c r="E2665">
        <v>15580</v>
      </c>
      <c r="F2665">
        <v>119066.96</v>
      </c>
      <c r="G2665">
        <v>-3874.28</v>
      </c>
      <c r="H2665">
        <v>0</v>
      </c>
      <c r="I2665">
        <v>0</v>
      </c>
      <c r="J2665">
        <v>0</v>
      </c>
      <c r="K2665">
        <v>4334.3500000000004</v>
      </c>
      <c r="L2665">
        <v>15067316.42</v>
      </c>
      <c r="M2665">
        <v>15059107.789999999</v>
      </c>
      <c r="N2665">
        <v>15067316.42</v>
      </c>
      <c r="O2665">
        <v>15059107.789999999</v>
      </c>
      <c r="P2665">
        <v>15067316.42</v>
      </c>
      <c r="Q2665">
        <v>15059107.789999999</v>
      </c>
      <c r="R2665" s="14">
        <f>_xlfn.XLOOKUP(Table2[[#This Row],[LoanID]],Table1[G-L ID],Table1[ManagerCode],-99)</f>
        <v>212</v>
      </c>
      <c r="T2665"/>
    </row>
    <row r="2666" spans="1:20" x14ac:dyDescent="0.25">
      <c r="A2666">
        <v>20140531</v>
      </c>
      <c r="B2666">
        <v>2014</v>
      </c>
      <c r="C2666">
        <v>5</v>
      </c>
      <c r="D2666">
        <v>1</v>
      </c>
      <c r="E2666">
        <v>10050</v>
      </c>
      <c r="F2666">
        <v>149013.89000000001</v>
      </c>
      <c r="G2666">
        <v>0</v>
      </c>
      <c r="H2666">
        <v>0</v>
      </c>
      <c r="I2666">
        <v>0</v>
      </c>
      <c r="J2666">
        <v>0</v>
      </c>
      <c r="K2666">
        <v>0</v>
      </c>
      <c r="L2666">
        <v>36722616.630000003</v>
      </c>
      <c r="M2666">
        <v>38331479.759999998</v>
      </c>
      <c r="N2666">
        <v>36722616.630000003</v>
      </c>
      <c r="O2666">
        <v>38331479.759999998</v>
      </c>
      <c r="P2666">
        <v>33333334</v>
      </c>
      <c r="Q2666">
        <v>33333334</v>
      </c>
      <c r="R2666" s="14">
        <f>_xlfn.XLOOKUP(Table2[[#This Row],[LoanID]],Table1[G-L ID],Table1[ManagerCode],-99)</f>
        <v>103</v>
      </c>
      <c r="T2666"/>
    </row>
    <row r="2667" spans="1:20" x14ac:dyDescent="0.25">
      <c r="A2667">
        <v>20140531</v>
      </c>
      <c r="B2667">
        <v>2014</v>
      </c>
      <c r="C2667">
        <v>5</v>
      </c>
      <c r="D2667">
        <v>1</v>
      </c>
      <c r="E2667">
        <v>10060</v>
      </c>
      <c r="F2667">
        <v>120833.33</v>
      </c>
      <c r="G2667">
        <v>0</v>
      </c>
      <c r="H2667">
        <v>0</v>
      </c>
      <c r="I2667">
        <v>0</v>
      </c>
      <c r="J2667">
        <v>0</v>
      </c>
      <c r="K2667">
        <v>0</v>
      </c>
      <c r="L2667">
        <v>19000000</v>
      </c>
      <c r="M2667">
        <v>19000000</v>
      </c>
      <c r="N2667">
        <v>19000000</v>
      </c>
      <c r="O2667">
        <v>19000000</v>
      </c>
      <c r="P2667">
        <v>20000000</v>
      </c>
      <c r="Q2667">
        <v>20000000</v>
      </c>
      <c r="R2667" s="14">
        <f>_xlfn.XLOOKUP(Table2[[#This Row],[LoanID]],Table1[G-L ID],Table1[ManagerCode],-99)</f>
        <v>103</v>
      </c>
      <c r="T2667"/>
    </row>
    <row r="2668" spans="1:20" x14ac:dyDescent="0.25">
      <c r="A2668">
        <v>20140531</v>
      </c>
      <c r="B2668">
        <v>2014</v>
      </c>
      <c r="C2668">
        <v>5</v>
      </c>
      <c r="D2668">
        <v>1</v>
      </c>
      <c r="E2668">
        <v>10080</v>
      </c>
      <c r="F2668">
        <v>339718.75</v>
      </c>
      <c r="G2668">
        <v>0</v>
      </c>
      <c r="H2668">
        <v>0</v>
      </c>
      <c r="I2668">
        <v>-156.25</v>
      </c>
      <c r="J2668">
        <v>0</v>
      </c>
      <c r="K2668">
        <v>0</v>
      </c>
      <c r="L2668">
        <v>77261066.019999996</v>
      </c>
      <c r="M2668">
        <v>77613973.109999999</v>
      </c>
      <c r="N2668">
        <v>77261066.019999996</v>
      </c>
      <c r="O2668">
        <v>77613973.109999999</v>
      </c>
      <c r="P2668">
        <v>75000000</v>
      </c>
      <c r="Q2668">
        <v>75000000</v>
      </c>
      <c r="R2668" s="14">
        <f>_xlfn.XLOOKUP(Table2[[#This Row],[LoanID]],Table1[G-L ID],Table1[ManagerCode],-99)</f>
        <v>103</v>
      </c>
      <c r="T2668"/>
    </row>
    <row r="2669" spans="1:20" x14ac:dyDescent="0.25">
      <c r="A2669">
        <v>20140531</v>
      </c>
      <c r="B2669">
        <v>2014</v>
      </c>
      <c r="C2669">
        <v>5</v>
      </c>
      <c r="D2669">
        <v>1</v>
      </c>
      <c r="E2669">
        <v>10090</v>
      </c>
      <c r="F2669">
        <v>194222.22</v>
      </c>
      <c r="G2669">
        <v>0</v>
      </c>
      <c r="H2669">
        <v>0</v>
      </c>
      <c r="I2669">
        <v>0</v>
      </c>
      <c r="J2669">
        <v>0</v>
      </c>
      <c r="K2669">
        <v>0</v>
      </c>
      <c r="L2669">
        <v>23000000</v>
      </c>
      <c r="M2669">
        <v>23000000</v>
      </c>
      <c r="N2669">
        <v>23000000</v>
      </c>
      <c r="O2669">
        <v>23000000</v>
      </c>
      <c r="P2669">
        <v>23000000</v>
      </c>
      <c r="Q2669">
        <v>23000000</v>
      </c>
      <c r="R2669" s="14">
        <f>_xlfn.XLOOKUP(Table2[[#This Row],[LoanID]],Table1[G-L ID],Table1[ManagerCode],-99)</f>
        <v>119</v>
      </c>
      <c r="T2669"/>
    </row>
    <row r="2670" spans="1:20" x14ac:dyDescent="0.25">
      <c r="A2670">
        <v>20140531</v>
      </c>
      <c r="B2670">
        <v>2014</v>
      </c>
      <c r="C2670">
        <v>5</v>
      </c>
      <c r="D2670">
        <v>1</v>
      </c>
      <c r="E2670">
        <v>10170</v>
      </c>
      <c r="F2670">
        <v>229521.5</v>
      </c>
      <c r="G2670">
        <v>0</v>
      </c>
      <c r="H2670">
        <v>0</v>
      </c>
      <c r="I2670">
        <v>-1099.94</v>
      </c>
      <c r="J2670">
        <v>0</v>
      </c>
      <c r="K2670">
        <v>83272.94</v>
      </c>
      <c r="L2670">
        <v>44851515.899999999</v>
      </c>
      <c r="M2670">
        <v>44618804</v>
      </c>
      <c r="N2670">
        <v>44851515.899999999</v>
      </c>
      <c r="O2670">
        <v>44618804</v>
      </c>
      <c r="P2670">
        <v>43997732.450000003</v>
      </c>
      <c r="Q2670">
        <v>43914459.509999998</v>
      </c>
      <c r="R2670" s="14">
        <f>_xlfn.XLOOKUP(Table2[[#This Row],[LoanID]],Table1[G-L ID],Table1[ManagerCode],-99)</f>
        <v>103</v>
      </c>
      <c r="T2670"/>
    </row>
    <row r="2671" spans="1:20" x14ac:dyDescent="0.25">
      <c r="A2671">
        <v>20140531</v>
      </c>
      <c r="B2671">
        <v>2014</v>
      </c>
      <c r="C2671">
        <v>5</v>
      </c>
      <c r="D2671">
        <v>1</v>
      </c>
      <c r="E2671">
        <v>10190</v>
      </c>
      <c r="F2671">
        <v>41666.67</v>
      </c>
      <c r="G2671">
        <v>0</v>
      </c>
      <c r="H2671">
        <v>0</v>
      </c>
      <c r="I2671">
        <v>0</v>
      </c>
      <c r="J2671">
        <v>0</v>
      </c>
      <c r="K2671">
        <v>0</v>
      </c>
      <c r="L2671">
        <v>9500000</v>
      </c>
      <c r="M2671">
        <v>9500000</v>
      </c>
      <c r="N2671">
        <v>9500000</v>
      </c>
      <c r="O2671">
        <v>9500000</v>
      </c>
      <c r="P2671">
        <v>10000000</v>
      </c>
      <c r="Q2671">
        <v>10000000</v>
      </c>
      <c r="R2671" s="14">
        <f>_xlfn.XLOOKUP(Table2[[#This Row],[LoanID]],Table1[G-L ID],Table1[ManagerCode],-99)</f>
        <v>103</v>
      </c>
      <c r="T2671"/>
    </row>
    <row r="2672" spans="1:20" x14ac:dyDescent="0.25">
      <c r="A2672">
        <v>20140531</v>
      </c>
      <c r="B2672">
        <v>2014</v>
      </c>
      <c r="C2672">
        <v>5</v>
      </c>
      <c r="D2672">
        <v>1</v>
      </c>
      <c r="E2672">
        <v>10200</v>
      </c>
      <c r="F2672">
        <v>128541.67</v>
      </c>
      <c r="G2672">
        <v>0</v>
      </c>
      <c r="H2672">
        <v>0</v>
      </c>
      <c r="I2672">
        <v>0</v>
      </c>
      <c r="J2672">
        <v>0</v>
      </c>
      <c r="K2672">
        <v>0</v>
      </c>
      <c r="L2672">
        <v>29307500</v>
      </c>
      <c r="M2672">
        <v>29307500</v>
      </c>
      <c r="N2672">
        <v>29307500</v>
      </c>
      <c r="O2672">
        <v>29307500</v>
      </c>
      <c r="P2672">
        <v>30850000</v>
      </c>
      <c r="Q2672">
        <v>30850000</v>
      </c>
      <c r="R2672" s="14">
        <f>_xlfn.XLOOKUP(Table2[[#This Row],[LoanID]],Table1[G-L ID],Table1[ManagerCode],-99)</f>
        <v>103</v>
      </c>
      <c r="T2672"/>
    </row>
    <row r="2673" spans="1:20" x14ac:dyDescent="0.25">
      <c r="A2673">
        <v>20140531</v>
      </c>
      <c r="B2673">
        <v>2014</v>
      </c>
      <c r="C2673">
        <v>5</v>
      </c>
      <c r="D2673">
        <v>1</v>
      </c>
      <c r="E2673">
        <v>10220</v>
      </c>
      <c r="F2673">
        <v>1101388.8899999999</v>
      </c>
      <c r="G2673">
        <v>0</v>
      </c>
      <c r="H2673">
        <v>0</v>
      </c>
      <c r="I2673">
        <v>0</v>
      </c>
      <c r="J2673">
        <v>0</v>
      </c>
      <c r="K2673">
        <v>0</v>
      </c>
      <c r="L2673">
        <v>99000000</v>
      </c>
      <c r="M2673">
        <v>99000000</v>
      </c>
      <c r="N2673">
        <v>99000000</v>
      </c>
      <c r="O2673">
        <v>99000000</v>
      </c>
      <c r="P2673">
        <v>100000000</v>
      </c>
      <c r="Q2673">
        <v>100000000</v>
      </c>
      <c r="R2673" s="14">
        <f>_xlfn.XLOOKUP(Table2[[#This Row],[LoanID]],Table1[G-L ID],Table1[ManagerCode],-99)</f>
        <v>103</v>
      </c>
      <c r="T2673"/>
    </row>
    <row r="2674" spans="1:20" x14ac:dyDescent="0.25">
      <c r="A2674">
        <v>20140531</v>
      </c>
      <c r="B2674">
        <v>2014</v>
      </c>
      <c r="C2674">
        <v>5</v>
      </c>
      <c r="D2674">
        <v>1</v>
      </c>
      <c r="E2674">
        <v>10230</v>
      </c>
      <c r="F2674">
        <v>172310.66</v>
      </c>
      <c r="G2674">
        <v>0</v>
      </c>
      <c r="H2674">
        <v>0</v>
      </c>
      <c r="I2674">
        <v>0</v>
      </c>
      <c r="J2674">
        <v>0</v>
      </c>
      <c r="K2674">
        <v>69287.41</v>
      </c>
      <c r="L2674">
        <v>29144532.91</v>
      </c>
      <c r="M2674">
        <v>29078709.870000001</v>
      </c>
      <c r="N2674">
        <v>29144532.91</v>
      </c>
      <c r="O2674">
        <v>29078709.870000001</v>
      </c>
      <c r="P2674">
        <v>30678455.710000001</v>
      </c>
      <c r="Q2674">
        <v>30609168.300000001</v>
      </c>
      <c r="R2674" s="14">
        <f>_xlfn.XLOOKUP(Table2[[#This Row],[LoanID]],Table1[G-L ID],Table1[ManagerCode],-99)</f>
        <v>103</v>
      </c>
      <c r="T2674"/>
    </row>
    <row r="2675" spans="1:20" x14ac:dyDescent="0.25">
      <c r="A2675">
        <v>20140531</v>
      </c>
      <c r="B2675">
        <v>2014</v>
      </c>
      <c r="C2675">
        <v>5</v>
      </c>
      <c r="D2675">
        <v>1</v>
      </c>
      <c r="E2675">
        <v>10340</v>
      </c>
      <c r="F2675">
        <v>107005.5</v>
      </c>
      <c r="G2675">
        <v>0</v>
      </c>
      <c r="H2675">
        <v>0</v>
      </c>
      <c r="I2675">
        <v>0</v>
      </c>
      <c r="J2675">
        <v>0</v>
      </c>
      <c r="K2675">
        <v>0</v>
      </c>
      <c r="L2675">
        <v>12527473</v>
      </c>
      <c r="M2675">
        <v>12527473</v>
      </c>
      <c r="N2675">
        <v>12527473</v>
      </c>
      <c r="O2675">
        <v>12527473</v>
      </c>
      <c r="P2675">
        <v>12527473</v>
      </c>
      <c r="Q2675">
        <v>12527473</v>
      </c>
      <c r="R2675" s="14">
        <f>_xlfn.XLOOKUP(Table2[[#This Row],[LoanID]],Table1[G-L ID],Table1[ManagerCode],-99)</f>
        <v>220</v>
      </c>
      <c r="T2675"/>
    </row>
    <row r="2676" spans="1:20" x14ac:dyDescent="0.25">
      <c r="A2676">
        <v>20140531</v>
      </c>
      <c r="B2676">
        <v>2014</v>
      </c>
      <c r="C2676">
        <v>5</v>
      </c>
      <c r="D2676">
        <v>1</v>
      </c>
      <c r="E2676">
        <v>10400</v>
      </c>
      <c r="F2676">
        <v>812062.5</v>
      </c>
      <c r="G2676">
        <v>0</v>
      </c>
      <c r="H2676">
        <v>0</v>
      </c>
      <c r="I2676">
        <v>0</v>
      </c>
      <c r="J2676">
        <v>0</v>
      </c>
      <c r="K2676">
        <v>0</v>
      </c>
      <c r="L2676">
        <v>45000000</v>
      </c>
      <c r="M2676">
        <v>45000000</v>
      </c>
      <c r="N2676">
        <v>45000000</v>
      </c>
      <c r="O2676">
        <v>45000000</v>
      </c>
      <c r="P2676">
        <v>45000000</v>
      </c>
      <c r="Q2676">
        <v>45000000</v>
      </c>
      <c r="R2676" s="14">
        <f>_xlfn.XLOOKUP(Table2[[#This Row],[LoanID]],Table1[G-L ID],Table1[ManagerCode],-99)</f>
        <v>220</v>
      </c>
      <c r="T2676"/>
    </row>
    <row r="2677" spans="1:20" x14ac:dyDescent="0.25">
      <c r="A2677">
        <v>20140531</v>
      </c>
      <c r="B2677">
        <v>2014</v>
      </c>
      <c r="C2677">
        <v>5</v>
      </c>
      <c r="D2677">
        <v>1</v>
      </c>
      <c r="E2677">
        <v>10430</v>
      </c>
      <c r="F2677">
        <v>59537.98</v>
      </c>
      <c r="G2677">
        <v>0</v>
      </c>
      <c r="H2677">
        <v>0</v>
      </c>
      <c r="I2677">
        <v>0</v>
      </c>
      <c r="J2677">
        <v>0</v>
      </c>
      <c r="K2677">
        <v>14875</v>
      </c>
      <c r="L2677">
        <v>6836375</v>
      </c>
      <c r="M2677">
        <v>6821500</v>
      </c>
      <c r="N2677">
        <v>6836375</v>
      </c>
      <c r="O2677">
        <v>6821500</v>
      </c>
      <c r="P2677">
        <v>6836375</v>
      </c>
      <c r="Q2677">
        <v>6821500</v>
      </c>
      <c r="R2677" s="14">
        <f>_xlfn.XLOOKUP(Table2[[#This Row],[LoanID]],Table1[G-L ID],Table1[ManagerCode],-99)</f>
        <v>119</v>
      </c>
      <c r="T2677"/>
    </row>
    <row r="2678" spans="1:20" x14ac:dyDescent="0.25">
      <c r="A2678">
        <v>20140531</v>
      </c>
      <c r="B2678">
        <v>2014</v>
      </c>
      <c r="C2678">
        <v>5</v>
      </c>
      <c r="D2678">
        <v>1</v>
      </c>
      <c r="E2678">
        <v>10460</v>
      </c>
      <c r="F2678">
        <v>245016.67</v>
      </c>
      <c r="G2678">
        <v>0</v>
      </c>
      <c r="H2678">
        <v>0</v>
      </c>
      <c r="I2678">
        <v>0</v>
      </c>
      <c r="J2678">
        <v>0</v>
      </c>
      <c r="K2678">
        <v>0</v>
      </c>
      <c r="L2678">
        <v>61781706.689999998</v>
      </c>
      <c r="M2678">
        <v>62011821.75</v>
      </c>
      <c r="N2678">
        <v>61781706.689999998</v>
      </c>
      <c r="O2678">
        <v>62011821.75</v>
      </c>
      <c r="P2678">
        <v>60000000</v>
      </c>
      <c r="Q2678">
        <v>60000000</v>
      </c>
      <c r="R2678" s="14">
        <f>_xlfn.XLOOKUP(Table2[[#This Row],[LoanID]],Table1[G-L ID],Table1[ManagerCode],-99)</f>
        <v>103</v>
      </c>
      <c r="T2678"/>
    </row>
    <row r="2679" spans="1:20" x14ac:dyDescent="0.25">
      <c r="A2679">
        <v>20140531</v>
      </c>
      <c r="B2679">
        <v>2014</v>
      </c>
      <c r="C2679">
        <v>5</v>
      </c>
      <c r="D2679">
        <v>1</v>
      </c>
      <c r="E2679">
        <v>10510</v>
      </c>
      <c r="F2679">
        <v>291082.5</v>
      </c>
      <c r="G2679">
        <v>0</v>
      </c>
      <c r="H2679">
        <v>0</v>
      </c>
      <c r="I2679">
        <v>0</v>
      </c>
      <c r="J2679">
        <v>0</v>
      </c>
      <c r="K2679">
        <v>0</v>
      </c>
      <c r="L2679">
        <v>45000000</v>
      </c>
      <c r="M2679">
        <v>45000000</v>
      </c>
      <c r="N2679">
        <v>45000000</v>
      </c>
      <c r="O2679">
        <v>45000000</v>
      </c>
      <c r="P2679">
        <v>45000000</v>
      </c>
      <c r="Q2679">
        <v>45000000</v>
      </c>
      <c r="R2679" s="14">
        <f>_xlfn.XLOOKUP(Table2[[#This Row],[LoanID]],Table1[G-L ID],Table1[ManagerCode],-99)</f>
        <v>220</v>
      </c>
      <c r="T2679"/>
    </row>
    <row r="2680" spans="1:20" x14ac:dyDescent="0.25">
      <c r="A2680">
        <v>20140531</v>
      </c>
      <c r="B2680">
        <v>2014</v>
      </c>
      <c r="C2680">
        <v>5</v>
      </c>
      <c r="D2680">
        <v>1</v>
      </c>
      <c r="E2680">
        <v>10570</v>
      </c>
      <c r="F2680">
        <v>981864.1</v>
      </c>
      <c r="G2680">
        <v>0</v>
      </c>
      <c r="H2680">
        <v>0</v>
      </c>
      <c r="I2680">
        <v>0</v>
      </c>
      <c r="J2680">
        <v>0</v>
      </c>
      <c r="K2680">
        <v>0</v>
      </c>
      <c r="L2680">
        <v>197637165</v>
      </c>
      <c r="M2680">
        <v>197637165</v>
      </c>
      <c r="N2680">
        <v>197637165</v>
      </c>
      <c r="O2680">
        <v>197637165</v>
      </c>
      <c r="P2680">
        <v>199633500</v>
      </c>
      <c r="Q2680">
        <v>199633500</v>
      </c>
      <c r="R2680" s="14">
        <f>_xlfn.XLOOKUP(Table2[[#This Row],[LoanID]],Table1[G-L ID],Table1[ManagerCode],-99)</f>
        <v>103</v>
      </c>
      <c r="T2680"/>
    </row>
    <row r="2681" spans="1:20" x14ac:dyDescent="0.25">
      <c r="A2681">
        <v>20140531</v>
      </c>
      <c r="B2681">
        <v>2014</v>
      </c>
      <c r="C2681">
        <v>5</v>
      </c>
      <c r="D2681">
        <v>1</v>
      </c>
      <c r="E2681">
        <v>10591</v>
      </c>
      <c r="F2681">
        <v>216944.02</v>
      </c>
      <c r="G2681">
        <v>0</v>
      </c>
      <c r="H2681">
        <v>0</v>
      </c>
      <c r="I2681">
        <v>0</v>
      </c>
      <c r="J2681">
        <v>0</v>
      </c>
      <c r="K2681">
        <v>35861.129999999997</v>
      </c>
      <c r="L2681">
        <v>26600000</v>
      </c>
      <c r="M2681">
        <v>26562802.309999999</v>
      </c>
      <c r="N2681">
        <v>26600000</v>
      </c>
      <c r="O2681">
        <v>26562802.309999999</v>
      </c>
      <c r="P2681">
        <v>25644230.359999999</v>
      </c>
      <c r="Q2681">
        <v>25608369.23</v>
      </c>
      <c r="R2681" s="14">
        <f>_xlfn.XLOOKUP(Table2[[#This Row],[LoanID]],Table1[G-L ID],Table1[ManagerCode],-99)</f>
        <v>220</v>
      </c>
      <c r="T2681"/>
    </row>
    <row r="2682" spans="1:20" x14ac:dyDescent="0.25">
      <c r="A2682">
        <v>20140531</v>
      </c>
      <c r="B2682">
        <v>2014</v>
      </c>
      <c r="C2682">
        <v>5</v>
      </c>
      <c r="D2682">
        <v>1</v>
      </c>
      <c r="E2682">
        <v>10592</v>
      </c>
      <c r="F2682">
        <v>359999.26</v>
      </c>
      <c r="G2682">
        <v>0</v>
      </c>
      <c r="H2682">
        <v>0</v>
      </c>
      <c r="I2682">
        <v>0</v>
      </c>
      <c r="J2682">
        <v>0</v>
      </c>
      <c r="K2682">
        <v>52937.87</v>
      </c>
      <c r="L2682">
        <v>39100000</v>
      </c>
      <c r="M2682">
        <v>39045322.18</v>
      </c>
      <c r="N2682">
        <v>39100000</v>
      </c>
      <c r="O2682">
        <v>39045322.18</v>
      </c>
      <c r="P2682">
        <v>37855768.640000001</v>
      </c>
      <c r="Q2682">
        <v>37802830.770000003</v>
      </c>
      <c r="R2682" s="14">
        <f>_xlfn.XLOOKUP(Table2[[#This Row],[LoanID]],Table1[G-L ID],Table1[ManagerCode],-99)</f>
        <v>220</v>
      </c>
      <c r="T2682"/>
    </row>
    <row r="2683" spans="1:20" x14ac:dyDescent="0.25">
      <c r="A2683">
        <v>20140531</v>
      </c>
      <c r="B2683">
        <v>2014</v>
      </c>
      <c r="C2683">
        <v>5</v>
      </c>
      <c r="D2683">
        <v>1</v>
      </c>
      <c r="E2683">
        <v>10640</v>
      </c>
      <c r="F2683">
        <v>101156.34</v>
      </c>
      <c r="G2683">
        <v>0</v>
      </c>
      <c r="H2683">
        <v>0</v>
      </c>
      <c r="I2683">
        <v>0</v>
      </c>
      <c r="J2683">
        <v>0</v>
      </c>
      <c r="K2683">
        <v>0</v>
      </c>
      <c r="L2683">
        <v>12197063</v>
      </c>
      <c r="M2683">
        <v>12197063</v>
      </c>
      <c r="N2683">
        <v>12197063</v>
      </c>
      <c r="O2683">
        <v>12197063</v>
      </c>
      <c r="P2683">
        <v>12197063</v>
      </c>
      <c r="Q2683">
        <v>12197063</v>
      </c>
      <c r="R2683" s="14">
        <f>_xlfn.XLOOKUP(Table2[[#This Row],[LoanID]],Table1[G-L ID],Table1[ManagerCode],-99)</f>
        <v>220</v>
      </c>
      <c r="T2683"/>
    </row>
    <row r="2684" spans="1:20" x14ac:dyDescent="0.25">
      <c r="A2684">
        <v>20140531</v>
      </c>
      <c r="B2684">
        <v>2014</v>
      </c>
      <c r="C2684">
        <v>5</v>
      </c>
      <c r="D2684">
        <v>1</v>
      </c>
      <c r="E2684">
        <v>10660</v>
      </c>
      <c r="F2684">
        <v>154229.17000000001</v>
      </c>
      <c r="G2684">
        <v>0</v>
      </c>
      <c r="H2684">
        <v>0</v>
      </c>
      <c r="I2684">
        <v>0</v>
      </c>
      <c r="J2684">
        <v>0</v>
      </c>
      <c r="K2684">
        <v>0</v>
      </c>
      <c r="L2684">
        <v>25000000</v>
      </c>
      <c r="M2684">
        <v>25000000</v>
      </c>
      <c r="N2684">
        <v>25000000</v>
      </c>
      <c r="O2684">
        <v>25000000</v>
      </c>
      <c r="P2684">
        <v>25000000</v>
      </c>
      <c r="Q2684">
        <v>25000000</v>
      </c>
      <c r="R2684" s="14">
        <f>_xlfn.XLOOKUP(Table2[[#This Row],[LoanID]],Table1[G-L ID],Table1[ManagerCode],-99)</f>
        <v>119</v>
      </c>
      <c r="T2684"/>
    </row>
    <row r="2685" spans="1:20" x14ac:dyDescent="0.25">
      <c r="A2685">
        <v>20140531</v>
      </c>
      <c r="B2685">
        <v>2014</v>
      </c>
      <c r="C2685">
        <v>5</v>
      </c>
      <c r="D2685">
        <v>1</v>
      </c>
      <c r="E2685">
        <v>10690</v>
      </c>
      <c r="F2685">
        <v>97565.02</v>
      </c>
      <c r="G2685">
        <v>26053.4</v>
      </c>
      <c r="H2685">
        <v>0</v>
      </c>
      <c r="I2685">
        <v>0</v>
      </c>
      <c r="J2685">
        <v>-132123.76999999999</v>
      </c>
      <c r="K2685">
        <v>0</v>
      </c>
      <c r="L2685">
        <v>16439690.27</v>
      </c>
      <c r="M2685">
        <v>16597867.439999999</v>
      </c>
      <c r="N2685">
        <v>16439690.27</v>
      </c>
      <c r="O2685">
        <v>16597867.439999999</v>
      </c>
      <c r="P2685">
        <v>16439690.27</v>
      </c>
      <c r="Q2685">
        <v>16597867.439999999</v>
      </c>
      <c r="R2685" s="14">
        <f>_xlfn.XLOOKUP(Table2[[#This Row],[LoanID]],Table1[G-L ID],Table1[ManagerCode],-99)</f>
        <v>183</v>
      </c>
      <c r="T2685"/>
    </row>
    <row r="2686" spans="1:20" x14ac:dyDescent="0.25">
      <c r="A2686">
        <v>20140531</v>
      </c>
      <c r="B2686">
        <v>2014</v>
      </c>
      <c r="C2686">
        <v>5</v>
      </c>
      <c r="D2686">
        <v>1</v>
      </c>
      <c r="E2686">
        <v>10720</v>
      </c>
      <c r="F2686">
        <v>125000</v>
      </c>
      <c r="G2686">
        <v>94287.94</v>
      </c>
      <c r="H2686">
        <v>0</v>
      </c>
      <c r="I2686">
        <v>0</v>
      </c>
      <c r="J2686">
        <v>0</v>
      </c>
      <c r="K2686">
        <v>0</v>
      </c>
      <c r="L2686">
        <v>18722841.82</v>
      </c>
      <c r="M2686">
        <v>18826825.190000001</v>
      </c>
      <c r="N2686">
        <v>18722841.82</v>
      </c>
      <c r="O2686">
        <v>18826825.190000001</v>
      </c>
      <c r="P2686">
        <v>16977130.539999999</v>
      </c>
      <c r="Q2686">
        <v>17071418.48</v>
      </c>
      <c r="R2686" s="14">
        <f>_xlfn.XLOOKUP(Table2[[#This Row],[LoanID]],Table1[G-L ID],Table1[ManagerCode],-99)</f>
        <v>220</v>
      </c>
      <c r="T2686"/>
    </row>
    <row r="2687" spans="1:20" x14ac:dyDescent="0.25">
      <c r="A2687">
        <v>20140531</v>
      </c>
      <c r="B2687">
        <v>2014</v>
      </c>
      <c r="C2687">
        <v>5</v>
      </c>
      <c r="D2687">
        <v>1</v>
      </c>
      <c r="E2687">
        <v>10780</v>
      </c>
      <c r="F2687">
        <v>301107.5</v>
      </c>
      <c r="G2687">
        <v>0</v>
      </c>
      <c r="H2687">
        <v>0</v>
      </c>
      <c r="I2687">
        <v>0</v>
      </c>
      <c r="J2687">
        <v>0</v>
      </c>
      <c r="K2687">
        <v>0</v>
      </c>
      <c r="L2687">
        <v>43000000</v>
      </c>
      <c r="M2687">
        <v>43000000</v>
      </c>
      <c r="N2687">
        <v>43000000</v>
      </c>
      <c r="O2687">
        <v>43000000</v>
      </c>
      <c r="P2687">
        <v>43000000</v>
      </c>
      <c r="Q2687">
        <v>43000000</v>
      </c>
      <c r="R2687" s="14">
        <f>_xlfn.XLOOKUP(Table2[[#This Row],[LoanID]],Table1[G-L ID],Table1[ManagerCode],-99)</f>
        <v>220</v>
      </c>
      <c r="T2687"/>
    </row>
    <row r="2688" spans="1:20" x14ac:dyDescent="0.25">
      <c r="A2688">
        <v>20140531</v>
      </c>
      <c r="B2688">
        <v>2014</v>
      </c>
      <c r="C2688">
        <v>5</v>
      </c>
      <c r="D2688">
        <v>1</v>
      </c>
      <c r="E2688">
        <v>10820</v>
      </c>
      <c r="F2688">
        <v>169395.27</v>
      </c>
      <c r="G2688">
        <v>0</v>
      </c>
      <c r="H2688">
        <v>0</v>
      </c>
      <c r="I2688">
        <v>0</v>
      </c>
      <c r="J2688">
        <v>0</v>
      </c>
      <c r="K2688">
        <v>0</v>
      </c>
      <c r="L2688">
        <v>21397297</v>
      </c>
      <c r="M2688">
        <v>21397297</v>
      </c>
      <c r="N2688">
        <v>21397297</v>
      </c>
      <c r="O2688">
        <v>21397297</v>
      </c>
      <c r="P2688">
        <v>21397297</v>
      </c>
      <c r="Q2688">
        <v>21397297</v>
      </c>
      <c r="R2688" s="14">
        <f>_xlfn.XLOOKUP(Table2[[#This Row],[LoanID]],Table1[G-L ID],Table1[ManagerCode],-99)</f>
        <v>220</v>
      </c>
      <c r="T2688"/>
    </row>
    <row r="2689" spans="1:20" x14ac:dyDescent="0.25">
      <c r="A2689">
        <v>20140531</v>
      </c>
      <c r="B2689">
        <v>2014</v>
      </c>
      <c r="C2689">
        <v>5</v>
      </c>
      <c r="D2689">
        <v>1</v>
      </c>
      <c r="E2689">
        <v>10830</v>
      </c>
      <c r="F2689">
        <v>56370.84</v>
      </c>
      <c r="G2689">
        <v>0</v>
      </c>
      <c r="H2689">
        <v>0</v>
      </c>
      <c r="I2689">
        <v>0</v>
      </c>
      <c r="J2689">
        <v>0</v>
      </c>
      <c r="K2689">
        <v>0</v>
      </c>
      <c r="L2689">
        <v>7100684.3300000001</v>
      </c>
      <c r="M2689">
        <v>7100684.3300000001</v>
      </c>
      <c r="N2689">
        <v>7100684.3300000001</v>
      </c>
      <c r="O2689">
        <v>7100684.3300000001</v>
      </c>
      <c r="P2689">
        <v>7100684.3300000001</v>
      </c>
      <c r="Q2689">
        <v>7100684.3300000001</v>
      </c>
      <c r="R2689" s="14">
        <f>_xlfn.XLOOKUP(Table2[[#This Row],[LoanID]],Table1[G-L ID],Table1[ManagerCode],-99)</f>
        <v>220</v>
      </c>
      <c r="T2689"/>
    </row>
    <row r="2690" spans="1:20" x14ac:dyDescent="0.25">
      <c r="A2690">
        <v>20140531</v>
      </c>
      <c r="B2690">
        <v>2014</v>
      </c>
      <c r="C2690">
        <v>5</v>
      </c>
      <c r="D2690">
        <v>1</v>
      </c>
      <c r="E2690">
        <v>10840</v>
      </c>
      <c r="F2690">
        <v>100614.41</v>
      </c>
      <c r="G2690">
        <v>0</v>
      </c>
      <c r="H2690">
        <v>0</v>
      </c>
      <c r="I2690">
        <v>0</v>
      </c>
      <c r="J2690">
        <v>0</v>
      </c>
      <c r="K2690">
        <v>0</v>
      </c>
      <c r="L2690">
        <v>12709189</v>
      </c>
      <c r="M2690">
        <v>12709189</v>
      </c>
      <c r="N2690">
        <v>12709189</v>
      </c>
      <c r="O2690">
        <v>12709189</v>
      </c>
      <c r="P2690">
        <v>12709189</v>
      </c>
      <c r="Q2690">
        <v>12709189</v>
      </c>
      <c r="R2690" s="14">
        <f>_xlfn.XLOOKUP(Table2[[#This Row],[LoanID]],Table1[G-L ID],Table1[ManagerCode],-99)</f>
        <v>220</v>
      </c>
      <c r="T2690"/>
    </row>
    <row r="2691" spans="1:20" x14ac:dyDescent="0.25">
      <c r="A2691">
        <v>20140531</v>
      </c>
      <c r="B2691">
        <v>2014</v>
      </c>
      <c r="C2691">
        <v>5</v>
      </c>
      <c r="D2691">
        <v>1</v>
      </c>
      <c r="E2691">
        <v>10850</v>
      </c>
      <c r="F2691">
        <v>106969.15</v>
      </c>
      <c r="G2691">
        <v>0</v>
      </c>
      <c r="H2691">
        <v>0</v>
      </c>
      <c r="I2691">
        <v>0</v>
      </c>
      <c r="J2691">
        <v>0</v>
      </c>
      <c r="K2691">
        <v>0</v>
      </c>
      <c r="L2691">
        <v>13511892</v>
      </c>
      <c r="M2691">
        <v>13511892</v>
      </c>
      <c r="N2691">
        <v>13511892</v>
      </c>
      <c r="O2691">
        <v>13511892</v>
      </c>
      <c r="P2691">
        <v>13511892</v>
      </c>
      <c r="Q2691">
        <v>13511892</v>
      </c>
      <c r="R2691" s="14">
        <f>_xlfn.XLOOKUP(Table2[[#This Row],[LoanID]],Table1[G-L ID],Table1[ManagerCode],-99)</f>
        <v>220</v>
      </c>
      <c r="T2691"/>
    </row>
    <row r="2692" spans="1:20" x14ac:dyDescent="0.25">
      <c r="A2692">
        <v>20140531</v>
      </c>
      <c r="B2692">
        <v>2014</v>
      </c>
      <c r="C2692">
        <v>5</v>
      </c>
      <c r="D2692">
        <v>1</v>
      </c>
      <c r="E2692">
        <v>10900</v>
      </c>
      <c r="F2692">
        <v>78230.87</v>
      </c>
      <c r="G2692">
        <v>0</v>
      </c>
      <c r="H2692">
        <v>0</v>
      </c>
      <c r="I2692">
        <v>-0.01</v>
      </c>
      <c r="J2692">
        <v>0</v>
      </c>
      <c r="K2692">
        <v>5386.19</v>
      </c>
      <c r="L2692">
        <v>8107563.0899999999</v>
      </c>
      <c r="M2692">
        <v>8102446.2000000002</v>
      </c>
      <c r="N2692">
        <v>8107563.0899999999</v>
      </c>
      <c r="O2692">
        <v>8102446.2000000002</v>
      </c>
      <c r="P2692">
        <v>8534276.9499999993</v>
      </c>
      <c r="Q2692">
        <v>8528890.7599999998</v>
      </c>
      <c r="R2692" s="14">
        <f>_xlfn.XLOOKUP(Table2[[#This Row],[LoanID]],Table1[G-L ID],Table1[ManagerCode],-99)</f>
        <v>103</v>
      </c>
      <c r="T2692"/>
    </row>
    <row r="2693" spans="1:20" x14ac:dyDescent="0.25">
      <c r="A2693">
        <v>20140531</v>
      </c>
      <c r="B2693">
        <v>2014</v>
      </c>
      <c r="C2693">
        <v>5</v>
      </c>
      <c r="D2693">
        <v>1</v>
      </c>
      <c r="E2693">
        <v>10920</v>
      </c>
      <c r="F2693">
        <v>114583.33</v>
      </c>
      <c r="G2693">
        <v>0</v>
      </c>
      <c r="H2693">
        <v>0</v>
      </c>
      <c r="I2693">
        <v>0</v>
      </c>
      <c r="J2693">
        <v>0</v>
      </c>
      <c r="K2693">
        <v>0</v>
      </c>
      <c r="L2693">
        <v>11000000</v>
      </c>
      <c r="M2693">
        <v>11000000</v>
      </c>
      <c r="N2693">
        <v>11000000</v>
      </c>
      <c r="O2693">
        <v>11000000</v>
      </c>
      <c r="P2693">
        <v>11000000</v>
      </c>
      <c r="Q2693">
        <v>11000000</v>
      </c>
      <c r="R2693" s="14">
        <f>_xlfn.XLOOKUP(Table2[[#This Row],[LoanID]],Table1[G-L ID],Table1[ManagerCode],-99)</f>
        <v>183</v>
      </c>
      <c r="T2693"/>
    </row>
    <row r="2694" spans="1:20" x14ac:dyDescent="0.25">
      <c r="A2694">
        <v>20140531</v>
      </c>
      <c r="B2694">
        <v>2014</v>
      </c>
      <c r="C2694">
        <v>5</v>
      </c>
      <c r="D2694">
        <v>1</v>
      </c>
      <c r="E2694">
        <v>10940</v>
      </c>
      <c r="F2694">
        <v>33150.449999999997</v>
      </c>
      <c r="G2694">
        <v>54910.48</v>
      </c>
      <c r="H2694">
        <v>0</v>
      </c>
      <c r="I2694">
        <v>0</v>
      </c>
      <c r="J2694">
        <v>-1573262.17</v>
      </c>
      <c r="K2694">
        <v>0</v>
      </c>
      <c r="L2694">
        <v>7762016.04</v>
      </c>
      <c r="M2694">
        <v>9390188.6899999995</v>
      </c>
      <c r="N2694">
        <v>7762016.04</v>
      </c>
      <c r="O2694">
        <v>9390188.6899999995</v>
      </c>
      <c r="P2694">
        <v>7762016.04</v>
      </c>
      <c r="Q2694">
        <v>9390188.6899999995</v>
      </c>
      <c r="R2694" s="14">
        <f>_xlfn.XLOOKUP(Table2[[#This Row],[LoanID]],Table1[G-L ID],Table1[ManagerCode],-99)</f>
        <v>183</v>
      </c>
      <c r="T2694"/>
    </row>
    <row r="2695" spans="1:20" x14ac:dyDescent="0.25">
      <c r="A2695">
        <v>20140531</v>
      </c>
      <c r="B2695">
        <v>2014</v>
      </c>
      <c r="C2695">
        <v>5</v>
      </c>
      <c r="D2695">
        <v>1</v>
      </c>
      <c r="E2695">
        <v>11020</v>
      </c>
      <c r="F2695">
        <v>105000</v>
      </c>
      <c r="G2695">
        <v>0</v>
      </c>
      <c r="H2695">
        <v>0</v>
      </c>
      <c r="I2695">
        <v>0</v>
      </c>
      <c r="J2695">
        <v>0</v>
      </c>
      <c r="K2695">
        <v>0</v>
      </c>
      <c r="L2695">
        <v>12000000</v>
      </c>
      <c r="M2695">
        <v>12000000</v>
      </c>
      <c r="N2695">
        <v>12000000</v>
      </c>
      <c r="O2695">
        <v>12000000</v>
      </c>
      <c r="P2695">
        <v>12000000</v>
      </c>
      <c r="Q2695">
        <v>12000000</v>
      </c>
      <c r="R2695" s="14">
        <f>_xlfn.XLOOKUP(Table2[[#This Row],[LoanID]],Table1[G-L ID],Table1[ManagerCode],-99)</f>
        <v>119</v>
      </c>
      <c r="T2695"/>
    </row>
    <row r="2696" spans="1:20" x14ac:dyDescent="0.25">
      <c r="A2696">
        <v>20140531</v>
      </c>
      <c r="B2696">
        <v>2014</v>
      </c>
      <c r="C2696">
        <v>5</v>
      </c>
      <c r="D2696">
        <v>1</v>
      </c>
      <c r="E2696">
        <v>11030</v>
      </c>
      <c r="F2696">
        <v>63011.67</v>
      </c>
      <c r="G2696">
        <v>0</v>
      </c>
      <c r="H2696">
        <v>0</v>
      </c>
      <c r="I2696">
        <v>0</v>
      </c>
      <c r="J2696">
        <v>0</v>
      </c>
      <c r="K2696">
        <v>0</v>
      </c>
      <c r="L2696">
        <v>8000000</v>
      </c>
      <c r="M2696">
        <v>8000000</v>
      </c>
      <c r="N2696">
        <v>8000000</v>
      </c>
      <c r="O2696">
        <v>8000000</v>
      </c>
      <c r="P2696">
        <v>8000000</v>
      </c>
      <c r="Q2696">
        <v>8000000</v>
      </c>
      <c r="R2696" s="14">
        <f>_xlfn.XLOOKUP(Table2[[#This Row],[LoanID]],Table1[G-L ID],Table1[ManagerCode],-99)</f>
        <v>119</v>
      </c>
      <c r="T2696"/>
    </row>
    <row r="2697" spans="1:20" x14ac:dyDescent="0.25">
      <c r="A2697">
        <v>20140531</v>
      </c>
      <c r="B2697">
        <v>2014</v>
      </c>
      <c r="C2697">
        <v>5</v>
      </c>
      <c r="D2697">
        <v>1</v>
      </c>
      <c r="E2697">
        <v>11040</v>
      </c>
      <c r="F2697">
        <v>506375</v>
      </c>
      <c r="G2697">
        <v>0</v>
      </c>
      <c r="H2697">
        <v>0</v>
      </c>
      <c r="I2697">
        <v>0</v>
      </c>
      <c r="J2697">
        <v>0</v>
      </c>
      <c r="K2697">
        <v>0</v>
      </c>
      <c r="L2697">
        <v>50000000</v>
      </c>
      <c r="M2697">
        <v>50000000</v>
      </c>
      <c r="N2697">
        <v>50000000</v>
      </c>
      <c r="O2697">
        <v>50000000</v>
      </c>
      <c r="P2697">
        <v>50000000</v>
      </c>
      <c r="Q2697">
        <v>50000000</v>
      </c>
      <c r="R2697" s="14">
        <f>_xlfn.XLOOKUP(Table2[[#This Row],[LoanID]],Table1[G-L ID],Table1[ManagerCode],-99)</f>
        <v>220</v>
      </c>
      <c r="T2697"/>
    </row>
    <row r="2698" spans="1:20" x14ac:dyDescent="0.25">
      <c r="A2698">
        <v>20140531</v>
      </c>
      <c r="B2698">
        <v>2014</v>
      </c>
      <c r="C2698">
        <v>5</v>
      </c>
      <c r="D2698">
        <v>1</v>
      </c>
      <c r="E2698">
        <v>11050</v>
      </c>
      <c r="F2698">
        <v>591573</v>
      </c>
      <c r="G2698">
        <v>0</v>
      </c>
      <c r="H2698">
        <v>0</v>
      </c>
      <c r="I2698">
        <v>0</v>
      </c>
      <c r="J2698">
        <v>0</v>
      </c>
      <c r="K2698">
        <v>0</v>
      </c>
      <c r="L2698">
        <v>29200000</v>
      </c>
      <c r="M2698">
        <v>29200000</v>
      </c>
      <c r="N2698">
        <v>29200000</v>
      </c>
      <c r="O2698">
        <v>29200000</v>
      </c>
      <c r="P2698">
        <v>28500000</v>
      </c>
      <c r="Q2698">
        <v>28500000</v>
      </c>
      <c r="R2698" s="14">
        <f>_xlfn.XLOOKUP(Table2[[#This Row],[LoanID]],Table1[G-L ID],Table1[ManagerCode],-99)</f>
        <v>220</v>
      </c>
      <c r="T2698"/>
    </row>
    <row r="2699" spans="1:20" x14ac:dyDescent="0.25">
      <c r="A2699">
        <v>20140531</v>
      </c>
      <c r="B2699">
        <v>2014</v>
      </c>
      <c r="C2699">
        <v>5</v>
      </c>
      <c r="D2699">
        <v>1</v>
      </c>
      <c r="E2699">
        <v>11070</v>
      </c>
      <c r="F2699">
        <v>144154.47</v>
      </c>
      <c r="G2699">
        <v>0</v>
      </c>
      <c r="H2699">
        <v>0</v>
      </c>
      <c r="I2699">
        <v>0</v>
      </c>
      <c r="J2699">
        <v>0</v>
      </c>
      <c r="K2699">
        <v>0</v>
      </c>
      <c r="L2699">
        <v>13840882.029999999</v>
      </c>
      <c r="M2699">
        <v>13840882.029999999</v>
      </c>
      <c r="N2699">
        <v>13840882.029999999</v>
      </c>
      <c r="O2699">
        <v>13840882.029999999</v>
      </c>
      <c r="P2699">
        <v>17301102.539999999</v>
      </c>
      <c r="Q2699">
        <v>17301102.539999999</v>
      </c>
      <c r="R2699" s="14">
        <f>_xlfn.XLOOKUP(Table2[[#This Row],[LoanID]],Table1[G-L ID],Table1[ManagerCode],-99)</f>
        <v>103</v>
      </c>
      <c r="T2699"/>
    </row>
    <row r="2700" spans="1:20" x14ac:dyDescent="0.25">
      <c r="A2700">
        <v>20140531</v>
      </c>
      <c r="B2700">
        <v>2014</v>
      </c>
      <c r="C2700">
        <v>5</v>
      </c>
      <c r="D2700">
        <v>1</v>
      </c>
      <c r="E2700">
        <v>11100</v>
      </c>
      <c r="F2700">
        <v>69062.52</v>
      </c>
      <c r="G2700">
        <v>0</v>
      </c>
      <c r="H2700">
        <v>0</v>
      </c>
      <c r="I2700">
        <v>0</v>
      </c>
      <c r="J2700">
        <v>-2219407.6800000002</v>
      </c>
      <c r="K2700">
        <v>0</v>
      </c>
      <c r="L2700">
        <v>8184846.6399999997</v>
      </c>
      <c r="M2700">
        <v>10414719.470000001</v>
      </c>
      <c r="N2700">
        <v>8184846.6399999997</v>
      </c>
      <c r="O2700">
        <v>10414719.470000001</v>
      </c>
      <c r="P2700">
        <v>8685543.0500000007</v>
      </c>
      <c r="Q2700">
        <v>10904950.73</v>
      </c>
      <c r="R2700" s="14">
        <f>_xlfn.XLOOKUP(Table2[[#This Row],[LoanID]],Table1[G-L ID],Table1[ManagerCode],-99)</f>
        <v>103</v>
      </c>
      <c r="T2700"/>
    </row>
    <row r="2701" spans="1:20" x14ac:dyDescent="0.25">
      <c r="A2701">
        <v>20140531</v>
      </c>
      <c r="B2701">
        <v>2014</v>
      </c>
      <c r="C2701">
        <v>5</v>
      </c>
      <c r="D2701">
        <v>1</v>
      </c>
      <c r="E2701">
        <v>11130</v>
      </c>
      <c r="F2701">
        <v>0</v>
      </c>
      <c r="G2701">
        <v>0</v>
      </c>
      <c r="H2701">
        <v>0</v>
      </c>
      <c r="I2701">
        <v>0</v>
      </c>
      <c r="J2701">
        <v>-177000000</v>
      </c>
      <c r="K2701">
        <v>0</v>
      </c>
      <c r="L2701">
        <v>0</v>
      </c>
      <c r="M2701">
        <v>168150000</v>
      </c>
      <c r="N2701">
        <v>0</v>
      </c>
      <c r="O2701">
        <v>168150000</v>
      </c>
      <c r="P2701">
        <v>0</v>
      </c>
      <c r="Q2701">
        <v>177000000</v>
      </c>
      <c r="R2701" s="14">
        <f>_xlfn.XLOOKUP(Table2[[#This Row],[LoanID]],Table1[G-L ID],Table1[ManagerCode],-99)</f>
        <v>103</v>
      </c>
      <c r="T2701"/>
    </row>
    <row r="2702" spans="1:20" x14ac:dyDescent="0.25">
      <c r="A2702">
        <v>20140531</v>
      </c>
      <c r="B2702">
        <v>2014</v>
      </c>
      <c r="C2702">
        <v>5</v>
      </c>
      <c r="D2702">
        <v>1</v>
      </c>
      <c r="E2702">
        <v>11140</v>
      </c>
      <c r="F2702">
        <v>204733.1</v>
      </c>
      <c r="G2702">
        <v>0</v>
      </c>
      <c r="H2702">
        <v>181090.71</v>
      </c>
      <c r="I2702">
        <v>0</v>
      </c>
      <c r="J2702">
        <v>0</v>
      </c>
      <c r="K2702">
        <v>72436285</v>
      </c>
      <c r="L2702">
        <v>71711922.150000006</v>
      </c>
      <c r="M2702">
        <v>0</v>
      </c>
      <c r="N2702">
        <v>71711922.150000006</v>
      </c>
      <c r="O2702">
        <v>0</v>
      </c>
      <c r="P2702">
        <v>72436285</v>
      </c>
      <c r="Q2702">
        <v>0</v>
      </c>
      <c r="R2702" s="14">
        <f>_xlfn.XLOOKUP(Table2[[#This Row],[LoanID]],Table1[G-L ID],Table1[ManagerCode],-99)</f>
        <v>103</v>
      </c>
      <c r="T2702"/>
    </row>
    <row r="2703" spans="1:20" x14ac:dyDescent="0.25">
      <c r="A2703">
        <v>20140531</v>
      </c>
      <c r="B2703">
        <v>2014</v>
      </c>
      <c r="C2703">
        <v>5</v>
      </c>
      <c r="D2703">
        <v>1</v>
      </c>
      <c r="E2703">
        <v>11190</v>
      </c>
      <c r="F2703">
        <v>1300310.33</v>
      </c>
      <c r="G2703">
        <v>0</v>
      </c>
      <c r="H2703">
        <v>0</v>
      </c>
      <c r="I2703">
        <v>-277.74</v>
      </c>
      <c r="J2703">
        <v>0</v>
      </c>
      <c r="K2703">
        <v>199970831.5</v>
      </c>
      <c r="L2703">
        <v>197971123.09999999</v>
      </c>
      <c r="M2703">
        <v>0</v>
      </c>
      <c r="N2703">
        <v>197971123.09999999</v>
      </c>
      <c r="O2703">
        <v>0</v>
      </c>
      <c r="P2703">
        <v>199970831.5</v>
      </c>
      <c r="Q2703">
        <v>0</v>
      </c>
      <c r="R2703" s="14">
        <f>_xlfn.XLOOKUP(Table2[[#This Row],[LoanID]],Table1[G-L ID],Table1[ManagerCode],-99)</f>
        <v>103</v>
      </c>
      <c r="T2703"/>
    </row>
    <row r="2704" spans="1:20" x14ac:dyDescent="0.25">
      <c r="A2704">
        <v>20140531</v>
      </c>
      <c r="B2704">
        <v>2014</v>
      </c>
      <c r="C2704">
        <v>5</v>
      </c>
      <c r="D2704">
        <v>1</v>
      </c>
      <c r="E2704">
        <v>11220</v>
      </c>
      <c r="F2704">
        <v>301875</v>
      </c>
      <c r="G2704">
        <v>0</v>
      </c>
      <c r="H2704">
        <v>0</v>
      </c>
      <c r="I2704">
        <v>0</v>
      </c>
      <c r="J2704">
        <v>0</v>
      </c>
      <c r="K2704">
        <v>0</v>
      </c>
      <c r="L2704">
        <v>34500000</v>
      </c>
      <c r="M2704">
        <v>34500000</v>
      </c>
      <c r="N2704">
        <v>34500000</v>
      </c>
      <c r="O2704">
        <v>34500000</v>
      </c>
      <c r="P2704">
        <v>34500000</v>
      </c>
      <c r="Q2704">
        <v>34500000</v>
      </c>
      <c r="R2704" s="14">
        <f>_xlfn.XLOOKUP(Table2[[#This Row],[LoanID]],Table1[G-L ID],Table1[ManagerCode],-99)</f>
        <v>220</v>
      </c>
      <c r="T2704"/>
    </row>
    <row r="2705" spans="1:20" x14ac:dyDescent="0.25">
      <c r="A2705">
        <v>20140531</v>
      </c>
      <c r="B2705">
        <v>2014</v>
      </c>
      <c r="C2705">
        <v>5</v>
      </c>
      <c r="D2705">
        <v>1</v>
      </c>
      <c r="E2705">
        <v>11230</v>
      </c>
      <c r="F2705">
        <v>231154.05</v>
      </c>
      <c r="G2705">
        <v>0</v>
      </c>
      <c r="H2705">
        <v>0</v>
      </c>
      <c r="I2705">
        <v>0</v>
      </c>
      <c r="J2705">
        <v>0</v>
      </c>
      <c r="K2705">
        <v>0</v>
      </c>
      <c r="L2705">
        <v>185182960.09999999</v>
      </c>
      <c r="M2705">
        <v>185182960.09999999</v>
      </c>
      <c r="N2705">
        <v>185182960.09999999</v>
      </c>
      <c r="O2705">
        <v>185182960.09999999</v>
      </c>
      <c r="P2705">
        <v>194929626.59999999</v>
      </c>
      <c r="Q2705">
        <v>194929626.59999999</v>
      </c>
      <c r="R2705" s="14">
        <f>_xlfn.XLOOKUP(Table2[[#This Row],[LoanID]],Table1[G-L ID],Table1[ManagerCode],-99)</f>
        <v>103</v>
      </c>
      <c r="T2705"/>
    </row>
    <row r="2706" spans="1:20" x14ac:dyDescent="0.25">
      <c r="A2706">
        <v>20140531</v>
      </c>
      <c r="B2706">
        <v>2014</v>
      </c>
      <c r="C2706">
        <v>5</v>
      </c>
      <c r="D2706">
        <v>1</v>
      </c>
      <c r="E2706">
        <v>11320</v>
      </c>
      <c r="F2706">
        <v>94508</v>
      </c>
      <c r="G2706">
        <v>0</v>
      </c>
      <c r="H2706">
        <v>0</v>
      </c>
      <c r="I2706">
        <v>0</v>
      </c>
      <c r="J2706">
        <v>0</v>
      </c>
      <c r="K2706">
        <v>0</v>
      </c>
      <c r="L2706">
        <v>12000000</v>
      </c>
      <c r="M2706">
        <v>12000000</v>
      </c>
      <c r="N2706">
        <v>12000000</v>
      </c>
      <c r="O2706">
        <v>12000000</v>
      </c>
      <c r="P2706">
        <v>12000000</v>
      </c>
      <c r="Q2706">
        <v>12000000</v>
      </c>
      <c r="R2706" s="14">
        <f>_xlfn.XLOOKUP(Table2[[#This Row],[LoanID]],Table1[G-L ID],Table1[ManagerCode],-99)</f>
        <v>119</v>
      </c>
      <c r="T2706"/>
    </row>
    <row r="2707" spans="1:20" x14ac:dyDescent="0.25">
      <c r="A2707">
        <v>20140531</v>
      </c>
      <c r="B2707">
        <v>2014</v>
      </c>
      <c r="C2707">
        <v>5</v>
      </c>
      <c r="D2707">
        <v>1</v>
      </c>
      <c r="E2707">
        <v>11340</v>
      </c>
      <c r="F2707">
        <v>291666.67</v>
      </c>
      <c r="G2707">
        <v>0</v>
      </c>
      <c r="H2707">
        <v>0</v>
      </c>
      <c r="I2707">
        <v>0</v>
      </c>
      <c r="J2707">
        <v>0</v>
      </c>
      <c r="K2707">
        <v>0</v>
      </c>
      <c r="L2707">
        <v>49500000</v>
      </c>
      <c r="M2707">
        <v>49500000</v>
      </c>
      <c r="N2707">
        <v>49500000</v>
      </c>
      <c r="O2707">
        <v>49500000</v>
      </c>
      <c r="P2707">
        <v>50000000</v>
      </c>
      <c r="Q2707">
        <v>50000000</v>
      </c>
      <c r="R2707" s="14">
        <f>_xlfn.XLOOKUP(Table2[[#This Row],[LoanID]],Table1[G-L ID],Table1[ManagerCode],-99)</f>
        <v>103</v>
      </c>
      <c r="T2707"/>
    </row>
    <row r="2708" spans="1:20" x14ac:dyDescent="0.25">
      <c r="A2708">
        <v>20140531</v>
      </c>
      <c r="B2708">
        <v>2014</v>
      </c>
      <c r="C2708">
        <v>5</v>
      </c>
      <c r="D2708">
        <v>1</v>
      </c>
      <c r="E2708">
        <v>11350</v>
      </c>
      <c r="F2708">
        <v>320833.33</v>
      </c>
      <c r="G2708">
        <v>0</v>
      </c>
      <c r="H2708">
        <v>0</v>
      </c>
      <c r="I2708">
        <v>0</v>
      </c>
      <c r="J2708">
        <v>0</v>
      </c>
      <c r="K2708">
        <v>0</v>
      </c>
      <c r="L2708">
        <v>54449945.549999997</v>
      </c>
      <c r="M2708">
        <v>54449945.549999997</v>
      </c>
      <c r="N2708">
        <v>54449945.549999997</v>
      </c>
      <c r="O2708">
        <v>54449945.549999997</v>
      </c>
      <c r="P2708">
        <v>55000000</v>
      </c>
      <c r="Q2708">
        <v>55000000</v>
      </c>
      <c r="R2708" s="14">
        <f>_xlfn.XLOOKUP(Table2[[#This Row],[LoanID]],Table1[G-L ID],Table1[ManagerCode],-99)</f>
        <v>103</v>
      </c>
      <c r="T2708"/>
    </row>
    <row r="2709" spans="1:20" x14ac:dyDescent="0.25">
      <c r="A2709">
        <v>20140531</v>
      </c>
      <c r="B2709">
        <v>2014</v>
      </c>
      <c r="C2709">
        <v>5</v>
      </c>
      <c r="D2709">
        <v>1</v>
      </c>
      <c r="E2709">
        <v>11370</v>
      </c>
      <c r="F2709">
        <v>50093.33</v>
      </c>
      <c r="G2709">
        <v>0</v>
      </c>
      <c r="H2709">
        <v>0</v>
      </c>
      <c r="I2709">
        <v>0</v>
      </c>
      <c r="J2709">
        <v>0</v>
      </c>
      <c r="K2709">
        <v>0</v>
      </c>
      <c r="L2709">
        <v>5525000</v>
      </c>
      <c r="M2709">
        <v>5525000</v>
      </c>
      <c r="N2709">
        <v>5525000</v>
      </c>
      <c r="O2709">
        <v>5525000</v>
      </c>
      <c r="P2709">
        <v>5525000</v>
      </c>
      <c r="Q2709">
        <v>5525000</v>
      </c>
      <c r="R2709" s="14">
        <f>_xlfn.XLOOKUP(Table2[[#This Row],[LoanID]],Table1[G-L ID],Table1[ManagerCode],-99)</f>
        <v>119</v>
      </c>
      <c r="T2709"/>
    </row>
    <row r="2710" spans="1:20" x14ac:dyDescent="0.25">
      <c r="A2710">
        <v>20140531</v>
      </c>
      <c r="B2710">
        <v>2014</v>
      </c>
      <c r="C2710">
        <v>5</v>
      </c>
      <c r="D2710">
        <v>1</v>
      </c>
      <c r="E2710">
        <v>11390</v>
      </c>
      <c r="F2710">
        <v>201041.67</v>
      </c>
      <c r="G2710">
        <v>0</v>
      </c>
      <c r="H2710">
        <v>0</v>
      </c>
      <c r="I2710">
        <v>0</v>
      </c>
      <c r="J2710">
        <v>0</v>
      </c>
      <c r="K2710">
        <v>0</v>
      </c>
      <c r="L2710">
        <v>25000000</v>
      </c>
      <c r="M2710">
        <v>25000000</v>
      </c>
      <c r="N2710">
        <v>25000000</v>
      </c>
      <c r="O2710">
        <v>25000000</v>
      </c>
      <c r="P2710">
        <v>25000000</v>
      </c>
      <c r="Q2710">
        <v>25000000</v>
      </c>
      <c r="R2710" s="14">
        <f>_xlfn.XLOOKUP(Table2[[#This Row],[LoanID]],Table1[G-L ID],Table1[ManagerCode],-99)</f>
        <v>220</v>
      </c>
      <c r="T2710"/>
    </row>
    <row r="2711" spans="1:20" x14ac:dyDescent="0.25">
      <c r="A2711">
        <v>20140531</v>
      </c>
      <c r="B2711">
        <v>2014</v>
      </c>
      <c r="C2711">
        <v>5</v>
      </c>
      <c r="D2711">
        <v>1</v>
      </c>
      <c r="E2711">
        <v>11540</v>
      </c>
      <c r="F2711">
        <v>76275</v>
      </c>
      <c r="G2711">
        <v>0</v>
      </c>
      <c r="H2711">
        <v>0</v>
      </c>
      <c r="I2711">
        <v>0</v>
      </c>
      <c r="J2711">
        <v>0</v>
      </c>
      <c r="K2711">
        <v>0</v>
      </c>
      <c r="L2711">
        <v>10000000</v>
      </c>
      <c r="M2711">
        <v>10000000</v>
      </c>
      <c r="N2711">
        <v>10000000</v>
      </c>
      <c r="O2711">
        <v>10000000</v>
      </c>
      <c r="P2711">
        <v>10000000</v>
      </c>
      <c r="Q2711">
        <v>10000000</v>
      </c>
      <c r="R2711" s="14">
        <f>_xlfn.XLOOKUP(Table2[[#This Row],[LoanID]],Table1[G-L ID],Table1[ManagerCode],-99)</f>
        <v>220</v>
      </c>
      <c r="T2711"/>
    </row>
    <row r="2712" spans="1:20" x14ac:dyDescent="0.25">
      <c r="A2712">
        <v>20140531</v>
      </c>
      <c r="B2712">
        <v>2014</v>
      </c>
      <c r="C2712">
        <v>5</v>
      </c>
      <c r="D2712">
        <v>1</v>
      </c>
      <c r="E2712">
        <v>11550</v>
      </c>
      <c r="F2712">
        <v>122705</v>
      </c>
      <c r="G2712">
        <v>0</v>
      </c>
      <c r="H2712">
        <v>0</v>
      </c>
      <c r="I2712">
        <v>0</v>
      </c>
      <c r="J2712">
        <v>0</v>
      </c>
      <c r="K2712">
        <v>0</v>
      </c>
      <c r="L2712">
        <v>21850043.699999999</v>
      </c>
      <c r="M2712">
        <v>21850043.699999999</v>
      </c>
      <c r="N2712">
        <v>21850043.699999999</v>
      </c>
      <c r="O2712">
        <v>21850043.699999999</v>
      </c>
      <c r="P2712">
        <v>23000000</v>
      </c>
      <c r="Q2712">
        <v>23000000</v>
      </c>
      <c r="R2712" s="14">
        <f>_xlfn.XLOOKUP(Table2[[#This Row],[LoanID]],Table1[G-L ID],Table1[ManagerCode],-99)</f>
        <v>103</v>
      </c>
      <c r="T2712"/>
    </row>
    <row r="2713" spans="1:20" x14ac:dyDescent="0.25">
      <c r="A2713">
        <v>20140531</v>
      </c>
      <c r="B2713">
        <v>2014</v>
      </c>
      <c r="C2713">
        <v>5</v>
      </c>
      <c r="D2713">
        <v>1</v>
      </c>
      <c r="E2713">
        <v>11560</v>
      </c>
      <c r="F2713">
        <v>0</v>
      </c>
      <c r="G2713">
        <v>-128523.94</v>
      </c>
      <c r="H2713">
        <v>0</v>
      </c>
      <c r="I2713">
        <v>0</v>
      </c>
      <c r="J2713">
        <v>0</v>
      </c>
      <c r="K2713">
        <v>0</v>
      </c>
      <c r="L2713">
        <v>14261054.529999999</v>
      </c>
      <c r="M2713">
        <v>14132530.59</v>
      </c>
      <c r="N2713">
        <v>14261054.529999999</v>
      </c>
      <c r="O2713">
        <v>14132530.59</v>
      </c>
      <c r="P2713">
        <v>14261054.529999999</v>
      </c>
      <c r="Q2713">
        <v>14132530.59</v>
      </c>
      <c r="R2713" s="14">
        <f>_xlfn.XLOOKUP(Table2[[#This Row],[LoanID]],Table1[G-L ID],Table1[ManagerCode],-99)</f>
        <v>183</v>
      </c>
      <c r="T2713"/>
    </row>
    <row r="2714" spans="1:20" x14ac:dyDescent="0.25">
      <c r="A2714">
        <v>20140531</v>
      </c>
      <c r="B2714">
        <v>2014</v>
      </c>
      <c r="C2714">
        <v>5</v>
      </c>
      <c r="D2714">
        <v>1</v>
      </c>
      <c r="E2714">
        <v>11580</v>
      </c>
      <c r="F2714">
        <v>111396.88</v>
      </c>
      <c r="G2714">
        <v>0</v>
      </c>
      <c r="H2714">
        <v>0</v>
      </c>
      <c r="I2714">
        <v>0</v>
      </c>
      <c r="J2714">
        <v>0</v>
      </c>
      <c r="K2714">
        <v>0</v>
      </c>
      <c r="L2714">
        <v>15000000</v>
      </c>
      <c r="M2714">
        <v>15000000</v>
      </c>
      <c r="N2714">
        <v>15000000</v>
      </c>
      <c r="O2714">
        <v>15000000</v>
      </c>
      <c r="P2714">
        <v>15000000</v>
      </c>
      <c r="Q2714">
        <v>15000000</v>
      </c>
      <c r="R2714" s="14">
        <f>_xlfn.XLOOKUP(Table2[[#This Row],[LoanID]],Table1[G-L ID],Table1[ManagerCode],-99)</f>
        <v>119</v>
      </c>
      <c r="T2714"/>
    </row>
    <row r="2715" spans="1:20" x14ac:dyDescent="0.25">
      <c r="A2715">
        <v>20140531</v>
      </c>
      <c r="B2715">
        <v>2014</v>
      </c>
      <c r="C2715">
        <v>5</v>
      </c>
      <c r="D2715">
        <v>1</v>
      </c>
      <c r="E2715">
        <v>11620</v>
      </c>
      <c r="F2715">
        <v>80692.73</v>
      </c>
      <c r="G2715">
        <v>37563.07</v>
      </c>
      <c r="H2715">
        <v>0</v>
      </c>
      <c r="I2715">
        <v>0</v>
      </c>
      <c r="J2715">
        <v>0</v>
      </c>
      <c r="K2715">
        <v>0</v>
      </c>
      <c r="L2715">
        <v>10183213.16</v>
      </c>
      <c r="M2715">
        <v>10220776.23</v>
      </c>
      <c r="N2715">
        <v>10183213.16</v>
      </c>
      <c r="O2715">
        <v>10220776.23</v>
      </c>
      <c r="P2715">
        <v>10183213.16</v>
      </c>
      <c r="Q2715">
        <v>10220776.23</v>
      </c>
      <c r="R2715" s="14">
        <f>_xlfn.XLOOKUP(Table2[[#This Row],[LoanID]],Table1[G-L ID],Table1[ManagerCode],-99)</f>
        <v>183</v>
      </c>
      <c r="T2715"/>
    </row>
    <row r="2716" spans="1:20" x14ac:dyDescent="0.25">
      <c r="A2716">
        <v>20140531</v>
      </c>
      <c r="B2716">
        <v>2014</v>
      </c>
      <c r="C2716">
        <v>5</v>
      </c>
      <c r="D2716">
        <v>1</v>
      </c>
      <c r="E2716">
        <v>11650</v>
      </c>
      <c r="F2716">
        <v>75000</v>
      </c>
      <c r="G2716">
        <v>0</v>
      </c>
      <c r="H2716">
        <v>0</v>
      </c>
      <c r="I2716">
        <v>0</v>
      </c>
      <c r="J2716">
        <v>0</v>
      </c>
      <c r="K2716">
        <v>0</v>
      </c>
      <c r="L2716">
        <v>9600000</v>
      </c>
      <c r="M2716">
        <v>9600000</v>
      </c>
      <c r="N2716">
        <v>9600000</v>
      </c>
      <c r="O2716">
        <v>9600000</v>
      </c>
      <c r="P2716">
        <v>12000000</v>
      </c>
      <c r="Q2716">
        <v>12000000</v>
      </c>
      <c r="R2716" s="14">
        <f>_xlfn.XLOOKUP(Table2[[#This Row],[LoanID]],Table1[G-L ID],Table1[ManagerCode],-99)</f>
        <v>103</v>
      </c>
      <c r="T2716"/>
    </row>
    <row r="2717" spans="1:20" x14ac:dyDescent="0.25">
      <c r="A2717">
        <v>20140531</v>
      </c>
      <c r="B2717">
        <v>2014</v>
      </c>
      <c r="C2717">
        <v>5</v>
      </c>
      <c r="D2717">
        <v>1</v>
      </c>
      <c r="E2717">
        <v>11680</v>
      </c>
      <c r="F2717">
        <v>57126.559999999998</v>
      </c>
      <c r="G2717">
        <v>0</v>
      </c>
      <c r="H2717">
        <v>0</v>
      </c>
      <c r="I2717">
        <v>0</v>
      </c>
      <c r="J2717">
        <v>0</v>
      </c>
      <c r="K2717">
        <v>0</v>
      </c>
      <c r="L2717">
        <v>6600000</v>
      </c>
      <c r="M2717">
        <v>6600000</v>
      </c>
      <c r="N2717">
        <v>6600000</v>
      </c>
      <c r="O2717">
        <v>6600000</v>
      </c>
      <c r="P2717">
        <v>6600000</v>
      </c>
      <c r="Q2717">
        <v>6600000</v>
      </c>
      <c r="R2717" s="14">
        <f>_xlfn.XLOOKUP(Table2[[#This Row],[LoanID]],Table1[G-L ID],Table1[ManagerCode],-99)</f>
        <v>183</v>
      </c>
      <c r="T2717"/>
    </row>
    <row r="2718" spans="1:20" x14ac:dyDescent="0.25">
      <c r="A2718">
        <v>20140531</v>
      </c>
      <c r="B2718">
        <v>2014</v>
      </c>
      <c r="C2718">
        <v>5</v>
      </c>
      <c r="D2718">
        <v>1</v>
      </c>
      <c r="E2718">
        <v>11710</v>
      </c>
      <c r="F2718">
        <v>96517.5</v>
      </c>
      <c r="G2718">
        <v>0</v>
      </c>
      <c r="H2718">
        <v>0</v>
      </c>
      <c r="I2718">
        <v>0</v>
      </c>
      <c r="J2718">
        <v>0</v>
      </c>
      <c r="K2718">
        <v>0</v>
      </c>
      <c r="L2718">
        <v>12000000</v>
      </c>
      <c r="M2718">
        <v>12000000</v>
      </c>
      <c r="N2718">
        <v>12000000</v>
      </c>
      <c r="O2718">
        <v>12000000</v>
      </c>
      <c r="P2718">
        <v>12000000</v>
      </c>
      <c r="Q2718">
        <v>12000000</v>
      </c>
      <c r="R2718" s="14">
        <f>_xlfn.XLOOKUP(Table2[[#This Row],[LoanID]],Table1[G-L ID],Table1[ManagerCode],-99)</f>
        <v>119</v>
      </c>
      <c r="T2718"/>
    </row>
    <row r="2719" spans="1:20" x14ac:dyDescent="0.25">
      <c r="A2719">
        <v>20140531</v>
      </c>
      <c r="B2719">
        <v>2014</v>
      </c>
      <c r="C2719">
        <v>5</v>
      </c>
      <c r="D2719">
        <v>1</v>
      </c>
      <c r="E2719">
        <v>11740</v>
      </c>
      <c r="F2719">
        <v>183138</v>
      </c>
      <c r="G2719">
        <v>0</v>
      </c>
      <c r="H2719">
        <v>0</v>
      </c>
      <c r="I2719">
        <v>0</v>
      </c>
      <c r="J2719">
        <v>0</v>
      </c>
      <c r="K2719">
        <v>0</v>
      </c>
      <c r="L2719">
        <v>19110000</v>
      </c>
      <c r="M2719">
        <v>19110000</v>
      </c>
      <c r="N2719">
        <v>19110000</v>
      </c>
      <c r="O2719">
        <v>19110000</v>
      </c>
      <c r="P2719">
        <v>19110000</v>
      </c>
      <c r="Q2719">
        <v>19110000</v>
      </c>
      <c r="R2719" s="14">
        <f>_xlfn.XLOOKUP(Table2[[#This Row],[LoanID]],Table1[G-L ID],Table1[ManagerCode],-99)</f>
        <v>183</v>
      </c>
      <c r="T2719"/>
    </row>
    <row r="2720" spans="1:20" x14ac:dyDescent="0.25">
      <c r="A2720">
        <v>20140531</v>
      </c>
      <c r="B2720">
        <v>2014</v>
      </c>
      <c r="C2720">
        <v>5</v>
      </c>
      <c r="D2720">
        <v>1</v>
      </c>
      <c r="E2720">
        <v>11770</v>
      </c>
      <c r="F2720">
        <v>79461.850000000006</v>
      </c>
      <c r="G2720">
        <v>0</v>
      </c>
      <c r="H2720">
        <v>0</v>
      </c>
      <c r="I2720">
        <v>0</v>
      </c>
      <c r="J2720">
        <v>0</v>
      </c>
      <c r="K2720">
        <v>0</v>
      </c>
      <c r="L2720">
        <v>25065072.48</v>
      </c>
      <c r="M2720">
        <v>25065072.48</v>
      </c>
      <c r="N2720">
        <v>25065072.48</v>
      </c>
      <c r="O2720">
        <v>25065072.48</v>
      </c>
      <c r="P2720">
        <v>25065072.48</v>
      </c>
      <c r="Q2720">
        <v>25065072.48</v>
      </c>
      <c r="R2720" s="14">
        <f>_xlfn.XLOOKUP(Table2[[#This Row],[LoanID]],Table1[G-L ID],Table1[ManagerCode],-99)</f>
        <v>119</v>
      </c>
      <c r="T2720"/>
    </row>
    <row r="2721" spans="1:20" x14ac:dyDescent="0.25">
      <c r="A2721">
        <v>20140531</v>
      </c>
      <c r="B2721">
        <v>2014</v>
      </c>
      <c r="C2721">
        <v>5</v>
      </c>
      <c r="D2721">
        <v>1</v>
      </c>
      <c r="E2721">
        <v>11780</v>
      </c>
      <c r="F2721">
        <v>126803.12</v>
      </c>
      <c r="G2721">
        <v>0</v>
      </c>
      <c r="H2721">
        <v>0</v>
      </c>
      <c r="I2721">
        <v>0</v>
      </c>
      <c r="J2721">
        <v>0</v>
      </c>
      <c r="K2721">
        <v>44578029.200000003</v>
      </c>
      <c r="L2721">
        <v>43278336</v>
      </c>
      <c r="M2721">
        <v>0</v>
      </c>
      <c r="N2721">
        <v>43278336</v>
      </c>
      <c r="O2721">
        <v>0</v>
      </c>
      <c r="P2721">
        <v>64786446.619999997</v>
      </c>
      <c r="Q2721">
        <v>0</v>
      </c>
      <c r="R2721" s="14">
        <f>_xlfn.XLOOKUP(Table2[[#This Row],[LoanID]],Table1[G-L ID],Table1[ManagerCode],-99)</f>
        <v>103</v>
      </c>
      <c r="T2721"/>
    </row>
    <row r="2722" spans="1:20" x14ac:dyDescent="0.25">
      <c r="A2722">
        <v>20140531</v>
      </c>
      <c r="B2722">
        <v>2014</v>
      </c>
      <c r="C2722">
        <v>5</v>
      </c>
      <c r="D2722">
        <v>1</v>
      </c>
      <c r="E2722">
        <v>11810</v>
      </c>
      <c r="F2722">
        <v>49959.6</v>
      </c>
      <c r="G2722">
        <v>0</v>
      </c>
      <c r="H2722">
        <v>0</v>
      </c>
      <c r="I2722">
        <v>0</v>
      </c>
      <c r="J2722">
        <v>0</v>
      </c>
      <c r="K2722">
        <v>10898.49</v>
      </c>
      <c r="L2722">
        <v>9666449.5999999996</v>
      </c>
      <c r="M2722">
        <v>9655660.0999999996</v>
      </c>
      <c r="N2722">
        <v>9666449.5999999996</v>
      </c>
      <c r="O2722">
        <v>9655660.0999999996</v>
      </c>
      <c r="P2722">
        <v>9764090.5099999998</v>
      </c>
      <c r="Q2722">
        <v>9753192.0199999996</v>
      </c>
      <c r="R2722" s="14">
        <f>_xlfn.XLOOKUP(Table2[[#This Row],[LoanID]],Table1[G-L ID],Table1[ManagerCode],-99)</f>
        <v>103</v>
      </c>
      <c r="T2722"/>
    </row>
    <row r="2723" spans="1:20" x14ac:dyDescent="0.25">
      <c r="A2723">
        <v>20140531</v>
      </c>
      <c r="B2723">
        <v>2014</v>
      </c>
      <c r="C2723">
        <v>5</v>
      </c>
      <c r="D2723">
        <v>1</v>
      </c>
      <c r="E2723">
        <v>11840</v>
      </c>
      <c r="F2723">
        <v>52501.8</v>
      </c>
      <c r="G2723">
        <v>91546.11</v>
      </c>
      <c r="H2723">
        <v>0</v>
      </c>
      <c r="I2723">
        <v>0</v>
      </c>
      <c r="J2723">
        <v>0</v>
      </c>
      <c r="K2723">
        <v>0</v>
      </c>
      <c r="L2723">
        <v>11921206.050000001</v>
      </c>
      <c r="M2723">
        <v>12012752.16</v>
      </c>
      <c r="N2723">
        <v>11921206.050000001</v>
      </c>
      <c r="O2723">
        <v>12012752.16</v>
      </c>
      <c r="P2723">
        <v>11921206.050000001</v>
      </c>
      <c r="Q2723">
        <v>12012752.16</v>
      </c>
      <c r="R2723" s="14">
        <f>_xlfn.XLOOKUP(Table2[[#This Row],[LoanID]],Table1[G-L ID],Table1[ManagerCode],-99)</f>
        <v>183</v>
      </c>
      <c r="T2723"/>
    </row>
    <row r="2724" spans="1:20" x14ac:dyDescent="0.25">
      <c r="A2724">
        <v>20140531</v>
      </c>
      <c r="B2724">
        <v>2014</v>
      </c>
      <c r="C2724">
        <v>5</v>
      </c>
      <c r="D2724">
        <v>1</v>
      </c>
      <c r="E2724">
        <v>11880</v>
      </c>
      <c r="F2724">
        <v>112323.86</v>
      </c>
      <c r="G2724">
        <v>117175.86</v>
      </c>
      <c r="H2724">
        <v>0</v>
      </c>
      <c r="I2724">
        <v>0</v>
      </c>
      <c r="J2724">
        <v>-2083052.42</v>
      </c>
      <c r="K2724">
        <v>0</v>
      </c>
      <c r="L2724">
        <v>23756457.84</v>
      </c>
      <c r="M2724">
        <v>25956686.120000001</v>
      </c>
      <c r="N2724">
        <v>23756457.84</v>
      </c>
      <c r="O2724">
        <v>25956686.120000001</v>
      </c>
      <c r="P2724">
        <v>23756457.84</v>
      </c>
      <c r="Q2724">
        <v>25956686.120000001</v>
      </c>
      <c r="R2724" s="14">
        <f>_xlfn.XLOOKUP(Table2[[#This Row],[LoanID]],Table1[G-L ID],Table1[ManagerCode],-99)</f>
        <v>183</v>
      </c>
      <c r="T2724"/>
    </row>
    <row r="2725" spans="1:20" x14ac:dyDescent="0.25">
      <c r="A2725">
        <v>20140531</v>
      </c>
      <c r="B2725">
        <v>2014</v>
      </c>
      <c r="C2725">
        <v>5</v>
      </c>
      <c r="D2725">
        <v>1</v>
      </c>
      <c r="E2725">
        <v>11920</v>
      </c>
      <c r="F2725">
        <v>93508.33</v>
      </c>
      <c r="G2725">
        <v>0</v>
      </c>
      <c r="H2725">
        <v>0</v>
      </c>
      <c r="I2725">
        <v>0</v>
      </c>
      <c r="J2725">
        <v>0</v>
      </c>
      <c r="K2725">
        <v>0</v>
      </c>
      <c r="L2725">
        <v>12250000</v>
      </c>
      <c r="M2725">
        <v>12250000</v>
      </c>
      <c r="N2725">
        <v>12250000</v>
      </c>
      <c r="O2725">
        <v>12250000</v>
      </c>
      <c r="P2725">
        <v>12250000</v>
      </c>
      <c r="Q2725">
        <v>12250000</v>
      </c>
      <c r="R2725" s="14">
        <f>_xlfn.XLOOKUP(Table2[[#This Row],[LoanID]],Table1[G-L ID],Table1[ManagerCode],-99)</f>
        <v>220</v>
      </c>
      <c r="T2725"/>
    </row>
    <row r="2726" spans="1:20" x14ac:dyDescent="0.25">
      <c r="A2726">
        <v>20140531</v>
      </c>
      <c r="B2726">
        <v>2014</v>
      </c>
      <c r="C2726">
        <v>5</v>
      </c>
      <c r="D2726">
        <v>1</v>
      </c>
      <c r="E2726">
        <v>11970</v>
      </c>
      <c r="F2726">
        <v>85000</v>
      </c>
      <c r="G2726">
        <v>57348.160000000003</v>
      </c>
      <c r="H2726">
        <v>0</v>
      </c>
      <c r="I2726">
        <v>0</v>
      </c>
      <c r="J2726">
        <v>0</v>
      </c>
      <c r="K2726">
        <v>0</v>
      </c>
      <c r="L2726">
        <v>9489877.4900000002</v>
      </c>
      <c r="M2726">
        <v>9547225.6500000004</v>
      </c>
      <c r="N2726">
        <v>9489877.4900000002</v>
      </c>
      <c r="O2726">
        <v>9547225.6500000004</v>
      </c>
      <c r="P2726">
        <v>9489877.4900000002</v>
      </c>
      <c r="Q2726">
        <v>9547225.6500000004</v>
      </c>
      <c r="R2726" s="14">
        <f>_xlfn.XLOOKUP(Table2[[#This Row],[LoanID]],Table1[G-L ID],Table1[ManagerCode],-99)</f>
        <v>183</v>
      </c>
      <c r="T2726"/>
    </row>
    <row r="2727" spans="1:20" x14ac:dyDescent="0.25">
      <c r="A2727">
        <v>20140531</v>
      </c>
      <c r="B2727">
        <v>2014</v>
      </c>
      <c r="C2727">
        <v>5</v>
      </c>
      <c r="D2727">
        <v>1</v>
      </c>
      <c r="E2727">
        <v>12020</v>
      </c>
      <c r="F2727">
        <v>65000</v>
      </c>
      <c r="G2727">
        <v>24375</v>
      </c>
      <c r="H2727">
        <v>0</v>
      </c>
      <c r="I2727">
        <v>0</v>
      </c>
      <c r="J2727">
        <v>0</v>
      </c>
      <c r="K2727">
        <v>0</v>
      </c>
      <c r="L2727">
        <v>10236395.92</v>
      </c>
      <c r="M2727">
        <v>10260770.92</v>
      </c>
      <c r="N2727">
        <v>10236395.92</v>
      </c>
      <c r="O2727">
        <v>10260770.92</v>
      </c>
      <c r="P2727">
        <v>10236395.92</v>
      </c>
      <c r="Q2727">
        <v>10260770.92</v>
      </c>
      <c r="R2727" s="14">
        <f>_xlfn.XLOOKUP(Table2[[#This Row],[LoanID]],Table1[G-L ID],Table1[ManagerCode],-99)</f>
        <v>183</v>
      </c>
      <c r="T2727"/>
    </row>
    <row r="2728" spans="1:20" x14ac:dyDescent="0.25">
      <c r="A2728">
        <v>20140531</v>
      </c>
      <c r="B2728">
        <v>2014</v>
      </c>
      <c r="C2728">
        <v>5</v>
      </c>
      <c r="D2728">
        <v>1</v>
      </c>
      <c r="E2728">
        <v>12080</v>
      </c>
      <c r="F2728">
        <v>296386.14</v>
      </c>
      <c r="G2728">
        <v>0</v>
      </c>
      <c r="H2728">
        <v>0</v>
      </c>
      <c r="I2728">
        <v>0</v>
      </c>
      <c r="J2728">
        <v>0</v>
      </c>
      <c r="K2728">
        <v>0</v>
      </c>
      <c r="L2728">
        <v>37905243.729999997</v>
      </c>
      <c r="M2728">
        <v>37905243.729999997</v>
      </c>
      <c r="N2728">
        <v>37905243.729999997</v>
      </c>
      <c r="O2728">
        <v>37905243.729999997</v>
      </c>
      <c r="P2728">
        <v>37905243.729999997</v>
      </c>
      <c r="Q2728">
        <v>37905243.729999997</v>
      </c>
      <c r="R2728" s="14">
        <f>_xlfn.XLOOKUP(Table2[[#This Row],[LoanID]],Table1[G-L ID],Table1[ManagerCode],-99)</f>
        <v>119</v>
      </c>
      <c r="T2728"/>
    </row>
    <row r="2729" spans="1:20" x14ac:dyDescent="0.25">
      <c r="A2729">
        <v>20140531</v>
      </c>
      <c r="B2729">
        <v>2014</v>
      </c>
      <c r="C2729">
        <v>5</v>
      </c>
      <c r="D2729">
        <v>1</v>
      </c>
      <c r="E2729">
        <v>12100</v>
      </c>
      <c r="F2729">
        <v>48504.23</v>
      </c>
      <c r="G2729">
        <v>83423.86</v>
      </c>
      <c r="H2729">
        <v>0</v>
      </c>
      <c r="I2729">
        <v>0</v>
      </c>
      <c r="J2729">
        <v>-48504.23</v>
      </c>
      <c r="K2729">
        <v>0</v>
      </c>
      <c r="L2729">
        <v>10903325.99</v>
      </c>
      <c r="M2729">
        <v>11035254.08</v>
      </c>
      <c r="N2729">
        <v>10903325.99</v>
      </c>
      <c r="O2729">
        <v>11035254.08</v>
      </c>
      <c r="P2729">
        <v>10903325.99</v>
      </c>
      <c r="Q2729">
        <v>11035254.08</v>
      </c>
      <c r="R2729" s="14">
        <f>_xlfn.XLOOKUP(Table2[[#This Row],[LoanID]],Table1[G-L ID],Table1[ManagerCode],-99)</f>
        <v>183</v>
      </c>
      <c r="T2729"/>
    </row>
    <row r="2730" spans="1:20" x14ac:dyDescent="0.25">
      <c r="A2730">
        <v>20140531</v>
      </c>
      <c r="B2730">
        <v>2014</v>
      </c>
      <c r="C2730">
        <v>5</v>
      </c>
      <c r="D2730">
        <v>1</v>
      </c>
      <c r="E2730">
        <v>12160</v>
      </c>
      <c r="F2730">
        <v>7244.28</v>
      </c>
      <c r="G2730">
        <v>12886.65</v>
      </c>
      <c r="H2730">
        <v>0</v>
      </c>
      <c r="I2730">
        <v>0</v>
      </c>
      <c r="J2730">
        <v>-238662.85</v>
      </c>
      <c r="K2730">
        <v>0</v>
      </c>
      <c r="L2730">
        <v>1898566.46</v>
      </c>
      <c r="M2730">
        <v>2150115.96</v>
      </c>
      <c r="N2730">
        <v>1898566.46</v>
      </c>
      <c r="O2730">
        <v>2150115.96</v>
      </c>
      <c r="P2730">
        <v>1898566.46</v>
      </c>
      <c r="Q2730">
        <v>2150115.96</v>
      </c>
      <c r="R2730" s="14">
        <f>_xlfn.XLOOKUP(Table2[[#This Row],[LoanID]],Table1[G-L ID],Table1[ManagerCode],-99)</f>
        <v>183</v>
      </c>
      <c r="T2730"/>
    </row>
    <row r="2731" spans="1:20" x14ac:dyDescent="0.25">
      <c r="A2731">
        <v>20140531</v>
      </c>
      <c r="B2731">
        <v>2014</v>
      </c>
      <c r="C2731">
        <v>5</v>
      </c>
      <c r="D2731">
        <v>1</v>
      </c>
      <c r="E2731">
        <v>12180</v>
      </c>
      <c r="F2731">
        <v>226041.67</v>
      </c>
      <c r="G2731">
        <v>0</v>
      </c>
      <c r="H2731">
        <v>0</v>
      </c>
      <c r="I2731">
        <v>0</v>
      </c>
      <c r="J2731">
        <v>0</v>
      </c>
      <c r="K2731">
        <v>0</v>
      </c>
      <c r="L2731">
        <v>35000000</v>
      </c>
      <c r="M2731">
        <v>35000000</v>
      </c>
      <c r="N2731">
        <v>35000000</v>
      </c>
      <c r="O2731">
        <v>35000000</v>
      </c>
      <c r="P2731">
        <v>35000000</v>
      </c>
      <c r="Q2731">
        <v>35000000</v>
      </c>
      <c r="R2731" s="14">
        <f>_xlfn.XLOOKUP(Table2[[#This Row],[LoanID]],Table1[G-L ID],Table1[ManagerCode],-99)</f>
        <v>220</v>
      </c>
      <c r="T2731"/>
    </row>
    <row r="2732" spans="1:20" x14ac:dyDescent="0.25">
      <c r="A2732">
        <v>20140531</v>
      </c>
      <c r="B2732">
        <v>2014</v>
      </c>
      <c r="C2732">
        <v>5</v>
      </c>
      <c r="D2732">
        <v>1</v>
      </c>
      <c r="E2732">
        <v>12190</v>
      </c>
      <c r="F2732">
        <v>556625</v>
      </c>
      <c r="G2732">
        <v>0</v>
      </c>
      <c r="H2732">
        <v>0</v>
      </c>
      <c r="I2732">
        <v>0</v>
      </c>
      <c r="J2732">
        <v>0</v>
      </c>
      <c r="K2732">
        <v>0</v>
      </c>
      <c r="L2732">
        <v>37500000</v>
      </c>
      <c r="M2732">
        <v>37500000</v>
      </c>
      <c r="N2732">
        <v>37500000</v>
      </c>
      <c r="O2732">
        <v>37500000</v>
      </c>
      <c r="P2732">
        <v>37500000</v>
      </c>
      <c r="Q2732">
        <v>37500000</v>
      </c>
      <c r="R2732" s="14">
        <f>_xlfn.XLOOKUP(Table2[[#This Row],[LoanID]],Table1[G-L ID],Table1[ManagerCode],-99)</f>
        <v>220</v>
      </c>
      <c r="T2732"/>
    </row>
    <row r="2733" spans="1:20" x14ac:dyDescent="0.25">
      <c r="A2733">
        <v>20140531</v>
      </c>
      <c r="B2733">
        <v>2014</v>
      </c>
      <c r="C2733">
        <v>5</v>
      </c>
      <c r="D2733">
        <v>1</v>
      </c>
      <c r="E2733">
        <v>12210</v>
      </c>
      <c r="F2733">
        <v>686684.75</v>
      </c>
      <c r="G2733">
        <v>0</v>
      </c>
      <c r="H2733">
        <v>0</v>
      </c>
      <c r="I2733">
        <v>0</v>
      </c>
      <c r="J2733">
        <v>0</v>
      </c>
      <c r="K2733">
        <v>212594.6</v>
      </c>
      <c r="L2733">
        <v>128822514.5</v>
      </c>
      <c r="M2733">
        <v>129234299.90000001</v>
      </c>
      <c r="N2733">
        <v>128822514.5</v>
      </c>
      <c r="O2733">
        <v>129234299.90000001</v>
      </c>
      <c r="P2733">
        <v>111106701.8</v>
      </c>
      <c r="Q2733">
        <v>110894107.2</v>
      </c>
      <c r="R2733" s="14">
        <f>_xlfn.XLOOKUP(Table2[[#This Row],[LoanID]],Table1[G-L ID],Table1[ManagerCode],-99)</f>
        <v>103</v>
      </c>
      <c r="T2733"/>
    </row>
    <row r="2734" spans="1:20" x14ac:dyDescent="0.25">
      <c r="A2734">
        <v>20140531</v>
      </c>
      <c r="B2734">
        <v>2014</v>
      </c>
      <c r="C2734">
        <v>5</v>
      </c>
      <c r="D2734">
        <v>1</v>
      </c>
      <c r="E2734">
        <v>12230</v>
      </c>
      <c r="F2734">
        <v>102521.72</v>
      </c>
      <c r="G2734">
        <v>0</v>
      </c>
      <c r="H2734">
        <v>0</v>
      </c>
      <c r="I2734">
        <v>0</v>
      </c>
      <c r="J2734">
        <v>-101174.28</v>
      </c>
      <c r="K2734">
        <v>348883</v>
      </c>
      <c r="L2734">
        <v>20164000</v>
      </c>
      <c r="M2734">
        <v>20265174.280000001</v>
      </c>
      <c r="N2734">
        <v>14115492.5</v>
      </c>
      <c r="O2734">
        <v>13867783.779999999</v>
      </c>
      <c r="P2734">
        <v>19194090.940000001</v>
      </c>
      <c r="Q2734">
        <v>19295265.219999999</v>
      </c>
      <c r="R2734" s="14">
        <f>_xlfn.XLOOKUP(Table2[[#This Row],[LoanID]],Table1[G-L ID],Table1[ManagerCode],-99)</f>
        <v>183</v>
      </c>
      <c r="T2734"/>
    </row>
    <row r="2735" spans="1:20" x14ac:dyDescent="0.25">
      <c r="A2735">
        <v>20140531</v>
      </c>
      <c r="B2735">
        <v>2014</v>
      </c>
      <c r="C2735">
        <v>5</v>
      </c>
      <c r="D2735">
        <v>1</v>
      </c>
      <c r="E2735">
        <v>15580</v>
      </c>
      <c r="F2735">
        <v>115192.68</v>
      </c>
      <c r="G2735">
        <v>3774.37</v>
      </c>
      <c r="H2735">
        <v>0</v>
      </c>
      <c r="I2735">
        <v>0</v>
      </c>
      <c r="J2735">
        <v>0</v>
      </c>
      <c r="K2735">
        <v>8208.6299999999992</v>
      </c>
      <c r="L2735">
        <v>15059107.789999999</v>
      </c>
      <c r="M2735">
        <v>15054673.529999999</v>
      </c>
      <c r="N2735">
        <v>15059107.789999999</v>
      </c>
      <c r="O2735">
        <v>15054673.529999999</v>
      </c>
      <c r="P2735">
        <v>15059107.789999999</v>
      </c>
      <c r="Q2735">
        <v>15054673.529999999</v>
      </c>
      <c r="R2735" s="14">
        <f>_xlfn.XLOOKUP(Table2[[#This Row],[LoanID]],Table1[G-L ID],Table1[ManagerCode],-99)</f>
        <v>212</v>
      </c>
      <c r="T2735"/>
    </row>
    <row r="2736" spans="1:20" x14ac:dyDescent="0.25">
      <c r="A2736">
        <v>20140630</v>
      </c>
      <c r="B2736">
        <v>2014</v>
      </c>
      <c r="C2736">
        <v>6</v>
      </c>
      <c r="D2736">
        <v>1</v>
      </c>
      <c r="E2736">
        <v>10050</v>
      </c>
      <c r="F2736">
        <v>153981.01999999999</v>
      </c>
      <c r="G2736">
        <v>0</v>
      </c>
      <c r="H2736">
        <v>0</v>
      </c>
      <c r="I2736">
        <v>0</v>
      </c>
      <c r="J2736">
        <v>0</v>
      </c>
      <c r="K2736">
        <v>0</v>
      </c>
      <c r="L2736">
        <v>38331479.759999998</v>
      </c>
      <c r="M2736">
        <v>37588698.399999999</v>
      </c>
      <c r="N2736">
        <v>38331479.759999998</v>
      </c>
      <c r="O2736">
        <v>37588698.399999999</v>
      </c>
      <c r="P2736">
        <v>33333334</v>
      </c>
      <c r="Q2736">
        <v>33333334</v>
      </c>
      <c r="R2736" s="14">
        <f>_xlfn.XLOOKUP(Table2[[#This Row],[LoanID]],Table1[G-L ID],Table1[ManagerCode],-99)</f>
        <v>103</v>
      </c>
      <c r="T2736"/>
    </row>
    <row r="2737" spans="1:20" x14ac:dyDescent="0.25">
      <c r="A2737">
        <v>20140630</v>
      </c>
      <c r="B2737">
        <v>2014</v>
      </c>
      <c r="C2737">
        <v>6</v>
      </c>
      <c r="D2737">
        <v>1</v>
      </c>
      <c r="E2737">
        <v>10060</v>
      </c>
      <c r="F2737">
        <v>120833.33</v>
      </c>
      <c r="G2737">
        <v>0</v>
      </c>
      <c r="H2737">
        <v>0</v>
      </c>
      <c r="I2737">
        <v>0</v>
      </c>
      <c r="J2737">
        <v>0</v>
      </c>
      <c r="K2737">
        <v>0</v>
      </c>
      <c r="L2737">
        <v>19000000</v>
      </c>
      <c r="M2737">
        <v>19000000</v>
      </c>
      <c r="N2737">
        <v>19000000</v>
      </c>
      <c r="O2737">
        <v>19000000</v>
      </c>
      <c r="P2737">
        <v>20000000</v>
      </c>
      <c r="Q2737">
        <v>20000000</v>
      </c>
      <c r="R2737" s="14">
        <f>_xlfn.XLOOKUP(Table2[[#This Row],[LoanID]],Table1[G-L ID],Table1[ManagerCode],-99)</f>
        <v>103</v>
      </c>
      <c r="T2737"/>
    </row>
    <row r="2738" spans="1:20" x14ac:dyDescent="0.25">
      <c r="A2738">
        <v>20140630</v>
      </c>
      <c r="B2738">
        <v>2014</v>
      </c>
      <c r="C2738">
        <v>6</v>
      </c>
      <c r="D2738">
        <v>1</v>
      </c>
      <c r="E2738">
        <v>10080</v>
      </c>
      <c r="F2738">
        <v>351042.71</v>
      </c>
      <c r="G2738">
        <v>0</v>
      </c>
      <c r="H2738">
        <v>0</v>
      </c>
      <c r="I2738">
        <v>-161.46</v>
      </c>
      <c r="J2738">
        <v>0</v>
      </c>
      <c r="K2738">
        <v>0</v>
      </c>
      <c r="L2738">
        <v>77613973.109999999</v>
      </c>
      <c r="M2738">
        <v>77271487.120000005</v>
      </c>
      <c r="N2738">
        <v>77613973.109999999</v>
      </c>
      <c r="O2738">
        <v>77271487.120000005</v>
      </c>
      <c r="P2738">
        <v>75000000</v>
      </c>
      <c r="Q2738">
        <v>75000000</v>
      </c>
      <c r="R2738" s="14">
        <f>_xlfn.XLOOKUP(Table2[[#This Row],[LoanID]],Table1[G-L ID],Table1[ManagerCode],-99)</f>
        <v>103</v>
      </c>
      <c r="T2738"/>
    </row>
    <row r="2739" spans="1:20" x14ac:dyDescent="0.25">
      <c r="A2739">
        <v>20140630</v>
      </c>
      <c r="B2739">
        <v>2014</v>
      </c>
      <c r="C2739">
        <v>6</v>
      </c>
      <c r="D2739">
        <v>1</v>
      </c>
      <c r="E2739">
        <v>10090</v>
      </c>
      <c r="F2739">
        <v>176013.89</v>
      </c>
      <c r="G2739">
        <v>0</v>
      </c>
      <c r="H2739">
        <v>0</v>
      </c>
      <c r="I2739">
        <v>0</v>
      </c>
      <c r="J2739">
        <v>0</v>
      </c>
      <c r="K2739">
        <v>0</v>
      </c>
      <c r="L2739">
        <v>23000000</v>
      </c>
      <c r="M2739">
        <v>23000000</v>
      </c>
      <c r="N2739">
        <v>23000000</v>
      </c>
      <c r="O2739">
        <v>23000000</v>
      </c>
      <c r="P2739">
        <v>23000000</v>
      </c>
      <c r="Q2739">
        <v>23000000</v>
      </c>
      <c r="R2739" s="14">
        <f>_xlfn.XLOOKUP(Table2[[#This Row],[LoanID]],Table1[G-L ID],Table1[ManagerCode],-99)</f>
        <v>119</v>
      </c>
      <c r="T2739"/>
    </row>
    <row r="2740" spans="1:20" x14ac:dyDescent="0.25">
      <c r="A2740">
        <v>20140630</v>
      </c>
      <c r="B2740">
        <v>2014</v>
      </c>
      <c r="C2740">
        <v>6</v>
      </c>
      <c r="D2740">
        <v>1</v>
      </c>
      <c r="E2740">
        <v>10170</v>
      </c>
      <c r="F2740">
        <v>236723.33</v>
      </c>
      <c r="G2740">
        <v>0</v>
      </c>
      <c r="H2740">
        <v>0</v>
      </c>
      <c r="I2740">
        <v>-1134.46</v>
      </c>
      <c r="J2740">
        <v>0</v>
      </c>
      <c r="K2740">
        <v>77164.039999999994</v>
      </c>
      <c r="L2740">
        <v>44618804</v>
      </c>
      <c r="M2740">
        <v>44367109.270000003</v>
      </c>
      <c r="N2740">
        <v>44618804</v>
      </c>
      <c r="O2740">
        <v>44367109.270000003</v>
      </c>
      <c r="P2740">
        <v>43914459.509999998</v>
      </c>
      <c r="Q2740">
        <v>43837295.469999999</v>
      </c>
      <c r="R2740" s="14">
        <f>_xlfn.XLOOKUP(Table2[[#This Row],[LoanID]],Table1[G-L ID],Table1[ManagerCode],-99)</f>
        <v>103</v>
      </c>
      <c r="T2740"/>
    </row>
    <row r="2741" spans="1:20" x14ac:dyDescent="0.25">
      <c r="A2741">
        <v>20140630</v>
      </c>
      <c r="B2741">
        <v>2014</v>
      </c>
      <c r="C2741">
        <v>6</v>
      </c>
      <c r="D2741">
        <v>1</v>
      </c>
      <c r="E2741">
        <v>10190</v>
      </c>
      <c r="F2741">
        <v>41666.67</v>
      </c>
      <c r="G2741">
        <v>0</v>
      </c>
      <c r="H2741">
        <v>0</v>
      </c>
      <c r="I2741">
        <v>0</v>
      </c>
      <c r="J2741">
        <v>0</v>
      </c>
      <c r="K2741">
        <v>0</v>
      </c>
      <c r="L2741">
        <v>9500000</v>
      </c>
      <c r="M2741">
        <v>9500000</v>
      </c>
      <c r="N2741">
        <v>9500000</v>
      </c>
      <c r="O2741">
        <v>9500000</v>
      </c>
      <c r="P2741">
        <v>10000000</v>
      </c>
      <c r="Q2741">
        <v>10000000</v>
      </c>
      <c r="R2741" s="14">
        <f>_xlfn.XLOOKUP(Table2[[#This Row],[LoanID]],Table1[G-L ID],Table1[ManagerCode],-99)</f>
        <v>103</v>
      </c>
      <c r="T2741"/>
    </row>
    <row r="2742" spans="1:20" x14ac:dyDescent="0.25">
      <c r="A2742">
        <v>20140630</v>
      </c>
      <c r="B2742">
        <v>2014</v>
      </c>
      <c r="C2742">
        <v>6</v>
      </c>
      <c r="D2742">
        <v>1</v>
      </c>
      <c r="E2742">
        <v>10200</v>
      </c>
      <c r="F2742">
        <v>128541.67</v>
      </c>
      <c r="G2742">
        <v>0</v>
      </c>
      <c r="H2742">
        <v>0</v>
      </c>
      <c r="I2742">
        <v>0</v>
      </c>
      <c r="J2742">
        <v>0</v>
      </c>
      <c r="K2742">
        <v>0</v>
      </c>
      <c r="L2742">
        <v>29307500</v>
      </c>
      <c r="M2742">
        <v>29307500</v>
      </c>
      <c r="N2742">
        <v>29307500</v>
      </c>
      <c r="O2742">
        <v>29307500</v>
      </c>
      <c r="P2742">
        <v>30850000</v>
      </c>
      <c r="Q2742">
        <v>30850000</v>
      </c>
      <c r="R2742" s="14">
        <f>_xlfn.XLOOKUP(Table2[[#This Row],[LoanID]],Table1[G-L ID],Table1[ManagerCode],-99)</f>
        <v>103</v>
      </c>
      <c r="T2742"/>
    </row>
    <row r="2743" spans="1:20" x14ac:dyDescent="0.25">
      <c r="A2743">
        <v>20140630</v>
      </c>
      <c r="B2743">
        <v>2014</v>
      </c>
      <c r="C2743">
        <v>6</v>
      </c>
      <c r="D2743">
        <v>1</v>
      </c>
      <c r="E2743">
        <v>10220</v>
      </c>
      <c r="F2743">
        <v>0</v>
      </c>
      <c r="G2743">
        <v>0</v>
      </c>
      <c r="H2743">
        <v>0</v>
      </c>
      <c r="I2743">
        <v>0</v>
      </c>
      <c r="J2743">
        <v>0</v>
      </c>
      <c r="K2743">
        <v>0</v>
      </c>
      <c r="L2743">
        <v>99000000</v>
      </c>
      <c r="M2743">
        <v>99000000</v>
      </c>
      <c r="N2743">
        <v>99000000</v>
      </c>
      <c r="O2743">
        <v>99000000</v>
      </c>
      <c r="P2743">
        <v>100000000</v>
      </c>
      <c r="Q2743">
        <v>100000000</v>
      </c>
      <c r="R2743" s="14">
        <f>_xlfn.XLOOKUP(Table2[[#This Row],[LoanID]],Table1[G-L ID],Table1[ManagerCode],-99)</f>
        <v>103</v>
      </c>
      <c r="T2743"/>
    </row>
    <row r="2744" spans="1:20" x14ac:dyDescent="0.25">
      <c r="A2744">
        <v>20140630</v>
      </c>
      <c r="B2744">
        <v>2014</v>
      </c>
      <c r="C2744">
        <v>6</v>
      </c>
      <c r="D2744">
        <v>1</v>
      </c>
      <c r="E2744">
        <v>10230</v>
      </c>
      <c r="F2744">
        <v>171921.5</v>
      </c>
      <c r="G2744">
        <v>0</v>
      </c>
      <c r="H2744">
        <v>0</v>
      </c>
      <c r="I2744">
        <v>0</v>
      </c>
      <c r="J2744">
        <v>0</v>
      </c>
      <c r="K2744">
        <v>69676.570000000007</v>
      </c>
      <c r="L2744">
        <v>29078709.870000001</v>
      </c>
      <c r="M2744">
        <v>29012517.149999999</v>
      </c>
      <c r="N2744">
        <v>29078709.870000001</v>
      </c>
      <c r="O2744">
        <v>29012517.149999999</v>
      </c>
      <c r="P2744">
        <v>30609168.300000001</v>
      </c>
      <c r="Q2744">
        <v>30539491.73</v>
      </c>
      <c r="R2744" s="14">
        <f>_xlfn.XLOOKUP(Table2[[#This Row],[LoanID]],Table1[G-L ID],Table1[ManagerCode],-99)</f>
        <v>103</v>
      </c>
      <c r="T2744"/>
    </row>
    <row r="2745" spans="1:20" x14ac:dyDescent="0.25">
      <c r="A2745">
        <v>20140630</v>
      </c>
      <c r="B2745">
        <v>2014</v>
      </c>
      <c r="C2745">
        <v>6</v>
      </c>
      <c r="D2745">
        <v>1</v>
      </c>
      <c r="E2745">
        <v>10340</v>
      </c>
      <c r="F2745">
        <v>142674</v>
      </c>
      <c r="G2745">
        <v>0</v>
      </c>
      <c r="H2745">
        <v>0</v>
      </c>
      <c r="I2745">
        <v>0</v>
      </c>
      <c r="J2745">
        <v>0</v>
      </c>
      <c r="K2745">
        <v>0</v>
      </c>
      <c r="L2745">
        <v>12527473</v>
      </c>
      <c r="M2745">
        <v>12527473</v>
      </c>
      <c r="N2745">
        <v>12527473</v>
      </c>
      <c r="O2745">
        <v>12527473</v>
      </c>
      <c r="P2745">
        <v>12527473</v>
      </c>
      <c r="Q2745">
        <v>12527473</v>
      </c>
      <c r="R2745" s="14">
        <f>_xlfn.XLOOKUP(Table2[[#This Row],[LoanID]],Table1[G-L ID],Table1[ManagerCode],-99)</f>
        <v>220</v>
      </c>
      <c r="T2745"/>
    </row>
    <row r="2746" spans="1:20" x14ac:dyDescent="0.25">
      <c r="A2746">
        <v>20140630</v>
      </c>
      <c r="B2746">
        <v>2014</v>
      </c>
      <c r="C2746">
        <v>6</v>
      </c>
      <c r="D2746">
        <v>1</v>
      </c>
      <c r="E2746">
        <v>10400</v>
      </c>
      <c r="F2746">
        <v>0</v>
      </c>
      <c r="G2746">
        <v>0</v>
      </c>
      <c r="H2746">
        <v>0</v>
      </c>
      <c r="I2746">
        <v>0</v>
      </c>
      <c r="J2746">
        <v>0</v>
      </c>
      <c r="K2746">
        <v>0</v>
      </c>
      <c r="L2746">
        <v>45000000</v>
      </c>
      <c r="M2746">
        <v>45000000</v>
      </c>
      <c r="N2746">
        <v>45000000</v>
      </c>
      <c r="O2746">
        <v>45000000</v>
      </c>
      <c r="P2746">
        <v>45000000</v>
      </c>
      <c r="Q2746">
        <v>45000000</v>
      </c>
      <c r="R2746" s="14">
        <f>_xlfn.XLOOKUP(Table2[[#This Row],[LoanID]],Table1[G-L ID],Table1[ManagerCode],-99)</f>
        <v>220</v>
      </c>
      <c r="T2746"/>
    </row>
    <row r="2747" spans="1:20" x14ac:dyDescent="0.25">
      <c r="A2747">
        <v>20140630</v>
      </c>
      <c r="B2747">
        <v>2014</v>
      </c>
      <c r="C2747">
        <v>6</v>
      </c>
      <c r="D2747">
        <v>1</v>
      </c>
      <c r="E2747">
        <v>10430</v>
      </c>
      <c r="F2747">
        <v>59537.98</v>
      </c>
      <c r="G2747">
        <v>0</v>
      </c>
      <c r="H2747">
        <v>0</v>
      </c>
      <c r="I2747">
        <v>0</v>
      </c>
      <c r="J2747">
        <v>0</v>
      </c>
      <c r="K2747">
        <v>14875</v>
      </c>
      <c r="L2747">
        <v>6821500</v>
      </c>
      <c r="M2747">
        <v>6806625</v>
      </c>
      <c r="N2747">
        <v>6821500</v>
      </c>
      <c r="O2747">
        <v>6806625</v>
      </c>
      <c r="P2747">
        <v>6821500</v>
      </c>
      <c r="Q2747">
        <v>6806625</v>
      </c>
      <c r="R2747" s="14">
        <f>_xlfn.XLOOKUP(Table2[[#This Row],[LoanID]],Table1[G-L ID],Table1[ManagerCode],-99)</f>
        <v>119</v>
      </c>
      <c r="T2747"/>
    </row>
    <row r="2748" spans="1:20" x14ac:dyDescent="0.25">
      <c r="A2748">
        <v>20140630</v>
      </c>
      <c r="B2748">
        <v>2014</v>
      </c>
      <c r="C2748">
        <v>6</v>
      </c>
      <c r="D2748">
        <v>1</v>
      </c>
      <c r="E2748">
        <v>10460</v>
      </c>
      <c r="F2748">
        <v>120500</v>
      </c>
      <c r="G2748">
        <v>0</v>
      </c>
      <c r="H2748">
        <v>0</v>
      </c>
      <c r="I2748">
        <v>0</v>
      </c>
      <c r="J2748">
        <v>0</v>
      </c>
      <c r="K2748">
        <v>0</v>
      </c>
      <c r="L2748">
        <v>62011821.75</v>
      </c>
      <c r="M2748">
        <v>59680228.659999996</v>
      </c>
      <c r="N2748">
        <v>62011821.75</v>
      </c>
      <c r="O2748">
        <v>59680228.659999996</v>
      </c>
      <c r="P2748">
        <v>60000000</v>
      </c>
      <c r="Q2748">
        <v>60000000</v>
      </c>
      <c r="R2748" s="14">
        <f>_xlfn.XLOOKUP(Table2[[#This Row],[LoanID]],Table1[G-L ID],Table1[ManagerCode],-99)</f>
        <v>103</v>
      </c>
      <c r="T2748"/>
    </row>
    <row r="2749" spans="1:20" x14ac:dyDescent="0.25">
      <c r="A2749">
        <v>20140630</v>
      </c>
      <c r="B2749">
        <v>2014</v>
      </c>
      <c r="C2749">
        <v>6</v>
      </c>
      <c r="D2749">
        <v>1</v>
      </c>
      <c r="E2749">
        <v>10470</v>
      </c>
      <c r="F2749">
        <v>25763.89</v>
      </c>
      <c r="G2749">
        <v>0</v>
      </c>
      <c r="H2749">
        <v>125000</v>
      </c>
      <c r="I2749">
        <v>0</v>
      </c>
      <c r="J2749">
        <v>-25000000</v>
      </c>
      <c r="K2749">
        <v>0</v>
      </c>
      <c r="L2749">
        <v>0</v>
      </c>
      <c r="M2749">
        <v>25000000</v>
      </c>
      <c r="N2749">
        <v>0</v>
      </c>
      <c r="O2749">
        <v>25000000</v>
      </c>
      <c r="P2749">
        <v>0</v>
      </c>
      <c r="Q2749">
        <v>25000000</v>
      </c>
      <c r="R2749" s="14">
        <f>_xlfn.XLOOKUP(Table2[[#This Row],[LoanID]],Table1[G-L ID],Table1[ManagerCode],-99)</f>
        <v>103</v>
      </c>
      <c r="T2749"/>
    </row>
    <row r="2750" spans="1:20" x14ac:dyDescent="0.25">
      <c r="A2750">
        <v>20140630</v>
      </c>
      <c r="B2750">
        <v>2014</v>
      </c>
      <c r="C2750">
        <v>6</v>
      </c>
      <c r="D2750">
        <v>1</v>
      </c>
      <c r="E2750">
        <v>10510</v>
      </c>
      <c r="F2750">
        <v>310444</v>
      </c>
      <c r="G2750">
        <v>0</v>
      </c>
      <c r="H2750">
        <v>0</v>
      </c>
      <c r="I2750">
        <v>0</v>
      </c>
      <c r="J2750">
        <v>0</v>
      </c>
      <c r="K2750">
        <v>0</v>
      </c>
      <c r="L2750">
        <v>45000000</v>
      </c>
      <c r="M2750">
        <v>45000000</v>
      </c>
      <c r="N2750">
        <v>45000000</v>
      </c>
      <c r="O2750">
        <v>45000000</v>
      </c>
      <c r="P2750">
        <v>45000000</v>
      </c>
      <c r="Q2750">
        <v>45000000</v>
      </c>
      <c r="R2750" s="14">
        <f>_xlfn.XLOOKUP(Table2[[#This Row],[LoanID]],Table1[G-L ID],Table1[ManagerCode],-99)</f>
        <v>220</v>
      </c>
      <c r="T2750"/>
    </row>
    <row r="2751" spans="1:20" x14ac:dyDescent="0.25">
      <c r="A2751">
        <v>20140630</v>
      </c>
      <c r="B2751">
        <v>2014</v>
      </c>
      <c r="C2751">
        <v>6</v>
      </c>
      <c r="D2751">
        <v>1</v>
      </c>
      <c r="E2751">
        <v>10570</v>
      </c>
      <c r="F2751">
        <v>1014421</v>
      </c>
      <c r="G2751">
        <v>0</v>
      </c>
      <c r="H2751">
        <v>0</v>
      </c>
      <c r="I2751">
        <v>0</v>
      </c>
      <c r="J2751">
        <v>0</v>
      </c>
      <c r="K2751">
        <v>0</v>
      </c>
      <c r="L2751">
        <v>197637165</v>
      </c>
      <c r="M2751">
        <v>197637165</v>
      </c>
      <c r="N2751">
        <v>197637165</v>
      </c>
      <c r="O2751">
        <v>197637165</v>
      </c>
      <c r="P2751">
        <v>199633500</v>
      </c>
      <c r="Q2751">
        <v>199633500</v>
      </c>
      <c r="R2751" s="14">
        <f>_xlfn.XLOOKUP(Table2[[#This Row],[LoanID]],Table1[G-L ID],Table1[ManagerCode],-99)</f>
        <v>103</v>
      </c>
      <c r="T2751"/>
    </row>
    <row r="2752" spans="1:20" x14ac:dyDescent="0.25">
      <c r="A2752">
        <v>20140630</v>
      </c>
      <c r="B2752">
        <v>2014</v>
      </c>
      <c r="C2752">
        <v>6</v>
      </c>
      <c r="D2752">
        <v>1</v>
      </c>
      <c r="E2752">
        <v>10591</v>
      </c>
      <c r="F2752">
        <v>223857.75</v>
      </c>
      <c r="G2752">
        <v>0</v>
      </c>
      <c r="H2752">
        <v>0</v>
      </c>
      <c r="I2752">
        <v>0</v>
      </c>
      <c r="J2752">
        <v>0</v>
      </c>
      <c r="K2752">
        <v>141525.87</v>
      </c>
      <c r="L2752">
        <v>26562802.309999999</v>
      </c>
      <c r="M2752">
        <v>26416001.719999999</v>
      </c>
      <c r="N2752">
        <v>26562802.309999999</v>
      </c>
      <c r="O2752">
        <v>26416001.719999999</v>
      </c>
      <c r="P2752">
        <v>25608369.23</v>
      </c>
      <c r="Q2752">
        <v>25466843.359999999</v>
      </c>
      <c r="R2752" s="14">
        <f>_xlfn.XLOOKUP(Table2[[#This Row],[LoanID]],Table1[G-L ID],Table1[ManagerCode],-99)</f>
        <v>220</v>
      </c>
      <c r="T2752"/>
    </row>
    <row r="2753" spans="1:20" x14ac:dyDescent="0.25">
      <c r="A2753">
        <v>20140630</v>
      </c>
      <c r="B2753">
        <v>2014</v>
      </c>
      <c r="C2753">
        <v>6</v>
      </c>
      <c r="D2753">
        <v>1</v>
      </c>
      <c r="E2753">
        <v>10592</v>
      </c>
      <c r="F2753">
        <v>371474.58</v>
      </c>
      <c r="G2753">
        <v>0</v>
      </c>
      <c r="H2753">
        <v>0</v>
      </c>
      <c r="I2753">
        <v>0</v>
      </c>
      <c r="J2753">
        <v>0</v>
      </c>
      <c r="K2753">
        <v>208919.13</v>
      </c>
      <c r="L2753">
        <v>39045322.18</v>
      </c>
      <c r="M2753">
        <v>38829536.369999997</v>
      </c>
      <c r="N2753">
        <v>39045322.18</v>
      </c>
      <c r="O2753">
        <v>38829536.369999997</v>
      </c>
      <c r="P2753">
        <v>37802830.770000003</v>
      </c>
      <c r="Q2753">
        <v>37593911.640000001</v>
      </c>
      <c r="R2753" s="14">
        <f>_xlfn.XLOOKUP(Table2[[#This Row],[LoanID]],Table1[G-L ID],Table1[ManagerCode],-99)</f>
        <v>220</v>
      </c>
      <c r="T2753"/>
    </row>
    <row r="2754" spans="1:20" x14ac:dyDescent="0.25">
      <c r="A2754">
        <v>20140630</v>
      </c>
      <c r="B2754">
        <v>2014</v>
      </c>
      <c r="C2754">
        <v>6</v>
      </c>
      <c r="D2754">
        <v>1</v>
      </c>
      <c r="E2754">
        <v>10640</v>
      </c>
      <c r="F2754">
        <v>104516.66</v>
      </c>
      <c r="G2754">
        <v>0</v>
      </c>
      <c r="H2754">
        <v>0</v>
      </c>
      <c r="I2754">
        <v>0</v>
      </c>
      <c r="J2754">
        <v>0</v>
      </c>
      <c r="K2754">
        <v>0</v>
      </c>
      <c r="L2754">
        <v>12197063</v>
      </c>
      <c r="M2754">
        <v>12197063</v>
      </c>
      <c r="N2754">
        <v>12197063</v>
      </c>
      <c r="O2754">
        <v>12197063</v>
      </c>
      <c r="P2754">
        <v>12197063</v>
      </c>
      <c r="Q2754">
        <v>12197063</v>
      </c>
      <c r="R2754" s="14">
        <f>_xlfn.XLOOKUP(Table2[[#This Row],[LoanID]],Table1[G-L ID],Table1[ManagerCode],-99)</f>
        <v>220</v>
      </c>
      <c r="T2754"/>
    </row>
    <row r="2755" spans="1:20" x14ac:dyDescent="0.25">
      <c r="A2755">
        <v>20140630</v>
      </c>
      <c r="B2755">
        <v>2014</v>
      </c>
      <c r="C2755">
        <v>6</v>
      </c>
      <c r="D2755">
        <v>1</v>
      </c>
      <c r="E2755">
        <v>10660</v>
      </c>
      <c r="F2755">
        <v>159348.60999999999</v>
      </c>
      <c r="G2755">
        <v>0</v>
      </c>
      <c r="H2755">
        <v>0</v>
      </c>
      <c r="I2755">
        <v>0</v>
      </c>
      <c r="J2755">
        <v>0</v>
      </c>
      <c r="K2755">
        <v>0</v>
      </c>
      <c r="L2755">
        <v>25000000</v>
      </c>
      <c r="M2755">
        <v>25000000</v>
      </c>
      <c r="N2755">
        <v>25000000</v>
      </c>
      <c r="O2755">
        <v>25000000</v>
      </c>
      <c r="P2755">
        <v>25000000</v>
      </c>
      <c r="Q2755">
        <v>25000000</v>
      </c>
      <c r="R2755" s="14">
        <f>_xlfn.XLOOKUP(Table2[[#This Row],[LoanID]],Table1[G-L ID],Table1[ManagerCode],-99)</f>
        <v>119</v>
      </c>
      <c r="T2755"/>
    </row>
    <row r="2756" spans="1:20" x14ac:dyDescent="0.25">
      <c r="A2756">
        <v>20140630</v>
      </c>
      <c r="B2756">
        <v>2014</v>
      </c>
      <c r="C2756">
        <v>6</v>
      </c>
      <c r="D2756">
        <v>1</v>
      </c>
      <c r="E2756">
        <v>10680</v>
      </c>
      <c r="F2756">
        <v>17411</v>
      </c>
      <c r="G2756">
        <v>0</v>
      </c>
      <c r="H2756">
        <v>106628</v>
      </c>
      <c r="I2756">
        <v>0</v>
      </c>
      <c r="J2756">
        <v>-6964400</v>
      </c>
      <c r="K2756">
        <v>0</v>
      </c>
      <c r="L2756">
        <v>0</v>
      </c>
      <c r="M2756">
        <v>6964400</v>
      </c>
      <c r="N2756">
        <v>0</v>
      </c>
      <c r="O2756">
        <v>6964400</v>
      </c>
      <c r="P2756">
        <v>0</v>
      </c>
      <c r="Q2756">
        <v>6964400</v>
      </c>
      <c r="R2756" s="14">
        <f>_xlfn.XLOOKUP(Table2[[#This Row],[LoanID]],Table1[G-L ID],Table1[ManagerCode],-99)</f>
        <v>119</v>
      </c>
      <c r="T2756"/>
    </row>
    <row r="2757" spans="1:20" x14ac:dyDescent="0.25">
      <c r="A2757">
        <v>20140630</v>
      </c>
      <c r="B2757">
        <v>2014</v>
      </c>
      <c r="C2757">
        <v>6</v>
      </c>
      <c r="D2757">
        <v>1</v>
      </c>
      <c r="E2757">
        <v>10690</v>
      </c>
      <c r="F2757">
        <v>98221.23</v>
      </c>
      <c r="G2757">
        <v>26379.06</v>
      </c>
      <c r="H2757">
        <v>0</v>
      </c>
      <c r="I2757">
        <v>0</v>
      </c>
      <c r="J2757">
        <v>-271020.67</v>
      </c>
      <c r="K2757">
        <v>0</v>
      </c>
      <c r="L2757">
        <v>16597867.439999999</v>
      </c>
      <c r="M2757">
        <v>16895267.170000002</v>
      </c>
      <c r="N2757">
        <v>16597867.439999999</v>
      </c>
      <c r="O2757">
        <v>16895267.170000002</v>
      </c>
      <c r="P2757">
        <v>16597867.439999999</v>
      </c>
      <c r="Q2757">
        <v>16895267.170000002</v>
      </c>
      <c r="R2757" s="14">
        <f>_xlfn.XLOOKUP(Table2[[#This Row],[LoanID]],Table1[G-L ID],Table1[ManagerCode],-99)</f>
        <v>183</v>
      </c>
      <c r="T2757"/>
    </row>
    <row r="2758" spans="1:20" x14ac:dyDescent="0.25">
      <c r="A2758">
        <v>20140630</v>
      </c>
      <c r="B2758">
        <v>2014</v>
      </c>
      <c r="C2758">
        <v>6</v>
      </c>
      <c r="D2758">
        <v>1</v>
      </c>
      <c r="E2758">
        <v>10720</v>
      </c>
      <c r="F2758">
        <v>125000</v>
      </c>
      <c r="G2758">
        <v>95505.82</v>
      </c>
      <c r="H2758">
        <v>0</v>
      </c>
      <c r="I2758">
        <v>0</v>
      </c>
      <c r="J2758">
        <v>0</v>
      </c>
      <c r="K2758">
        <v>0</v>
      </c>
      <c r="L2758">
        <v>18826825.190000001</v>
      </c>
      <c r="M2758">
        <v>18932150.699999999</v>
      </c>
      <c r="N2758">
        <v>18826825.190000001</v>
      </c>
      <c r="O2758">
        <v>18932150.699999999</v>
      </c>
      <c r="P2758">
        <v>17071418.48</v>
      </c>
      <c r="Q2758">
        <v>17166924.309999999</v>
      </c>
      <c r="R2758" s="14">
        <f>_xlfn.XLOOKUP(Table2[[#This Row],[LoanID]],Table1[G-L ID],Table1[ManagerCode],-99)</f>
        <v>220</v>
      </c>
      <c r="T2758"/>
    </row>
    <row r="2759" spans="1:20" x14ac:dyDescent="0.25">
      <c r="A2759">
        <v>20140630</v>
      </c>
      <c r="B2759">
        <v>2014</v>
      </c>
      <c r="C2759">
        <v>6</v>
      </c>
      <c r="D2759">
        <v>1</v>
      </c>
      <c r="E2759">
        <v>10780</v>
      </c>
      <c r="F2759">
        <v>311107.39</v>
      </c>
      <c r="G2759">
        <v>0</v>
      </c>
      <c r="H2759">
        <v>0</v>
      </c>
      <c r="I2759">
        <v>0</v>
      </c>
      <c r="J2759">
        <v>0</v>
      </c>
      <c r="K2759">
        <v>0</v>
      </c>
      <c r="L2759">
        <v>43000000</v>
      </c>
      <c r="M2759">
        <v>43000000</v>
      </c>
      <c r="N2759">
        <v>43000000</v>
      </c>
      <c r="O2759">
        <v>43000000</v>
      </c>
      <c r="P2759">
        <v>43000000</v>
      </c>
      <c r="Q2759">
        <v>43000000</v>
      </c>
      <c r="R2759" s="14">
        <f>_xlfn.XLOOKUP(Table2[[#This Row],[LoanID]],Table1[G-L ID],Table1[ManagerCode],-99)</f>
        <v>220</v>
      </c>
      <c r="T2759"/>
    </row>
    <row r="2760" spans="1:20" x14ac:dyDescent="0.25">
      <c r="A2760">
        <v>20140630</v>
      </c>
      <c r="B2760">
        <v>2014</v>
      </c>
      <c r="C2760">
        <v>6</v>
      </c>
      <c r="D2760">
        <v>1</v>
      </c>
      <c r="E2760">
        <v>10820</v>
      </c>
      <c r="F2760">
        <v>175041.78</v>
      </c>
      <c r="G2760">
        <v>0</v>
      </c>
      <c r="H2760">
        <v>0</v>
      </c>
      <c r="I2760">
        <v>0</v>
      </c>
      <c r="J2760">
        <v>-333300</v>
      </c>
      <c r="K2760">
        <v>0</v>
      </c>
      <c r="L2760">
        <v>21397297</v>
      </c>
      <c r="M2760">
        <v>21730597</v>
      </c>
      <c r="N2760">
        <v>21397297</v>
      </c>
      <c r="O2760">
        <v>21730597</v>
      </c>
      <c r="P2760">
        <v>21397297</v>
      </c>
      <c r="Q2760">
        <v>21730597</v>
      </c>
      <c r="R2760" s="14">
        <f>_xlfn.XLOOKUP(Table2[[#This Row],[LoanID]],Table1[G-L ID],Table1[ManagerCode],-99)</f>
        <v>220</v>
      </c>
      <c r="T2760"/>
    </row>
    <row r="2761" spans="1:20" x14ac:dyDescent="0.25">
      <c r="A2761">
        <v>20140630</v>
      </c>
      <c r="B2761">
        <v>2014</v>
      </c>
      <c r="C2761">
        <v>6</v>
      </c>
      <c r="D2761">
        <v>1</v>
      </c>
      <c r="E2761">
        <v>10830</v>
      </c>
      <c r="F2761">
        <v>58087.54</v>
      </c>
      <c r="G2761">
        <v>0</v>
      </c>
      <c r="H2761">
        <v>0</v>
      </c>
      <c r="I2761">
        <v>0</v>
      </c>
      <c r="J2761">
        <v>0</v>
      </c>
      <c r="K2761">
        <v>0</v>
      </c>
      <c r="L2761">
        <v>7100684.3300000001</v>
      </c>
      <c r="M2761">
        <v>7100684.3300000001</v>
      </c>
      <c r="N2761">
        <v>7100684.3300000001</v>
      </c>
      <c r="O2761">
        <v>7100684.3300000001</v>
      </c>
      <c r="P2761">
        <v>7100684.3300000001</v>
      </c>
      <c r="Q2761">
        <v>7100684.3300000001</v>
      </c>
      <c r="R2761" s="14">
        <f>_xlfn.XLOOKUP(Table2[[#This Row],[LoanID]],Table1[G-L ID],Table1[ManagerCode],-99)</f>
        <v>220</v>
      </c>
      <c r="T2761"/>
    </row>
    <row r="2762" spans="1:20" x14ac:dyDescent="0.25">
      <c r="A2762">
        <v>20140630</v>
      </c>
      <c r="B2762">
        <v>2014</v>
      </c>
      <c r="C2762">
        <v>6</v>
      </c>
      <c r="D2762">
        <v>1</v>
      </c>
      <c r="E2762">
        <v>10840</v>
      </c>
      <c r="F2762">
        <v>103968.23</v>
      </c>
      <c r="G2762">
        <v>0</v>
      </c>
      <c r="H2762">
        <v>0</v>
      </c>
      <c r="I2762">
        <v>0</v>
      </c>
      <c r="J2762">
        <v>0</v>
      </c>
      <c r="K2762">
        <v>0</v>
      </c>
      <c r="L2762">
        <v>12709189</v>
      </c>
      <c r="M2762">
        <v>12709189</v>
      </c>
      <c r="N2762">
        <v>12709189</v>
      </c>
      <c r="O2762">
        <v>12709189</v>
      </c>
      <c r="P2762">
        <v>12709189</v>
      </c>
      <c r="Q2762">
        <v>12709189</v>
      </c>
      <c r="R2762" s="14">
        <f>_xlfn.XLOOKUP(Table2[[#This Row],[LoanID]],Table1[G-L ID],Table1[ManagerCode],-99)</f>
        <v>220</v>
      </c>
      <c r="T2762"/>
    </row>
    <row r="2763" spans="1:20" x14ac:dyDescent="0.25">
      <c r="A2763">
        <v>20140630</v>
      </c>
      <c r="B2763">
        <v>2014</v>
      </c>
      <c r="C2763">
        <v>6</v>
      </c>
      <c r="D2763">
        <v>1</v>
      </c>
      <c r="E2763">
        <v>10850</v>
      </c>
      <c r="F2763">
        <v>110534.78</v>
      </c>
      <c r="G2763">
        <v>0</v>
      </c>
      <c r="H2763">
        <v>0</v>
      </c>
      <c r="I2763">
        <v>0</v>
      </c>
      <c r="J2763">
        <v>0</v>
      </c>
      <c r="K2763">
        <v>0</v>
      </c>
      <c r="L2763">
        <v>13511892</v>
      </c>
      <c r="M2763">
        <v>13511892</v>
      </c>
      <c r="N2763">
        <v>13511892</v>
      </c>
      <c r="O2763">
        <v>13511892</v>
      </c>
      <c r="P2763">
        <v>13511892</v>
      </c>
      <c r="Q2763">
        <v>13511892</v>
      </c>
      <c r="R2763" s="14">
        <f>_xlfn.XLOOKUP(Table2[[#This Row],[LoanID]],Table1[G-L ID],Table1[ManagerCode],-99)</f>
        <v>220</v>
      </c>
      <c r="T2763"/>
    </row>
    <row r="2764" spans="1:20" x14ac:dyDescent="0.25">
      <c r="A2764">
        <v>20140630</v>
      </c>
      <c r="B2764">
        <v>2014</v>
      </c>
      <c r="C2764">
        <v>6</v>
      </c>
      <c r="D2764">
        <v>1</v>
      </c>
      <c r="E2764">
        <v>10860</v>
      </c>
      <c r="F2764">
        <v>45455.33</v>
      </c>
      <c r="G2764">
        <v>0</v>
      </c>
      <c r="H2764">
        <v>0</v>
      </c>
      <c r="I2764">
        <v>0</v>
      </c>
      <c r="J2764">
        <v>-20500000</v>
      </c>
      <c r="K2764">
        <v>0</v>
      </c>
      <c r="L2764">
        <v>0</v>
      </c>
      <c r="M2764">
        <v>19475000</v>
      </c>
      <c r="N2764">
        <v>0</v>
      </c>
      <c r="O2764">
        <v>19475000</v>
      </c>
      <c r="P2764">
        <v>0</v>
      </c>
      <c r="Q2764">
        <v>20500000</v>
      </c>
      <c r="R2764" s="14">
        <f>_xlfn.XLOOKUP(Table2[[#This Row],[LoanID]],Table1[G-L ID],Table1[ManagerCode],-99)</f>
        <v>103</v>
      </c>
      <c r="T2764"/>
    </row>
    <row r="2765" spans="1:20" x14ac:dyDescent="0.25">
      <c r="A2765">
        <v>20140630</v>
      </c>
      <c r="B2765">
        <v>2014</v>
      </c>
      <c r="C2765">
        <v>6</v>
      </c>
      <c r="D2765">
        <v>1</v>
      </c>
      <c r="E2765">
        <v>10900</v>
      </c>
      <c r="F2765">
        <v>80787.55</v>
      </c>
      <c r="G2765">
        <v>0</v>
      </c>
      <c r="H2765">
        <v>0</v>
      </c>
      <c r="I2765">
        <v>0</v>
      </c>
      <c r="J2765">
        <v>0</v>
      </c>
      <c r="K2765">
        <v>2829.51</v>
      </c>
      <c r="L2765">
        <v>8102446.2000000002</v>
      </c>
      <c r="M2765">
        <v>8099758.1900000004</v>
      </c>
      <c r="N2765">
        <v>8102446.2000000002</v>
      </c>
      <c r="O2765">
        <v>8099758.1900000004</v>
      </c>
      <c r="P2765">
        <v>8528890.7599999998</v>
      </c>
      <c r="Q2765">
        <v>8526061.25</v>
      </c>
      <c r="R2765" s="14">
        <f>_xlfn.XLOOKUP(Table2[[#This Row],[LoanID]],Table1[G-L ID],Table1[ManagerCode],-99)</f>
        <v>103</v>
      </c>
      <c r="T2765"/>
    </row>
    <row r="2766" spans="1:20" x14ac:dyDescent="0.25">
      <c r="A2766">
        <v>20140630</v>
      </c>
      <c r="B2766">
        <v>2014</v>
      </c>
      <c r="C2766">
        <v>6</v>
      </c>
      <c r="D2766">
        <v>1</v>
      </c>
      <c r="E2766">
        <v>10920</v>
      </c>
      <c r="F2766">
        <v>114583.33</v>
      </c>
      <c r="G2766">
        <v>0</v>
      </c>
      <c r="H2766">
        <v>0</v>
      </c>
      <c r="I2766">
        <v>0</v>
      </c>
      <c r="J2766">
        <v>0</v>
      </c>
      <c r="K2766">
        <v>0</v>
      </c>
      <c r="L2766">
        <v>11000000</v>
      </c>
      <c r="M2766">
        <v>11000000</v>
      </c>
      <c r="N2766">
        <v>11000000</v>
      </c>
      <c r="O2766">
        <v>11000000</v>
      </c>
      <c r="P2766">
        <v>11000000</v>
      </c>
      <c r="Q2766">
        <v>11000000</v>
      </c>
      <c r="R2766" s="14">
        <f>_xlfn.XLOOKUP(Table2[[#This Row],[LoanID]],Table1[G-L ID],Table1[ManagerCode],-99)</f>
        <v>183</v>
      </c>
      <c r="T2766"/>
    </row>
    <row r="2767" spans="1:20" x14ac:dyDescent="0.25">
      <c r="A2767">
        <v>20140630</v>
      </c>
      <c r="B2767">
        <v>2014</v>
      </c>
      <c r="C2767">
        <v>6</v>
      </c>
      <c r="D2767">
        <v>1</v>
      </c>
      <c r="E2767">
        <v>10940</v>
      </c>
      <c r="F2767">
        <v>41182.870000000003</v>
      </c>
      <c r="G2767">
        <v>65008.74</v>
      </c>
      <c r="H2767">
        <v>0</v>
      </c>
      <c r="I2767">
        <v>0</v>
      </c>
      <c r="J2767">
        <v>-921111.09</v>
      </c>
      <c r="K2767">
        <v>0</v>
      </c>
      <c r="L2767">
        <v>9390188.6899999995</v>
      </c>
      <c r="M2767">
        <v>10376308.52</v>
      </c>
      <c r="N2767">
        <v>9390188.6899999995</v>
      </c>
      <c r="O2767">
        <v>10376308.52</v>
      </c>
      <c r="P2767">
        <v>9390188.6899999995</v>
      </c>
      <c r="Q2767">
        <v>10376308.52</v>
      </c>
      <c r="R2767" s="14">
        <f>_xlfn.XLOOKUP(Table2[[#This Row],[LoanID]],Table1[G-L ID],Table1[ManagerCode],-99)</f>
        <v>183</v>
      </c>
      <c r="T2767"/>
    </row>
    <row r="2768" spans="1:20" x14ac:dyDescent="0.25">
      <c r="A2768">
        <v>20140630</v>
      </c>
      <c r="B2768">
        <v>2014</v>
      </c>
      <c r="C2768">
        <v>6</v>
      </c>
      <c r="D2768">
        <v>1</v>
      </c>
      <c r="E2768">
        <v>11020</v>
      </c>
      <c r="F2768">
        <v>112000</v>
      </c>
      <c r="G2768">
        <v>0</v>
      </c>
      <c r="H2768">
        <v>0</v>
      </c>
      <c r="I2768">
        <v>0</v>
      </c>
      <c r="J2768">
        <v>0</v>
      </c>
      <c r="K2768">
        <v>0</v>
      </c>
      <c r="L2768">
        <v>12000000</v>
      </c>
      <c r="M2768">
        <v>12000000</v>
      </c>
      <c r="N2768">
        <v>12000000</v>
      </c>
      <c r="O2768">
        <v>12000000</v>
      </c>
      <c r="P2768">
        <v>12000000</v>
      </c>
      <c r="Q2768">
        <v>12000000</v>
      </c>
      <c r="R2768" s="14">
        <f>_xlfn.XLOOKUP(Table2[[#This Row],[LoanID]],Table1[G-L ID],Table1[ManagerCode],-99)</f>
        <v>119</v>
      </c>
      <c r="T2768"/>
    </row>
    <row r="2769" spans="1:20" x14ac:dyDescent="0.25">
      <c r="A2769">
        <v>20140630</v>
      </c>
      <c r="B2769">
        <v>2014</v>
      </c>
      <c r="C2769">
        <v>6</v>
      </c>
      <c r="D2769">
        <v>1</v>
      </c>
      <c r="E2769">
        <v>11030</v>
      </c>
      <c r="F2769">
        <v>67210.67</v>
      </c>
      <c r="G2769">
        <v>0</v>
      </c>
      <c r="H2769">
        <v>0</v>
      </c>
      <c r="I2769">
        <v>0</v>
      </c>
      <c r="J2769">
        <v>0</v>
      </c>
      <c r="K2769">
        <v>0</v>
      </c>
      <c r="L2769">
        <v>8000000</v>
      </c>
      <c r="M2769">
        <v>8000000</v>
      </c>
      <c r="N2769">
        <v>8000000</v>
      </c>
      <c r="O2769">
        <v>8000000</v>
      </c>
      <c r="P2769">
        <v>8000000</v>
      </c>
      <c r="Q2769">
        <v>8000000</v>
      </c>
      <c r="R2769" s="14">
        <f>_xlfn.XLOOKUP(Table2[[#This Row],[LoanID]],Table1[G-L ID],Table1[ManagerCode],-99)</f>
        <v>119</v>
      </c>
      <c r="T2769"/>
    </row>
    <row r="2770" spans="1:20" x14ac:dyDescent="0.25">
      <c r="A2770">
        <v>20140630</v>
      </c>
      <c r="B2770">
        <v>2014</v>
      </c>
      <c r="C2770">
        <v>6</v>
      </c>
      <c r="D2770">
        <v>1</v>
      </c>
      <c r="E2770">
        <v>11040</v>
      </c>
      <c r="F2770">
        <v>523211.11</v>
      </c>
      <c r="G2770">
        <v>0</v>
      </c>
      <c r="H2770">
        <v>0</v>
      </c>
      <c r="I2770">
        <v>0</v>
      </c>
      <c r="J2770">
        <v>0</v>
      </c>
      <c r="K2770">
        <v>0</v>
      </c>
      <c r="L2770">
        <v>50000000</v>
      </c>
      <c r="M2770">
        <v>50000000</v>
      </c>
      <c r="N2770">
        <v>50000000</v>
      </c>
      <c r="O2770">
        <v>50000000</v>
      </c>
      <c r="P2770">
        <v>50000000</v>
      </c>
      <c r="Q2770">
        <v>50000000</v>
      </c>
      <c r="R2770" s="14">
        <f>_xlfn.XLOOKUP(Table2[[#This Row],[LoanID]],Table1[G-L ID],Table1[ManagerCode],-99)</f>
        <v>220</v>
      </c>
      <c r="T2770"/>
    </row>
    <row r="2771" spans="1:20" x14ac:dyDescent="0.25">
      <c r="A2771">
        <v>20140630</v>
      </c>
      <c r="B2771">
        <v>2014</v>
      </c>
      <c r="C2771">
        <v>6</v>
      </c>
      <c r="D2771">
        <v>1</v>
      </c>
      <c r="E2771">
        <v>11050</v>
      </c>
      <c r="F2771">
        <v>0</v>
      </c>
      <c r="G2771">
        <v>0</v>
      </c>
      <c r="H2771">
        <v>0</v>
      </c>
      <c r="I2771">
        <v>0</v>
      </c>
      <c r="J2771">
        <v>0</v>
      </c>
      <c r="K2771">
        <v>0</v>
      </c>
      <c r="L2771">
        <v>29200000</v>
      </c>
      <c r="M2771">
        <v>29200000</v>
      </c>
      <c r="N2771">
        <v>29200000</v>
      </c>
      <c r="O2771">
        <v>29200000</v>
      </c>
      <c r="P2771">
        <v>28500000</v>
      </c>
      <c r="Q2771">
        <v>28500000</v>
      </c>
      <c r="R2771" s="14">
        <f>_xlfn.XLOOKUP(Table2[[#This Row],[LoanID]],Table1[G-L ID],Table1[ManagerCode],-99)</f>
        <v>220</v>
      </c>
      <c r="T2771"/>
    </row>
    <row r="2772" spans="1:20" x14ac:dyDescent="0.25">
      <c r="A2772">
        <v>20140630</v>
      </c>
      <c r="B2772">
        <v>2014</v>
      </c>
      <c r="C2772">
        <v>6</v>
      </c>
      <c r="D2772">
        <v>1</v>
      </c>
      <c r="E2772">
        <v>11070</v>
      </c>
      <c r="F2772">
        <v>288351.7</v>
      </c>
      <c r="G2772">
        <v>0</v>
      </c>
      <c r="H2772">
        <v>0</v>
      </c>
      <c r="I2772">
        <v>0</v>
      </c>
      <c r="J2772">
        <v>0</v>
      </c>
      <c r="K2772">
        <v>24003.42</v>
      </c>
      <c r="L2772">
        <v>13840882.029999999</v>
      </c>
      <c r="M2772">
        <v>13821679.310000001</v>
      </c>
      <c r="N2772">
        <v>13840882.029999999</v>
      </c>
      <c r="O2772">
        <v>13821679.310000001</v>
      </c>
      <c r="P2772">
        <v>17301102.539999999</v>
      </c>
      <c r="Q2772">
        <v>17277099.120000001</v>
      </c>
      <c r="R2772" s="14">
        <f>_xlfn.XLOOKUP(Table2[[#This Row],[LoanID]],Table1[G-L ID],Table1[ManagerCode],-99)</f>
        <v>103</v>
      </c>
      <c r="T2772"/>
    </row>
    <row r="2773" spans="1:20" x14ac:dyDescent="0.25">
      <c r="A2773">
        <v>20140630</v>
      </c>
      <c r="B2773">
        <v>2014</v>
      </c>
      <c r="C2773">
        <v>6</v>
      </c>
      <c r="D2773">
        <v>1</v>
      </c>
      <c r="E2773">
        <v>11100</v>
      </c>
      <c r="F2773">
        <v>48194.66</v>
      </c>
      <c r="G2773">
        <v>0</v>
      </c>
      <c r="H2773">
        <v>0</v>
      </c>
      <c r="I2773">
        <v>0</v>
      </c>
      <c r="J2773">
        <v>-3131893.57</v>
      </c>
      <c r="K2773">
        <v>0</v>
      </c>
      <c r="L2773">
        <v>10414719.470000001</v>
      </c>
      <c r="M2773">
        <v>13554681.84</v>
      </c>
      <c r="N2773">
        <v>10414719.470000001</v>
      </c>
      <c r="O2773">
        <v>13554681.84</v>
      </c>
      <c r="P2773">
        <v>10904950.73</v>
      </c>
      <c r="Q2773">
        <v>14036844.300000001</v>
      </c>
      <c r="R2773" s="14">
        <f>_xlfn.XLOOKUP(Table2[[#This Row],[LoanID]],Table1[G-L ID],Table1[ManagerCode],-99)</f>
        <v>103</v>
      </c>
      <c r="T2773"/>
    </row>
    <row r="2774" spans="1:20" x14ac:dyDescent="0.25">
      <c r="A2774">
        <v>20140630</v>
      </c>
      <c r="B2774">
        <v>2014</v>
      </c>
      <c r="C2774">
        <v>6</v>
      </c>
      <c r="D2774">
        <v>1</v>
      </c>
      <c r="E2774">
        <v>11130</v>
      </c>
      <c r="F2774">
        <v>1512120.9</v>
      </c>
      <c r="G2774">
        <v>0</v>
      </c>
      <c r="H2774">
        <v>0</v>
      </c>
      <c r="I2774">
        <v>0</v>
      </c>
      <c r="J2774">
        <v>0</v>
      </c>
      <c r="K2774">
        <v>0</v>
      </c>
      <c r="L2774">
        <v>168150000</v>
      </c>
      <c r="M2774">
        <v>168150000</v>
      </c>
      <c r="N2774">
        <v>168150000</v>
      </c>
      <c r="O2774">
        <v>168150000</v>
      </c>
      <c r="P2774">
        <v>177000000</v>
      </c>
      <c r="Q2774">
        <v>177000000</v>
      </c>
      <c r="R2774" s="14">
        <f>_xlfn.XLOOKUP(Table2[[#This Row],[LoanID]],Table1[G-L ID],Table1[ManagerCode],-99)</f>
        <v>103</v>
      </c>
      <c r="T2774"/>
    </row>
    <row r="2775" spans="1:20" x14ac:dyDescent="0.25">
      <c r="A2775">
        <v>20140630</v>
      </c>
      <c r="B2775">
        <v>2014</v>
      </c>
      <c r="C2775">
        <v>6</v>
      </c>
      <c r="D2775">
        <v>1</v>
      </c>
      <c r="E2775">
        <v>11170</v>
      </c>
      <c r="F2775">
        <v>0</v>
      </c>
      <c r="G2775">
        <v>0</v>
      </c>
      <c r="H2775">
        <v>0</v>
      </c>
      <c r="I2775">
        <v>-153158.17000000001</v>
      </c>
      <c r="J2775">
        <v>-175000000</v>
      </c>
      <c r="K2775">
        <v>0</v>
      </c>
      <c r="L2775">
        <v>0</v>
      </c>
      <c r="M2775">
        <v>173249826.80000001</v>
      </c>
      <c r="N2775">
        <v>0</v>
      </c>
      <c r="O2775">
        <v>173249826.80000001</v>
      </c>
      <c r="P2775">
        <v>0</v>
      </c>
      <c r="Q2775">
        <v>175000000</v>
      </c>
      <c r="R2775" s="14">
        <f>_xlfn.XLOOKUP(Table2[[#This Row],[LoanID]],Table1[G-L ID],Table1[ManagerCode],-99)</f>
        <v>103</v>
      </c>
      <c r="T2775"/>
    </row>
    <row r="2776" spans="1:20" x14ac:dyDescent="0.25">
      <c r="A2776">
        <v>20140630</v>
      </c>
      <c r="B2776">
        <v>2014</v>
      </c>
      <c r="C2776">
        <v>6</v>
      </c>
      <c r="D2776">
        <v>1</v>
      </c>
      <c r="E2776">
        <v>11220</v>
      </c>
      <c r="F2776">
        <v>311937.5</v>
      </c>
      <c r="G2776">
        <v>0</v>
      </c>
      <c r="H2776">
        <v>0</v>
      </c>
      <c r="I2776">
        <v>0</v>
      </c>
      <c r="J2776">
        <v>0</v>
      </c>
      <c r="K2776">
        <v>0</v>
      </c>
      <c r="L2776">
        <v>34500000</v>
      </c>
      <c r="M2776">
        <v>34500000</v>
      </c>
      <c r="N2776">
        <v>34500000</v>
      </c>
      <c r="O2776">
        <v>34500000</v>
      </c>
      <c r="P2776">
        <v>34500000</v>
      </c>
      <c r="Q2776">
        <v>34500000</v>
      </c>
      <c r="R2776" s="14">
        <f>_xlfn.XLOOKUP(Table2[[#This Row],[LoanID]],Table1[G-L ID],Table1[ManagerCode],-99)</f>
        <v>220</v>
      </c>
      <c r="T2776"/>
    </row>
    <row r="2777" spans="1:20" x14ac:dyDescent="0.25">
      <c r="A2777">
        <v>20140630</v>
      </c>
      <c r="B2777">
        <v>2014</v>
      </c>
      <c r="C2777">
        <v>6</v>
      </c>
      <c r="D2777">
        <v>1</v>
      </c>
      <c r="E2777">
        <v>11230</v>
      </c>
      <c r="F2777">
        <v>238691.33</v>
      </c>
      <c r="G2777">
        <v>0</v>
      </c>
      <c r="H2777">
        <v>0</v>
      </c>
      <c r="I2777">
        <v>0</v>
      </c>
      <c r="J2777">
        <v>0</v>
      </c>
      <c r="K2777">
        <v>0</v>
      </c>
      <c r="L2777">
        <v>185182960.09999999</v>
      </c>
      <c r="M2777">
        <v>185182960.09999999</v>
      </c>
      <c r="N2777">
        <v>185182960.09999999</v>
      </c>
      <c r="O2777">
        <v>185182960.09999999</v>
      </c>
      <c r="P2777">
        <v>194929626.59999999</v>
      </c>
      <c r="Q2777">
        <v>194929626.59999999</v>
      </c>
      <c r="R2777" s="14">
        <f>_xlfn.XLOOKUP(Table2[[#This Row],[LoanID]],Table1[G-L ID],Table1[ManagerCode],-99)</f>
        <v>103</v>
      </c>
      <c r="T2777"/>
    </row>
    <row r="2778" spans="1:20" x14ac:dyDescent="0.25">
      <c r="A2778">
        <v>20140630</v>
      </c>
      <c r="B2778">
        <v>2014</v>
      </c>
      <c r="C2778">
        <v>6</v>
      </c>
      <c r="D2778">
        <v>1</v>
      </c>
      <c r="E2778">
        <v>11320</v>
      </c>
      <c r="F2778">
        <v>97651.18</v>
      </c>
      <c r="G2778">
        <v>0</v>
      </c>
      <c r="H2778">
        <v>0</v>
      </c>
      <c r="I2778">
        <v>0</v>
      </c>
      <c r="J2778">
        <v>0</v>
      </c>
      <c r="K2778">
        <v>0</v>
      </c>
      <c r="L2778">
        <v>12000000</v>
      </c>
      <c r="M2778">
        <v>12000000</v>
      </c>
      <c r="N2778">
        <v>12000000</v>
      </c>
      <c r="O2778">
        <v>12000000</v>
      </c>
      <c r="P2778">
        <v>12000000</v>
      </c>
      <c r="Q2778">
        <v>12000000</v>
      </c>
      <c r="R2778" s="14">
        <f>_xlfn.XLOOKUP(Table2[[#This Row],[LoanID]],Table1[G-L ID],Table1[ManagerCode],-99)</f>
        <v>119</v>
      </c>
      <c r="T2778"/>
    </row>
    <row r="2779" spans="1:20" x14ac:dyDescent="0.25">
      <c r="A2779">
        <v>20140630</v>
      </c>
      <c r="B2779">
        <v>2014</v>
      </c>
      <c r="C2779">
        <v>6</v>
      </c>
      <c r="D2779">
        <v>1</v>
      </c>
      <c r="E2779">
        <v>11340</v>
      </c>
      <c r="F2779">
        <v>301388.89</v>
      </c>
      <c r="G2779">
        <v>0</v>
      </c>
      <c r="H2779">
        <v>0</v>
      </c>
      <c r="I2779">
        <v>0</v>
      </c>
      <c r="J2779">
        <v>0</v>
      </c>
      <c r="K2779">
        <v>0</v>
      </c>
      <c r="L2779">
        <v>49500000</v>
      </c>
      <c r="M2779">
        <v>49500000</v>
      </c>
      <c r="N2779">
        <v>49500000</v>
      </c>
      <c r="O2779">
        <v>49500000</v>
      </c>
      <c r="P2779">
        <v>50000000</v>
      </c>
      <c r="Q2779">
        <v>50000000</v>
      </c>
      <c r="R2779" s="14">
        <f>_xlfn.XLOOKUP(Table2[[#This Row],[LoanID]],Table1[G-L ID],Table1[ManagerCode],-99)</f>
        <v>103</v>
      </c>
      <c r="T2779"/>
    </row>
    <row r="2780" spans="1:20" x14ac:dyDescent="0.25">
      <c r="A2780">
        <v>20140630</v>
      </c>
      <c r="B2780">
        <v>2014</v>
      </c>
      <c r="C2780">
        <v>6</v>
      </c>
      <c r="D2780">
        <v>1</v>
      </c>
      <c r="E2780">
        <v>11350</v>
      </c>
      <c r="F2780">
        <v>331527.78000000003</v>
      </c>
      <c r="G2780">
        <v>0</v>
      </c>
      <c r="H2780">
        <v>0</v>
      </c>
      <c r="I2780">
        <v>0</v>
      </c>
      <c r="J2780">
        <v>0</v>
      </c>
      <c r="K2780">
        <v>0</v>
      </c>
      <c r="L2780">
        <v>54449945.549999997</v>
      </c>
      <c r="M2780">
        <v>54449945.549999997</v>
      </c>
      <c r="N2780">
        <v>54449945.549999997</v>
      </c>
      <c r="O2780">
        <v>54449945.549999997</v>
      </c>
      <c r="P2780">
        <v>55000000</v>
      </c>
      <c r="Q2780">
        <v>55000000</v>
      </c>
      <c r="R2780" s="14">
        <f>_xlfn.XLOOKUP(Table2[[#This Row],[LoanID]],Table1[G-L ID],Table1[ManagerCode],-99)</f>
        <v>103</v>
      </c>
      <c r="T2780"/>
    </row>
    <row r="2781" spans="1:20" x14ac:dyDescent="0.25">
      <c r="A2781">
        <v>20140630</v>
      </c>
      <c r="B2781">
        <v>2014</v>
      </c>
      <c r="C2781">
        <v>6</v>
      </c>
      <c r="D2781">
        <v>1</v>
      </c>
      <c r="E2781">
        <v>11370</v>
      </c>
      <c r="F2781">
        <v>51763.11</v>
      </c>
      <c r="G2781">
        <v>0</v>
      </c>
      <c r="H2781">
        <v>0</v>
      </c>
      <c r="I2781">
        <v>0</v>
      </c>
      <c r="J2781">
        <v>0</v>
      </c>
      <c r="K2781">
        <v>0</v>
      </c>
      <c r="L2781">
        <v>5525000</v>
      </c>
      <c r="M2781">
        <v>5525000</v>
      </c>
      <c r="N2781">
        <v>5525000</v>
      </c>
      <c r="O2781">
        <v>5525000</v>
      </c>
      <c r="P2781">
        <v>5525000</v>
      </c>
      <c r="Q2781">
        <v>5525000</v>
      </c>
      <c r="R2781" s="14">
        <f>_xlfn.XLOOKUP(Table2[[#This Row],[LoanID]],Table1[G-L ID],Table1[ManagerCode],-99)</f>
        <v>119</v>
      </c>
      <c r="T2781"/>
    </row>
    <row r="2782" spans="1:20" x14ac:dyDescent="0.25">
      <c r="A2782">
        <v>20140630</v>
      </c>
      <c r="B2782">
        <v>2014</v>
      </c>
      <c r="C2782">
        <v>6</v>
      </c>
      <c r="D2782">
        <v>1</v>
      </c>
      <c r="E2782">
        <v>11390</v>
      </c>
      <c r="F2782">
        <v>207743.06</v>
      </c>
      <c r="G2782">
        <v>0</v>
      </c>
      <c r="H2782">
        <v>0</v>
      </c>
      <c r="I2782">
        <v>0</v>
      </c>
      <c r="J2782">
        <v>0</v>
      </c>
      <c r="K2782">
        <v>0</v>
      </c>
      <c r="L2782">
        <v>25000000</v>
      </c>
      <c r="M2782">
        <v>25000000</v>
      </c>
      <c r="N2782">
        <v>25000000</v>
      </c>
      <c r="O2782">
        <v>25000000</v>
      </c>
      <c r="P2782">
        <v>25000000</v>
      </c>
      <c r="Q2782">
        <v>25000000</v>
      </c>
      <c r="R2782" s="14">
        <f>_xlfn.XLOOKUP(Table2[[#This Row],[LoanID]],Table1[G-L ID],Table1[ManagerCode],-99)</f>
        <v>220</v>
      </c>
      <c r="T2782"/>
    </row>
    <row r="2783" spans="1:20" x14ac:dyDescent="0.25">
      <c r="A2783">
        <v>20140630</v>
      </c>
      <c r="B2783">
        <v>2014</v>
      </c>
      <c r="C2783">
        <v>6</v>
      </c>
      <c r="D2783">
        <v>1</v>
      </c>
      <c r="E2783">
        <v>11540</v>
      </c>
      <c r="F2783">
        <v>78808.89</v>
      </c>
      <c r="G2783">
        <v>0</v>
      </c>
      <c r="H2783">
        <v>0</v>
      </c>
      <c r="I2783">
        <v>0</v>
      </c>
      <c r="J2783">
        <v>0</v>
      </c>
      <c r="K2783">
        <v>0</v>
      </c>
      <c r="L2783">
        <v>10000000</v>
      </c>
      <c r="M2783">
        <v>10000000</v>
      </c>
      <c r="N2783">
        <v>10000000</v>
      </c>
      <c r="O2783">
        <v>10000000</v>
      </c>
      <c r="P2783">
        <v>10000000</v>
      </c>
      <c r="Q2783">
        <v>10000000</v>
      </c>
      <c r="R2783" s="14">
        <f>_xlfn.XLOOKUP(Table2[[#This Row],[LoanID]],Table1[G-L ID],Table1[ManagerCode],-99)</f>
        <v>220</v>
      </c>
      <c r="T2783"/>
    </row>
    <row r="2784" spans="1:20" x14ac:dyDescent="0.25">
      <c r="A2784">
        <v>20140630</v>
      </c>
      <c r="B2784">
        <v>2014</v>
      </c>
      <c r="C2784">
        <v>6</v>
      </c>
      <c r="D2784">
        <v>1</v>
      </c>
      <c r="E2784">
        <v>11550</v>
      </c>
      <c r="F2784">
        <v>126775.38</v>
      </c>
      <c r="G2784">
        <v>0</v>
      </c>
      <c r="H2784">
        <v>0</v>
      </c>
      <c r="I2784">
        <v>-0.03</v>
      </c>
      <c r="J2784">
        <v>0</v>
      </c>
      <c r="K2784">
        <v>0</v>
      </c>
      <c r="L2784">
        <v>21850043.699999999</v>
      </c>
      <c r="M2784">
        <v>21850043.699999999</v>
      </c>
      <c r="N2784">
        <v>21850043.699999999</v>
      </c>
      <c r="O2784">
        <v>21850043.699999999</v>
      </c>
      <c r="P2784">
        <v>23000000</v>
      </c>
      <c r="Q2784">
        <v>23000000</v>
      </c>
      <c r="R2784" s="14">
        <f>_xlfn.XLOOKUP(Table2[[#This Row],[LoanID]],Table1[G-L ID],Table1[ManagerCode],-99)</f>
        <v>103</v>
      </c>
      <c r="T2784"/>
    </row>
    <row r="2785" spans="1:20" x14ac:dyDescent="0.25">
      <c r="A2785">
        <v>20140630</v>
      </c>
      <c r="B2785">
        <v>2014</v>
      </c>
      <c r="C2785">
        <v>6</v>
      </c>
      <c r="D2785">
        <v>1</v>
      </c>
      <c r="E2785">
        <v>11560</v>
      </c>
      <c r="F2785">
        <v>288960.8</v>
      </c>
      <c r="G2785">
        <v>141042.47</v>
      </c>
      <c r="H2785">
        <v>0</v>
      </c>
      <c r="I2785">
        <v>0</v>
      </c>
      <c r="J2785">
        <v>0</v>
      </c>
      <c r="K2785">
        <v>0</v>
      </c>
      <c r="L2785">
        <v>14132530.59</v>
      </c>
      <c r="M2785">
        <v>14273573.060000001</v>
      </c>
      <c r="N2785">
        <v>14132530.59</v>
      </c>
      <c r="O2785">
        <v>14273573.060000001</v>
      </c>
      <c r="P2785">
        <v>14132530.59</v>
      </c>
      <c r="Q2785">
        <v>14273573.060000001</v>
      </c>
      <c r="R2785" s="14">
        <f>_xlfn.XLOOKUP(Table2[[#This Row],[LoanID]],Table1[G-L ID],Table1[ManagerCode],-99)</f>
        <v>183</v>
      </c>
      <c r="T2785"/>
    </row>
    <row r="2786" spans="1:20" x14ac:dyDescent="0.25">
      <c r="A2786">
        <v>20140630</v>
      </c>
      <c r="B2786">
        <v>2014</v>
      </c>
      <c r="C2786">
        <v>6</v>
      </c>
      <c r="D2786">
        <v>1</v>
      </c>
      <c r="E2786">
        <v>11580</v>
      </c>
      <c r="F2786">
        <v>118820</v>
      </c>
      <c r="G2786">
        <v>0</v>
      </c>
      <c r="H2786">
        <v>0</v>
      </c>
      <c r="I2786">
        <v>0</v>
      </c>
      <c r="J2786">
        <v>0</v>
      </c>
      <c r="K2786">
        <v>0</v>
      </c>
      <c r="L2786">
        <v>15000000</v>
      </c>
      <c r="M2786">
        <v>15000000</v>
      </c>
      <c r="N2786">
        <v>15000000</v>
      </c>
      <c r="O2786">
        <v>15000000</v>
      </c>
      <c r="P2786">
        <v>15000000</v>
      </c>
      <c r="Q2786">
        <v>15000000</v>
      </c>
      <c r="R2786" s="14">
        <f>_xlfn.XLOOKUP(Table2[[#This Row],[LoanID]],Table1[G-L ID],Table1[ManagerCode],-99)</f>
        <v>119</v>
      </c>
      <c r="T2786"/>
    </row>
    <row r="2787" spans="1:20" x14ac:dyDescent="0.25">
      <c r="A2787">
        <v>20140630</v>
      </c>
      <c r="B2787">
        <v>2014</v>
      </c>
      <c r="C2787">
        <v>6</v>
      </c>
      <c r="D2787">
        <v>1</v>
      </c>
      <c r="E2787">
        <v>11620</v>
      </c>
      <c r="F2787">
        <v>80692.73</v>
      </c>
      <c r="G2787">
        <v>38003.11</v>
      </c>
      <c r="H2787">
        <v>0</v>
      </c>
      <c r="I2787">
        <v>0</v>
      </c>
      <c r="J2787">
        <v>0</v>
      </c>
      <c r="K2787">
        <v>0</v>
      </c>
      <c r="L2787">
        <v>10220776.23</v>
      </c>
      <c r="M2787">
        <v>10258779.34</v>
      </c>
      <c r="N2787">
        <v>10220776.23</v>
      </c>
      <c r="O2787">
        <v>10258779.34</v>
      </c>
      <c r="P2787">
        <v>10220776.23</v>
      </c>
      <c r="Q2787">
        <v>10258779.34</v>
      </c>
      <c r="R2787" s="14">
        <f>_xlfn.XLOOKUP(Table2[[#This Row],[LoanID]],Table1[G-L ID],Table1[ManagerCode],-99)</f>
        <v>183</v>
      </c>
      <c r="T2787"/>
    </row>
    <row r="2788" spans="1:20" x14ac:dyDescent="0.25">
      <c r="A2788">
        <v>20140630</v>
      </c>
      <c r="B2788">
        <v>2014</v>
      </c>
      <c r="C2788">
        <v>6</v>
      </c>
      <c r="D2788">
        <v>1</v>
      </c>
      <c r="E2788">
        <v>11650</v>
      </c>
      <c r="F2788">
        <v>75000</v>
      </c>
      <c r="G2788">
        <v>0</v>
      </c>
      <c r="H2788">
        <v>0</v>
      </c>
      <c r="I2788">
        <v>0</v>
      </c>
      <c r="J2788">
        <v>0</v>
      </c>
      <c r="K2788">
        <v>0</v>
      </c>
      <c r="L2788">
        <v>9600000</v>
      </c>
      <c r="M2788">
        <v>9600000</v>
      </c>
      <c r="N2788">
        <v>9600000</v>
      </c>
      <c r="O2788">
        <v>9600000</v>
      </c>
      <c r="P2788">
        <v>12000000</v>
      </c>
      <c r="Q2788">
        <v>12000000</v>
      </c>
      <c r="R2788" s="14">
        <f>_xlfn.XLOOKUP(Table2[[#This Row],[LoanID]],Table1[G-L ID],Table1[ManagerCode],-99)</f>
        <v>103</v>
      </c>
      <c r="T2788"/>
    </row>
    <row r="2789" spans="1:20" x14ac:dyDescent="0.25">
      <c r="A2789">
        <v>20140630</v>
      </c>
      <c r="B2789">
        <v>2014</v>
      </c>
      <c r="C2789">
        <v>6</v>
      </c>
      <c r="D2789">
        <v>1</v>
      </c>
      <c r="E2789">
        <v>11660</v>
      </c>
      <c r="F2789">
        <v>0</v>
      </c>
      <c r="G2789">
        <v>0</v>
      </c>
      <c r="H2789">
        <v>0</v>
      </c>
      <c r="I2789">
        <v>0</v>
      </c>
      <c r="J2789">
        <v>-14911467</v>
      </c>
      <c r="K2789">
        <v>0</v>
      </c>
      <c r="L2789">
        <v>0</v>
      </c>
      <c r="M2789">
        <v>14911467</v>
      </c>
      <c r="N2789">
        <v>0</v>
      </c>
      <c r="O2789">
        <v>14911467</v>
      </c>
      <c r="P2789">
        <v>0</v>
      </c>
      <c r="Q2789">
        <v>14911467</v>
      </c>
      <c r="R2789" s="14">
        <f>_xlfn.XLOOKUP(Table2[[#This Row],[LoanID]],Table1[G-L ID],Table1[ManagerCode],-99)</f>
        <v>183</v>
      </c>
      <c r="T2789"/>
    </row>
    <row r="2790" spans="1:20" x14ac:dyDescent="0.25">
      <c r="A2790">
        <v>20140630</v>
      </c>
      <c r="B2790">
        <v>2014</v>
      </c>
      <c r="C2790">
        <v>6</v>
      </c>
      <c r="D2790">
        <v>1</v>
      </c>
      <c r="E2790">
        <v>11680</v>
      </c>
      <c r="F2790">
        <v>57126.559999999998</v>
      </c>
      <c r="G2790">
        <v>0</v>
      </c>
      <c r="H2790">
        <v>0</v>
      </c>
      <c r="I2790">
        <v>0</v>
      </c>
      <c r="J2790">
        <v>0</v>
      </c>
      <c r="K2790">
        <v>0</v>
      </c>
      <c r="L2790">
        <v>6600000</v>
      </c>
      <c r="M2790">
        <v>6600000</v>
      </c>
      <c r="N2790">
        <v>6600000</v>
      </c>
      <c r="O2790">
        <v>6600000</v>
      </c>
      <c r="P2790">
        <v>6600000</v>
      </c>
      <c r="Q2790">
        <v>6600000</v>
      </c>
      <c r="R2790" s="14">
        <f>_xlfn.XLOOKUP(Table2[[#This Row],[LoanID]],Table1[G-L ID],Table1[ManagerCode],-99)</f>
        <v>183</v>
      </c>
      <c r="T2790"/>
    </row>
    <row r="2791" spans="1:20" x14ac:dyDescent="0.25">
      <c r="A2791">
        <v>20140630</v>
      </c>
      <c r="B2791">
        <v>2014</v>
      </c>
      <c r="C2791">
        <v>6</v>
      </c>
      <c r="D2791">
        <v>1</v>
      </c>
      <c r="E2791">
        <v>11710</v>
      </c>
      <c r="F2791">
        <v>102949.33</v>
      </c>
      <c r="G2791">
        <v>0</v>
      </c>
      <c r="H2791">
        <v>0</v>
      </c>
      <c r="I2791">
        <v>0</v>
      </c>
      <c r="J2791">
        <v>0</v>
      </c>
      <c r="K2791">
        <v>0</v>
      </c>
      <c r="L2791">
        <v>12000000</v>
      </c>
      <c r="M2791">
        <v>12000000</v>
      </c>
      <c r="N2791">
        <v>12000000</v>
      </c>
      <c r="O2791">
        <v>12000000</v>
      </c>
      <c r="P2791">
        <v>12000000</v>
      </c>
      <c r="Q2791">
        <v>12000000</v>
      </c>
      <c r="R2791" s="14">
        <f>_xlfn.XLOOKUP(Table2[[#This Row],[LoanID]],Table1[G-L ID],Table1[ManagerCode],-99)</f>
        <v>119</v>
      </c>
      <c r="T2791"/>
    </row>
    <row r="2792" spans="1:20" x14ac:dyDescent="0.25">
      <c r="A2792">
        <v>20140630</v>
      </c>
      <c r="B2792">
        <v>2014</v>
      </c>
      <c r="C2792">
        <v>6</v>
      </c>
      <c r="D2792">
        <v>1</v>
      </c>
      <c r="E2792">
        <v>11740</v>
      </c>
      <c r="F2792">
        <v>183138</v>
      </c>
      <c r="G2792">
        <v>0</v>
      </c>
      <c r="H2792">
        <v>0</v>
      </c>
      <c r="I2792">
        <v>0</v>
      </c>
      <c r="J2792">
        <v>0</v>
      </c>
      <c r="K2792">
        <v>0</v>
      </c>
      <c r="L2792">
        <v>19110000</v>
      </c>
      <c r="M2792">
        <v>19110000</v>
      </c>
      <c r="N2792">
        <v>19110000</v>
      </c>
      <c r="O2792">
        <v>19110000</v>
      </c>
      <c r="P2792">
        <v>19110000</v>
      </c>
      <c r="Q2792">
        <v>19110000</v>
      </c>
      <c r="R2792" s="14">
        <f>_xlfn.XLOOKUP(Table2[[#This Row],[LoanID]],Table1[G-L ID],Table1[ManagerCode],-99)</f>
        <v>183</v>
      </c>
      <c r="T2792"/>
    </row>
    <row r="2793" spans="1:20" x14ac:dyDescent="0.25">
      <c r="A2793">
        <v>20140630</v>
      </c>
      <c r="B2793">
        <v>2014</v>
      </c>
      <c r="C2793">
        <v>6</v>
      </c>
      <c r="D2793">
        <v>1</v>
      </c>
      <c r="E2793">
        <v>11770</v>
      </c>
      <c r="F2793">
        <v>175951.24</v>
      </c>
      <c r="G2793">
        <v>0</v>
      </c>
      <c r="H2793">
        <v>0</v>
      </c>
      <c r="I2793">
        <v>0</v>
      </c>
      <c r="J2793">
        <v>0</v>
      </c>
      <c r="K2793">
        <v>0</v>
      </c>
      <c r="L2793">
        <v>25065072.48</v>
      </c>
      <c r="M2793">
        <v>25065072.48</v>
      </c>
      <c r="N2793">
        <v>25065072.48</v>
      </c>
      <c r="O2793">
        <v>25065072.48</v>
      </c>
      <c r="P2793">
        <v>25065072.48</v>
      </c>
      <c r="Q2793">
        <v>25065072.48</v>
      </c>
      <c r="R2793" s="14">
        <f>_xlfn.XLOOKUP(Table2[[#This Row],[LoanID]],Table1[G-L ID],Table1[ManagerCode],-99)</f>
        <v>119</v>
      </c>
      <c r="T2793"/>
    </row>
    <row r="2794" spans="1:20" x14ac:dyDescent="0.25">
      <c r="A2794">
        <v>20140630</v>
      </c>
      <c r="B2794">
        <v>2014</v>
      </c>
      <c r="C2794">
        <v>6</v>
      </c>
      <c r="D2794">
        <v>1</v>
      </c>
      <c r="E2794">
        <v>11810</v>
      </c>
      <c r="F2794">
        <v>49903.83</v>
      </c>
      <c r="G2794">
        <v>0</v>
      </c>
      <c r="H2794">
        <v>0</v>
      </c>
      <c r="I2794">
        <v>0</v>
      </c>
      <c r="J2794">
        <v>0</v>
      </c>
      <c r="K2794">
        <v>10954.26</v>
      </c>
      <c r="L2794">
        <v>9655660.0999999996</v>
      </c>
      <c r="M2794">
        <v>9644815.3800000008</v>
      </c>
      <c r="N2794">
        <v>9655660.0999999996</v>
      </c>
      <c r="O2794">
        <v>9644815.3800000008</v>
      </c>
      <c r="P2794">
        <v>9753192.0199999996</v>
      </c>
      <c r="Q2794">
        <v>9742237.7599999998</v>
      </c>
      <c r="R2794" s="14">
        <f>_xlfn.XLOOKUP(Table2[[#This Row],[LoanID]],Table1[G-L ID],Table1[ManagerCode],-99)</f>
        <v>103</v>
      </c>
      <c r="T2794"/>
    </row>
    <row r="2795" spans="1:20" x14ac:dyDescent="0.25">
      <c r="A2795">
        <v>20140630</v>
      </c>
      <c r="B2795">
        <v>2014</v>
      </c>
      <c r="C2795">
        <v>6</v>
      </c>
      <c r="D2795">
        <v>1</v>
      </c>
      <c r="E2795">
        <v>11840</v>
      </c>
      <c r="F2795">
        <v>52501.8</v>
      </c>
      <c r="G2795">
        <v>92652.29</v>
      </c>
      <c r="H2795">
        <v>0</v>
      </c>
      <c r="I2795">
        <v>0</v>
      </c>
      <c r="J2795">
        <v>0</v>
      </c>
      <c r="K2795">
        <v>0</v>
      </c>
      <c r="L2795">
        <v>12012752.16</v>
      </c>
      <c r="M2795">
        <v>12105404.449999999</v>
      </c>
      <c r="N2795">
        <v>12012752.16</v>
      </c>
      <c r="O2795">
        <v>12105404.449999999</v>
      </c>
      <c r="P2795">
        <v>12012752.16</v>
      </c>
      <c r="Q2795">
        <v>12105404.449999999</v>
      </c>
      <c r="R2795" s="14">
        <f>_xlfn.XLOOKUP(Table2[[#This Row],[LoanID]],Table1[G-L ID],Table1[ManagerCode],-99)</f>
        <v>183</v>
      </c>
      <c r="T2795"/>
    </row>
    <row r="2796" spans="1:20" x14ac:dyDescent="0.25">
      <c r="A2796">
        <v>20140630</v>
      </c>
      <c r="B2796">
        <v>2014</v>
      </c>
      <c r="C2796">
        <v>6</v>
      </c>
      <c r="D2796">
        <v>1</v>
      </c>
      <c r="E2796">
        <v>11880</v>
      </c>
      <c r="F2796">
        <v>120484.47</v>
      </c>
      <c r="G2796">
        <v>118542.91</v>
      </c>
      <c r="H2796">
        <v>0</v>
      </c>
      <c r="I2796">
        <v>0</v>
      </c>
      <c r="J2796">
        <v>-2423706.35</v>
      </c>
      <c r="K2796">
        <v>0</v>
      </c>
      <c r="L2796">
        <v>25956686.120000001</v>
      </c>
      <c r="M2796">
        <v>28498935.379999999</v>
      </c>
      <c r="N2796">
        <v>25956686.120000001</v>
      </c>
      <c r="O2796">
        <v>28498935.379999999</v>
      </c>
      <c r="P2796">
        <v>25956686.120000001</v>
      </c>
      <c r="Q2796">
        <v>28498935.379999999</v>
      </c>
      <c r="R2796" s="14">
        <f>_xlfn.XLOOKUP(Table2[[#This Row],[LoanID]],Table1[G-L ID],Table1[ManagerCode],-99)</f>
        <v>183</v>
      </c>
      <c r="T2796"/>
    </row>
    <row r="2797" spans="1:20" x14ac:dyDescent="0.25">
      <c r="A2797">
        <v>20140630</v>
      </c>
      <c r="B2797">
        <v>2014</v>
      </c>
      <c r="C2797">
        <v>6</v>
      </c>
      <c r="D2797">
        <v>1</v>
      </c>
      <c r="E2797">
        <v>11920</v>
      </c>
      <c r="F2797">
        <v>96625.279999999999</v>
      </c>
      <c r="G2797">
        <v>0</v>
      </c>
      <c r="H2797">
        <v>0</v>
      </c>
      <c r="I2797">
        <v>0</v>
      </c>
      <c r="J2797">
        <v>0</v>
      </c>
      <c r="K2797">
        <v>0</v>
      </c>
      <c r="L2797">
        <v>12250000</v>
      </c>
      <c r="M2797">
        <v>12250000</v>
      </c>
      <c r="N2797">
        <v>12250000</v>
      </c>
      <c r="O2797">
        <v>12250000</v>
      </c>
      <c r="P2797">
        <v>12250000</v>
      </c>
      <c r="Q2797">
        <v>12250000</v>
      </c>
      <c r="R2797" s="14">
        <f>_xlfn.XLOOKUP(Table2[[#This Row],[LoanID]],Table1[G-L ID],Table1[ManagerCode],-99)</f>
        <v>220</v>
      </c>
      <c r="T2797"/>
    </row>
    <row r="2798" spans="1:20" x14ac:dyDescent="0.25">
      <c r="A2798">
        <v>20140630</v>
      </c>
      <c r="B2798">
        <v>2014</v>
      </c>
      <c r="C2798">
        <v>6</v>
      </c>
      <c r="D2798">
        <v>1</v>
      </c>
      <c r="E2798">
        <v>11970</v>
      </c>
      <c r="F2798">
        <v>85000</v>
      </c>
      <c r="G2798">
        <v>58208.38</v>
      </c>
      <c r="H2798">
        <v>0</v>
      </c>
      <c r="I2798">
        <v>0</v>
      </c>
      <c r="J2798">
        <v>0</v>
      </c>
      <c r="K2798">
        <v>0</v>
      </c>
      <c r="L2798">
        <v>9547225.6500000004</v>
      </c>
      <c r="M2798">
        <v>9605434.0299999993</v>
      </c>
      <c r="N2798">
        <v>9547225.6500000004</v>
      </c>
      <c r="O2798">
        <v>9605434.0299999993</v>
      </c>
      <c r="P2798">
        <v>9547225.6500000004</v>
      </c>
      <c r="Q2798">
        <v>9605434.0299999993</v>
      </c>
      <c r="R2798" s="14">
        <f>_xlfn.XLOOKUP(Table2[[#This Row],[LoanID]],Table1[G-L ID],Table1[ManagerCode],-99)</f>
        <v>183</v>
      </c>
      <c r="T2798"/>
    </row>
    <row r="2799" spans="1:20" x14ac:dyDescent="0.25">
      <c r="A2799">
        <v>20140630</v>
      </c>
      <c r="B2799">
        <v>2014</v>
      </c>
      <c r="C2799">
        <v>6</v>
      </c>
      <c r="D2799">
        <v>1</v>
      </c>
      <c r="E2799">
        <v>12020</v>
      </c>
      <c r="F2799">
        <v>117000</v>
      </c>
      <c r="G2799">
        <v>0</v>
      </c>
      <c r="H2799">
        <v>845010.74</v>
      </c>
      <c r="I2799">
        <v>0</v>
      </c>
      <c r="J2799">
        <v>0</v>
      </c>
      <c r="K2799">
        <v>10260770.92</v>
      </c>
      <c r="L2799">
        <v>10260770.92</v>
      </c>
      <c r="M2799">
        <v>0</v>
      </c>
      <c r="N2799">
        <v>10260770.92</v>
      </c>
      <c r="O2799">
        <v>0</v>
      </c>
      <c r="P2799">
        <v>10260770.92</v>
      </c>
      <c r="Q2799">
        <v>0</v>
      </c>
      <c r="R2799" s="14">
        <f>_xlfn.XLOOKUP(Table2[[#This Row],[LoanID]],Table1[G-L ID],Table1[ManagerCode],-99)</f>
        <v>183</v>
      </c>
      <c r="T2799"/>
    </row>
    <row r="2800" spans="1:20" x14ac:dyDescent="0.25">
      <c r="A2800">
        <v>20140630</v>
      </c>
      <c r="B2800">
        <v>2014</v>
      </c>
      <c r="C2800">
        <v>6</v>
      </c>
      <c r="D2800">
        <v>1</v>
      </c>
      <c r="E2800">
        <v>12080</v>
      </c>
      <c r="F2800">
        <v>305702.98</v>
      </c>
      <c r="G2800">
        <v>0</v>
      </c>
      <c r="H2800">
        <v>0</v>
      </c>
      <c r="I2800">
        <v>0</v>
      </c>
      <c r="J2800">
        <v>0</v>
      </c>
      <c r="K2800">
        <v>947034.78</v>
      </c>
      <c r="L2800">
        <v>37905243.729999997</v>
      </c>
      <c r="M2800">
        <v>36958208.950000003</v>
      </c>
      <c r="N2800">
        <v>37905243.729999997</v>
      </c>
      <c r="O2800">
        <v>36958208.950000003</v>
      </c>
      <c r="P2800">
        <v>37905243.729999997</v>
      </c>
      <c r="Q2800">
        <v>36958208.950000003</v>
      </c>
      <c r="R2800" s="14">
        <f>_xlfn.XLOOKUP(Table2[[#This Row],[LoanID]],Table1[G-L ID],Table1[ManagerCode],-99)</f>
        <v>119</v>
      </c>
      <c r="T2800"/>
    </row>
    <row r="2801" spans="1:20" x14ac:dyDescent="0.25">
      <c r="A2801">
        <v>20140630</v>
      </c>
      <c r="B2801">
        <v>2014</v>
      </c>
      <c r="C2801">
        <v>6</v>
      </c>
      <c r="D2801">
        <v>1</v>
      </c>
      <c r="E2801">
        <v>12100</v>
      </c>
      <c r="F2801">
        <v>48754.46</v>
      </c>
      <c r="G2801">
        <v>84753.76</v>
      </c>
      <c r="H2801">
        <v>0</v>
      </c>
      <c r="I2801">
        <v>0</v>
      </c>
      <c r="J2801">
        <v>-48754.46</v>
      </c>
      <c r="K2801">
        <v>0</v>
      </c>
      <c r="L2801">
        <v>11035254.08</v>
      </c>
      <c r="M2801">
        <v>11168762.300000001</v>
      </c>
      <c r="N2801">
        <v>11035254.08</v>
      </c>
      <c r="O2801">
        <v>11168762.300000001</v>
      </c>
      <c r="P2801">
        <v>11035254.08</v>
      </c>
      <c r="Q2801">
        <v>11168762.300000001</v>
      </c>
      <c r="R2801" s="14">
        <f>_xlfn.XLOOKUP(Table2[[#This Row],[LoanID]],Table1[G-L ID],Table1[ManagerCode],-99)</f>
        <v>183</v>
      </c>
      <c r="T2801"/>
    </row>
    <row r="2802" spans="1:20" x14ac:dyDescent="0.25">
      <c r="A2802">
        <v>20140630</v>
      </c>
      <c r="B2802">
        <v>2014</v>
      </c>
      <c r="C2802">
        <v>6</v>
      </c>
      <c r="D2802">
        <v>1</v>
      </c>
      <c r="E2802">
        <v>12160</v>
      </c>
      <c r="F2802">
        <v>10664.82</v>
      </c>
      <c r="G2802">
        <v>16034.16</v>
      </c>
      <c r="H2802">
        <v>0</v>
      </c>
      <c r="I2802">
        <v>0</v>
      </c>
      <c r="J2802">
        <v>-801718.45</v>
      </c>
      <c r="K2802">
        <v>0</v>
      </c>
      <c r="L2802">
        <v>2150115.96</v>
      </c>
      <c r="M2802">
        <v>2967868.57</v>
      </c>
      <c r="N2802">
        <v>2150115.96</v>
      </c>
      <c r="O2802">
        <v>2967868.57</v>
      </c>
      <c r="P2802">
        <v>2150115.96</v>
      </c>
      <c r="Q2802">
        <v>2967868.57</v>
      </c>
      <c r="R2802" s="14">
        <f>_xlfn.XLOOKUP(Table2[[#This Row],[LoanID]],Table1[G-L ID],Table1[ManagerCode],-99)</f>
        <v>183</v>
      </c>
      <c r="T2802"/>
    </row>
    <row r="2803" spans="1:20" x14ac:dyDescent="0.25">
      <c r="A2803">
        <v>20140630</v>
      </c>
      <c r="B2803">
        <v>2014</v>
      </c>
      <c r="C2803">
        <v>6</v>
      </c>
      <c r="D2803">
        <v>1</v>
      </c>
      <c r="E2803">
        <v>12180</v>
      </c>
      <c r="F2803">
        <v>233576.39</v>
      </c>
      <c r="G2803">
        <v>0</v>
      </c>
      <c r="H2803">
        <v>0</v>
      </c>
      <c r="I2803">
        <v>0</v>
      </c>
      <c r="J2803">
        <v>0</v>
      </c>
      <c r="K2803">
        <v>0</v>
      </c>
      <c r="L2803">
        <v>35000000</v>
      </c>
      <c r="M2803">
        <v>35000000</v>
      </c>
      <c r="N2803">
        <v>35000000</v>
      </c>
      <c r="O2803">
        <v>35000000</v>
      </c>
      <c r="P2803">
        <v>35000000</v>
      </c>
      <c r="Q2803">
        <v>35000000</v>
      </c>
      <c r="R2803" s="14">
        <f>_xlfn.XLOOKUP(Table2[[#This Row],[LoanID]],Table1[G-L ID],Table1[ManagerCode],-99)</f>
        <v>220</v>
      </c>
      <c r="T2803"/>
    </row>
    <row r="2804" spans="1:20" x14ac:dyDescent="0.25">
      <c r="A2804">
        <v>20140630</v>
      </c>
      <c r="B2804">
        <v>2014</v>
      </c>
      <c r="C2804">
        <v>6</v>
      </c>
      <c r="D2804">
        <v>1</v>
      </c>
      <c r="E2804">
        <v>12190</v>
      </c>
      <c r="F2804">
        <v>0</v>
      </c>
      <c r="G2804">
        <v>0</v>
      </c>
      <c r="H2804">
        <v>0</v>
      </c>
      <c r="I2804">
        <v>0</v>
      </c>
      <c r="J2804">
        <v>0</v>
      </c>
      <c r="K2804">
        <v>0</v>
      </c>
      <c r="L2804">
        <v>37500000</v>
      </c>
      <c r="M2804">
        <v>37500000</v>
      </c>
      <c r="N2804">
        <v>37500000</v>
      </c>
      <c r="O2804">
        <v>37500000</v>
      </c>
      <c r="P2804">
        <v>37500000</v>
      </c>
      <c r="Q2804">
        <v>37500000</v>
      </c>
      <c r="R2804" s="14">
        <f>_xlfn.XLOOKUP(Table2[[#This Row],[LoanID]],Table1[G-L ID],Table1[ManagerCode],-99)</f>
        <v>220</v>
      </c>
      <c r="T2804"/>
    </row>
    <row r="2805" spans="1:20" x14ac:dyDescent="0.25">
      <c r="A2805">
        <v>20140630</v>
      </c>
      <c r="B2805">
        <v>2014</v>
      </c>
      <c r="C2805">
        <v>6</v>
      </c>
      <c r="D2805">
        <v>1</v>
      </c>
      <c r="E2805">
        <v>12210</v>
      </c>
      <c r="F2805">
        <v>685370.84</v>
      </c>
      <c r="G2805">
        <v>0</v>
      </c>
      <c r="H2805">
        <v>0</v>
      </c>
      <c r="I2805">
        <v>0</v>
      </c>
      <c r="J2805">
        <v>0</v>
      </c>
      <c r="K2805">
        <v>213751.47</v>
      </c>
      <c r="L2805">
        <v>129234299.90000001</v>
      </c>
      <c r="M2805">
        <v>128348991.8</v>
      </c>
      <c r="N2805">
        <v>129234299.90000001</v>
      </c>
      <c r="O2805">
        <v>128348991.8</v>
      </c>
      <c r="P2805">
        <v>110894107.2</v>
      </c>
      <c r="Q2805">
        <v>110680355.8</v>
      </c>
      <c r="R2805" s="14">
        <f>_xlfn.XLOOKUP(Table2[[#This Row],[LoanID]],Table1[G-L ID],Table1[ManagerCode],-99)</f>
        <v>103</v>
      </c>
      <c r="T2805"/>
    </row>
    <row r="2806" spans="1:20" x14ac:dyDescent="0.25">
      <c r="A2806">
        <v>20140630</v>
      </c>
      <c r="B2806">
        <v>2014</v>
      </c>
      <c r="C2806">
        <v>6</v>
      </c>
      <c r="D2806">
        <v>1</v>
      </c>
      <c r="E2806">
        <v>12230</v>
      </c>
      <c r="F2806">
        <v>102155.71</v>
      </c>
      <c r="G2806">
        <v>0</v>
      </c>
      <c r="H2806">
        <v>0</v>
      </c>
      <c r="I2806">
        <v>0</v>
      </c>
      <c r="J2806">
        <v>0</v>
      </c>
      <c r="K2806">
        <v>0</v>
      </c>
      <c r="L2806">
        <v>20265174.280000001</v>
      </c>
      <c r="M2806">
        <v>20265000</v>
      </c>
      <c r="N2806">
        <v>13867783.779999999</v>
      </c>
      <c r="O2806">
        <v>13867609.5</v>
      </c>
      <c r="P2806">
        <v>19295265.219999999</v>
      </c>
      <c r="Q2806">
        <v>19295265.219999999</v>
      </c>
      <c r="R2806" s="14">
        <f>_xlfn.XLOOKUP(Table2[[#This Row],[LoanID]],Table1[G-L ID],Table1[ManagerCode],-99)</f>
        <v>183</v>
      </c>
      <c r="T2806"/>
    </row>
    <row r="2807" spans="1:20" x14ac:dyDescent="0.25">
      <c r="A2807">
        <v>20140630</v>
      </c>
      <c r="B2807">
        <v>2014</v>
      </c>
      <c r="C2807">
        <v>6</v>
      </c>
      <c r="D2807">
        <v>1</v>
      </c>
      <c r="E2807">
        <v>13690</v>
      </c>
      <c r="F2807">
        <v>129166.67</v>
      </c>
      <c r="G2807">
        <v>0</v>
      </c>
      <c r="H2807">
        <v>0</v>
      </c>
      <c r="I2807">
        <v>0</v>
      </c>
      <c r="J2807">
        <v>-20000000</v>
      </c>
      <c r="K2807">
        <v>0</v>
      </c>
      <c r="L2807">
        <v>0</v>
      </c>
      <c r="M2807">
        <v>20000000</v>
      </c>
      <c r="N2807">
        <v>0</v>
      </c>
      <c r="O2807">
        <v>20000000</v>
      </c>
      <c r="P2807">
        <v>0</v>
      </c>
      <c r="Q2807">
        <v>20000000</v>
      </c>
      <c r="R2807" s="14">
        <f>_xlfn.XLOOKUP(Table2[[#This Row],[LoanID]],Table1[G-L ID],Table1[ManagerCode],-99)</f>
        <v>298</v>
      </c>
      <c r="T2807"/>
    </row>
    <row r="2808" spans="1:20" x14ac:dyDescent="0.25">
      <c r="A2808">
        <v>20140630</v>
      </c>
      <c r="B2808">
        <v>2014</v>
      </c>
      <c r="C2808">
        <v>6</v>
      </c>
      <c r="D2808">
        <v>1</v>
      </c>
      <c r="E2808">
        <v>15580</v>
      </c>
      <c r="F2808">
        <v>118967.05</v>
      </c>
      <c r="G2808">
        <v>-3871.83</v>
      </c>
      <c r="H2808">
        <v>0</v>
      </c>
      <c r="I2808">
        <v>0</v>
      </c>
      <c r="J2808">
        <v>0</v>
      </c>
      <c r="K2808">
        <v>4434.26</v>
      </c>
      <c r="L2808">
        <v>15054673.529999999</v>
      </c>
      <c r="M2808">
        <v>15046367.439999999</v>
      </c>
      <c r="N2808">
        <v>15054673.529999999</v>
      </c>
      <c r="O2808">
        <v>15046367.439999999</v>
      </c>
      <c r="P2808">
        <v>15054673.529999999</v>
      </c>
      <c r="Q2808">
        <v>15046367.439999999</v>
      </c>
      <c r="R2808" s="14">
        <f>_xlfn.XLOOKUP(Table2[[#This Row],[LoanID]],Table1[G-L ID],Table1[ManagerCode],-99)</f>
        <v>212</v>
      </c>
      <c r="T2808"/>
    </row>
    <row r="2809" spans="1:20" x14ac:dyDescent="0.25">
      <c r="A2809">
        <v>20140731</v>
      </c>
      <c r="B2809">
        <v>2014</v>
      </c>
      <c r="C2809">
        <v>7</v>
      </c>
      <c r="D2809">
        <v>1</v>
      </c>
      <c r="E2809">
        <v>10050</v>
      </c>
      <c r="F2809">
        <v>149013.89000000001</v>
      </c>
      <c r="G2809">
        <v>0</v>
      </c>
      <c r="H2809">
        <v>0</v>
      </c>
      <c r="I2809">
        <v>0</v>
      </c>
      <c r="J2809">
        <v>0</v>
      </c>
      <c r="K2809">
        <v>0</v>
      </c>
      <c r="L2809">
        <v>37588698.399999999</v>
      </c>
      <c r="M2809">
        <v>37987329.299999997</v>
      </c>
      <c r="N2809">
        <v>37588698.399999999</v>
      </c>
      <c r="O2809">
        <v>37987329.299999997</v>
      </c>
      <c r="P2809">
        <v>33333334</v>
      </c>
      <c r="Q2809">
        <v>33333334</v>
      </c>
      <c r="R2809" s="14">
        <f>_xlfn.XLOOKUP(Table2[[#This Row],[LoanID]],Table1[G-L ID],Table1[ManagerCode],-99)</f>
        <v>103</v>
      </c>
      <c r="T2809"/>
    </row>
    <row r="2810" spans="1:20" x14ac:dyDescent="0.25">
      <c r="A2810">
        <v>20140731</v>
      </c>
      <c r="B2810">
        <v>2014</v>
      </c>
      <c r="C2810">
        <v>7</v>
      </c>
      <c r="D2810">
        <v>1</v>
      </c>
      <c r="E2810">
        <v>10060</v>
      </c>
      <c r="F2810">
        <v>120833.33</v>
      </c>
      <c r="G2810">
        <v>0</v>
      </c>
      <c r="H2810">
        <v>0</v>
      </c>
      <c r="I2810">
        <v>0</v>
      </c>
      <c r="J2810">
        <v>0</v>
      </c>
      <c r="K2810">
        <v>0</v>
      </c>
      <c r="L2810">
        <v>19000000</v>
      </c>
      <c r="M2810">
        <v>19000000</v>
      </c>
      <c r="N2810">
        <v>19000000</v>
      </c>
      <c r="O2810">
        <v>19000000</v>
      </c>
      <c r="P2810">
        <v>20000000</v>
      </c>
      <c r="Q2810">
        <v>20000000</v>
      </c>
      <c r="R2810" s="14">
        <f>_xlfn.XLOOKUP(Table2[[#This Row],[LoanID]],Table1[G-L ID],Table1[ManagerCode],-99)</f>
        <v>103</v>
      </c>
      <c r="T2810"/>
    </row>
    <row r="2811" spans="1:20" x14ac:dyDescent="0.25">
      <c r="A2811">
        <v>20140731</v>
      </c>
      <c r="B2811">
        <v>2014</v>
      </c>
      <c r="C2811">
        <v>7</v>
      </c>
      <c r="D2811">
        <v>1</v>
      </c>
      <c r="E2811">
        <v>10080</v>
      </c>
      <c r="F2811">
        <v>339718.75</v>
      </c>
      <c r="G2811">
        <v>0</v>
      </c>
      <c r="H2811">
        <v>0</v>
      </c>
      <c r="I2811">
        <v>-156.25</v>
      </c>
      <c r="J2811">
        <v>0</v>
      </c>
      <c r="K2811">
        <v>0</v>
      </c>
      <c r="L2811">
        <v>77271487.120000005</v>
      </c>
      <c r="M2811">
        <v>77186277.170000002</v>
      </c>
      <c r="N2811">
        <v>77271487.120000005</v>
      </c>
      <c r="O2811">
        <v>77186277.170000002</v>
      </c>
      <c r="P2811">
        <v>75000000</v>
      </c>
      <c r="Q2811">
        <v>75000000</v>
      </c>
      <c r="R2811" s="14">
        <f>_xlfn.XLOOKUP(Table2[[#This Row],[LoanID]],Table1[G-L ID],Table1[ManagerCode],-99)</f>
        <v>103</v>
      </c>
      <c r="T2811"/>
    </row>
    <row r="2812" spans="1:20" x14ac:dyDescent="0.25">
      <c r="A2812">
        <v>20140731</v>
      </c>
      <c r="B2812">
        <v>2014</v>
      </c>
      <c r="C2812">
        <v>7</v>
      </c>
      <c r="D2812">
        <v>1</v>
      </c>
      <c r="E2812">
        <v>10090</v>
      </c>
      <c r="F2812">
        <v>182083.33</v>
      </c>
      <c r="G2812">
        <v>0</v>
      </c>
      <c r="H2812">
        <v>0</v>
      </c>
      <c r="I2812">
        <v>0</v>
      </c>
      <c r="J2812">
        <v>0</v>
      </c>
      <c r="K2812">
        <v>0</v>
      </c>
      <c r="L2812">
        <v>23000000</v>
      </c>
      <c r="M2812">
        <v>23000000</v>
      </c>
      <c r="N2812">
        <v>23000000</v>
      </c>
      <c r="O2812">
        <v>23000000</v>
      </c>
      <c r="P2812">
        <v>23000000</v>
      </c>
      <c r="Q2812">
        <v>23000000</v>
      </c>
      <c r="R2812" s="14">
        <f>_xlfn.XLOOKUP(Table2[[#This Row],[LoanID]],Table1[G-L ID],Table1[ManagerCode],-99)</f>
        <v>119</v>
      </c>
      <c r="T2812"/>
    </row>
    <row r="2813" spans="1:20" x14ac:dyDescent="0.25">
      <c r="A2813">
        <v>20140731</v>
      </c>
      <c r="B2813">
        <v>2014</v>
      </c>
      <c r="C2813">
        <v>7</v>
      </c>
      <c r="D2813">
        <v>1</v>
      </c>
      <c r="E2813">
        <v>10170</v>
      </c>
      <c r="F2813">
        <v>228684.56</v>
      </c>
      <c r="G2813">
        <v>0</v>
      </c>
      <c r="H2813">
        <v>0</v>
      </c>
      <c r="I2813">
        <v>-1095.93</v>
      </c>
      <c r="J2813">
        <v>0</v>
      </c>
      <c r="K2813">
        <v>83982.88</v>
      </c>
      <c r="L2813">
        <v>44367109.270000003</v>
      </c>
      <c r="M2813">
        <v>44107481.359999999</v>
      </c>
      <c r="N2813">
        <v>44367109.270000003</v>
      </c>
      <c r="O2813">
        <v>44107481.359999999</v>
      </c>
      <c r="P2813">
        <v>43837295.469999999</v>
      </c>
      <c r="Q2813">
        <v>43753312.590000004</v>
      </c>
      <c r="R2813" s="14">
        <f>_xlfn.XLOOKUP(Table2[[#This Row],[LoanID]],Table1[G-L ID],Table1[ManagerCode],-99)</f>
        <v>103</v>
      </c>
      <c r="T2813"/>
    </row>
    <row r="2814" spans="1:20" x14ac:dyDescent="0.25">
      <c r="A2814">
        <v>20140731</v>
      </c>
      <c r="B2814">
        <v>2014</v>
      </c>
      <c r="C2814">
        <v>7</v>
      </c>
      <c r="D2814">
        <v>1</v>
      </c>
      <c r="E2814">
        <v>10190</v>
      </c>
      <c r="F2814">
        <v>41666.67</v>
      </c>
      <c r="G2814">
        <v>0</v>
      </c>
      <c r="H2814">
        <v>0</v>
      </c>
      <c r="I2814">
        <v>0</v>
      </c>
      <c r="J2814">
        <v>0</v>
      </c>
      <c r="K2814">
        <v>0</v>
      </c>
      <c r="L2814">
        <v>9500000</v>
      </c>
      <c r="M2814">
        <v>9500000</v>
      </c>
      <c r="N2814">
        <v>9500000</v>
      </c>
      <c r="O2814">
        <v>9500000</v>
      </c>
      <c r="P2814">
        <v>10000000</v>
      </c>
      <c r="Q2814">
        <v>10000000</v>
      </c>
      <c r="R2814" s="14">
        <f>_xlfn.XLOOKUP(Table2[[#This Row],[LoanID]],Table1[G-L ID],Table1[ManagerCode],-99)</f>
        <v>103</v>
      </c>
      <c r="T2814"/>
    </row>
    <row r="2815" spans="1:20" x14ac:dyDescent="0.25">
      <c r="A2815">
        <v>20140731</v>
      </c>
      <c r="B2815">
        <v>2014</v>
      </c>
      <c r="C2815">
        <v>7</v>
      </c>
      <c r="D2815">
        <v>1</v>
      </c>
      <c r="E2815">
        <v>10200</v>
      </c>
      <c r="F2815">
        <v>128541.67</v>
      </c>
      <c r="G2815">
        <v>0</v>
      </c>
      <c r="H2815">
        <v>0</v>
      </c>
      <c r="I2815">
        <v>0</v>
      </c>
      <c r="J2815">
        <v>0</v>
      </c>
      <c r="K2815">
        <v>0</v>
      </c>
      <c r="L2815">
        <v>29307500</v>
      </c>
      <c r="M2815">
        <v>29307500</v>
      </c>
      <c r="N2815">
        <v>29307500</v>
      </c>
      <c r="O2815">
        <v>29307500</v>
      </c>
      <c r="P2815">
        <v>30850000</v>
      </c>
      <c r="Q2815">
        <v>30850000</v>
      </c>
      <c r="R2815" s="14">
        <f>_xlfn.XLOOKUP(Table2[[#This Row],[LoanID]],Table1[G-L ID],Table1[ManagerCode],-99)</f>
        <v>103</v>
      </c>
      <c r="T2815"/>
    </row>
    <row r="2816" spans="1:20" x14ac:dyDescent="0.25">
      <c r="A2816">
        <v>20140731</v>
      </c>
      <c r="B2816">
        <v>2014</v>
      </c>
      <c r="C2816">
        <v>7</v>
      </c>
      <c r="D2816">
        <v>1</v>
      </c>
      <c r="E2816">
        <v>10220</v>
      </c>
      <c r="F2816">
        <v>541666.67000000004</v>
      </c>
      <c r="G2816">
        <v>0</v>
      </c>
      <c r="H2816">
        <v>0</v>
      </c>
      <c r="I2816">
        <v>0</v>
      </c>
      <c r="J2816">
        <v>0</v>
      </c>
      <c r="K2816">
        <v>0</v>
      </c>
      <c r="L2816">
        <v>99000000</v>
      </c>
      <c r="M2816">
        <v>99000000</v>
      </c>
      <c r="N2816">
        <v>99000000</v>
      </c>
      <c r="O2816">
        <v>99000000</v>
      </c>
      <c r="P2816">
        <v>100000000</v>
      </c>
      <c r="Q2816">
        <v>100000000</v>
      </c>
      <c r="R2816" s="14">
        <f>_xlfn.XLOOKUP(Table2[[#This Row],[LoanID]],Table1[G-L ID],Table1[ManagerCode],-99)</f>
        <v>103</v>
      </c>
      <c r="T2816"/>
    </row>
    <row r="2817" spans="1:20" x14ac:dyDescent="0.25">
      <c r="A2817">
        <v>20140731</v>
      </c>
      <c r="B2817">
        <v>2014</v>
      </c>
      <c r="C2817">
        <v>7</v>
      </c>
      <c r="D2817">
        <v>1</v>
      </c>
      <c r="E2817">
        <v>10230</v>
      </c>
      <c r="F2817">
        <v>171530.15</v>
      </c>
      <c r="G2817">
        <v>0</v>
      </c>
      <c r="H2817">
        <v>0</v>
      </c>
      <c r="I2817">
        <v>0</v>
      </c>
      <c r="J2817">
        <v>0</v>
      </c>
      <c r="K2817">
        <v>70067.92</v>
      </c>
      <c r="L2817">
        <v>29012517.149999999</v>
      </c>
      <c r="M2817">
        <v>28945952.629999999</v>
      </c>
      <c r="N2817">
        <v>29012517.149999999</v>
      </c>
      <c r="O2817">
        <v>28945952.629999999</v>
      </c>
      <c r="P2817">
        <v>30539491.73</v>
      </c>
      <c r="Q2817">
        <v>30469423.809999999</v>
      </c>
      <c r="R2817" s="14">
        <f>_xlfn.XLOOKUP(Table2[[#This Row],[LoanID]],Table1[G-L ID],Table1[ManagerCode],-99)</f>
        <v>103</v>
      </c>
      <c r="T2817"/>
    </row>
    <row r="2818" spans="1:20" x14ac:dyDescent="0.25">
      <c r="A2818">
        <v>20140731</v>
      </c>
      <c r="B2818">
        <v>2014</v>
      </c>
      <c r="C2818">
        <v>7</v>
      </c>
      <c r="D2818">
        <v>1</v>
      </c>
      <c r="E2818">
        <v>10340</v>
      </c>
      <c r="F2818">
        <v>107005.5</v>
      </c>
      <c r="G2818">
        <v>0</v>
      </c>
      <c r="H2818">
        <v>0</v>
      </c>
      <c r="I2818">
        <v>0</v>
      </c>
      <c r="J2818">
        <v>0</v>
      </c>
      <c r="K2818">
        <v>0</v>
      </c>
      <c r="L2818">
        <v>12527473</v>
      </c>
      <c r="M2818">
        <v>12527473</v>
      </c>
      <c r="N2818">
        <v>12527473</v>
      </c>
      <c r="O2818">
        <v>12527473</v>
      </c>
      <c r="P2818">
        <v>12527473</v>
      </c>
      <c r="Q2818">
        <v>12527473</v>
      </c>
      <c r="R2818" s="14">
        <f>_xlfn.XLOOKUP(Table2[[#This Row],[LoanID]],Table1[G-L ID],Table1[ManagerCode],-99)</f>
        <v>220</v>
      </c>
      <c r="T2818"/>
    </row>
    <row r="2819" spans="1:20" x14ac:dyDescent="0.25">
      <c r="A2819">
        <v>20140731</v>
      </c>
      <c r="B2819">
        <v>2014</v>
      </c>
      <c r="C2819">
        <v>7</v>
      </c>
      <c r="D2819">
        <v>1</v>
      </c>
      <c r="E2819">
        <v>10400</v>
      </c>
      <c r="F2819">
        <v>399375</v>
      </c>
      <c r="G2819">
        <v>0</v>
      </c>
      <c r="H2819">
        <v>0</v>
      </c>
      <c r="I2819">
        <v>0</v>
      </c>
      <c r="J2819">
        <v>0</v>
      </c>
      <c r="K2819">
        <v>0</v>
      </c>
      <c r="L2819">
        <v>45000000</v>
      </c>
      <c r="M2819">
        <v>45000000</v>
      </c>
      <c r="N2819">
        <v>45000000</v>
      </c>
      <c r="O2819">
        <v>45000000</v>
      </c>
      <c r="P2819">
        <v>45000000</v>
      </c>
      <c r="Q2819">
        <v>45000000</v>
      </c>
      <c r="R2819" s="14">
        <f>_xlfn.XLOOKUP(Table2[[#This Row],[LoanID]],Table1[G-L ID],Table1[ManagerCode],-99)</f>
        <v>220</v>
      </c>
      <c r="T2819"/>
    </row>
    <row r="2820" spans="1:20" x14ac:dyDescent="0.25">
      <c r="A2820">
        <v>20140731</v>
      </c>
      <c r="B2820">
        <v>2014</v>
      </c>
      <c r="C2820">
        <v>7</v>
      </c>
      <c r="D2820">
        <v>1</v>
      </c>
      <c r="E2820">
        <v>10430</v>
      </c>
      <c r="F2820">
        <v>59304.34</v>
      </c>
      <c r="G2820">
        <v>0</v>
      </c>
      <c r="H2820">
        <v>0</v>
      </c>
      <c r="I2820">
        <v>0</v>
      </c>
      <c r="J2820">
        <v>0</v>
      </c>
      <c r="K2820">
        <v>14875</v>
      </c>
      <c r="L2820">
        <v>6806625</v>
      </c>
      <c r="M2820">
        <v>6791750</v>
      </c>
      <c r="N2820">
        <v>6806625</v>
      </c>
      <c r="O2820">
        <v>6791750</v>
      </c>
      <c r="P2820">
        <v>6806625</v>
      </c>
      <c r="Q2820">
        <v>6791750</v>
      </c>
      <c r="R2820" s="14">
        <f>_xlfn.XLOOKUP(Table2[[#This Row],[LoanID]],Table1[G-L ID],Table1[ManagerCode],-99)</f>
        <v>119</v>
      </c>
      <c r="T2820"/>
    </row>
    <row r="2821" spans="1:20" x14ac:dyDescent="0.25">
      <c r="A2821">
        <v>20140731</v>
      </c>
      <c r="B2821">
        <v>2014</v>
      </c>
      <c r="C2821">
        <v>7</v>
      </c>
      <c r="D2821">
        <v>1</v>
      </c>
      <c r="E2821">
        <v>10460</v>
      </c>
      <c r="F2821">
        <v>124516.67</v>
      </c>
      <c r="G2821">
        <v>0</v>
      </c>
      <c r="H2821">
        <v>0</v>
      </c>
      <c r="I2821">
        <v>0</v>
      </c>
      <c r="J2821">
        <v>0</v>
      </c>
      <c r="K2821">
        <v>0</v>
      </c>
      <c r="L2821">
        <v>59680228.659999996</v>
      </c>
      <c r="M2821">
        <v>59689431.310000002</v>
      </c>
      <c r="N2821">
        <v>59680228.659999996</v>
      </c>
      <c r="O2821">
        <v>59689431.310000002</v>
      </c>
      <c r="P2821">
        <v>60000000</v>
      </c>
      <c r="Q2821">
        <v>60000000</v>
      </c>
      <c r="R2821" s="14">
        <f>_xlfn.XLOOKUP(Table2[[#This Row],[LoanID]],Table1[G-L ID],Table1[ManagerCode],-99)</f>
        <v>103</v>
      </c>
      <c r="T2821"/>
    </row>
    <row r="2822" spans="1:20" x14ac:dyDescent="0.25">
      <c r="A2822">
        <v>20140731</v>
      </c>
      <c r="B2822">
        <v>2014</v>
      </c>
      <c r="C2822">
        <v>7</v>
      </c>
      <c r="D2822">
        <v>1</v>
      </c>
      <c r="E2822">
        <v>10470</v>
      </c>
      <c r="F2822">
        <v>57263.89</v>
      </c>
      <c r="G2822">
        <v>0</v>
      </c>
      <c r="H2822">
        <v>0</v>
      </c>
      <c r="I2822">
        <v>0</v>
      </c>
      <c r="J2822">
        <v>0</v>
      </c>
      <c r="K2822">
        <v>0</v>
      </c>
      <c r="L2822">
        <v>25000000</v>
      </c>
      <c r="M2822">
        <v>25000000</v>
      </c>
      <c r="N2822">
        <v>25000000</v>
      </c>
      <c r="O2822">
        <v>25000000</v>
      </c>
      <c r="P2822">
        <v>25000000</v>
      </c>
      <c r="Q2822">
        <v>25000000</v>
      </c>
      <c r="R2822" s="14">
        <f>_xlfn.XLOOKUP(Table2[[#This Row],[LoanID]],Table1[G-L ID],Table1[ManagerCode],-99)</f>
        <v>103</v>
      </c>
      <c r="T2822"/>
    </row>
    <row r="2823" spans="1:20" x14ac:dyDescent="0.25">
      <c r="A2823">
        <v>20140731</v>
      </c>
      <c r="B2823">
        <v>2014</v>
      </c>
      <c r="C2823">
        <v>7</v>
      </c>
      <c r="D2823">
        <v>1</v>
      </c>
      <c r="E2823">
        <v>10510</v>
      </c>
      <c r="F2823">
        <v>281363.44</v>
      </c>
      <c r="G2823">
        <v>0</v>
      </c>
      <c r="H2823">
        <v>0</v>
      </c>
      <c r="I2823">
        <v>0</v>
      </c>
      <c r="J2823">
        <v>0</v>
      </c>
      <c r="K2823">
        <v>235295</v>
      </c>
      <c r="L2823">
        <v>45000000</v>
      </c>
      <c r="M2823">
        <v>44764705</v>
      </c>
      <c r="N2823">
        <v>45000000</v>
      </c>
      <c r="O2823">
        <v>44764705</v>
      </c>
      <c r="P2823">
        <v>45000000</v>
      </c>
      <c r="Q2823">
        <v>44764705</v>
      </c>
      <c r="R2823" s="14">
        <f>_xlfn.XLOOKUP(Table2[[#This Row],[LoanID]],Table1[G-L ID],Table1[ManagerCode],-99)</f>
        <v>220</v>
      </c>
      <c r="T2823"/>
    </row>
    <row r="2824" spans="1:20" x14ac:dyDescent="0.25">
      <c r="A2824">
        <v>20140731</v>
      </c>
      <c r="B2824">
        <v>2014</v>
      </c>
      <c r="C2824">
        <v>7</v>
      </c>
      <c r="D2824">
        <v>1</v>
      </c>
      <c r="E2824">
        <v>10570</v>
      </c>
      <c r="F2824">
        <v>981864.1</v>
      </c>
      <c r="G2824">
        <v>0</v>
      </c>
      <c r="H2824">
        <v>20000</v>
      </c>
      <c r="I2824">
        <v>0</v>
      </c>
      <c r="J2824">
        <v>0</v>
      </c>
      <c r="K2824">
        <v>43277239.289999999</v>
      </c>
      <c r="L2824">
        <v>197637165</v>
      </c>
      <c r="M2824">
        <v>154792698.09999999</v>
      </c>
      <c r="N2824">
        <v>197637165</v>
      </c>
      <c r="O2824">
        <v>154792698.09999999</v>
      </c>
      <c r="P2824">
        <v>199633500</v>
      </c>
      <c r="Q2824">
        <v>156356260.69999999</v>
      </c>
      <c r="R2824" s="14">
        <f>_xlfn.XLOOKUP(Table2[[#This Row],[LoanID]],Table1[G-L ID],Table1[ManagerCode],-99)</f>
        <v>103</v>
      </c>
      <c r="T2824"/>
    </row>
    <row r="2825" spans="1:20" x14ac:dyDescent="0.25">
      <c r="A2825">
        <v>20140731</v>
      </c>
      <c r="B2825">
        <v>2014</v>
      </c>
      <c r="C2825">
        <v>7</v>
      </c>
      <c r="D2825">
        <v>1</v>
      </c>
      <c r="E2825">
        <v>10591</v>
      </c>
      <c r="F2825">
        <v>215505.05</v>
      </c>
      <c r="G2825">
        <v>0</v>
      </c>
      <c r="H2825">
        <v>0</v>
      </c>
      <c r="I2825">
        <v>0</v>
      </c>
      <c r="J2825">
        <v>0</v>
      </c>
      <c r="K2825">
        <v>131046.46</v>
      </c>
      <c r="L2825">
        <v>26416001.719999999</v>
      </c>
      <c r="M2825">
        <v>26280071.109999999</v>
      </c>
      <c r="N2825">
        <v>26416001.719999999</v>
      </c>
      <c r="O2825">
        <v>26280071.109999999</v>
      </c>
      <c r="P2825">
        <v>25466843.359999999</v>
      </c>
      <c r="Q2825">
        <v>25335796.899999999</v>
      </c>
      <c r="R2825" s="14">
        <f>_xlfn.XLOOKUP(Table2[[#This Row],[LoanID]],Table1[G-L ID],Table1[ManagerCode],-99)</f>
        <v>220</v>
      </c>
      <c r="T2825"/>
    </row>
    <row r="2826" spans="1:20" x14ac:dyDescent="0.25">
      <c r="A2826">
        <v>20140731</v>
      </c>
      <c r="B2826">
        <v>2014</v>
      </c>
      <c r="C2826">
        <v>7</v>
      </c>
      <c r="D2826">
        <v>1</v>
      </c>
      <c r="E2826">
        <v>10592</v>
      </c>
      <c r="F2826">
        <v>357614.75</v>
      </c>
      <c r="G2826">
        <v>0</v>
      </c>
      <c r="H2826">
        <v>0</v>
      </c>
      <c r="I2826">
        <v>0</v>
      </c>
      <c r="J2826">
        <v>0</v>
      </c>
      <c r="K2826">
        <v>193449.54</v>
      </c>
      <c r="L2826">
        <v>38829536.369999997</v>
      </c>
      <c r="M2826">
        <v>38629728.590000004</v>
      </c>
      <c r="N2826">
        <v>38829536.369999997</v>
      </c>
      <c r="O2826">
        <v>38629728.590000004</v>
      </c>
      <c r="P2826">
        <v>37593911.640000001</v>
      </c>
      <c r="Q2826">
        <v>37400462.100000001</v>
      </c>
      <c r="R2826" s="14">
        <f>_xlfn.XLOOKUP(Table2[[#This Row],[LoanID]],Table1[G-L ID],Table1[ManagerCode],-99)</f>
        <v>220</v>
      </c>
      <c r="T2826"/>
    </row>
    <row r="2827" spans="1:20" x14ac:dyDescent="0.25">
      <c r="A2827">
        <v>20140731</v>
      </c>
      <c r="B2827">
        <v>2014</v>
      </c>
      <c r="C2827">
        <v>7</v>
      </c>
      <c r="D2827">
        <v>1</v>
      </c>
      <c r="E2827">
        <v>10640</v>
      </c>
      <c r="F2827">
        <v>101151.76</v>
      </c>
      <c r="G2827">
        <v>0</v>
      </c>
      <c r="H2827">
        <v>0</v>
      </c>
      <c r="I2827">
        <v>0</v>
      </c>
      <c r="J2827">
        <v>0</v>
      </c>
      <c r="K2827">
        <v>0</v>
      </c>
      <c r="L2827">
        <v>12197063</v>
      </c>
      <c r="M2827">
        <v>12197063</v>
      </c>
      <c r="N2827">
        <v>12197063</v>
      </c>
      <c r="O2827">
        <v>12197063</v>
      </c>
      <c r="P2827">
        <v>12197063</v>
      </c>
      <c r="Q2827">
        <v>12197063</v>
      </c>
      <c r="R2827" s="14">
        <f>_xlfn.XLOOKUP(Table2[[#This Row],[LoanID]],Table1[G-L ID],Table1[ManagerCode],-99)</f>
        <v>220</v>
      </c>
      <c r="T2827"/>
    </row>
    <row r="2828" spans="1:20" x14ac:dyDescent="0.25">
      <c r="A2828">
        <v>20140731</v>
      </c>
      <c r="B2828">
        <v>2014</v>
      </c>
      <c r="C2828">
        <v>7</v>
      </c>
      <c r="D2828">
        <v>1</v>
      </c>
      <c r="E2828">
        <v>10660</v>
      </c>
      <c r="F2828">
        <v>154208.32999999999</v>
      </c>
      <c r="G2828">
        <v>0</v>
      </c>
      <c r="H2828">
        <v>0</v>
      </c>
      <c r="I2828">
        <v>0</v>
      </c>
      <c r="J2828">
        <v>0</v>
      </c>
      <c r="K2828">
        <v>0</v>
      </c>
      <c r="L2828">
        <v>25000000</v>
      </c>
      <c r="M2828">
        <v>25000000</v>
      </c>
      <c r="N2828">
        <v>25000000</v>
      </c>
      <c r="O2828">
        <v>25000000</v>
      </c>
      <c r="P2828">
        <v>25000000</v>
      </c>
      <c r="Q2828">
        <v>25000000</v>
      </c>
      <c r="R2828" s="14">
        <f>_xlfn.XLOOKUP(Table2[[#This Row],[LoanID]],Table1[G-L ID],Table1[ManagerCode],-99)</f>
        <v>119</v>
      </c>
      <c r="T2828"/>
    </row>
    <row r="2829" spans="1:20" x14ac:dyDescent="0.25">
      <c r="A2829">
        <v>20140731</v>
      </c>
      <c r="B2829">
        <v>2014</v>
      </c>
      <c r="C2829">
        <v>7</v>
      </c>
      <c r="D2829">
        <v>1</v>
      </c>
      <c r="E2829">
        <v>10680</v>
      </c>
      <c r="F2829">
        <v>0</v>
      </c>
      <c r="G2829">
        <v>0</v>
      </c>
      <c r="H2829">
        <v>0</v>
      </c>
      <c r="I2829">
        <v>0</v>
      </c>
      <c r="J2829">
        <v>0</v>
      </c>
      <c r="K2829">
        <v>0</v>
      </c>
      <c r="L2829">
        <v>6964400</v>
      </c>
      <c r="M2829">
        <v>6964400</v>
      </c>
      <c r="N2829">
        <v>6964400</v>
      </c>
      <c r="O2829">
        <v>6964400</v>
      </c>
      <c r="P2829">
        <v>6964400</v>
      </c>
      <c r="Q2829">
        <v>6964400</v>
      </c>
      <c r="R2829" s="14">
        <f>_xlfn.XLOOKUP(Table2[[#This Row],[LoanID]],Table1[G-L ID],Table1[ManagerCode],-99)</f>
        <v>119</v>
      </c>
      <c r="T2829"/>
    </row>
    <row r="2830" spans="1:20" x14ac:dyDescent="0.25">
      <c r="A2830">
        <v>20140731</v>
      </c>
      <c r="B2830">
        <v>2014</v>
      </c>
      <c r="C2830">
        <v>7</v>
      </c>
      <c r="D2830">
        <v>1</v>
      </c>
      <c r="E2830">
        <v>10690</v>
      </c>
      <c r="F2830">
        <v>98993.43</v>
      </c>
      <c r="G2830">
        <v>26708.799999999999</v>
      </c>
      <c r="H2830">
        <v>0</v>
      </c>
      <c r="I2830">
        <v>0</v>
      </c>
      <c r="J2830">
        <v>-98993.43</v>
      </c>
      <c r="K2830">
        <v>0</v>
      </c>
      <c r="L2830">
        <v>16895267.170000002</v>
      </c>
      <c r="M2830">
        <v>17020969.399999999</v>
      </c>
      <c r="N2830">
        <v>16895267.170000002</v>
      </c>
      <c r="O2830">
        <v>17020969.399999999</v>
      </c>
      <c r="P2830">
        <v>16895267.170000002</v>
      </c>
      <c r="Q2830">
        <v>17020969.399999999</v>
      </c>
      <c r="R2830" s="14">
        <f>_xlfn.XLOOKUP(Table2[[#This Row],[LoanID]],Table1[G-L ID],Table1[ManagerCode],-99)</f>
        <v>183</v>
      </c>
      <c r="T2830"/>
    </row>
    <row r="2831" spans="1:20" x14ac:dyDescent="0.25">
      <c r="A2831">
        <v>20140731</v>
      </c>
      <c r="B2831">
        <v>2014</v>
      </c>
      <c r="C2831">
        <v>7</v>
      </c>
      <c r="D2831">
        <v>1</v>
      </c>
      <c r="E2831">
        <v>10720</v>
      </c>
      <c r="F2831">
        <v>125000</v>
      </c>
      <c r="G2831">
        <v>96739.44</v>
      </c>
      <c r="H2831">
        <v>0</v>
      </c>
      <c r="I2831">
        <v>0</v>
      </c>
      <c r="J2831">
        <v>0</v>
      </c>
      <c r="K2831">
        <v>0</v>
      </c>
      <c r="L2831">
        <v>18932150.699999999</v>
      </c>
      <c r="M2831">
        <v>19038838.210000001</v>
      </c>
      <c r="N2831">
        <v>18932150.699999999</v>
      </c>
      <c r="O2831">
        <v>19038838.210000001</v>
      </c>
      <c r="P2831">
        <v>17166924.309999999</v>
      </c>
      <c r="Q2831">
        <v>17263663.75</v>
      </c>
      <c r="R2831" s="14">
        <f>_xlfn.XLOOKUP(Table2[[#This Row],[LoanID]],Table1[G-L ID],Table1[ManagerCode],-99)</f>
        <v>220</v>
      </c>
      <c r="T2831"/>
    </row>
    <row r="2832" spans="1:20" x14ac:dyDescent="0.25">
      <c r="A2832">
        <v>20140731</v>
      </c>
      <c r="B2832">
        <v>2014</v>
      </c>
      <c r="C2832">
        <v>7</v>
      </c>
      <c r="D2832">
        <v>1</v>
      </c>
      <c r="E2832">
        <v>10780</v>
      </c>
      <c r="F2832">
        <v>301071.67</v>
      </c>
      <c r="G2832">
        <v>0</v>
      </c>
      <c r="H2832">
        <v>0</v>
      </c>
      <c r="I2832">
        <v>0</v>
      </c>
      <c r="J2832">
        <v>0</v>
      </c>
      <c r="K2832">
        <v>0</v>
      </c>
      <c r="L2832">
        <v>43000000</v>
      </c>
      <c r="M2832">
        <v>43000000</v>
      </c>
      <c r="N2832">
        <v>43000000</v>
      </c>
      <c r="O2832">
        <v>43000000</v>
      </c>
      <c r="P2832">
        <v>43000000</v>
      </c>
      <c r="Q2832">
        <v>43000000</v>
      </c>
      <c r="R2832" s="14">
        <f>_xlfn.XLOOKUP(Table2[[#This Row],[LoanID]],Table1[G-L ID],Table1[ManagerCode],-99)</f>
        <v>220</v>
      </c>
      <c r="T2832"/>
    </row>
    <row r="2833" spans="1:20" x14ac:dyDescent="0.25">
      <c r="A2833">
        <v>20140731</v>
      </c>
      <c r="B2833">
        <v>2014</v>
      </c>
      <c r="C2833">
        <v>7</v>
      </c>
      <c r="D2833">
        <v>1</v>
      </c>
      <c r="E2833">
        <v>10820</v>
      </c>
      <c r="F2833">
        <v>172209.79</v>
      </c>
      <c r="G2833">
        <v>0</v>
      </c>
      <c r="H2833">
        <v>0</v>
      </c>
      <c r="I2833">
        <v>0</v>
      </c>
      <c r="J2833">
        <v>-251048.74</v>
      </c>
      <c r="K2833">
        <v>0</v>
      </c>
      <c r="L2833">
        <v>21730597</v>
      </c>
      <c r="M2833">
        <v>21981645.739999998</v>
      </c>
      <c r="N2833">
        <v>21730597</v>
      </c>
      <c r="O2833">
        <v>21981645.739999998</v>
      </c>
      <c r="P2833">
        <v>21730597</v>
      </c>
      <c r="Q2833">
        <v>21981645.739999998</v>
      </c>
      <c r="R2833" s="14">
        <f>_xlfn.XLOOKUP(Table2[[#This Row],[LoanID]],Table1[G-L ID],Table1[ManagerCode],-99)</f>
        <v>220</v>
      </c>
      <c r="T2833"/>
    </row>
    <row r="2834" spans="1:20" x14ac:dyDescent="0.25">
      <c r="A2834">
        <v>20140731</v>
      </c>
      <c r="B2834">
        <v>2014</v>
      </c>
      <c r="C2834">
        <v>7</v>
      </c>
      <c r="D2834">
        <v>1</v>
      </c>
      <c r="E2834">
        <v>10830</v>
      </c>
      <c r="F2834">
        <v>56213.75</v>
      </c>
      <c r="G2834">
        <v>0</v>
      </c>
      <c r="H2834">
        <v>0</v>
      </c>
      <c r="I2834">
        <v>0</v>
      </c>
      <c r="J2834">
        <v>-183849.69</v>
      </c>
      <c r="K2834">
        <v>0</v>
      </c>
      <c r="L2834">
        <v>7100684.3300000001</v>
      </c>
      <c r="M2834">
        <v>7284534.0199999996</v>
      </c>
      <c r="N2834">
        <v>7100684.3300000001</v>
      </c>
      <c r="O2834">
        <v>7284534.0199999996</v>
      </c>
      <c r="P2834">
        <v>7100684.3300000001</v>
      </c>
      <c r="Q2834">
        <v>7284534.0199999996</v>
      </c>
      <c r="R2834" s="14">
        <f>_xlfn.XLOOKUP(Table2[[#This Row],[LoanID]],Table1[G-L ID],Table1[ManagerCode],-99)</f>
        <v>220</v>
      </c>
      <c r="T2834"/>
    </row>
    <row r="2835" spans="1:20" x14ac:dyDescent="0.25">
      <c r="A2835">
        <v>20140731</v>
      </c>
      <c r="B2835">
        <v>2014</v>
      </c>
      <c r="C2835">
        <v>7</v>
      </c>
      <c r="D2835">
        <v>1</v>
      </c>
      <c r="E2835">
        <v>10840</v>
      </c>
      <c r="F2835">
        <v>100614.41</v>
      </c>
      <c r="G2835">
        <v>0</v>
      </c>
      <c r="H2835">
        <v>0</v>
      </c>
      <c r="I2835">
        <v>0</v>
      </c>
      <c r="J2835">
        <v>0</v>
      </c>
      <c r="K2835">
        <v>0</v>
      </c>
      <c r="L2835">
        <v>12709189</v>
      </c>
      <c r="M2835">
        <v>12709189</v>
      </c>
      <c r="N2835">
        <v>12709189</v>
      </c>
      <c r="O2835">
        <v>12709189</v>
      </c>
      <c r="P2835">
        <v>12709189</v>
      </c>
      <c r="Q2835">
        <v>12709189</v>
      </c>
      <c r="R2835" s="14">
        <f>_xlfn.XLOOKUP(Table2[[#This Row],[LoanID]],Table1[G-L ID],Table1[ManagerCode],-99)</f>
        <v>220</v>
      </c>
      <c r="T2835"/>
    </row>
    <row r="2836" spans="1:20" x14ac:dyDescent="0.25">
      <c r="A2836">
        <v>20140731</v>
      </c>
      <c r="B2836">
        <v>2014</v>
      </c>
      <c r="C2836">
        <v>7</v>
      </c>
      <c r="D2836">
        <v>1</v>
      </c>
      <c r="E2836">
        <v>10850</v>
      </c>
      <c r="F2836">
        <v>106969.15</v>
      </c>
      <c r="G2836">
        <v>0</v>
      </c>
      <c r="H2836">
        <v>0</v>
      </c>
      <c r="I2836">
        <v>0</v>
      </c>
      <c r="J2836">
        <v>0</v>
      </c>
      <c r="K2836">
        <v>0</v>
      </c>
      <c r="L2836">
        <v>13511892</v>
      </c>
      <c r="M2836">
        <v>13511892</v>
      </c>
      <c r="N2836">
        <v>13511892</v>
      </c>
      <c r="O2836">
        <v>13511892</v>
      </c>
      <c r="P2836">
        <v>13511892</v>
      </c>
      <c r="Q2836">
        <v>13511892</v>
      </c>
      <c r="R2836" s="14">
        <f>_xlfn.XLOOKUP(Table2[[#This Row],[LoanID]],Table1[G-L ID],Table1[ManagerCode],-99)</f>
        <v>220</v>
      </c>
      <c r="T2836"/>
    </row>
    <row r="2837" spans="1:20" x14ac:dyDescent="0.25">
      <c r="A2837">
        <v>20140731</v>
      </c>
      <c r="B2837">
        <v>2014</v>
      </c>
      <c r="C2837">
        <v>7</v>
      </c>
      <c r="D2837">
        <v>1</v>
      </c>
      <c r="E2837">
        <v>10860</v>
      </c>
      <c r="F2837">
        <v>113638.33</v>
      </c>
      <c r="G2837">
        <v>0</v>
      </c>
      <c r="H2837">
        <v>0</v>
      </c>
      <c r="I2837">
        <v>0</v>
      </c>
      <c r="J2837">
        <v>0</v>
      </c>
      <c r="K2837">
        <v>0</v>
      </c>
      <c r="L2837">
        <v>19475000</v>
      </c>
      <c r="M2837">
        <v>19475000</v>
      </c>
      <c r="N2837">
        <v>19475000</v>
      </c>
      <c r="O2837">
        <v>19475000</v>
      </c>
      <c r="P2837">
        <v>20500000</v>
      </c>
      <c r="Q2837">
        <v>20500000</v>
      </c>
      <c r="R2837" s="14">
        <f>_xlfn.XLOOKUP(Table2[[#This Row],[LoanID]],Table1[G-L ID],Table1[ManagerCode],-99)</f>
        <v>103</v>
      </c>
      <c r="T2837"/>
    </row>
    <row r="2838" spans="1:20" x14ac:dyDescent="0.25">
      <c r="A2838">
        <v>20140731</v>
      </c>
      <c r="B2838">
        <v>2014</v>
      </c>
      <c r="C2838">
        <v>7</v>
      </c>
      <c r="D2838">
        <v>1</v>
      </c>
      <c r="E2838">
        <v>10900</v>
      </c>
      <c r="F2838">
        <v>78155.56</v>
      </c>
      <c r="G2838">
        <v>0</v>
      </c>
      <c r="H2838">
        <v>0</v>
      </c>
      <c r="I2838">
        <v>0</v>
      </c>
      <c r="J2838">
        <v>0</v>
      </c>
      <c r="K2838">
        <v>5461.5</v>
      </c>
      <c r="L2838">
        <v>8099758.1900000004</v>
      </c>
      <c r="M2838">
        <v>8094569.7599999998</v>
      </c>
      <c r="N2838">
        <v>8099758.1900000004</v>
      </c>
      <c r="O2838">
        <v>8094569.7599999998</v>
      </c>
      <c r="P2838">
        <v>8526061.25</v>
      </c>
      <c r="Q2838">
        <v>8520599.75</v>
      </c>
      <c r="R2838" s="14">
        <f>_xlfn.XLOOKUP(Table2[[#This Row],[LoanID]],Table1[G-L ID],Table1[ManagerCode],-99)</f>
        <v>103</v>
      </c>
      <c r="T2838"/>
    </row>
    <row r="2839" spans="1:20" x14ac:dyDescent="0.25">
      <c r="A2839">
        <v>20140731</v>
      </c>
      <c r="B2839">
        <v>2014</v>
      </c>
      <c r="C2839">
        <v>7</v>
      </c>
      <c r="D2839">
        <v>1</v>
      </c>
      <c r="E2839">
        <v>10920</v>
      </c>
      <c r="F2839">
        <v>114583.33</v>
      </c>
      <c r="G2839">
        <v>0</v>
      </c>
      <c r="H2839">
        <v>0</v>
      </c>
      <c r="I2839">
        <v>0</v>
      </c>
      <c r="J2839">
        <v>0</v>
      </c>
      <c r="K2839">
        <v>0</v>
      </c>
      <c r="L2839">
        <v>11000000</v>
      </c>
      <c r="M2839">
        <v>11000000</v>
      </c>
      <c r="N2839">
        <v>11000000</v>
      </c>
      <c r="O2839">
        <v>11000000</v>
      </c>
      <c r="P2839">
        <v>11000000</v>
      </c>
      <c r="Q2839">
        <v>11000000</v>
      </c>
      <c r="R2839" s="14">
        <f>_xlfn.XLOOKUP(Table2[[#This Row],[LoanID]],Table1[G-L ID],Table1[ManagerCode],-99)</f>
        <v>183</v>
      </c>
      <c r="T2839"/>
    </row>
    <row r="2840" spans="1:20" x14ac:dyDescent="0.25">
      <c r="A2840">
        <v>20140731</v>
      </c>
      <c r="B2840">
        <v>2014</v>
      </c>
      <c r="C2840">
        <v>7</v>
      </c>
      <c r="D2840">
        <v>1</v>
      </c>
      <c r="E2840">
        <v>10940</v>
      </c>
      <c r="F2840">
        <v>48756.56</v>
      </c>
      <c r="G2840">
        <v>69272.899999999994</v>
      </c>
      <c r="H2840">
        <v>0</v>
      </c>
      <c r="I2840">
        <v>0</v>
      </c>
      <c r="J2840">
        <v>-48756.56</v>
      </c>
      <c r="K2840">
        <v>0</v>
      </c>
      <c r="L2840">
        <v>10376308.52</v>
      </c>
      <c r="M2840">
        <v>10494337.98</v>
      </c>
      <c r="N2840">
        <v>10376308.52</v>
      </c>
      <c r="O2840">
        <v>10494337.98</v>
      </c>
      <c r="P2840">
        <v>10376308.52</v>
      </c>
      <c r="Q2840">
        <v>10494337.98</v>
      </c>
      <c r="R2840" s="14">
        <f>_xlfn.XLOOKUP(Table2[[#This Row],[LoanID]],Table1[G-L ID],Table1[ManagerCode],-99)</f>
        <v>183</v>
      </c>
      <c r="T2840"/>
    </row>
    <row r="2841" spans="1:20" x14ac:dyDescent="0.25">
      <c r="A2841">
        <v>20140731</v>
      </c>
      <c r="B2841">
        <v>2014</v>
      </c>
      <c r="C2841">
        <v>7</v>
      </c>
      <c r="D2841">
        <v>1</v>
      </c>
      <c r="E2841">
        <v>10960</v>
      </c>
      <c r="F2841">
        <v>0</v>
      </c>
      <c r="G2841">
        <v>0</v>
      </c>
      <c r="H2841">
        <v>245000</v>
      </c>
      <c r="I2841">
        <v>0</v>
      </c>
      <c r="J2841">
        <v>-22750000</v>
      </c>
      <c r="K2841">
        <v>0</v>
      </c>
      <c r="L2841">
        <v>0</v>
      </c>
      <c r="M2841">
        <v>22750000</v>
      </c>
      <c r="N2841">
        <v>0</v>
      </c>
      <c r="O2841">
        <v>22750000</v>
      </c>
      <c r="P2841">
        <v>0</v>
      </c>
      <c r="Q2841">
        <v>22750000</v>
      </c>
      <c r="R2841" s="14">
        <f>_xlfn.XLOOKUP(Table2[[#This Row],[LoanID]],Table1[G-L ID],Table1[ManagerCode],-99)</f>
        <v>119</v>
      </c>
      <c r="T2841"/>
    </row>
    <row r="2842" spans="1:20" x14ac:dyDescent="0.25">
      <c r="A2842">
        <v>20140731</v>
      </c>
      <c r="B2842">
        <v>2014</v>
      </c>
      <c r="C2842">
        <v>7</v>
      </c>
      <c r="D2842">
        <v>1</v>
      </c>
      <c r="E2842">
        <v>11020</v>
      </c>
      <c r="F2842">
        <v>178500</v>
      </c>
      <c r="G2842">
        <v>0</v>
      </c>
      <c r="H2842">
        <v>120000</v>
      </c>
      <c r="I2842">
        <v>0</v>
      </c>
      <c r="J2842">
        <v>0</v>
      </c>
      <c r="K2842">
        <v>12000000</v>
      </c>
      <c r="L2842">
        <v>12000000</v>
      </c>
      <c r="M2842">
        <v>0</v>
      </c>
      <c r="N2842">
        <v>12000000</v>
      </c>
      <c r="O2842">
        <v>0</v>
      </c>
      <c r="P2842">
        <v>12000000</v>
      </c>
      <c r="Q2842">
        <v>0</v>
      </c>
      <c r="R2842" s="14">
        <f>_xlfn.XLOOKUP(Table2[[#This Row],[LoanID]],Table1[G-L ID],Table1[ManagerCode],-99)</f>
        <v>119</v>
      </c>
      <c r="T2842"/>
    </row>
    <row r="2843" spans="1:20" x14ac:dyDescent="0.25">
      <c r="A2843">
        <v>20140731</v>
      </c>
      <c r="B2843">
        <v>2014</v>
      </c>
      <c r="C2843">
        <v>7</v>
      </c>
      <c r="D2843">
        <v>1</v>
      </c>
      <c r="E2843">
        <v>11030</v>
      </c>
      <c r="F2843">
        <v>60906.44</v>
      </c>
      <c r="G2843">
        <v>0</v>
      </c>
      <c r="H2843">
        <v>0</v>
      </c>
      <c r="I2843">
        <v>0</v>
      </c>
      <c r="J2843">
        <v>0</v>
      </c>
      <c r="K2843">
        <v>0</v>
      </c>
      <c r="L2843">
        <v>8000000</v>
      </c>
      <c r="M2843">
        <v>8000000</v>
      </c>
      <c r="N2843">
        <v>8000000</v>
      </c>
      <c r="O2843">
        <v>8000000</v>
      </c>
      <c r="P2843">
        <v>8000000</v>
      </c>
      <c r="Q2843">
        <v>8000000</v>
      </c>
      <c r="R2843" s="14">
        <f>_xlfn.XLOOKUP(Table2[[#This Row],[LoanID]],Table1[G-L ID],Table1[ManagerCode],-99)</f>
        <v>119</v>
      </c>
      <c r="T2843"/>
    </row>
    <row r="2844" spans="1:20" x14ac:dyDescent="0.25">
      <c r="A2844">
        <v>20140731</v>
      </c>
      <c r="B2844">
        <v>2014</v>
      </c>
      <c r="C2844">
        <v>7</v>
      </c>
      <c r="D2844">
        <v>1</v>
      </c>
      <c r="E2844">
        <v>11040</v>
      </c>
      <c r="F2844">
        <v>506333.33</v>
      </c>
      <c r="G2844">
        <v>0</v>
      </c>
      <c r="H2844">
        <v>0</v>
      </c>
      <c r="I2844">
        <v>0</v>
      </c>
      <c r="J2844">
        <v>0</v>
      </c>
      <c r="K2844">
        <v>0</v>
      </c>
      <c r="L2844">
        <v>50000000</v>
      </c>
      <c r="M2844">
        <v>50000000</v>
      </c>
      <c r="N2844">
        <v>50000000</v>
      </c>
      <c r="O2844">
        <v>50000000</v>
      </c>
      <c r="P2844">
        <v>50000000</v>
      </c>
      <c r="Q2844">
        <v>50000000</v>
      </c>
      <c r="R2844" s="14">
        <f>_xlfn.XLOOKUP(Table2[[#This Row],[LoanID]],Table1[G-L ID],Table1[ManagerCode],-99)</f>
        <v>220</v>
      </c>
      <c r="T2844"/>
    </row>
    <row r="2845" spans="1:20" x14ac:dyDescent="0.25">
      <c r="A2845">
        <v>20140731</v>
      </c>
      <c r="B2845">
        <v>2014</v>
      </c>
      <c r="C2845">
        <v>7</v>
      </c>
      <c r="D2845">
        <v>1</v>
      </c>
      <c r="E2845">
        <v>11050</v>
      </c>
      <c r="F2845">
        <v>290938</v>
      </c>
      <c r="G2845">
        <v>0</v>
      </c>
      <c r="H2845">
        <v>0</v>
      </c>
      <c r="I2845">
        <v>0</v>
      </c>
      <c r="J2845">
        <v>0</v>
      </c>
      <c r="K2845">
        <v>0</v>
      </c>
      <c r="L2845">
        <v>29200000</v>
      </c>
      <c r="M2845">
        <v>29200000</v>
      </c>
      <c r="N2845">
        <v>29200000</v>
      </c>
      <c r="O2845">
        <v>29200000</v>
      </c>
      <c r="P2845">
        <v>28500000</v>
      </c>
      <c r="Q2845">
        <v>28500000</v>
      </c>
      <c r="R2845" s="14">
        <f>_xlfn.XLOOKUP(Table2[[#This Row],[LoanID]],Table1[G-L ID],Table1[ManagerCode],-99)</f>
        <v>220</v>
      </c>
      <c r="T2845"/>
    </row>
    <row r="2846" spans="1:20" x14ac:dyDescent="0.25">
      <c r="A2846">
        <v>20140731</v>
      </c>
      <c r="B2846">
        <v>2014</v>
      </c>
      <c r="C2846">
        <v>7</v>
      </c>
      <c r="D2846">
        <v>1</v>
      </c>
      <c r="E2846">
        <v>11070</v>
      </c>
      <c r="F2846">
        <v>0</v>
      </c>
      <c r="G2846">
        <v>0</v>
      </c>
      <c r="H2846">
        <v>0</v>
      </c>
      <c r="I2846">
        <v>0</v>
      </c>
      <c r="J2846">
        <v>0</v>
      </c>
      <c r="K2846">
        <v>0</v>
      </c>
      <c r="L2846">
        <v>13821679.310000001</v>
      </c>
      <c r="M2846">
        <v>13821679.310000001</v>
      </c>
      <c r="N2846">
        <v>13821679.310000001</v>
      </c>
      <c r="O2846">
        <v>13821679.310000001</v>
      </c>
      <c r="P2846">
        <v>17277099.120000001</v>
      </c>
      <c r="Q2846">
        <v>17277099.120000001</v>
      </c>
      <c r="R2846" s="14">
        <f>_xlfn.XLOOKUP(Table2[[#This Row],[LoanID]],Table1[G-L ID],Table1[ManagerCode],-99)</f>
        <v>103</v>
      </c>
      <c r="T2846"/>
    </row>
    <row r="2847" spans="1:20" x14ac:dyDescent="0.25">
      <c r="A2847">
        <v>20140731</v>
      </c>
      <c r="B2847">
        <v>2014</v>
      </c>
      <c r="C2847">
        <v>7</v>
      </c>
      <c r="D2847">
        <v>1</v>
      </c>
      <c r="E2847">
        <v>11100</v>
      </c>
      <c r="F2847">
        <v>52940.24</v>
      </c>
      <c r="G2847">
        <v>0</v>
      </c>
      <c r="H2847">
        <v>0</v>
      </c>
      <c r="I2847">
        <v>0</v>
      </c>
      <c r="J2847">
        <v>-770233.22</v>
      </c>
      <c r="K2847">
        <v>0</v>
      </c>
      <c r="L2847">
        <v>13554681.84</v>
      </c>
      <c r="M2847">
        <v>14335212.09</v>
      </c>
      <c r="N2847">
        <v>13554681.84</v>
      </c>
      <c r="O2847">
        <v>14335212.09</v>
      </c>
      <c r="P2847">
        <v>14036844.300000001</v>
      </c>
      <c r="Q2847">
        <v>14807077.52</v>
      </c>
      <c r="R2847" s="14">
        <f>_xlfn.XLOOKUP(Table2[[#This Row],[LoanID]],Table1[G-L ID],Table1[ManagerCode],-99)</f>
        <v>103</v>
      </c>
      <c r="T2847"/>
    </row>
    <row r="2848" spans="1:20" x14ac:dyDescent="0.25">
      <c r="A2848">
        <v>20140731</v>
      </c>
      <c r="B2848">
        <v>2014</v>
      </c>
      <c r="C2848">
        <v>7</v>
      </c>
      <c r="D2848">
        <v>1</v>
      </c>
      <c r="E2848">
        <v>11130</v>
      </c>
      <c r="F2848">
        <v>937667.33</v>
      </c>
      <c r="G2848">
        <v>0</v>
      </c>
      <c r="H2848">
        <v>0</v>
      </c>
      <c r="I2848">
        <v>0</v>
      </c>
      <c r="J2848">
        <v>0</v>
      </c>
      <c r="K2848">
        <v>0</v>
      </c>
      <c r="L2848">
        <v>168150000</v>
      </c>
      <c r="M2848">
        <v>168150000</v>
      </c>
      <c r="N2848">
        <v>168150000</v>
      </c>
      <c r="O2848">
        <v>168150000</v>
      </c>
      <c r="P2848">
        <v>177000000</v>
      </c>
      <c r="Q2848">
        <v>177000000</v>
      </c>
      <c r="R2848" s="14">
        <f>_xlfn.XLOOKUP(Table2[[#This Row],[LoanID]],Table1[G-L ID],Table1[ManagerCode],-99)</f>
        <v>103</v>
      </c>
      <c r="T2848"/>
    </row>
    <row r="2849" spans="1:20" x14ac:dyDescent="0.25">
      <c r="A2849">
        <v>20140731</v>
      </c>
      <c r="B2849">
        <v>2014</v>
      </c>
      <c r="C2849">
        <v>7</v>
      </c>
      <c r="D2849">
        <v>1</v>
      </c>
      <c r="E2849">
        <v>11170</v>
      </c>
      <c r="F2849">
        <v>678256.25</v>
      </c>
      <c r="G2849">
        <v>0</v>
      </c>
      <c r="H2849">
        <v>0</v>
      </c>
      <c r="I2849">
        <v>0</v>
      </c>
      <c r="J2849">
        <v>0</v>
      </c>
      <c r="K2849">
        <v>0</v>
      </c>
      <c r="L2849">
        <v>173249826.80000001</v>
      </c>
      <c r="M2849">
        <v>173249826.80000001</v>
      </c>
      <c r="N2849">
        <v>173249826.80000001</v>
      </c>
      <c r="O2849">
        <v>173249826.80000001</v>
      </c>
      <c r="P2849">
        <v>175000000</v>
      </c>
      <c r="Q2849">
        <v>175000000</v>
      </c>
      <c r="R2849" s="14">
        <f>_xlfn.XLOOKUP(Table2[[#This Row],[LoanID]],Table1[G-L ID],Table1[ManagerCode],-99)</f>
        <v>103</v>
      </c>
      <c r="T2849"/>
    </row>
    <row r="2850" spans="1:20" x14ac:dyDescent="0.25">
      <c r="A2850">
        <v>20140731</v>
      </c>
      <c r="B2850">
        <v>2014</v>
      </c>
      <c r="C2850">
        <v>7</v>
      </c>
      <c r="D2850">
        <v>1</v>
      </c>
      <c r="E2850">
        <v>11220</v>
      </c>
      <c r="F2850">
        <v>301875</v>
      </c>
      <c r="G2850">
        <v>0</v>
      </c>
      <c r="H2850">
        <v>0</v>
      </c>
      <c r="I2850">
        <v>0</v>
      </c>
      <c r="J2850">
        <v>0</v>
      </c>
      <c r="K2850">
        <v>0</v>
      </c>
      <c r="L2850">
        <v>34500000</v>
      </c>
      <c r="M2850">
        <v>34500000</v>
      </c>
      <c r="N2850">
        <v>34500000</v>
      </c>
      <c r="O2850">
        <v>34500000</v>
      </c>
      <c r="P2850">
        <v>34500000</v>
      </c>
      <c r="Q2850">
        <v>34500000</v>
      </c>
      <c r="R2850" s="14">
        <f>_xlfn.XLOOKUP(Table2[[#This Row],[LoanID]],Table1[G-L ID],Table1[ManagerCode],-99)</f>
        <v>220</v>
      </c>
      <c r="T2850"/>
    </row>
    <row r="2851" spans="1:20" x14ac:dyDescent="0.25">
      <c r="A2851">
        <v>20140731</v>
      </c>
      <c r="B2851">
        <v>2014</v>
      </c>
      <c r="C2851">
        <v>7</v>
      </c>
      <c r="D2851">
        <v>1</v>
      </c>
      <c r="E2851">
        <v>11230</v>
      </c>
      <c r="F2851">
        <v>36459279.560000002</v>
      </c>
      <c r="G2851">
        <v>0</v>
      </c>
      <c r="H2851">
        <v>0</v>
      </c>
      <c r="I2851">
        <v>-38700</v>
      </c>
      <c r="J2851">
        <v>0</v>
      </c>
      <c r="K2851">
        <v>194929626.59999999</v>
      </c>
      <c r="L2851">
        <v>185182960.09999999</v>
      </c>
      <c r="M2851">
        <v>0</v>
      </c>
      <c r="N2851">
        <v>185182960.09999999</v>
      </c>
      <c r="O2851">
        <v>0</v>
      </c>
      <c r="P2851">
        <v>194929626.59999999</v>
      </c>
      <c r="Q2851">
        <v>0</v>
      </c>
      <c r="R2851" s="14">
        <f>_xlfn.XLOOKUP(Table2[[#This Row],[LoanID]],Table1[G-L ID],Table1[ManagerCode],-99)</f>
        <v>103</v>
      </c>
      <c r="T2851"/>
    </row>
    <row r="2852" spans="1:20" x14ac:dyDescent="0.25">
      <c r="A2852">
        <v>20140731</v>
      </c>
      <c r="B2852">
        <v>2014</v>
      </c>
      <c r="C2852">
        <v>7</v>
      </c>
      <c r="D2852">
        <v>1</v>
      </c>
      <c r="E2852">
        <v>11320</v>
      </c>
      <c r="F2852">
        <v>94554.68</v>
      </c>
      <c r="G2852">
        <v>0</v>
      </c>
      <c r="H2852">
        <v>0</v>
      </c>
      <c r="I2852">
        <v>0</v>
      </c>
      <c r="J2852">
        <v>0</v>
      </c>
      <c r="K2852">
        <v>18000</v>
      </c>
      <c r="L2852">
        <v>12000000</v>
      </c>
      <c r="M2852">
        <v>11982000</v>
      </c>
      <c r="N2852">
        <v>12000000</v>
      </c>
      <c r="O2852">
        <v>11982000</v>
      </c>
      <c r="P2852">
        <v>12000000</v>
      </c>
      <c r="Q2852">
        <v>11982000</v>
      </c>
      <c r="R2852" s="14">
        <f>_xlfn.XLOOKUP(Table2[[#This Row],[LoanID]],Table1[G-L ID],Table1[ManagerCode],-99)</f>
        <v>119</v>
      </c>
      <c r="T2852"/>
    </row>
    <row r="2853" spans="1:20" x14ac:dyDescent="0.25">
      <c r="A2853">
        <v>20140731</v>
      </c>
      <c r="B2853">
        <v>2014</v>
      </c>
      <c r="C2853">
        <v>7</v>
      </c>
      <c r="D2853">
        <v>1</v>
      </c>
      <c r="E2853">
        <v>11340</v>
      </c>
      <c r="F2853">
        <v>291666.67</v>
      </c>
      <c r="G2853">
        <v>0</v>
      </c>
      <c r="H2853">
        <v>0</v>
      </c>
      <c r="I2853">
        <v>0</v>
      </c>
      <c r="J2853">
        <v>0</v>
      </c>
      <c r="K2853">
        <v>0</v>
      </c>
      <c r="L2853">
        <v>49500000</v>
      </c>
      <c r="M2853">
        <v>49500000</v>
      </c>
      <c r="N2853">
        <v>49500000</v>
      </c>
      <c r="O2853">
        <v>49500000</v>
      </c>
      <c r="P2853">
        <v>50000000</v>
      </c>
      <c r="Q2853">
        <v>50000000</v>
      </c>
      <c r="R2853" s="14">
        <f>_xlfn.XLOOKUP(Table2[[#This Row],[LoanID]],Table1[G-L ID],Table1[ManagerCode],-99)</f>
        <v>103</v>
      </c>
      <c r="T2853"/>
    </row>
    <row r="2854" spans="1:20" x14ac:dyDescent="0.25">
      <c r="A2854">
        <v>20140731</v>
      </c>
      <c r="B2854">
        <v>2014</v>
      </c>
      <c r="C2854">
        <v>7</v>
      </c>
      <c r="D2854">
        <v>1</v>
      </c>
      <c r="E2854">
        <v>11350</v>
      </c>
      <c r="F2854">
        <v>320833.33</v>
      </c>
      <c r="G2854">
        <v>0</v>
      </c>
      <c r="H2854">
        <v>0</v>
      </c>
      <c r="I2854">
        <v>0</v>
      </c>
      <c r="J2854">
        <v>0</v>
      </c>
      <c r="K2854">
        <v>0</v>
      </c>
      <c r="L2854">
        <v>54449945.549999997</v>
      </c>
      <c r="M2854">
        <v>54449945.549999997</v>
      </c>
      <c r="N2854">
        <v>54449945.549999997</v>
      </c>
      <c r="O2854">
        <v>54449945.549999997</v>
      </c>
      <c r="P2854">
        <v>55000000</v>
      </c>
      <c r="Q2854">
        <v>55000000</v>
      </c>
      <c r="R2854" s="14">
        <f>_xlfn.XLOOKUP(Table2[[#This Row],[LoanID]],Table1[G-L ID],Table1[ManagerCode],-99)</f>
        <v>103</v>
      </c>
      <c r="T2854"/>
    </row>
    <row r="2855" spans="1:20" x14ac:dyDescent="0.25">
      <c r="A2855">
        <v>20140731</v>
      </c>
      <c r="B2855">
        <v>2014</v>
      </c>
      <c r="C2855">
        <v>7</v>
      </c>
      <c r="D2855">
        <v>1</v>
      </c>
      <c r="E2855">
        <v>11370</v>
      </c>
      <c r="F2855">
        <v>50093.33</v>
      </c>
      <c r="G2855">
        <v>0</v>
      </c>
      <c r="H2855">
        <v>0</v>
      </c>
      <c r="I2855">
        <v>0</v>
      </c>
      <c r="J2855">
        <v>0</v>
      </c>
      <c r="K2855">
        <v>0</v>
      </c>
      <c r="L2855">
        <v>5525000</v>
      </c>
      <c r="M2855">
        <v>5525000</v>
      </c>
      <c r="N2855">
        <v>5525000</v>
      </c>
      <c r="O2855">
        <v>5525000</v>
      </c>
      <c r="P2855">
        <v>5525000</v>
      </c>
      <c r="Q2855">
        <v>5525000</v>
      </c>
      <c r="R2855" s="14">
        <f>_xlfn.XLOOKUP(Table2[[#This Row],[LoanID]],Table1[G-L ID],Table1[ManagerCode],-99)</f>
        <v>119</v>
      </c>
      <c r="T2855"/>
    </row>
    <row r="2856" spans="1:20" x14ac:dyDescent="0.25">
      <c r="A2856">
        <v>20140731</v>
      </c>
      <c r="B2856">
        <v>2014</v>
      </c>
      <c r="C2856">
        <v>7</v>
      </c>
      <c r="D2856">
        <v>1</v>
      </c>
      <c r="E2856">
        <v>11390</v>
      </c>
      <c r="F2856">
        <v>201041.67</v>
      </c>
      <c r="G2856">
        <v>0</v>
      </c>
      <c r="H2856">
        <v>0</v>
      </c>
      <c r="I2856">
        <v>0</v>
      </c>
      <c r="J2856">
        <v>0</v>
      </c>
      <c r="K2856">
        <v>0</v>
      </c>
      <c r="L2856">
        <v>25000000</v>
      </c>
      <c r="M2856">
        <v>25000000</v>
      </c>
      <c r="N2856">
        <v>25000000</v>
      </c>
      <c r="O2856">
        <v>25000000</v>
      </c>
      <c r="P2856">
        <v>25000000</v>
      </c>
      <c r="Q2856">
        <v>25000000</v>
      </c>
      <c r="R2856" s="14">
        <f>_xlfn.XLOOKUP(Table2[[#This Row],[LoanID]],Table1[G-L ID],Table1[ManagerCode],-99)</f>
        <v>220</v>
      </c>
      <c r="T2856"/>
    </row>
    <row r="2857" spans="1:20" x14ac:dyDescent="0.25">
      <c r="A2857">
        <v>20140731</v>
      </c>
      <c r="B2857">
        <v>2014</v>
      </c>
      <c r="C2857">
        <v>7</v>
      </c>
      <c r="D2857">
        <v>1</v>
      </c>
      <c r="E2857">
        <v>11540</v>
      </c>
      <c r="F2857">
        <v>76266.67</v>
      </c>
      <c r="G2857">
        <v>0</v>
      </c>
      <c r="H2857">
        <v>0</v>
      </c>
      <c r="I2857">
        <v>0</v>
      </c>
      <c r="J2857">
        <v>0</v>
      </c>
      <c r="K2857">
        <v>0</v>
      </c>
      <c r="L2857">
        <v>10000000</v>
      </c>
      <c r="M2857">
        <v>10000000</v>
      </c>
      <c r="N2857">
        <v>10000000</v>
      </c>
      <c r="O2857">
        <v>10000000</v>
      </c>
      <c r="P2857">
        <v>10000000</v>
      </c>
      <c r="Q2857">
        <v>10000000</v>
      </c>
      <c r="R2857" s="14">
        <f>_xlfn.XLOOKUP(Table2[[#This Row],[LoanID]],Table1[G-L ID],Table1[ManagerCode],-99)</f>
        <v>220</v>
      </c>
      <c r="T2857"/>
    </row>
    <row r="2858" spans="1:20" x14ac:dyDescent="0.25">
      <c r="A2858">
        <v>20140731</v>
      </c>
      <c r="B2858">
        <v>2014</v>
      </c>
      <c r="C2858">
        <v>7</v>
      </c>
      <c r="D2858">
        <v>1</v>
      </c>
      <c r="E2858">
        <v>11550</v>
      </c>
      <c r="F2858">
        <v>122705.01</v>
      </c>
      <c r="G2858">
        <v>0</v>
      </c>
      <c r="H2858">
        <v>0</v>
      </c>
      <c r="I2858">
        <v>0</v>
      </c>
      <c r="J2858">
        <v>0</v>
      </c>
      <c r="K2858">
        <v>0</v>
      </c>
      <c r="L2858">
        <v>21850043.699999999</v>
      </c>
      <c r="M2858">
        <v>21850021.850000001</v>
      </c>
      <c r="N2858">
        <v>21850043.699999999</v>
      </c>
      <c r="O2858">
        <v>21850021.850000001</v>
      </c>
      <c r="P2858">
        <v>23000000</v>
      </c>
      <c r="Q2858">
        <v>23000000</v>
      </c>
      <c r="R2858" s="14">
        <f>_xlfn.XLOOKUP(Table2[[#This Row],[LoanID]],Table1[G-L ID],Table1[ManagerCode],-99)</f>
        <v>103</v>
      </c>
      <c r="T2858"/>
    </row>
    <row r="2859" spans="1:20" x14ac:dyDescent="0.25">
      <c r="A2859">
        <v>20140731</v>
      </c>
      <c r="B2859">
        <v>2014</v>
      </c>
      <c r="C2859">
        <v>7</v>
      </c>
      <c r="D2859">
        <v>1</v>
      </c>
      <c r="E2859">
        <v>11560</v>
      </c>
      <c r="F2859">
        <v>17948.5</v>
      </c>
      <c r="G2859">
        <v>109111.11</v>
      </c>
      <c r="H2859">
        <v>0</v>
      </c>
      <c r="I2859">
        <v>0</v>
      </c>
      <c r="J2859">
        <v>0</v>
      </c>
      <c r="K2859">
        <v>0</v>
      </c>
      <c r="L2859">
        <v>14273573.060000001</v>
      </c>
      <c r="M2859">
        <v>14382684.17</v>
      </c>
      <c r="N2859">
        <v>14273573.060000001</v>
      </c>
      <c r="O2859">
        <v>14382684.17</v>
      </c>
      <c r="P2859">
        <v>14273573.060000001</v>
      </c>
      <c r="Q2859">
        <v>14382684.17</v>
      </c>
      <c r="R2859" s="14">
        <f>_xlfn.XLOOKUP(Table2[[#This Row],[LoanID]],Table1[G-L ID],Table1[ManagerCode],-99)</f>
        <v>183</v>
      </c>
      <c r="T2859"/>
    </row>
    <row r="2860" spans="1:20" x14ac:dyDescent="0.25">
      <c r="A2860">
        <v>20140731</v>
      </c>
      <c r="B2860">
        <v>2014</v>
      </c>
      <c r="C2860">
        <v>7</v>
      </c>
      <c r="D2860">
        <v>1</v>
      </c>
      <c r="E2860">
        <v>11580</v>
      </c>
      <c r="F2860">
        <v>107880</v>
      </c>
      <c r="G2860">
        <v>0</v>
      </c>
      <c r="H2860">
        <v>0</v>
      </c>
      <c r="I2860">
        <v>0</v>
      </c>
      <c r="J2860">
        <v>0</v>
      </c>
      <c r="K2860">
        <v>0</v>
      </c>
      <c r="L2860">
        <v>15000000</v>
      </c>
      <c r="M2860">
        <v>15000000</v>
      </c>
      <c r="N2860">
        <v>15000000</v>
      </c>
      <c r="O2860">
        <v>15000000</v>
      </c>
      <c r="P2860">
        <v>15000000</v>
      </c>
      <c r="Q2860">
        <v>15000000</v>
      </c>
      <c r="R2860" s="14">
        <f>_xlfn.XLOOKUP(Table2[[#This Row],[LoanID]],Table1[G-L ID],Table1[ManagerCode],-99)</f>
        <v>119</v>
      </c>
      <c r="T2860"/>
    </row>
    <row r="2861" spans="1:20" x14ac:dyDescent="0.25">
      <c r="A2861">
        <v>20140731</v>
      </c>
      <c r="B2861">
        <v>2014</v>
      </c>
      <c r="C2861">
        <v>7</v>
      </c>
      <c r="D2861">
        <v>1</v>
      </c>
      <c r="E2861">
        <v>11620</v>
      </c>
      <c r="F2861">
        <v>80692.73</v>
      </c>
      <c r="G2861">
        <v>38448.32</v>
      </c>
      <c r="H2861">
        <v>0</v>
      </c>
      <c r="I2861">
        <v>0</v>
      </c>
      <c r="J2861">
        <v>0</v>
      </c>
      <c r="K2861">
        <v>0</v>
      </c>
      <c r="L2861">
        <v>10258779.34</v>
      </c>
      <c r="M2861">
        <v>10297227.66</v>
      </c>
      <c r="N2861">
        <v>10258779.34</v>
      </c>
      <c r="O2861">
        <v>10297227.66</v>
      </c>
      <c r="P2861">
        <v>10258779.34</v>
      </c>
      <c r="Q2861">
        <v>10297227.66</v>
      </c>
      <c r="R2861" s="14">
        <f>_xlfn.XLOOKUP(Table2[[#This Row],[LoanID]],Table1[G-L ID],Table1[ManagerCode],-99)</f>
        <v>183</v>
      </c>
      <c r="T2861"/>
    </row>
    <row r="2862" spans="1:20" x14ac:dyDescent="0.25">
      <c r="A2862">
        <v>20140731</v>
      </c>
      <c r="B2862">
        <v>2014</v>
      </c>
      <c r="C2862">
        <v>7</v>
      </c>
      <c r="D2862">
        <v>1</v>
      </c>
      <c r="E2862">
        <v>11650</v>
      </c>
      <c r="F2862">
        <v>75000</v>
      </c>
      <c r="G2862">
        <v>0</v>
      </c>
      <c r="H2862">
        <v>0</v>
      </c>
      <c r="I2862">
        <v>0</v>
      </c>
      <c r="J2862">
        <v>0</v>
      </c>
      <c r="K2862">
        <v>0</v>
      </c>
      <c r="L2862">
        <v>9600000</v>
      </c>
      <c r="M2862">
        <v>9600000</v>
      </c>
      <c r="N2862">
        <v>9600000</v>
      </c>
      <c r="O2862">
        <v>9600000</v>
      </c>
      <c r="P2862">
        <v>12000000</v>
      </c>
      <c r="Q2862">
        <v>12000000</v>
      </c>
      <c r="R2862" s="14">
        <f>_xlfn.XLOOKUP(Table2[[#This Row],[LoanID]],Table1[G-L ID],Table1[ManagerCode],-99)</f>
        <v>103</v>
      </c>
      <c r="T2862"/>
    </row>
    <row r="2863" spans="1:20" x14ac:dyDescent="0.25">
      <c r="A2863">
        <v>20140731</v>
      </c>
      <c r="B2863">
        <v>2014</v>
      </c>
      <c r="C2863">
        <v>7</v>
      </c>
      <c r="D2863">
        <v>1</v>
      </c>
      <c r="E2863">
        <v>11660</v>
      </c>
      <c r="F2863">
        <v>0</v>
      </c>
      <c r="G2863">
        <v>0</v>
      </c>
      <c r="H2863">
        <v>0</v>
      </c>
      <c r="I2863">
        <v>0</v>
      </c>
      <c r="J2863">
        <v>-4226013</v>
      </c>
      <c r="K2863">
        <v>0</v>
      </c>
      <c r="L2863">
        <v>14911467</v>
      </c>
      <c r="M2863">
        <v>19137480</v>
      </c>
      <c r="N2863">
        <v>14911467</v>
      </c>
      <c r="O2863">
        <v>19137480</v>
      </c>
      <c r="P2863">
        <v>14911467</v>
      </c>
      <c r="Q2863">
        <v>19137480</v>
      </c>
      <c r="R2863" s="14">
        <f>_xlfn.XLOOKUP(Table2[[#This Row],[LoanID]],Table1[G-L ID],Table1[ManagerCode],-99)</f>
        <v>183</v>
      </c>
      <c r="T2863"/>
    </row>
    <row r="2864" spans="1:20" x14ac:dyDescent="0.25">
      <c r="A2864">
        <v>20140731</v>
      </c>
      <c r="B2864">
        <v>2014</v>
      </c>
      <c r="C2864">
        <v>7</v>
      </c>
      <c r="D2864">
        <v>1</v>
      </c>
      <c r="E2864">
        <v>11680</v>
      </c>
      <c r="F2864">
        <v>57126.559999999998</v>
      </c>
      <c r="G2864">
        <v>0</v>
      </c>
      <c r="H2864">
        <v>0</v>
      </c>
      <c r="I2864">
        <v>0</v>
      </c>
      <c r="J2864">
        <v>0</v>
      </c>
      <c r="K2864">
        <v>0</v>
      </c>
      <c r="L2864">
        <v>6600000</v>
      </c>
      <c r="M2864">
        <v>6600000</v>
      </c>
      <c r="N2864">
        <v>6600000</v>
      </c>
      <c r="O2864">
        <v>6600000</v>
      </c>
      <c r="P2864">
        <v>6600000</v>
      </c>
      <c r="Q2864">
        <v>6600000</v>
      </c>
      <c r="R2864" s="14">
        <f>_xlfn.XLOOKUP(Table2[[#This Row],[LoanID]],Table1[G-L ID],Table1[ManagerCode],-99)</f>
        <v>183</v>
      </c>
      <c r="T2864"/>
    </row>
    <row r="2865" spans="1:20" x14ac:dyDescent="0.25">
      <c r="A2865">
        <v>20140731</v>
      </c>
      <c r="B2865">
        <v>2014</v>
      </c>
      <c r="C2865">
        <v>7</v>
      </c>
      <c r="D2865">
        <v>1</v>
      </c>
      <c r="E2865">
        <v>11710</v>
      </c>
      <c r="F2865">
        <v>93515.34</v>
      </c>
      <c r="G2865">
        <v>0</v>
      </c>
      <c r="H2865">
        <v>0</v>
      </c>
      <c r="I2865">
        <v>0</v>
      </c>
      <c r="J2865">
        <v>0</v>
      </c>
      <c r="K2865">
        <v>0</v>
      </c>
      <c r="L2865">
        <v>12000000</v>
      </c>
      <c r="M2865">
        <v>12000000</v>
      </c>
      <c r="N2865">
        <v>12000000</v>
      </c>
      <c r="O2865">
        <v>12000000</v>
      </c>
      <c r="P2865">
        <v>12000000</v>
      </c>
      <c r="Q2865">
        <v>12000000</v>
      </c>
      <c r="R2865" s="14">
        <f>_xlfn.XLOOKUP(Table2[[#This Row],[LoanID]],Table1[G-L ID],Table1[ManagerCode],-99)</f>
        <v>119</v>
      </c>
      <c r="T2865"/>
    </row>
    <row r="2866" spans="1:20" x14ac:dyDescent="0.25">
      <c r="A2866">
        <v>20140731</v>
      </c>
      <c r="B2866">
        <v>2014</v>
      </c>
      <c r="C2866">
        <v>7</v>
      </c>
      <c r="D2866">
        <v>1</v>
      </c>
      <c r="E2866">
        <v>11740</v>
      </c>
      <c r="F2866">
        <v>183138</v>
      </c>
      <c r="G2866">
        <v>0</v>
      </c>
      <c r="H2866">
        <v>0</v>
      </c>
      <c r="I2866">
        <v>0</v>
      </c>
      <c r="J2866">
        <v>0</v>
      </c>
      <c r="K2866">
        <v>0</v>
      </c>
      <c r="L2866">
        <v>19110000</v>
      </c>
      <c r="M2866">
        <v>19110000</v>
      </c>
      <c r="N2866">
        <v>19110000</v>
      </c>
      <c r="O2866">
        <v>19110000</v>
      </c>
      <c r="P2866">
        <v>19110000</v>
      </c>
      <c r="Q2866">
        <v>19110000</v>
      </c>
      <c r="R2866" s="14">
        <f>_xlfn.XLOOKUP(Table2[[#This Row],[LoanID]],Table1[G-L ID],Table1[ManagerCode],-99)</f>
        <v>183</v>
      </c>
      <c r="T2866"/>
    </row>
    <row r="2867" spans="1:20" x14ac:dyDescent="0.25">
      <c r="A2867">
        <v>20140731</v>
      </c>
      <c r="B2867">
        <v>2014</v>
      </c>
      <c r="C2867">
        <v>7</v>
      </c>
      <c r="D2867">
        <v>1</v>
      </c>
      <c r="E2867">
        <v>11770</v>
      </c>
      <c r="F2867">
        <v>170254.51</v>
      </c>
      <c r="G2867">
        <v>0</v>
      </c>
      <c r="H2867">
        <v>0</v>
      </c>
      <c r="I2867">
        <v>0</v>
      </c>
      <c r="J2867">
        <v>0</v>
      </c>
      <c r="K2867">
        <v>0</v>
      </c>
      <c r="L2867">
        <v>25065072.48</v>
      </c>
      <c r="M2867">
        <v>25065072.48</v>
      </c>
      <c r="N2867">
        <v>25065072.48</v>
      </c>
      <c r="O2867">
        <v>25065072.48</v>
      </c>
      <c r="P2867">
        <v>25065072.48</v>
      </c>
      <c r="Q2867">
        <v>25065072.48</v>
      </c>
      <c r="R2867" s="14">
        <f>_xlfn.XLOOKUP(Table2[[#This Row],[LoanID]],Table1[G-L ID],Table1[ManagerCode],-99)</f>
        <v>119</v>
      </c>
      <c r="T2867"/>
    </row>
    <row r="2868" spans="1:20" x14ac:dyDescent="0.25">
      <c r="A2868">
        <v>20140731</v>
      </c>
      <c r="B2868">
        <v>2014</v>
      </c>
      <c r="C2868">
        <v>7</v>
      </c>
      <c r="D2868">
        <v>1</v>
      </c>
      <c r="E2868">
        <v>11810</v>
      </c>
      <c r="F2868">
        <v>49847.78</v>
      </c>
      <c r="G2868">
        <v>0</v>
      </c>
      <c r="H2868">
        <v>0</v>
      </c>
      <c r="I2868">
        <v>0</v>
      </c>
      <c r="J2868">
        <v>0</v>
      </c>
      <c r="K2868">
        <v>11010.31</v>
      </c>
      <c r="L2868">
        <v>9644815.3800000008</v>
      </c>
      <c r="M2868">
        <v>9633915.1799999997</v>
      </c>
      <c r="N2868">
        <v>9644815.3800000008</v>
      </c>
      <c r="O2868">
        <v>9633915.1799999997</v>
      </c>
      <c r="P2868">
        <v>9742237.7599999998</v>
      </c>
      <c r="Q2868">
        <v>9731227.4499999993</v>
      </c>
      <c r="R2868" s="14">
        <f>_xlfn.XLOOKUP(Table2[[#This Row],[LoanID]],Table1[G-L ID],Table1[ManagerCode],-99)</f>
        <v>103</v>
      </c>
      <c r="T2868"/>
    </row>
    <row r="2869" spans="1:20" x14ac:dyDescent="0.25">
      <c r="A2869">
        <v>20140731</v>
      </c>
      <c r="B2869">
        <v>2014</v>
      </c>
      <c r="C2869">
        <v>7</v>
      </c>
      <c r="D2869">
        <v>1</v>
      </c>
      <c r="E2869">
        <v>11840</v>
      </c>
      <c r="F2869">
        <v>52501.8</v>
      </c>
      <c r="G2869">
        <v>93771.839999999997</v>
      </c>
      <c r="H2869">
        <v>0</v>
      </c>
      <c r="I2869">
        <v>0</v>
      </c>
      <c r="J2869">
        <v>0</v>
      </c>
      <c r="K2869">
        <v>0</v>
      </c>
      <c r="L2869">
        <v>12105404.449999999</v>
      </c>
      <c r="M2869">
        <v>12199176.289999999</v>
      </c>
      <c r="N2869">
        <v>12105404.449999999</v>
      </c>
      <c r="O2869">
        <v>12199176.289999999</v>
      </c>
      <c r="P2869">
        <v>12105404.449999999</v>
      </c>
      <c r="Q2869">
        <v>12199176.289999999</v>
      </c>
      <c r="R2869" s="14">
        <f>_xlfn.XLOOKUP(Table2[[#This Row],[LoanID]],Table1[G-L ID],Table1[ManagerCode],-99)</f>
        <v>183</v>
      </c>
      <c r="T2869"/>
    </row>
    <row r="2870" spans="1:20" x14ac:dyDescent="0.25">
      <c r="A2870">
        <v>20140731</v>
      </c>
      <c r="B2870">
        <v>2014</v>
      </c>
      <c r="C2870">
        <v>7</v>
      </c>
      <c r="D2870">
        <v>1</v>
      </c>
      <c r="E2870">
        <v>11880</v>
      </c>
      <c r="F2870">
        <v>132781.03</v>
      </c>
      <c r="G2870">
        <v>119925.91</v>
      </c>
      <c r="H2870">
        <v>0</v>
      </c>
      <c r="I2870">
        <v>0</v>
      </c>
      <c r="J2870">
        <v>-3099051.25</v>
      </c>
      <c r="K2870">
        <v>0</v>
      </c>
      <c r="L2870">
        <v>28498935.379999999</v>
      </c>
      <c r="M2870">
        <v>31717912.539999999</v>
      </c>
      <c r="N2870">
        <v>28498935.379999999</v>
      </c>
      <c r="O2870">
        <v>31717912.539999999</v>
      </c>
      <c r="P2870">
        <v>28498935.379999999</v>
      </c>
      <c r="Q2870">
        <v>31717912.539999999</v>
      </c>
      <c r="R2870" s="14">
        <f>_xlfn.XLOOKUP(Table2[[#This Row],[LoanID]],Table1[G-L ID],Table1[ManagerCode],-99)</f>
        <v>183</v>
      </c>
      <c r="T2870"/>
    </row>
    <row r="2871" spans="1:20" x14ac:dyDescent="0.25">
      <c r="A2871">
        <v>20140731</v>
      </c>
      <c r="B2871">
        <v>2014</v>
      </c>
      <c r="C2871">
        <v>7</v>
      </c>
      <c r="D2871">
        <v>1</v>
      </c>
      <c r="E2871">
        <v>11920</v>
      </c>
      <c r="F2871">
        <v>93508.33</v>
      </c>
      <c r="G2871">
        <v>0</v>
      </c>
      <c r="H2871">
        <v>0</v>
      </c>
      <c r="I2871">
        <v>0</v>
      </c>
      <c r="J2871">
        <v>0</v>
      </c>
      <c r="K2871">
        <v>0</v>
      </c>
      <c r="L2871">
        <v>12250000</v>
      </c>
      <c r="M2871">
        <v>12250000</v>
      </c>
      <c r="N2871">
        <v>12250000</v>
      </c>
      <c r="O2871">
        <v>12250000</v>
      </c>
      <c r="P2871">
        <v>12250000</v>
      </c>
      <c r="Q2871">
        <v>12250000</v>
      </c>
      <c r="R2871" s="14">
        <f>_xlfn.XLOOKUP(Table2[[#This Row],[LoanID]],Table1[G-L ID],Table1[ManagerCode],-99)</f>
        <v>220</v>
      </c>
      <c r="T2871"/>
    </row>
    <row r="2872" spans="1:20" x14ac:dyDescent="0.25">
      <c r="A2872">
        <v>20140731</v>
      </c>
      <c r="B2872">
        <v>2014</v>
      </c>
      <c r="C2872">
        <v>7</v>
      </c>
      <c r="D2872">
        <v>1</v>
      </c>
      <c r="E2872">
        <v>11970</v>
      </c>
      <c r="F2872">
        <v>85000</v>
      </c>
      <c r="G2872">
        <v>59081.51</v>
      </c>
      <c r="H2872">
        <v>0</v>
      </c>
      <c r="I2872">
        <v>0</v>
      </c>
      <c r="J2872">
        <v>0</v>
      </c>
      <c r="K2872">
        <v>0</v>
      </c>
      <c r="L2872">
        <v>9605434.0299999993</v>
      </c>
      <c r="M2872">
        <v>9664515.5399999991</v>
      </c>
      <c r="N2872">
        <v>9605434.0299999993</v>
      </c>
      <c r="O2872">
        <v>9664515.5399999991</v>
      </c>
      <c r="P2872">
        <v>9605434.0299999993</v>
      </c>
      <c r="Q2872">
        <v>9664515.5399999991</v>
      </c>
      <c r="R2872" s="14">
        <f>_xlfn.XLOOKUP(Table2[[#This Row],[LoanID]],Table1[G-L ID],Table1[ManagerCode],-99)</f>
        <v>183</v>
      </c>
      <c r="T2872"/>
    </row>
    <row r="2873" spans="1:20" x14ac:dyDescent="0.25">
      <c r="A2873">
        <v>20140731</v>
      </c>
      <c r="B2873">
        <v>2014</v>
      </c>
      <c r="C2873">
        <v>7</v>
      </c>
      <c r="D2873">
        <v>1</v>
      </c>
      <c r="E2873">
        <v>12080</v>
      </c>
      <c r="F2873">
        <v>291123.58</v>
      </c>
      <c r="G2873">
        <v>0</v>
      </c>
      <c r="H2873">
        <v>0</v>
      </c>
      <c r="I2873">
        <v>0</v>
      </c>
      <c r="J2873">
        <v>0</v>
      </c>
      <c r="K2873">
        <v>0</v>
      </c>
      <c r="L2873">
        <v>36958208.950000003</v>
      </c>
      <c r="M2873">
        <v>36958208.950000003</v>
      </c>
      <c r="N2873">
        <v>36958208.950000003</v>
      </c>
      <c r="O2873">
        <v>36958208.950000003</v>
      </c>
      <c r="P2873">
        <v>36958208.950000003</v>
      </c>
      <c r="Q2873">
        <v>36958208.950000003</v>
      </c>
      <c r="R2873" s="14">
        <f>_xlfn.XLOOKUP(Table2[[#This Row],[LoanID]],Table1[G-L ID],Table1[ManagerCode],-99)</f>
        <v>119</v>
      </c>
      <c r="T2873"/>
    </row>
    <row r="2874" spans="1:20" x14ac:dyDescent="0.25">
      <c r="A2874">
        <v>20140731</v>
      </c>
      <c r="B2874">
        <v>2014</v>
      </c>
      <c r="C2874">
        <v>7</v>
      </c>
      <c r="D2874">
        <v>1</v>
      </c>
      <c r="E2874">
        <v>12100</v>
      </c>
      <c r="F2874">
        <v>48981.64</v>
      </c>
      <c r="G2874">
        <v>86135.84</v>
      </c>
      <c r="H2874">
        <v>0</v>
      </c>
      <c r="I2874">
        <v>0</v>
      </c>
      <c r="J2874">
        <v>-48981.64</v>
      </c>
      <c r="K2874">
        <v>0</v>
      </c>
      <c r="L2874">
        <v>11168762.300000001</v>
      </c>
      <c r="M2874">
        <v>11303879.779999999</v>
      </c>
      <c r="N2874">
        <v>11168762.300000001</v>
      </c>
      <c r="O2874">
        <v>11303879.779999999</v>
      </c>
      <c r="P2874">
        <v>11168762.300000001</v>
      </c>
      <c r="Q2874">
        <v>11303879.779999999</v>
      </c>
      <c r="R2874" s="14">
        <f>_xlfn.XLOOKUP(Table2[[#This Row],[LoanID]],Table1[G-L ID],Table1[ManagerCode],-99)</f>
        <v>183</v>
      </c>
      <c r="T2874"/>
    </row>
    <row r="2875" spans="1:20" x14ac:dyDescent="0.25">
      <c r="A2875">
        <v>20140731</v>
      </c>
      <c r="B2875">
        <v>2014</v>
      </c>
      <c r="C2875">
        <v>7</v>
      </c>
      <c r="D2875">
        <v>1</v>
      </c>
      <c r="E2875">
        <v>12160</v>
      </c>
      <c r="F2875">
        <v>13269.66</v>
      </c>
      <c r="G2875">
        <v>24291.13</v>
      </c>
      <c r="H2875">
        <v>0</v>
      </c>
      <c r="I2875">
        <v>0</v>
      </c>
      <c r="J2875">
        <v>-2362024.7599999998</v>
      </c>
      <c r="K2875">
        <v>0</v>
      </c>
      <c r="L2875">
        <v>2967868.57</v>
      </c>
      <c r="M2875">
        <v>5354184.46</v>
      </c>
      <c r="N2875">
        <v>2967868.57</v>
      </c>
      <c r="O2875">
        <v>5354184.46</v>
      </c>
      <c r="P2875">
        <v>2967868.57</v>
      </c>
      <c r="Q2875">
        <v>5354184.46</v>
      </c>
      <c r="R2875" s="14">
        <f>_xlfn.XLOOKUP(Table2[[#This Row],[LoanID]],Table1[G-L ID],Table1[ManagerCode],-99)</f>
        <v>183</v>
      </c>
      <c r="T2875"/>
    </row>
    <row r="2876" spans="1:20" x14ac:dyDescent="0.25">
      <c r="A2876">
        <v>20140731</v>
      </c>
      <c r="B2876">
        <v>2014</v>
      </c>
      <c r="C2876">
        <v>7</v>
      </c>
      <c r="D2876">
        <v>1</v>
      </c>
      <c r="E2876">
        <v>12180</v>
      </c>
      <c r="F2876">
        <v>226041.67</v>
      </c>
      <c r="G2876">
        <v>0</v>
      </c>
      <c r="H2876">
        <v>0</v>
      </c>
      <c r="I2876">
        <v>0</v>
      </c>
      <c r="J2876">
        <v>0</v>
      </c>
      <c r="K2876">
        <v>0</v>
      </c>
      <c r="L2876">
        <v>35000000</v>
      </c>
      <c r="M2876">
        <v>35000000</v>
      </c>
      <c r="N2876">
        <v>35000000</v>
      </c>
      <c r="O2876">
        <v>35000000</v>
      </c>
      <c r="P2876">
        <v>35000000</v>
      </c>
      <c r="Q2876">
        <v>35000000</v>
      </c>
      <c r="R2876" s="14">
        <f>_xlfn.XLOOKUP(Table2[[#This Row],[LoanID]],Table1[G-L ID],Table1[ManagerCode],-99)</f>
        <v>220</v>
      </c>
      <c r="T2876"/>
    </row>
    <row r="2877" spans="1:20" x14ac:dyDescent="0.25">
      <c r="A2877">
        <v>20140731</v>
      </c>
      <c r="B2877">
        <v>2014</v>
      </c>
      <c r="C2877">
        <v>7</v>
      </c>
      <c r="D2877">
        <v>1</v>
      </c>
      <c r="E2877">
        <v>12190</v>
      </c>
      <c r="F2877">
        <v>273750</v>
      </c>
      <c r="G2877">
        <v>0</v>
      </c>
      <c r="H2877">
        <v>0</v>
      </c>
      <c r="I2877">
        <v>0</v>
      </c>
      <c r="J2877">
        <v>0</v>
      </c>
      <c r="K2877">
        <v>0</v>
      </c>
      <c r="L2877">
        <v>37500000</v>
      </c>
      <c r="M2877">
        <v>37500000</v>
      </c>
      <c r="N2877">
        <v>37500000</v>
      </c>
      <c r="O2877">
        <v>37500000</v>
      </c>
      <c r="P2877">
        <v>37500000</v>
      </c>
      <c r="Q2877">
        <v>37500000</v>
      </c>
      <c r="R2877" s="14">
        <f>_xlfn.XLOOKUP(Table2[[#This Row],[LoanID]],Table1[G-L ID],Table1[ManagerCode],-99)</f>
        <v>220</v>
      </c>
      <c r="T2877"/>
    </row>
    <row r="2878" spans="1:20" x14ac:dyDescent="0.25">
      <c r="A2878">
        <v>20140731</v>
      </c>
      <c r="B2878">
        <v>2014</v>
      </c>
      <c r="C2878">
        <v>7</v>
      </c>
      <c r="D2878">
        <v>1</v>
      </c>
      <c r="E2878">
        <v>12210</v>
      </c>
      <c r="F2878">
        <v>684049.76</v>
      </c>
      <c r="G2878">
        <v>0</v>
      </c>
      <c r="H2878">
        <v>0</v>
      </c>
      <c r="I2878">
        <v>0</v>
      </c>
      <c r="J2878">
        <v>0</v>
      </c>
      <c r="K2878">
        <v>214914.64</v>
      </c>
      <c r="L2878">
        <v>128348991.8</v>
      </c>
      <c r="M2878">
        <v>127304321.09999999</v>
      </c>
      <c r="N2878">
        <v>128348991.8</v>
      </c>
      <c r="O2878">
        <v>127304321.09999999</v>
      </c>
      <c r="P2878">
        <v>110680355.8</v>
      </c>
      <c r="Q2878">
        <v>110465441.09999999</v>
      </c>
      <c r="R2878" s="14">
        <f>_xlfn.XLOOKUP(Table2[[#This Row],[LoanID]],Table1[G-L ID],Table1[ManagerCode],-99)</f>
        <v>103</v>
      </c>
      <c r="T2878"/>
    </row>
    <row r="2879" spans="1:20" x14ac:dyDescent="0.25">
      <c r="A2879">
        <v>20140731</v>
      </c>
      <c r="B2879">
        <v>2014</v>
      </c>
      <c r="C2879">
        <v>7</v>
      </c>
      <c r="D2879">
        <v>1</v>
      </c>
      <c r="E2879">
        <v>12230</v>
      </c>
      <c r="F2879">
        <v>102822.58</v>
      </c>
      <c r="G2879">
        <v>0</v>
      </c>
      <c r="H2879">
        <v>0</v>
      </c>
      <c r="I2879">
        <v>0</v>
      </c>
      <c r="J2879">
        <v>-129919.89</v>
      </c>
      <c r="K2879">
        <v>33721</v>
      </c>
      <c r="L2879">
        <v>20265000</v>
      </c>
      <c r="M2879">
        <v>20394919.890000001</v>
      </c>
      <c r="N2879">
        <v>13867609.5</v>
      </c>
      <c r="O2879">
        <v>13963808.390000001</v>
      </c>
      <c r="P2879">
        <v>19295265.219999999</v>
      </c>
      <c r="Q2879">
        <v>19425185.109999999</v>
      </c>
      <c r="R2879" s="14">
        <f>_xlfn.XLOOKUP(Table2[[#This Row],[LoanID]],Table1[G-L ID],Table1[ManagerCode],-99)</f>
        <v>183</v>
      </c>
      <c r="T2879"/>
    </row>
    <row r="2880" spans="1:20" x14ac:dyDescent="0.25">
      <c r="A2880">
        <v>20140731</v>
      </c>
      <c r="B2880">
        <v>2014</v>
      </c>
      <c r="C2880">
        <v>7</v>
      </c>
      <c r="D2880">
        <v>1</v>
      </c>
      <c r="E2880">
        <v>13690</v>
      </c>
      <c r="F2880">
        <v>133472.22</v>
      </c>
      <c r="G2880">
        <v>0</v>
      </c>
      <c r="H2880">
        <v>0</v>
      </c>
      <c r="I2880">
        <v>0</v>
      </c>
      <c r="J2880">
        <v>0</v>
      </c>
      <c r="K2880">
        <v>0</v>
      </c>
      <c r="L2880">
        <v>20000000</v>
      </c>
      <c r="M2880">
        <v>20000000</v>
      </c>
      <c r="N2880">
        <v>20000000</v>
      </c>
      <c r="O2880">
        <v>20000000</v>
      </c>
      <c r="P2880">
        <v>20000000</v>
      </c>
      <c r="Q2880">
        <v>20000000</v>
      </c>
      <c r="R2880" s="14">
        <f>_xlfn.XLOOKUP(Table2[[#This Row],[LoanID]],Table1[G-L ID],Table1[ManagerCode],-99)</f>
        <v>298</v>
      </c>
      <c r="T2880"/>
    </row>
    <row r="2881" spans="1:20" x14ac:dyDescent="0.25">
      <c r="A2881">
        <v>20140731</v>
      </c>
      <c r="B2881">
        <v>2014</v>
      </c>
      <c r="C2881">
        <v>7</v>
      </c>
      <c r="D2881">
        <v>1</v>
      </c>
      <c r="E2881">
        <v>15580</v>
      </c>
      <c r="F2881">
        <v>115095.22</v>
      </c>
      <c r="G2881">
        <v>3770.35</v>
      </c>
      <c r="H2881">
        <v>0</v>
      </c>
      <c r="I2881">
        <v>0</v>
      </c>
      <c r="J2881">
        <v>0</v>
      </c>
      <c r="K2881">
        <v>8306.09</v>
      </c>
      <c r="L2881">
        <v>15046367.439999999</v>
      </c>
      <c r="M2881">
        <v>15041831.699999999</v>
      </c>
      <c r="N2881">
        <v>15046367.439999999</v>
      </c>
      <c r="O2881">
        <v>15041831.699999999</v>
      </c>
      <c r="P2881">
        <v>15046367.439999999</v>
      </c>
      <c r="Q2881">
        <v>15041831.699999999</v>
      </c>
      <c r="R2881" s="14">
        <f>_xlfn.XLOOKUP(Table2[[#This Row],[LoanID]],Table1[G-L ID],Table1[ManagerCode],-99)</f>
        <v>212</v>
      </c>
      <c r="T2881"/>
    </row>
    <row r="2882" spans="1:20" x14ac:dyDescent="0.25">
      <c r="A2882">
        <v>20140831</v>
      </c>
      <c r="B2882">
        <v>2014</v>
      </c>
      <c r="C2882">
        <v>8</v>
      </c>
      <c r="D2882">
        <v>1</v>
      </c>
      <c r="E2882">
        <v>10050</v>
      </c>
      <c r="F2882">
        <v>153981.01999999999</v>
      </c>
      <c r="G2882">
        <v>0</v>
      </c>
      <c r="H2882">
        <v>0</v>
      </c>
      <c r="I2882">
        <v>0</v>
      </c>
      <c r="J2882">
        <v>0</v>
      </c>
      <c r="K2882">
        <v>0</v>
      </c>
      <c r="L2882">
        <v>37987329.299999997</v>
      </c>
      <c r="M2882">
        <v>38354926.030000001</v>
      </c>
      <c r="N2882">
        <v>37987329.299999997</v>
      </c>
      <c r="O2882">
        <v>38354926.030000001</v>
      </c>
      <c r="P2882">
        <v>33333334</v>
      </c>
      <c r="Q2882">
        <v>33333334</v>
      </c>
      <c r="R2882" s="14">
        <f>_xlfn.XLOOKUP(Table2[[#This Row],[LoanID]],Table1[G-L ID],Table1[ManagerCode],-99)</f>
        <v>103</v>
      </c>
      <c r="T2882"/>
    </row>
    <row r="2883" spans="1:20" x14ac:dyDescent="0.25">
      <c r="A2883">
        <v>20140831</v>
      </c>
      <c r="B2883">
        <v>2014</v>
      </c>
      <c r="C2883">
        <v>8</v>
      </c>
      <c r="D2883">
        <v>1</v>
      </c>
      <c r="E2883">
        <v>10060</v>
      </c>
      <c r="F2883">
        <v>120833.33</v>
      </c>
      <c r="G2883">
        <v>0</v>
      </c>
      <c r="H2883">
        <v>0</v>
      </c>
      <c r="I2883">
        <v>0</v>
      </c>
      <c r="J2883">
        <v>0</v>
      </c>
      <c r="K2883">
        <v>0</v>
      </c>
      <c r="L2883">
        <v>19000000</v>
      </c>
      <c r="M2883">
        <v>19000000</v>
      </c>
      <c r="N2883">
        <v>19000000</v>
      </c>
      <c r="O2883">
        <v>19000000</v>
      </c>
      <c r="P2883">
        <v>20000000</v>
      </c>
      <c r="Q2883">
        <v>20000000</v>
      </c>
      <c r="R2883" s="14">
        <f>_xlfn.XLOOKUP(Table2[[#This Row],[LoanID]],Table1[G-L ID],Table1[ManagerCode],-99)</f>
        <v>103</v>
      </c>
      <c r="T2883"/>
    </row>
    <row r="2884" spans="1:20" x14ac:dyDescent="0.25">
      <c r="A2884">
        <v>20140831</v>
      </c>
      <c r="B2884">
        <v>2014</v>
      </c>
      <c r="C2884">
        <v>8</v>
      </c>
      <c r="D2884">
        <v>1</v>
      </c>
      <c r="E2884">
        <v>10080</v>
      </c>
      <c r="F2884">
        <v>351042.71</v>
      </c>
      <c r="G2884">
        <v>0</v>
      </c>
      <c r="H2884">
        <v>0</v>
      </c>
      <c r="I2884">
        <v>-161.46</v>
      </c>
      <c r="J2884">
        <v>0</v>
      </c>
      <c r="K2884">
        <v>0</v>
      </c>
      <c r="L2884">
        <v>77186277.170000002</v>
      </c>
      <c r="M2884">
        <v>76925037.879999995</v>
      </c>
      <c r="N2884">
        <v>77186277.170000002</v>
      </c>
      <c r="O2884">
        <v>76925037.879999995</v>
      </c>
      <c r="P2884">
        <v>75000000</v>
      </c>
      <c r="Q2884">
        <v>75000000</v>
      </c>
      <c r="R2884" s="14">
        <f>_xlfn.XLOOKUP(Table2[[#This Row],[LoanID]],Table1[G-L ID],Table1[ManagerCode],-99)</f>
        <v>103</v>
      </c>
      <c r="T2884"/>
    </row>
    <row r="2885" spans="1:20" x14ac:dyDescent="0.25">
      <c r="A2885">
        <v>20140831</v>
      </c>
      <c r="B2885">
        <v>2014</v>
      </c>
      <c r="C2885">
        <v>8</v>
      </c>
      <c r="D2885">
        <v>1</v>
      </c>
      <c r="E2885">
        <v>10090</v>
      </c>
      <c r="F2885">
        <v>194222.22</v>
      </c>
      <c r="G2885">
        <v>0</v>
      </c>
      <c r="H2885">
        <v>0</v>
      </c>
      <c r="I2885">
        <v>0</v>
      </c>
      <c r="J2885">
        <v>0</v>
      </c>
      <c r="K2885">
        <v>0</v>
      </c>
      <c r="L2885">
        <v>23000000</v>
      </c>
      <c r="M2885">
        <v>23000000</v>
      </c>
      <c r="N2885">
        <v>23000000</v>
      </c>
      <c r="O2885">
        <v>23000000</v>
      </c>
      <c r="P2885">
        <v>23000000</v>
      </c>
      <c r="Q2885">
        <v>23000000</v>
      </c>
      <c r="R2885" s="14">
        <f>_xlfn.XLOOKUP(Table2[[#This Row],[LoanID]],Table1[G-L ID],Table1[ManagerCode],-99)</f>
        <v>119</v>
      </c>
      <c r="T2885"/>
    </row>
    <row r="2886" spans="1:20" x14ac:dyDescent="0.25">
      <c r="A2886">
        <v>20140831</v>
      </c>
      <c r="B2886">
        <v>2014</v>
      </c>
      <c r="C2886">
        <v>8</v>
      </c>
      <c r="D2886">
        <v>1</v>
      </c>
      <c r="E2886">
        <v>10170</v>
      </c>
      <c r="F2886">
        <v>234724.32</v>
      </c>
      <c r="G2886">
        <v>0</v>
      </c>
      <c r="H2886">
        <v>0</v>
      </c>
      <c r="I2886">
        <v>0.01</v>
      </c>
      <c r="J2886">
        <v>0</v>
      </c>
      <c r="K2886">
        <v>43753312.590000004</v>
      </c>
      <c r="L2886">
        <v>44107481.359999999</v>
      </c>
      <c r="M2886">
        <v>0</v>
      </c>
      <c r="N2886">
        <v>44107481.359999999</v>
      </c>
      <c r="O2886">
        <v>0</v>
      </c>
      <c r="P2886">
        <v>43753312.590000004</v>
      </c>
      <c r="Q2886">
        <v>0</v>
      </c>
      <c r="R2886" s="14">
        <f>_xlfn.XLOOKUP(Table2[[#This Row],[LoanID]],Table1[G-L ID],Table1[ManagerCode],-99)</f>
        <v>103</v>
      </c>
      <c r="T2886"/>
    </row>
    <row r="2887" spans="1:20" x14ac:dyDescent="0.25">
      <c r="A2887">
        <v>20140831</v>
      </c>
      <c r="B2887">
        <v>2014</v>
      </c>
      <c r="C2887">
        <v>8</v>
      </c>
      <c r="D2887">
        <v>1</v>
      </c>
      <c r="E2887">
        <v>10190</v>
      </c>
      <c r="F2887">
        <v>41666.67</v>
      </c>
      <c r="G2887">
        <v>0</v>
      </c>
      <c r="H2887">
        <v>0</v>
      </c>
      <c r="I2887">
        <v>0</v>
      </c>
      <c r="J2887">
        <v>0</v>
      </c>
      <c r="K2887">
        <v>0</v>
      </c>
      <c r="L2887">
        <v>9500000</v>
      </c>
      <c r="M2887">
        <v>9500000</v>
      </c>
      <c r="N2887">
        <v>9500000</v>
      </c>
      <c r="O2887">
        <v>9500000</v>
      </c>
      <c r="P2887">
        <v>10000000</v>
      </c>
      <c r="Q2887">
        <v>10000000</v>
      </c>
      <c r="R2887" s="14">
        <f>_xlfn.XLOOKUP(Table2[[#This Row],[LoanID]],Table1[G-L ID],Table1[ManagerCode],-99)</f>
        <v>103</v>
      </c>
      <c r="T2887"/>
    </row>
    <row r="2888" spans="1:20" x14ac:dyDescent="0.25">
      <c r="A2888">
        <v>20140831</v>
      </c>
      <c r="B2888">
        <v>2014</v>
      </c>
      <c r="C2888">
        <v>8</v>
      </c>
      <c r="D2888">
        <v>1</v>
      </c>
      <c r="E2888">
        <v>10200</v>
      </c>
      <c r="F2888">
        <v>128541.67</v>
      </c>
      <c r="G2888">
        <v>0</v>
      </c>
      <c r="H2888">
        <v>0</v>
      </c>
      <c r="I2888">
        <v>0</v>
      </c>
      <c r="J2888">
        <v>0</v>
      </c>
      <c r="K2888">
        <v>0</v>
      </c>
      <c r="L2888">
        <v>29307500</v>
      </c>
      <c r="M2888">
        <v>29307500</v>
      </c>
      <c r="N2888">
        <v>29307500</v>
      </c>
      <c r="O2888">
        <v>29307500</v>
      </c>
      <c r="P2888">
        <v>30850000</v>
      </c>
      <c r="Q2888">
        <v>30850000</v>
      </c>
      <c r="R2888" s="14">
        <f>_xlfn.XLOOKUP(Table2[[#This Row],[LoanID]],Table1[G-L ID],Table1[ManagerCode],-99)</f>
        <v>103</v>
      </c>
      <c r="T2888"/>
    </row>
    <row r="2889" spans="1:20" x14ac:dyDescent="0.25">
      <c r="A2889">
        <v>20140831</v>
      </c>
      <c r="B2889">
        <v>2014</v>
      </c>
      <c r="C2889">
        <v>8</v>
      </c>
      <c r="D2889">
        <v>1</v>
      </c>
      <c r="E2889">
        <v>10220</v>
      </c>
      <c r="F2889">
        <v>1119444.44</v>
      </c>
      <c r="G2889">
        <v>0</v>
      </c>
      <c r="H2889">
        <v>0</v>
      </c>
      <c r="I2889">
        <v>0</v>
      </c>
      <c r="J2889">
        <v>0</v>
      </c>
      <c r="K2889">
        <v>0</v>
      </c>
      <c r="L2889">
        <v>99000000</v>
      </c>
      <c r="M2889">
        <v>99000000</v>
      </c>
      <c r="N2889">
        <v>99000000</v>
      </c>
      <c r="O2889">
        <v>99000000</v>
      </c>
      <c r="P2889">
        <v>100000000</v>
      </c>
      <c r="Q2889">
        <v>100000000</v>
      </c>
      <c r="R2889" s="14">
        <f>_xlfn.XLOOKUP(Table2[[#This Row],[LoanID]],Table1[G-L ID],Table1[ManagerCode],-99)</f>
        <v>103</v>
      </c>
      <c r="T2889"/>
    </row>
    <row r="2890" spans="1:20" x14ac:dyDescent="0.25">
      <c r="A2890">
        <v>20140831</v>
      </c>
      <c r="B2890">
        <v>2014</v>
      </c>
      <c r="C2890">
        <v>8</v>
      </c>
      <c r="D2890">
        <v>1</v>
      </c>
      <c r="E2890">
        <v>10230</v>
      </c>
      <c r="F2890">
        <v>171136.6</v>
      </c>
      <c r="G2890">
        <v>0</v>
      </c>
      <c r="H2890">
        <v>0</v>
      </c>
      <c r="I2890">
        <v>0</v>
      </c>
      <c r="J2890">
        <v>0</v>
      </c>
      <c r="K2890">
        <v>70461.47</v>
      </c>
      <c r="L2890">
        <v>28945952.629999999</v>
      </c>
      <c r="M2890">
        <v>28879014.23</v>
      </c>
      <c r="N2890">
        <v>28945952.629999999</v>
      </c>
      <c r="O2890">
        <v>28879014.23</v>
      </c>
      <c r="P2890">
        <v>30469423.809999999</v>
      </c>
      <c r="Q2890">
        <v>30398962.34</v>
      </c>
      <c r="R2890" s="14">
        <f>_xlfn.XLOOKUP(Table2[[#This Row],[LoanID]],Table1[G-L ID],Table1[ManagerCode],-99)</f>
        <v>103</v>
      </c>
      <c r="T2890"/>
    </row>
    <row r="2891" spans="1:20" x14ac:dyDescent="0.25">
      <c r="A2891">
        <v>20140831</v>
      </c>
      <c r="B2891">
        <v>2014</v>
      </c>
      <c r="C2891">
        <v>8</v>
      </c>
      <c r="D2891">
        <v>1</v>
      </c>
      <c r="E2891">
        <v>10340</v>
      </c>
      <c r="F2891">
        <v>110572.35</v>
      </c>
      <c r="G2891">
        <v>0</v>
      </c>
      <c r="H2891">
        <v>0</v>
      </c>
      <c r="I2891">
        <v>0</v>
      </c>
      <c r="J2891">
        <v>0</v>
      </c>
      <c r="K2891">
        <v>0</v>
      </c>
      <c r="L2891">
        <v>12527473</v>
      </c>
      <c r="M2891">
        <v>12527473</v>
      </c>
      <c r="N2891">
        <v>12527473</v>
      </c>
      <c r="O2891">
        <v>12527473</v>
      </c>
      <c r="P2891">
        <v>12527473</v>
      </c>
      <c r="Q2891">
        <v>12527473</v>
      </c>
      <c r="R2891" s="14">
        <f>_xlfn.XLOOKUP(Table2[[#This Row],[LoanID]],Table1[G-L ID],Table1[ManagerCode],-99)</f>
        <v>220</v>
      </c>
      <c r="T2891"/>
    </row>
    <row r="2892" spans="1:20" x14ac:dyDescent="0.25">
      <c r="A2892">
        <v>20140831</v>
      </c>
      <c r="B2892">
        <v>2014</v>
      </c>
      <c r="C2892">
        <v>8</v>
      </c>
      <c r="D2892">
        <v>1</v>
      </c>
      <c r="E2892">
        <v>10400</v>
      </c>
      <c r="F2892">
        <v>825375</v>
      </c>
      <c r="G2892">
        <v>0</v>
      </c>
      <c r="H2892">
        <v>0</v>
      </c>
      <c r="I2892">
        <v>0</v>
      </c>
      <c r="J2892">
        <v>0</v>
      </c>
      <c r="K2892">
        <v>0</v>
      </c>
      <c r="L2892">
        <v>45000000</v>
      </c>
      <c r="M2892">
        <v>45000000</v>
      </c>
      <c r="N2892">
        <v>45000000</v>
      </c>
      <c r="O2892">
        <v>45000000</v>
      </c>
      <c r="P2892">
        <v>45000000</v>
      </c>
      <c r="Q2892">
        <v>45000000</v>
      </c>
      <c r="R2892" s="14">
        <f>_xlfn.XLOOKUP(Table2[[#This Row],[LoanID]],Table1[G-L ID],Table1[ManagerCode],-99)</f>
        <v>220</v>
      </c>
      <c r="T2892"/>
    </row>
    <row r="2893" spans="1:20" x14ac:dyDescent="0.25">
      <c r="A2893">
        <v>20140831</v>
      </c>
      <c r="B2893">
        <v>2014</v>
      </c>
      <c r="C2893">
        <v>8</v>
      </c>
      <c r="D2893">
        <v>1</v>
      </c>
      <c r="E2893">
        <v>10430</v>
      </c>
      <c r="F2893">
        <v>61137.33</v>
      </c>
      <c r="G2893">
        <v>0</v>
      </c>
      <c r="H2893">
        <v>0</v>
      </c>
      <c r="I2893">
        <v>0</v>
      </c>
      <c r="J2893">
        <v>0</v>
      </c>
      <c r="K2893">
        <v>14875</v>
      </c>
      <c r="L2893">
        <v>6791750</v>
      </c>
      <c r="M2893">
        <v>6776875</v>
      </c>
      <c r="N2893">
        <v>6791750</v>
      </c>
      <c r="O2893">
        <v>6776875</v>
      </c>
      <c r="P2893">
        <v>6791750</v>
      </c>
      <c r="Q2893">
        <v>6776875</v>
      </c>
      <c r="R2893" s="14">
        <f>_xlfn.XLOOKUP(Table2[[#This Row],[LoanID]],Table1[G-L ID],Table1[ManagerCode],-99)</f>
        <v>119</v>
      </c>
      <c r="T2893"/>
    </row>
    <row r="2894" spans="1:20" x14ac:dyDescent="0.25">
      <c r="A2894">
        <v>20140831</v>
      </c>
      <c r="B2894">
        <v>2014</v>
      </c>
      <c r="C2894">
        <v>8</v>
      </c>
      <c r="D2894">
        <v>1</v>
      </c>
      <c r="E2894">
        <v>10460</v>
      </c>
      <c r="F2894">
        <v>124516.67</v>
      </c>
      <c r="G2894">
        <v>0</v>
      </c>
      <c r="H2894">
        <v>0</v>
      </c>
      <c r="I2894">
        <v>0</v>
      </c>
      <c r="J2894">
        <v>0</v>
      </c>
      <c r="K2894">
        <v>0</v>
      </c>
      <c r="L2894">
        <v>59689431.310000002</v>
      </c>
      <c r="M2894">
        <v>59698630.039999999</v>
      </c>
      <c r="N2894">
        <v>59689431.310000002</v>
      </c>
      <c r="O2894">
        <v>59698630.039999999</v>
      </c>
      <c r="P2894">
        <v>60000000</v>
      </c>
      <c r="Q2894">
        <v>60000000</v>
      </c>
      <c r="R2894" s="14">
        <f>_xlfn.XLOOKUP(Table2[[#This Row],[LoanID]],Table1[G-L ID],Table1[ManagerCode],-99)</f>
        <v>103</v>
      </c>
      <c r="T2894"/>
    </row>
    <row r="2895" spans="1:20" x14ac:dyDescent="0.25">
      <c r="A2895">
        <v>20140831</v>
      </c>
      <c r="B2895">
        <v>2014</v>
      </c>
      <c r="C2895">
        <v>8</v>
      </c>
      <c r="D2895">
        <v>1</v>
      </c>
      <c r="E2895">
        <v>10470</v>
      </c>
      <c r="F2895">
        <v>57263.89</v>
      </c>
      <c r="G2895">
        <v>0</v>
      </c>
      <c r="H2895">
        <v>0</v>
      </c>
      <c r="I2895">
        <v>0</v>
      </c>
      <c r="J2895">
        <v>0</v>
      </c>
      <c r="K2895">
        <v>0</v>
      </c>
      <c r="L2895">
        <v>25000000</v>
      </c>
      <c r="M2895">
        <v>25000000</v>
      </c>
      <c r="N2895">
        <v>25000000</v>
      </c>
      <c r="O2895">
        <v>25000000</v>
      </c>
      <c r="P2895">
        <v>25000000</v>
      </c>
      <c r="Q2895">
        <v>25000000</v>
      </c>
      <c r="R2895" s="14">
        <f>_xlfn.XLOOKUP(Table2[[#This Row],[LoanID]],Table1[G-L ID],Table1[ManagerCode],-99)</f>
        <v>103</v>
      </c>
      <c r="T2895"/>
    </row>
    <row r="2896" spans="1:20" x14ac:dyDescent="0.25">
      <c r="A2896">
        <v>20140831</v>
      </c>
      <c r="B2896">
        <v>2014</v>
      </c>
      <c r="C2896">
        <v>8</v>
      </c>
      <c r="D2896">
        <v>1</v>
      </c>
      <c r="E2896">
        <v>10510</v>
      </c>
      <c r="F2896">
        <v>300016.52</v>
      </c>
      <c r="G2896">
        <v>0</v>
      </c>
      <c r="H2896">
        <v>0</v>
      </c>
      <c r="I2896">
        <v>0</v>
      </c>
      <c r="J2896">
        <v>0</v>
      </c>
      <c r="K2896">
        <v>836456</v>
      </c>
      <c r="L2896">
        <v>44764705</v>
      </c>
      <c r="M2896">
        <v>43928249</v>
      </c>
      <c r="N2896">
        <v>44764705</v>
      </c>
      <c r="O2896">
        <v>43928249</v>
      </c>
      <c r="P2896">
        <v>44764705</v>
      </c>
      <c r="Q2896">
        <v>43928249</v>
      </c>
      <c r="R2896" s="14">
        <f>_xlfn.XLOOKUP(Table2[[#This Row],[LoanID]],Table1[G-L ID],Table1[ManagerCode],-99)</f>
        <v>220</v>
      </c>
      <c r="T2896"/>
    </row>
    <row r="2897" spans="1:20" x14ac:dyDescent="0.25">
      <c r="A2897">
        <v>20140831</v>
      </c>
      <c r="B2897">
        <v>2014</v>
      </c>
      <c r="C2897">
        <v>8</v>
      </c>
      <c r="D2897">
        <v>1</v>
      </c>
      <c r="E2897">
        <v>10570</v>
      </c>
      <c r="F2897">
        <v>794645.95</v>
      </c>
      <c r="G2897">
        <v>0</v>
      </c>
      <c r="H2897">
        <v>0</v>
      </c>
      <c r="I2897">
        <v>0.01</v>
      </c>
      <c r="J2897">
        <v>0</v>
      </c>
      <c r="K2897">
        <v>0</v>
      </c>
      <c r="L2897">
        <v>154792698.09999999</v>
      </c>
      <c r="M2897">
        <v>154792698.09999999</v>
      </c>
      <c r="N2897">
        <v>154792698.09999999</v>
      </c>
      <c r="O2897">
        <v>154792698.09999999</v>
      </c>
      <c r="P2897">
        <v>156356260.69999999</v>
      </c>
      <c r="Q2897">
        <v>156356260.69999999</v>
      </c>
      <c r="R2897" s="14">
        <f>_xlfn.XLOOKUP(Table2[[#This Row],[LoanID]],Table1[G-L ID],Table1[ManagerCode],-99)</f>
        <v>103</v>
      </c>
      <c r="T2897"/>
    </row>
    <row r="2898" spans="1:20" x14ac:dyDescent="0.25">
      <c r="A2898">
        <v>20140831</v>
      </c>
      <c r="B2898">
        <v>2014</v>
      </c>
      <c r="C2898">
        <v>8</v>
      </c>
      <c r="D2898">
        <v>1</v>
      </c>
      <c r="E2898">
        <v>10591</v>
      </c>
      <c r="F2898">
        <v>221572.53</v>
      </c>
      <c r="G2898">
        <v>0</v>
      </c>
      <c r="H2898">
        <v>0</v>
      </c>
      <c r="I2898">
        <v>0</v>
      </c>
      <c r="J2898">
        <v>0</v>
      </c>
      <c r="K2898">
        <v>98718.98</v>
      </c>
      <c r="L2898">
        <v>26280071.109999999</v>
      </c>
      <c r="M2898">
        <v>26177672.84</v>
      </c>
      <c r="N2898">
        <v>26280071.109999999</v>
      </c>
      <c r="O2898">
        <v>26177672.84</v>
      </c>
      <c r="P2898">
        <v>25335796.899999999</v>
      </c>
      <c r="Q2898">
        <v>25237077.920000002</v>
      </c>
      <c r="R2898" s="14">
        <f>_xlfn.XLOOKUP(Table2[[#This Row],[LoanID]],Table1[G-L ID],Table1[ManagerCode],-99)</f>
        <v>220</v>
      </c>
      <c r="T2898"/>
    </row>
    <row r="2899" spans="1:20" x14ac:dyDescent="0.25">
      <c r="A2899">
        <v>20140831</v>
      </c>
      <c r="B2899">
        <v>2014</v>
      </c>
      <c r="C2899">
        <v>8</v>
      </c>
      <c r="D2899">
        <v>1</v>
      </c>
      <c r="E2899">
        <v>10592</v>
      </c>
      <c r="F2899">
        <v>367669.53</v>
      </c>
      <c r="G2899">
        <v>0</v>
      </c>
      <c r="H2899">
        <v>0</v>
      </c>
      <c r="I2899">
        <v>0</v>
      </c>
      <c r="J2899">
        <v>0</v>
      </c>
      <c r="K2899">
        <v>145728.01999999999</v>
      </c>
      <c r="L2899">
        <v>38629728.590000004</v>
      </c>
      <c r="M2899">
        <v>38479210.829999998</v>
      </c>
      <c r="N2899">
        <v>38629728.590000004</v>
      </c>
      <c r="O2899">
        <v>38479210.829999998</v>
      </c>
      <c r="P2899">
        <v>37400462.100000001</v>
      </c>
      <c r="Q2899">
        <v>37254734.079999998</v>
      </c>
      <c r="R2899" s="14">
        <f>_xlfn.XLOOKUP(Table2[[#This Row],[LoanID]],Table1[G-L ID],Table1[ManagerCode],-99)</f>
        <v>220</v>
      </c>
      <c r="T2899"/>
    </row>
    <row r="2900" spans="1:20" x14ac:dyDescent="0.25">
      <c r="A2900">
        <v>20140831</v>
      </c>
      <c r="B2900">
        <v>2014</v>
      </c>
      <c r="C2900">
        <v>8</v>
      </c>
      <c r="D2900">
        <v>1</v>
      </c>
      <c r="E2900">
        <v>10640</v>
      </c>
      <c r="F2900">
        <v>104526.11</v>
      </c>
      <c r="G2900">
        <v>0</v>
      </c>
      <c r="H2900">
        <v>0</v>
      </c>
      <c r="I2900">
        <v>0</v>
      </c>
      <c r="J2900">
        <v>0</v>
      </c>
      <c r="K2900">
        <v>0</v>
      </c>
      <c r="L2900">
        <v>12197063</v>
      </c>
      <c r="M2900">
        <v>12197063</v>
      </c>
      <c r="N2900">
        <v>12197063</v>
      </c>
      <c r="O2900">
        <v>12197063</v>
      </c>
      <c r="P2900">
        <v>12197063</v>
      </c>
      <c r="Q2900">
        <v>12197063</v>
      </c>
      <c r="R2900" s="14">
        <f>_xlfn.XLOOKUP(Table2[[#This Row],[LoanID]],Table1[G-L ID],Table1[ManagerCode],-99)</f>
        <v>220</v>
      </c>
      <c r="T2900"/>
    </row>
    <row r="2901" spans="1:20" x14ac:dyDescent="0.25">
      <c r="A2901">
        <v>20140831</v>
      </c>
      <c r="B2901">
        <v>2014</v>
      </c>
      <c r="C2901">
        <v>8</v>
      </c>
      <c r="D2901">
        <v>1</v>
      </c>
      <c r="E2901">
        <v>10660</v>
      </c>
      <c r="F2901">
        <v>159348.60999999999</v>
      </c>
      <c r="G2901">
        <v>0</v>
      </c>
      <c r="H2901">
        <v>0</v>
      </c>
      <c r="I2901">
        <v>0</v>
      </c>
      <c r="J2901">
        <v>0</v>
      </c>
      <c r="K2901">
        <v>25000000</v>
      </c>
      <c r="L2901">
        <v>25000000</v>
      </c>
      <c r="M2901">
        <v>0</v>
      </c>
      <c r="N2901">
        <v>25000000</v>
      </c>
      <c r="O2901">
        <v>0</v>
      </c>
      <c r="P2901">
        <v>25000000</v>
      </c>
      <c r="Q2901">
        <v>0</v>
      </c>
      <c r="R2901" s="14">
        <f>_xlfn.XLOOKUP(Table2[[#This Row],[LoanID]],Table1[G-L ID],Table1[ManagerCode],-99)</f>
        <v>119</v>
      </c>
      <c r="T2901"/>
    </row>
    <row r="2902" spans="1:20" x14ac:dyDescent="0.25">
      <c r="A2902">
        <v>20140831</v>
      </c>
      <c r="B2902">
        <v>2014</v>
      </c>
      <c r="C2902">
        <v>8</v>
      </c>
      <c r="D2902">
        <v>1</v>
      </c>
      <c r="E2902">
        <v>10680</v>
      </c>
      <c r="F2902">
        <v>57524.4</v>
      </c>
      <c r="G2902">
        <v>0</v>
      </c>
      <c r="H2902">
        <v>0</v>
      </c>
      <c r="I2902">
        <v>0</v>
      </c>
      <c r="J2902">
        <v>0</v>
      </c>
      <c r="K2902">
        <v>0</v>
      </c>
      <c r="L2902">
        <v>6964400</v>
      </c>
      <c r="M2902">
        <v>6964400</v>
      </c>
      <c r="N2902">
        <v>6964400</v>
      </c>
      <c r="O2902">
        <v>6964400</v>
      </c>
      <c r="P2902">
        <v>6964400</v>
      </c>
      <c r="Q2902">
        <v>6964400</v>
      </c>
      <c r="R2902" s="14">
        <f>_xlfn.XLOOKUP(Table2[[#This Row],[LoanID]],Table1[G-L ID],Table1[ManagerCode],-99)</f>
        <v>119</v>
      </c>
      <c r="T2902"/>
    </row>
    <row r="2903" spans="1:20" x14ac:dyDescent="0.25">
      <c r="A2903">
        <v>20140831</v>
      </c>
      <c r="B2903">
        <v>2014</v>
      </c>
      <c r="C2903">
        <v>8</v>
      </c>
      <c r="D2903">
        <v>1</v>
      </c>
      <c r="E2903">
        <v>10690</v>
      </c>
      <c r="F2903">
        <v>100139.28</v>
      </c>
      <c r="G2903">
        <v>27042.66</v>
      </c>
      <c r="H2903">
        <v>0</v>
      </c>
      <c r="I2903">
        <v>0</v>
      </c>
      <c r="J2903">
        <v>-1001409.46</v>
      </c>
      <c r="K2903">
        <v>0</v>
      </c>
      <c r="L2903">
        <v>17020969.399999999</v>
      </c>
      <c r="M2903">
        <v>18049421.52</v>
      </c>
      <c r="N2903">
        <v>17020969.399999999</v>
      </c>
      <c r="O2903">
        <v>18049421.52</v>
      </c>
      <c r="P2903">
        <v>17020969.399999999</v>
      </c>
      <c r="Q2903">
        <v>18049421.52</v>
      </c>
      <c r="R2903" s="14">
        <f>_xlfn.XLOOKUP(Table2[[#This Row],[LoanID]],Table1[G-L ID],Table1[ManagerCode],-99)</f>
        <v>183</v>
      </c>
      <c r="T2903"/>
    </row>
    <row r="2904" spans="1:20" x14ac:dyDescent="0.25">
      <c r="A2904">
        <v>20140831</v>
      </c>
      <c r="B2904">
        <v>2014</v>
      </c>
      <c r="C2904">
        <v>8</v>
      </c>
      <c r="D2904">
        <v>1</v>
      </c>
      <c r="E2904">
        <v>10720</v>
      </c>
      <c r="F2904">
        <v>125000</v>
      </c>
      <c r="G2904">
        <v>97988.99</v>
      </c>
      <c r="H2904">
        <v>0</v>
      </c>
      <c r="I2904">
        <v>0</v>
      </c>
      <c r="J2904">
        <v>0</v>
      </c>
      <c r="K2904">
        <v>994755</v>
      </c>
      <c r="L2904">
        <v>19038838.210000001</v>
      </c>
      <c r="M2904">
        <v>18049860.27</v>
      </c>
      <c r="N2904">
        <v>19038838.210000001</v>
      </c>
      <c r="O2904">
        <v>18049860.27</v>
      </c>
      <c r="P2904">
        <v>17263663.75</v>
      </c>
      <c r="Q2904">
        <v>16366897.74</v>
      </c>
      <c r="R2904" s="14">
        <f>_xlfn.XLOOKUP(Table2[[#This Row],[LoanID]],Table1[G-L ID],Table1[ManagerCode],-99)</f>
        <v>220</v>
      </c>
      <c r="T2904"/>
    </row>
    <row r="2905" spans="1:20" x14ac:dyDescent="0.25">
      <c r="A2905">
        <v>20140831</v>
      </c>
      <c r="B2905">
        <v>2014</v>
      </c>
      <c r="C2905">
        <v>8</v>
      </c>
      <c r="D2905">
        <v>1</v>
      </c>
      <c r="E2905">
        <v>10780</v>
      </c>
      <c r="F2905">
        <v>311107.39</v>
      </c>
      <c r="G2905">
        <v>0</v>
      </c>
      <c r="H2905">
        <v>0</v>
      </c>
      <c r="I2905">
        <v>0</v>
      </c>
      <c r="J2905">
        <v>0</v>
      </c>
      <c r="K2905">
        <v>0</v>
      </c>
      <c r="L2905">
        <v>43000000</v>
      </c>
      <c r="M2905">
        <v>43000000</v>
      </c>
      <c r="N2905">
        <v>43000000</v>
      </c>
      <c r="O2905">
        <v>43000000</v>
      </c>
      <c r="P2905">
        <v>43000000</v>
      </c>
      <c r="Q2905">
        <v>43000000</v>
      </c>
      <c r="R2905" s="14">
        <f>_xlfn.XLOOKUP(Table2[[#This Row],[LoanID]],Table1[G-L ID],Table1[ManagerCode],-99)</f>
        <v>220</v>
      </c>
      <c r="T2905"/>
    </row>
    <row r="2906" spans="1:20" x14ac:dyDescent="0.25">
      <c r="A2906">
        <v>20140831</v>
      </c>
      <c r="B2906">
        <v>2014</v>
      </c>
      <c r="C2906">
        <v>8</v>
      </c>
      <c r="D2906">
        <v>1</v>
      </c>
      <c r="E2906">
        <v>10820</v>
      </c>
      <c r="F2906">
        <v>179490.83</v>
      </c>
      <c r="G2906">
        <v>0</v>
      </c>
      <c r="H2906">
        <v>0</v>
      </c>
      <c r="I2906">
        <v>0</v>
      </c>
      <c r="J2906">
        <v>-333300</v>
      </c>
      <c r="K2906">
        <v>0</v>
      </c>
      <c r="L2906">
        <v>21981645.739999998</v>
      </c>
      <c r="M2906">
        <v>22314945.739999998</v>
      </c>
      <c r="N2906">
        <v>21981645.739999998</v>
      </c>
      <c r="O2906">
        <v>22314945.739999998</v>
      </c>
      <c r="P2906">
        <v>21981645.739999998</v>
      </c>
      <c r="Q2906">
        <v>22314945.739999998</v>
      </c>
      <c r="R2906" s="14">
        <f>_xlfn.XLOOKUP(Table2[[#This Row],[LoanID]],Table1[G-L ID],Table1[ManagerCode],-99)</f>
        <v>220</v>
      </c>
      <c r="T2906"/>
    </row>
    <row r="2907" spans="1:20" x14ac:dyDescent="0.25">
      <c r="A2907">
        <v>20140831</v>
      </c>
      <c r="B2907">
        <v>2014</v>
      </c>
      <c r="C2907">
        <v>8</v>
      </c>
      <c r="D2907">
        <v>1</v>
      </c>
      <c r="E2907">
        <v>10830</v>
      </c>
      <c r="F2907">
        <v>60367.79</v>
      </c>
      <c r="G2907">
        <v>0</v>
      </c>
      <c r="H2907">
        <v>0</v>
      </c>
      <c r="I2907">
        <v>0</v>
      </c>
      <c r="J2907">
        <v>0</v>
      </c>
      <c r="K2907">
        <v>0</v>
      </c>
      <c r="L2907">
        <v>7284534.0199999996</v>
      </c>
      <c r="M2907">
        <v>7284534.0199999996</v>
      </c>
      <c r="N2907">
        <v>7284534.0199999996</v>
      </c>
      <c r="O2907">
        <v>7284534.0199999996</v>
      </c>
      <c r="P2907">
        <v>7284534.0199999996</v>
      </c>
      <c r="Q2907">
        <v>7284534.0199999996</v>
      </c>
      <c r="R2907" s="14">
        <f>_xlfn.XLOOKUP(Table2[[#This Row],[LoanID]],Table1[G-L ID],Table1[ManagerCode],-99)</f>
        <v>220</v>
      </c>
      <c r="T2907"/>
    </row>
    <row r="2908" spans="1:20" x14ac:dyDescent="0.25">
      <c r="A2908">
        <v>20140831</v>
      </c>
      <c r="B2908">
        <v>2014</v>
      </c>
      <c r="C2908">
        <v>8</v>
      </c>
      <c r="D2908">
        <v>1</v>
      </c>
      <c r="E2908">
        <v>10840</v>
      </c>
      <c r="F2908">
        <v>103968.23</v>
      </c>
      <c r="G2908">
        <v>0</v>
      </c>
      <c r="H2908">
        <v>0</v>
      </c>
      <c r="I2908">
        <v>0</v>
      </c>
      <c r="J2908">
        <v>0</v>
      </c>
      <c r="K2908">
        <v>0</v>
      </c>
      <c r="L2908">
        <v>12709189</v>
      </c>
      <c r="M2908">
        <v>12709189</v>
      </c>
      <c r="N2908">
        <v>12709189</v>
      </c>
      <c r="O2908">
        <v>12709189</v>
      </c>
      <c r="P2908">
        <v>12709189</v>
      </c>
      <c r="Q2908">
        <v>12709189</v>
      </c>
      <c r="R2908" s="14">
        <f>_xlfn.XLOOKUP(Table2[[#This Row],[LoanID]],Table1[G-L ID],Table1[ManagerCode],-99)</f>
        <v>220</v>
      </c>
      <c r="T2908"/>
    </row>
    <row r="2909" spans="1:20" x14ac:dyDescent="0.25">
      <c r="A2909">
        <v>20140831</v>
      </c>
      <c r="B2909">
        <v>2014</v>
      </c>
      <c r="C2909">
        <v>8</v>
      </c>
      <c r="D2909">
        <v>1</v>
      </c>
      <c r="E2909">
        <v>10850</v>
      </c>
      <c r="F2909">
        <v>110534.78</v>
      </c>
      <c r="G2909">
        <v>0</v>
      </c>
      <c r="H2909">
        <v>0</v>
      </c>
      <c r="I2909">
        <v>0</v>
      </c>
      <c r="J2909">
        <v>0</v>
      </c>
      <c r="K2909">
        <v>0</v>
      </c>
      <c r="L2909">
        <v>13511892</v>
      </c>
      <c r="M2909">
        <v>13511892</v>
      </c>
      <c r="N2909">
        <v>13511892</v>
      </c>
      <c r="O2909">
        <v>13511892</v>
      </c>
      <c r="P2909">
        <v>13511892</v>
      </c>
      <c r="Q2909">
        <v>13511892</v>
      </c>
      <c r="R2909" s="14">
        <f>_xlfn.XLOOKUP(Table2[[#This Row],[LoanID]],Table1[G-L ID],Table1[ManagerCode],-99)</f>
        <v>220</v>
      </c>
      <c r="T2909"/>
    </row>
    <row r="2910" spans="1:20" x14ac:dyDescent="0.25">
      <c r="A2910">
        <v>20140831</v>
      </c>
      <c r="B2910">
        <v>2014</v>
      </c>
      <c r="C2910">
        <v>8</v>
      </c>
      <c r="D2910">
        <v>1</v>
      </c>
      <c r="E2910">
        <v>10860</v>
      </c>
      <c r="F2910">
        <v>117426.28</v>
      </c>
      <c r="G2910">
        <v>0</v>
      </c>
      <c r="H2910">
        <v>0</v>
      </c>
      <c r="I2910">
        <v>0</v>
      </c>
      <c r="J2910">
        <v>0</v>
      </c>
      <c r="K2910">
        <v>0</v>
      </c>
      <c r="L2910">
        <v>19475000</v>
      </c>
      <c r="M2910">
        <v>19475000</v>
      </c>
      <c r="N2910">
        <v>19475000</v>
      </c>
      <c r="O2910">
        <v>19475000</v>
      </c>
      <c r="P2910">
        <v>20500000</v>
      </c>
      <c r="Q2910">
        <v>20500000</v>
      </c>
      <c r="R2910" s="14">
        <f>_xlfn.XLOOKUP(Table2[[#This Row],[LoanID]],Table1[G-L ID],Table1[ManagerCode],-99)</f>
        <v>103</v>
      </c>
      <c r="T2910"/>
    </row>
    <row r="2911" spans="1:20" x14ac:dyDescent="0.25">
      <c r="A2911">
        <v>20140831</v>
      </c>
      <c r="B2911">
        <v>2014</v>
      </c>
      <c r="C2911">
        <v>8</v>
      </c>
      <c r="D2911">
        <v>1</v>
      </c>
      <c r="E2911">
        <v>10900</v>
      </c>
      <c r="F2911">
        <v>80709.009999999995</v>
      </c>
      <c r="G2911">
        <v>0</v>
      </c>
      <c r="H2911">
        <v>0</v>
      </c>
      <c r="I2911">
        <v>-0.01</v>
      </c>
      <c r="J2911">
        <v>0</v>
      </c>
      <c r="K2911">
        <v>2908.05</v>
      </c>
      <c r="L2911">
        <v>8094569.7599999998</v>
      </c>
      <c r="M2911">
        <v>8091807.0999999996</v>
      </c>
      <c r="N2911">
        <v>8094569.7599999998</v>
      </c>
      <c r="O2911">
        <v>8091807.0999999996</v>
      </c>
      <c r="P2911">
        <v>8520599.75</v>
      </c>
      <c r="Q2911">
        <v>8517691.6999999993</v>
      </c>
      <c r="R2911" s="14">
        <f>_xlfn.XLOOKUP(Table2[[#This Row],[LoanID]],Table1[G-L ID],Table1[ManagerCode],-99)</f>
        <v>103</v>
      </c>
      <c r="T2911"/>
    </row>
    <row r="2912" spans="1:20" x14ac:dyDescent="0.25">
      <c r="A2912">
        <v>20140831</v>
      </c>
      <c r="B2912">
        <v>2014</v>
      </c>
      <c r="C2912">
        <v>8</v>
      </c>
      <c r="D2912">
        <v>1</v>
      </c>
      <c r="E2912">
        <v>10920</v>
      </c>
      <c r="F2912">
        <v>114583.33</v>
      </c>
      <c r="G2912">
        <v>0</v>
      </c>
      <c r="H2912">
        <v>0</v>
      </c>
      <c r="I2912">
        <v>0</v>
      </c>
      <c r="J2912">
        <v>0</v>
      </c>
      <c r="K2912">
        <v>0</v>
      </c>
      <c r="L2912">
        <v>11000000</v>
      </c>
      <c r="M2912">
        <v>11000000</v>
      </c>
      <c r="N2912">
        <v>11000000</v>
      </c>
      <c r="O2912">
        <v>11000000</v>
      </c>
      <c r="P2912">
        <v>11000000</v>
      </c>
      <c r="Q2912">
        <v>11000000</v>
      </c>
      <c r="R2912" s="14">
        <f>_xlfn.XLOOKUP(Table2[[#This Row],[LoanID]],Table1[G-L ID],Table1[ManagerCode],-99)</f>
        <v>183</v>
      </c>
      <c r="T2912"/>
    </row>
    <row r="2913" spans="1:20" x14ac:dyDescent="0.25">
      <c r="A2913">
        <v>20140831</v>
      </c>
      <c r="B2913">
        <v>2014</v>
      </c>
      <c r="C2913">
        <v>8</v>
      </c>
      <c r="D2913">
        <v>1</v>
      </c>
      <c r="E2913">
        <v>10940</v>
      </c>
      <c r="F2913">
        <v>51954.68</v>
      </c>
      <c r="G2913">
        <v>70039.22</v>
      </c>
      <c r="H2913">
        <v>0</v>
      </c>
      <c r="I2913">
        <v>0</v>
      </c>
      <c r="J2913">
        <v>-51954.68</v>
      </c>
      <c r="K2913">
        <v>0</v>
      </c>
      <c r="L2913">
        <v>10494337.98</v>
      </c>
      <c r="M2913">
        <v>10616331.880000001</v>
      </c>
      <c r="N2913">
        <v>10494337.98</v>
      </c>
      <c r="O2913">
        <v>10616331.880000001</v>
      </c>
      <c r="P2913">
        <v>10494337.98</v>
      </c>
      <c r="Q2913">
        <v>10616331.880000001</v>
      </c>
      <c r="R2913" s="14">
        <f>_xlfn.XLOOKUP(Table2[[#This Row],[LoanID]],Table1[G-L ID],Table1[ManagerCode],-99)</f>
        <v>183</v>
      </c>
      <c r="T2913"/>
    </row>
    <row r="2914" spans="1:20" x14ac:dyDescent="0.25">
      <c r="A2914">
        <v>20140831</v>
      </c>
      <c r="B2914">
        <v>2014</v>
      </c>
      <c r="C2914">
        <v>8</v>
      </c>
      <c r="D2914">
        <v>1</v>
      </c>
      <c r="E2914">
        <v>10960</v>
      </c>
      <c r="F2914">
        <v>0</v>
      </c>
      <c r="G2914">
        <v>0</v>
      </c>
      <c r="H2914">
        <v>0</v>
      </c>
      <c r="I2914">
        <v>0</v>
      </c>
      <c r="J2914">
        <v>0</v>
      </c>
      <c r="K2914">
        <v>0</v>
      </c>
      <c r="L2914">
        <v>22750000</v>
      </c>
      <c r="M2914">
        <v>22750000</v>
      </c>
      <c r="N2914">
        <v>22750000</v>
      </c>
      <c r="O2914">
        <v>22750000</v>
      </c>
      <c r="P2914">
        <v>22750000</v>
      </c>
      <c r="Q2914">
        <v>22750000</v>
      </c>
      <c r="R2914" s="14">
        <f>_xlfn.XLOOKUP(Table2[[#This Row],[LoanID]],Table1[G-L ID],Table1[ManagerCode],-99)</f>
        <v>119</v>
      </c>
      <c r="T2914"/>
    </row>
    <row r="2915" spans="1:20" x14ac:dyDescent="0.25">
      <c r="A2915">
        <v>20140831</v>
      </c>
      <c r="B2915">
        <v>2014</v>
      </c>
      <c r="C2915">
        <v>8</v>
      </c>
      <c r="D2915">
        <v>1</v>
      </c>
      <c r="E2915">
        <v>11030</v>
      </c>
      <c r="F2915">
        <v>65110.33</v>
      </c>
      <c r="G2915">
        <v>0</v>
      </c>
      <c r="H2915">
        <v>0</v>
      </c>
      <c r="I2915">
        <v>0</v>
      </c>
      <c r="J2915">
        <v>0</v>
      </c>
      <c r="K2915">
        <v>0</v>
      </c>
      <c r="L2915">
        <v>8000000</v>
      </c>
      <c r="M2915">
        <v>8000000</v>
      </c>
      <c r="N2915">
        <v>8000000</v>
      </c>
      <c r="O2915">
        <v>8000000</v>
      </c>
      <c r="P2915">
        <v>8000000</v>
      </c>
      <c r="Q2915">
        <v>8000000</v>
      </c>
      <c r="R2915" s="14">
        <f>_xlfn.XLOOKUP(Table2[[#This Row],[LoanID]],Table1[G-L ID],Table1[ManagerCode],-99)</f>
        <v>119</v>
      </c>
      <c r="T2915"/>
    </row>
    <row r="2916" spans="1:20" x14ac:dyDescent="0.25">
      <c r="A2916">
        <v>20140831</v>
      </c>
      <c r="B2916">
        <v>2014</v>
      </c>
      <c r="C2916">
        <v>8</v>
      </c>
      <c r="D2916">
        <v>1</v>
      </c>
      <c r="E2916">
        <v>11040</v>
      </c>
      <c r="F2916">
        <v>523211.11</v>
      </c>
      <c r="G2916">
        <v>0</v>
      </c>
      <c r="H2916">
        <v>0</v>
      </c>
      <c r="I2916">
        <v>0</v>
      </c>
      <c r="J2916">
        <v>0</v>
      </c>
      <c r="K2916">
        <v>0</v>
      </c>
      <c r="L2916">
        <v>50000000</v>
      </c>
      <c r="M2916">
        <v>50000000</v>
      </c>
      <c r="N2916">
        <v>50000000</v>
      </c>
      <c r="O2916">
        <v>50000000</v>
      </c>
      <c r="P2916">
        <v>50000000</v>
      </c>
      <c r="Q2916">
        <v>50000000</v>
      </c>
      <c r="R2916" s="14">
        <f>_xlfn.XLOOKUP(Table2[[#This Row],[LoanID]],Table1[G-L ID],Table1[ManagerCode],-99)</f>
        <v>220</v>
      </c>
      <c r="T2916"/>
    </row>
    <row r="2917" spans="1:20" x14ac:dyDescent="0.25">
      <c r="A2917">
        <v>20140831</v>
      </c>
      <c r="B2917">
        <v>2014</v>
      </c>
      <c r="C2917">
        <v>8</v>
      </c>
      <c r="D2917">
        <v>1</v>
      </c>
      <c r="E2917">
        <v>11050</v>
      </c>
      <c r="F2917">
        <v>300635</v>
      </c>
      <c r="G2917">
        <v>0</v>
      </c>
      <c r="H2917">
        <v>0</v>
      </c>
      <c r="I2917">
        <v>0</v>
      </c>
      <c r="J2917">
        <v>0</v>
      </c>
      <c r="K2917">
        <v>0</v>
      </c>
      <c r="L2917">
        <v>29200000</v>
      </c>
      <c r="M2917">
        <v>29200000</v>
      </c>
      <c r="N2917">
        <v>29200000</v>
      </c>
      <c r="O2917">
        <v>29200000</v>
      </c>
      <c r="P2917">
        <v>28500000</v>
      </c>
      <c r="Q2917">
        <v>28500000</v>
      </c>
      <c r="R2917" s="14">
        <f>_xlfn.XLOOKUP(Table2[[#This Row],[LoanID]],Table1[G-L ID],Table1[ManagerCode],-99)</f>
        <v>220</v>
      </c>
      <c r="T2917"/>
    </row>
    <row r="2918" spans="1:20" x14ac:dyDescent="0.25">
      <c r="A2918">
        <v>20140831</v>
      </c>
      <c r="B2918">
        <v>2014</v>
      </c>
      <c r="C2918">
        <v>8</v>
      </c>
      <c r="D2918">
        <v>1</v>
      </c>
      <c r="E2918">
        <v>11070</v>
      </c>
      <c r="F2918">
        <v>143794.44</v>
      </c>
      <c r="G2918">
        <v>0</v>
      </c>
      <c r="H2918">
        <v>0</v>
      </c>
      <c r="I2918">
        <v>0</v>
      </c>
      <c r="J2918">
        <v>0</v>
      </c>
      <c r="K2918">
        <v>2007.83</v>
      </c>
      <c r="L2918">
        <v>13821679.310000001</v>
      </c>
      <c r="M2918">
        <v>13820073.029999999</v>
      </c>
      <c r="N2918">
        <v>13821679.310000001</v>
      </c>
      <c r="O2918">
        <v>13820073.029999999</v>
      </c>
      <c r="P2918">
        <v>17277099.120000001</v>
      </c>
      <c r="Q2918">
        <v>17275091.289999999</v>
      </c>
      <c r="R2918" s="14">
        <f>_xlfn.XLOOKUP(Table2[[#This Row],[LoanID]],Table1[G-L ID],Table1[ManagerCode],-99)</f>
        <v>103</v>
      </c>
      <c r="T2918"/>
    </row>
    <row r="2919" spans="1:20" x14ac:dyDescent="0.25">
      <c r="A2919">
        <v>20140831</v>
      </c>
      <c r="B2919">
        <v>2014</v>
      </c>
      <c r="C2919">
        <v>8</v>
      </c>
      <c r="D2919">
        <v>1</v>
      </c>
      <c r="E2919">
        <v>11100</v>
      </c>
      <c r="F2919">
        <v>52991.24</v>
      </c>
      <c r="G2919">
        <v>0</v>
      </c>
      <c r="H2919">
        <v>0</v>
      </c>
      <c r="I2919">
        <v>0</v>
      </c>
      <c r="J2919">
        <v>-3832548.38</v>
      </c>
      <c r="K2919">
        <v>0</v>
      </c>
      <c r="L2919">
        <v>14335212.09</v>
      </c>
      <c r="M2919">
        <v>18177944.370000001</v>
      </c>
      <c r="N2919">
        <v>14335212.09</v>
      </c>
      <c r="O2919">
        <v>18177944.370000001</v>
      </c>
      <c r="P2919">
        <v>14807077.52</v>
      </c>
      <c r="Q2919">
        <v>18639625.899999999</v>
      </c>
      <c r="R2919" s="14">
        <f>_xlfn.XLOOKUP(Table2[[#This Row],[LoanID]],Table1[G-L ID],Table1[ManagerCode],-99)</f>
        <v>103</v>
      </c>
      <c r="T2919"/>
    </row>
    <row r="2920" spans="1:20" x14ac:dyDescent="0.25">
      <c r="A2920">
        <v>20140831</v>
      </c>
      <c r="B2920">
        <v>2014</v>
      </c>
      <c r="C2920">
        <v>8</v>
      </c>
      <c r="D2920">
        <v>1</v>
      </c>
      <c r="E2920">
        <v>11130</v>
      </c>
      <c r="F2920">
        <v>938277</v>
      </c>
      <c r="G2920">
        <v>0</v>
      </c>
      <c r="H2920">
        <v>0</v>
      </c>
      <c r="I2920">
        <v>0</v>
      </c>
      <c r="J2920">
        <v>0</v>
      </c>
      <c r="K2920">
        <v>0</v>
      </c>
      <c r="L2920">
        <v>168150000</v>
      </c>
      <c r="M2920">
        <v>168150000</v>
      </c>
      <c r="N2920">
        <v>168150000</v>
      </c>
      <c r="O2920">
        <v>168150000</v>
      </c>
      <c r="P2920">
        <v>177000000</v>
      </c>
      <c r="Q2920">
        <v>177000000</v>
      </c>
      <c r="R2920" s="14">
        <f>_xlfn.XLOOKUP(Table2[[#This Row],[LoanID]],Table1[G-L ID],Table1[ManagerCode],-99)</f>
        <v>103</v>
      </c>
      <c r="T2920"/>
    </row>
    <row r="2921" spans="1:20" x14ac:dyDescent="0.25">
      <c r="A2921">
        <v>20140831</v>
      </c>
      <c r="B2921">
        <v>2014</v>
      </c>
      <c r="C2921">
        <v>8</v>
      </c>
      <c r="D2921">
        <v>1</v>
      </c>
      <c r="E2921">
        <v>11170</v>
      </c>
      <c r="F2921">
        <v>701181.25</v>
      </c>
      <c r="G2921">
        <v>0</v>
      </c>
      <c r="H2921">
        <v>0</v>
      </c>
      <c r="I2921">
        <v>0</v>
      </c>
      <c r="J2921">
        <v>0</v>
      </c>
      <c r="K2921">
        <v>0</v>
      </c>
      <c r="L2921">
        <v>173249826.80000001</v>
      </c>
      <c r="M2921">
        <v>173249826.80000001</v>
      </c>
      <c r="N2921">
        <v>173249826.80000001</v>
      </c>
      <c r="O2921">
        <v>173249826.80000001</v>
      </c>
      <c r="P2921">
        <v>175000000</v>
      </c>
      <c r="Q2921">
        <v>175000000</v>
      </c>
      <c r="R2921" s="14">
        <f>_xlfn.XLOOKUP(Table2[[#This Row],[LoanID]],Table1[G-L ID],Table1[ManagerCode],-99)</f>
        <v>103</v>
      </c>
      <c r="T2921"/>
    </row>
    <row r="2922" spans="1:20" x14ac:dyDescent="0.25">
      <c r="A2922">
        <v>20140831</v>
      </c>
      <c r="B2922">
        <v>2014</v>
      </c>
      <c r="C2922">
        <v>8</v>
      </c>
      <c r="D2922">
        <v>1</v>
      </c>
      <c r="E2922">
        <v>11220</v>
      </c>
      <c r="F2922">
        <v>311937.5</v>
      </c>
      <c r="G2922">
        <v>0</v>
      </c>
      <c r="H2922">
        <v>0</v>
      </c>
      <c r="I2922">
        <v>0</v>
      </c>
      <c r="J2922">
        <v>0</v>
      </c>
      <c r="K2922">
        <v>0</v>
      </c>
      <c r="L2922">
        <v>34500000</v>
      </c>
      <c r="M2922">
        <v>34500000</v>
      </c>
      <c r="N2922">
        <v>34500000</v>
      </c>
      <c r="O2922">
        <v>34500000</v>
      </c>
      <c r="P2922">
        <v>34500000</v>
      </c>
      <c r="Q2922">
        <v>34500000</v>
      </c>
      <c r="R2922" s="14">
        <f>_xlfn.XLOOKUP(Table2[[#This Row],[LoanID]],Table1[G-L ID],Table1[ManagerCode],-99)</f>
        <v>220</v>
      </c>
      <c r="T2922"/>
    </row>
    <row r="2923" spans="1:20" x14ac:dyDescent="0.25">
      <c r="A2923">
        <v>20140831</v>
      </c>
      <c r="B2923">
        <v>2014</v>
      </c>
      <c r="C2923">
        <v>8</v>
      </c>
      <c r="D2923">
        <v>1</v>
      </c>
      <c r="E2923">
        <v>11320</v>
      </c>
      <c r="F2923">
        <v>97540.6</v>
      </c>
      <c r="G2923">
        <v>0</v>
      </c>
      <c r="H2923">
        <v>0</v>
      </c>
      <c r="I2923">
        <v>0</v>
      </c>
      <c r="J2923">
        <v>0</v>
      </c>
      <c r="K2923">
        <v>18000</v>
      </c>
      <c r="L2923">
        <v>11982000</v>
      </c>
      <c r="M2923">
        <v>11964000</v>
      </c>
      <c r="N2923">
        <v>11982000</v>
      </c>
      <c r="O2923">
        <v>11964000</v>
      </c>
      <c r="P2923">
        <v>11982000</v>
      </c>
      <c r="Q2923">
        <v>11964000</v>
      </c>
      <c r="R2923" s="14">
        <f>_xlfn.XLOOKUP(Table2[[#This Row],[LoanID]],Table1[G-L ID],Table1[ManagerCode],-99)</f>
        <v>119</v>
      </c>
      <c r="T2923"/>
    </row>
    <row r="2924" spans="1:20" x14ac:dyDescent="0.25">
      <c r="A2924">
        <v>20140831</v>
      </c>
      <c r="B2924">
        <v>2014</v>
      </c>
      <c r="C2924">
        <v>8</v>
      </c>
      <c r="D2924">
        <v>1</v>
      </c>
      <c r="E2924">
        <v>11340</v>
      </c>
      <c r="F2924">
        <v>301388.89</v>
      </c>
      <c r="G2924">
        <v>0</v>
      </c>
      <c r="H2924">
        <v>0</v>
      </c>
      <c r="I2924">
        <v>0</v>
      </c>
      <c r="J2924">
        <v>0</v>
      </c>
      <c r="K2924">
        <v>0</v>
      </c>
      <c r="L2924">
        <v>49500000</v>
      </c>
      <c r="M2924">
        <v>49500000</v>
      </c>
      <c r="N2924">
        <v>49500000</v>
      </c>
      <c r="O2924">
        <v>49500000</v>
      </c>
      <c r="P2924">
        <v>50000000</v>
      </c>
      <c r="Q2924">
        <v>50000000</v>
      </c>
      <c r="R2924" s="14">
        <f>_xlfn.XLOOKUP(Table2[[#This Row],[LoanID]],Table1[G-L ID],Table1[ManagerCode],-99)</f>
        <v>103</v>
      </c>
      <c r="T2924"/>
    </row>
    <row r="2925" spans="1:20" x14ac:dyDescent="0.25">
      <c r="A2925">
        <v>20140831</v>
      </c>
      <c r="B2925">
        <v>2014</v>
      </c>
      <c r="C2925">
        <v>8</v>
      </c>
      <c r="D2925">
        <v>1</v>
      </c>
      <c r="E2925">
        <v>11350</v>
      </c>
      <c r="F2925">
        <v>331527.78000000003</v>
      </c>
      <c r="G2925">
        <v>0</v>
      </c>
      <c r="H2925">
        <v>0</v>
      </c>
      <c r="I2925">
        <v>0</v>
      </c>
      <c r="J2925">
        <v>0</v>
      </c>
      <c r="K2925">
        <v>0</v>
      </c>
      <c r="L2925">
        <v>54449945.549999997</v>
      </c>
      <c r="M2925">
        <v>54449945.549999997</v>
      </c>
      <c r="N2925">
        <v>54449945.549999997</v>
      </c>
      <c r="O2925">
        <v>54449945.549999997</v>
      </c>
      <c r="P2925">
        <v>55000000</v>
      </c>
      <c r="Q2925">
        <v>55000000</v>
      </c>
      <c r="R2925" s="14">
        <f>_xlfn.XLOOKUP(Table2[[#This Row],[LoanID]],Table1[G-L ID],Table1[ManagerCode],-99)</f>
        <v>103</v>
      </c>
      <c r="T2925"/>
    </row>
    <row r="2926" spans="1:20" x14ac:dyDescent="0.25">
      <c r="A2926">
        <v>20140831</v>
      </c>
      <c r="B2926">
        <v>2014</v>
      </c>
      <c r="C2926">
        <v>8</v>
      </c>
      <c r="D2926">
        <v>1</v>
      </c>
      <c r="E2926">
        <v>11370</v>
      </c>
      <c r="F2926">
        <v>51763.11</v>
      </c>
      <c r="G2926">
        <v>0</v>
      </c>
      <c r="H2926">
        <v>0</v>
      </c>
      <c r="I2926">
        <v>0</v>
      </c>
      <c r="J2926">
        <v>0</v>
      </c>
      <c r="K2926">
        <v>0</v>
      </c>
      <c r="L2926">
        <v>5525000</v>
      </c>
      <c r="M2926">
        <v>5525000</v>
      </c>
      <c r="N2926">
        <v>5525000</v>
      </c>
      <c r="O2926">
        <v>5525000</v>
      </c>
      <c r="P2926">
        <v>5525000</v>
      </c>
      <c r="Q2926">
        <v>5525000</v>
      </c>
      <c r="R2926" s="14">
        <f>_xlfn.XLOOKUP(Table2[[#This Row],[LoanID]],Table1[G-L ID],Table1[ManagerCode],-99)</f>
        <v>119</v>
      </c>
      <c r="T2926"/>
    </row>
    <row r="2927" spans="1:20" x14ac:dyDescent="0.25">
      <c r="A2927">
        <v>20140831</v>
      </c>
      <c r="B2927">
        <v>2014</v>
      </c>
      <c r="C2927">
        <v>8</v>
      </c>
      <c r="D2927">
        <v>1</v>
      </c>
      <c r="E2927">
        <v>11390</v>
      </c>
      <c r="F2927">
        <v>207743.06</v>
      </c>
      <c r="G2927">
        <v>0</v>
      </c>
      <c r="H2927">
        <v>0</v>
      </c>
      <c r="I2927">
        <v>0</v>
      </c>
      <c r="J2927">
        <v>0</v>
      </c>
      <c r="K2927">
        <v>0</v>
      </c>
      <c r="L2927">
        <v>25000000</v>
      </c>
      <c r="M2927">
        <v>25000000</v>
      </c>
      <c r="N2927">
        <v>25000000</v>
      </c>
      <c r="O2927">
        <v>25000000</v>
      </c>
      <c r="P2927">
        <v>25000000</v>
      </c>
      <c r="Q2927">
        <v>25000000</v>
      </c>
      <c r="R2927" s="14">
        <f>_xlfn.XLOOKUP(Table2[[#This Row],[LoanID]],Table1[G-L ID],Table1[ManagerCode],-99)</f>
        <v>220</v>
      </c>
      <c r="T2927"/>
    </row>
    <row r="2928" spans="1:20" x14ac:dyDescent="0.25">
      <c r="A2928">
        <v>20140831</v>
      </c>
      <c r="B2928">
        <v>2014</v>
      </c>
      <c r="C2928">
        <v>8</v>
      </c>
      <c r="D2928">
        <v>1</v>
      </c>
      <c r="E2928">
        <v>11540</v>
      </c>
      <c r="F2928">
        <v>78808.89</v>
      </c>
      <c r="G2928">
        <v>0</v>
      </c>
      <c r="H2928">
        <v>0</v>
      </c>
      <c r="I2928">
        <v>0</v>
      </c>
      <c r="J2928">
        <v>0</v>
      </c>
      <c r="K2928">
        <v>0</v>
      </c>
      <c r="L2928">
        <v>10000000</v>
      </c>
      <c r="M2928">
        <v>10000000</v>
      </c>
      <c r="N2928">
        <v>10000000</v>
      </c>
      <c r="O2928">
        <v>10000000</v>
      </c>
      <c r="P2928">
        <v>10000000</v>
      </c>
      <c r="Q2928">
        <v>10000000</v>
      </c>
      <c r="R2928" s="14">
        <f>_xlfn.XLOOKUP(Table2[[#This Row],[LoanID]],Table1[G-L ID],Table1[ManagerCode],-99)</f>
        <v>220</v>
      </c>
      <c r="T2928"/>
    </row>
    <row r="2929" spans="1:20" x14ac:dyDescent="0.25">
      <c r="A2929">
        <v>20140831</v>
      </c>
      <c r="B2929">
        <v>2014</v>
      </c>
      <c r="C2929">
        <v>8</v>
      </c>
      <c r="D2929">
        <v>1</v>
      </c>
      <c r="E2929">
        <v>11550</v>
      </c>
      <c r="F2929">
        <v>126795.17</v>
      </c>
      <c r="G2929">
        <v>0</v>
      </c>
      <c r="H2929">
        <v>0</v>
      </c>
      <c r="I2929">
        <v>0</v>
      </c>
      <c r="J2929">
        <v>0</v>
      </c>
      <c r="K2929">
        <v>0</v>
      </c>
      <c r="L2929">
        <v>21850021.850000001</v>
      </c>
      <c r="M2929">
        <v>21850021.850000001</v>
      </c>
      <c r="N2929">
        <v>21850021.850000001</v>
      </c>
      <c r="O2929">
        <v>21850021.850000001</v>
      </c>
      <c r="P2929">
        <v>23000000</v>
      </c>
      <c r="Q2929">
        <v>23000000</v>
      </c>
      <c r="R2929" s="14">
        <f>_xlfn.XLOOKUP(Table2[[#This Row],[LoanID]],Table1[G-L ID],Table1[ManagerCode],-99)</f>
        <v>103</v>
      </c>
      <c r="T2929"/>
    </row>
    <row r="2930" spans="1:20" x14ac:dyDescent="0.25">
      <c r="A2930">
        <v>20140831</v>
      </c>
      <c r="B2930">
        <v>2014</v>
      </c>
      <c r="C2930">
        <v>8</v>
      </c>
      <c r="D2930">
        <v>1</v>
      </c>
      <c r="E2930">
        <v>11560</v>
      </c>
      <c r="F2930">
        <v>51466.59</v>
      </c>
      <c r="G2930">
        <v>-44440.67</v>
      </c>
      <c r="H2930">
        <v>0</v>
      </c>
      <c r="I2930">
        <v>0</v>
      </c>
      <c r="J2930">
        <v>0</v>
      </c>
      <c r="K2930">
        <v>0</v>
      </c>
      <c r="L2930">
        <v>14382684.17</v>
      </c>
      <c r="M2930">
        <v>14338243.5</v>
      </c>
      <c r="N2930">
        <v>14382684.17</v>
      </c>
      <c r="O2930">
        <v>14338243.5</v>
      </c>
      <c r="P2930">
        <v>14382684.17</v>
      </c>
      <c r="Q2930">
        <v>14338243.5</v>
      </c>
      <c r="R2930" s="14">
        <f>_xlfn.XLOOKUP(Table2[[#This Row],[LoanID]],Table1[G-L ID],Table1[ManagerCode],-99)</f>
        <v>183</v>
      </c>
      <c r="T2930"/>
    </row>
    <row r="2931" spans="1:20" x14ac:dyDescent="0.25">
      <c r="A2931">
        <v>20140831</v>
      </c>
      <c r="B2931">
        <v>2014</v>
      </c>
      <c r="C2931">
        <v>8</v>
      </c>
      <c r="D2931">
        <v>1</v>
      </c>
      <c r="E2931">
        <v>11580</v>
      </c>
      <c r="F2931">
        <v>115106.88</v>
      </c>
      <c r="G2931">
        <v>0</v>
      </c>
      <c r="H2931">
        <v>0</v>
      </c>
      <c r="I2931">
        <v>0</v>
      </c>
      <c r="J2931">
        <v>0</v>
      </c>
      <c r="K2931">
        <v>0</v>
      </c>
      <c r="L2931">
        <v>15000000</v>
      </c>
      <c r="M2931">
        <v>15000000</v>
      </c>
      <c r="N2931">
        <v>15000000</v>
      </c>
      <c r="O2931">
        <v>15000000</v>
      </c>
      <c r="P2931">
        <v>15000000</v>
      </c>
      <c r="Q2931">
        <v>15000000</v>
      </c>
      <c r="R2931" s="14">
        <f>_xlfn.XLOOKUP(Table2[[#This Row],[LoanID]],Table1[G-L ID],Table1[ManagerCode],-99)</f>
        <v>119</v>
      </c>
      <c r="T2931"/>
    </row>
    <row r="2932" spans="1:20" x14ac:dyDescent="0.25">
      <c r="A2932">
        <v>20140831</v>
      </c>
      <c r="B2932">
        <v>2014</v>
      </c>
      <c r="C2932">
        <v>8</v>
      </c>
      <c r="D2932">
        <v>1</v>
      </c>
      <c r="E2932">
        <v>11620</v>
      </c>
      <c r="F2932">
        <v>80692.73</v>
      </c>
      <c r="G2932">
        <v>38898.74</v>
      </c>
      <c r="H2932">
        <v>0</v>
      </c>
      <c r="I2932">
        <v>0</v>
      </c>
      <c r="J2932">
        <v>0</v>
      </c>
      <c r="K2932">
        <v>0</v>
      </c>
      <c r="L2932">
        <v>10297227.66</v>
      </c>
      <c r="M2932">
        <v>10336126.4</v>
      </c>
      <c r="N2932">
        <v>10297227.66</v>
      </c>
      <c r="O2932">
        <v>10336126.4</v>
      </c>
      <c r="P2932">
        <v>10297227.66</v>
      </c>
      <c r="Q2932">
        <v>10336126.4</v>
      </c>
      <c r="R2932" s="14">
        <f>_xlfn.XLOOKUP(Table2[[#This Row],[LoanID]],Table1[G-L ID],Table1[ManagerCode],-99)</f>
        <v>183</v>
      </c>
      <c r="T2932"/>
    </row>
    <row r="2933" spans="1:20" x14ac:dyDescent="0.25">
      <c r="A2933">
        <v>20140831</v>
      </c>
      <c r="B2933">
        <v>2014</v>
      </c>
      <c r="C2933">
        <v>8</v>
      </c>
      <c r="D2933">
        <v>1</v>
      </c>
      <c r="E2933">
        <v>11650</v>
      </c>
      <c r="F2933">
        <v>75000</v>
      </c>
      <c r="G2933">
        <v>0</v>
      </c>
      <c r="H2933">
        <v>0</v>
      </c>
      <c r="I2933">
        <v>0</v>
      </c>
      <c r="J2933">
        <v>0</v>
      </c>
      <c r="K2933">
        <v>0</v>
      </c>
      <c r="L2933">
        <v>9600000</v>
      </c>
      <c r="M2933">
        <v>9600000</v>
      </c>
      <c r="N2933">
        <v>9600000</v>
      </c>
      <c r="O2933">
        <v>9600000</v>
      </c>
      <c r="P2933">
        <v>12000000</v>
      </c>
      <c r="Q2933">
        <v>12000000</v>
      </c>
      <c r="R2933" s="14">
        <f>_xlfn.XLOOKUP(Table2[[#This Row],[LoanID]],Table1[G-L ID],Table1[ManagerCode],-99)</f>
        <v>103</v>
      </c>
      <c r="T2933"/>
    </row>
    <row r="2934" spans="1:20" x14ac:dyDescent="0.25">
      <c r="A2934">
        <v>20140831</v>
      </c>
      <c r="B2934">
        <v>2014</v>
      </c>
      <c r="C2934">
        <v>8</v>
      </c>
      <c r="D2934">
        <v>1</v>
      </c>
      <c r="E2934">
        <v>11660</v>
      </c>
      <c r="F2934">
        <v>0</v>
      </c>
      <c r="G2934">
        <v>0</v>
      </c>
      <c r="H2934">
        <v>0</v>
      </c>
      <c r="I2934">
        <v>0</v>
      </c>
      <c r="J2934">
        <v>-774390</v>
      </c>
      <c r="K2934">
        <v>0</v>
      </c>
      <c r="L2934">
        <v>19137480</v>
      </c>
      <c r="M2934">
        <v>19911870</v>
      </c>
      <c r="N2934">
        <v>19137480</v>
      </c>
      <c r="O2934">
        <v>19911870</v>
      </c>
      <c r="P2934">
        <v>19137480</v>
      </c>
      <c r="Q2934">
        <v>19911870</v>
      </c>
      <c r="R2934" s="14">
        <f>_xlfn.XLOOKUP(Table2[[#This Row],[LoanID]],Table1[G-L ID],Table1[ManagerCode],-99)</f>
        <v>183</v>
      </c>
      <c r="T2934"/>
    </row>
    <row r="2935" spans="1:20" x14ac:dyDescent="0.25">
      <c r="A2935">
        <v>20140831</v>
      </c>
      <c r="B2935">
        <v>2014</v>
      </c>
      <c r="C2935">
        <v>8</v>
      </c>
      <c r="D2935">
        <v>1</v>
      </c>
      <c r="E2935">
        <v>11680</v>
      </c>
      <c r="F2935">
        <v>57126.559999999998</v>
      </c>
      <c r="G2935">
        <v>0</v>
      </c>
      <c r="H2935">
        <v>0</v>
      </c>
      <c r="I2935">
        <v>0</v>
      </c>
      <c r="J2935">
        <v>0</v>
      </c>
      <c r="K2935">
        <v>0</v>
      </c>
      <c r="L2935">
        <v>6600000</v>
      </c>
      <c r="M2935">
        <v>6600000</v>
      </c>
      <c r="N2935">
        <v>6600000</v>
      </c>
      <c r="O2935">
        <v>6600000</v>
      </c>
      <c r="P2935">
        <v>6600000</v>
      </c>
      <c r="Q2935">
        <v>6600000</v>
      </c>
      <c r="R2935" s="14">
        <f>_xlfn.XLOOKUP(Table2[[#This Row],[LoanID]],Table1[G-L ID],Table1[ManagerCode],-99)</f>
        <v>183</v>
      </c>
      <c r="T2935"/>
    </row>
    <row r="2936" spans="1:20" x14ac:dyDescent="0.25">
      <c r="A2936">
        <v>20140831</v>
      </c>
      <c r="B2936">
        <v>2014</v>
      </c>
      <c r="C2936">
        <v>8</v>
      </c>
      <c r="D2936">
        <v>1</v>
      </c>
      <c r="E2936">
        <v>11710</v>
      </c>
      <c r="F2936">
        <v>99732.17</v>
      </c>
      <c r="G2936">
        <v>0</v>
      </c>
      <c r="H2936">
        <v>0</v>
      </c>
      <c r="I2936">
        <v>0</v>
      </c>
      <c r="J2936">
        <v>0</v>
      </c>
      <c r="K2936">
        <v>0</v>
      </c>
      <c r="L2936">
        <v>12000000</v>
      </c>
      <c r="M2936">
        <v>12000000</v>
      </c>
      <c r="N2936">
        <v>12000000</v>
      </c>
      <c r="O2936">
        <v>12000000</v>
      </c>
      <c r="P2936">
        <v>12000000</v>
      </c>
      <c r="Q2936">
        <v>12000000</v>
      </c>
      <c r="R2936" s="14">
        <f>_xlfn.XLOOKUP(Table2[[#This Row],[LoanID]],Table1[G-L ID],Table1[ManagerCode],-99)</f>
        <v>119</v>
      </c>
      <c r="T2936"/>
    </row>
    <row r="2937" spans="1:20" x14ac:dyDescent="0.25">
      <c r="A2937">
        <v>20140831</v>
      </c>
      <c r="B2937">
        <v>2014</v>
      </c>
      <c r="C2937">
        <v>8</v>
      </c>
      <c r="D2937">
        <v>1</v>
      </c>
      <c r="E2937">
        <v>11740</v>
      </c>
      <c r="F2937">
        <v>183138</v>
      </c>
      <c r="G2937">
        <v>0</v>
      </c>
      <c r="H2937">
        <v>0</v>
      </c>
      <c r="I2937">
        <v>0</v>
      </c>
      <c r="J2937">
        <v>0</v>
      </c>
      <c r="K2937">
        <v>0</v>
      </c>
      <c r="L2937">
        <v>19110000</v>
      </c>
      <c r="M2937">
        <v>19110000</v>
      </c>
      <c r="N2937">
        <v>19110000</v>
      </c>
      <c r="O2937">
        <v>19110000</v>
      </c>
      <c r="P2937">
        <v>19110000</v>
      </c>
      <c r="Q2937">
        <v>19110000</v>
      </c>
      <c r="R2937" s="14">
        <f>_xlfn.XLOOKUP(Table2[[#This Row],[LoanID]],Table1[G-L ID],Table1[ManagerCode],-99)</f>
        <v>183</v>
      </c>
      <c r="T2937"/>
    </row>
    <row r="2938" spans="1:20" x14ac:dyDescent="0.25">
      <c r="A2938">
        <v>20140831</v>
      </c>
      <c r="B2938">
        <v>2014</v>
      </c>
      <c r="C2938">
        <v>8</v>
      </c>
      <c r="D2938">
        <v>1</v>
      </c>
      <c r="E2938">
        <v>11770</v>
      </c>
      <c r="F2938">
        <v>175994.41</v>
      </c>
      <c r="G2938">
        <v>0</v>
      </c>
      <c r="H2938">
        <v>0</v>
      </c>
      <c r="I2938">
        <v>0</v>
      </c>
      <c r="J2938">
        <v>0</v>
      </c>
      <c r="K2938">
        <v>0</v>
      </c>
      <c r="L2938">
        <v>25065072.48</v>
      </c>
      <c r="M2938">
        <v>25065072.48</v>
      </c>
      <c r="N2938">
        <v>25065072.48</v>
      </c>
      <c r="O2938">
        <v>25065072.48</v>
      </c>
      <c r="P2938">
        <v>25065072.48</v>
      </c>
      <c r="Q2938">
        <v>25065072.48</v>
      </c>
      <c r="R2938" s="14">
        <f>_xlfn.XLOOKUP(Table2[[#This Row],[LoanID]],Table1[G-L ID],Table1[ManagerCode],-99)</f>
        <v>119</v>
      </c>
      <c r="T2938"/>
    </row>
    <row r="2939" spans="1:20" x14ac:dyDescent="0.25">
      <c r="A2939">
        <v>20140831</v>
      </c>
      <c r="B2939">
        <v>2014</v>
      </c>
      <c r="C2939">
        <v>8</v>
      </c>
      <c r="D2939">
        <v>1</v>
      </c>
      <c r="E2939">
        <v>11810</v>
      </c>
      <c r="F2939">
        <v>49791.45</v>
      </c>
      <c r="G2939">
        <v>0</v>
      </c>
      <c r="H2939">
        <v>0</v>
      </c>
      <c r="I2939">
        <v>0</v>
      </c>
      <c r="J2939">
        <v>0</v>
      </c>
      <c r="K2939">
        <v>11066.64</v>
      </c>
      <c r="L2939">
        <v>9633915.1799999997</v>
      </c>
      <c r="M2939">
        <v>9622959.1999999993</v>
      </c>
      <c r="N2939">
        <v>9633915.1799999997</v>
      </c>
      <c r="O2939">
        <v>9622959.1999999993</v>
      </c>
      <c r="P2939">
        <v>9731227.4499999993</v>
      </c>
      <c r="Q2939">
        <v>9720160.8100000005</v>
      </c>
      <c r="R2939" s="14">
        <f>_xlfn.XLOOKUP(Table2[[#This Row],[LoanID]],Table1[G-L ID],Table1[ManagerCode],-99)</f>
        <v>103</v>
      </c>
      <c r="T2939"/>
    </row>
    <row r="2940" spans="1:20" x14ac:dyDescent="0.25">
      <c r="A2940">
        <v>20140831</v>
      </c>
      <c r="B2940">
        <v>2014</v>
      </c>
      <c r="C2940">
        <v>8</v>
      </c>
      <c r="D2940">
        <v>1</v>
      </c>
      <c r="E2940">
        <v>11840</v>
      </c>
      <c r="F2940">
        <v>52501.8</v>
      </c>
      <c r="G2940">
        <v>94904.91</v>
      </c>
      <c r="H2940">
        <v>0</v>
      </c>
      <c r="I2940">
        <v>0</v>
      </c>
      <c r="J2940">
        <v>0</v>
      </c>
      <c r="K2940">
        <v>0</v>
      </c>
      <c r="L2940">
        <v>12199176.289999999</v>
      </c>
      <c r="M2940">
        <v>12294081.199999999</v>
      </c>
      <c r="N2940">
        <v>12199176.289999999</v>
      </c>
      <c r="O2940">
        <v>12294081.199999999</v>
      </c>
      <c r="P2940">
        <v>12199176.289999999</v>
      </c>
      <c r="Q2940">
        <v>12294081.199999999</v>
      </c>
      <c r="R2940" s="14">
        <f>_xlfn.XLOOKUP(Table2[[#This Row],[LoanID]],Table1[G-L ID],Table1[ManagerCode],-99)</f>
        <v>183</v>
      </c>
      <c r="T2940"/>
    </row>
    <row r="2941" spans="1:20" x14ac:dyDescent="0.25">
      <c r="A2941">
        <v>20140831</v>
      </c>
      <c r="B2941">
        <v>2014</v>
      </c>
      <c r="C2941">
        <v>8</v>
      </c>
      <c r="D2941">
        <v>1</v>
      </c>
      <c r="E2941">
        <v>11880</v>
      </c>
      <c r="F2941">
        <v>148156.15</v>
      </c>
      <c r="G2941">
        <v>121325.05</v>
      </c>
      <c r="H2941">
        <v>0</v>
      </c>
      <c r="I2941">
        <v>0</v>
      </c>
      <c r="J2941">
        <v>-3273187.87</v>
      </c>
      <c r="K2941">
        <v>0</v>
      </c>
      <c r="L2941">
        <v>31717912.539999999</v>
      </c>
      <c r="M2941">
        <v>35112425.460000001</v>
      </c>
      <c r="N2941">
        <v>31717912.539999999</v>
      </c>
      <c r="O2941">
        <v>35112425.460000001</v>
      </c>
      <c r="P2941">
        <v>31717912.539999999</v>
      </c>
      <c r="Q2941">
        <v>35112425.460000001</v>
      </c>
      <c r="R2941" s="14">
        <f>_xlfn.XLOOKUP(Table2[[#This Row],[LoanID]],Table1[G-L ID],Table1[ManagerCode],-99)</f>
        <v>183</v>
      </c>
      <c r="T2941"/>
    </row>
    <row r="2942" spans="1:20" x14ac:dyDescent="0.25">
      <c r="A2942">
        <v>20140831</v>
      </c>
      <c r="B2942">
        <v>2014</v>
      </c>
      <c r="C2942">
        <v>8</v>
      </c>
      <c r="D2942">
        <v>1</v>
      </c>
      <c r="E2942">
        <v>11920</v>
      </c>
      <c r="F2942">
        <v>96625.279999999999</v>
      </c>
      <c r="G2942">
        <v>0</v>
      </c>
      <c r="H2942">
        <v>0</v>
      </c>
      <c r="I2942">
        <v>0</v>
      </c>
      <c r="J2942">
        <v>0</v>
      </c>
      <c r="K2942">
        <v>0</v>
      </c>
      <c r="L2942">
        <v>12250000</v>
      </c>
      <c r="M2942">
        <v>12250000</v>
      </c>
      <c r="N2942">
        <v>12250000</v>
      </c>
      <c r="O2942">
        <v>12250000</v>
      </c>
      <c r="P2942">
        <v>12250000</v>
      </c>
      <c r="Q2942">
        <v>12250000</v>
      </c>
      <c r="R2942" s="14">
        <f>_xlfn.XLOOKUP(Table2[[#This Row],[LoanID]],Table1[G-L ID],Table1[ManagerCode],-99)</f>
        <v>220</v>
      </c>
      <c r="T2942"/>
    </row>
    <row r="2943" spans="1:20" x14ac:dyDescent="0.25">
      <c r="A2943">
        <v>20140831</v>
      </c>
      <c r="B2943">
        <v>2014</v>
      </c>
      <c r="C2943">
        <v>8</v>
      </c>
      <c r="D2943">
        <v>1</v>
      </c>
      <c r="E2943">
        <v>11970</v>
      </c>
      <c r="F2943">
        <v>85000</v>
      </c>
      <c r="G2943">
        <v>59967.73</v>
      </c>
      <c r="H2943">
        <v>0</v>
      </c>
      <c r="I2943">
        <v>0</v>
      </c>
      <c r="J2943">
        <v>0</v>
      </c>
      <c r="K2943">
        <v>0</v>
      </c>
      <c r="L2943">
        <v>9664515.5399999991</v>
      </c>
      <c r="M2943">
        <v>9724483.2699999996</v>
      </c>
      <c r="N2943">
        <v>9664515.5399999991</v>
      </c>
      <c r="O2943">
        <v>9724483.2699999996</v>
      </c>
      <c r="P2943">
        <v>9664515.5399999991</v>
      </c>
      <c r="Q2943">
        <v>9724483.2699999996</v>
      </c>
      <c r="R2943" s="14">
        <f>_xlfn.XLOOKUP(Table2[[#This Row],[LoanID]],Table1[G-L ID],Table1[ManagerCode],-99)</f>
        <v>183</v>
      </c>
      <c r="T2943"/>
    </row>
    <row r="2944" spans="1:20" x14ac:dyDescent="0.25">
      <c r="A2944">
        <v>20140831</v>
      </c>
      <c r="B2944">
        <v>2014</v>
      </c>
      <c r="C2944">
        <v>8</v>
      </c>
      <c r="D2944">
        <v>1</v>
      </c>
      <c r="E2944">
        <v>12080</v>
      </c>
      <c r="F2944">
        <v>299792.67</v>
      </c>
      <c r="G2944">
        <v>0</v>
      </c>
      <c r="H2944">
        <v>0</v>
      </c>
      <c r="I2944">
        <v>0</v>
      </c>
      <c r="J2944">
        <v>0</v>
      </c>
      <c r="K2944">
        <v>348418</v>
      </c>
      <c r="L2944">
        <v>36958208.950000003</v>
      </c>
      <c r="M2944">
        <v>36609790.950000003</v>
      </c>
      <c r="N2944">
        <v>36958208.950000003</v>
      </c>
      <c r="O2944">
        <v>36609790.950000003</v>
      </c>
      <c r="P2944">
        <v>36958208.950000003</v>
      </c>
      <c r="Q2944">
        <v>36609790.950000003</v>
      </c>
      <c r="R2944" s="14">
        <f>_xlfn.XLOOKUP(Table2[[#This Row],[LoanID]],Table1[G-L ID],Table1[ManagerCode],-99)</f>
        <v>119</v>
      </c>
      <c r="T2944"/>
    </row>
    <row r="2945" spans="1:20" x14ac:dyDescent="0.25">
      <c r="A2945">
        <v>20140831</v>
      </c>
      <c r="B2945">
        <v>2014</v>
      </c>
      <c r="C2945">
        <v>8</v>
      </c>
      <c r="D2945">
        <v>1</v>
      </c>
      <c r="E2945">
        <v>12100</v>
      </c>
      <c r="F2945">
        <v>49234.34</v>
      </c>
      <c r="G2945">
        <v>87513.23</v>
      </c>
      <c r="H2945">
        <v>0</v>
      </c>
      <c r="I2945">
        <v>0</v>
      </c>
      <c r="J2945">
        <v>-49234.34</v>
      </c>
      <c r="K2945">
        <v>0</v>
      </c>
      <c r="L2945">
        <v>11303879.779999999</v>
      </c>
      <c r="M2945">
        <v>11440627.35</v>
      </c>
      <c r="N2945">
        <v>11303879.779999999</v>
      </c>
      <c r="O2945">
        <v>11440627.35</v>
      </c>
      <c r="P2945">
        <v>11303879.779999999</v>
      </c>
      <c r="Q2945">
        <v>11440627.35</v>
      </c>
      <c r="R2945" s="14">
        <f>_xlfn.XLOOKUP(Table2[[#This Row],[LoanID]],Table1[G-L ID],Table1[ManagerCode],-99)</f>
        <v>183</v>
      </c>
      <c r="T2945"/>
    </row>
    <row r="2946" spans="1:20" x14ac:dyDescent="0.25">
      <c r="A2946">
        <v>20140831</v>
      </c>
      <c r="B2946">
        <v>2014</v>
      </c>
      <c r="C2946">
        <v>8</v>
      </c>
      <c r="D2946">
        <v>1</v>
      </c>
      <c r="E2946">
        <v>12160</v>
      </c>
      <c r="F2946">
        <v>20103.009999999998</v>
      </c>
      <c r="G2946">
        <v>32380.25</v>
      </c>
      <c r="H2946">
        <v>0</v>
      </c>
      <c r="I2946">
        <v>0</v>
      </c>
      <c r="J2946">
        <v>-20103.009999999998</v>
      </c>
      <c r="K2946">
        <v>0</v>
      </c>
      <c r="L2946">
        <v>5354184.46</v>
      </c>
      <c r="M2946">
        <v>5406667.7199999997</v>
      </c>
      <c r="N2946">
        <v>5354184.46</v>
      </c>
      <c r="O2946">
        <v>5406667.7199999997</v>
      </c>
      <c r="P2946">
        <v>5354184.46</v>
      </c>
      <c r="Q2946">
        <v>5406667.7199999997</v>
      </c>
      <c r="R2946" s="14">
        <f>_xlfn.XLOOKUP(Table2[[#This Row],[LoanID]],Table1[G-L ID],Table1[ManagerCode],-99)</f>
        <v>183</v>
      </c>
      <c r="T2946"/>
    </row>
    <row r="2947" spans="1:20" x14ac:dyDescent="0.25">
      <c r="A2947">
        <v>20140831</v>
      </c>
      <c r="B2947">
        <v>2014</v>
      </c>
      <c r="C2947">
        <v>8</v>
      </c>
      <c r="D2947">
        <v>1</v>
      </c>
      <c r="E2947">
        <v>12180</v>
      </c>
      <c r="F2947">
        <v>233576.39</v>
      </c>
      <c r="G2947">
        <v>0</v>
      </c>
      <c r="H2947">
        <v>0</v>
      </c>
      <c r="I2947">
        <v>0</v>
      </c>
      <c r="J2947">
        <v>0</v>
      </c>
      <c r="K2947">
        <v>0</v>
      </c>
      <c r="L2947">
        <v>35000000</v>
      </c>
      <c r="M2947">
        <v>35000000</v>
      </c>
      <c r="N2947">
        <v>35000000</v>
      </c>
      <c r="O2947">
        <v>35000000</v>
      </c>
      <c r="P2947">
        <v>35000000</v>
      </c>
      <c r="Q2947">
        <v>35000000</v>
      </c>
      <c r="R2947" s="14">
        <f>_xlfn.XLOOKUP(Table2[[#This Row],[LoanID]],Table1[G-L ID],Table1[ManagerCode],-99)</f>
        <v>220</v>
      </c>
      <c r="T2947"/>
    </row>
    <row r="2948" spans="1:20" x14ac:dyDescent="0.25">
      <c r="A2948">
        <v>20140831</v>
      </c>
      <c r="B2948">
        <v>2014</v>
      </c>
      <c r="C2948">
        <v>8</v>
      </c>
      <c r="D2948">
        <v>1</v>
      </c>
      <c r="E2948">
        <v>12190</v>
      </c>
      <c r="F2948">
        <v>365000</v>
      </c>
      <c r="G2948">
        <v>0</v>
      </c>
      <c r="H2948">
        <v>0</v>
      </c>
      <c r="I2948">
        <v>0</v>
      </c>
      <c r="J2948">
        <v>0</v>
      </c>
      <c r="K2948">
        <v>0</v>
      </c>
      <c r="L2948">
        <v>37500000</v>
      </c>
      <c r="M2948">
        <v>37500000</v>
      </c>
      <c r="N2948">
        <v>37500000</v>
      </c>
      <c r="O2948">
        <v>37500000</v>
      </c>
      <c r="P2948">
        <v>37500000</v>
      </c>
      <c r="Q2948">
        <v>37500000</v>
      </c>
      <c r="R2948" s="14">
        <f>_xlfn.XLOOKUP(Table2[[#This Row],[LoanID]],Table1[G-L ID],Table1[ManagerCode],-99)</f>
        <v>220</v>
      </c>
      <c r="T2948"/>
    </row>
    <row r="2949" spans="1:20" x14ac:dyDescent="0.25">
      <c r="A2949">
        <v>20140831</v>
      </c>
      <c r="B2949">
        <v>2014</v>
      </c>
      <c r="C2949">
        <v>8</v>
      </c>
      <c r="D2949">
        <v>1</v>
      </c>
      <c r="E2949">
        <v>12210</v>
      </c>
      <c r="F2949">
        <v>682721.51</v>
      </c>
      <c r="G2949">
        <v>0</v>
      </c>
      <c r="H2949">
        <v>0</v>
      </c>
      <c r="I2949">
        <v>0</v>
      </c>
      <c r="J2949">
        <v>0</v>
      </c>
      <c r="K2949">
        <v>216084.13</v>
      </c>
      <c r="L2949">
        <v>127304321.09999999</v>
      </c>
      <c r="M2949">
        <v>126668764.7</v>
      </c>
      <c r="N2949">
        <v>127304321.09999999</v>
      </c>
      <c r="O2949">
        <v>126668764.7</v>
      </c>
      <c r="P2949">
        <v>110465441.09999999</v>
      </c>
      <c r="Q2949">
        <v>110249357</v>
      </c>
      <c r="R2949" s="14">
        <f>_xlfn.XLOOKUP(Table2[[#This Row],[LoanID]],Table1[G-L ID],Table1[ManagerCode],-99)</f>
        <v>103</v>
      </c>
      <c r="T2949"/>
    </row>
    <row r="2950" spans="1:20" x14ac:dyDescent="0.25">
      <c r="A2950">
        <v>20140831</v>
      </c>
      <c r="B2950">
        <v>2014</v>
      </c>
      <c r="C2950">
        <v>8</v>
      </c>
      <c r="D2950">
        <v>1</v>
      </c>
      <c r="E2950">
        <v>12230</v>
      </c>
      <c r="F2950">
        <v>101811.21</v>
      </c>
      <c r="G2950">
        <v>0</v>
      </c>
      <c r="H2950">
        <v>0</v>
      </c>
      <c r="I2950">
        <v>0</v>
      </c>
      <c r="J2950">
        <v>0</v>
      </c>
      <c r="K2950">
        <v>0</v>
      </c>
      <c r="L2950">
        <v>20394919.890000001</v>
      </c>
      <c r="M2950">
        <v>20394919.890000001</v>
      </c>
      <c r="N2950">
        <v>13963808.390000001</v>
      </c>
      <c r="O2950">
        <v>13963808.390000001</v>
      </c>
      <c r="P2950">
        <v>19425185.109999999</v>
      </c>
      <c r="Q2950">
        <v>19425185.109999999</v>
      </c>
      <c r="R2950" s="14">
        <f>_xlfn.XLOOKUP(Table2[[#This Row],[LoanID]],Table1[G-L ID],Table1[ManagerCode],-99)</f>
        <v>183</v>
      </c>
      <c r="T2950"/>
    </row>
    <row r="2951" spans="1:20" x14ac:dyDescent="0.25">
      <c r="A2951">
        <v>20140831</v>
      </c>
      <c r="B2951">
        <v>2014</v>
      </c>
      <c r="C2951">
        <v>8</v>
      </c>
      <c r="D2951">
        <v>1</v>
      </c>
      <c r="E2951">
        <v>12240</v>
      </c>
      <c r="F2951">
        <v>0</v>
      </c>
      <c r="G2951">
        <v>0</v>
      </c>
      <c r="H2951">
        <v>0</v>
      </c>
      <c r="I2951">
        <v>0</v>
      </c>
      <c r="J2951">
        <v>-26100000</v>
      </c>
      <c r="K2951">
        <v>0</v>
      </c>
      <c r="L2951">
        <v>0</v>
      </c>
      <c r="M2951">
        <v>26100000</v>
      </c>
      <c r="N2951">
        <v>0</v>
      </c>
      <c r="O2951">
        <v>26100000</v>
      </c>
      <c r="P2951">
        <v>0</v>
      </c>
      <c r="Q2951">
        <v>26100000</v>
      </c>
      <c r="R2951" s="14">
        <f>_xlfn.XLOOKUP(Table2[[#This Row],[LoanID]],Table1[G-L ID],Table1[ManagerCode],-99)</f>
        <v>183</v>
      </c>
      <c r="T2951"/>
    </row>
    <row r="2952" spans="1:20" x14ac:dyDescent="0.25">
      <c r="A2952">
        <v>20140831</v>
      </c>
      <c r="B2952">
        <v>2014</v>
      </c>
      <c r="C2952">
        <v>8</v>
      </c>
      <c r="D2952">
        <v>1</v>
      </c>
      <c r="E2952">
        <v>13690</v>
      </c>
      <c r="F2952">
        <v>133472.22</v>
      </c>
      <c r="G2952">
        <v>0</v>
      </c>
      <c r="H2952">
        <v>0</v>
      </c>
      <c r="I2952">
        <v>0</v>
      </c>
      <c r="J2952">
        <v>0</v>
      </c>
      <c r="K2952">
        <v>0</v>
      </c>
      <c r="L2952">
        <v>20000000</v>
      </c>
      <c r="M2952">
        <v>20000000</v>
      </c>
      <c r="N2952">
        <v>20000000</v>
      </c>
      <c r="O2952">
        <v>20000000</v>
      </c>
      <c r="P2952">
        <v>20000000</v>
      </c>
      <c r="Q2952">
        <v>20000000</v>
      </c>
      <c r="R2952" s="14">
        <f>_xlfn.XLOOKUP(Table2[[#This Row],[LoanID]],Table1[G-L ID],Table1[ManagerCode],-99)</f>
        <v>298</v>
      </c>
      <c r="T2952"/>
    </row>
    <row r="2953" spans="1:20" x14ac:dyDescent="0.25">
      <c r="A2953">
        <v>20140831</v>
      </c>
      <c r="B2953">
        <v>2014</v>
      </c>
      <c r="C2953">
        <v>8</v>
      </c>
      <c r="D2953">
        <v>1</v>
      </c>
      <c r="E2953">
        <v>15580</v>
      </c>
      <c r="F2953">
        <v>118865.57</v>
      </c>
      <c r="G2953">
        <v>-36.130000000000003</v>
      </c>
      <c r="H2953">
        <v>0</v>
      </c>
      <c r="I2953">
        <v>0</v>
      </c>
      <c r="J2953">
        <v>0</v>
      </c>
      <c r="K2953">
        <v>4535.74</v>
      </c>
      <c r="L2953">
        <v>15041831.699999999</v>
      </c>
      <c r="M2953">
        <v>15037259.83</v>
      </c>
      <c r="N2953">
        <v>15041831.699999999</v>
      </c>
      <c r="O2953">
        <v>15037259.83</v>
      </c>
      <c r="P2953">
        <v>15041831.699999999</v>
      </c>
      <c r="Q2953">
        <v>15037259.83</v>
      </c>
      <c r="R2953" s="14">
        <f>_xlfn.XLOOKUP(Table2[[#This Row],[LoanID]],Table1[G-L ID],Table1[ManagerCode],-99)</f>
        <v>212</v>
      </c>
      <c r="T2953"/>
    </row>
    <row r="2954" spans="1:20" x14ac:dyDescent="0.25">
      <c r="A2954">
        <v>20140930</v>
      </c>
      <c r="B2954">
        <v>2014</v>
      </c>
      <c r="C2954">
        <v>9</v>
      </c>
      <c r="D2954">
        <v>1</v>
      </c>
      <c r="E2954">
        <v>10050</v>
      </c>
      <c r="F2954">
        <v>153981.01999999999</v>
      </c>
      <c r="G2954">
        <v>0</v>
      </c>
      <c r="H2954">
        <v>0</v>
      </c>
      <c r="I2954">
        <v>0</v>
      </c>
      <c r="J2954">
        <v>0</v>
      </c>
      <c r="K2954">
        <v>0</v>
      </c>
      <c r="L2954">
        <v>38354926.030000001</v>
      </c>
      <c r="M2954">
        <v>37275843.020000003</v>
      </c>
      <c r="N2954">
        <v>38354926.030000001</v>
      </c>
      <c r="O2954">
        <v>37275843.020000003</v>
      </c>
      <c r="P2954">
        <v>33333334</v>
      </c>
      <c r="Q2954">
        <v>33333334</v>
      </c>
      <c r="R2954" s="14">
        <f>_xlfn.XLOOKUP(Table2[[#This Row],[LoanID]],Table1[G-L ID],Table1[ManagerCode],-99)</f>
        <v>103</v>
      </c>
      <c r="T2954"/>
    </row>
    <row r="2955" spans="1:20" x14ac:dyDescent="0.25">
      <c r="A2955">
        <v>20140930</v>
      </c>
      <c r="B2955">
        <v>2014</v>
      </c>
      <c r="C2955">
        <v>9</v>
      </c>
      <c r="D2955">
        <v>1</v>
      </c>
      <c r="E2955">
        <v>10060</v>
      </c>
      <c r="F2955">
        <v>189305.55</v>
      </c>
      <c r="G2955">
        <v>0</v>
      </c>
      <c r="H2955">
        <v>100000</v>
      </c>
      <c r="I2955">
        <v>0</v>
      </c>
      <c r="J2955">
        <v>0</v>
      </c>
      <c r="K2955">
        <v>20000000</v>
      </c>
      <c r="L2955">
        <v>19000000</v>
      </c>
      <c r="M2955">
        <v>0</v>
      </c>
      <c r="N2955">
        <v>19000000</v>
      </c>
      <c r="O2955">
        <v>0</v>
      </c>
      <c r="P2955">
        <v>20000000</v>
      </c>
      <c r="Q2955">
        <v>0</v>
      </c>
      <c r="R2955" s="14">
        <f>_xlfn.XLOOKUP(Table2[[#This Row],[LoanID]],Table1[G-L ID],Table1[ManagerCode],-99)</f>
        <v>103</v>
      </c>
      <c r="T2955"/>
    </row>
    <row r="2956" spans="1:20" x14ac:dyDescent="0.25">
      <c r="A2956">
        <v>20140930</v>
      </c>
      <c r="B2956">
        <v>2014</v>
      </c>
      <c r="C2956">
        <v>9</v>
      </c>
      <c r="D2956">
        <v>1</v>
      </c>
      <c r="E2956">
        <v>10080</v>
      </c>
      <c r="F2956">
        <v>351042.71</v>
      </c>
      <c r="G2956">
        <v>0</v>
      </c>
      <c r="H2956">
        <v>0</v>
      </c>
      <c r="I2956">
        <v>-161.46</v>
      </c>
      <c r="J2956">
        <v>0</v>
      </c>
      <c r="K2956">
        <v>0</v>
      </c>
      <c r="L2956">
        <v>76925037.879999995</v>
      </c>
      <c r="M2956">
        <v>76629507.200000003</v>
      </c>
      <c r="N2956">
        <v>76925037.879999995</v>
      </c>
      <c r="O2956">
        <v>76629507.200000003</v>
      </c>
      <c r="P2956">
        <v>75000000</v>
      </c>
      <c r="Q2956">
        <v>75000000</v>
      </c>
      <c r="R2956" s="14">
        <f>_xlfn.XLOOKUP(Table2[[#This Row],[LoanID]],Table1[G-L ID],Table1[ManagerCode],-99)</f>
        <v>103</v>
      </c>
      <c r="T2956"/>
    </row>
    <row r="2957" spans="1:20" x14ac:dyDescent="0.25">
      <c r="A2957">
        <v>20140930</v>
      </c>
      <c r="B2957">
        <v>2014</v>
      </c>
      <c r="C2957">
        <v>9</v>
      </c>
      <c r="D2957">
        <v>1</v>
      </c>
      <c r="E2957">
        <v>10090</v>
      </c>
      <c r="F2957">
        <v>182083.33</v>
      </c>
      <c r="G2957">
        <v>0</v>
      </c>
      <c r="H2957">
        <v>0</v>
      </c>
      <c r="I2957">
        <v>0</v>
      </c>
      <c r="J2957">
        <v>0</v>
      </c>
      <c r="K2957">
        <v>0</v>
      </c>
      <c r="L2957">
        <v>23000000</v>
      </c>
      <c r="M2957">
        <v>23000000</v>
      </c>
      <c r="N2957">
        <v>23000000</v>
      </c>
      <c r="O2957">
        <v>23000000</v>
      </c>
      <c r="P2957">
        <v>23000000</v>
      </c>
      <c r="Q2957">
        <v>23000000</v>
      </c>
      <c r="R2957" s="14">
        <f>_xlfn.XLOOKUP(Table2[[#This Row],[LoanID]],Table1[G-L ID],Table1[ManagerCode],-99)</f>
        <v>119</v>
      </c>
      <c r="T2957"/>
    </row>
    <row r="2958" spans="1:20" x14ac:dyDescent="0.25">
      <c r="A2958">
        <v>20140930</v>
      </c>
      <c r="B2958">
        <v>2014</v>
      </c>
      <c r="C2958">
        <v>9</v>
      </c>
      <c r="D2958">
        <v>1</v>
      </c>
      <c r="E2958">
        <v>10100</v>
      </c>
      <c r="F2958">
        <v>0</v>
      </c>
      <c r="G2958">
        <v>0</v>
      </c>
      <c r="H2958">
        <v>76250</v>
      </c>
      <c r="I2958">
        <v>-58739.38</v>
      </c>
      <c r="J2958">
        <v>-30500000</v>
      </c>
      <c r="K2958">
        <v>0</v>
      </c>
      <c r="L2958">
        <v>0</v>
      </c>
      <c r="M2958">
        <v>30500000</v>
      </c>
      <c r="N2958">
        <v>0</v>
      </c>
      <c r="O2958">
        <v>30500000</v>
      </c>
      <c r="P2958">
        <v>0</v>
      </c>
      <c r="Q2958">
        <v>30500000</v>
      </c>
      <c r="R2958" s="14">
        <f>_xlfn.XLOOKUP(Table2[[#This Row],[LoanID]],Table1[G-L ID],Table1[ManagerCode],-99)</f>
        <v>220</v>
      </c>
      <c r="T2958"/>
    </row>
    <row r="2959" spans="1:20" x14ac:dyDescent="0.25">
      <c r="A2959">
        <v>20140930</v>
      </c>
      <c r="B2959">
        <v>2014</v>
      </c>
      <c r="C2959">
        <v>9</v>
      </c>
      <c r="D2959">
        <v>1</v>
      </c>
      <c r="E2959">
        <v>10190</v>
      </c>
      <c r="F2959">
        <v>41666.67</v>
      </c>
      <c r="G2959">
        <v>0</v>
      </c>
      <c r="H2959">
        <v>0</v>
      </c>
      <c r="I2959">
        <v>0</v>
      </c>
      <c r="J2959">
        <v>0</v>
      </c>
      <c r="K2959">
        <v>0</v>
      </c>
      <c r="L2959">
        <v>9500000</v>
      </c>
      <c r="M2959">
        <v>9500000</v>
      </c>
      <c r="N2959">
        <v>9500000</v>
      </c>
      <c r="O2959">
        <v>9500000</v>
      </c>
      <c r="P2959">
        <v>10000000</v>
      </c>
      <c r="Q2959">
        <v>10000000</v>
      </c>
      <c r="R2959" s="14">
        <f>_xlfn.XLOOKUP(Table2[[#This Row],[LoanID]],Table1[G-L ID],Table1[ManagerCode],-99)</f>
        <v>103</v>
      </c>
      <c r="T2959"/>
    </row>
    <row r="2960" spans="1:20" x14ac:dyDescent="0.25">
      <c r="A2960">
        <v>20140930</v>
      </c>
      <c r="B2960">
        <v>2014</v>
      </c>
      <c r="C2960">
        <v>9</v>
      </c>
      <c r="D2960">
        <v>1</v>
      </c>
      <c r="E2960">
        <v>10200</v>
      </c>
      <c r="F2960">
        <v>128541.67</v>
      </c>
      <c r="G2960">
        <v>0</v>
      </c>
      <c r="H2960">
        <v>0</v>
      </c>
      <c r="I2960">
        <v>0</v>
      </c>
      <c r="J2960">
        <v>0</v>
      </c>
      <c r="K2960">
        <v>0</v>
      </c>
      <c r="L2960">
        <v>29307500</v>
      </c>
      <c r="M2960">
        <v>29307500</v>
      </c>
      <c r="N2960">
        <v>29307500</v>
      </c>
      <c r="O2960">
        <v>29307500</v>
      </c>
      <c r="P2960">
        <v>30850000</v>
      </c>
      <c r="Q2960">
        <v>30850000</v>
      </c>
      <c r="R2960" s="14">
        <f>_xlfn.XLOOKUP(Table2[[#This Row],[LoanID]],Table1[G-L ID],Table1[ManagerCode],-99)</f>
        <v>103</v>
      </c>
      <c r="T2960"/>
    </row>
    <row r="2961" spans="1:20" x14ac:dyDescent="0.25">
      <c r="A2961">
        <v>20140930</v>
      </c>
      <c r="B2961">
        <v>2014</v>
      </c>
      <c r="C2961">
        <v>9</v>
      </c>
      <c r="D2961">
        <v>1</v>
      </c>
      <c r="E2961">
        <v>10220</v>
      </c>
      <c r="F2961">
        <v>0</v>
      </c>
      <c r="G2961">
        <v>0</v>
      </c>
      <c r="H2961">
        <v>0</v>
      </c>
      <c r="I2961">
        <v>0</v>
      </c>
      <c r="J2961">
        <v>0</v>
      </c>
      <c r="K2961">
        <v>0</v>
      </c>
      <c r="L2961">
        <v>99000000</v>
      </c>
      <c r="M2961">
        <v>99000000</v>
      </c>
      <c r="N2961">
        <v>99000000</v>
      </c>
      <c r="O2961">
        <v>99000000</v>
      </c>
      <c r="P2961">
        <v>100000000</v>
      </c>
      <c r="Q2961">
        <v>100000000</v>
      </c>
      <c r="R2961" s="14">
        <f>_xlfn.XLOOKUP(Table2[[#This Row],[LoanID]],Table1[G-L ID],Table1[ManagerCode],-99)</f>
        <v>103</v>
      </c>
      <c r="T2961"/>
    </row>
    <row r="2962" spans="1:20" x14ac:dyDescent="0.25">
      <c r="A2962">
        <v>20140930</v>
      </c>
      <c r="B2962">
        <v>2014</v>
      </c>
      <c r="C2962">
        <v>9</v>
      </c>
      <c r="D2962">
        <v>1</v>
      </c>
      <c r="E2962">
        <v>10230</v>
      </c>
      <c r="F2962">
        <v>170740.84</v>
      </c>
      <c r="G2962">
        <v>0</v>
      </c>
      <c r="H2962">
        <v>0</v>
      </c>
      <c r="I2962">
        <v>0</v>
      </c>
      <c r="J2962">
        <v>0</v>
      </c>
      <c r="K2962">
        <v>70857.23</v>
      </c>
      <c r="L2962">
        <v>28879014.23</v>
      </c>
      <c r="M2962">
        <v>28811699.84</v>
      </c>
      <c r="N2962">
        <v>28879014.23</v>
      </c>
      <c r="O2962">
        <v>28811699.84</v>
      </c>
      <c r="P2962">
        <v>30398962.34</v>
      </c>
      <c r="Q2962">
        <v>30328105.109999999</v>
      </c>
      <c r="R2962" s="14">
        <f>_xlfn.XLOOKUP(Table2[[#This Row],[LoanID]],Table1[G-L ID],Table1[ManagerCode],-99)</f>
        <v>103</v>
      </c>
      <c r="T2962"/>
    </row>
    <row r="2963" spans="1:20" x14ac:dyDescent="0.25">
      <c r="A2963">
        <v>20140930</v>
      </c>
      <c r="B2963">
        <v>2014</v>
      </c>
      <c r="C2963">
        <v>9</v>
      </c>
      <c r="D2963">
        <v>1</v>
      </c>
      <c r="E2963">
        <v>10340</v>
      </c>
      <c r="F2963">
        <v>110572.35</v>
      </c>
      <c r="G2963">
        <v>0</v>
      </c>
      <c r="H2963">
        <v>0</v>
      </c>
      <c r="I2963">
        <v>0</v>
      </c>
      <c r="J2963">
        <v>0</v>
      </c>
      <c r="K2963">
        <v>0</v>
      </c>
      <c r="L2963">
        <v>12527473</v>
      </c>
      <c r="M2963">
        <v>12527473</v>
      </c>
      <c r="N2963">
        <v>12527473</v>
      </c>
      <c r="O2963">
        <v>12527473</v>
      </c>
      <c r="P2963">
        <v>12527473</v>
      </c>
      <c r="Q2963">
        <v>12527473</v>
      </c>
      <c r="R2963" s="14">
        <f>_xlfn.XLOOKUP(Table2[[#This Row],[LoanID]],Table1[G-L ID],Table1[ManagerCode],-99)</f>
        <v>220</v>
      </c>
      <c r="T2963"/>
    </row>
    <row r="2964" spans="1:20" x14ac:dyDescent="0.25">
      <c r="A2964">
        <v>20140930</v>
      </c>
      <c r="B2964">
        <v>2014</v>
      </c>
      <c r="C2964">
        <v>9</v>
      </c>
      <c r="D2964">
        <v>1</v>
      </c>
      <c r="E2964">
        <v>10400</v>
      </c>
      <c r="F2964">
        <v>0</v>
      </c>
      <c r="G2964">
        <v>0</v>
      </c>
      <c r="H2964">
        <v>0</v>
      </c>
      <c r="I2964">
        <v>0</v>
      </c>
      <c r="J2964">
        <v>0</v>
      </c>
      <c r="K2964">
        <v>0</v>
      </c>
      <c r="L2964">
        <v>45000000</v>
      </c>
      <c r="M2964">
        <v>45000000</v>
      </c>
      <c r="N2964">
        <v>45000000</v>
      </c>
      <c r="O2964">
        <v>45000000</v>
      </c>
      <c r="P2964">
        <v>45000000</v>
      </c>
      <c r="Q2964">
        <v>45000000</v>
      </c>
      <c r="R2964" s="14">
        <f>_xlfn.XLOOKUP(Table2[[#This Row],[LoanID]],Table1[G-L ID],Table1[ManagerCode],-99)</f>
        <v>220</v>
      </c>
      <c r="T2964"/>
    </row>
    <row r="2965" spans="1:20" x14ac:dyDescent="0.25">
      <c r="A2965">
        <v>20140930</v>
      </c>
      <c r="B2965">
        <v>2014</v>
      </c>
      <c r="C2965">
        <v>9</v>
      </c>
      <c r="D2965">
        <v>1</v>
      </c>
      <c r="E2965">
        <v>10430</v>
      </c>
      <c r="F2965">
        <v>61021.35</v>
      </c>
      <c r="G2965">
        <v>0</v>
      </c>
      <c r="H2965">
        <v>0</v>
      </c>
      <c r="I2965">
        <v>0</v>
      </c>
      <c r="J2965">
        <v>0</v>
      </c>
      <c r="K2965">
        <v>14875</v>
      </c>
      <c r="L2965">
        <v>6776875</v>
      </c>
      <c r="M2965">
        <v>6762000</v>
      </c>
      <c r="N2965">
        <v>6776875</v>
      </c>
      <c r="O2965">
        <v>6762000</v>
      </c>
      <c r="P2965">
        <v>6776875</v>
      </c>
      <c r="Q2965">
        <v>6762000</v>
      </c>
      <c r="R2965" s="14">
        <f>_xlfn.XLOOKUP(Table2[[#This Row],[LoanID]],Table1[G-L ID],Table1[ManagerCode],-99)</f>
        <v>119</v>
      </c>
      <c r="T2965"/>
    </row>
    <row r="2966" spans="1:20" x14ac:dyDescent="0.25">
      <c r="A2966">
        <v>20140930</v>
      </c>
      <c r="B2966">
        <v>2014</v>
      </c>
      <c r="C2966">
        <v>9</v>
      </c>
      <c r="D2966">
        <v>1</v>
      </c>
      <c r="E2966">
        <v>10460</v>
      </c>
      <c r="F2966">
        <v>0</v>
      </c>
      <c r="G2966">
        <v>0</v>
      </c>
      <c r="H2966">
        <v>0</v>
      </c>
      <c r="I2966">
        <v>0</v>
      </c>
      <c r="J2966">
        <v>0</v>
      </c>
      <c r="K2966">
        <v>0</v>
      </c>
      <c r="L2966">
        <v>59698630.039999999</v>
      </c>
      <c r="M2966">
        <v>59707825.149999999</v>
      </c>
      <c r="N2966">
        <v>59698630.039999999</v>
      </c>
      <c r="O2966">
        <v>59707825.149999999</v>
      </c>
      <c r="P2966">
        <v>60000000</v>
      </c>
      <c r="Q2966">
        <v>60000000</v>
      </c>
      <c r="R2966" s="14">
        <f>_xlfn.XLOOKUP(Table2[[#This Row],[LoanID]],Table1[G-L ID],Table1[ManagerCode],-99)</f>
        <v>103</v>
      </c>
      <c r="T2966"/>
    </row>
    <row r="2967" spans="1:20" x14ac:dyDescent="0.25">
      <c r="A2967">
        <v>20140930</v>
      </c>
      <c r="B2967">
        <v>2014</v>
      </c>
      <c r="C2967">
        <v>9</v>
      </c>
      <c r="D2967">
        <v>1</v>
      </c>
      <c r="E2967">
        <v>10470</v>
      </c>
      <c r="F2967">
        <v>0</v>
      </c>
      <c r="G2967">
        <v>0</v>
      </c>
      <c r="H2967">
        <v>0</v>
      </c>
      <c r="I2967">
        <v>0</v>
      </c>
      <c r="J2967">
        <v>0</v>
      </c>
      <c r="K2967">
        <v>0</v>
      </c>
      <c r="L2967">
        <v>25000000</v>
      </c>
      <c r="M2967">
        <v>25000000</v>
      </c>
      <c r="N2967">
        <v>25000000</v>
      </c>
      <c r="O2967">
        <v>25000000</v>
      </c>
      <c r="P2967">
        <v>25000000</v>
      </c>
      <c r="Q2967">
        <v>25000000</v>
      </c>
      <c r="R2967" s="14">
        <f>_xlfn.XLOOKUP(Table2[[#This Row],[LoanID]],Table1[G-L ID],Table1[ManagerCode],-99)</f>
        <v>103</v>
      </c>
      <c r="T2967"/>
    </row>
    <row r="2968" spans="1:20" x14ac:dyDescent="0.25">
      <c r="A2968">
        <v>20140930</v>
      </c>
      <c r="B2968">
        <v>2014</v>
      </c>
      <c r="C2968">
        <v>9</v>
      </c>
      <c r="D2968">
        <v>1</v>
      </c>
      <c r="E2968">
        <v>10510</v>
      </c>
      <c r="F2968">
        <v>292465.02</v>
      </c>
      <c r="G2968">
        <v>0</v>
      </c>
      <c r="H2968">
        <v>0</v>
      </c>
      <c r="I2968">
        <v>0</v>
      </c>
      <c r="J2968">
        <v>0</v>
      </c>
      <c r="K2968">
        <v>0</v>
      </c>
      <c r="L2968">
        <v>43928249</v>
      </c>
      <c r="M2968">
        <v>43928249</v>
      </c>
      <c r="N2968">
        <v>43928249</v>
      </c>
      <c r="O2968">
        <v>43928249</v>
      </c>
      <c r="P2968">
        <v>43928249</v>
      </c>
      <c r="Q2968">
        <v>43928249</v>
      </c>
      <c r="R2968" s="14">
        <f>_xlfn.XLOOKUP(Table2[[#This Row],[LoanID]],Table1[G-L ID],Table1[ManagerCode],-99)</f>
        <v>220</v>
      </c>
      <c r="T2968"/>
    </row>
    <row r="2969" spans="1:20" x14ac:dyDescent="0.25">
      <c r="A2969">
        <v>20140930</v>
      </c>
      <c r="B2969">
        <v>2014</v>
      </c>
      <c r="C2969">
        <v>9</v>
      </c>
      <c r="D2969">
        <v>1</v>
      </c>
      <c r="E2969">
        <v>10570</v>
      </c>
      <c r="F2969">
        <v>795049.87</v>
      </c>
      <c r="G2969">
        <v>0</v>
      </c>
      <c r="H2969">
        <v>0</v>
      </c>
      <c r="I2969">
        <v>0</v>
      </c>
      <c r="J2969">
        <v>0</v>
      </c>
      <c r="K2969">
        <v>0</v>
      </c>
      <c r="L2969">
        <v>154792698.09999999</v>
      </c>
      <c r="M2969">
        <v>154792698.09999999</v>
      </c>
      <c r="N2969">
        <v>154792698.09999999</v>
      </c>
      <c r="O2969">
        <v>154792698.09999999</v>
      </c>
      <c r="P2969">
        <v>156356260.69999999</v>
      </c>
      <c r="Q2969">
        <v>156356260.69999999</v>
      </c>
      <c r="R2969" s="14">
        <f>_xlfn.XLOOKUP(Table2[[#This Row],[LoanID]],Table1[G-L ID],Table1[ManagerCode],-99)</f>
        <v>103</v>
      </c>
      <c r="T2969"/>
    </row>
    <row r="2970" spans="1:20" x14ac:dyDescent="0.25">
      <c r="A2970">
        <v>20140930</v>
      </c>
      <c r="B2970">
        <v>2014</v>
      </c>
      <c r="C2970">
        <v>9</v>
      </c>
      <c r="D2970">
        <v>1</v>
      </c>
      <c r="E2970">
        <v>10591</v>
      </c>
      <c r="F2970">
        <v>220803.18</v>
      </c>
      <c r="G2970">
        <v>0</v>
      </c>
      <c r="H2970">
        <v>0</v>
      </c>
      <c r="I2970">
        <v>0</v>
      </c>
      <c r="J2970">
        <v>0</v>
      </c>
      <c r="K2970">
        <v>32555.25</v>
      </c>
      <c r="L2970">
        <v>26177672.84</v>
      </c>
      <c r="M2970">
        <v>26143904.25</v>
      </c>
      <c r="N2970">
        <v>26177672.84</v>
      </c>
      <c r="O2970">
        <v>26143904.25</v>
      </c>
      <c r="P2970">
        <v>25237077.920000002</v>
      </c>
      <c r="Q2970">
        <v>25204522.670000002</v>
      </c>
      <c r="R2970" s="14">
        <f>_xlfn.XLOOKUP(Table2[[#This Row],[LoanID]],Table1[G-L ID],Table1[ManagerCode],-99)</f>
        <v>220</v>
      </c>
      <c r="T2970"/>
    </row>
    <row r="2971" spans="1:20" x14ac:dyDescent="0.25">
      <c r="A2971">
        <v>20140930</v>
      </c>
      <c r="B2971">
        <v>2014</v>
      </c>
      <c r="C2971">
        <v>9</v>
      </c>
      <c r="D2971">
        <v>1</v>
      </c>
      <c r="E2971">
        <v>10592</v>
      </c>
      <c r="F2971">
        <v>366383.4</v>
      </c>
      <c r="G2971">
        <v>0</v>
      </c>
      <c r="H2971">
        <v>0</v>
      </c>
      <c r="I2971">
        <v>0</v>
      </c>
      <c r="J2971">
        <v>0</v>
      </c>
      <c r="K2971">
        <v>48057.75</v>
      </c>
      <c r="L2971">
        <v>38479210.829999998</v>
      </c>
      <c r="M2971">
        <v>38429573.530000001</v>
      </c>
      <c r="N2971">
        <v>38479210.829999998</v>
      </c>
      <c r="O2971">
        <v>38429573.530000001</v>
      </c>
      <c r="P2971">
        <v>37254734.079999998</v>
      </c>
      <c r="Q2971">
        <v>37206676.329999998</v>
      </c>
      <c r="R2971" s="14">
        <f>_xlfn.XLOOKUP(Table2[[#This Row],[LoanID]],Table1[G-L ID],Table1[ManagerCode],-99)</f>
        <v>220</v>
      </c>
      <c r="T2971"/>
    </row>
    <row r="2972" spans="1:20" x14ac:dyDescent="0.25">
      <c r="A2972">
        <v>20140930</v>
      </c>
      <c r="B2972">
        <v>2014</v>
      </c>
      <c r="C2972">
        <v>9</v>
      </c>
      <c r="D2972">
        <v>1</v>
      </c>
      <c r="E2972">
        <v>10640</v>
      </c>
      <c r="F2972">
        <v>104557.63</v>
      </c>
      <c r="G2972">
        <v>0</v>
      </c>
      <c r="H2972">
        <v>0</v>
      </c>
      <c r="I2972">
        <v>0</v>
      </c>
      <c r="J2972">
        <v>0</v>
      </c>
      <c r="K2972">
        <v>0</v>
      </c>
      <c r="L2972">
        <v>12197063</v>
      </c>
      <c r="M2972">
        <v>12300000</v>
      </c>
      <c r="N2972">
        <v>12197063</v>
      </c>
      <c r="O2972">
        <v>12300000</v>
      </c>
      <c r="P2972">
        <v>12197063</v>
      </c>
      <c r="Q2972">
        <v>12197063</v>
      </c>
      <c r="R2972" s="14">
        <f>_xlfn.XLOOKUP(Table2[[#This Row],[LoanID]],Table1[G-L ID],Table1[ManagerCode],-99)</f>
        <v>220</v>
      </c>
      <c r="T2972"/>
    </row>
    <row r="2973" spans="1:20" x14ac:dyDescent="0.25">
      <c r="A2973">
        <v>20140930</v>
      </c>
      <c r="B2973">
        <v>2014</v>
      </c>
      <c r="C2973">
        <v>9</v>
      </c>
      <c r="D2973">
        <v>1</v>
      </c>
      <c r="E2973">
        <v>10680</v>
      </c>
      <c r="F2973">
        <v>58112.11</v>
      </c>
      <c r="G2973">
        <v>0</v>
      </c>
      <c r="H2973">
        <v>0</v>
      </c>
      <c r="I2973">
        <v>0</v>
      </c>
      <c r="J2973">
        <v>0</v>
      </c>
      <c r="K2973">
        <v>0</v>
      </c>
      <c r="L2973">
        <v>6964400</v>
      </c>
      <c r="M2973">
        <v>6964400</v>
      </c>
      <c r="N2973">
        <v>6964400</v>
      </c>
      <c r="O2973">
        <v>6964400</v>
      </c>
      <c r="P2973">
        <v>6964400</v>
      </c>
      <c r="Q2973">
        <v>6964400</v>
      </c>
      <c r="R2973" s="14">
        <f>_xlfn.XLOOKUP(Table2[[#This Row],[LoanID]],Table1[G-L ID],Table1[ManagerCode],-99)</f>
        <v>119</v>
      </c>
      <c r="T2973"/>
    </row>
    <row r="2974" spans="1:20" x14ac:dyDescent="0.25">
      <c r="A2974">
        <v>20140930</v>
      </c>
      <c r="B2974">
        <v>2014</v>
      </c>
      <c r="C2974">
        <v>9</v>
      </c>
      <c r="D2974">
        <v>1</v>
      </c>
      <c r="E2974">
        <v>10690</v>
      </c>
      <c r="F2974">
        <v>102123.7</v>
      </c>
      <c r="G2974">
        <v>27380.7</v>
      </c>
      <c r="H2974">
        <v>0</v>
      </c>
      <c r="I2974">
        <v>0</v>
      </c>
      <c r="J2974">
        <v>-137935.29999999999</v>
      </c>
      <c r="K2974">
        <v>0</v>
      </c>
      <c r="L2974">
        <v>18049421.52</v>
      </c>
      <c r="M2974">
        <v>18214737.52</v>
      </c>
      <c r="N2974">
        <v>18049421.52</v>
      </c>
      <c r="O2974">
        <v>18214737.52</v>
      </c>
      <c r="P2974">
        <v>18049421.52</v>
      </c>
      <c r="Q2974">
        <v>18214737.52</v>
      </c>
      <c r="R2974" s="14">
        <f>_xlfn.XLOOKUP(Table2[[#This Row],[LoanID]],Table1[G-L ID],Table1[ManagerCode],-99)</f>
        <v>183</v>
      </c>
      <c r="T2974"/>
    </row>
    <row r="2975" spans="1:20" x14ac:dyDescent="0.25">
      <c r="A2975">
        <v>20140930</v>
      </c>
      <c r="B2975">
        <v>2014</v>
      </c>
      <c r="C2975">
        <v>9</v>
      </c>
      <c r="D2975">
        <v>1</v>
      </c>
      <c r="E2975">
        <v>10720</v>
      </c>
      <c r="F2975">
        <v>125000</v>
      </c>
      <c r="G2975">
        <v>86405.759999999995</v>
      </c>
      <c r="H2975">
        <v>0</v>
      </c>
      <c r="I2975">
        <v>0</v>
      </c>
      <c r="J2975">
        <v>0</v>
      </c>
      <c r="K2975">
        <v>1407368</v>
      </c>
      <c r="L2975">
        <v>18049860.27</v>
      </c>
      <c r="M2975">
        <v>16593067.449999999</v>
      </c>
      <c r="N2975">
        <v>18049860.27</v>
      </c>
      <c r="O2975">
        <v>16593067.449999999</v>
      </c>
      <c r="P2975">
        <v>16366897.74</v>
      </c>
      <c r="Q2975">
        <v>15045935.5</v>
      </c>
      <c r="R2975" s="14">
        <f>_xlfn.XLOOKUP(Table2[[#This Row],[LoanID]],Table1[G-L ID],Table1[ManagerCode],-99)</f>
        <v>220</v>
      </c>
      <c r="T2975"/>
    </row>
    <row r="2976" spans="1:20" x14ac:dyDescent="0.25">
      <c r="A2976">
        <v>20140930</v>
      </c>
      <c r="B2976">
        <v>2014</v>
      </c>
      <c r="C2976">
        <v>9</v>
      </c>
      <c r="D2976">
        <v>1</v>
      </c>
      <c r="E2976">
        <v>10780</v>
      </c>
      <c r="F2976">
        <v>311218.46999999997</v>
      </c>
      <c r="G2976">
        <v>0</v>
      </c>
      <c r="H2976">
        <v>0</v>
      </c>
      <c r="I2976">
        <v>0</v>
      </c>
      <c r="J2976">
        <v>0</v>
      </c>
      <c r="K2976">
        <v>0</v>
      </c>
      <c r="L2976">
        <v>43000000</v>
      </c>
      <c r="M2976">
        <v>43000000</v>
      </c>
      <c r="N2976">
        <v>43000000</v>
      </c>
      <c r="O2976">
        <v>43000000</v>
      </c>
      <c r="P2976">
        <v>43000000</v>
      </c>
      <c r="Q2976">
        <v>43000000</v>
      </c>
      <c r="R2976" s="14">
        <f>_xlfn.XLOOKUP(Table2[[#This Row],[LoanID]],Table1[G-L ID],Table1[ManagerCode],-99)</f>
        <v>220</v>
      </c>
      <c r="T2976"/>
    </row>
    <row r="2977" spans="1:20" x14ac:dyDescent="0.25">
      <c r="A2977">
        <v>20140930</v>
      </c>
      <c r="B2977">
        <v>2014</v>
      </c>
      <c r="C2977">
        <v>9</v>
      </c>
      <c r="D2977">
        <v>1</v>
      </c>
      <c r="E2977">
        <v>10800</v>
      </c>
      <c r="F2977">
        <v>104585</v>
      </c>
      <c r="G2977">
        <v>0</v>
      </c>
      <c r="H2977">
        <v>480000</v>
      </c>
      <c r="I2977">
        <v>0</v>
      </c>
      <c r="J2977">
        <v>-26000000</v>
      </c>
      <c r="K2977">
        <v>0</v>
      </c>
      <c r="L2977">
        <v>0</v>
      </c>
      <c r="M2977">
        <v>26000000</v>
      </c>
      <c r="N2977">
        <v>0</v>
      </c>
      <c r="O2977">
        <v>26000000</v>
      </c>
      <c r="P2977">
        <v>0</v>
      </c>
      <c r="Q2977">
        <v>26000000</v>
      </c>
      <c r="R2977" s="14">
        <f>_xlfn.XLOOKUP(Table2[[#This Row],[LoanID]],Table1[G-L ID],Table1[ManagerCode],-99)</f>
        <v>220</v>
      </c>
      <c r="T2977"/>
    </row>
    <row r="2978" spans="1:20" x14ac:dyDescent="0.25">
      <c r="A2978">
        <v>20140930</v>
      </c>
      <c r="B2978">
        <v>2014</v>
      </c>
      <c r="C2978">
        <v>9</v>
      </c>
      <c r="D2978">
        <v>1</v>
      </c>
      <c r="E2978">
        <v>10820</v>
      </c>
      <c r="F2978">
        <v>182460.7</v>
      </c>
      <c r="G2978">
        <v>0</v>
      </c>
      <c r="H2978">
        <v>0</v>
      </c>
      <c r="I2978">
        <v>0</v>
      </c>
      <c r="J2978">
        <v>0</v>
      </c>
      <c r="K2978">
        <v>0</v>
      </c>
      <c r="L2978">
        <v>22314945.739999998</v>
      </c>
      <c r="M2978">
        <v>22314945.739999998</v>
      </c>
      <c r="N2978">
        <v>22314945.739999998</v>
      </c>
      <c r="O2978">
        <v>22314945.739999998</v>
      </c>
      <c r="P2978">
        <v>22314945.739999998</v>
      </c>
      <c r="Q2978">
        <v>22314945.739999998</v>
      </c>
      <c r="R2978" s="14">
        <f>_xlfn.XLOOKUP(Table2[[#This Row],[LoanID]],Table1[G-L ID],Table1[ManagerCode],-99)</f>
        <v>220</v>
      </c>
      <c r="T2978"/>
    </row>
    <row r="2979" spans="1:20" x14ac:dyDescent="0.25">
      <c r="A2979">
        <v>20140930</v>
      </c>
      <c r="B2979">
        <v>2014</v>
      </c>
      <c r="C2979">
        <v>9</v>
      </c>
      <c r="D2979">
        <v>1</v>
      </c>
      <c r="E2979">
        <v>10830</v>
      </c>
      <c r="F2979">
        <v>59591.54</v>
      </c>
      <c r="G2979">
        <v>0</v>
      </c>
      <c r="H2979">
        <v>0</v>
      </c>
      <c r="I2979">
        <v>0</v>
      </c>
      <c r="J2979">
        <v>0</v>
      </c>
      <c r="K2979">
        <v>0</v>
      </c>
      <c r="L2979">
        <v>7284534.0199999996</v>
      </c>
      <c r="M2979">
        <v>7284534.0199999996</v>
      </c>
      <c r="N2979">
        <v>7284534.0199999996</v>
      </c>
      <c r="O2979">
        <v>7284534.0199999996</v>
      </c>
      <c r="P2979">
        <v>7284534.0199999996</v>
      </c>
      <c r="Q2979">
        <v>7284534.0199999996</v>
      </c>
      <c r="R2979" s="14">
        <f>_xlfn.XLOOKUP(Table2[[#This Row],[LoanID]],Table1[G-L ID],Table1[ManagerCode],-99)</f>
        <v>220</v>
      </c>
      <c r="T2979"/>
    </row>
    <row r="2980" spans="1:20" x14ac:dyDescent="0.25">
      <c r="A2980">
        <v>20140930</v>
      </c>
      <c r="B2980">
        <v>2014</v>
      </c>
      <c r="C2980">
        <v>9</v>
      </c>
      <c r="D2980">
        <v>1</v>
      </c>
      <c r="E2980">
        <v>10840</v>
      </c>
      <c r="F2980">
        <v>103968.23</v>
      </c>
      <c r="G2980">
        <v>0</v>
      </c>
      <c r="H2980">
        <v>0</v>
      </c>
      <c r="I2980">
        <v>0</v>
      </c>
      <c r="J2980">
        <v>0</v>
      </c>
      <c r="K2980">
        <v>0</v>
      </c>
      <c r="L2980">
        <v>12709189</v>
      </c>
      <c r="M2980">
        <v>12709189</v>
      </c>
      <c r="N2980">
        <v>12709189</v>
      </c>
      <c r="O2980">
        <v>12709189</v>
      </c>
      <c r="P2980">
        <v>12709189</v>
      </c>
      <c r="Q2980">
        <v>12709189</v>
      </c>
      <c r="R2980" s="14">
        <f>_xlfn.XLOOKUP(Table2[[#This Row],[LoanID]],Table1[G-L ID],Table1[ManagerCode],-99)</f>
        <v>220</v>
      </c>
      <c r="T2980"/>
    </row>
    <row r="2981" spans="1:20" x14ac:dyDescent="0.25">
      <c r="A2981">
        <v>20140930</v>
      </c>
      <c r="B2981">
        <v>2014</v>
      </c>
      <c r="C2981">
        <v>9</v>
      </c>
      <c r="D2981">
        <v>1</v>
      </c>
      <c r="E2981">
        <v>10850</v>
      </c>
      <c r="F2981">
        <v>110534.78</v>
      </c>
      <c r="G2981">
        <v>0</v>
      </c>
      <c r="H2981">
        <v>0</v>
      </c>
      <c r="I2981">
        <v>0</v>
      </c>
      <c r="J2981">
        <v>0</v>
      </c>
      <c r="K2981">
        <v>0</v>
      </c>
      <c r="L2981">
        <v>13511892</v>
      </c>
      <c r="M2981">
        <v>13511892</v>
      </c>
      <c r="N2981">
        <v>13511892</v>
      </c>
      <c r="O2981">
        <v>13511892</v>
      </c>
      <c r="P2981">
        <v>13511892</v>
      </c>
      <c r="Q2981">
        <v>13511892</v>
      </c>
      <c r="R2981" s="14">
        <f>_xlfn.XLOOKUP(Table2[[#This Row],[LoanID]],Table1[G-L ID],Table1[ManagerCode],-99)</f>
        <v>220</v>
      </c>
      <c r="T2981"/>
    </row>
    <row r="2982" spans="1:20" x14ac:dyDescent="0.25">
      <c r="A2982">
        <v>20140930</v>
      </c>
      <c r="B2982">
        <v>2014</v>
      </c>
      <c r="C2982">
        <v>9</v>
      </c>
      <c r="D2982">
        <v>1</v>
      </c>
      <c r="E2982">
        <v>10860</v>
      </c>
      <c r="F2982">
        <v>117468.99</v>
      </c>
      <c r="G2982">
        <v>0</v>
      </c>
      <c r="H2982">
        <v>0</v>
      </c>
      <c r="I2982">
        <v>0</v>
      </c>
      <c r="J2982">
        <v>0</v>
      </c>
      <c r="K2982">
        <v>0</v>
      </c>
      <c r="L2982">
        <v>19475000</v>
      </c>
      <c r="M2982">
        <v>19475000</v>
      </c>
      <c r="N2982">
        <v>19475000</v>
      </c>
      <c r="O2982">
        <v>19475000</v>
      </c>
      <c r="P2982">
        <v>20500000</v>
      </c>
      <c r="Q2982">
        <v>20500000</v>
      </c>
      <c r="R2982" s="14">
        <f>_xlfn.XLOOKUP(Table2[[#This Row],[LoanID]],Table1[G-L ID],Table1[ManagerCode],-99)</f>
        <v>103</v>
      </c>
      <c r="T2982"/>
    </row>
    <row r="2983" spans="1:20" x14ac:dyDescent="0.25">
      <c r="A2983">
        <v>20140930</v>
      </c>
      <c r="B2983">
        <v>2014</v>
      </c>
      <c r="C2983">
        <v>9</v>
      </c>
      <c r="D2983">
        <v>1</v>
      </c>
      <c r="E2983">
        <v>10900</v>
      </c>
      <c r="F2983">
        <v>80681.47</v>
      </c>
      <c r="G2983">
        <v>0</v>
      </c>
      <c r="H2983">
        <v>0</v>
      </c>
      <c r="I2983">
        <v>0</v>
      </c>
      <c r="J2983">
        <v>0</v>
      </c>
      <c r="K2983">
        <v>2935.59</v>
      </c>
      <c r="L2983">
        <v>8091807.0999999996</v>
      </c>
      <c r="M2983">
        <v>8089018.29</v>
      </c>
      <c r="N2983">
        <v>8091807.0999999996</v>
      </c>
      <c r="O2983">
        <v>8089018.29</v>
      </c>
      <c r="P2983">
        <v>8517691.6999999993</v>
      </c>
      <c r="Q2983">
        <v>8514756.1099999994</v>
      </c>
      <c r="R2983" s="14">
        <f>_xlfn.XLOOKUP(Table2[[#This Row],[LoanID]],Table1[G-L ID],Table1[ManagerCode],-99)</f>
        <v>103</v>
      </c>
      <c r="T2983"/>
    </row>
    <row r="2984" spans="1:20" x14ac:dyDescent="0.25">
      <c r="A2984">
        <v>20140930</v>
      </c>
      <c r="B2984">
        <v>2014</v>
      </c>
      <c r="C2984">
        <v>9</v>
      </c>
      <c r="D2984">
        <v>1</v>
      </c>
      <c r="E2984">
        <v>10920</v>
      </c>
      <c r="F2984">
        <v>114583.33</v>
      </c>
      <c r="G2984">
        <v>0</v>
      </c>
      <c r="H2984">
        <v>0</v>
      </c>
      <c r="I2984">
        <v>0</v>
      </c>
      <c r="J2984">
        <v>0</v>
      </c>
      <c r="K2984">
        <v>0</v>
      </c>
      <c r="L2984">
        <v>11000000</v>
      </c>
      <c r="M2984">
        <v>11000000</v>
      </c>
      <c r="N2984">
        <v>11000000</v>
      </c>
      <c r="O2984">
        <v>11000000</v>
      </c>
      <c r="P2984">
        <v>11000000</v>
      </c>
      <c r="Q2984">
        <v>11000000</v>
      </c>
      <c r="R2984" s="14">
        <f>_xlfn.XLOOKUP(Table2[[#This Row],[LoanID]],Table1[G-L ID],Table1[ManagerCode],-99)</f>
        <v>183</v>
      </c>
      <c r="T2984"/>
    </row>
    <row r="2985" spans="1:20" x14ac:dyDescent="0.25">
      <c r="A2985">
        <v>20140930</v>
      </c>
      <c r="B2985">
        <v>2014</v>
      </c>
      <c r="C2985">
        <v>9</v>
      </c>
      <c r="D2985">
        <v>1</v>
      </c>
      <c r="E2985">
        <v>10940</v>
      </c>
      <c r="F2985">
        <v>52529.42</v>
      </c>
      <c r="G2985">
        <v>70880.59</v>
      </c>
      <c r="H2985">
        <v>0</v>
      </c>
      <c r="I2985">
        <v>0</v>
      </c>
      <c r="J2985">
        <v>-52529.42</v>
      </c>
      <c r="K2985">
        <v>0</v>
      </c>
      <c r="L2985">
        <v>10616331.880000001</v>
      </c>
      <c r="M2985">
        <v>10739741.890000001</v>
      </c>
      <c r="N2985">
        <v>10616331.880000001</v>
      </c>
      <c r="O2985">
        <v>10739741.890000001</v>
      </c>
      <c r="P2985">
        <v>10616331.880000001</v>
      </c>
      <c r="Q2985">
        <v>10739741.890000001</v>
      </c>
      <c r="R2985" s="14">
        <f>_xlfn.XLOOKUP(Table2[[#This Row],[LoanID]],Table1[G-L ID],Table1[ManagerCode],-99)</f>
        <v>183</v>
      </c>
      <c r="T2985"/>
    </row>
    <row r="2986" spans="1:20" x14ac:dyDescent="0.25">
      <c r="A2986">
        <v>20140930</v>
      </c>
      <c r="B2986">
        <v>2014</v>
      </c>
      <c r="C2986">
        <v>9</v>
      </c>
      <c r="D2986">
        <v>1</v>
      </c>
      <c r="E2986">
        <v>10960</v>
      </c>
      <c r="F2986">
        <v>101285.54</v>
      </c>
      <c r="G2986">
        <v>0</v>
      </c>
      <c r="H2986">
        <v>0</v>
      </c>
      <c r="I2986">
        <v>0</v>
      </c>
      <c r="J2986">
        <v>0</v>
      </c>
      <c r="K2986">
        <v>0</v>
      </c>
      <c r="L2986">
        <v>22750000</v>
      </c>
      <c r="M2986">
        <v>22750000</v>
      </c>
      <c r="N2986">
        <v>22750000</v>
      </c>
      <c r="O2986">
        <v>22750000</v>
      </c>
      <c r="P2986">
        <v>22750000</v>
      </c>
      <c r="Q2986">
        <v>22750000</v>
      </c>
      <c r="R2986" s="14">
        <f>_xlfn.XLOOKUP(Table2[[#This Row],[LoanID]],Table1[G-L ID],Table1[ManagerCode],-99)</f>
        <v>119</v>
      </c>
      <c r="T2986"/>
    </row>
    <row r="2987" spans="1:20" x14ac:dyDescent="0.25">
      <c r="A2987">
        <v>20140930</v>
      </c>
      <c r="B2987">
        <v>2014</v>
      </c>
      <c r="C2987">
        <v>9</v>
      </c>
      <c r="D2987">
        <v>1</v>
      </c>
      <c r="E2987">
        <v>11030</v>
      </c>
      <c r="F2987">
        <v>67241.240000000005</v>
      </c>
      <c r="G2987">
        <v>0</v>
      </c>
      <c r="H2987">
        <v>0</v>
      </c>
      <c r="I2987">
        <v>0</v>
      </c>
      <c r="J2987">
        <v>0</v>
      </c>
      <c r="K2987">
        <v>0</v>
      </c>
      <c r="L2987">
        <v>8000000</v>
      </c>
      <c r="M2987">
        <v>8000000</v>
      </c>
      <c r="N2987">
        <v>8000000</v>
      </c>
      <c r="O2987">
        <v>8000000</v>
      </c>
      <c r="P2987">
        <v>8000000</v>
      </c>
      <c r="Q2987">
        <v>8000000</v>
      </c>
      <c r="R2987" s="14">
        <f>_xlfn.XLOOKUP(Table2[[#This Row],[LoanID]],Table1[G-L ID],Table1[ManagerCode],-99)</f>
        <v>119</v>
      </c>
      <c r="T2987"/>
    </row>
    <row r="2988" spans="1:20" x14ac:dyDescent="0.25">
      <c r="A2988">
        <v>20140930</v>
      </c>
      <c r="B2988">
        <v>2014</v>
      </c>
      <c r="C2988">
        <v>9</v>
      </c>
      <c r="D2988">
        <v>1</v>
      </c>
      <c r="E2988">
        <v>11040</v>
      </c>
      <c r="F2988">
        <v>523340.28</v>
      </c>
      <c r="G2988">
        <v>0</v>
      </c>
      <c r="H2988">
        <v>0</v>
      </c>
      <c r="I2988">
        <v>0</v>
      </c>
      <c r="J2988">
        <v>0</v>
      </c>
      <c r="K2988">
        <v>0</v>
      </c>
      <c r="L2988">
        <v>50000000</v>
      </c>
      <c r="M2988">
        <v>50000000</v>
      </c>
      <c r="N2988">
        <v>50000000</v>
      </c>
      <c r="O2988">
        <v>50000000</v>
      </c>
      <c r="P2988">
        <v>50000000</v>
      </c>
      <c r="Q2988">
        <v>50000000</v>
      </c>
      <c r="R2988" s="14">
        <f>_xlfn.XLOOKUP(Table2[[#This Row],[LoanID]],Table1[G-L ID],Table1[ManagerCode],-99)</f>
        <v>220</v>
      </c>
      <c r="T2988"/>
    </row>
    <row r="2989" spans="1:20" x14ac:dyDescent="0.25">
      <c r="A2989">
        <v>20140930</v>
      </c>
      <c r="B2989">
        <v>2014</v>
      </c>
      <c r="C2989">
        <v>9</v>
      </c>
      <c r="D2989">
        <v>1</v>
      </c>
      <c r="E2989">
        <v>11050</v>
      </c>
      <c r="F2989">
        <v>300635</v>
      </c>
      <c r="G2989">
        <v>0</v>
      </c>
      <c r="H2989">
        <v>0</v>
      </c>
      <c r="I2989">
        <v>0</v>
      </c>
      <c r="J2989">
        <v>0</v>
      </c>
      <c r="K2989">
        <v>0</v>
      </c>
      <c r="L2989">
        <v>29200000</v>
      </c>
      <c r="M2989">
        <v>29200000</v>
      </c>
      <c r="N2989">
        <v>29200000</v>
      </c>
      <c r="O2989">
        <v>29200000</v>
      </c>
      <c r="P2989">
        <v>28500000</v>
      </c>
      <c r="Q2989">
        <v>28500000</v>
      </c>
      <c r="R2989" s="14">
        <f>_xlfn.XLOOKUP(Table2[[#This Row],[LoanID]],Table1[G-L ID],Table1[ManagerCode],-99)</f>
        <v>220</v>
      </c>
      <c r="T2989"/>
    </row>
    <row r="2990" spans="1:20" x14ac:dyDescent="0.25">
      <c r="A2990">
        <v>20140930</v>
      </c>
      <c r="B2990">
        <v>2014</v>
      </c>
      <c r="C2990">
        <v>9</v>
      </c>
      <c r="D2990">
        <v>1</v>
      </c>
      <c r="E2990">
        <v>11070</v>
      </c>
      <c r="F2990">
        <v>287899.45</v>
      </c>
      <c r="G2990">
        <v>0</v>
      </c>
      <c r="H2990">
        <v>0</v>
      </c>
      <c r="I2990">
        <v>0</v>
      </c>
      <c r="J2990">
        <v>0</v>
      </c>
      <c r="K2990">
        <v>12736.58</v>
      </c>
      <c r="L2990">
        <v>13820073.029999999</v>
      </c>
      <c r="M2990">
        <v>13809883.77</v>
      </c>
      <c r="N2990">
        <v>13820073.029999999</v>
      </c>
      <c r="O2990">
        <v>13809883.77</v>
      </c>
      <c r="P2990">
        <v>17275091.289999999</v>
      </c>
      <c r="Q2990">
        <v>17262354.710000001</v>
      </c>
      <c r="R2990" s="14">
        <f>_xlfn.XLOOKUP(Table2[[#This Row],[LoanID]],Table1[G-L ID],Table1[ManagerCode],-99)</f>
        <v>103</v>
      </c>
      <c r="T2990"/>
    </row>
    <row r="2991" spans="1:20" x14ac:dyDescent="0.25">
      <c r="A2991">
        <v>20140930</v>
      </c>
      <c r="B2991">
        <v>2014</v>
      </c>
      <c r="C2991">
        <v>9</v>
      </c>
      <c r="D2991">
        <v>1</v>
      </c>
      <c r="E2991">
        <v>11100</v>
      </c>
      <c r="F2991">
        <v>63346.69</v>
      </c>
      <c r="G2991">
        <v>0</v>
      </c>
      <c r="H2991">
        <v>0</v>
      </c>
      <c r="I2991">
        <v>0</v>
      </c>
      <c r="J2991">
        <v>-3608271.74</v>
      </c>
      <c r="K2991">
        <v>0</v>
      </c>
      <c r="L2991">
        <v>18177944.370000001</v>
      </c>
      <c r="M2991">
        <v>21794719.09</v>
      </c>
      <c r="N2991">
        <v>18177944.370000001</v>
      </c>
      <c r="O2991">
        <v>21794719.09</v>
      </c>
      <c r="P2991">
        <v>18639625.899999999</v>
      </c>
      <c r="Q2991">
        <v>22247897.640000001</v>
      </c>
      <c r="R2991" s="14">
        <f>_xlfn.XLOOKUP(Table2[[#This Row],[LoanID]],Table1[G-L ID],Table1[ManagerCode],-99)</f>
        <v>103</v>
      </c>
      <c r="T2991"/>
    </row>
    <row r="2992" spans="1:20" x14ac:dyDescent="0.25">
      <c r="A2992">
        <v>20140930</v>
      </c>
      <c r="B2992">
        <v>2014</v>
      </c>
      <c r="C2992">
        <v>9</v>
      </c>
      <c r="D2992">
        <v>1</v>
      </c>
      <c r="E2992">
        <v>11130</v>
      </c>
      <c r="F2992">
        <v>907862.5</v>
      </c>
      <c r="G2992">
        <v>0</v>
      </c>
      <c r="H2992">
        <v>0</v>
      </c>
      <c r="I2992">
        <v>0</v>
      </c>
      <c r="J2992">
        <v>0</v>
      </c>
      <c r="K2992">
        <v>0</v>
      </c>
      <c r="L2992">
        <v>168150000</v>
      </c>
      <c r="M2992">
        <v>168150000</v>
      </c>
      <c r="N2992">
        <v>168150000</v>
      </c>
      <c r="O2992">
        <v>168150000</v>
      </c>
      <c r="P2992">
        <v>177000000</v>
      </c>
      <c r="Q2992">
        <v>177000000</v>
      </c>
      <c r="R2992" s="14">
        <f>_xlfn.XLOOKUP(Table2[[#This Row],[LoanID]],Table1[G-L ID],Table1[ManagerCode],-99)</f>
        <v>103</v>
      </c>
      <c r="T2992"/>
    </row>
    <row r="2993" spans="1:20" x14ac:dyDescent="0.25">
      <c r="A2993">
        <v>20140930</v>
      </c>
      <c r="B2993">
        <v>2014</v>
      </c>
      <c r="C2993">
        <v>9</v>
      </c>
      <c r="D2993">
        <v>1</v>
      </c>
      <c r="E2993">
        <v>11170</v>
      </c>
      <c r="F2993">
        <v>701784.03</v>
      </c>
      <c r="G2993">
        <v>0</v>
      </c>
      <c r="H2993">
        <v>0</v>
      </c>
      <c r="I2993">
        <v>0</v>
      </c>
      <c r="J2993">
        <v>0</v>
      </c>
      <c r="K2993">
        <v>0</v>
      </c>
      <c r="L2993">
        <v>173249826.80000001</v>
      </c>
      <c r="M2993">
        <v>173249826.80000001</v>
      </c>
      <c r="N2993">
        <v>173249826.80000001</v>
      </c>
      <c r="O2993">
        <v>173249826.80000001</v>
      </c>
      <c r="P2993">
        <v>175000000</v>
      </c>
      <c r="Q2993">
        <v>175000000</v>
      </c>
      <c r="R2993" s="14">
        <f>_xlfn.XLOOKUP(Table2[[#This Row],[LoanID]],Table1[G-L ID],Table1[ManagerCode],-99)</f>
        <v>103</v>
      </c>
      <c r="T2993"/>
    </row>
    <row r="2994" spans="1:20" x14ac:dyDescent="0.25">
      <c r="A2994">
        <v>20140930</v>
      </c>
      <c r="B2994">
        <v>2014</v>
      </c>
      <c r="C2994">
        <v>9</v>
      </c>
      <c r="D2994">
        <v>1</v>
      </c>
      <c r="E2994">
        <v>11220</v>
      </c>
      <c r="F2994">
        <v>613812.5</v>
      </c>
      <c r="G2994">
        <v>0</v>
      </c>
      <c r="H2994">
        <v>0</v>
      </c>
      <c r="I2994">
        <v>0</v>
      </c>
      <c r="J2994">
        <v>0</v>
      </c>
      <c r="K2994">
        <v>34500000</v>
      </c>
      <c r="L2994">
        <v>34500000</v>
      </c>
      <c r="M2994">
        <v>0</v>
      </c>
      <c r="N2994">
        <v>34500000</v>
      </c>
      <c r="O2994">
        <v>0</v>
      </c>
      <c r="P2994">
        <v>34500000</v>
      </c>
      <c r="Q2994">
        <v>0</v>
      </c>
      <c r="R2994" s="14">
        <f>_xlfn.XLOOKUP(Table2[[#This Row],[LoanID]],Table1[G-L ID],Table1[ManagerCode],-99)</f>
        <v>220</v>
      </c>
      <c r="T2994"/>
    </row>
    <row r="2995" spans="1:20" x14ac:dyDescent="0.25">
      <c r="A2995">
        <v>20140930</v>
      </c>
      <c r="B2995">
        <v>2014</v>
      </c>
      <c r="C2995">
        <v>9</v>
      </c>
      <c r="D2995">
        <v>1</v>
      </c>
      <c r="E2995">
        <v>11320</v>
      </c>
      <c r="F2995">
        <v>97425.69</v>
      </c>
      <c r="G2995">
        <v>0</v>
      </c>
      <c r="H2995">
        <v>0</v>
      </c>
      <c r="I2995">
        <v>0</v>
      </c>
      <c r="J2995">
        <v>0</v>
      </c>
      <c r="K2995">
        <v>18000</v>
      </c>
      <c r="L2995">
        <v>11964000</v>
      </c>
      <c r="M2995">
        <v>11946000</v>
      </c>
      <c r="N2995">
        <v>11964000</v>
      </c>
      <c r="O2995">
        <v>11946000</v>
      </c>
      <c r="P2995">
        <v>11964000</v>
      </c>
      <c r="Q2995">
        <v>11946000</v>
      </c>
      <c r="R2995" s="14">
        <f>_xlfn.XLOOKUP(Table2[[#This Row],[LoanID]],Table1[G-L ID],Table1[ManagerCode],-99)</f>
        <v>119</v>
      </c>
      <c r="T2995"/>
    </row>
    <row r="2996" spans="1:20" x14ac:dyDescent="0.25">
      <c r="A2996">
        <v>20140930</v>
      </c>
      <c r="B2996">
        <v>2014</v>
      </c>
      <c r="C2996">
        <v>9</v>
      </c>
      <c r="D2996">
        <v>1</v>
      </c>
      <c r="E2996">
        <v>11340</v>
      </c>
      <c r="F2996">
        <v>301388.89</v>
      </c>
      <c r="G2996">
        <v>0</v>
      </c>
      <c r="H2996">
        <v>0</v>
      </c>
      <c r="I2996">
        <v>0</v>
      </c>
      <c r="J2996">
        <v>0</v>
      </c>
      <c r="K2996">
        <v>0</v>
      </c>
      <c r="L2996">
        <v>49500000</v>
      </c>
      <c r="M2996">
        <v>49500000</v>
      </c>
      <c r="N2996">
        <v>49500000</v>
      </c>
      <c r="O2996">
        <v>49500000</v>
      </c>
      <c r="P2996">
        <v>50000000</v>
      </c>
      <c r="Q2996">
        <v>50000000</v>
      </c>
      <c r="R2996" s="14">
        <f>_xlfn.XLOOKUP(Table2[[#This Row],[LoanID]],Table1[G-L ID],Table1[ManagerCode],-99)</f>
        <v>103</v>
      </c>
      <c r="T2996"/>
    </row>
    <row r="2997" spans="1:20" x14ac:dyDescent="0.25">
      <c r="A2997">
        <v>20140930</v>
      </c>
      <c r="B2997">
        <v>2014</v>
      </c>
      <c r="C2997">
        <v>9</v>
      </c>
      <c r="D2997">
        <v>1</v>
      </c>
      <c r="E2997">
        <v>11350</v>
      </c>
      <c r="F2997">
        <v>331527.78000000003</v>
      </c>
      <c r="G2997">
        <v>0</v>
      </c>
      <c r="H2997">
        <v>0</v>
      </c>
      <c r="I2997">
        <v>0</v>
      </c>
      <c r="J2997">
        <v>0</v>
      </c>
      <c r="K2997">
        <v>0</v>
      </c>
      <c r="L2997">
        <v>54449945.549999997</v>
      </c>
      <c r="M2997">
        <v>54449945.549999997</v>
      </c>
      <c r="N2997">
        <v>54449945.549999997</v>
      </c>
      <c r="O2997">
        <v>54449945.549999997</v>
      </c>
      <c r="P2997">
        <v>55000000</v>
      </c>
      <c r="Q2997">
        <v>55000000</v>
      </c>
      <c r="R2997" s="14">
        <f>_xlfn.XLOOKUP(Table2[[#This Row],[LoanID]],Table1[G-L ID],Table1[ManagerCode],-99)</f>
        <v>103</v>
      </c>
      <c r="T2997"/>
    </row>
    <row r="2998" spans="1:20" x14ac:dyDescent="0.25">
      <c r="A2998">
        <v>20140930</v>
      </c>
      <c r="B2998">
        <v>2014</v>
      </c>
      <c r="C2998">
        <v>9</v>
      </c>
      <c r="D2998">
        <v>1</v>
      </c>
      <c r="E2998">
        <v>11370</v>
      </c>
      <c r="F2998">
        <v>51763.11</v>
      </c>
      <c r="G2998">
        <v>0</v>
      </c>
      <c r="H2998">
        <v>0</v>
      </c>
      <c r="I2998">
        <v>0</v>
      </c>
      <c r="J2998">
        <v>0</v>
      </c>
      <c r="K2998">
        <v>0</v>
      </c>
      <c r="L2998">
        <v>5525000</v>
      </c>
      <c r="M2998">
        <v>5525000</v>
      </c>
      <c r="N2998">
        <v>5525000</v>
      </c>
      <c r="O2998">
        <v>5525000</v>
      </c>
      <c r="P2998">
        <v>5525000</v>
      </c>
      <c r="Q2998">
        <v>5525000</v>
      </c>
      <c r="R2998" s="14">
        <f>_xlfn.XLOOKUP(Table2[[#This Row],[LoanID]],Table1[G-L ID],Table1[ManagerCode],-99)</f>
        <v>119</v>
      </c>
      <c r="T2998"/>
    </row>
    <row r="2999" spans="1:20" x14ac:dyDescent="0.25">
      <c r="A2999">
        <v>20140930</v>
      </c>
      <c r="B2999">
        <v>2014</v>
      </c>
      <c r="C2999">
        <v>9</v>
      </c>
      <c r="D2999">
        <v>1</v>
      </c>
      <c r="E2999">
        <v>11390</v>
      </c>
      <c r="F2999">
        <v>207743.06</v>
      </c>
      <c r="G2999">
        <v>0</v>
      </c>
      <c r="H2999">
        <v>0</v>
      </c>
      <c r="I2999">
        <v>0</v>
      </c>
      <c r="J2999">
        <v>0</v>
      </c>
      <c r="K2999">
        <v>0</v>
      </c>
      <c r="L2999">
        <v>25000000</v>
      </c>
      <c r="M2999">
        <v>25000000</v>
      </c>
      <c r="N2999">
        <v>25000000</v>
      </c>
      <c r="O2999">
        <v>25000000</v>
      </c>
      <c r="P2999">
        <v>25000000</v>
      </c>
      <c r="Q2999">
        <v>25000000</v>
      </c>
      <c r="R2999" s="14">
        <f>_xlfn.XLOOKUP(Table2[[#This Row],[LoanID]],Table1[G-L ID],Table1[ManagerCode],-99)</f>
        <v>220</v>
      </c>
      <c r="T2999"/>
    </row>
    <row r="3000" spans="1:20" x14ac:dyDescent="0.25">
      <c r="A3000">
        <v>20140930</v>
      </c>
      <c r="B3000">
        <v>2014</v>
      </c>
      <c r="C3000">
        <v>9</v>
      </c>
      <c r="D3000">
        <v>1</v>
      </c>
      <c r="E3000">
        <v>11480</v>
      </c>
      <c r="F3000">
        <v>68891.67</v>
      </c>
      <c r="G3000">
        <v>0</v>
      </c>
      <c r="H3000">
        <v>0</v>
      </c>
      <c r="I3000">
        <v>0</v>
      </c>
      <c r="J3000">
        <v>-70000000</v>
      </c>
      <c r="K3000">
        <v>0</v>
      </c>
      <c r="L3000">
        <v>0</v>
      </c>
      <c r="M3000">
        <v>66500000</v>
      </c>
      <c r="N3000">
        <v>0</v>
      </c>
      <c r="O3000">
        <v>66500000</v>
      </c>
      <c r="P3000">
        <v>0</v>
      </c>
      <c r="Q3000">
        <v>70000000</v>
      </c>
      <c r="R3000" s="14">
        <f>_xlfn.XLOOKUP(Table2[[#This Row],[LoanID]],Table1[G-L ID],Table1[ManagerCode],-99)</f>
        <v>103</v>
      </c>
      <c r="T3000"/>
    </row>
    <row r="3001" spans="1:20" x14ac:dyDescent="0.25">
      <c r="A3001">
        <v>20140930</v>
      </c>
      <c r="B3001">
        <v>2014</v>
      </c>
      <c r="C3001">
        <v>9</v>
      </c>
      <c r="D3001">
        <v>1</v>
      </c>
      <c r="E3001">
        <v>11490</v>
      </c>
      <c r="F3001">
        <v>65587.5</v>
      </c>
      <c r="G3001">
        <v>0</v>
      </c>
      <c r="H3001">
        <v>0</v>
      </c>
      <c r="I3001">
        <v>0</v>
      </c>
      <c r="J3001">
        <v>-55000000</v>
      </c>
      <c r="K3001">
        <v>0</v>
      </c>
      <c r="L3001">
        <v>0</v>
      </c>
      <c r="M3001">
        <v>49500000</v>
      </c>
      <c r="N3001">
        <v>0</v>
      </c>
      <c r="O3001">
        <v>49500000</v>
      </c>
      <c r="P3001">
        <v>0</v>
      </c>
      <c r="Q3001">
        <v>55000000</v>
      </c>
      <c r="R3001" s="14">
        <f>_xlfn.XLOOKUP(Table2[[#This Row],[LoanID]],Table1[G-L ID],Table1[ManagerCode],-99)</f>
        <v>103</v>
      </c>
      <c r="T3001"/>
    </row>
    <row r="3002" spans="1:20" x14ac:dyDescent="0.25">
      <c r="A3002">
        <v>20140930</v>
      </c>
      <c r="B3002">
        <v>2014</v>
      </c>
      <c r="C3002">
        <v>9</v>
      </c>
      <c r="D3002">
        <v>1</v>
      </c>
      <c r="E3002">
        <v>11540</v>
      </c>
      <c r="F3002">
        <v>78834.720000000001</v>
      </c>
      <c r="G3002">
        <v>0</v>
      </c>
      <c r="H3002">
        <v>0</v>
      </c>
      <c r="I3002">
        <v>0</v>
      </c>
      <c r="J3002">
        <v>0</v>
      </c>
      <c r="K3002">
        <v>0</v>
      </c>
      <c r="L3002">
        <v>10000000</v>
      </c>
      <c r="M3002">
        <v>10000000</v>
      </c>
      <c r="N3002">
        <v>10000000</v>
      </c>
      <c r="O3002">
        <v>10000000</v>
      </c>
      <c r="P3002">
        <v>10000000</v>
      </c>
      <c r="Q3002">
        <v>10000000</v>
      </c>
      <c r="R3002" s="14">
        <f>_xlfn.XLOOKUP(Table2[[#This Row],[LoanID]],Table1[G-L ID],Table1[ManagerCode],-99)</f>
        <v>220</v>
      </c>
      <c r="T3002"/>
    </row>
    <row r="3003" spans="1:20" x14ac:dyDescent="0.25">
      <c r="A3003">
        <v>20140930</v>
      </c>
      <c r="B3003">
        <v>2014</v>
      </c>
      <c r="C3003">
        <v>9</v>
      </c>
      <c r="D3003">
        <v>1</v>
      </c>
      <c r="E3003">
        <v>11550</v>
      </c>
      <c r="F3003">
        <v>126854.58</v>
      </c>
      <c r="G3003">
        <v>0</v>
      </c>
      <c r="H3003">
        <v>0</v>
      </c>
      <c r="I3003">
        <v>0</v>
      </c>
      <c r="J3003">
        <v>0</v>
      </c>
      <c r="K3003">
        <v>0</v>
      </c>
      <c r="L3003">
        <v>21850021.850000001</v>
      </c>
      <c r="M3003">
        <v>21850021.850000001</v>
      </c>
      <c r="N3003">
        <v>21850021.850000001</v>
      </c>
      <c r="O3003">
        <v>21850021.850000001</v>
      </c>
      <c r="P3003">
        <v>23000000</v>
      </c>
      <c r="Q3003">
        <v>23000000</v>
      </c>
      <c r="R3003" s="14">
        <f>_xlfn.XLOOKUP(Table2[[#This Row],[LoanID]],Table1[G-L ID],Table1[ManagerCode],-99)</f>
        <v>103</v>
      </c>
      <c r="T3003"/>
    </row>
    <row r="3004" spans="1:20" x14ac:dyDescent="0.25">
      <c r="A3004">
        <v>20140930</v>
      </c>
      <c r="B3004">
        <v>2014</v>
      </c>
      <c r="C3004">
        <v>9</v>
      </c>
      <c r="D3004">
        <v>1</v>
      </c>
      <c r="E3004">
        <v>11560</v>
      </c>
      <c r="F3004">
        <v>245915.36</v>
      </c>
      <c r="G3004">
        <v>-59859.58</v>
      </c>
      <c r="H3004">
        <v>0</v>
      </c>
      <c r="I3004">
        <v>0</v>
      </c>
      <c r="J3004">
        <v>0</v>
      </c>
      <c r="K3004">
        <v>0</v>
      </c>
      <c r="L3004">
        <v>14338243.5</v>
      </c>
      <c r="M3004">
        <v>14278383.92</v>
      </c>
      <c r="N3004">
        <v>14338243.5</v>
      </c>
      <c r="O3004">
        <v>14278383.92</v>
      </c>
      <c r="P3004">
        <v>14338243.5</v>
      </c>
      <c r="Q3004">
        <v>14278383.92</v>
      </c>
      <c r="R3004" s="14">
        <f>_xlfn.XLOOKUP(Table2[[#This Row],[LoanID]],Table1[G-L ID],Table1[ManagerCode],-99)</f>
        <v>183</v>
      </c>
      <c r="T3004"/>
    </row>
    <row r="3005" spans="1:20" x14ac:dyDescent="0.25">
      <c r="A3005">
        <v>20140930</v>
      </c>
      <c r="B3005">
        <v>2014</v>
      </c>
      <c r="C3005">
        <v>9</v>
      </c>
      <c r="D3005">
        <v>1</v>
      </c>
      <c r="E3005">
        <v>11580</v>
      </c>
      <c r="F3005">
        <v>118877.34</v>
      </c>
      <c r="G3005">
        <v>0</v>
      </c>
      <c r="H3005">
        <v>0</v>
      </c>
      <c r="I3005">
        <v>0</v>
      </c>
      <c r="J3005">
        <v>0</v>
      </c>
      <c r="K3005">
        <v>0</v>
      </c>
      <c r="L3005">
        <v>15000000</v>
      </c>
      <c r="M3005">
        <v>15000000</v>
      </c>
      <c r="N3005">
        <v>15000000</v>
      </c>
      <c r="O3005">
        <v>15000000</v>
      </c>
      <c r="P3005">
        <v>15000000</v>
      </c>
      <c r="Q3005">
        <v>15000000</v>
      </c>
      <c r="R3005" s="14">
        <f>_xlfn.XLOOKUP(Table2[[#This Row],[LoanID]],Table1[G-L ID],Table1[ManagerCode],-99)</f>
        <v>119</v>
      </c>
      <c r="T3005"/>
    </row>
    <row r="3006" spans="1:20" x14ac:dyDescent="0.25">
      <c r="A3006">
        <v>20140930</v>
      </c>
      <c r="B3006">
        <v>2014</v>
      </c>
      <c r="C3006">
        <v>9</v>
      </c>
      <c r="D3006">
        <v>1</v>
      </c>
      <c r="E3006">
        <v>11620</v>
      </c>
      <c r="F3006">
        <v>80692.73</v>
      </c>
      <c r="G3006">
        <v>39354.43</v>
      </c>
      <c r="H3006">
        <v>0</v>
      </c>
      <c r="I3006">
        <v>0</v>
      </c>
      <c r="J3006">
        <v>0</v>
      </c>
      <c r="K3006">
        <v>0</v>
      </c>
      <c r="L3006">
        <v>10336126.4</v>
      </c>
      <c r="M3006">
        <v>10375480.83</v>
      </c>
      <c r="N3006">
        <v>10336126.4</v>
      </c>
      <c r="O3006">
        <v>10375480.83</v>
      </c>
      <c r="P3006">
        <v>10336126.4</v>
      </c>
      <c r="Q3006">
        <v>10375480.83</v>
      </c>
      <c r="R3006" s="14">
        <f>_xlfn.XLOOKUP(Table2[[#This Row],[LoanID]],Table1[G-L ID],Table1[ManagerCode],-99)</f>
        <v>183</v>
      </c>
      <c r="T3006"/>
    </row>
    <row r="3007" spans="1:20" x14ac:dyDescent="0.25">
      <c r="A3007">
        <v>20140930</v>
      </c>
      <c r="B3007">
        <v>2014</v>
      </c>
      <c r="C3007">
        <v>9</v>
      </c>
      <c r="D3007">
        <v>1</v>
      </c>
      <c r="E3007">
        <v>11650</v>
      </c>
      <c r="F3007">
        <v>75000</v>
      </c>
      <c r="G3007">
        <v>0</v>
      </c>
      <c r="H3007">
        <v>0</v>
      </c>
      <c r="I3007">
        <v>0</v>
      </c>
      <c r="J3007">
        <v>0</v>
      </c>
      <c r="K3007">
        <v>0</v>
      </c>
      <c r="L3007">
        <v>9600000</v>
      </c>
      <c r="M3007">
        <v>9600000</v>
      </c>
      <c r="N3007">
        <v>9600000</v>
      </c>
      <c r="O3007">
        <v>9600000</v>
      </c>
      <c r="P3007">
        <v>12000000</v>
      </c>
      <c r="Q3007">
        <v>12000000</v>
      </c>
      <c r="R3007" s="14">
        <f>_xlfn.XLOOKUP(Table2[[#This Row],[LoanID]],Table1[G-L ID],Table1[ManagerCode],-99)</f>
        <v>103</v>
      </c>
      <c r="T3007"/>
    </row>
    <row r="3008" spans="1:20" x14ac:dyDescent="0.25">
      <c r="A3008">
        <v>20140930</v>
      </c>
      <c r="B3008">
        <v>2014</v>
      </c>
      <c r="C3008">
        <v>9</v>
      </c>
      <c r="D3008">
        <v>1</v>
      </c>
      <c r="E3008">
        <v>11660</v>
      </c>
      <c r="F3008">
        <v>0</v>
      </c>
      <c r="G3008">
        <v>0</v>
      </c>
      <c r="H3008">
        <v>0</v>
      </c>
      <c r="I3008">
        <v>0</v>
      </c>
      <c r="J3008">
        <v>-6100135</v>
      </c>
      <c r="K3008">
        <v>0</v>
      </c>
      <c r="L3008">
        <v>19911870</v>
      </c>
      <c r="M3008">
        <v>26012005</v>
      </c>
      <c r="N3008">
        <v>19911870</v>
      </c>
      <c r="O3008">
        <v>26012005</v>
      </c>
      <c r="P3008">
        <v>19911870</v>
      </c>
      <c r="Q3008">
        <v>26012005</v>
      </c>
      <c r="R3008" s="14">
        <f>_xlfn.XLOOKUP(Table2[[#This Row],[LoanID]],Table1[G-L ID],Table1[ManagerCode],-99)</f>
        <v>183</v>
      </c>
      <c r="T3008"/>
    </row>
    <row r="3009" spans="1:20" x14ac:dyDescent="0.25">
      <c r="A3009">
        <v>20140930</v>
      </c>
      <c r="B3009">
        <v>2014</v>
      </c>
      <c r="C3009">
        <v>9</v>
      </c>
      <c r="D3009">
        <v>1</v>
      </c>
      <c r="E3009">
        <v>11680</v>
      </c>
      <c r="F3009">
        <v>57126.559999999998</v>
      </c>
      <c r="G3009">
        <v>0</v>
      </c>
      <c r="H3009">
        <v>0</v>
      </c>
      <c r="I3009">
        <v>0</v>
      </c>
      <c r="J3009">
        <v>0</v>
      </c>
      <c r="K3009">
        <v>0</v>
      </c>
      <c r="L3009">
        <v>6600000</v>
      </c>
      <c r="M3009">
        <v>6600000</v>
      </c>
      <c r="N3009">
        <v>6600000</v>
      </c>
      <c r="O3009">
        <v>6600000</v>
      </c>
      <c r="P3009">
        <v>6600000</v>
      </c>
      <c r="Q3009">
        <v>6600000</v>
      </c>
      <c r="R3009" s="14">
        <f>_xlfn.XLOOKUP(Table2[[#This Row],[LoanID]],Table1[G-L ID],Table1[ManagerCode],-99)</f>
        <v>183</v>
      </c>
      <c r="T3009"/>
    </row>
    <row r="3010" spans="1:20" x14ac:dyDescent="0.25">
      <c r="A3010">
        <v>20140930</v>
      </c>
      <c r="B3010">
        <v>2014</v>
      </c>
      <c r="C3010">
        <v>9</v>
      </c>
      <c r="D3010">
        <v>1</v>
      </c>
      <c r="E3010">
        <v>11710</v>
      </c>
      <c r="F3010">
        <v>102995.2</v>
      </c>
      <c r="G3010">
        <v>0</v>
      </c>
      <c r="H3010">
        <v>0</v>
      </c>
      <c r="I3010">
        <v>0</v>
      </c>
      <c r="J3010">
        <v>0</v>
      </c>
      <c r="K3010">
        <v>0</v>
      </c>
      <c r="L3010">
        <v>12000000</v>
      </c>
      <c r="M3010">
        <v>12000000</v>
      </c>
      <c r="N3010">
        <v>12000000</v>
      </c>
      <c r="O3010">
        <v>12000000</v>
      </c>
      <c r="P3010">
        <v>12000000</v>
      </c>
      <c r="Q3010">
        <v>12000000</v>
      </c>
      <c r="R3010" s="14">
        <f>_xlfn.XLOOKUP(Table2[[#This Row],[LoanID]],Table1[G-L ID],Table1[ManagerCode],-99)</f>
        <v>119</v>
      </c>
      <c r="T3010"/>
    </row>
    <row r="3011" spans="1:20" x14ac:dyDescent="0.25">
      <c r="A3011">
        <v>20140930</v>
      </c>
      <c r="B3011">
        <v>2014</v>
      </c>
      <c r="C3011">
        <v>9</v>
      </c>
      <c r="D3011">
        <v>1</v>
      </c>
      <c r="E3011">
        <v>11740</v>
      </c>
      <c r="F3011">
        <v>191100</v>
      </c>
      <c r="G3011">
        <v>0</v>
      </c>
      <c r="H3011">
        <v>0</v>
      </c>
      <c r="I3011">
        <v>0</v>
      </c>
      <c r="J3011">
        <v>0</v>
      </c>
      <c r="K3011">
        <v>0</v>
      </c>
      <c r="L3011">
        <v>19110000</v>
      </c>
      <c r="M3011">
        <v>19110000</v>
      </c>
      <c r="N3011">
        <v>19110000</v>
      </c>
      <c r="O3011">
        <v>19110000</v>
      </c>
      <c r="P3011">
        <v>19110000</v>
      </c>
      <c r="Q3011">
        <v>19110000</v>
      </c>
      <c r="R3011" s="14">
        <f>_xlfn.XLOOKUP(Table2[[#This Row],[LoanID]],Table1[G-L ID],Table1[ManagerCode],-99)</f>
        <v>183</v>
      </c>
      <c r="T3011"/>
    </row>
    <row r="3012" spans="1:20" x14ac:dyDescent="0.25">
      <c r="A3012">
        <v>20140930</v>
      </c>
      <c r="B3012">
        <v>2014</v>
      </c>
      <c r="C3012">
        <v>9</v>
      </c>
      <c r="D3012">
        <v>1</v>
      </c>
      <c r="E3012">
        <v>11770</v>
      </c>
      <c r="F3012">
        <v>176059.16</v>
      </c>
      <c r="G3012">
        <v>0</v>
      </c>
      <c r="H3012">
        <v>0</v>
      </c>
      <c r="I3012">
        <v>0</v>
      </c>
      <c r="J3012">
        <v>0</v>
      </c>
      <c r="K3012">
        <v>25065072.48</v>
      </c>
      <c r="L3012">
        <v>25065072.48</v>
      </c>
      <c r="M3012">
        <v>0</v>
      </c>
      <c r="N3012">
        <v>25065072.48</v>
      </c>
      <c r="O3012">
        <v>0</v>
      </c>
      <c r="P3012">
        <v>25065072.48</v>
      </c>
      <c r="Q3012">
        <v>0</v>
      </c>
      <c r="R3012" s="14">
        <f>_xlfn.XLOOKUP(Table2[[#This Row],[LoanID]],Table1[G-L ID],Table1[ManagerCode],-99)</f>
        <v>119</v>
      </c>
      <c r="T3012"/>
    </row>
    <row r="3013" spans="1:20" x14ac:dyDescent="0.25">
      <c r="A3013">
        <v>20140930</v>
      </c>
      <c r="B3013">
        <v>2014</v>
      </c>
      <c r="C3013">
        <v>9</v>
      </c>
      <c r="D3013">
        <v>1</v>
      </c>
      <c r="E3013">
        <v>11810</v>
      </c>
      <c r="F3013">
        <v>49734.82</v>
      </c>
      <c r="G3013">
        <v>0</v>
      </c>
      <c r="H3013">
        <v>0</v>
      </c>
      <c r="I3013">
        <v>0</v>
      </c>
      <c r="J3013">
        <v>0</v>
      </c>
      <c r="K3013">
        <v>11123.27</v>
      </c>
      <c r="L3013">
        <v>9622959.1999999993</v>
      </c>
      <c r="M3013">
        <v>9611947.1600000001</v>
      </c>
      <c r="N3013">
        <v>9622959.1999999993</v>
      </c>
      <c r="O3013">
        <v>9611947.1600000001</v>
      </c>
      <c r="P3013">
        <v>9720160.8100000005</v>
      </c>
      <c r="Q3013">
        <v>9709037.5399999991</v>
      </c>
      <c r="R3013" s="14">
        <f>_xlfn.XLOOKUP(Table2[[#This Row],[LoanID]],Table1[G-L ID],Table1[ManagerCode],-99)</f>
        <v>103</v>
      </c>
      <c r="T3013"/>
    </row>
    <row r="3014" spans="1:20" x14ac:dyDescent="0.25">
      <c r="A3014">
        <v>20140930</v>
      </c>
      <c r="B3014">
        <v>2014</v>
      </c>
      <c r="C3014">
        <v>9</v>
      </c>
      <c r="D3014">
        <v>1</v>
      </c>
      <c r="E3014">
        <v>11840</v>
      </c>
      <c r="F3014">
        <v>52501.8</v>
      </c>
      <c r="G3014">
        <v>96051.68</v>
      </c>
      <c r="H3014">
        <v>0</v>
      </c>
      <c r="I3014">
        <v>0</v>
      </c>
      <c r="J3014">
        <v>0</v>
      </c>
      <c r="K3014">
        <v>0</v>
      </c>
      <c r="L3014">
        <v>12294081.199999999</v>
      </c>
      <c r="M3014">
        <v>12390132.880000001</v>
      </c>
      <c r="N3014">
        <v>12294081.199999999</v>
      </c>
      <c r="O3014">
        <v>12390132.880000001</v>
      </c>
      <c r="P3014">
        <v>12294081.199999999</v>
      </c>
      <c r="Q3014">
        <v>12390132.880000001</v>
      </c>
      <c r="R3014" s="14">
        <f>_xlfn.XLOOKUP(Table2[[#This Row],[LoanID]],Table1[G-L ID],Table1[ManagerCode],-99)</f>
        <v>183</v>
      </c>
      <c r="T3014"/>
    </row>
    <row r="3015" spans="1:20" x14ac:dyDescent="0.25">
      <c r="A3015">
        <v>20140930</v>
      </c>
      <c r="B3015">
        <v>2014</v>
      </c>
      <c r="C3015">
        <v>9</v>
      </c>
      <c r="D3015">
        <v>1</v>
      </c>
      <c r="E3015">
        <v>11880</v>
      </c>
      <c r="F3015">
        <v>161747.16</v>
      </c>
      <c r="G3015">
        <v>122740.51</v>
      </c>
      <c r="H3015">
        <v>0</v>
      </c>
      <c r="I3015">
        <v>0</v>
      </c>
      <c r="J3015">
        <v>-4262467.5</v>
      </c>
      <c r="K3015">
        <v>0</v>
      </c>
      <c r="L3015">
        <v>35112425.460000001</v>
      </c>
      <c r="M3015">
        <v>39497633.469999999</v>
      </c>
      <c r="N3015">
        <v>35112425.460000001</v>
      </c>
      <c r="O3015">
        <v>39497633.469999999</v>
      </c>
      <c r="P3015">
        <v>35112425.460000001</v>
      </c>
      <c r="Q3015">
        <v>39497633.469999999</v>
      </c>
      <c r="R3015" s="14">
        <f>_xlfn.XLOOKUP(Table2[[#This Row],[LoanID]],Table1[G-L ID],Table1[ManagerCode],-99)</f>
        <v>183</v>
      </c>
      <c r="T3015"/>
    </row>
    <row r="3016" spans="1:20" x14ac:dyDescent="0.25">
      <c r="A3016">
        <v>20140930</v>
      </c>
      <c r="B3016">
        <v>2014</v>
      </c>
      <c r="C3016">
        <v>9</v>
      </c>
      <c r="D3016">
        <v>1</v>
      </c>
      <c r="E3016">
        <v>11920</v>
      </c>
      <c r="F3016">
        <v>96625.279999999999</v>
      </c>
      <c r="G3016">
        <v>0</v>
      </c>
      <c r="H3016">
        <v>0</v>
      </c>
      <c r="I3016">
        <v>0</v>
      </c>
      <c r="J3016">
        <v>0</v>
      </c>
      <c r="K3016">
        <v>0</v>
      </c>
      <c r="L3016">
        <v>12250000</v>
      </c>
      <c r="M3016">
        <v>12250000</v>
      </c>
      <c r="N3016">
        <v>12250000</v>
      </c>
      <c r="O3016">
        <v>12250000</v>
      </c>
      <c r="P3016">
        <v>12250000</v>
      </c>
      <c r="Q3016">
        <v>12250000</v>
      </c>
      <c r="R3016" s="14">
        <f>_xlfn.XLOOKUP(Table2[[#This Row],[LoanID]],Table1[G-L ID],Table1[ManagerCode],-99)</f>
        <v>220</v>
      </c>
      <c r="T3016"/>
    </row>
    <row r="3017" spans="1:20" x14ac:dyDescent="0.25">
      <c r="A3017">
        <v>20140930</v>
      </c>
      <c r="B3017">
        <v>2014</v>
      </c>
      <c r="C3017">
        <v>9</v>
      </c>
      <c r="D3017">
        <v>1</v>
      </c>
      <c r="E3017">
        <v>11970</v>
      </c>
      <c r="F3017">
        <v>85000</v>
      </c>
      <c r="G3017">
        <v>60867.25</v>
      </c>
      <c r="H3017">
        <v>0</v>
      </c>
      <c r="I3017">
        <v>0</v>
      </c>
      <c r="J3017">
        <v>0</v>
      </c>
      <c r="K3017">
        <v>0</v>
      </c>
      <c r="L3017">
        <v>9724483.2699999996</v>
      </c>
      <c r="M3017">
        <v>9785350.5199999996</v>
      </c>
      <c r="N3017">
        <v>9724483.2699999996</v>
      </c>
      <c r="O3017">
        <v>9785350.5199999996</v>
      </c>
      <c r="P3017">
        <v>9724483.2699999996</v>
      </c>
      <c r="Q3017">
        <v>9785350.5199999996</v>
      </c>
      <c r="R3017" s="14">
        <f>_xlfn.XLOOKUP(Table2[[#This Row],[LoanID]],Table1[G-L ID],Table1[ManagerCode],-99)</f>
        <v>183</v>
      </c>
      <c r="T3017"/>
    </row>
    <row r="3018" spans="1:20" x14ac:dyDescent="0.25">
      <c r="A3018">
        <v>20140930</v>
      </c>
      <c r="B3018">
        <v>2014</v>
      </c>
      <c r="C3018">
        <v>9</v>
      </c>
      <c r="D3018">
        <v>1</v>
      </c>
      <c r="E3018">
        <v>12080</v>
      </c>
      <c r="F3018">
        <v>297969.27</v>
      </c>
      <c r="G3018">
        <v>0</v>
      </c>
      <c r="H3018">
        <v>0</v>
      </c>
      <c r="I3018">
        <v>0</v>
      </c>
      <c r="J3018">
        <v>0</v>
      </c>
      <c r="K3018">
        <v>0</v>
      </c>
      <c r="L3018">
        <v>36609790.950000003</v>
      </c>
      <c r="M3018">
        <v>36609790.950000003</v>
      </c>
      <c r="N3018">
        <v>36609790.950000003</v>
      </c>
      <c r="O3018">
        <v>36609790.950000003</v>
      </c>
      <c r="P3018">
        <v>36609790.950000003</v>
      </c>
      <c r="Q3018">
        <v>36609790.950000003</v>
      </c>
      <c r="R3018" s="14">
        <f>_xlfn.XLOOKUP(Table2[[#This Row],[LoanID]],Table1[G-L ID],Table1[ManagerCode],-99)</f>
        <v>119</v>
      </c>
      <c r="T3018"/>
    </row>
    <row r="3019" spans="1:20" x14ac:dyDescent="0.25">
      <c r="A3019">
        <v>20140930</v>
      </c>
      <c r="B3019">
        <v>2014</v>
      </c>
      <c r="C3019">
        <v>9</v>
      </c>
      <c r="D3019">
        <v>1</v>
      </c>
      <c r="E3019">
        <v>12100</v>
      </c>
      <c r="F3019">
        <v>49471.93</v>
      </c>
      <c r="G3019">
        <v>88932.22</v>
      </c>
      <c r="H3019">
        <v>0</v>
      </c>
      <c r="I3019">
        <v>0</v>
      </c>
      <c r="J3019">
        <v>-49471.93</v>
      </c>
      <c r="K3019">
        <v>0</v>
      </c>
      <c r="L3019">
        <v>11440627.35</v>
      </c>
      <c r="M3019">
        <v>11579031.5</v>
      </c>
      <c r="N3019">
        <v>11440627.35</v>
      </c>
      <c r="O3019">
        <v>11579031.5</v>
      </c>
      <c r="P3019">
        <v>11440627.35</v>
      </c>
      <c r="Q3019">
        <v>11579031.5</v>
      </c>
      <c r="R3019" s="14">
        <f>_xlfn.XLOOKUP(Table2[[#This Row],[LoanID]],Table1[G-L ID],Table1[ManagerCode],-99)</f>
        <v>183</v>
      </c>
      <c r="T3019"/>
    </row>
    <row r="3020" spans="1:20" x14ac:dyDescent="0.25">
      <c r="A3020">
        <v>20140930</v>
      </c>
      <c r="B3020">
        <v>2014</v>
      </c>
      <c r="C3020">
        <v>9</v>
      </c>
      <c r="D3020">
        <v>1</v>
      </c>
      <c r="E3020">
        <v>12160</v>
      </c>
      <c r="F3020">
        <v>26797.45</v>
      </c>
      <c r="G3020">
        <v>36080.19</v>
      </c>
      <c r="H3020">
        <v>0</v>
      </c>
      <c r="I3020">
        <v>0</v>
      </c>
      <c r="J3020">
        <v>-861067.69</v>
      </c>
      <c r="K3020">
        <v>0</v>
      </c>
      <c r="L3020">
        <v>5406667.7199999997</v>
      </c>
      <c r="M3020">
        <v>6303815.5999999996</v>
      </c>
      <c r="N3020">
        <v>5406667.7199999997</v>
      </c>
      <c r="O3020">
        <v>6303815.5999999996</v>
      </c>
      <c r="P3020">
        <v>5406667.7199999997</v>
      </c>
      <c r="Q3020">
        <v>6303815.5999999996</v>
      </c>
      <c r="R3020" s="14">
        <f>_xlfn.XLOOKUP(Table2[[#This Row],[LoanID]],Table1[G-L ID],Table1[ManagerCode],-99)</f>
        <v>183</v>
      </c>
      <c r="T3020"/>
    </row>
    <row r="3021" spans="1:20" x14ac:dyDescent="0.25">
      <c r="A3021">
        <v>20140930</v>
      </c>
      <c r="B3021">
        <v>2014</v>
      </c>
      <c r="C3021">
        <v>9</v>
      </c>
      <c r="D3021">
        <v>1</v>
      </c>
      <c r="E3021">
        <v>12180</v>
      </c>
      <c r="F3021">
        <v>233576.39</v>
      </c>
      <c r="G3021">
        <v>0</v>
      </c>
      <c r="H3021">
        <v>0</v>
      </c>
      <c r="I3021">
        <v>0</v>
      </c>
      <c r="J3021">
        <v>0</v>
      </c>
      <c r="K3021">
        <v>0</v>
      </c>
      <c r="L3021">
        <v>35000000</v>
      </c>
      <c r="M3021">
        <v>35000000</v>
      </c>
      <c r="N3021">
        <v>35000000</v>
      </c>
      <c r="O3021">
        <v>35000000</v>
      </c>
      <c r="P3021">
        <v>35000000</v>
      </c>
      <c r="Q3021">
        <v>35000000</v>
      </c>
      <c r="R3021" s="14">
        <f>_xlfn.XLOOKUP(Table2[[#This Row],[LoanID]],Table1[G-L ID],Table1[ManagerCode],-99)</f>
        <v>220</v>
      </c>
      <c r="T3021"/>
    </row>
    <row r="3022" spans="1:20" x14ac:dyDescent="0.25">
      <c r="A3022">
        <v>20140930</v>
      </c>
      <c r="B3022">
        <v>2014</v>
      </c>
      <c r="C3022">
        <v>9</v>
      </c>
      <c r="D3022">
        <v>1</v>
      </c>
      <c r="E3022">
        <v>12190</v>
      </c>
      <c r="F3022">
        <v>282875</v>
      </c>
      <c r="G3022">
        <v>0</v>
      </c>
      <c r="H3022">
        <v>0</v>
      </c>
      <c r="I3022">
        <v>0</v>
      </c>
      <c r="J3022">
        <v>0</v>
      </c>
      <c r="K3022">
        <v>0</v>
      </c>
      <c r="L3022">
        <v>37500000</v>
      </c>
      <c r="M3022">
        <v>37500000</v>
      </c>
      <c r="N3022">
        <v>37500000</v>
      </c>
      <c r="O3022">
        <v>37500000</v>
      </c>
      <c r="P3022">
        <v>37500000</v>
      </c>
      <c r="Q3022">
        <v>37500000</v>
      </c>
      <c r="R3022" s="14">
        <f>_xlfn.XLOOKUP(Table2[[#This Row],[LoanID]],Table1[G-L ID],Table1[ManagerCode],-99)</f>
        <v>220</v>
      </c>
      <c r="T3022"/>
    </row>
    <row r="3023" spans="1:20" x14ac:dyDescent="0.25">
      <c r="A3023">
        <v>20140930</v>
      </c>
      <c r="B3023">
        <v>2014</v>
      </c>
      <c r="C3023">
        <v>9</v>
      </c>
      <c r="D3023">
        <v>1</v>
      </c>
      <c r="E3023">
        <v>12210</v>
      </c>
      <c r="F3023">
        <v>681386.02</v>
      </c>
      <c r="G3023">
        <v>0</v>
      </c>
      <c r="H3023">
        <v>0</v>
      </c>
      <c r="I3023">
        <v>0</v>
      </c>
      <c r="J3023">
        <v>0</v>
      </c>
      <c r="K3023">
        <v>217259.98</v>
      </c>
      <c r="L3023">
        <v>126668764.7</v>
      </c>
      <c r="M3023">
        <v>125675583.40000001</v>
      </c>
      <c r="N3023">
        <v>126668764.7</v>
      </c>
      <c r="O3023">
        <v>125675583.40000001</v>
      </c>
      <c r="P3023">
        <v>110249357</v>
      </c>
      <c r="Q3023">
        <v>110032097</v>
      </c>
      <c r="R3023" s="14">
        <f>_xlfn.XLOOKUP(Table2[[#This Row],[LoanID]],Table1[G-L ID],Table1[ManagerCode],-99)</f>
        <v>103</v>
      </c>
      <c r="T3023"/>
    </row>
    <row r="3024" spans="1:20" x14ac:dyDescent="0.25">
      <c r="A3024">
        <v>20140930</v>
      </c>
      <c r="B3024">
        <v>2014</v>
      </c>
      <c r="C3024">
        <v>9</v>
      </c>
      <c r="D3024">
        <v>1</v>
      </c>
      <c r="E3024">
        <v>12230</v>
      </c>
      <c r="F3024">
        <v>102381.69</v>
      </c>
      <c r="G3024">
        <v>0</v>
      </c>
      <c r="H3024">
        <v>0</v>
      </c>
      <c r="I3024">
        <v>0</v>
      </c>
      <c r="J3024">
        <v>0</v>
      </c>
      <c r="K3024">
        <v>0</v>
      </c>
      <c r="L3024">
        <v>20394919.890000001</v>
      </c>
      <c r="M3024">
        <v>20275000</v>
      </c>
      <c r="N3024">
        <v>13963808.390000001</v>
      </c>
      <c r="O3024">
        <v>13843888.5</v>
      </c>
      <c r="P3024">
        <v>19425185.109999999</v>
      </c>
      <c r="Q3024">
        <v>19425185.109999999</v>
      </c>
      <c r="R3024" s="14">
        <f>_xlfn.XLOOKUP(Table2[[#This Row],[LoanID]],Table1[G-L ID],Table1[ManagerCode],-99)</f>
        <v>183</v>
      </c>
      <c r="T3024"/>
    </row>
    <row r="3025" spans="1:20" x14ac:dyDescent="0.25">
      <c r="A3025">
        <v>20140930</v>
      </c>
      <c r="B3025">
        <v>2014</v>
      </c>
      <c r="C3025">
        <v>9</v>
      </c>
      <c r="D3025">
        <v>1</v>
      </c>
      <c r="E3025">
        <v>12240</v>
      </c>
      <c r="F3025">
        <v>0</v>
      </c>
      <c r="G3025">
        <v>82173.710000000006</v>
      </c>
      <c r="H3025">
        <v>0</v>
      </c>
      <c r="I3025">
        <v>0</v>
      </c>
      <c r="J3025">
        <v>-5416408.3499999996</v>
      </c>
      <c r="K3025">
        <v>0</v>
      </c>
      <c r="L3025">
        <v>26100000</v>
      </c>
      <c r="M3025">
        <v>31598582.059999999</v>
      </c>
      <c r="N3025">
        <v>26100000</v>
      </c>
      <c r="O3025">
        <v>31598582.059999999</v>
      </c>
      <c r="P3025">
        <v>26100000</v>
      </c>
      <c r="Q3025">
        <v>31598582.059999999</v>
      </c>
      <c r="R3025" s="14">
        <f>_xlfn.XLOOKUP(Table2[[#This Row],[LoanID]],Table1[G-L ID],Table1[ManagerCode],-99)</f>
        <v>183</v>
      </c>
      <c r="T3025"/>
    </row>
    <row r="3026" spans="1:20" x14ac:dyDescent="0.25">
      <c r="A3026">
        <v>20140930</v>
      </c>
      <c r="B3026">
        <v>2014</v>
      </c>
      <c r="C3026">
        <v>9</v>
      </c>
      <c r="D3026">
        <v>1</v>
      </c>
      <c r="E3026">
        <v>13670</v>
      </c>
      <c r="F3026">
        <v>0</v>
      </c>
      <c r="G3026">
        <v>0</v>
      </c>
      <c r="H3026">
        <v>0</v>
      </c>
      <c r="I3026">
        <v>0</v>
      </c>
      <c r="J3026">
        <v>-37500000</v>
      </c>
      <c r="K3026">
        <v>0</v>
      </c>
      <c r="L3026">
        <v>0</v>
      </c>
      <c r="M3026">
        <v>37500000</v>
      </c>
      <c r="N3026">
        <v>0</v>
      </c>
      <c r="O3026">
        <v>37500000</v>
      </c>
      <c r="P3026">
        <v>0</v>
      </c>
      <c r="Q3026">
        <v>37500000</v>
      </c>
      <c r="R3026" s="14">
        <f>_xlfn.XLOOKUP(Table2[[#This Row],[LoanID]],Table1[G-L ID],Table1[ManagerCode],-99)</f>
        <v>298</v>
      </c>
      <c r="T3026"/>
    </row>
    <row r="3027" spans="1:20" x14ac:dyDescent="0.25">
      <c r="A3027">
        <v>20140930</v>
      </c>
      <c r="B3027">
        <v>2014</v>
      </c>
      <c r="C3027">
        <v>9</v>
      </c>
      <c r="D3027">
        <v>1</v>
      </c>
      <c r="E3027">
        <v>13690</v>
      </c>
      <c r="F3027">
        <v>133472.22</v>
      </c>
      <c r="G3027">
        <v>0</v>
      </c>
      <c r="H3027">
        <v>0</v>
      </c>
      <c r="I3027">
        <v>0</v>
      </c>
      <c r="J3027">
        <v>0</v>
      </c>
      <c r="K3027">
        <v>0</v>
      </c>
      <c r="L3027">
        <v>20000000</v>
      </c>
      <c r="M3027">
        <v>20000000</v>
      </c>
      <c r="N3027">
        <v>20000000</v>
      </c>
      <c r="O3027">
        <v>20000000</v>
      </c>
      <c r="P3027">
        <v>20000000</v>
      </c>
      <c r="Q3027">
        <v>20000000</v>
      </c>
      <c r="R3027" s="14">
        <f>_xlfn.XLOOKUP(Table2[[#This Row],[LoanID]],Table1[G-L ID],Table1[ManagerCode],-99)</f>
        <v>298</v>
      </c>
      <c r="T3027"/>
    </row>
    <row r="3028" spans="1:20" x14ac:dyDescent="0.25">
      <c r="A3028">
        <v>20140930</v>
      </c>
      <c r="B3028">
        <v>2014</v>
      </c>
      <c r="C3028">
        <v>9</v>
      </c>
      <c r="D3028">
        <v>1</v>
      </c>
      <c r="E3028">
        <v>15580</v>
      </c>
      <c r="F3028">
        <v>118829.44</v>
      </c>
      <c r="G3028">
        <v>-3868.45</v>
      </c>
      <c r="H3028">
        <v>0</v>
      </c>
      <c r="I3028">
        <v>0</v>
      </c>
      <c r="J3028">
        <v>0</v>
      </c>
      <c r="K3028">
        <v>4571.87</v>
      </c>
      <c r="L3028">
        <v>15037259.83</v>
      </c>
      <c r="M3028">
        <v>15028819.51</v>
      </c>
      <c r="N3028">
        <v>15037259.83</v>
      </c>
      <c r="O3028">
        <v>15028819.51</v>
      </c>
      <c r="P3028">
        <v>15037259.83</v>
      </c>
      <c r="Q3028">
        <v>15028819.51</v>
      </c>
      <c r="R3028" s="14">
        <f>_xlfn.XLOOKUP(Table2[[#This Row],[LoanID]],Table1[G-L ID],Table1[ManagerCode],-99)</f>
        <v>212</v>
      </c>
      <c r="T3028"/>
    </row>
    <row r="3029" spans="1:20" x14ac:dyDescent="0.25">
      <c r="A3029">
        <v>20141031</v>
      </c>
      <c r="B3029">
        <v>2014</v>
      </c>
      <c r="C3029">
        <v>10</v>
      </c>
      <c r="D3029">
        <v>1</v>
      </c>
      <c r="E3029">
        <v>10050</v>
      </c>
      <c r="F3029">
        <v>149013.89000000001</v>
      </c>
      <c r="G3029">
        <v>0</v>
      </c>
      <c r="H3029">
        <v>0</v>
      </c>
      <c r="I3029">
        <v>0</v>
      </c>
      <c r="J3029">
        <v>0</v>
      </c>
      <c r="K3029">
        <v>0</v>
      </c>
      <c r="L3029">
        <v>37275843.020000003</v>
      </c>
      <c r="M3029">
        <v>38345540.829999998</v>
      </c>
      <c r="N3029">
        <v>37275843.020000003</v>
      </c>
      <c r="O3029">
        <v>38345540.829999998</v>
      </c>
      <c r="P3029">
        <v>33333334</v>
      </c>
      <c r="Q3029">
        <v>33333334</v>
      </c>
      <c r="R3029" s="14">
        <f>_xlfn.XLOOKUP(Table2[[#This Row],[LoanID]],Table1[G-L ID],Table1[ManagerCode],-99)</f>
        <v>103</v>
      </c>
      <c r="T3029"/>
    </row>
    <row r="3030" spans="1:20" x14ac:dyDescent="0.25">
      <c r="A3030">
        <v>20141031</v>
      </c>
      <c r="B3030">
        <v>2014</v>
      </c>
      <c r="C3030">
        <v>10</v>
      </c>
      <c r="D3030">
        <v>1</v>
      </c>
      <c r="E3030">
        <v>10080</v>
      </c>
      <c r="F3030">
        <v>339718.75</v>
      </c>
      <c r="G3030">
        <v>0</v>
      </c>
      <c r="H3030">
        <v>0</v>
      </c>
      <c r="I3030">
        <v>-156.25</v>
      </c>
      <c r="J3030">
        <v>0</v>
      </c>
      <c r="K3030">
        <v>0</v>
      </c>
      <c r="L3030">
        <v>76629507.200000003</v>
      </c>
      <c r="M3030">
        <v>76505785.939999998</v>
      </c>
      <c r="N3030">
        <v>76629507.200000003</v>
      </c>
      <c r="O3030">
        <v>76505785.939999998</v>
      </c>
      <c r="P3030">
        <v>75000000</v>
      </c>
      <c r="Q3030">
        <v>75000000</v>
      </c>
      <c r="R3030" s="14">
        <f>_xlfn.XLOOKUP(Table2[[#This Row],[LoanID]],Table1[G-L ID],Table1[ManagerCode],-99)</f>
        <v>103</v>
      </c>
      <c r="T3030"/>
    </row>
    <row r="3031" spans="1:20" x14ac:dyDescent="0.25">
      <c r="A3031">
        <v>20141031</v>
      </c>
      <c r="B3031">
        <v>2014</v>
      </c>
      <c r="C3031">
        <v>10</v>
      </c>
      <c r="D3031">
        <v>1</v>
      </c>
      <c r="E3031">
        <v>10090</v>
      </c>
      <c r="F3031">
        <v>182083.33</v>
      </c>
      <c r="G3031">
        <v>0</v>
      </c>
      <c r="H3031">
        <v>0</v>
      </c>
      <c r="I3031">
        <v>0</v>
      </c>
      <c r="J3031">
        <v>0</v>
      </c>
      <c r="K3031">
        <v>0</v>
      </c>
      <c r="L3031">
        <v>23000000</v>
      </c>
      <c r="M3031">
        <v>23000000</v>
      </c>
      <c r="N3031">
        <v>23000000</v>
      </c>
      <c r="O3031">
        <v>23000000</v>
      </c>
      <c r="P3031">
        <v>23000000</v>
      </c>
      <c r="Q3031">
        <v>23000000</v>
      </c>
      <c r="R3031" s="14">
        <f>_xlfn.XLOOKUP(Table2[[#This Row],[LoanID]],Table1[G-L ID],Table1[ManagerCode],-99)</f>
        <v>119</v>
      </c>
      <c r="T3031"/>
    </row>
    <row r="3032" spans="1:20" x14ac:dyDescent="0.25">
      <c r="A3032">
        <v>20141031</v>
      </c>
      <c r="B3032">
        <v>2014</v>
      </c>
      <c r="C3032">
        <v>10</v>
      </c>
      <c r="D3032">
        <v>1</v>
      </c>
      <c r="E3032">
        <v>10100</v>
      </c>
      <c r="F3032">
        <v>159701.39000000001</v>
      </c>
      <c r="G3032">
        <v>0</v>
      </c>
      <c r="H3032">
        <v>0</v>
      </c>
      <c r="I3032">
        <v>0</v>
      </c>
      <c r="J3032">
        <v>0</v>
      </c>
      <c r="K3032">
        <v>0</v>
      </c>
      <c r="L3032">
        <v>30500000</v>
      </c>
      <c r="M3032">
        <v>30500000</v>
      </c>
      <c r="N3032">
        <v>30500000</v>
      </c>
      <c r="O3032">
        <v>30500000</v>
      </c>
      <c r="P3032">
        <v>30500000</v>
      </c>
      <c r="Q3032">
        <v>30500000</v>
      </c>
      <c r="R3032" s="14">
        <f>_xlfn.XLOOKUP(Table2[[#This Row],[LoanID]],Table1[G-L ID],Table1[ManagerCode],-99)</f>
        <v>220</v>
      </c>
      <c r="T3032"/>
    </row>
    <row r="3033" spans="1:20" x14ac:dyDescent="0.25">
      <c r="A3033">
        <v>20141031</v>
      </c>
      <c r="B3033">
        <v>2014</v>
      </c>
      <c r="C3033">
        <v>10</v>
      </c>
      <c r="D3033">
        <v>1</v>
      </c>
      <c r="E3033">
        <v>10190</v>
      </c>
      <c r="F3033">
        <v>83333.34</v>
      </c>
      <c r="G3033">
        <v>0</v>
      </c>
      <c r="H3033">
        <v>0</v>
      </c>
      <c r="I3033">
        <v>0</v>
      </c>
      <c r="J3033">
        <v>0</v>
      </c>
      <c r="K3033">
        <v>0</v>
      </c>
      <c r="L3033">
        <v>9500000</v>
      </c>
      <c r="M3033">
        <v>9500000</v>
      </c>
      <c r="N3033">
        <v>9500000</v>
      </c>
      <c r="O3033">
        <v>9500000</v>
      </c>
      <c r="P3033">
        <v>10000000</v>
      </c>
      <c r="Q3033">
        <v>10000000</v>
      </c>
      <c r="R3033" s="14">
        <f>_xlfn.XLOOKUP(Table2[[#This Row],[LoanID]],Table1[G-L ID],Table1[ManagerCode],-99)</f>
        <v>103</v>
      </c>
      <c r="T3033"/>
    </row>
    <row r="3034" spans="1:20" x14ac:dyDescent="0.25">
      <c r="A3034">
        <v>20141031</v>
      </c>
      <c r="B3034">
        <v>2014</v>
      </c>
      <c r="C3034">
        <v>10</v>
      </c>
      <c r="D3034">
        <v>1</v>
      </c>
      <c r="E3034">
        <v>10200</v>
      </c>
      <c r="F3034">
        <v>128541.67</v>
      </c>
      <c r="G3034">
        <v>0</v>
      </c>
      <c r="H3034">
        <v>0</v>
      </c>
      <c r="I3034">
        <v>0</v>
      </c>
      <c r="J3034">
        <v>0</v>
      </c>
      <c r="K3034">
        <v>0</v>
      </c>
      <c r="L3034">
        <v>29307500</v>
      </c>
      <c r="M3034">
        <v>29307500</v>
      </c>
      <c r="N3034">
        <v>29307500</v>
      </c>
      <c r="O3034">
        <v>29307500</v>
      </c>
      <c r="P3034">
        <v>30850000</v>
      </c>
      <c r="Q3034">
        <v>30850000</v>
      </c>
      <c r="R3034" s="14">
        <f>_xlfn.XLOOKUP(Table2[[#This Row],[LoanID]],Table1[G-L ID],Table1[ManagerCode],-99)</f>
        <v>103</v>
      </c>
      <c r="T3034"/>
    </row>
    <row r="3035" spans="1:20" x14ac:dyDescent="0.25">
      <c r="A3035">
        <v>20141031</v>
      </c>
      <c r="B3035">
        <v>2014</v>
      </c>
      <c r="C3035">
        <v>10</v>
      </c>
      <c r="D3035">
        <v>1</v>
      </c>
      <c r="E3035">
        <v>10220</v>
      </c>
      <c r="F3035">
        <v>541666.67000000004</v>
      </c>
      <c r="G3035">
        <v>0</v>
      </c>
      <c r="H3035">
        <v>0</v>
      </c>
      <c r="I3035">
        <v>0</v>
      </c>
      <c r="J3035">
        <v>0</v>
      </c>
      <c r="K3035">
        <v>0</v>
      </c>
      <c r="L3035">
        <v>99000000</v>
      </c>
      <c r="M3035">
        <v>117391562.7</v>
      </c>
      <c r="N3035">
        <v>99000000</v>
      </c>
      <c r="O3035">
        <v>117391562.7</v>
      </c>
      <c r="P3035">
        <v>100000000</v>
      </c>
      <c r="Q3035">
        <v>100000000</v>
      </c>
      <c r="R3035" s="14">
        <f>_xlfn.XLOOKUP(Table2[[#This Row],[LoanID]],Table1[G-L ID],Table1[ManagerCode],-99)</f>
        <v>103</v>
      </c>
      <c r="T3035"/>
    </row>
    <row r="3036" spans="1:20" x14ac:dyDescent="0.25">
      <c r="A3036">
        <v>20141031</v>
      </c>
      <c r="B3036">
        <v>2014</v>
      </c>
      <c r="C3036">
        <v>10</v>
      </c>
      <c r="D3036">
        <v>1</v>
      </c>
      <c r="E3036">
        <v>10230</v>
      </c>
      <c r="F3036">
        <v>170342.86</v>
      </c>
      <c r="G3036">
        <v>0</v>
      </c>
      <c r="H3036">
        <v>0</v>
      </c>
      <c r="I3036">
        <v>0</v>
      </c>
      <c r="J3036">
        <v>0</v>
      </c>
      <c r="K3036">
        <v>71255.210000000006</v>
      </c>
      <c r="L3036">
        <v>28811699.84</v>
      </c>
      <c r="M3036">
        <v>28744007.41</v>
      </c>
      <c r="N3036">
        <v>28811699.84</v>
      </c>
      <c r="O3036">
        <v>28744007.41</v>
      </c>
      <c r="P3036">
        <v>30328105.109999999</v>
      </c>
      <c r="Q3036">
        <v>30256849.899999999</v>
      </c>
      <c r="R3036" s="14">
        <f>_xlfn.XLOOKUP(Table2[[#This Row],[LoanID]],Table1[G-L ID],Table1[ManagerCode],-99)</f>
        <v>103</v>
      </c>
      <c r="T3036"/>
    </row>
    <row r="3037" spans="1:20" x14ac:dyDescent="0.25">
      <c r="A3037">
        <v>20141031</v>
      </c>
      <c r="B3037">
        <v>2014</v>
      </c>
      <c r="C3037">
        <v>10</v>
      </c>
      <c r="D3037">
        <v>1</v>
      </c>
      <c r="E3037">
        <v>10270</v>
      </c>
      <c r="F3037">
        <v>0</v>
      </c>
      <c r="G3037">
        <v>0</v>
      </c>
      <c r="H3037">
        <v>54000</v>
      </c>
      <c r="I3037">
        <v>0</v>
      </c>
      <c r="J3037">
        <v>-1860000</v>
      </c>
      <c r="K3037">
        <v>0</v>
      </c>
      <c r="L3037">
        <v>0</v>
      </c>
      <c r="M3037">
        <v>1860000</v>
      </c>
      <c r="N3037">
        <v>0</v>
      </c>
      <c r="O3037">
        <v>1860000</v>
      </c>
      <c r="P3037">
        <v>0</v>
      </c>
      <c r="Q3037">
        <v>1860000</v>
      </c>
      <c r="R3037" s="14">
        <f>_xlfn.XLOOKUP(Table2[[#This Row],[LoanID]],Table1[G-L ID],Table1[ManagerCode],-99)</f>
        <v>119</v>
      </c>
      <c r="T3037"/>
    </row>
    <row r="3038" spans="1:20" x14ac:dyDescent="0.25">
      <c r="A3038">
        <v>20141031</v>
      </c>
      <c r="B3038">
        <v>2014</v>
      </c>
      <c r="C3038">
        <v>10</v>
      </c>
      <c r="D3038">
        <v>1</v>
      </c>
      <c r="E3038">
        <v>10340</v>
      </c>
      <c r="F3038">
        <v>107005.5</v>
      </c>
      <c r="G3038">
        <v>0</v>
      </c>
      <c r="H3038">
        <v>0</v>
      </c>
      <c r="I3038">
        <v>0</v>
      </c>
      <c r="J3038">
        <v>0</v>
      </c>
      <c r="K3038">
        <v>0</v>
      </c>
      <c r="L3038">
        <v>12527473</v>
      </c>
      <c r="M3038">
        <v>12527473</v>
      </c>
      <c r="N3038">
        <v>12527473</v>
      </c>
      <c r="O3038">
        <v>12527473</v>
      </c>
      <c r="P3038">
        <v>12527473</v>
      </c>
      <c r="Q3038">
        <v>12527473</v>
      </c>
      <c r="R3038" s="14">
        <f>_xlfn.XLOOKUP(Table2[[#This Row],[LoanID]],Table1[G-L ID],Table1[ManagerCode],-99)</f>
        <v>220</v>
      </c>
      <c r="T3038"/>
    </row>
    <row r="3039" spans="1:20" x14ac:dyDescent="0.25">
      <c r="A3039">
        <v>20141031</v>
      </c>
      <c r="B3039">
        <v>2014</v>
      </c>
      <c r="C3039">
        <v>10</v>
      </c>
      <c r="D3039">
        <v>1</v>
      </c>
      <c r="E3039">
        <v>10400</v>
      </c>
      <c r="F3039">
        <v>399375</v>
      </c>
      <c r="G3039">
        <v>0</v>
      </c>
      <c r="H3039">
        <v>0</v>
      </c>
      <c r="I3039">
        <v>0</v>
      </c>
      <c r="J3039">
        <v>0</v>
      </c>
      <c r="K3039">
        <v>0</v>
      </c>
      <c r="L3039">
        <v>45000000</v>
      </c>
      <c r="M3039">
        <v>45000000</v>
      </c>
      <c r="N3039">
        <v>45000000</v>
      </c>
      <c r="O3039">
        <v>45000000</v>
      </c>
      <c r="P3039">
        <v>45000000</v>
      </c>
      <c r="Q3039">
        <v>45000000</v>
      </c>
      <c r="R3039" s="14">
        <f>_xlfn.XLOOKUP(Table2[[#This Row],[LoanID]],Table1[G-L ID],Table1[ManagerCode],-99)</f>
        <v>220</v>
      </c>
      <c r="T3039"/>
    </row>
    <row r="3040" spans="1:20" x14ac:dyDescent="0.25">
      <c r="A3040">
        <v>20141031</v>
      </c>
      <c r="B3040">
        <v>2014</v>
      </c>
      <c r="C3040">
        <v>10</v>
      </c>
      <c r="D3040">
        <v>1</v>
      </c>
      <c r="E3040">
        <v>10430</v>
      </c>
      <c r="F3040">
        <v>58908.1</v>
      </c>
      <c r="G3040">
        <v>0</v>
      </c>
      <c r="H3040">
        <v>0</v>
      </c>
      <c r="I3040">
        <v>0</v>
      </c>
      <c r="J3040">
        <v>0</v>
      </c>
      <c r="K3040">
        <v>14875</v>
      </c>
      <c r="L3040">
        <v>6762000</v>
      </c>
      <c r="M3040">
        <v>6747125</v>
      </c>
      <c r="N3040">
        <v>6762000</v>
      </c>
      <c r="O3040">
        <v>6747125</v>
      </c>
      <c r="P3040">
        <v>6762000</v>
      </c>
      <c r="Q3040">
        <v>6747125</v>
      </c>
      <c r="R3040" s="14">
        <f>_xlfn.XLOOKUP(Table2[[#This Row],[LoanID]],Table1[G-L ID],Table1[ManagerCode],-99)</f>
        <v>119</v>
      </c>
      <c r="T3040"/>
    </row>
    <row r="3041" spans="1:20" x14ac:dyDescent="0.25">
      <c r="A3041">
        <v>20141031</v>
      </c>
      <c r="B3041">
        <v>2014</v>
      </c>
      <c r="C3041">
        <v>10</v>
      </c>
      <c r="D3041">
        <v>1</v>
      </c>
      <c r="E3041">
        <v>10460</v>
      </c>
      <c r="F3041">
        <v>245016.67</v>
      </c>
      <c r="G3041">
        <v>0</v>
      </c>
      <c r="H3041">
        <v>0</v>
      </c>
      <c r="I3041">
        <v>0</v>
      </c>
      <c r="J3041">
        <v>0</v>
      </c>
      <c r="K3041">
        <v>0</v>
      </c>
      <c r="L3041">
        <v>59707825.149999999</v>
      </c>
      <c r="M3041">
        <v>59717015.939999998</v>
      </c>
      <c r="N3041">
        <v>59707825.149999999</v>
      </c>
      <c r="O3041">
        <v>59717015.939999998</v>
      </c>
      <c r="P3041">
        <v>60000000</v>
      </c>
      <c r="Q3041">
        <v>60000000</v>
      </c>
      <c r="R3041" s="14">
        <f>_xlfn.XLOOKUP(Table2[[#This Row],[LoanID]],Table1[G-L ID],Table1[ManagerCode],-99)</f>
        <v>103</v>
      </c>
      <c r="T3041"/>
    </row>
    <row r="3042" spans="1:20" x14ac:dyDescent="0.25">
      <c r="A3042">
        <v>20141031</v>
      </c>
      <c r="B3042">
        <v>2014</v>
      </c>
      <c r="C3042">
        <v>10</v>
      </c>
      <c r="D3042">
        <v>1</v>
      </c>
      <c r="E3042">
        <v>10470</v>
      </c>
      <c r="F3042">
        <v>112680.56</v>
      </c>
      <c r="G3042">
        <v>0</v>
      </c>
      <c r="H3042">
        <v>0</v>
      </c>
      <c r="I3042">
        <v>0</v>
      </c>
      <c r="J3042">
        <v>0</v>
      </c>
      <c r="K3042">
        <v>0</v>
      </c>
      <c r="L3042">
        <v>25000000</v>
      </c>
      <c r="M3042">
        <v>25000000</v>
      </c>
      <c r="N3042">
        <v>25000000</v>
      </c>
      <c r="O3042">
        <v>25000000</v>
      </c>
      <c r="P3042">
        <v>25000000</v>
      </c>
      <c r="Q3042">
        <v>25000000</v>
      </c>
      <c r="R3042" s="14">
        <f>_xlfn.XLOOKUP(Table2[[#This Row],[LoanID]],Table1[G-L ID],Table1[ManagerCode],-99)</f>
        <v>103</v>
      </c>
      <c r="T3042"/>
    </row>
    <row r="3043" spans="1:20" x14ac:dyDescent="0.25">
      <c r="A3043">
        <v>20141031</v>
      </c>
      <c r="B3043">
        <v>2014</v>
      </c>
      <c r="C3043">
        <v>10</v>
      </c>
      <c r="D3043">
        <v>1</v>
      </c>
      <c r="E3043">
        <v>10510</v>
      </c>
      <c r="F3043">
        <v>284201.13</v>
      </c>
      <c r="G3043">
        <v>0</v>
      </c>
      <c r="H3043">
        <v>0</v>
      </c>
      <c r="I3043">
        <v>0</v>
      </c>
      <c r="J3043">
        <v>0</v>
      </c>
      <c r="K3043">
        <v>0</v>
      </c>
      <c r="L3043">
        <v>43928249</v>
      </c>
      <c r="M3043">
        <v>43928249</v>
      </c>
      <c r="N3043">
        <v>43928249</v>
      </c>
      <c r="O3043">
        <v>43928249</v>
      </c>
      <c r="P3043">
        <v>43928249</v>
      </c>
      <c r="Q3043">
        <v>43928249</v>
      </c>
      <c r="R3043" s="14">
        <f>_xlfn.XLOOKUP(Table2[[#This Row],[LoanID]],Table1[G-L ID],Table1[ManagerCode],-99)</f>
        <v>220</v>
      </c>
      <c r="T3043"/>
    </row>
    <row r="3044" spans="1:20" x14ac:dyDescent="0.25">
      <c r="A3044">
        <v>20141031</v>
      </c>
      <c r="B3044">
        <v>2014</v>
      </c>
      <c r="C3044">
        <v>10</v>
      </c>
      <c r="D3044">
        <v>1</v>
      </c>
      <c r="E3044">
        <v>10570</v>
      </c>
      <c r="F3044">
        <v>769272.8</v>
      </c>
      <c r="G3044">
        <v>0</v>
      </c>
      <c r="H3044">
        <v>0</v>
      </c>
      <c r="I3044">
        <v>0</v>
      </c>
      <c r="J3044">
        <v>0</v>
      </c>
      <c r="K3044">
        <v>0</v>
      </c>
      <c r="L3044">
        <v>154792698.09999999</v>
      </c>
      <c r="M3044">
        <v>154792698.09999999</v>
      </c>
      <c r="N3044">
        <v>154792698.09999999</v>
      </c>
      <c r="O3044">
        <v>154792698.09999999</v>
      </c>
      <c r="P3044">
        <v>156356260.69999999</v>
      </c>
      <c r="Q3044">
        <v>156356260.69999999</v>
      </c>
      <c r="R3044" s="14">
        <f>_xlfn.XLOOKUP(Table2[[#This Row],[LoanID]],Table1[G-L ID],Table1[ManagerCode],-99)</f>
        <v>103</v>
      </c>
      <c r="T3044"/>
    </row>
    <row r="3045" spans="1:20" x14ac:dyDescent="0.25">
      <c r="A3045">
        <v>20141031</v>
      </c>
      <c r="B3045">
        <v>2014</v>
      </c>
      <c r="C3045">
        <v>10</v>
      </c>
      <c r="D3045">
        <v>1</v>
      </c>
      <c r="E3045">
        <v>10591</v>
      </c>
      <c r="F3045">
        <v>213291.06</v>
      </c>
      <c r="G3045">
        <v>0</v>
      </c>
      <c r="H3045">
        <v>0</v>
      </c>
      <c r="I3045">
        <v>0</v>
      </c>
      <c r="J3045">
        <v>0</v>
      </c>
      <c r="K3045">
        <v>0</v>
      </c>
      <c r="L3045">
        <v>26143904.25</v>
      </c>
      <c r="M3045">
        <v>26143904.25</v>
      </c>
      <c r="N3045">
        <v>26143904.25</v>
      </c>
      <c r="O3045">
        <v>26143904.25</v>
      </c>
      <c r="P3045">
        <v>25204522.670000002</v>
      </c>
      <c r="Q3045">
        <v>25204522.670000002</v>
      </c>
      <c r="R3045" s="14">
        <f>_xlfn.XLOOKUP(Table2[[#This Row],[LoanID]],Table1[G-L ID],Table1[ManagerCode],-99)</f>
        <v>220</v>
      </c>
      <c r="T3045"/>
    </row>
    <row r="3046" spans="1:20" x14ac:dyDescent="0.25">
      <c r="A3046">
        <v>20141031</v>
      </c>
      <c r="B3046">
        <v>2014</v>
      </c>
      <c r="C3046">
        <v>10</v>
      </c>
      <c r="D3046">
        <v>1</v>
      </c>
      <c r="E3046">
        <v>10592</v>
      </c>
      <c r="F3046">
        <v>353928.6</v>
      </c>
      <c r="G3046">
        <v>0</v>
      </c>
      <c r="H3046">
        <v>0</v>
      </c>
      <c r="I3046">
        <v>0</v>
      </c>
      <c r="J3046">
        <v>0</v>
      </c>
      <c r="K3046">
        <v>0</v>
      </c>
      <c r="L3046">
        <v>38429573.530000001</v>
      </c>
      <c r="M3046">
        <v>38429573.530000001</v>
      </c>
      <c r="N3046">
        <v>38429573.530000001</v>
      </c>
      <c r="O3046">
        <v>38429573.530000001</v>
      </c>
      <c r="P3046">
        <v>37206676.329999998</v>
      </c>
      <c r="Q3046">
        <v>37206676.329999998</v>
      </c>
      <c r="R3046" s="14">
        <f>_xlfn.XLOOKUP(Table2[[#This Row],[LoanID]],Table1[G-L ID],Table1[ManagerCode],-99)</f>
        <v>220</v>
      </c>
      <c r="T3046"/>
    </row>
    <row r="3047" spans="1:20" x14ac:dyDescent="0.25">
      <c r="A3047">
        <v>20141031</v>
      </c>
      <c r="B3047">
        <v>2014</v>
      </c>
      <c r="C3047">
        <v>10</v>
      </c>
      <c r="D3047">
        <v>1</v>
      </c>
      <c r="E3047">
        <v>10640</v>
      </c>
      <c r="F3047">
        <v>101170.57</v>
      </c>
      <c r="G3047">
        <v>0</v>
      </c>
      <c r="H3047">
        <v>0</v>
      </c>
      <c r="I3047">
        <v>0</v>
      </c>
      <c r="J3047">
        <v>-154271.44</v>
      </c>
      <c r="K3047">
        <v>0</v>
      </c>
      <c r="L3047">
        <v>12300000</v>
      </c>
      <c r="M3047">
        <v>12455572.970000001</v>
      </c>
      <c r="N3047">
        <v>12300000</v>
      </c>
      <c r="O3047">
        <v>12455572.970000001</v>
      </c>
      <c r="P3047">
        <v>12197063</v>
      </c>
      <c r="Q3047">
        <v>12351334</v>
      </c>
      <c r="R3047" s="14">
        <f>_xlfn.XLOOKUP(Table2[[#This Row],[LoanID]],Table1[G-L ID],Table1[ManagerCode],-99)</f>
        <v>220</v>
      </c>
      <c r="T3047"/>
    </row>
    <row r="3048" spans="1:20" x14ac:dyDescent="0.25">
      <c r="A3048">
        <v>20141031</v>
      </c>
      <c r="B3048">
        <v>2014</v>
      </c>
      <c r="C3048">
        <v>10</v>
      </c>
      <c r="D3048">
        <v>1</v>
      </c>
      <c r="E3048">
        <v>10680</v>
      </c>
      <c r="F3048">
        <v>56237.53</v>
      </c>
      <c r="G3048">
        <v>0</v>
      </c>
      <c r="H3048">
        <v>0</v>
      </c>
      <c r="I3048">
        <v>0</v>
      </c>
      <c r="J3048">
        <v>0</v>
      </c>
      <c r="K3048">
        <v>0</v>
      </c>
      <c r="L3048">
        <v>6964400</v>
      </c>
      <c r="M3048">
        <v>6964400</v>
      </c>
      <c r="N3048">
        <v>6964400</v>
      </c>
      <c r="O3048">
        <v>6964400</v>
      </c>
      <c r="P3048">
        <v>6964400</v>
      </c>
      <c r="Q3048">
        <v>6964400</v>
      </c>
      <c r="R3048" s="14">
        <f>_xlfn.XLOOKUP(Table2[[#This Row],[LoanID]],Table1[G-L ID],Table1[ManagerCode],-99)</f>
        <v>119</v>
      </c>
      <c r="T3048"/>
    </row>
    <row r="3049" spans="1:20" x14ac:dyDescent="0.25">
      <c r="A3049">
        <v>20141031</v>
      </c>
      <c r="B3049">
        <v>2014</v>
      </c>
      <c r="C3049">
        <v>10</v>
      </c>
      <c r="D3049">
        <v>1</v>
      </c>
      <c r="E3049">
        <v>10690</v>
      </c>
      <c r="F3049">
        <v>105688.07</v>
      </c>
      <c r="G3049">
        <v>27722.95</v>
      </c>
      <c r="H3049">
        <v>0</v>
      </c>
      <c r="I3049">
        <v>0</v>
      </c>
      <c r="J3049">
        <v>-105688.07</v>
      </c>
      <c r="K3049">
        <v>0</v>
      </c>
      <c r="L3049">
        <v>18214737.52</v>
      </c>
      <c r="M3049">
        <v>18348148.539999999</v>
      </c>
      <c r="N3049">
        <v>18214737.52</v>
      </c>
      <c r="O3049">
        <v>18348148.539999999</v>
      </c>
      <c r="P3049">
        <v>18214737.52</v>
      </c>
      <c r="Q3049">
        <v>18348148.539999999</v>
      </c>
      <c r="R3049" s="14">
        <f>_xlfn.XLOOKUP(Table2[[#This Row],[LoanID]],Table1[G-L ID],Table1[ManagerCode],-99)</f>
        <v>183</v>
      </c>
      <c r="T3049"/>
    </row>
    <row r="3050" spans="1:20" x14ac:dyDescent="0.25">
      <c r="A3050">
        <v>20141031</v>
      </c>
      <c r="B3050">
        <v>2014</v>
      </c>
      <c r="C3050">
        <v>10</v>
      </c>
      <c r="D3050">
        <v>1</v>
      </c>
      <c r="E3050">
        <v>10720</v>
      </c>
      <c r="F3050">
        <v>125000</v>
      </c>
      <c r="G3050">
        <v>69343.34</v>
      </c>
      <c r="H3050">
        <v>0</v>
      </c>
      <c r="I3050">
        <v>0</v>
      </c>
      <c r="J3050">
        <v>0</v>
      </c>
      <c r="K3050">
        <v>39084</v>
      </c>
      <c r="L3050">
        <v>16593067.449999999</v>
      </c>
      <c r="M3050">
        <v>16626437.9</v>
      </c>
      <c r="N3050">
        <v>16593067.449999999</v>
      </c>
      <c r="O3050">
        <v>16626437.9</v>
      </c>
      <c r="P3050">
        <v>15045935.5</v>
      </c>
      <c r="Q3050">
        <v>15076194.84</v>
      </c>
      <c r="R3050" s="14">
        <f>_xlfn.XLOOKUP(Table2[[#This Row],[LoanID]],Table1[G-L ID],Table1[ManagerCode],-99)</f>
        <v>220</v>
      </c>
      <c r="T3050"/>
    </row>
    <row r="3051" spans="1:20" x14ac:dyDescent="0.25">
      <c r="A3051">
        <v>20141031</v>
      </c>
      <c r="B3051">
        <v>2014</v>
      </c>
      <c r="C3051">
        <v>10</v>
      </c>
      <c r="D3051">
        <v>1</v>
      </c>
      <c r="E3051">
        <v>10780</v>
      </c>
      <c r="F3051">
        <v>301143.33</v>
      </c>
      <c r="G3051">
        <v>0</v>
      </c>
      <c r="H3051">
        <v>0</v>
      </c>
      <c r="I3051">
        <v>0</v>
      </c>
      <c r="J3051">
        <v>0</v>
      </c>
      <c r="K3051">
        <v>0</v>
      </c>
      <c r="L3051">
        <v>43000000</v>
      </c>
      <c r="M3051">
        <v>43000000</v>
      </c>
      <c r="N3051">
        <v>43000000</v>
      </c>
      <c r="O3051">
        <v>43000000</v>
      </c>
      <c r="P3051">
        <v>43000000</v>
      </c>
      <c r="Q3051">
        <v>43000000</v>
      </c>
      <c r="R3051" s="14">
        <f>_xlfn.XLOOKUP(Table2[[#This Row],[LoanID]],Table1[G-L ID],Table1[ManagerCode],-99)</f>
        <v>220</v>
      </c>
      <c r="T3051"/>
    </row>
    <row r="3052" spans="1:20" x14ac:dyDescent="0.25">
      <c r="A3052">
        <v>20141031</v>
      </c>
      <c r="B3052">
        <v>2014</v>
      </c>
      <c r="C3052">
        <v>10</v>
      </c>
      <c r="D3052">
        <v>1</v>
      </c>
      <c r="E3052">
        <v>10800</v>
      </c>
      <c r="F3052">
        <v>0</v>
      </c>
      <c r="G3052">
        <v>0</v>
      </c>
      <c r="H3052">
        <v>0</v>
      </c>
      <c r="I3052">
        <v>0</v>
      </c>
      <c r="J3052">
        <v>0</v>
      </c>
      <c r="K3052">
        <v>0</v>
      </c>
      <c r="L3052">
        <v>26000000</v>
      </c>
      <c r="M3052">
        <v>26000000</v>
      </c>
      <c r="N3052">
        <v>26000000</v>
      </c>
      <c r="O3052">
        <v>26000000</v>
      </c>
      <c r="P3052">
        <v>26000000</v>
      </c>
      <c r="Q3052">
        <v>26000000</v>
      </c>
      <c r="R3052" s="14">
        <f>_xlfn.XLOOKUP(Table2[[#This Row],[LoanID]],Table1[G-L ID],Table1[ManagerCode],-99)</f>
        <v>220</v>
      </c>
      <c r="T3052"/>
    </row>
    <row r="3053" spans="1:20" x14ac:dyDescent="0.25">
      <c r="A3053">
        <v>20141031</v>
      </c>
      <c r="B3053">
        <v>2014</v>
      </c>
      <c r="C3053">
        <v>10</v>
      </c>
      <c r="D3053">
        <v>1</v>
      </c>
      <c r="E3053">
        <v>10820</v>
      </c>
      <c r="F3053">
        <v>176659.99</v>
      </c>
      <c r="G3053">
        <v>0</v>
      </c>
      <c r="H3053">
        <v>0</v>
      </c>
      <c r="I3053">
        <v>0</v>
      </c>
      <c r="J3053">
        <v>0</v>
      </c>
      <c r="K3053">
        <v>0</v>
      </c>
      <c r="L3053">
        <v>22314945.739999998</v>
      </c>
      <c r="M3053">
        <v>22314945.739999998</v>
      </c>
      <c r="N3053">
        <v>22314945.739999998</v>
      </c>
      <c r="O3053">
        <v>22314945.739999998</v>
      </c>
      <c r="P3053">
        <v>22314945.739999998</v>
      </c>
      <c r="Q3053">
        <v>22314945.739999998</v>
      </c>
      <c r="R3053" s="14">
        <f>_xlfn.XLOOKUP(Table2[[#This Row],[LoanID]],Table1[G-L ID],Table1[ManagerCode],-99)</f>
        <v>220</v>
      </c>
      <c r="T3053"/>
    </row>
    <row r="3054" spans="1:20" x14ac:dyDescent="0.25">
      <c r="A3054">
        <v>20141031</v>
      </c>
      <c r="B3054">
        <v>2014</v>
      </c>
      <c r="C3054">
        <v>10</v>
      </c>
      <c r="D3054">
        <v>1</v>
      </c>
      <c r="E3054">
        <v>10830</v>
      </c>
      <c r="F3054">
        <v>57669.23</v>
      </c>
      <c r="G3054">
        <v>0</v>
      </c>
      <c r="H3054">
        <v>0</v>
      </c>
      <c r="I3054">
        <v>0</v>
      </c>
      <c r="J3054">
        <v>0</v>
      </c>
      <c r="K3054">
        <v>0</v>
      </c>
      <c r="L3054">
        <v>7284534.0199999996</v>
      </c>
      <c r="M3054">
        <v>7284534.0199999996</v>
      </c>
      <c r="N3054">
        <v>7284534.0199999996</v>
      </c>
      <c r="O3054">
        <v>7284534.0199999996</v>
      </c>
      <c r="P3054">
        <v>7284534.0199999996</v>
      </c>
      <c r="Q3054">
        <v>7284534.0199999996</v>
      </c>
      <c r="R3054" s="14">
        <f>_xlfn.XLOOKUP(Table2[[#This Row],[LoanID]],Table1[G-L ID],Table1[ManagerCode],-99)</f>
        <v>220</v>
      </c>
      <c r="T3054"/>
    </row>
    <row r="3055" spans="1:20" x14ac:dyDescent="0.25">
      <c r="A3055">
        <v>20141031</v>
      </c>
      <c r="B3055">
        <v>2014</v>
      </c>
      <c r="C3055">
        <v>10</v>
      </c>
      <c r="D3055">
        <v>1</v>
      </c>
      <c r="E3055">
        <v>10840</v>
      </c>
      <c r="F3055">
        <v>100614.41</v>
      </c>
      <c r="G3055">
        <v>0</v>
      </c>
      <c r="H3055">
        <v>0</v>
      </c>
      <c r="I3055">
        <v>0</v>
      </c>
      <c r="J3055">
        <v>0</v>
      </c>
      <c r="K3055">
        <v>0</v>
      </c>
      <c r="L3055">
        <v>12709189</v>
      </c>
      <c r="M3055">
        <v>12709189</v>
      </c>
      <c r="N3055">
        <v>12709189</v>
      </c>
      <c r="O3055">
        <v>12709189</v>
      </c>
      <c r="P3055">
        <v>12709189</v>
      </c>
      <c r="Q3055">
        <v>12709189</v>
      </c>
      <c r="R3055" s="14">
        <f>_xlfn.XLOOKUP(Table2[[#This Row],[LoanID]],Table1[G-L ID],Table1[ManagerCode],-99)</f>
        <v>220</v>
      </c>
      <c r="T3055"/>
    </row>
    <row r="3056" spans="1:20" x14ac:dyDescent="0.25">
      <c r="A3056">
        <v>20141031</v>
      </c>
      <c r="B3056">
        <v>2014</v>
      </c>
      <c r="C3056">
        <v>10</v>
      </c>
      <c r="D3056">
        <v>1</v>
      </c>
      <c r="E3056">
        <v>10850</v>
      </c>
      <c r="F3056">
        <v>106969.15</v>
      </c>
      <c r="G3056">
        <v>0</v>
      </c>
      <c r="H3056">
        <v>0</v>
      </c>
      <c r="I3056">
        <v>0</v>
      </c>
      <c r="J3056">
        <v>0</v>
      </c>
      <c r="K3056">
        <v>0</v>
      </c>
      <c r="L3056">
        <v>13511892</v>
      </c>
      <c r="M3056">
        <v>13511892</v>
      </c>
      <c r="N3056">
        <v>13511892</v>
      </c>
      <c r="O3056">
        <v>13511892</v>
      </c>
      <c r="P3056">
        <v>13511892</v>
      </c>
      <c r="Q3056">
        <v>13511892</v>
      </c>
      <c r="R3056" s="14">
        <f>_xlfn.XLOOKUP(Table2[[#This Row],[LoanID]],Table1[G-L ID],Table1[ManagerCode],-99)</f>
        <v>220</v>
      </c>
      <c r="T3056"/>
    </row>
    <row r="3057" spans="1:20" x14ac:dyDescent="0.25">
      <c r="A3057">
        <v>20141031</v>
      </c>
      <c r="B3057">
        <v>2014</v>
      </c>
      <c r="C3057">
        <v>10</v>
      </c>
      <c r="D3057">
        <v>1</v>
      </c>
      <c r="E3057">
        <v>10860</v>
      </c>
      <c r="F3057">
        <v>113672.5</v>
      </c>
      <c r="G3057">
        <v>0</v>
      </c>
      <c r="H3057">
        <v>0</v>
      </c>
      <c r="I3057">
        <v>0</v>
      </c>
      <c r="J3057">
        <v>0</v>
      </c>
      <c r="K3057">
        <v>0</v>
      </c>
      <c r="L3057">
        <v>19475000</v>
      </c>
      <c r="M3057">
        <v>19475000</v>
      </c>
      <c r="N3057">
        <v>19475000</v>
      </c>
      <c r="O3057">
        <v>19475000</v>
      </c>
      <c r="P3057">
        <v>20500000</v>
      </c>
      <c r="Q3057">
        <v>20500000</v>
      </c>
      <c r="R3057" s="14">
        <f>_xlfn.XLOOKUP(Table2[[#This Row],[LoanID]],Table1[G-L ID],Table1[ManagerCode],-99)</f>
        <v>103</v>
      </c>
      <c r="T3057"/>
    </row>
    <row r="3058" spans="1:20" x14ac:dyDescent="0.25">
      <c r="A3058">
        <v>20141031</v>
      </c>
      <c r="B3058">
        <v>2014</v>
      </c>
      <c r="C3058">
        <v>10</v>
      </c>
      <c r="D3058">
        <v>1</v>
      </c>
      <c r="E3058">
        <v>10900</v>
      </c>
      <c r="F3058">
        <v>78051.929999999993</v>
      </c>
      <c r="G3058">
        <v>0</v>
      </c>
      <c r="H3058">
        <v>0</v>
      </c>
      <c r="I3058">
        <v>0</v>
      </c>
      <c r="J3058">
        <v>0</v>
      </c>
      <c r="K3058">
        <v>5565.13</v>
      </c>
      <c r="L3058">
        <v>8089018.29</v>
      </c>
      <c r="M3058">
        <v>8083731.4400000004</v>
      </c>
      <c r="N3058">
        <v>8089018.29</v>
      </c>
      <c r="O3058">
        <v>8083731.4400000004</v>
      </c>
      <c r="P3058">
        <v>8514756.1099999994</v>
      </c>
      <c r="Q3058">
        <v>8509190.9800000004</v>
      </c>
      <c r="R3058" s="14">
        <f>_xlfn.XLOOKUP(Table2[[#This Row],[LoanID]],Table1[G-L ID],Table1[ManagerCode],-99)</f>
        <v>103</v>
      </c>
      <c r="T3058"/>
    </row>
    <row r="3059" spans="1:20" x14ac:dyDescent="0.25">
      <c r="A3059">
        <v>20141031</v>
      </c>
      <c r="B3059">
        <v>2014</v>
      </c>
      <c r="C3059">
        <v>10</v>
      </c>
      <c r="D3059">
        <v>1</v>
      </c>
      <c r="E3059">
        <v>10920</v>
      </c>
      <c r="F3059">
        <v>114583.33</v>
      </c>
      <c r="G3059">
        <v>0</v>
      </c>
      <c r="H3059">
        <v>0</v>
      </c>
      <c r="I3059">
        <v>0</v>
      </c>
      <c r="J3059">
        <v>0</v>
      </c>
      <c r="K3059">
        <v>0</v>
      </c>
      <c r="L3059">
        <v>11000000</v>
      </c>
      <c r="M3059">
        <v>11000000</v>
      </c>
      <c r="N3059">
        <v>11000000</v>
      </c>
      <c r="O3059">
        <v>11000000</v>
      </c>
      <c r="P3059">
        <v>11000000</v>
      </c>
      <c r="Q3059">
        <v>11000000</v>
      </c>
      <c r="R3059" s="14">
        <f>_xlfn.XLOOKUP(Table2[[#This Row],[LoanID]],Table1[G-L ID],Table1[ManagerCode],-99)</f>
        <v>183</v>
      </c>
      <c r="T3059"/>
    </row>
    <row r="3060" spans="1:20" x14ac:dyDescent="0.25">
      <c r="A3060">
        <v>20141031</v>
      </c>
      <c r="B3060">
        <v>2014</v>
      </c>
      <c r="C3060">
        <v>10</v>
      </c>
      <c r="D3060">
        <v>1</v>
      </c>
      <c r="E3060">
        <v>10940</v>
      </c>
      <c r="F3060">
        <v>53160.46</v>
      </c>
      <c r="G3060">
        <v>71704.600000000006</v>
      </c>
      <c r="H3060">
        <v>0</v>
      </c>
      <c r="I3060">
        <v>0</v>
      </c>
      <c r="J3060">
        <v>-53160.46</v>
      </c>
      <c r="K3060">
        <v>0</v>
      </c>
      <c r="L3060">
        <v>10739741.890000001</v>
      </c>
      <c r="M3060">
        <v>10864606.949999999</v>
      </c>
      <c r="N3060">
        <v>10739741.890000001</v>
      </c>
      <c r="O3060">
        <v>10864606.949999999</v>
      </c>
      <c r="P3060">
        <v>10739741.890000001</v>
      </c>
      <c r="Q3060">
        <v>10864606.949999999</v>
      </c>
      <c r="R3060" s="14">
        <f>_xlfn.XLOOKUP(Table2[[#This Row],[LoanID]],Table1[G-L ID],Table1[ManagerCode],-99)</f>
        <v>183</v>
      </c>
      <c r="T3060"/>
    </row>
    <row r="3061" spans="1:20" x14ac:dyDescent="0.25">
      <c r="A3061">
        <v>20141031</v>
      </c>
      <c r="B3061">
        <v>2014</v>
      </c>
      <c r="C3061">
        <v>10</v>
      </c>
      <c r="D3061">
        <v>1</v>
      </c>
      <c r="E3061">
        <v>10960</v>
      </c>
      <c r="F3061">
        <v>95383.26</v>
      </c>
      <c r="G3061">
        <v>0</v>
      </c>
      <c r="H3061">
        <v>-180075</v>
      </c>
      <c r="I3061">
        <v>0</v>
      </c>
      <c r="J3061">
        <v>16721250</v>
      </c>
      <c r="K3061">
        <v>0</v>
      </c>
      <c r="L3061">
        <v>22750000</v>
      </c>
      <c r="M3061">
        <v>6028750</v>
      </c>
      <c r="N3061">
        <v>22750000</v>
      </c>
      <c r="O3061">
        <v>6028750</v>
      </c>
      <c r="P3061">
        <v>22750000</v>
      </c>
      <c r="Q3061">
        <v>6028750</v>
      </c>
      <c r="R3061" s="14">
        <f>_xlfn.XLOOKUP(Table2[[#This Row],[LoanID]],Table1[G-L ID],Table1[ManagerCode],-99)</f>
        <v>119</v>
      </c>
      <c r="T3061"/>
    </row>
    <row r="3062" spans="1:20" x14ac:dyDescent="0.25">
      <c r="A3062">
        <v>20141031</v>
      </c>
      <c r="B3062">
        <v>2014</v>
      </c>
      <c r="C3062">
        <v>10</v>
      </c>
      <c r="D3062">
        <v>1</v>
      </c>
      <c r="E3062">
        <v>11030</v>
      </c>
      <c r="F3062">
        <v>60943.18</v>
      </c>
      <c r="G3062">
        <v>0</v>
      </c>
      <c r="H3062">
        <v>0</v>
      </c>
      <c r="I3062">
        <v>0</v>
      </c>
      <c r="J3062">
        <v>0</v>
      </c>
      <c r="K3062">
        <v>0</v>
      </c>
      <c r="L3062">
        <v>8000000</v>
      </c>
      <c r="M3062">
        <v>8000000</v>
      </c>
      <c r="N3062">
        <v>8000000</v>
      </c>
      <c r="O3062">
        <v>8000000</v>
      </c>
      <c r="P3062">
        <v>8000000</v>
      </c>
      <c r="Q3062">
        <v>8000000</v>
      </c>
      <c r="R3062" s="14">
        <f>_xlfn.XLOOKUP(Table2[[#This Row],[LoanID]],Table1[G-L ID],Table1[ManagerCode],-99)</f>
        <v>119</v>
      </c>
      <c r="T3062"/>
    </row>
    <row r="3063" spans="1:20" x14ac:dyDescent="0.25">
      <c r="A3063">
        <v>20141031</v>
      </c>
      <c r="B3063">
        <v>2014</v>
      </c>
      <c r="C3063">
        <v>10</v>
      </c>
      <c r="D3063">
        <v>1</v>
      </c>
      <c r="E3063">
        <v>11040</v>
      </c>
      <c r="F3063">
        <v>506416.67</v>
      </c>
      <c r="G3063">
        <v>0</v>
      </c>
      <c r="H3063">
        <v>0</v>
      </c>
      <c r="I3063">
        <v>0</v>
      </c>
      <c r="J3063">
        <v>0</v>
      </c>
      <c r="K3063">
        <v>0</v>
      </c>
      <c r="L3063">
        <v>50000000</v>
      </c>
      <c r="M3063">
        <v>50000000</v>
      </c>
      <c r="N3063">
        <v>50000000</v>
      </c>
      <c r="O3063">
        <v>50000000</v>
      </c>
      <c r="P3063">
        <v>50000000</v>
      </c>
      <c r="Q3063">
        <v>50000000</v>
      </c>
      <c r="R3063" s="14">
        <f>_xlfn.XLOOKUP(Table2[[#This Row],[LoanID]],Table1[G-L ID],Table1[ManagerCode],-99)</f>
        <v>220</v>
      </c>
      <c r="T3063"/>
    </row>
    <row r="3064" spans="1:20" x14ac:dyDescent="0.25">
      <c r="A3064">
        <v>20141031</v>
      </c>
      <c r="B3064">
        <v>2014</v>
      </c>
      <c r="C3064">
        <v>10</v>
      </c>
      <c r="D3064">
        <v>1</v>
      </c>
      <c r="E3064">
        <v>11050</v>
      </c>
      <c r="F3064">
        <v>290938</v>
      </c>
      <c r="G3064">
        <v>0</v>
      </c>
      <c r="H3064">
        <v>0</v>
      </c>
      <c r="I3064">
        <v>0</v>
      </c>
      <c r="J3064">
        <v>0</v>
      </c>
      <c r="K3064">
        <v>0</v>
      </c>
      <c r="L3064">
        <v>29200000</v>
      </c>
      <c r="M3064">
        <v>29200000</v>
      </c>
      <c r="N3064">
        <v>29200000</v>
      </c>
      <c r="O3064">
        <v>29200000</v>
      </c>
      <c r="P3064">
        <v>28500000</v>
      </c>
      <c r="Q3064">
        <v>28500000</v>
      </c>
      <c r="R3064" s="14">
        <f>_xlfn.XLOOKUP(Table2[[#This Row],[LoanID]],Table1[G-L ID],Table1[ManagerCode],-99)</f>
        <v>220</v>
      </c>
      <c r="T3064"/>
    </row>
    <row r="3065" spans="1:20" x14ac:dyDescent="0.25">
      <c r="A3065">
        <v>20141031</v>
      </c>
      <c r="B3065">
        <v>2014</v>
      </c>
      <c r="C3065">
        <v>10</v>
      </c>
      <c r="D3065">
        <v>1</v>
      </c>
      <c r="E3065">
        <v>11070</v>
      </c>
      <c r="F3065">
        <v>143837.87</v>
      </c>
      <c r="G3065">
        <v>0</v>
      </c>
      <c r="H3065">
        <v>0</v>
      </c>
      <c r="I3065">
        <v>0</v>
      </c>
      <c r="J3065">
        <v>0</v>
      </c>
      <c r="K3065">
        <v>1986.03</v>
      </c>
      <c r="L3065">
        <v>13809883.77</v>
      </c>
      <c r="M3065">
        <v>13808294.939999999</v>
      </c>
      <c r="N3065">
        <v>13809883.77</v>
      </c>
      <c r="O3065">
        <v>13808294.939999999</v>
      </c>
      <c r="P3065">
        <v>17262354.710000001</v>
      </c>
      <c r="Q3065">
        <v>17260368.68</v>
      </c>
      <c r="R3065" s="14">
        <f>_xlfn.XLOOKUP(Table2[[#This Row],[LoanID]],Table1[G-L ID],Table1[ManagerCode],-99)</f>
        <v>103</v>
      </c>
      <c r="T3065"/>
    </row>
    <row r="3066" spans="1:20" x14ac:dyDescent="0.25">
      <c r="A3066">
        <v>20141031</v>
      </c>
      <c r="B3066">
        <v>2014</v>
      </c>
      <c r="C3066">
        <v>10</v>
      </c>
      <c r="D3066">
        <v>1</v>
      </c>
      <c r="E3066">
        <v>11100</v>
      </c>
      <c r="F3066">
        <v>114250.86</v>
      </c>
      <c r="G3066">
        <v>0</v>
      </c>
      <c r="H3066">
        <v>0</v>
      </c>
      <c r="I3066">
        <v>0</v>
      </c>
      <c r="J3066">
        <v>-7753173.2800000003</v>
      </c>
      <c r="K3066">
        <v>0</v>
      </c>
      <c r="L3066">
        <v>21794719.09</v>
      </c>
      <c r="M3066">
        <v>29556102.309999999</v>
      </c>
      <c r="N3066">
        <v>21794719.09</v>
      </c>
      <c r="O3066">
        <v>29556102.309999999</v>
      </c>
      <c r="P3066">
        <v>22247897.640000001</v>
      </c>
      <c r="Q3066">
        <v>30001070.920000002</v>
      </c>
      <c r="R3066" s="14">
        <f>_xlfn.XLOOKUP(Table2[[#This Row],[LoanID]],Table1[G-L ID],Table1[ManagerCode],-99)</f>
        <v>103</v>
      </c>
      <c r="T3066"/>
    </row>
    <row r="3067" spans="1:20" x14ac:dyDescent="0.25">
      <c r="A3067">
        <v>20141031</v>
      </c>
      <c r="B3067">
        <v>2014</v>
      </c>
      <c r="C3067">
        <v>10</v>
      </c>
      <c r="D3067">
        <v>1</v>
      </c>
      <c r="E3067">
        <v>11130</v>
      </c>
      <c r="F3067">
        <v>937819.75</v>
      </c>
      <c r="G3067">
        <v>0</v>
      </c>
      <c r="H3067">
        <v>0</v>
      </c>
      <c r="I3067">
        <v>0.01</v>
      </c>
      <c r="J3067">
        <v>0</v>
      </c>
      <c r="K3067">
        <v>0</v>
      </c>
      <c r="L3067">
        <v>168150000</v>
      </c>
      <c r="M3067">
        <v>168150000</v>
      </c>
      <c r="N3067">
        <v>168150000</v>
      </c>
      <c r="O3067">
        <v>168150000</v>
      </c>
      <c r="P3067">
        <v>177000000</v>
      </c>
      <c r="Q3067">
        <v>177000000</v>
      </c>
      <c r="R3067" s="14">
        <f>_xlfn.XLOOKUP(Table2[[#This Row],[LoanID]],Table1[G-L ID],Table1[ManagerCode],-99)</f>
        <v>103</v>
      </c>
      <c r="T3067"/>
    </row>
    <row r="3068" spans="1:20" x14ac:dyDescent="0.25">
      <c r="A3068">
        <v>20141031</v>
      </c>
      <c r="B3068">
        <v>2014</v>
      </c>
      <c r="C3068">
        <v>10</v>
      </c>
      <c r="D3068">
        <v>1</v>
      </c>
      <c r="E3068">
        <v>11170</v>
      </c>
      <c r="F3068">
        <v>678708.33</v>
      </c>
      <c r="G3068">
        <v>0</v>
      </c>
      <c r="H3068">
        <v>0</v>
      </c>
      <c r="I3068">
        <v>0</v>
      </c>
      <c r="J3068">
        <v>0</v>
      </c>
      <c r="K3068">
        <v>0</v>
      </c>
      <c r="L3068">
        <v>173249826.80000001</v>
      </c>
      <c r="M3068">
        <v>173249826.80000001</v>
      </c>
      <c r="N3068">
        <v>173249826.80000001</v>
      </c>
      <c r="O3068">
        <v>173249826.80000001</v>
      </c>
      <c r="P3068">
        <v>175000000</v>
      </c>
      <c r="Q3068">
        <v>175000000</v>
      </c>
      <c r="R3068" s="14">
        <f>_xlfn.XLOOKUP(Table2[[#This Row],[LoanID]],Table1[G-L ID],Table1[ManagerCode],-99)</f>
        <v>103</v>
      </c>
      <c r="T3068"/>
    </row>
    <row r="3069" spans="1:20" x14ac:dyDescent="0.25">
      <c r="A3069">
        <v>20141031</v>
      </c>
      <c r="B3069">
        <v>2014</v>
      </c>
      <c r="C3069">
        <v>10</v>
      </c>
      <c r="D3069">
        <v>1</v>
      </c>
      <c r="E3069">
        <v>11320</v>
      </c>
      <c r="F3069">
        <v>94114.240000000005</v>
      </c>
      <c r="G3069">
        <v>0</v>
      </c>
      <c r="H3069">
        <v>0</v>
      </c>
      <c r="I3069">
        <v>0</v>
      </c>
      <c r="J3069">
        <v>0</v>
      </c>
      <c r="K3069">
        <v>18000</v>
      </c>
      <c r="L3069">
        <v>11946000</v>
      </c>
      <c r="M3069">
        <v>11928000</v>
      </c>
      <c r="N3069">
        <v>11946000</v>
      </c>
      <c r="O3069">
        <v>11928000</v>
      </c>
      <c r="P3069">
        <v>11946000</v>
      </c>
      <c r="Q3069">
        <v>11928000</v>
      </c>
      <c r="R3069" s="14">
        <f>_xlfn.XLOOKUP(Table2[[#This Row],[LoanID]],Table1[G-L ID],Table1[ManagerCode],-99)</f>
        <v>119</v>
      </c>
      <c r="T3069"/>
    </row>
    <row r="3070" spans="1:20" x14ac:dyDescent="0.25">
      <c r="A3070">
        <v>20141031</v>
      </c>
      <c r="B3070">
        <v>2014</v>
      </c>
      <c r="C3070">
        <v>10</v>
      </c>
      <c r="D3070">
        <v>1</v>
      </c>
      <c r="E3070">
        <v>11340</v>
      </c>
      <c r="F3070">
        <v>291666.67</v>
      </c>
      <c r="G3070">
        <v>0</v>
      </c>
      <c r="H3070">
        <v>0</v>
      </c>
      <c r="I3070">
        <v>0</v>
      </c>
      <c r="J3070">
        <v>0</v>
      </c>
      <c r="K3070">
        <v>0</v>
      </c>
      <c r="L3070">
        <v>49500000</v>
      </c>
      <c r="M3070">
        <v>49500000</v>
      </c>
      <c r="N3070">
        <v>49500000</v>
      </c>
      <c r="O3070">
        <v>49500000</v>
      </c>
      <c r="P3070">
        <v>50000000</v>
      </c>
      <c r="Q3070">
        <v>50000000</v>
      </c>
      <c r="R3070" s="14">
        <f>_xlfn.XLOOKUP(Table2[[#This Row],[LoanID]],Table1[G-L ID],Table1[ManagerCode],-99)</f>
        <v>103</v>
      </c>
      <c r="T3070"/>
    </row>
    <row r="3071" spans="1:20" x14ac:dyDescent="0.25">
      <c r="A3071">
        <v>20141031</v>
      </c>
      <c r="B3071">
        <v>2014</v>
      </c>
      <c r="C3071">
        <v>10</v>
      </c>
      <c r="D3071">
        <v>1</v>
      </c>
      <c r="E3071">
        <v>11350</v>
      </c>
      <c r="F3071">
        <v>320833.33</v>
      </c>
      <c r="G3071">
        <v>0</v>
      </c>
      <c r="H3071">
        <v>0</v>
      </c>
      <c r="I3071">
        <v>0</v>
      </c>
      <c r="J3071">
        <v>0</v>
      </c>
      <c r="K3071">
        <v>0</v>
      </c>
      <c r="L3071">
        <v>54449945.549999997</v>
      </c>
      <c r="M3071">
        <v>54449945.549999997</v>
      </c>
      <c r="N3071">
        <v>54449945.549999997</v>
      </c>
      <c r="O3071">
        <v>54449945.549999997</v>
      </c>
      <c r="P3071">
        <v>55000000</v>
      </c>
      <c r="Q3071">
        <v>55000000</v>
      </c>
      <c r="R3071" s="14">
        <f>_xlfn.XLOOKUP(Table2[[#This Row],[LoanID]],Table1[G-L ID],Table1[ManagerCode],-99)</f>
        <v>103</v>
      </c>
      <c r="T3071"/>
    </row>
    <row r="3072" spans="1:20" x14ac:dyDescent="0.25">
      <c r="A3072">
        <v>20141031</v>
      </c>
      <c r="B3072">
        <v>2014</v>
      </c>
      <c r="C3072">
        <v>10</v>
      </c>
      <c r="D3072">
        <v>1</v>
      </c>
      <c r="E3072">
        <v>11370</v>
      </c>
      <c r="F3072">
        <v>50093.33</v>
      </c>
      <c r="G3072">
        <v>0</v>
      </c>
      <c r="H3072">
        <v>0</v>
      </c>
      <c r="I3072">
        <v>0</v>
      </c>
      <c r="J3072">
        <v>0</v>
      </c>
      <c r="K3072">
        <v>0</v>
      </c>
      <c r="L3072">
        <v>5525000</v>
      </c>
      <c r="M3072">
        <v>5525000</v>
      </c>
      <c r="N3072">
        <v>5525000</v>
      </c>
      <c r="O3072">
        <v>5525000</v>
      </c>
      <c r="P3072">
        <v>5525000</v>
      </c>
      <c r="Q3072">
        <v>5525000</v>
      </c>
      <c r="R3072" s="14">
        <f>_xlfn.XLOOKUP(Table2[[#This Row],[LoanID]],Table1[G-L ID],Table1[ManagerCode],-99)</f>
        <v>119</v>
      </c>
      <c r="T3072"/>
    </row>
    <row r="3073" spans="1:20" x14ac:dyDescent="0.25">
      <c r="A3073">
        <v>20141031</v>
      </c>
      <c r="B3073">
        <v>2014</v>
      </c>
      <c r="C3073">
        <v>10</v>
      </c>
      <c r="D3073">
        <v>1</v>
      </c>
      <c r="E3073">
        <v>11390</v>
      </c>
      <c r="F3073">
        <v>201041.67</v>
      </c>
      <c r="G3073">
        <v>0</v>
      </c>
      <c r="H3073">
        <v>0</v>
      </c>
      <c r="I3073">
        <v>0</v>
      </c>
      <c r="J3073">
        <v>0</v>
      </c>
      <c r="K3073">
        <v>0</v>
      </c>
      <c r="L3073">
        <v>25000000</v>
      </c>
      <c r="M3073">
        <v>25000000</v>
      </c>
      <c r="N3073">
        <v>25000000</v>
      </c>
      <c r="O3073">
        <v>25000000</v>
      </c>
      <c r="P3073">
        <v>25000000</v>
      </c>
      <c r="Q3073">
        <v>25000000</v>
      </c>
      <c r="R3073" s="14">
        <f>_xlfn.XLOOKUP(Table2[[#This Row],[LoanID]],Table1[G-L ID],Table1[ManagerCode],-99)</f>
        <v>220</v>
      </c>
      <c r="T3073"/>
    </row>
    <row r="3074" spans="1:20" x14ac:dyDescent="0.25">
      <c r="A3074">
        <v>20141031</v>
      </c>
      <c r="B3074">
        <v>2014</v>
      </c>
      <c r="C3074">
        <v>10</v>
      </c>
      <c r="D3074">
        <v>1</v>
      </c>
      <c r="E3074">
        <v>11480</v>
      </c>
      <c r="F3074">
        <v>344400</v>
      </c>
      <c r="G3074">
        <v>0</v>
      </c>
      <c r="H3074">
        <v>0</v>
      </c>
      <c r="I3074">
        <v>0</v>
      </c>
      <c r="J3074">
        <v>0</v>
      </c>
      <c r="K3074">
        <v>0</v>
      </c>
      <c r="L3074">
        <v>66500000</v>
      </c>
      <c r="M3074">
        <v>66500000</v>
      </c>
      <c r="N3074">
        <v>66500000</v>
      </c>
      <c r="O3074">
        <v>66500000</v>
      </c>
      <c r="P3074">
        <v>70000000</v>
      </c>
      <c r="Q3074">
        <v>70000000</v>
      </c>
      <c r="R3074" s="14">
        <f>_xlfn.XLOOKUP(Table2[[#This Row],[LoanID]],Table1[G-L ID],Table1[ManagerCode],-99)</f>
        <v>103</v>
      </c>
      <c r="T3074"/>
    </row>
    <row r="3075" spans="1:20" x14ac:dyDescent="0.25">
      <c r="A3075">
        <v>20141031</v>
      </c>
      <c r="B3075">
        <v>2014</v>
      </c>
      <c r="C3075">
        <v>10</v>
      </c>
      <c r="D3075">
        <v>1</v>
      </c>
      <c r="E3075">
        <v>11490</v>
      </c>
      <c r="F3075">
        <v>327891.67</v>
      </c>
      <c r="G3075">
        <v>0</v>
      </c>
      <c r="H3075">
        <v>0</v>
      </c>
      <c r="I3075">
        <v>0</v>
      </c>
      <c r="J3075">
        <v>0</v>
      </c>
      <c r="K3075">
        <v>0</v>
      </c>
      <c r="L3075">
        <v>49500000</v>
      </c>
      <c r="M3075">
        <v>49500000</v>
      </c>
      <c r="N3075">
        <v>49500000</v>
      </c>
      <c r="O3075">
        <v>49500000</v>
      </c>
      <c r="P3075">
        <v>55000000</v>
      </c>
      <c r="Q3075">
        <v>55000000</v>
      </c>
      <c r="R3075" s="14">
        <f>_xlfn.XLOOKUP(Table2[[#This Row],[LoanID]],Table1[G-L ID],Table1[ManagerCode],-99)</f>
        <v>103</v>
      </c>
      <c r="T3075"/>
    </row>
    <row r="3076" spans="1:20" x14ac:dyDescent="0.25">
      <c r="A3076">
        <v>20141031</v>
      </c>
      <c r="B3076">
        <v>2014</v>
      </c>
      <c r="C3076">
        <v>10</v>
      </c>
      <c r="D3076">
        <v>1</v>
      </c>
      <c r="E3076">
        <v>11540</v>
      </c>
      <c r="F3076">
        <v>76283.33</v>
      </c>
      <c r="G3076">
        <v>0</v>
      </c>
      <c r="H3076">
        <v>0</v>
      </c>
      <c r="I3076">
        <v>0</v>
      </c>
      <c r="J3076">
        <v>0</v>
      </c>
      <c r="K3076">
        <v>0</v>
      </c>
      <c r="L3076">
        <v>10000000</v>
      </c>
      <c r="M3076">
        <v>10000000</v>
      </c>
      <c r="N3076">
        <v>10000000</v>
      </c>
      <c r="O3076">
        <v>10000000</v>
      </c>
      <c r="P3076">
        <v>10000000</v>
      </c>
      <c r="Q3076">
        <v>10000000</v>
      </c>
      <c r="R3076" s="14">
        <f>_xlfn.XLOOKUP(Table2[[#This Row],[LoanID]],Table1[G-L ID],Table1[ManagerCode],-99)</f>
        <v>220</v>
      </c>
      <c r="T3076"/>
    </row>
    <row r="3077" spans="1:20" x14ac:dyDescent="0.25">
      <c r="A3077">
        <v>20141031</v>
      </c>
      <c r="B3077">
        <v>2014</v>
      </c>
      <c r="C3077">
        <v>10</v>
      </c>
      <c r="D3077">
        <v>1</v>
      </c>
      <c r="E3077">
        <v>11550</v>
      </c>
      <c r="F3077">
        <v>122743.34</v>
      </c>
      <c r="G3077">
        <v>0</v>
      </c>
      <c r="H3077">
        <v>0</v>
      </c>
      <c r="I3077">
        <v>0</v>
      </c>
      <c r="J3077">
        <v>0</v>
      </c>
      <c r="K3077">
        <v>0</v>
      </c>
      <c r="L3077">
        <v>21850021.850000001</v>
      </c>
      <c r="M3077">
        <v>21850021.850000001</v>
      </c>
      <c r="N3077">
        <v>21850021.850000001</v>
      </c>
      <c r="O3077">
        <v>21850021.850000001</v>
      </c>
      <c r="P3077">
        <v>23000000</v>
      </c>
      <c r="Q3077">
        <v>23000000</v>
      </c>
      <c r="R3077" s="14">
        <f>_xlfn.XLOOKUP(Table2[[#This Row],[LoanID]],Table1[G-L ID],Table1[ManagerCode],-99)</f>
        <v>103</v>
      </c>
      <c r="T3077"/>
    </row>
    <row r="3078" spans="1:20" x14ac:dyDescent="0.25">
      <c r="A3078">
        <v>20141031</v>
      </c>
      <c r="B3078">
        <v>2014</v>
      </c>
      <c r="C3078">
        <v>10</v>
      </c>
      <c r="D3078">
        <v>1</v>
      </c>
      <c r="E3078">
        <v>11560</v>
      </c>
      <c r="F3078">
        <v>221164.82</v>
      </c>
      <c r="G3078">
        <v>34441.040000000001</v>
      </c>
      <c r="H3078">
        <v>0</v>
      </c>
      <c r="I3078">
        <v>0</v>
      </c>
      <c r="J3078">
        <v>0</v>
      </c>
      <c r="K3078">
        <v>0</v>
      </c>
      <c r="L3078">
        <v>14278383.92</v>
      </c>
      <c r="M3078">
        <v>14312824.960000001</v>
      </c>
      <c r="N3078">
        <v>14278383.92</v>
      </c>
      <c r="O3078">
        <v>14312824.960000001</v>
      </c>
      <c r="P3078">
        <v>14278383.92</v>
      </c>
      <c r="Q3078">
        <v>14312824.960000001</v>
      </c>
      <c r="R3078" s="14">
        <f>_xlfn.XLOOKUP(Table2[[#This Row],[LoanID]],Table1[G-L ID],Table1[ManagerCode],-99)</f>
        <v>183</v>
      </c>
      <c r="T3078"/>
    </row>
    <row r="3079" spans="1:20" x14ac:dyDescent="0.25">
      <c r="A3079">
        <v>20141031</v>
      </c>
      <c r="B3079">
        <v>2014</v>
      </c>
      <c r="C3079">
        <v>10</v>
      </c>
      <c r="D3079">
        <v>1</v>
      </c>
      <c r="E3079">
        <v>11580</v>
      </c>
      <c r="F3079">
        <v>107743.46</v>
      </c>
      <c r="G3079">
        <v>0</v>
      </c>
      <c r="H3079">
        <v>0</v>
      </c>
      <c r="I3079">
        <v>0</v>
      </c>
      <c r="J3079">
        <v>0</v>
      </c>
      <c r="K3079">
        <v>0</v>
      </c>
      <c r="L3079">
        <v>15000000</v>
      </c>
      <c r="M3079">
        <v>15000000</v>
      </c>
      <c r="N3079">
        <v>15000000</v>
      </c>
      <c r="O3079">
        <v>15000000</v>
      </c>
      <c r="P3079">
        <v>15000000</v>
      </c>
      <c r="Q3079">
        <v>15000000</v>
      </c>
      <c r="R3079" s="14">
        <f>_xlfn.XLOOKUP(Table2[[#This Row],[LoanID]],Table1[G-L ID],Table1[ManagerCode],-99)</f>
        <v>119</v>
      </c>
      <c r="T3079"/>
    </row>
    <row r="3080" spans="1:20" x14ac:dyDescent="0.25">
      <c r="A3080">
        <v>20141031</v>
      </c>
      <c r="B3080">
        <v>2014</v>
      </c>
      <c r="C3080">
        <v>10</v>
      </c>
      <c r="D3080">
        <v>1</v>
      </c>
      <c r="E3080">
        <v>11620</v>
      </c>
      <c r="F3080">
        <v>161385.46</v>
      </c>
      <c r="G3080">
        <v>39815.47</v>
      </c>
      <c r="H3080">
        <v>0</v>
      </c>
      <c r="I3080">
        <v>0</v>
      </c>
      <c r="J3080">
        <v>0</v>
      </c>
      <c r="K3080">
        <v>0</v>
      </c>
      <c r="L3080">
        <v>10375480.83</v>
      </c>
      <c r="M3080">
        <v>10415296.300000001</v>
      </c>
      <c r="N3080">
        <v>10375480.83</v>
      </c>
      <c r="O3080">
        <v>10415296.300000001</v>
      </c>
      <c r="P3080">
        <v>10375480.83</v>
      </c>
      <c r="Q3080">
        <v>10415296.300000001</v>
      </c>
      <c r="R3080" s="14">
        <f>_xlfn.XLOOKUP(Table2[[#This Row],[LoanID]],Table1[G-L ID],Table1[ManagerCode],-99)</f>
        <v>183</v>
      </c>
      <c r="T3080"/>
    </row>
    <row r="3081" spans="1:20" x14ac:dyDescent="0.25">
      <c r="A3081">
        <v>20141031</v>
      </c>
      <c r="B3081">
        <v>2014</v>
      </c>
      <c r="C3081">
        <v>10</v>
      </c>
      <c r="D3081">
        <v>1</v>
      </c>
      <c r="E3081">
        <v>11650</v>
      </c>
      <c r="F3081">
        <v>75000</v>
      </c>
      <c r="G3081">
        <v>0</v>
      </c>
      <c r="H3081">
        <v>0</v>
      </c>
      <c r="I3081">
        <v>0</v>
      </c>
      <c r="J3081">
        <v>0</v>
      </c>
      <c r="K3081">
        <v>0</v>
      </c>
      <c r="L3081">
        <v>9600000</v>
      </c>
      <c r="M3081">
        <v>9600000</v>
      </c>
      <c r="N3081">
        <v>9600000</v>
      </c>
      <c r="O3081">
        <v>9600000</v>
      </c>
      <c r="P3081">
        <v>12000000</v>
      </c>
      <c r="Q3081">
        <v>12000000</v>
      </c>
      <c r="R3081" s="14">
        <f>_xlfn.XLOOKUP(Table2[[#This Row],[LoanID]],Table1[G-L ID],Table1[ManagerCode],-99)</f>
        <v>103</v>
      </c>
      <c r="T3081"/>
    </row>
    <row r="3082" spans="1:20" x14ac:dyDescent="0.25">
      <c r="A3082">
        <v>20141031</v>
      </c>
      <c r="B3082">
        <v>2014</v>
      </c>
      <c r="C3082">
        <v>10</v>
      </c>
      <c r="D3082">
        <v>1</v>
      </c>
      <c r="E3082">
        <v>11660</v>
      </c>
      <c r="F3082">
        <v>0</v>
      </c>
      <c r="G3082">
        <v>0</v>
      </c>
      <c r="H3082">
        <v>0</v>
      </c>
      <c r="I3082">
        <v>0</v>
      </c>
      <c r="J3082">
        <v>-1635173</v>
      </c>
      <c r="K3082">
        <v>0</v>
      </c>
      <c r="L3082">
        <v>26012005</v>
      </c>
      <c r="M3082">
        <v>27647178</v>
      </c>
      <c r="N3082">
        <v>26012005</v>
      </c>
      <c r="O3082">
        <v>27647178</v>
      </c>
      <c r="P3082">
        <v>26012005</v>
      </c>
      <c r="Q3082">
        <v>27647178</v>
      </c>
      <c r="R3082" s="14">
        <f>_xlfn.XLOOKUP(Table2[[#This Row],[LoanID]],Table1[G-L ID],Table1[ManagerCode],-99)</f>
        <v>183</v>
      </c>
      <c r="T3082"/>
    </row>
    <row r="3083" spans="1:20" x14ac:dyDescent="0.25">
      <c r="A3083">
        <v>20141031</v>
      </c>
      <c r="B3083">
        <v>2014</v>
      </c>
      <c r="C3083">
        <v>10</v>
      </c>
      <c r="D3083">
        <v>1</v>
      </c>
      <c r="E3083">
        <v>11680</v>
      </c>
      <c r="F3083">
        <v>57126.559999999998</v>
      </c>
      <c r="G3083">
        <v>0</v>
      </c>
      <c r="H3083">
        <v>0</v>
      </c>
      <c r="I3083">
        <v>0</v>
      </c>
      <c r="J3083">
        <v>0</v>
      </c>
      <c r="K3083">
        <v>0</v>
      </c>
      <c r="L3083">
        <v>6600000</v>
      </c>
      <c r="M3083">
        <v>6600000</v>
      </c>
      <c r="N3083">
        <v>6600000</v>
      </c>
      <c r="O3083">
        <v>6600000</v>
      </c>
      <c r="P3083">
        <v>6600000</v>
      </c>
      <c r="Q3083">
        <v>6600000</v>
      </c>
      <c r="R3083" s="14">
        <f>_xlfn.XLOOKUP(Table2[[#This Row],[LoanID]],Table1[G-L ID],Table1[ManagerCode],-99)</f>
        <v>183</v>
      </c>
      <c r="T3083"/>
    </row>
    <row r="3084" spans="1:20" x14ac:dyDescent="0.25">
      <c r="A3084">
        <v>20141031</v>
      </c>
      <c r="B3084">
        <v>2014</v>
      </c>
      <c r="C3084">
        <v>10</v>
      </c>
      <c r="D3084">
        <v>1</v>
      </c>
      <c r="E3084">
        <v>11710</v>
      </c>
      <c r="F3084">
        <v>93348.1</v>
      </c>
      <c r="G3084">
        <v>0</v>
      </c>
      <c r="H3084">
        <v>0</v>
      </c>
      <c r="I3084">
        <v>0</v>
      </c>
      <c r="J3084">
        <v>0</v>
      </c>
      <c r="K3084">
        <v>0</v>
      </c>
      <c r="L3084">
        <v>12000000</v>
      </c>
      <c r="M3084">
        <v>12000000</v>
      </c>
      <c r="N3084">
        <v>12000000</v>
      </c>
      <c r="O3084">
        <v>12000000</v>
      </c>
      <c r="P3084">
        <v>12000000</v>
      </c>
      <c r="Q3084">
        <v>12000000</v>
      </c>
      <c r="R3084" s="14">
        <f>_xlfn.XLOOKUP(Table2[[#This Row],[LoanID]],Table1[G-L ID],Table1[ManagerCode],-99)</f>
        <v>119</v>
      </c>
      <c r="T3084"/>
    </row>
    <row r="3085" spans="1:20" x14ac:dyDescent="0.25">
      <c r="A3085">
        <v>20141031</v>
      </c>
      <c r="B3085">
        <v>2014</v>
      </c>
      <c r="C3085">
        <v>10</v>
      </c>
      <c r="D3085">
        <v>1</v>
      </c>
      <c r="E3085">
        <v>11740</v>
      </c>
      <c r="F3085">
        <v>191100</v>
      </c>
      <c r="G3085">
        <v>0</v>
      </c>
      <c r="H3085">
        <v>0</v>
      </c>
      <c r="I3085">
        <v>0</v>
      </c>
      <c r="J3085">
        <v>0</v>
      </c>
      <c r="K3085">
        <v>0</v>
      </c>
      <c r="L3085">
        <v>19110000</v>
      </c>
      <c r="M3085">
        <v>19110000</v>
      </c>
      <c r="N3085">
        <v>19110000</v>
      </c>
      <c r="O3085">
        <v>19110000</v>
      </c>
      <c r="P3085">
        <v>19110000</v>
      </c>
      <c r="Q3085">
        <v>19110000</v>
      </c>
      <c r="R3085" s="14">
        <f>_xlfn.XLOOKUP(Table2[[#This Row],[LoanID]],Table1[G-L ID],Table1[ManagerCode],-99)</f>
        <v>183</v>
      </c>
      <c r="T3085"/>
    </row>
    <row r="3086" spans="1:20" x14ac:dyDescent="0.25">
      <c r="A3086">
        <v>20141031</v>
      </c>
      <c r="B3086">
        <v>2014</v>
      </c>
      <c r="C3086">
        <v>10</v>
      </c>
      <c r="D3086">
        <v>1</v>
      </c>
      <c r="E3086">
        <v>11810</v>
      </c>
      <c r="F3086">
        <v>49677.91</v>
      </c>
      <c r="G3086">
        <v>0</v>
      </c>
      <c r="H3086">
        <v>0</v>
      </c>
      <c r="I3086">
        <v>0</v>
      </c>
      <c r="J3086">
        <v>0</v>
      </c>
      <c r="K3086">
        <v>11180.18</v>
      </c>
      <c r="L3086">
        <v>9611947.1600000001</v>
      </c>
      <c r="M3086">
        <v>9600878.8000000007</v>
      </c>
      <c r="N3086">
        <v>9611947.1600000001</v>
      </c>
      <c r="O3086">
        <v>9600878.8000000007</v>
      </c>
      <c r="P3086">
        <v>9709037.5399999991</v>
      </c>
      <c r="Q3086">
        <v>9697857.3599999994</v>
      </c>
      <c r="R3086" s="14">
        <f>_xlfn.XLOOKUP(Table2[[#This Row],[LoanID]],Table1[G-L ID],Table1[ManagerCode],-99)</f>
        <v>103</v>
      </c>
      <c r="T3086"/>
    </row>
    <row r="3087" spans="1:20" x14ac:dyDescent="0.25">
      <c r="A3087">
        <v>20141031</v>
      </c>
      <c r="B3087">
        <v>2014</v>
      </c>
      <c r="C3087">
        <v>10</v>
      </c>
      <c r="D3087">
        <v>1</v>
      </c>
      <c r="E3087">
        <v>11840</v>
      </c>
      <c r="F3087">
        <v>52501.8</v>
      </c>
      <c r="G3087">
        <v>97212.31</v>
      </c>
      <c r="H3087">
        <v>0</v>
      </c>
      <c r="I3087">
        <v>0</v>
      </c>
      <c r="J3087">
        <v>0</v>
      </c>
      <c r="K3087">
        <v>0</v>
      </c>
      <c r="L3087">
        <v>12390132.880000001</v>
      </c>
      <c r="M3087">
        <v>12487345.189999999</v>
      </c>
      <c r="N3087">
        <v>12390132.880000001</v>
      </c>
      <c r="O3087">
        <v>12487345.189999999</v>
      </c>
      <c r="P3087">
        <v>12390132.880000001</v>
      </c>
      <c r="Q3087">
        <v>12487345.189999999</v>
      </c>
      <c r="R3087" s="14">
        <f>_xlfn.XLOOKUP(Table2[[#This Row],[LoanID]],Table1[G-L ID],Table1[ManagerCode],-99)</f>
        <v>183</v>
      </c>
      <c r="T3087"/>
    </row>
    <row r="3088" spans="1:20" x14ac:dyDescent="0.25">
      <c r="A3088">
        <v>20141031</v>
      </c>
      <c r="B3088">
        <v>2014</v>
      </c>
      <c r="C3088">
        <v>10</v>
      </c>
      <c r="D3088">
        <v>1</v>
      </c>
      <c r="E3088">
        <v>11880</v>
      </c>
      <c r="F3088">
        <v>183205.5</v>
      </c>
      <c r="G3088">
        <v>124172.48</v>
      </c>
      <c r="H3088">
        <v>0</v>
      </c>
      <c r="I3088">
        <v>0</v>
      </c>
      <c r="J3088">
        <v>-2657372.2200000002</v>
      </c>
      <c r="K3088">
        <v>0</v>
      </c>
      <c r="L3088">
        <v>39497633.469999999</v>
      </c>
      <c r="M3088">
        <v>42279178.170000002</v>
      </c>
      <c r="N3088">
        <v>39497633.469999999</v>
      </c>
      <c r="O3088">
        <v>42279178.170000002</v>
      </c>
      <c r="P3088">
        <v>39497633.469999999</v>
      </c>
      <c r="Q3088">
        <v>42279178.170000002</v>
      </c>
      <c r="R3088" s="14">
        <f>_xlfn.XLOOKUP(Table2[[#This Row],[LoanID]],Table1[G-L ID],Table1[ManagerCode],-99)</f>
        <v>183</v>
      </c>
      <c r="T3088"/>
    </row>
    <row r="3089" spans="1:20" x14ac:dyDescent="0.25">
      <c r="A3089">
        <v>20141031</v>
      </c>
      <c r="B3089">
        <v>2014</v>
      </c>
      <c r="C3089">
        <v>10</v>
      </c>
      <c r="D3089">
        <v>1</v>
      </c>
      <c r="E3089">
        <v>11920</v>
      </c>
      <c r="F3089">
        <v>93508.33</v>
      </c>
      <c r="G3089">
        <v>0</v>
      </c>
      <c r="H3089">
        <v>0</v>
      </c>
      <c r="I3089">
        <v>0</v>
      </c>
      <c r="J3089">
        <v>0</v>
      </c>
      <c r="K3089">
        <v>0</v>
      </c>
      <c r="L3089">
        <v>12250000</v>
      </c>
      <c r="M3089">
        <v>12250000</v>
      </c>
      <c r="N3089">
        <v>12250000</v>
      </c>
      <c r="O3089">
        <v>12250000</v>
      </c>
      <c r="P3089">
        <v>12250000</v>
      </c>
      <c r="Q3089">
        <v>12250000</v>
      </c>
      <c r="R3089" s="14">
        <f>_xlfn.XLOOKUP(Table2[[#This Row],[LoanID]],Table1[G-L ID],Table1[ManagerCode],-99)</f>
        <v>220</v>
      </c>
      <c r="T3089"/>
    </row>
    <row r="3090" spans="1:20" x14ac:dyDescent="0.25">
      <c r="A3090">
        <v>20141031</v>
      </c>
      <c r="B3090">
        <v>2014</v>
      </c>
      <c r="C3090">
        <v>10</v>
      </c>
      <c r="D3090">
        <v>1</v>
      </c>
      <c r="E3090">
        <v>11970</v>
      </c>
      <c r="F3090">
        <v>85000</v>
      </c>
      <c r="G3090">
        <v>61780.26</v>
      </c>
      <c r="H3090">
        <v>0</v>
      </c>
      <c r="I3090">
        <v>0</v>
      </c>
      <c r="J3090">
        <v>0</v>
      </c>
      <c r="K3090">
        <v>0</v>
      </c>
      <c r="L3090">
        <v>9785350.5199999996</v>
      </c>
      <c r="M3090">
        <v>9847130.7799999993</v>
      </c>
      <c r="N3090">
        <v>9785350.5199999996</v>
      </c>
      <c r="O3090">
        <v>9847130.7799999993</v>
      </c>
      <c r="P3090">
        <v>9785350.5199999996</v>
      </c>
      <c r="Q3090">
        <v>9847130.7799999993</v>
      </c>
      <c r="R3090" s="14">
        <f>_xlfn.XLOOKUP(Table2[[#This Row],[LoanID]],Table1[G-L ID],Table1[ManagerCode],-99)</f>
        <v>183</v>
      </c>
      <c r="T3090"/>
    </row>
    <row r="3091" spans="1:20" x14ac:dyDescent="0.25">
      <c r="A3091">
        <v>20141031</v>
      </c>
      <c r="B3091">
        <v>2014</v>
      </c>
      <c r="C3091">
        <v>10</v>
      </c>
      <c r="D3091">
        <v>1</v>
      </c>
      <c r="E3091">
        <v>12080</v>
      </c>
      <c r="F3091">
        <v>287386.86</v>
      </c>
      <c r="G3091">
        <v>0</v>
      </c>
      <c r="H3091">
        <v>0</v>
      </c>
      <c r="I3091">
        <v>0</v>
      </c>
      <c r="J3091">
        <v>0</v>
      </c>
      <c r="K3091">
        <v>0</v>
      </c>
      <c r="L3091">
        <v>36609790.950000003</v>
      </c>
      <c r="M3091">
        <v>36609790.950000003</v>
      </c>
      <c r="N3091">
        <v>36609790.950000003</v>
      </c>
      <c r="O3091">
        <v>36609790.950000003</v>
      </c>
      <c r="P3091">
        <v>36609790.950000003</v>
      </c>
      <c r="Q3091">
        <v>36609790.950000003</v>
      </c>
      <c r="R3091" s="14">
        <f>_xlfn.XLOOKUP(Table2[[#This Row],[LoanID]],Table1[G-L ID],Table1[ManagerCode],-99)</f>
        <v>119</v>
      </c>
      <c r="T3091"/>
    </row>
    <row r="3092" spans="1:20" x14ac:dyDescent="0.25">
      <c r="A3092">
        <v>20141031</v>
      </c>
      <c r="B3092">
        <v>2014</v>
      </c>
      <c r="C3092">
        <v>10</v>
      </c>
      <c r="D3092">
        <v>1</v>
      </c>
      <c r="E3092">
        <v>12100</v>
      </c>
      <c r="F3092">
        <v>49727.14</v>
      </c>
      <c r="G3092">
        <v>90358.52</v>
      </c>
      <c r="H3092">
        <v>0</v>
      </c>
      <c r="I3092">
        <v>0</v>
      </c>
      <c r="J3092">
        <v>-49727.14</v>
      </c>
      <c r="K3092">
        <v>0</v>
      </c>
      <c r="L3092">
        <v>11579031.5</v>
      </c>
      <c r="M3092">
        <v>11719117.16</v>
      </c>
      <c r="N3092">
        <v>11579031.5</v>
      </c>
      <c r="O3092">
        <v>11719117.16</v>
      </c>
      <c r="P3092">
        <v>11579031.5</v>
      </c>
      <c r="Q3092">
        <v>11719117.16</v>
      </c>
      <c r="R3092" s="14">
        <f>_xlfn.XLOOKUP(Table2[[#This Row],[LoanID]],Table1[G-L ID],Table1[ManagerCode],-99)</f>
        <v>183</v>
      </c>
      <c r="T3092"/>
    </row>
    <row r="3093" spans="1:20" x14ac:dyDescent="0.25">
      <c r="A3093">
        <v>20141031</v>
      </c>
      <c r="B3093">
        <v>2014</v>
      </c>
      <c r="C3093">
        <v>10</v>
      </c>
      <c r="D3093">
        <v>1</v>
      </c>
      <c r="E3093">
        <v>12160</v>
      </c>
      <c r="F3093">
        <v>29859.46</v>
      </c>
      <c r="G3093">
        <v>38683.51</v>
      </c>
      <c r="H3093">
        <v>0</v>
      </c>
      <c r="I3093">
        <v>0</v>
      </c>
      <c r="J3093">
        <v>-363206.44</v>
      </c>
      <c r="K3093">
        <v>0</v>
      </c>
      <c r="L3093">
        <v>6303815.5999999996</v>
      </c>
      <c r="M3093">
        <v>6705705.5499999998</v>
      </c>
      <c r="N3093">
        <v>6303815.5999999996</v>
      </c>
      <c r="O3093">
        <v>6705705.5499999998</v>
      </c>
      <c r="P3093">
        <v>6303815.5999999996</v>
      </c>
      <c r="Q3093">
        <v>6705705.5499999998</v>
      </c>
      <c r="R3093" s="14">
        <f>_xlfn.XLOOKUP(Table2[[#This Row],[LoanID]],Table1[G-L ID],Table1[ManagerCode],-99)</f>
        <v>183</v>
      </c>
      <c r="T3093"/>
    </row>
    <row r="3094" spans="1:20" x14ac:dyDescent="0.25">
      <c r="A3094">
        <v>20141031</v>
      </c>
      <c r="B3094">
        <v>2014</v>
      </c>
      <c r="C3094">
        <v>10</v>
      </c>
      <c r="D3094">
        <v>1</v>
      </c>
      <c r="E3094">
        <v>12180</v>
      </c>
      <c r="F3094">
        <v>226041.67</v>
      </c>
      <c r="G3094">
        <v>0</v>
      </c>
      <c r="H3094">
        <v>0</v>
      </c>
      <c r="I3094">
        <v>0</v>
      </c>
      <c r="J3094">
        <v>0</v>
      </c>
      <c r="K3094">
        <v>0</v>
      </c>
      <c r="L3094">
        <v>35000000</v>
      </c>
      <c r="M3094">
        <v>35000000</v>
      </c>
      <c r="N3094">
        <v>35000000</v>
      </c>
      <c r="O3094">
        <v>35000000</v>
      </c>
      <c r="P3094">
        <v>35000000</v>
      </c>
      <c r="Q3094">
        <v>35000000</v>
      </c>
      <c r="R3094" s="14">
        <f>_xlfn.XLOOKUP(Table2[[#This Row],[LoanID]],Table1[G-L ID],Table1[ManagerCode],-99)</f>
        <v>220</v>
      </c>
      <c r="T3094"/>
    </row>
    <row r="3095" spans="1:20" x14ac:dyDescent="0.25">
      <c r="A3095">
        <v>20141031</v>
      </c>
      <c r="B3095">
        <v>2014</v>
      </c>
      <c r="C3095">
        <v>10</v>
      </c>
      <c r="D3095">
        <v>1</v>
      </c>
      <c r="E3095">
        <v>12190</v>
      </c>
      <c r="F3095">
        <v>273750</v>
      </c>
      <c r="G3095">
        <v>0</v>
      </c>
      <c r="H3095">
        <v>0</v>
      </c>
      <c r="I3095">
        <v>0</v>
      </c>
      <c r="J3095">
        <v>0</v>
      </c>
      <c r="K3095">
        <v>0</v>
      </c>
      <c r="L3095">
        <v>37500000</v>
      </c>
      <c r="M3095">
        <v>37500000</v>
      </c>
      <c r="N3095">
        <v>37500000</v>
      </c>
      <c r="O3095">
        <v>37500000</v>
      </c>
      <c r="P3095">
        <v>37500000</v>
      </c>
      <c r="Q3095">
        <v>37500000</v>
      </c>
      <c r="R3095" s="14">
        <f>_xlfn.XLOOKUP(Table2[[#This Row],[LoanID]],Table1[G-L ID],Table1[ManagerCode],-99)</f>
        <v>220</v>
      </c>
      <c r="T3095"/>
    </row>
    <row r="3096" spans="1:20" x14ac:dyDescent="0.25">
      <c r="A3096">
        <v>20141031</v>
      </c>
      <c r="B3096">
        <v>2014</v>
      </c>
      <c r="C3096">
        <v>10</v>
      </c>
      <c r="D3096">
        <v>1</v>
      </c>
      <c r="E3096">
        <v>12210</v>
      </c>
      <c r="F3096">
        <v>680043.26</v>
      </c>
      <c r="G3096">
        <v>0</v>
      </c>
      <c r="H3096">
        <v>0</v>
      </c>
      <c r="I3096">
        <v>0</v>
      </c>
      <c r="J3096">
        <v>0</v>
      </c>
      <c r="K3096">
        <v>218442.23999999999</v>
      </c>
      <c r="L3096">
        <v>125675583.40000001</v>
      </c>
      <c r="M3096">
        <v>125611673.2</v>
      </c>
      <c r="N3096">
        <v>125675583.40000001</v>
      </c>
      <c r="O3096">
        <v>125611673.2</v>
      </c>
      <c r="P3096">
        <v>110032097</v>
      </c>
      <c r="Q3096">
        <v>109813654.8</v>
      </c>
      <c r="R3096" s="14">
        <f>_xlfn.XLOOKUP(Table2[[#This Row],[LoanID]],Table1[G-L ID],Table1[ManagerCode],-99)</f>
        <v>103</v>
      </c>
      <c r="T3096"/>
    </row>
    <row r="3097" spans="1:20" x14ac:dyDescent="0.25">
      <c r="A3097">
        <v>20141031</v>
      </c>
      <c r="B3097">
        <v>2014</v>
      </c>
      <c r="C3097">
        <v>10</v>
      </c>
      <c r="D3097">
        <v>1</v>
      </c>
      <c r="E3097">
        <v>12230</v>
      </c>
      <c r="F3097">
        <v>98948.28</v>
      </c>
      <c r="G3097">
        <v>0</v>
      </c>
      <c r="H3097">
        <v>0</v>
      </c>
      <c r="I3097">
        <v>0</v>
      </c>
      <c r="J3097">
        <v>-18412.21</v>
      </c>
      <c r="K3097">
        <v>0</v>
      </c>
      <c r="L3097">
        <v>20275000</v>
      </c>
      <c r="M3097">
        <v>20293412.210000001</v>
      </c>
      <c r="N3097">
        <v>13843888.5</v>
      </c>
      <c r="O3097">
        <v>13862300.710000001</v>
      </c>
      <c r="P3097">
        <v>19425185.109999999</v>
      </c>
      <c r="Q3097">
        <v>19443597.32</v>
      </c>
      <c r="R3097" s="14">
        <f>_xlfn.XLOOKUP(Table2[[#This Row],[LoanID]],Table1[G-L ID],Table1[ManagerCode],-99)</f>
        <v>183</v>
      </c>
      <c r="T3097"/>
    </row>
    <row r="3098" spans="1:20" x14ac:dyDescent="0.25">
      <c r="A3098">
        <v>20141031</v>
      </c>
      <c r="B3098">
        <v>2014</v>
      </c>
      <c r="C3098">
        <v>10</v>
      </c>
      <c r="D3098">
        <v>1</v>
      </c>
      <c r="E3098">
        <v>12240</v>
      </c>
      <c r="F3098">
        <v>0</v>
      </c>
      <c r="G3098">
        <v>1233519.8500000001</v>
      </c>
      <c r="H3098">
        <v>0</v>
      </c>
      <c r="I3098">
        <v>0</v>
      </c>
      <c r="J3098">
        <v>-4298819.18</v>
      </c>
      <c r="K3098">
        <v>0</v>
      </c>
      <c r="L3098">
        <v>31598582.059999999</v>
      </c>
      <c r="M3098">
        <v>37130921.090000004</v>
      </c>
      <c r="N3098">
        <v>31598582.059999999</v>
      </c>
      <c r="O3098">
        <v>37130921.090000004</v>
      </c>
      <c r="P3098">
        <v>31598582.059999999</v>
      </c>
      <c r="Q3098">
        <v>37130921.090000004</v>
      </c>
      <c r="R3098" s="14">
        <f>_xlfn.XLOOKUP(Table2[[#This Row],[LoanID]],Table1[G-L ID],Table1[ManagerCode],-99)</f>
        <v>183</v>
      </c>
      <c r="T3098"/>
    </row>
    <row r="3099" spans="1:20" x14ac:dyDescent="0.25">
      <c r="A3099">
        <v>20141031</v>
      </c>
      <c r="B3099">
        <v>2014</v>
      </c>
      <c r="C3099">
        <v>10</v>
      </c>
      <c r="D3099">
        <v>1</v>
      </c>
      <c r="E3099">
        <v>13630</v>
      </c>
      <c r="F3099">
        <v>28194.44</v>
      </c>
      <c r="G3099">
        <v>0</v>
      </c>
      <c r="H3099">
        <v>0</v>
      </c>
      <c r="I3099">
        <v>0</v>
      </c>
      <c r="J3099">
        <v>-35000000</v>
      </c>
      <c r="K3099">
        <v>0</v>
      </c>
      <c r="L3099">
        <v>0</v>
      </c>
      <c r="M3099">
        <v>35000000</v>
      </c>
      <c r="N3099">
        <v>0</v>
      </c>
      <c r="O3099">
        <v>35000000</v>
      </c>
      <c r="P3099">
        <v>0</v>
      </c>
      <c r="Q3099">
        <v>35000000</v>
      </c>
      <c r="R3099" s="14">
        <f>_xlfn.XLOOKUP(Table2[[#This Row],[LoanID]],Table1[G-L ID],Table1[ManagerCode],-99)</f>
        <v>298</v>
      </c>
      <c r="T3099"/>
    </row>
    <row r="3100" spans="1:20" x14ac:dyDescent="0.25">
      <c r="A3100">
        <v>20141031</v>
      </c>
      <c r="B3100">
        <v>2014</v>
      </c>
      <c r="C3100">
        <v>10</v>
      </c>
      <c r="D3100">
        <v>1</v>
      </c>
      <c r="E3100">
        <v>13670</v>
      </c>
      <c r="F3100">
        <v>270437.5</v>
      </c>
      <c r="G3100">
        <v>0</v>
      </c>
      <c r="H3100">
        <v>0</v>
      </c>
      <c r="I3100">
        <v>0</v>
      </c>
      <c r="J3100">
        <v>0</v>
      </c>
      <c r="K3100">
        <v>0</v>
      </c>
      <c r="L3100">
        <v>37500000</v>
      </c>
      <c r="M3100">
        <v>37500000</v>
      </c>
      <c r="N3100">
        <v>37500000</v>
      </c>
      <c r="O3100">
        <v>37500000</v>
      </c>
      <c r="P3100">
        <v>37500000</v>
      </c>
      <c r="Q3100">
        <v>37500000</v>
      </c>
      <c r="R3100" s="14">
        <f>_xlfn.XLOOKUP(Table2[[#This Row],[LoanID]],Table1[G-L ID],Table1[ManagerCode],-99)</f>
        <v>298</v>
      </c>
      <c r="T3100"/>
    </row>
    <row r="3101" spans="1:20" x14ac:dyDescent="0.25">
      <c r="A3101">
        <v>20141031</v>
      </c>
      <c r="B3101">
        <v>2014</v>
      </c>
      <c r="C3101">
        <v>10</v>
      </c>
      <c r="D3101">
        <v>1</v>
      </c>
      <c r="E3101">
        <v>13680</v>
      </c>
      <c r="F3101">
        <v>13500</v>
      </c>
      <c r="G3101">
        <v>0</v>
      </c>
      <c r="H3101">
        <v>0</v>
      </c>
      <c r="I3101">
        <v>0</v>
      </c>
      <c r="J3101">
        <v>-18000000</v>
      </c>
      <c r="K3101">
        <v>0</v>
      </c>
      <c r="L3101">
        <v>0</v>
      </c>
      <c r="M3101">
        <v>18000000</v>
      </c>
      <c r="N3101">
        <v>0</v>
      </c>
      <c r="O3101">
        <v>18000000</v>
      </c>
      <c r="P3101">
        <v>0</v>
      </c>
      <c r="Q3101">
        <v>18000000</v>
      </c>
      <c r="R3101" s="14">
        <f>_xlfn.XLOOKUP(Table2[[#This Row],[LoanID]],Table1[G-L ID],Table1[ManagerCode],-99)</f>
        <v>298</v>
      </c>
      <c r="T3101"/>
    </row>
    <row r="3102" spans="1:20" x14ac:dyDescent="0.25">
      <c r="A3102">
        <v>20141031</v>
      </c>
      <c r="B3102">
        <v>2014</v>
      </c>
      <c r="C3102">
        <v>10</v>
      </c>
      <c r="D3102">
        <v>1</v>
      </c>
      <c r="E3102">
        <v>13690</v>
      </c>
      <c r="F3102">
        <v>129166.67</v>
      </c>
      <c r="G3102">
        <v>0</v>
      </c>
      <c r="H3102">
        <v>0</v>
      </c>
      <c r="I3102">
        <v>0</v>
      </c>
      <c r="J3102">
        <v>0</v>
      </c>
      <c r="K3102">
        <v>0</v>
      </c>
      <c r="L3102">
        <v>20000000</v>
      </c>
      <c r="M3102">
        <v>20000000</v>
      </c>
      <c r="N3102">
        <v>20000000</v>
      </c>
      <c r="O3102">
        <v>20000000</v>
      </c>
      <c r="P3102">
        <v>20000000</v>
      </c>
      <c r="Q3102">
        <v>20000000</v>
      </c>
      <c r="R3102" s="14">
        <f>_xlfn.XLOOKUP(Table2[[#This Row],[LoanID]],Table1[G-L ID],Table1[ManagerCode],-99)</f>
        <v>298</v>
      </c>
      <c r="T3102"/>
    </row>
    <row r="3103" spans="1:20" x14ac:dyDescent="0.25">
      <c r="A3103">
        <v>20141031</v>
      </c>
      <c r="B3103">
        <v>2014</v>
      </c>
      <c r="C3103">
        <v>10</v>
      </c>
      <c r="D3103">
        <v>1</v>
      </c>
      <c r="E3103">
        <v>15580</v>
      </c>
      <c r="F3103">
        <v>114960.99</v>
      </c>
      <c r="G3103">
        <v>3764.81</v>
      </c>
      <c r="H3103">
        <v>0</v>
      </c>
      <c r="I3103">
        <v>0</v>
      </c>
      <c r="J3103">
        <v>0</v>
      </c>
      <c r="K3103">
        <v>8440.32</v>
      </c>
      <c r="L3103">
        <v>15028819.51</v>
      </c>
      <c r="M3103">
        <v>15024144</v>
      </c>
      <c r="N3103">
        <v>15028819.51</v>
      </c>
      <c r="O3103">
        <v>15024144</v>
      </c>
      <c r="P3103">
        <v>15028819.51</v>
      </c>
      <c r="Q3103">
        <v>15024144</v>
      </c>
      <c r="R3103" s="14">
        <f>_xlfn.XLOOKUP(Table2[[#This Row],[LoanID]],Table1[G-L ID],Table1[ManagerCode],-99)</f>
        <v>212</v>
      </c>
      <c r="T3103"/>
    </row>
    <row r="3104" spans="1:20" x14ac:dyDescent="0.25">
      <c r="A3104">
        <v>20141130</v>
      </c>
      <c r="B3104">
        <v>2014</v>
      </c>
      <c r="C3104">
        <v>11</v>
      </c>
      <c r="D3104">
        <v>1</v>
      </c>
      <c r="E3104">
        <v>10010</v>
      </c>
      <c r="F3104">
        <v>0</v>
      </c>
      <c r="G3104">
        <v>0</v>
      </c>
      <c r="H3104">
        <v>159375</v>
      </c>
      <c r="I3104">
        <v>0</v>
      </c>
      <c r="J3104">
        <v>-16250000</v>
      </c>
      <c r="K3104">
        <v>0</v>
      </c>
      <c r="L3104">
        <v>0</v>
      </c>
      <c r="M3104">
        <v>16250000</v>
      </c>
      <c r="N3104">
        <v>0</v>
      </c>
      <c r="O3104">
        <v>16250000</v>
      </c>
      <c r="P3104">
        <v>0</v>
      </c>
      <c r="Q3104">
        <v>16250000</v>
      </c>
      <c r="R3104" s="14">
        <f>_xlfn.XLOOKUP(Table2[[#This Row],[LoanID]],Table1[G-L ID],Table1[ManagerCode],-99)</f>
        <v>119</v>
      </c>
      <c r="T3104"/>
    </row>
    <row r="3105" spans="1:20" x14ac:dyDescent="0.25">
      <c r="A3105">
        <v>20141130</v>
      </c>
      <c r="B3105">
        <v>2014</v>
      </c>
      <c r="C3105">
        <v>11</v>
      </c>
      <c r="D3105">
        <v>1</v>
      </c>
      <c r="E3105">
        <v>10050</v>
      </c>
      <c r="F3105">
        <v>153981.01999999999</v>
      </c>
      <c r="G3105">
        <v>0</v>
      </c>
      <c r="H3105">
        <v>0</v>
      </c>
      <c r="I3105">
        <v>0</v>
      </c>
      <c r="J3105">
        <v>0</v>
      </c>
      <c r="K3105">
        <v>0</v>
      </c>
      <c r="L3105">
        <v>38345540.829999998</v>
      </c>
      <c r="M3105">
        <v>38331565.600000001</v>
      </c>
      <c r="N3105">
        <v>38345540.829999998</v>
      </c>
      <c r="O3105">
        <v>38331565.600000001</v>
      </c>
      <c r="P3105">
        <v>33333334</v>
      </c>
      <c r="Q3105">
        <v>33333334</v>
      </c>
      <c r="R3105" s="14">
        <f>_xlfn.XLOOKUP(Table2[[#This Row],[LoanID]],Table1[G-L ID],Table1[ManagerCode],-99)</f>
        <v>103</v>
      </c>
      <c r="T3105"/>
    </row>
    <row r="3106" spans="1:20" x14ac:dyDescent="0.25">
      <c r="A3106">
        <v>20141130</v>
      </c>
      <c r="B3106">
        <v>2014</v>
      </c>
      <c r="C3106">
        <v>11</v>
      </c>
      <c r="D3106">
        <v>1</v>
      </c>
      <c r="E3106">
        <v>10080</v>
      </c>
      <c r="F3106">
        <v>351042.71</v>
      </c>
      <c r="G3106">
        <v>0</v>
      </c>
      <c r="H3106">
        <v>0</v>
      </c>
      <c r="I3106">
        <v>-161.46</v>
      </c>
      <c r="J3106">
        <v>0</v>
      </c>
      <c r="K3106">
        <v>0</v>
      </c>
      <c r="L3106">
        <v>76505785.939999998</v>
      </c>
      <c r="M3106">
        <v>76223043.150000006</v>
      </c>
      <c r="N3106">
        <v>76505785.939999998</v>
      </c>
      <c r="O3106">
        <v>76223043.150000006</v>
      </c>
      <c r="P3106">
        <v>75000000</v>
      </c>
      <c r="Q3106">
        <v>75000000</v>
      </c>
      <c r="R3106" s="14">
        <f>_xlfn.XLOOKUP(Table2[[#This Row],[LoanID]],Table1[G-L ID],Table1[ManagerCode],-99)</f>
        <v>103</v>
      </c>
      <c r="T3106"/>
    </row>
    <row r="3107" spans="1:20" x14ac:dyDescent="0.25">
      <c r="A3107">
        <v>20141130</v>
      </c>
      <c r="B3107">
        <v>2014</v>
      </c>
      <c r="C3107">
        <v>11</v>
      </c>
      <c r="D3107">
        <v>1</v>
      </c>
      <c r="E3107">
        <v>10090</v>
      </c>
      <c r="F3107">
        <v>188152.78</v>
      </c>
      <c r="G3107">
        <v>0</v>
      </c>
      <c r="H3107">
        <v>0</v>
      </c>
      <c r="I3107">
        <v>0</v>
      </c>
      <c r="J3107">
        <v>0</v>
      </c>
      <c r="K3107">
        <v>0</v>
      </c>
      <c r="L3107">
        <v>23000000</v>
      </c>
      <c r="M3107">
        <v>23000000</v>
      </c>
      <c r="N3107">
        <v>23000000</v>
      </c>
      <c r="O3107">
        <v>23000000</v>
      </c>
      <c r="P3107">
        <v>23000000</v>
      </c>
      <c r="Q3107">
        <v>23000000</v>
      </c>
      <c r="R3107" s="14">
        <f>_xlfn.XLOOKUP(Table2[[#This Row],[LoanID]],Table1[G-L ID],Table1[ManagerCode],-99)</f>
        <v>119</v>
      </c>
      <c r="T3107"/>
    </row>
    <row r="3108" spans="1:20" x14ac:dyDescent="0.25">
      <c r="A3108">
        <v>20141130</v>
      </c>
      <c r="B3108">
        <v>2014</v>
      </c>
      <c r="C3108">
        <v>11</v>
      </c>
      <c r="D3108">
        <v>1</v>
      </c>
      <c r="E3108">
        <v>10100</v>
      </c>
      <c r="F3108">
        <v>202697.92</v>
      </c>
      <c r="G3108">
        <v>0</v>
      </c>
      <c r="H3108">
        <v>0</v>
      </c>
      <c r="I3108">
        <v>0</v>
      </c>
      <c r="J3108">
        <v>0</v>
      </c>
      <c r="K3108">
        <v>0</v>
      </c>
      <c r="L3108">
        <v>30500000</v>
      </c>
      <c r="M3108">
        <v>30500000</v>
      </c>
      <c r="N3108">
        <v>30500000</v>
      </c>
      <c r="O3108">
        <v>30500000</v>
      </c>
      <c r="P3108">
        <v>30500000</v>
      </c>
      <c r="Q3108">
        <v>30500000</v>
      </c>
      <c r="R3108" s="14">
        <f>_xlfn.XLOOKUP(Table2[[#This Row],[LoanID]],Table1[G-L ID],Table1[ManagerCode],-99)</f>
        <v>220</v>
      </c>
      <c r="T3108"/>
    </row>
    <row r="3109" spans="1:20" x14ac:dyDescent="0.25">
      <c r="A3109">
        <v>20141130</v>
      </c>
      <c r="B3109">
        <v>2014</v>
      </c>
      <c r="C3109">
        <v>11</v>
      </c>
      <c r="D3109">
        <v>1</v>
      </c>
      <c r="E3109">
        <v>10190</v>
      </c>
      <c r="F3109">
        <v>0</v>
      </c>
      <c r="G3109">
        <v>0</v>
      </c>
      <c r="H3109">
        <v>0</v>
      </c>
      <c r="I3109">
        <v>0</v>
      </c>
      <c r="J3109">
        <v>0</v>
      </c>
      <c r="K3109">
        <v>0</v>
      </c>
      <c r="L3109">
        <v>9500000</v>
      </c>
      <c r="M3109">
        <v>10548379.26</v>
      </c>
      <c r="N3109">
        <v>9500000</v>
      </c>
      <c r="O3109">
        <v>10548379.26</v>
      </c>
      <c r="P3109">
        <v>10000000</v>
      </c>
      <c r="Q3109">
        <v>10000000</v>
      </c>
      <c r="R3109" s="14">
        <f>_xlfn.XLOOKUP(Table2[[#This Row],[LoanID]],Table1[G-L ID],Table1[ManagerCode],-99)</f>
        <v>103</v>
      </c>
      <c r="T3109"/>
    </row>
    <row r="3110" spans="1:20" x14ac:dyDescent="0.25">
      <c r="A3110">
        <v>20141130</v>
      </c>
      <c r="B3110">
        <v>2014</v>
      </c>
      <c r="C3110">
        <v>11</v>
      </c>
      <c r="D3110">
        <v>1</v>
      </c>
      <c r="E3110">
        <v>10200</v>
      </c>
      <c r="F3110">
        <v>128541.67</v>
      </c>
      <c r="G3110">
        <v>0</v>
      </c>
      <c r="H3110">
        <v>0</v>
      </c>
      <c r="I3110">
        <v>0</v>
      </c>
      <c r="J3110">
        <v>0</v>
      </c>
      <c r="K3110">
        <v>0</v>
      </c>
      <c r="L3110">
        <v>29307500</v>
      </c>
      <c r="M3110">
        <v>32541749.84</v>
      </c>
      <c r="N3110">
        <v>29307500</v>
      </c>
      <c r="O3110">
        <v>32541749.84</v>
      </c>
      <c r="P3110">
        <v>30850000</v>
      </c>
      <c r="Q3110">
        <v>30850000</v>
      </c>
      <c r="R3110" s="14">
        <f>_xlfn.XLOOKUP(Table2[[#This Row],[LoanID]],Table1[G-L ID],Table1[ManagerCode],-99)</f>
        <v>103</v>
      </c>
      <c r="T3110"/>
    </row>
    <row r="3111" spans="1:20" x14ac:dyDescent="0.25">
      <c r="A3111">
        <v>20141130</v>
      </c>
      <c r="B3111">
        <v>2014</v>
      </c>
      <c r="C3111">
        <v>11</v>
      </c>
      <c r="D3111">
        <v>1</v>
      </c>
      <c r="E3111">
        <v>10220</v>
      </c>
      <c r="F3111">
        <v>559722.22</v>
      </c>
      <c r="G3111">
        <v>0</v>
      </c>
      <c r="H3111">
        <v>0</v>
      </c>
      <c r="I3111">
        <v>0</v>
      </c>
      <c r="J3111">
        <v>0</v>
      </c>
      <c r="K3111">
        <v>0</v>
      </c>
      <c r="L3111">
        <v>117391562.7</v>
      </c>
      <c r="M3111">
        <v>116941139.2</v>
      </c>
      <c r="N3111">
        <v>117391562.7</v>
      </c>
      <c r="O3111">
        <v>116941139.2</v>
      </c>
      <c r="P3111">
        <v>100000000</v>
      </c>
      <c r="Q3111">
        <v>100000000</v>
      </c>
      <c r="R3111" s="14">
        <f>_xlfn.XLOOKUP(Table2[[#This Row],[LoanID]],Table1[G-L ID],Table1[ManagerCode],-99)</f>
        <v>103</v>
      </c>
      <c r="T3111"/>
    </row>
    <row r="3112" spans="1:20" x14ac:dyDescent="0.25">
      <c r="A3112">
        <v>20141130</v>
      </c>
      <c r="B3112">
        <v>2014</v>
      </c>
      <c r="C3112">
        <v>11</v>
      </c>
      <c r="D3112">
        <v>1</v>
      </c>
      <c r="E3112">
        <v>10230</v>
      </c>
      <c r="F3112">
        <v>169942.64</v>
      </c>
      <c r="G3112">
        <v>0</v>
      </c>
      <c r="H3112">
        <v>0</v>
      </c>
      <c r="I3112">
        <v>0</v>
      </c>
      <c r="J3112">
        <v>0</v>
      </c>
      <c r="K3112">
        <v>71655.429999999993</v>
      </c>
      <c r="L3112">
        <v>28744007.41</v>
      </c>
      <c r="M3112">
        <v>28675934.75</v>
      </c>
      <c r="N3112">
        <v>28744007.41</v>
      </c>
      <c r="O3112">
        <v>28675934.75</v>
      </c>
      <c r="P3112">
        <v>30256849.899999999</v>
      </c>
      <c r="Q3112">
        <v>30185194.469999999</v>
      </c>
      <c r="R3112" s="14">
        <f>_xlfn.XLOOKUP(Table2[[#This Row],[LoanID]],Table1[G-L ID],Table1[ManagerCode],-99)</f>
        <v>103</v>
      </c>
      <c r="T3112"/>
    </row>
    <row r="3113" spans="1:20" x14ac:dyDescent="0.25">
      <c r="A3113">
        <v>20141130</v>
      </c>
      <c r="B3113">
        <v>2014</v>
      </c>
      <c r="C3113">
        <v>11</v>
      </c>
      <c r="D3113">
        <v>1</v>
      </c>
      <c r="E3113">
        <v>10270</v>
      </c>
      <c r="F3113">
        <v>15335.57</v>
      </c>
      <c r="G3113">
        <v>0</v>
      </c>
      <c r="H3113">
        <v>0</v>
      </c>
      <c r="I3113">
        <v>0</v>
      </c>
      <c r="J3113">
        <v>0</v>
      </c>
      <c r="K3113">
        <v>0</v>
      </c>
      <c r="L3113">
        <v>1860000</v>
      </c>
      <c r="M3113">
        <v>1860000</v>
      </c>
      <c r="N3113">
        <v>1860000</v>
      </c>
      <c r="O3113">
        <v>1860000</v>
      </c>
      <c r="P3113">
        <v>1860000</v>
      </c>
      <c r="Q3113">
        <v>1860000</v>
      </c>
      <c r="R3113" s="14">
        <f>_xlfn.XLOOKUP(Table2[[#This Row],[LoanID]],Table1[G-L ID],Table1[ManagerCode],-99)</f>
        <v>119</v>
      </c>
      <c r="T3113"/>
    </row>
    <row r="3114" spans="1:20" x14ac:dyDescent="0.25">
      <c r="A3114">
        <v>20141130</v>
      </c>
      <c r="B3114">
        <v>2014</v>
      </c>
      <c r="C3114">
        <v>11</v>
      </c>
      <c r="D3114">
        <v>1</v>
      </c>
      <c r="E3114">
        <v>10340</v>
      </c>
      <c r="F3114">
        <v>110572.35</v>
      </c>
      <c r="G3114">
        <v>0</v>
      </c>
      <c r="H3114">
        <v>0</v>
      </c>
      <c r="I3114">
        <v>0</v>
      </c>
      <c r="J3114">
        <v>0</v>
      </c>
      <c r="K3114">
        <v>0</v>
      </c>
      <c r="L3114">
        <v>12527473</v>
      </c>
      <c r="M3114">
        <v>12527473</v>
      </c>
      <c r="N3114">
        <v>12527473</v>
      </c>
      <c r="O3114">
        <v>12527473</v>
      </c>
      <c r="P3114">
        <v>12527473</v>
      </c>
      <c r="Q3114">
        <v>12527473</v>
      </c>
      <c r="R3114" s="14">
        <f>_xlfn.XLOOKUP(Table2[[#This Row],[LoanID]],Table1[G-L ID],Table1[ManagerCode],-99)</f>
        <v>220</v>
      </c>
      <c r="T3114"/>
    </row>
    <row r="3115" spans="1:20" x14ac:dyDescent="0.25">
      <c r="A3115">
        <v>20141130</v>
      </c>
      <c r="B3115">
        <v>2014</v>
      </c>
      <c r="C3115">
        <v>11</v>
      </c>
      <c r="D3115">
        <v>1</v>
      </c>
      <c r="E3115">
        <v>10350</v>
      </c>
      <c r="F3115">
        <v>168777.78</v>
      </c>
      <c r="G3115">
        <v>0</v>
      </c>
      <c r="H3115">
        <v>124000</v>
      </c>
      <c r="I3115">
        <v>0</v>
      </c>
      <c r="J3115">
        <v>-24800000</v>
      </c>
      <c r="K3115">
        <v>0</v>
      </c>
      <c r="L3115">
        <v>0</v>
      </c>
      <c r="M3115">
        <v>24800000</v>
      </c>
      <c r="N3115">
        <v>0</v>
      </c>
      <c r="O3115">
        <v>24800000</v>
      </c>
      <c r="P3115">
        <v>0</v>
      </c>
      <c r="Q3115">
        <v>24800000</v>
      </c>
      <c r="R3115" s="14">
        <f>_xlfn.XLOOKUP(Table2[[#This Row],[LoanID]],Table1[G-L ID],Table1[ManagerCode],-99)</f>
        <v>220</v>
      </c>
      <c r="T3115"/>
    </row>
    <row r="3116" spans="1:20" x14ac:dyDescent="0.25">
      <c r="A3116">
        <v>20141130</v>
      </c>
      <c r="B3116">
        <v>2014</v>
      </c>
      <c r="C3116">
        <v>11</v>
      </c>
      <c r="D3116">
        <v>1</v>
      </c>
      <c r="E3116">
        <v>10400</v>
      </c>
      <c r="F3116">
        <v>432880.51</v>
      </c>
      <c r="G3116">
        <v>0</v>
      </c>
      <c r="H3116">
        <v>0</v>
      </c>
      <c r="I3116">
        <v>0</v>
      </c>
      <c r="J3116">
        <v>0</v>
      </c>
      <c r="K3116">
        <v>0</v>
      </c>
      <c r="L3116">
        <v>45000000</v>
      </c>
      <c r="M3116">
        <v>45000000</v>
      </c>
      <c r="N3116">
        <v>45000000</v>
      </c>
      <c r="O3116">
        <v>45000000</v>
      </c>
      <c r="P3116">
        <v>45000000</v>
      </c>
      <c r="Q3116">
        <v>45000000</v>
      </c>
      <c r="R3116" s="14">
        <f>_xlfn.XLOOKUP(Table2[[#This Row],[LoanID]],Table1[G-L ID],Table1[ManagerCode],-99)</f>
        <v>220</v>
      </c>
      <c r="T3116"/>
    </row>
    <row r="3117" spans="1:20" x14ac:dyDescent="0.25">
      <c r="A3117">
        <v>20141130</v>
      </c>
      <c r="B3117">
        <v>2014</v>
      </c>
      <c r="C3117">
        <v>11</v>
      </c>
      <c r="D3117">
        <v>1</v>
      </c>
      <c r="E3117">
        <v>10430</v>
      </c>
      <c r="F3117">
        <v>60732.58</v>
      </c>
      <c r="G3117">
        <v>0</v>
      </c>
      <c r="H3117">
        <v>8535.5</v>
      </c>
      <c r="I3117">
        <v>0</v>
      </c>
      <c r="J3117">
        <v>-4267750</v>
      </c>
      <c r="K3117">
        <v>14875</v>
      </c>
      <c r="L3117">
        <v>6747125</v>
      </c>
      <c r="M3117">
        <v>11000000</v>
      </c>
      <c r="N3117">
        <v>6747125</v>
      </c>
      <c r="O3117">
        <v>11000000</v>
      </c>
      <c r="P3117">
        <v>6747125</v>
      </c>
      <c r="Q3117">
        <v>11000000</v>
      </c>
      <c r="R3117" s="14">
        <f>_xlfn.XLOOKUP(Table2[[#This Row],[LoanID]],Table1[G-L ID],Table1[ManagerCode],-99)</f>
        <v>119</v>
      </c>
      <c r="T3117"/>
    </row>
    <row r="3118" spans="1:20" x14ac:dyDescent="0.25">
      <c r="A3118">
        <v>20141130</v>
      </c>
      <c r="B3118">
        <v>2014</v>
      </c>
      <c r="C3118">
        <v>11</v>
      </c>
      <c r="D3118">
        <v>1</v>
      </c>
      <c r="E3118">
        <v>10460</v>
      </c>
      <c r="F3118">
        <v>0</v>
      </c>
      <c r="G3118">
        <v>0</v>
      </c>
      <c r="H3118">
        <v>0</v>
      </c>
      <c r="I3118">
        <v>0</v>
      </c>
      <c r="J3118">
        <v>0</v>
      </c>
      <c r="K3118">
        <v>0</v>
      </c>
      <c r="L3118">
        <v>59717015.939999998</v>
      </c>
      <c r="M3118">
        <v>59726202.810000002</v>
      </c>
      <c r="N3118">
        <v>59717015.939999998</v>
      </c>
      <c r="O3118">
        <v>59726202.810000002</v>
      </c>
      <c r="P3118">
        <v>60000000</v>
      </c>
      <c r="Q3118">
        <v>60000000</v>
      </c>
      <c r="R3118" s="14">
        <f>_xlfn.XLOOKUP(Table2[[#This Row],[LoanID]],Table1[G-L ID],Table1[ManagerCode],-99)</f>
        <v>103</v>
      </c>
      <c r="T3118"/>
    </row>
    <row r="3119" spans="1:20" x14ac:dyDescent="0.25">
      <c r="A3119">
        <v>20141130</v>
      </c>
      <c r="B3119">
        <v>2014</v>
      </c>
      <c r="C3119">
        <v>11</v>
      </c>
      <c r="D3119">
        <v>1</v>
      </c>
      <c r="E3119">
        <v>10470</v>
      </c>
      <c r="F3119">
        <v>0</v>
      </c>
      <c r="G3119">
        <v>0</v>
      </c>
      <c r="H3119">
        <v>0</v>
      </c>
      <c r="I3119">
        <v>0</v>
      </c>
      <c r="J3119">
        <v>0</v>
      </c>
      <c r="K3119">
        <v>0</v>
      </c>
      <c r="L3119">
        <v>25000000</v>
      </c>
      <c r="M3119">
        <v>25000000</v>
      </c>
      <c r="N3119">
        <v>25000000</v>
      </c>
      <c r="O3119">
        <v>25000000</v>
      </c>
      <c r="P3119">
        <v>25000000</v>
      </c>
      <c r="Q3119">
        <v>25000000</v>
      </c>
      <c r="R3119" s="14">
        <f>_xlfn.XLOOKUP(Table2[[#This Row],[LoanID]],Table1[G-L ID],Table1[ManagerCode],-99)</f>
        <v>103</v>
      </c>
      <c r="T3119"/>
    </row>
    <row r="3120" spans="1:20" x14ac:dyDescent="0.25">
      <c r="A3120">
        <v>20141130</v>
      </c>
      <c r="B3120">
        <v>2014</v>
      </c>
      <c r="C3120">
        <v>11</v>
      </c>
      <c r="D3120">
        <v>1</v>
      </c>
      <c r="E3120">
        <v>10480</v>
      </c>
      <c r="F3120">
        <v>169986.67</v>
      </c>
      <c r="G3120">
        <v>0</v>
      </c>
      <c r="H3120">
        <v>630912.5</v>
      </c>
      <c r="I3120">
        <v>0</v>
      </c>
      <c r="J3120">
        <v>-61000000</v>
      </c>
      <c r="K3120">
        <v>0</v>
      </c>
      <c r="L3120">
        <v>0</v>
      </c>
      <c r="M3120">
        <v>61000000</v>
      </c>
      <c r="N3120">
        <v>0</v>
      </c>
      <c r="O3120">
        <v>61000000</v>
      </c>
      <c r="P3120">
        <v>0</v>
      </c>
      <c r="Q3120">
        <v>61000000</v>
      </c>
      <c r="R3120" s="14">
        <f>_xlfn.XLOOKUP(Table2[[#This Row],[LoanID]],Table1[G-L ID],Table1[ManagerCode],-99)</f>
        <v>119</v>
      </c>
      <c r="T3120"/>
    </row>
    <row r="3121" spans="1:20" x14ac:dyDescent="0.25">
      <c r="A3121">
        <v>20141130</v>
      </c>
      <c r="B3121">
        <v>2014</v>
      </c>
      <c r="C3121">
        <v>11</v>
      </c>
      <c r="D3121">
        <v>1</v>
      </c>
      <c r="E3121">
        <v>10510</v>
      </c>
      <c r="F3121">
        <v>312589.03000000003</v>
      </c>
      <c r="G3121">
        <v>0</v>
      </c>
      <c r="H3121">
        <v>0</v>
      </c>
      <c r="I3121">
        <v>0</v>
      </c>
      <c r="J3121">
        <v>0</v>
      </c>
      <c r="K3121">
        <v>0</v>
      </c>
      <c r="L3121">
        <v>43928249</v>
      </c>
      <c r="M3121">
        <v>43928249</v>
      </c>
      <c r="N3121">
        <v>43928249</v>
      </c>
      <c r="O3121">
        <v>43928249</v>
      </c>
      <c r="P3121">
        <v>43928249</v>
      </c>
      <c r="Q3121">
        <v>43928249</v>
      </c>
      <c r="R3121" s="14">
        <f>_xlfn.XLOOKUP(Table2[[#This Row],[LoanID]],Table1[G-L ID],Table1[ManagerCode],-99)</f>
        <v>220</v>
      </c>
      <c r="T3121"/>
    </row>
    <row r="3122" spans="1:20" x14ac:dyDescent="0.25">
      <c r="A3122">
        <v>20141130</v>
      </c>
      <c r="B3122">
        <v>2014</v>
      </c>
      <c r="C3122">
        <v>11</v>
      </c>
      <c r="D3122">
        <v>1</v>
      </c>
      <c r="E3122">
        <v>10570</v>
      </c>
      <c r="F3122">
        <v>794780.59</v>
      </c>
      <c r="G3122">
        <v>0</v>
      </c>
      <c r="H3122">
        <v>0</v>
      </c>
      <c r="I3122">
        <v>0</v>
      </c>
      <c r="J3122">
        <v>0</v>
      </c>
      <c r="K3122">
        <v>0</v>
      </c>
      <c r="L3122">
        <v>154792698.09999999</v>
      </c>
      <c r="M3122">
        <v>154792698.09999999</v>
      </c>
      <c r="N3122">
        <v>154792698.09999999</v>
      </c>
      <c r="O3122">
        <v>154792698.09999999</v>
      </c>
      <c r="P3122">
        <v>156356260.69999999</v>
      </c>
      <c r="Q3122">
        <v>156356260.69999999</v>
      </c>
      <c r="R3122" s="14">
        <f>_xlfn.XLOOKUP(Table2[[#This Row],[LoanID]],Table1[G-L ID],Table1[ManagerCode],-99)</f>
        <v>103</v>
      </c>
      <c r="T3122"/>
    </row>
    <row r="3123" spans="1:20" x14ac:dyDescent="0.25">
      <c r="A3123">
        <v>20141130</v>
      </c>
      <c r="B3123">
        <v>2014</v>
      </c>
      <c r="C3123">
        <v>11</v>
      </c>
      <c r="D3123">
        <v>1</v>
      </c>
      <c r="E3123">
        <v>10591</v>
      </c>
      <c r="F3123">
        <v>220360</v>
      </c>
      <c r="G3123">
        <v>0</v>
      </c>
      <c r="H3123">
        <v>0</v>
      </c>
      <c r="I3123">
        <v>0</v>
      </c>
      <c r="J3123">
        <v>0</v>
      </c>
      <c r="K3123">
        <v>0</v>
      </c>
      <c r="L3123">
        <v>26143904.25</v>
      </c>
      <c r="M3123">
        <v>26143904.25</v>
      </c>
      <c r="N3123">
        <v>26143904.25</v>
      </c>
      <c r="O3123">
        <v>26143904.25</v>
      </c>
      <c r="P3123">
        <v>25204522.670000002</v>
      </c>
      <c r="Q3123">
        <v>25204522.670000002</v>
      </c>
      <c r="R3123" s="14">
        <f>_xlfn.XLOOKUP(Table2[[#This Row],[LoanID]],Table1[G-L ID],Table1[ManagerCode],-99)</f>
        <v>220</v>
      </c>
      <c r="T3123"/>
    </row>
    <row r="3124" spans="1:20" x14ac:dyDescent="0.25">
      <c r="A3124">
        <v>20141130</v>
      </c>
      <c r="B3124">
        <v>2014</v>
      </c>
      <c r="C3124">
        <v>11</v>
      </c>
      <c r="D3124">
        <v>1</v>
      </c>
      <c r="E3124">
        <v>10592</v>
      </c>
      <c r="F3124">
        <v>365662.57</v>
      </c>
      <c r="G3124">
        <v>0</v>
      </c>
      <c r="H3124">
        <v>0</v>
      </c>
      <c r="I3124">
        <v>0</v>
      </c>
      <c r="J3124">
        <v>0</v>
      </c>
      <c r="K3124">
        <v>0</v>
      </c>
      <c r="L3124">
        <v>38429573.530000001</v>
      </c>
      <c r="M3124">
        <v>38429573.530000001</v>
      </c>
      <c r="N3124">
        <v>38429573.530000001</v>
      </c>
      <c r="O3124">
        <v>38429573.530000001</v>
      </c>
      <c r="P3124">
        <v>37206676.329999998</v>
      </c>
      <c r="Q3124">
        <v>37206676.329999998</v>
      </c>
      <c r="R3124" s="14">
        <f>_xlfn.XLOOKUP(Table2[[#This Row],[LoanID]],Table1[G-L ID],Table1[ManagerCode],-99)</f>
        <v>220</v>
      </c>
      <c r="T3124"/>
    </row>
    <row r="3125" spans="1:20" x14ac:dyDescent="0.25">
      <c r="A3125">
        <v>20141130</v>
      </c>
      <c r="B3125">
        <v>2014</v>
      </c>
      <c r="C3125">
        <v>11</v>
      </c>
      <c r="D3125">
        <v>1</v>
      </c>
      <c r="E3125">
        <v>10640</v>
      </c>
      <c r="F3125">
        <v>104539.77</v>
      </c>
      <c r="G3125">
        <v>0</v>
      </c>
      <c r="H3125">
        <v>0</v>
      </c>
      <c r="I3125">
        <v>0</v>
      </c>
      <c r="J3125">
        <v>0</v>
      </c>
      <c r="K3125">
        <v>0</v>
      </c>
      <c r="L3125">
        <v>12455572.970000001</v>
      </c>
      <c r="M3125">
        <v>12455572.970000001</v>
      </c>
      <c r="N3125">
        <v>12455572.970000001</v>
      </c>
      <c r="O3125">
        <v>12455572.970000001</v>
      </c>
      <c r="P3125">
        <v>12351334</v>
      </c>
      <c r="Q3125">
        <v>12351334</v>
      </c>
      <c r="R3125" s="14">
        <f>_xlfn.XLOOKUP(Table2[[#This Row],[LoanID]],Table1[G-L ID],Table1[ManagerCode],-99)</f>
        <v>220</v>
      </c>
      <c r="T3125"/>
    </row>
    <row r="3126" spans="1:20" x14ac:dyDescent="0.25">
      <c r="A3126">
        <v>20141130</v>
      </c>
      <c r="B3126">
        <v>2014</v>
      </c>
      <c r="C3126">
        <v>11</v>
      </c>
      <c r="D3126">
        <v>1</v>
      </c>
      <c r="E3126">
        <v>10680</v>
      </c>
      <c r="F3126">
        <v>58112.11</v>
      </c>
      <c r="G3126">
        <v>0</v>
      </c>
      <c r="H3126">
        <v>0</v>
      </c>
      <c r="I3126">
        <v>0</v>
      </c>
      <c r="J3126">
        <v>0</v>
      </c>
      <c r="K3126">
        <v>0</v>
      </c>
      <c r="L3126">
        <v>6964400</v>
      </c>
      <c r="M3126">
        <v>6964400</v>
      </c>
      <c r="N3126">
        <v>6964400</v>
      </c>
      <c r="O3126">
        <v>6964400</v>
      </c>
      <c r="P3126">
        <v>6964400</v>
      </c>
      <c r="Q3126">
        <v>6964400</v>
      </c>
      <c r="R3126" s="14">
        <f>_xlfn.XLOOKUP(Table2[[#This Row],[LoanID]],Table1[G-L ID],Table1[ManagerCode],-99)</f>
        <v>119</v>
      </c>
      <c r="T3126"/>
    </row>
    <row r="3127" spans="1:20" x14ac:dyDescent="0.25">
      <c r="A3127">
        <v>20141130</v>
      </c>
      <c r="B3127">
        <v>2014</v>
      </c>
      <c r="C3127">
        <v>11</v>
      </c>
      <c r="D3127">
        <v>1</v>
      </c>
      <c r="E3127">
        <v>10690</v>
      </c>
      <c r="F3127">
        <v>106354.41</v>
      </c>
      <c r="G3127">
        <v>28069.49</v>
      </c>
      <c r="H3127">
        <v>0</v>
      </c>
      <c r="I3127">
        <v>0</v>
      </c>
      <c r="J3127">
        <v>-106354.41</v>
      </c>
      <c r="K3127">
        <v>0</v>
      </c>
      <c r="L3127">
        <v>18348148.539999999</v>
      </c>
      <c r="M3127">
        <v>18482572.440000001</v>
      </c>
      <c r="N3127">
        <v>18348148.539999999</v>
      </c>
      <c r="O3127">
        <v>18482572.440000001</v>
      </c>
      <c r="P3127">
        <v>18348148.539999999</v>
      </c>
      <c r="Q3127">
        <v>18482572.440000001</v>
      </c>
      <c r="R3127" s="14">
        <f>_xlfn.XLOOKUP(Table2[[#This Row],[LoanID]],Table1[G-L ID],Table1[ManagerCode],-99)</f>
        <v>183</v>
      </c>
      <c r="T3127"/>
    </row>
    <row r="3128" spans="1:20" x14ac:dyDescent="0.25">
      <c r="A3128">
        <v>20141130</v>
      </c>
      <c r="B3128">
        <v>2014</v>
      </c>
      <c r="C3128">
        <v>11</v>
      </c>
      <c r="D3128">
        <v>1</v>
      </c>
      <c r="E3128">
        <v>10720</v>
      </c>
      <c r="F3128">
        <v>125000</v>
      </c>
      <c r="G3128">
        <v>69734.19</v>
      </c>
      <c r="H3128">
        <v>0</v>
      </c>
      <c r="I3128">
        <v>0</v>
      </c>
      <c r="J3128">
        <v>0</v>
      </c>
      <c r="K3128">
        <v>0</v>
      </c>
      <c r="L3128">
        <v>16626437.9</v>
      </c>
      <c r="M3128">
        <v>16703342.449999999</v>
      </c>
      <c r="N3128">
        <v>16626437.9</v>
      </c>
      <c r="O3128">
        <v>16703342.449999999</v>
      </c>
      <c r="P3128">
        <v>15076194.84</v>
      </c>
      <c r="Q3128">
        <v>15145929.029999999</v>
      </c>
      <c r="R3128" s="14">
        <f>_xlfn.XLOOKUP(Table2[[#This Row],[LoanID]],Table1[G-L ID],Table1[ManagerCode],-99)</f>
        <v>220</v>
      </c>
      <c r="T3128"/>
    </row>
    <row r="3129" spans="1:20" x14ac:dyDescent="0.25">
      <c r="A3129">
        <v>20141130</v>
      </c>
      <c r="B3129">
        <v>2014</v>
      </c>
      <c r="C3129">
        <v>11</v>
      </c>
      <c r="D3129">
        <v>1</v>
      </c>
      <c r="E3129">
        <v>10780</v>
      </c>
      <c r="F3129">
        <v>311181.44</v>
      </c>
      <c r="G3129">
        <v>0</v>
      </c>
      <c r="H3129">
        <v>0</v>
      </c>
      <c r="I3129">
        <v>0</v>
      </c>
      <c r="J3129">
        <v>0</v>
      </c>
      <c r="K3129">
        <v>0</v>
      </c>
      <c r="L3129">
        <v>43000000</v>
      </c>
      <c r="M3129">
        <v>43000000</v>
      </c>
      <c r="N3129">
        <v>43000000</v>
      </c>
      <c r="O3129">
        <v>43000000</v>
      </c>
      <c r="P3129">
        <v>43000000</v>
      </c>
      <c r="Q3129">
        <v>43000000</v>
      </c>
      <c r="R3129" s="14">
        <f>_xlfn.XLOOKUP(Table2[[#This Row],[LoanID]],Table1[G-L ID],Table1[ManagerCode],-99)</f>
        <v>220</v>
      </c>
      <c r="T3129"/>
    </row>
    <row r="3130" spans="1:20" x14ac:dyDescent="0.25">
      <c r="A3130">
        <v>20141130</v>
      </c>
      <c r="B3130">
        <v>2014</v>
      </c>
      <c r="C3130">
        <v>11</v>
      </c>
      <c r="D3130">
        <v>1</v>
      </c>
      <c r="E3130">
        <v>10800</v>
      </c>
      <c r="F3130">
        <v>216142.33</v>
      </c>
      <c r="G3130">
        <v>0</v>
      </c>
      <c r="H3130">
        <v>0</v>
      </c>
      <c r="I3130">
        <v>0</v>
      </c>
      <c r="J3130">
        <v>0</v>
      </c>
      <c r="K3130">
        <v>0</v>
      </c>
      <c r="L3130">
        <v>26000000</v>
      </c>
      <c r="M3130">
        <v>26000000</v>
      </c>
      <c r="N3130">
        <v>26000000</v>
      </c>
      <c r="O3130">
        <v>26000000</v>
      </c>
      <c r="P3130">
        <v>26000000</v>
      </c>
      <c r="Q3130">
        <v>26000000</v>
      </c>
      <c r="R3130" s="14">
        <f>_xlfn.XLOOKUP(Table2[[#This Row],[LoanID]],Table1[G-L ID],Table1[ManagerCode],-99)</f>
        <v>220</v>
      </c>
      <c r="T3130"/>
    </row>
    <row r="3131" spans="1:20" x14ac:dyDescent="0.25">
      <c r="A3131">
        <v>20141130</v>
      </c>
      <c r="B3131">
        <v>2014</v>
      </c>
      <c r="C3131">
        <v>11</v>
      </c>
      <c r="D3131">
        <v>1</v>
      </c>
      <c r="E3131">
        <v>10820</v>
      </c>
      <c r="F3131">
        <v>182548.65</v>
      </c>
      <c r="G3131">
        <v>0</v>
      </c>
      <c r="H3131">
        <v>0</v>
      </c>
      <c r="I3131">
        <v>0</v>
      </c>
      <c r="J3131">
        <v>-383864</v>
      </c>
      <c r="K3131">
        <v>0</v>
      </c>
      <c r="L3131">
        <v>22314945.739999998</v>
      </c>
      <c r="M3131">
        <v>22698809.739999998</v>
      </c>
      <c r="N3131">
        <v>22314945.739999998</v>
      </c>
      <c r="O3131">
        <v>22698809.739999998</v>
      </c>
      <c r="P3131">
        <v>22314945.739999998</v>
      </c>
      <c r="Q3131">
        <v>22698809.739999998</v>
      </c>
      <c r="R3131" s="14">
        <f>_xlfn.XLOOKUP(Table2[[#This Row],[LoanID]],Table1[G-L ID],Table1[ManagerCode],-99)</f>
        <v>220</v>
      </c>
      <c r="T3131"/>
    </row>
    <row r="3132" spans="1:20" x14ac:dyDescent="0.25">
      <c r="A3132">
        <v>20141130</v>
      </c>
      <c r="B3132">
        <v>2014</v>
      </c>
      <c r="C3132">
        <v>11</v>
      </c>
      <c r="D3132">
        <v>1</v>
      </c>
      <c r="E3132">
        <v>10830</v>
      </c>
      <c r="F3132">
        <v>59591.54</v>
      </c>
      <c r="G3132">
        <v>0</v>
      </c>
      <c r="H3132">
        <v>0</v>
      </c>
      <c r="I3132">
        <v>0</v>
      </c>
      <c r="J3132">
        <v>-43854.38</v>
      </c>
      <c r="K3132">
        <v>0</v>
      </c>
      <c r="L3132">
        <v>7284534.0199999996</v>
      </c>
      <c r="M3132">
        <v>7328388.4000000004</v>
      </c>
      <c r="N3132">
        <v>7284534.0199999996</v>
      </c>
      <c r="O3132">
        <v>7328388.4000000004</v>
      </c>
      <c r="P3132">
        <v>7284534.0199999996</v>
      </c>
      <c r="Q3132">
        <v>7328388.4000000004</v>
      </c>
      <c r="R3132" s="14">
        <f>_xlfn.XLOOKUP(Table2[[#This Row],[LoanID]],Table1[G-L ID],Table1[ManagerCode],-99)</f>
        <v>220</v>
      </c>
      <c r="T3132"/>
    </row>
    <row r="3133" spans="1:20" x14ac:dyDescent="0.25">
      <c r="A3133">
        <v>20141130</v>
      </c>
      <c r="B3133">
        <v>2014</v>
      </c>
      <c r="C3133">
        <v>11</v>
      </c>
      <c r="D3133">
        <v>1</v>
      </c>
      <c r="E3133">
        <v>10840</v>
      </c>
      <c r="F3133">
        <v>103968.23</v>
      </c>
      <c r="G3133">
        <v>0</v>
      </c>
      <c r="H3133">
        <v>0</v>
      </c>
      <c r="I3133">
        <v>0</v>
      </c>
      <c r="J3133">
        <v>0</v>
      </c>
      <c r="K3133">
        <v>0</v>
      </c>
      <c r="L3133">
        <v>12709189</v>
      </c>
      <c r="M3133">
        <v>12709189</v>
      </c>
      <c r="N3133">
        <v>12709189</v>
      </c>
      <c r="O3133">
        <v>12709189</v>
      </c>
      <c r="P3133">
        <v>12709189</v>
      </c>
      <c r="Q3133">
        <v>12709189</v>
      </c>
      <c r="R3133" s="14">
        <f>_xlfn.XLOOKUP(Table2[[#This Row],[LoanID]],Table1[G-L ID],Table1[ManagerCode],-99)</f>
        <v>220</v>
      </c>
      <c r="T3133"/>
    </row>
    <row r="3134" spans="1:20" x14ac:dyDescent="0.25">
      <c r="A3134">
        <v>20141130</v>
      </c>
      <c r="B3134">
        <v>2014</v>
      </c>
      <c r="C3134">
        <v>11</v>
      </c>
      <c r="D3134">
        <v>1</v>
      </c>
      <c r="E3134">
        <v>10850</v>
      </c>
      <c r="F3134">
        <v>110534.78</v>
      </c>
      <c r="G3134">
        <v>0</v>
      </c>
      <c r="H3134">
        <v>0</v>
      </c>
      <c r="I3134">
        <v>0</v>
      </c>
      <c r="J3134">
        <v>0</v>
      </c>
      <c r="K3134">
        <v>0</v>
      </c>
      <c r="L3134">
        <v>13511892</v>
      </c>
      <c r="M3134">
        <v>13511892</v>
      </c>
      <c r="N3134">
        <v>13511892</v>
      </c>
      <c r="O3134">
        <v>13511892</v>
      </c>
      <c r="P3134">
        <v>13511892</v>
      </c>
      <c r="Q3134">
        <v>13511892</v>
      </c>
      <c r="R3134" s="14">
        <f>_xlfn.XLOOKUP(Table2[[#This Row],[LoanID]],Table1[G-L ID],Table1[ManagerCode],-99)</f>
        <v>220</v>
      </c>
      <c r="T3134"/>
    </row>
    <row r="3135" spans="1:20" x14ac:dyDescent="0.25">
      <c r="A3135">
        <v>20141130</v>
      </c>
      <c r="B3135">
        <v>2014</v>
      </c>
      <c r="C3135">
        <v>11</v>
      </c>
      <c r="D3135">
        <v>1</v>
      </c>
      <c r="E3135">
        <v>10860</v>
      </c>
      <c r="F3135">
        <v>117461.58</v>
      </c>
      <c r="G3135">
        <v>0</v>
      </c>
      <c r="H3135">
        <v>0</v>
      </c>
      <c r="I3135">
        <v>0</v>
      </c>
      <c r="J3135">
        <v>0</v>
      </c>
      <c r="K3135">
        <v>0</v>
      </c>
      <c r="L3135">
        <v>19475000</v>
      </c>
      <c r="M3135">
        <v>19475000</v>
      </c>
      <c r="N3135">
        <v>19475000</v>
      </c>
      <c r="O3135">
        <v>19475000</v>
      </c>
      <c r="P3135">
        <v>20500000</v>
      </c>
      <c r="Q3135">
        <v>20500000</v>
      </c>
      <c r="R3135" s="14">
        <f>_xlfn.XLOOKUP(Table2[[#This Row],[LoanID]],Table1[G-L ID],Table1[ManagerCode],-99)</f>
        <v>103</v>
      </c>
      <c r="T3135"/>
    </row>
    <row r="3136" spans="1:20" x14ac:dyDescent="0.25">
      <c r="A3136">
        <v>20141130</v>
      </c>
      <c r="B3136">
        <v>2014</v>
      </c>
      <c r="C3136">
        <v>11</v>
      </c>
      <c r="D3136">
        <v>1</v>
      </c>
      <c r="E3136">
        <v>10900</v>
      </c>
      <c r="F3136">
        <v>80600.95</v>
      </c>
      <c r="G3136">
        <v>0</v>
      </c>
      <c r="H3136">
        <v>0</v>
      </c>
      <c r="I3136">
        <v>0</v>
      </c>
      <c r="J3136">
        <v>0</v>
      </c>
      <c r="K3136">
        <v>3016.11</v>
      </c>
      <c r="L3136">
        <v>8083731.4400000004</v>
      </c>
      <c r="M3136">
        <v>8080866.1299999999</v>
      </c>
      <c r="N3136">
        <v>8083731.4400000004</v>
      </c>
      <c r="O3136">
        <v>8080866.1299999999</v>
      </c>
      <c r="P3136">
        <v>8509190.9800000004</v>
      </c>
      <c r="Q3136">
        <v>8506174.8699999992</v>
      </c>
      <c r="R3136" s="14">
        <f>_xlfn.XLOOKUP(Table2[[#This Row],[LoanID]],Table1[G-L ID],Table1[ManagerCode],-99)</f>
        <v>103</v>
      </c>
      <c r="T3136"/>
    </row>
    <row r="3137" spans="1:20" x14ac:dyDescent="0.25">
      <c r="A3137">
        <v>20141130</v>
      </c>
      <c r="B3137">
        <v>2014</v>
      </c>
      <c r="C3137">
        <v>11</v>
      </c>
      <c r="D3137">
        <v>1</v>
      </c>
      <c r="E3137">
        <v>10920</v>
      </c>
      <c r="F3137">
        <v>148958.32999999999</v>
      </c>
      <c r="G3137">
        <v>0</v>
      </c>
      <c r="H3137">
        <v>0</v>
      </c>
      <c r="I3137">
        <v>0</v>
      </c>
      <c r="J3137">
        <v>0</v>
      </c>
      <c r="K3137">
        <v>11000000</v>
      </c>
      <c r="L3137">
        <v>11000000</v>
      </c>
      <c r="M3137">
        <v>0</v>
      </c>
      <c r="N3137">
        <v>11000000</v>
      </c>
      <c r="O3137">
        <v>0</v>
      </c>
      <c r="P3137">
        <v>11000000</v>
      </c>
      <c r="Q3137">
        <v>0</v>
      </c>
      <c r="R3137" s="14">
        <f>_xlfn.XLOOKUP(Table2[[#This Row],[LoanID]],Table1[G-L ID],Table1[ManagerCode],-99)</f>
        <v>183</v>
      </c>
      <c r="T3137"/>
    </row>
    <row r="3138" spans="1:20" x14ac:dyDescent="0.25">
      <c r="A3138">
        <v>20141130</v>
      </c>
      <c r="B3138">
        <v>2014</v>
      </c>
      <c r="C3138">
        <v>11</v>
      </c>
      <c r="D3138">
        <v>1</v>
      </c>
      <c r="E3138">
        <v>10940</v>
      </c>
      <c r="F3138">
        <v>53778.45</v>
      </c>
      <c r="G3138">
        <v>72538.27</v>
      </c>
      <c r="H3138">
        <v>0</v>
      </c>
      <c r="I3138">
        <v>0</v>
      </c>
      <c r="J3138">
        <v>-53778.45</v>
      </c>
      <c r="K3138">
        <v>0</v>
      </c>
      <c r="L3138">
        <v>10864606.949999999</v>
      </c>
      <c r="M3138">
        <v>10990923.67</v>
      </c>
      <c r="N3138">
        <v>10864606.949999999</v>
      </c>
      <c r="O3138">
        <v>10990923.67</v>
      </c>
      <c r="P3138">
        <v>10864606.949999999</v>
      </c>
      <c r="Q3138">
        <v>10990923.67</v>
      </c>
      <c r="R3138" s="14">
        <f>_xlfn.XLOOKUP(Table2[[#This Row],[LoanID]],Table1[G-L ID],Table1[ManagerCode],-99)</f>
        <v>183</v>
      </c>
      <c r="T3138"/>
    </row>
    <row r="3139" spans="1:20" x14ac:dyDescent="0.25">
      <c r="A3139">
        <v>20141130</v>
      </c>
      <c r="B3139">
        <v>2014</v>
      </c>
      <c r="C3139">
        <v>11</v>
      </c>
      <c r="D3139">
        <v>1</v>
      </c>
      <c r="E3139">
        <v>10960</v>
      </c>
      <c r="F3139">
        <v>68835.17</v>
      </c>
      <c r="G3139">
        <v>0</v>
      </c>
      <c r="H3139">
        <v>0</v>
      </c>
      <c r="I3139">
        <v>0</v>
      </c>
      <c r="J3139">
        <v>0</v>
      </c>
      <c r="K3139">
        <v>0</v>
      </c>
      <c r="L3139">
        <v>6028750</v>
      </c>
      <c r="M3139">
        <v>6028750</v>
      </c>
      <c r="N3139">
        <v>6028750</v>
      </c>
      <c r="O3139">
        <v>6028750</v>
      </c>
      <c r="P3139">
        <v>6028750</v>
      </c>
      <c r="Q3139">
        <v>6028750</v>
      </c>
      <c r="R3139" s="14">
        <f>_xlfn.XLOOKUP(Table2[[#This Row],[LoanID]],Table1[G-L ID],Table1[ManagerCode],-99)</f>
        <v>119</v>
      </c>
      <c r="T3139"/>
    </row>
    <row r="3140" spans="1:20" x14ac:dyDescent="0.25">
      <c r="A3140">
        <v>20141130</v>
      </c>
      <c r="B3140">
        <v>2014</v>
      </c>
      <c r="C3140">
        <v>11</v>
      </c>
      <c r="D3140">
        <v>1</v>
      </c>
      <c r="E3140">
        <v>11030</v>
      </c>
      <c r="F3140">
        <v>69318.33</v>
      </c>
      <c r="G3140">
        <v>0</v>
      </c>
      <c r="H3140">
        <v>0</v>
      </c>
      <c r="I3140">
        <v>0</v>
      </c>
      <c r="J3140">
        <v>0</v>
      </c>
      <c r="K3140">
        <v>0</v>
      </c>
      <c r="L3140">
        <v>8000000</v>
      </c>
      <c r="M3140">
        <v>8000000</v>
      </c>
      <c r="N3140">
        <v>8000000</v>
      </c>
      <c r="O3140">
        <v>8000000</v>
      </c>
      <c r="P3140">
        <v>8000000</v>
      </c>
      <c r="Q3140">
        <v>8000000</v>
      </c>
      <c r="R3140" s="14">
        <f>_xlfn.XLOOKUP(Table2[[#This Row],[LoanID]],Table1[G-L ID],Table1[ManagerCode],-99)</f>
        <v>119</v>
      </c>
      <c r="T3140"/>
    </row>
    <row r="3141" spans="1:20" x14ac:dyDescent="0.25">
      <c r="A3141">
        <v>20141130</v>
      </c>
      <c r="B3141">
        <v>2014</v>
      </c>
      <c r="C3141">
        <v>11</v>
      </c>
      <c r="D3141">
        <v>1</v>
      </c>
      <c r="E3141">
        <v>11040</v>
      </c>
      <c r="F3141">
        <v>523297.22</v>
      </c>
      <c r="G3141">
        <v>0</v>
      </c>
      <c r="H3141">
        <v>0</v>
      </c>
      <c r="I3141">
        <v>0</v>
      </c>
      <c r="J3141">
        <v>0</v>
      </c>
      <c r="K3141">
        <v>0</v>
      </c>
      <c r="L3141">
        <v>50000000</v>
      </c>
      <c r="M3141">
        <v>50000000</v>
      </c>
      <c r="N3141">
        <v>50000000</v>
      </c>
      <c r="O3141">
        <v>50000000</v>
      </c>
      <c r="P3141">
        <v>50000000</v>
      </c>
      <c r="Q3141">
        <v>50000000</v>
      </c>
      <c r="R3141" s="14">
        <f>_xlfn.XLOOKUP(Table2[[#This Row],[LoanID]],Table1[G-L ID],Table1[ManagerCode],-99)</f>
        <v>220</v>
      </c>
      <c r="T3141"/>
    </row>
    <row r="3142" spans="1:20" x14ac:dyDescent="0.25">
      <c r="A3142">
        <v>20141130</v>
      </c>
      <c r="B3142">
        <v>2014</v>
      </c>
      <c r="C3142">
        <v>11</v>
      </c>
      <c r="D3142">
        <v>1</v>
      </c>
      <c r="E3142">
        <v>11050</v>
      </c>
      <c r="F3142">
        <v>300635</v>
      </c>
      <c r="G3142">
        <v>0</v>
      </c>
      <c r="H3142">
        <v>0</v>
      </c>
      <c r="I3142">
        <v>0</v>
      </c>
      <c r="J3142">
        <v>0</v>
      </c>
      <c r="K3142">
        <v>0</v>
      </c>
      <c r="L3142">
        <v>29200000</v>
      </c>
      <c r="M3142">
        <v>29200000</v>
      </c>
      <c r="N3142">
        <v>29200000</v>
      </c>
      <c r="O3142">
        <v>29200000</v>
      </c>
      <c r="P3142">
        <v>28500000</v>
      </c>
      <c r="Q3142">
        <v>28500000</v>
      </c>
      <c r="R3142" s="14">
        <f>_xlfn.XLOOKUP(Table2[[#This Row],[LoanID]],Table1[G-L ID],Table1[ManagerCode],-99)</f>
        <v>220</v>
      </c>
      <c r="T3142"/>
    </row>
    <row r="3143" spans="1:20" x14ac:dyDescent="0.25">
      <c r="A3143">
        <v>20141130</v>
      </c>
      <c r="B3143">
        <v>2014</v>
      </c>
      <c r="C3143">
        <v>11</v>
      </c>
      <c r="D3143">
        <v>1</v>
      </c>
      <c r="E3143">
        <v>11070</v>
      </c>
      <c r="F3143">
        <v>0</v>
      </c>
      <c r="G3143">
        <v>0</v>
      </c>
      <c r="H3143">
        <v>0</v>
      </c>
      <c r="I3143">
        <v>0</v>
      </c>
      <c r="J3143">
        <v>0</v>
      </c>
      <c r="K3143">
        <v>0</v>
      </c>
      <c r="L3143">
        <v>13808294.939999999</v>
      </c>
      <c r="M3143">
        <v>13808294.939999999</v>
      </c>
      <c r="N3143">
        <v>13808294.939999999</v>
      </c>
      <c r="O3143">
        <v>13808294.939999999</v>
      </c>
      <c r="P3143">
        <v>17260368.68</v>
      </c>
      <c r="Q3143">
        <v>17260368.68</v>
      </c>
      <c r="R3143" s="14">
        <f>_xlfn.XLOOKUP(Table2[[#This Row],[LoanID]],Table1[G-L ID],Table1[ManagerCode],-99)</f>
        <v>103</v>
      </c>
      <c r="T3143"/>
    </row>
    <row r="3144" spans="1:20" x14ac:dyDescent="0.25">
      <c r="A3144">
        <v>20141130</v>
      </c>
      <c r="B3144">
        <v>2014</v>
      </c>
      <c r="C3144">
        <v>11</v>
      </c>
      <c r="D3144">
        <v>1</v>
      </c>
      <c r="E3144">
        <v>11100</v>
      </c>
      <c r="F3144">
        <v>104574.66</v>
      </c>
      <c r="G3144">
        <v>0</v>
      </c>
      <c r="H3144">
        <v>0</v>
      </c>
      <c r="I3144">
        <v>0</v>
      </c>
      <c r="J3144">
        <v>0</v>
      </c>
      <c r="K3144">
        <v>0</v>
      </c>
      <c r="L3144">
        <v>29556102.309999999</v>
      </c>
      <c r="M3144">
        <v>29566197.48</v>
      </c>
      <c r="N3144">
        <v>29556102.309999999</v>
      </c>
      <c r="O3144">
        <v>29566197.48</v>
      </c>
      <c r="P3144">
        <v>30001070.920000002</v>
      </c>
      <c r="Q3144">
        <v>30001070.920000002</v>
      </c>
      <c r="R3144" s="14">
        <f>_xlfn.XLOOKUP(Table2[[#This Row],[LoanID]],Table1[G-L ID],Table1[ManagerCode],-99)</f>
        <v>103</v>
      </c>
      <c r="T3144"/>
    </row>
    <row r="3145" spans="1:20" x14ac:dyDescent="0.25">
      <c r="A3145">
        <v>20141130</v>
      </c>
      <c r="B3145">
        <v>2014</v>
      </c>
      <c r="C3145">
        <v>11</v>
      </c>
      <c r="D3145">
        <v>1</v>
      </c>
      <c r="E3145">
        <v>11130</v>
      </c>
      <c r="F3145">
        <v>908157.5</v>
      </c>
      <c r="G3145">
        <v>0</v>
      </c>
      <c r="H3145">
        <v>0</v>
      </c>
      <c r="I3145">
        <v>0</v>
      </c>
      <c r="J3145">
        <v>0</v>
      </c>
      <c r="K3145">
        <v>0</v>
      </c>
      <c r="L3145">
        <v>168150000</v>
      </c>
      <c r="M3145">
        <v>168150000</v>
      </c>
      <c r="N3145">
        <v>168150000</v>
      </c>
      <c r="O3145">
        <v>168150000</v>
      </c>
      <c r="P3145">
        <v>177000000</v>
      </c>
      <c r="Q3145">
        <v>177000000</v>
      </c>
      <c r="R3145" s="14">
        <f>_xlfn.XLOOKUP(Table2[[#This Row],[LoanID]],Table1[G-L ID],Table1[ManagerCode],-99)</f>
        <v>103</v>
      </c>
      <c r="T3145"/>
    </row>
    <row r="3146" spans="1:20" x14ac:dyDescent="0.25">
      <c r="A3146">
        <v>20141130</v>
      </c>
      <c r="B3146">
        <v>2014</v>
      </c>
      <c r="C3146">
        <v>11</v>
      </c>
      <c r="D3146">
        <v>1</v>
      </c>
      <c r="E3146">
        <v>11170</v>
      </c>
      <c r="F3146">
        <v>701181.25</v>
      </c>
      <c r="G3146">
        <v>0</v>
      </c>
      <c r="H3146">
        <v>0</v>
      </c>
      <c r="I3146">
        <v>0</v>
      </c>
      <c r="J3146">
        <v>0</v>
      </c>
      <c r="K3146">
        <v>0</v>
      </c>
      <c r="L3146">
        <v>173249826.80000001</v>
      </c>
      <c r="M3146">
        <v>173249826.80000001</v>
      </c>
      <c r="N3146">
        <v>173249826.80000001</v>
      </c>
      <c r="O3146">
        <v>173249826.80000001</v>
      </c>
      <c r="P3146">
        <v>175000000</v>
      </c>
      <c r="Q3146">
        <v>175000000</v>
      </c>
      <c r="R3146" s="14">
        <f>_xlfn.XLOOKUP(Table2[[#This Row],[LoanID]],Table1[G-L ID],Table1[ManagerCode],-99)</f>
        <v>103</v>
      </c>
      <c r="T3146"/>
    </row>
    <row r="3147" spans="1:20" x14ac:dyDescent="0.25">
      <c r="A3147">
        <v>20141130</v>
      </c>
      <c r="B3147">
        <v>2014</v>
      </c>
      <c r="C3147">
        <v>11</v>
      </c>
      <c r="D3147">
        <v>1</v>
      </c>
      <c r="E3147">
        <v>11250</v>
      </c>
      <c r="F3147">
        <v>0</v>
      </c>
      <c r="G3147">
        <v>9997.24</v>
      </c>
      <c r="H3147">
        <v>168125</v>
      </c>
      <c r="I3147">
        <v>0</v>
      </c>
      <c r="J3147">
        <v>-3332413.26</v>
      </c>
      <c r="K3147">
        <v>0</v>
      </c>
      <c r="L3147">
        <v>0</v>
      </c>
      <c r="M3147">
        <v>3342410.5</v>
      </c>
      <c r="N3147">
        <v>0</v>
      </c>
      <c r="O3147">
        <v>3342410.5</v>
      </c>
      <c r="P3147">
        <v>0</v>
      </c>
      <c r="Q3147">
        <v>3342410.5</v>
      </c>
      <c r="R3147" s="14">
        <f>_xlfn.XLOOKUP(Table2[[#This Row],[LoanID]],Table1[G-L ID],Table1[ManagerCode],-99)</f>
        <v>183</v>
      </c>
      <c r="T3147"/>
    </row>
    <row r="3148" spans="1:20" x14ac:dyDescent="0.25">
      <c r="A3148">
        <v>20141130</v>
      </c>
      <c r="B3148">
        <v>2014</v>
      </c>
      <c r="C3148">
        <v>11</v>
      </c>
      <c r="D3148">
        <v>1</v>
      </c>
      <c r="E3148">
        <v>11320</v>
      </c>
      <c r="F3148">
        <v>97095.61</v>
      </c>
      <c r="G3148">
        <v>0</v>
      </c>
      <c r="H3148">
        <v>0</v>
      </c>
      <c r="I3148">
        <v>0</v>
      </c>
      <c r="J3148">
        <v>0</v>
      </c>
      <c r="K3148">
        <v>18000</v>
      </c>
      <c r="L3148">
        <v>11928000</v>
      </c>
      <c r="M3148">
        <v>11910000</v>
      </c>
      <c r="N3148">
        <v>11928000</v>
      </c>
      <c r="O3148">
        <v>11910000</v>
      </c>
      <c r="P3148">
        <v>11928000</v>
      </c>
      <c r="Q3148">
        <v>11910000</v>
      </c>
      <c r="R3148" s="14">
        <f>_xlfn.XLOOKUP(Table2[[#This Row],[LoanID]],Table1[G-L ID],Table1[ManagerCode],-99)</f>
        <v>119</v>
      </c>
      <c r="T3148"/>
    </row>
    <row r="3149" spans="1:20" x14ac:dyDescent="0.25">
      <c r="A3149">
        <v>20141130</v>
      </c>
      <c r="B3149">
        <v>2014</v>
      </c>
      <c r="C3149">
        <v>11</v>
      </c>
      <c r="D3149">
        <v>1</v>
      </c>
      <c r="E3149">
        <v>11340</v>
      </c>
      <c r="F3149">
        <v>301388.89</v>
      </c>
      <c r="G3149">
        <v>0</v>
      </c>
      <c r="H3149">
        <v>0</v>
      </c>
      <c r="I3149">
        <v>0</v>
      </c>
      <c r="J3149">
        <v>0</v>
      </c>
      <c r="K3149">
        <v>0</v>
      </c>
      <c r="L3149">
        <v>49500000</v>
      </c>
      <c r="M3149">
        <v>49500000</v>
      </c>
      <c r="N3149">
        <v>49500000</v>
      </c>
      <c r="O3149">
        <v>49500000</v>
      </c>
      <c r="P3149">
        <v>50000000</v>
      </c>
      <c r="Q3149">
        <v>50000000</v>
      </c>
      <c r="R3149" s="14">
        <f>_xlfn.XLOOKUP(Table2[[#This Row],[LoanID]],Table1[G-L ID],Table1[ManagerCode],-99)</f>
        <v>103</v>
      </c>
      <c r="T3149"/>
    </row>
    <row r="3150" spans="1:20" x14ac:dyDescent="0.25">
      <c r="A3150">
        <v>20141130</v>
      </c>
      <c r="B3150">
        <v>2014</v>
      </c>
      <c r="C3150">
        <v>11</v>
      </c>
      <c r="D3150">
        <v>1</v>
      </c>
      <c r="E3150">
        <v>11350</v>
      </c>
      <c r="F3150">
        <v>331527.78000000003</v>
      </c>
      <c r="G3150">
        <v>0</v>
      </c>
      <c r="H3150">
        <v>0</v>
      </c>
      <c r="I3150">
        <v>0</v>
      </c>
      <c r="J3150">
        <v>0</v>
      </c>
      <c r="K3150">
        <v>0</v>
      </c>
      <c r="L3150">
        <v>54449945.549999997</v>
      </c>
      <c r="M3150">
        <v>54449945.549999997</v>
      </c>
      <c r="N3150">
        <v>54449945.549999997</v>
      </c>
      <c r="O3150">
        <v>54449945.549999997</v>
      </c>
      <c r="P3150">
        <v>55000000</v>
      </c>
      <c r="Q3150">
        <v>55000000</v>
      </c>
      <c r="R3150" s="14">
        <f>_xlfn.XLOOKUP(Table2[[#This Row],[LoanID]],Table1[G-L ID],Table1[ManagerCode],-99)</f>
        <v>103</v>
      </c>
      <c r="T3150"/>
    </row>
    <row r="3151" spans="1:20" x14ac:dyDescent="0.25">
      <c r="A3151">
        <v>20141130</v>
      </c>
      <c r="B3151">
        <v>2014</v>
      </c>
      <c r="C3151">
        <v>11</v>
      </c>
      <c r="D3151">
        <v>1</v>
      </c>
      <c r="E3151">
        <v>11370</v>
      </c>
      <c r="F3151">
        <v>51763.11</v>
      </c>
      <c r="G3151">
        <v>0</v>
      </c>
      <c r="H3151">
        <v>0</v>
      </c>
      <c r="I3151">
        <v>0</v>
      </c>
      <c r="J3151">
        <v>0</v>
      </c>
      <c r="K3151">
        <v>0</v>
      </c>
      <c r="L3151">
        <v>5525000</v>
      </c>
      <c r="M3151">
        <v>5525000</v>
      </c>
      <c r="N3151">
        <v>5525000</v>
      </c>
      <c r="O3151">
        <v>5525000</v>
      </c>
      <c r="P3151">
        <v>5525000</v>
      </c>
      <c r="Q3151">
        <v>5525000</v>
      </c>
      <c r="R3151" s="14">
        <f>_xlfn.XLOOKUP(Table2[[#This Row],[LoanID]],Table1[G-L ID],Table1[ManagerCode],-99)</f>
        <v>119</v>
      </c>
      <c r="T3151"/>
    </row>
    <row r="3152" spans="1:20" x14ac:dyDescent="0.25">
      <c r="A3152">
        <v>20141130</v>
      </c>
      <c r="B3152">
        <v>2014</v>
      </c>
      <c r="C3152">
        <v>11</v>
      </c>
      <c r="D3152">
        <v>1</v>
      </c>
      <c r="E3152">
        <v>11390</v>
      </c>
      <c r="F3152">
        <v>207743.06</v>
      </c>
      <c r="G3152">
        <v>0</v>
      </c>
      <c r="H3152">
        <v>0</v>
      </c>
      <c r="I3152">
        <v>0</v>
      </c>
      <c r="J3152">
        <v>0</v>
      </c>
      <c r="K3152">
        <v>0</v>
      </c>
      <c r="L3152">
        <v>25000000</v>
      </c>
      <c r="M3152">
        <v>25000000</v>
      </c>
      <c r="N3152">
        <v>25000000</v>
      </c>
      <c r="O3152">
        <v>25000000</v>
      </c>
      <c r="P3152">
        <v>25000000</v>
      </c>
      <c r="Q3152">
        <v>25000000</v>
      </c>
      <c r="R3152" s="14">
        <f>_xlfn.XLOOKUP(Table2[[#This Row],[LoanID]],Table1[G-L ID],Table1[ManagerCode],-99)</f>
        <v>220</v>
      </c>
      <c r="T3152"/>
    </row>
    <row r="3153" spans="1:20" x14ac:dyDescent="0.25">
      <c r="A3153">
        <v>20141130</v>
      </c>
      <c r="B3153">
        <v>2014</v>
      </c>
      <c r="C3153">
        <v>11</v>
      </c>
      <c r="D3153">
        <v>1</v>
      </c>
      <c r="E3153">
        <v>11480</v>
      </c>
      <c r="F3153">
        <v>355819.72</v>
      </c>
      <c r="G3153">
        <v>0</v>
      </c>
      <c r="H3153">
        <v>0</v>
      </c>
      <c r="I3153">
        <v>0</v>
      </c>
      <c r="J3153">
        <v>0</v>
      </c>
      <c r="K3153">
        <v>0</v>
      </c>
      <c r="L3153">
        <v>66500000</v>
      </c>
      <c r="M3153">
        <v>66500000</v>
      </c>
      <c r="N3153">
        <v>66500000</v>
      </c>
      <c r="O3153">
        <v>66500000</v>
      </c>
      <c r="P3153">
        <v>70000000</v>
      </c>
      <c r="Q3153">
        <v>70000000</v>
      </c>
      <c r="R3153" s="14">
        <f>_xlfn.XLOOKUP(Table2[[#This Row],[LoanID]],Table1[G-L ID],Table1[ManagerCode],-99)</f>
        <v>103</v>
      </c>
      <c r="T3153"/>
    </row>
    <row r="3154" spans="1:20" x14ac:dyDescent="0.25">
      <c r="A3154">
        <v>20141130</v>
      </c>
      <c r="B3154">
        <v>2014</v>
      </c>
      <c r="C3154">
        <v>11</v>
      </c>
      <c r="D3154">
        <v>1</v>
      </c>
      <c r="E3154">
        <v>11490</v>
      </c>
      <c r="F3154">
        <v>338774.03</v>
      </c>
      <c r="G3154">
        <v>0</v>
      </c>
      <c r="H3154">
        <v>0</v>
      </c>
      <c r="I3154">
        <v>0</v>
      </c>
      <c r="J3154">
        <v>0</v>
      </c>
      <c r="K3154">
        <v>0</v>
      </c>
      <c r="L3154">
        <v>49500000</v>
      </c>
      <c r="M3154">
        <v>49500000</v>
      </c>
      <c r="N3154">
        <v>49500000</v>
      </c>
      <c r="O3154">
        <v>49500000</v>
      </c>
      <c r="P3154">
        <v>55000000</v>
      </c>
      <c r="Q3154">
        <v>55000000</v>
      </c>
      <c r="R3154" s="14">
        <f>_xlfn.XLOOKUP(Table2[[#This Row],[LoanID]],Table1[G-L ID],Table1[ManagerCode],-99)</f>
        <v>103</v>
      </c>
      <c r="T3154"/>
    </row>
    <row r="3155" spans="1:20" x14ac:dyDescent="0.25">
      <c r="A3155">
        <v>20141130</v>
      </c>
      <c r="B3155">
        <v>2014</v>
      </c>
      <c r="C3155">
        <v>11</v>
      </c>
      <c r="D3155">
        <v>1</v>
      </c>
      <c r="E3155">
        <v>11540</v>
      </c>
      <c r="F3155">
        <v>78826.11</v>
      </c>
      <c r="G3155">
        <v>0</v>
      </c>
      <c r="H3155">
        <v>0</v>
      </c>
      <c r="I3155">
        <v>0</v>
      </c>
      <c r="J3155">
        <v>0</v>
      </c>
      <c r="K3155">
        <v>0</v>
      </c>
      <c r="L3155">
        <v>10000000</v>
      </c>
      <c r="M3155">
        <v>10000000</v>
      </c>
      <c r="N3155">
        <v>10000000</v>
      </c>
      <c r="O3155">
        <v>10000000</v>
      </c>
      <c r="P3155">
        <v>10000000</v>
      </c>
      <c r="Q3155">
        <v>10000000</v>
      </c>
      <c r="R3155" s="14">
        <f>_xlfn.XLOOKUP(Table2[[#This Row],[LoanID]],Table1[G-L ID],Table1[ManagerCode],-99)</f>
        <v>220</v>
      </c>
      <c r="T3155"/>
    </row>
    <row r="3156" spans="1:20" x14ac:dyDescent="0.25">
      <c r="A3156">
        <v>20141130</v>
      </c>
      <c r="B3156">
        <v>2014</v>
      </c>
      <c r="C3156">
        <v>11</v>
      </c>
      <c r="D3156">
        <v>1</v>
      </c>
      <c r="E3156">
        <v>11550</v>
      </c>
      <c r="F3156">
        <v>126814.98</v>
      </c>
      <c r="G3156">
        <v>0</v>
      </c>
      <c r="H3156">
        <v>0</v>
      </c>
      <c r="I3156">
        <v>0.02</v>
      </c>
      <c r="J3156">
        <v>0</v>
      </c>
      <c r="K3156">
        <v>0</v>
      </c>
      <c r="L3156">
        <v>21850021.850000001</v>
      </c>
      <c r="M3156">
        <v>21850000</v>
      </c>
      <c r="N3156">
        <v>21850021.850000001</v>
      </c>
      <c r="O3156">
        <v>21850000</v>
      </c>
      <c r="P3156">
        <v>23000000</v>
      </c>
      <c r="Q3156">
        <v>23000000</v>
      </c>
      <c r="R3156" s="14">
        <f>_xlfn.XLOOKUP(Table2[[#This Row],[LoanID]],Table1[G-L ID],Table1[ManagerCode],-99)</f>
        <v>103</v>
      </c>
      <c r="T3156"/>
    </row>
    <row r="3157" spans="1:20" x14ac:dyDescent="0.25">
      <c r="A3157">
        <v>20141130</v>
      </c>
      <c r="B3157">
        <v>2014</v>
      </c>
      <c r="C3157">
        <v>11</v>
      </c>
      <c r="D3157">
        <v>1</v>
      </c>
      <c r="E3157">
        <v>11560</v>
      </c>
      <c r="F3157">
        <v>126190.78</v>
      </c>
      <c r="G3157">
        <v>121349.79</v>
      </c>
      <c r="H3157">
        <v>0</v>
      </c>
      <c r="I3157">
        <v>0</v>
      </c>
      <c r="J3157">
        <v>0</v>
      </c>
      <c r="K3157">
        <v>0</v>
      </c>
      <c r="L3157">
        <v>14312824.960000001</v>
      </c>
      <c r="M3157">
        <v>14434174.75</v>
      </c>
      <c r="N3157">
        <v>14312824.960000001</v>
      </c>
      <c r="O3157">
        <v>14434174.75</v>
      </c>
      <c r="P3157">
        <v>14312824.960000001</v>
      </c>
      <c r="Q3157">
        <v>14434174.75</v>
      </c>
      <c r="R3157" s="14">
        <f>_xlfn.XLOOKUP(Table2[[#This Row],[LoanID]],Table1[G-L ID],Table1[ManagerCode],-99)</f>
        <v>183</v>
      </c>
      <c r="T3157"/>
    </row>
    <row r="3158" spans="1:20" x14ac:dyDescent="0.25">
      <c r="A3158">
        <v>20141130</v>
      </c>
      <c r="B3158">
        <v>2014</v>
      </c>
      <c r="C3158">
        <v>11</v>
      </c>
      <c r="D3158">
        <v>1</v>
      </c>
      <c r="E3158">
        <v>11580</v>
      </c>
      <c r="F3158">
        <v>122546.88</v>
      </c>
      <c r="G3158">
        <v>0</v>
      </c>
      <c r="H3158">
        <v>0</v>
      </c>
      <c r="I3158">
        <v>0</v>
      </c>
      <c r="J3158">
        <v>0</v>
      </c>
      <c r="K3158">
        <v>0</v>
      </c>
      <c r="L3158">
        <v>15000000</v>
      </c>
      <c r="M3158">
        <v>15000000</v>
      </c>
      <c r="N3158">
        <v>15000000</v>
      </c>
      <c r="O3158">
        <v>15000000</v>
      </c>
      <c r="P3158">
        <v>15000000</v>
      </c>
      <c r="Q3158">
        <v>15000000</v>
      </c>
      <c r="R3158" s="14">
        <f>_xlfn.XLOOKUP(Table2[[#This Row],[LoanID]],Table1[G-L ID],Table1[ManagerCode],-99)</f>
        <v>119</v>
      </c>
      <c r="T3158"/>
    </row>
    <row r="3159" spans="1:20" x14ac:dyDescent="0.25">
      <c r="A3159">
        <v>20141130</v>
      </c>
      <c r="B3159">
        <v>2014</v>
      </c>
      <c r="C3159">
        <v>11</v>
      </c>
      <c r="D3159">
        <v>1</v>
      </c>
      <c r="E3159">
        <v>11620</v>
      </c>
      <c r="F3159">
        <v>100819.8</v>
      </c>
      <c r="G3159">
        <v>0</v>
      </c>
      <c r="H3159">
        <v>0</v>
      </c>
      <c r="I3159">
        <v>0</v>
      </c>
      <c r="J3159">
        <v>0</v>
      </c>
      <c r="K3159">
        <v>10415296.300000001</v>
      </c>
      <c r="L3159">
        <v>10415296.300000001</v>
      </c>
      <c r="M3159">
        <v>0</v>
      </c>
      <c r="N3159">
        <v>10415296.300000001</v>
      </c>
      <c r="O3159">
        <v>0</v>
      </c>
      <c r="P3159">
        <v>10415296.300000001</v>
      </c>
      <c r="Q3159">
        <v>0</v>
      </c>
      <c r="R3159" s="14">
        <f>_xlfn.XLOOKUP(Table2[[#This Row],[LoanID]],Table1[G-L ID],Table1[ManagerCode],-99)</f>
        <v>183</v>
      </c>
      <c r="T3159"/>
    </row>
    <row r="3160" spans="1:20" x14ac:dyDescent="0.25">
      <c r="A3160">
        <v>20141130</v>
      </c>
      <c r="B3160">
        <v>2014</v>
      </c>
      <c r="C3160">
        <v>11</v>
      </c>
      <c r="D3160">
        <v>1</v>
      </c>
      <c r="E3160">
        <v>11650</v>
      </c>
      <c r="F3160">
        <v>75000</v>
      </c>
      <c r="G3160">
        <v>0</v>
      </c>
      <c r="H3160">
        <v>0</v>
      </c>
      <c r="I3160">
        <v>0</v>
      </c>
      <c r="J3160">
        <v>0</v>
      </c>
      <c r="K3160">
        <v>0</v>
      </c>
      <c r="L3160">
        <v>9600000</v>
      </c>
      <c r="M3160">
        <v>9600000</v>
      </c>
      <c r="N3160">
        <v>9600000</v>
      </c>
      <c r="O3160">
        <v>9600000</v>
      </c>
      <c r="P3160">
        <v>12000000</v>
      </c>
      <c r="Q3160">
        <v>12000000</v>
      </c>
      <c r="R3160" s="14">
        <f>_xlfn.XLOOKUP(Table2[[#This Row],[LoanID]],Table1[G-L ID],Table1[ManagerCode],-99)</f>
        <v>103</v>
      </c>
      <c r="T3160"/>
    </row>
    <row r="3161" spans="1:20" x14ac:dyDescent="0.25">
      <c r="A3161">
        <v>20141130</v>
      </c>
      <c r="B3161">
        <v>2014</v>
      </c>
      <c r="C3161">
        <v>11</v>
      </c>
      <c r="D3161">
        <v>1</v>
      </c>
      <c r="E3161">
        <v>11660</v>
      </c>
      <c r="F3161">
        <v>0</v>
      </c>
      <c r="G3161">
        <v>0</v>
      </c>
      <c r="H3161">
        <v>0</v>
      </c>
      <c r="I3161">
        <v>0</v>
      </c>
      <c r="J3161">
        <v>0</v>
      </c>
      <c r="K3161">
        <v>0</v>
      </c>
      <c r="L3161">
        <v>27647178</v>
      </c>
      <c r="M3161">
        <v>27647178</v>
      </c>
      <c r="N3161">
        <v>27647178</v>
      </c>
      <c r="O3161">
        <v>27647178</v>
      </c>
      <c r="P3161">
        <v>27647178</v>
      </c>
      <c r="Q3161">
        <v>27647178</v>
      </c>
      <c r="R3161" s="14">
        <f>_xlfn.XLOOKUP(Table2[[#This Row],[LoanID]],Table1[G-L ID],Table1[ManagerCode],-99)</f>
        <v>183</v>
      </c>
      <c r="T3161"/>
    </row>
    <row r="3162" spans="1:20" x14ac:dyDescent="0.25">
      <c r="A3162">
        <v>20141130</v>
      </c>
      <c r="B3162">
        <v>2014</v>
      </c>
      <c r="C3162">
        <v>11</v>
      </c>
      <c r="D3162">
        <v>1</v>
      </c>
      <c r="E3162">
        <v>11680</v>
      </c>
      <c r="F3162">
        <v>57126.559999999998</v>
      </c>
      <c r="G3162">
        <v>0</v>
      </c>
      <c r="H3162">
        <v>0</v>
      </c>
      <c r="I3162">
        <v>0</v>
      </c>
      <c r="J3162">
        <v>0</v>
      </c>
      <c r="K3162">
        <v>0</v>
      </c>
      <c r="L3162">
        <v>6600000</v>
      </c>
      <c r="M3162">
        <v>6600000</v>
      </c>
      <c r="N3162">
        <v>6600000</v>
      </c>
      <c r="O3162">
        <v>6600000</v>
      </c>
      <c r="P3162">
        <v>6600000</v>
      </c>
      <c r="Q3162">
        <v>6600000</v>
      </c>
      <c r="R3162" s="14">
        <f>_xlfn.XLOOKUP(Table2[[#This Row],[LoanID]],Table1[G-L ID],Table1[ManagerCode],-99)</f>
        <v>183</v>
      </c>
      <c r="T3162"/>
    </row>
    <row r="3163" spans="1:20" x14ac:dyDescent="0.25">
      <c r="A3163">
        <v>20141130</v>
      </c>
      <c r="B3163">
        <v>2014</v>
      </c>
      <c r="C3163">
        <v>11</v>
      </c>
      <c r="D3163">
        <v>1</v>
      </c>
      <c r="E3163">
        <v>11710</v>
      </c>
      <c r="F3163">
        <v>106177.5</v>
      </c>
      <c r="G3163">
        <v>0</v>
      </c>
      <c r="H3163">
        <v>0</v>
      </c>
      <c r="I3163">
        <v>0</v>
      </c>
      <c r="J3163">
        <v>0</v>
      </c>
      <c r="K3163">
        <v>0</v>
      </c>
      <c r="L3163">
        <v>12000000</v>
      </c>
      <c r="M3163">
        <v>12000000</v>
      </c>
      <c r="N3163">
        <v>12000000</v>
      </c>
      <c r="O3163">
        <v>12000000</v>
      </c>
      <c r="P3163">
        <v>12000000</v>
      </c>
      <c r="Q3163">
        <v>12000000</v>
      </c>
      <c r="R3163" s="14">
        <f>_xlfn.XLOOKUP(Table2[[#This Row],[LoanID]],Table1[G-L ID],Table1[ManagerCode],-99)</f>
        <v>119</v>
      </c>
      <c r="T3163"/>
    </row>
    <row r="3164" spans="1:20" x14ac:dyDescent="0.25">
      <c r="A3164">
        <v>20141130</v>
      </c>
      <c r="B3164">
        <v>2014</v>
      </c>
      <c r="C3164">
        <v>11</v>
      </c>
      <c r="D3164">
        <v>1</v>
      </c>
      <c r="E3164">
        <v>11730</v>
      </c>
      <c r="F3164">
        <v>0</v>
      </c>
      <c r="G3164">
        <v>0</v>
      </c>
      <c r="H3164">
        <v>47500</v>
      </c>
      <c r="I3164">
        <v>0</v>
      </c>
      <c r="J3164">
        <v>-4750000</v>
      </c>
      <c r="K3164">
        <v>0</v>
      </c>
      <c r="L3164">
        <v>0</v>
      </c>
      <c r="M3164">
        <v>4750000</v>
      </c>
      <c r="N3164">
        <v>0</v>
      </c>
      <c r="O3164">
        <v>4750000</v>
      </c>
      <c r="P3164">
        <v>0</v>
      </c>
      <c r="Q3164">
        <v>4750000</v>
      </c>
      <c r="R3164" s="14">
        <f>_xlfn.XLOOKUP(Table2[[#This Row],[LoanID]],Table1[G-L ID],Table1[ManagerCode],-99)</f>
        <v>119</v>
      </c>
      <c r="T3164"/>
    </row>
    <row r="3165" spans="1:20" x14ac:dyDescent="0.25">
      <c r="A3165">
        <v>20141130</v>
      </c>
      <c r="B3165">
        <v>2014</v>
      </c>
      <c r="C3165">
        <v>11</v>
      </c>
      <c r="D3165">
        <v>1</v>
      </c>
      <c r="E3165">
        <v>11740</v>
      </c>
      <c r="F3165">
        <v>191100</v>
      </c>
      <c r="G3165">
        <v>0</v>
      </c>
      <c r="H3165">
        <v>0</v>
      </c>
      <c r="I3165">
        <v>0</v>
      </c>
      <c r="J3165">
        <v>0</v>
      </c>
      <c r="K3165">
        <v>0</v>
      </c>
      <c r="L3165">
        <v>19110000</v>
      </c>
      <c r="M3165">
        <v>19110000</v>
      </c>
      <c r="N3165">
        <v>19110000</v>
      </c>
      <c r="O3165">
        <v>19110000</v>
      </c>
      <c r="P3165">
        <v>19110000</v>
      </c>
      <c r="Q3165">
        <v>19110000</v>
      </c>
      <c r="R3165" s="14">
        <f>_xlfn.XLOOKUP(Table2[[#This Row],[LoanID]],Table1[G-L ID],Table1[ManagerCode],-99)</f>
        <v>183</v>
      </c>
      <c r="T3165"/>
    </row>
    <row r="3166" spans="1:20" x14ac:dyDescent="0.25">
      <c r="A3166">
        <v>20141130</v>
      </c>
      <c r="B3166">
        <v>2014</v>
      </c>
      <c r="C3166">
        <v>11</v>
      </c>
      <c r="D3166">
        <v>1</v>
      </c>
      <c r="E3166">
        <v>11810</v>
      </c>
      <c r="F3166">
        <v>49620.7</v>
      </c>
      <c r="G3166">
        <v>0</v>
      </c>
      <c r="H3166">
        <v>0</v>
      </c>
      <c r="I3166">
        <v>0</v>
      </c>
      <c r="J3166">
        <v>0</v>
      </c>
      <c r="K3166">
        <v>11237.39</v>
      </c>
      <c r="L3166">
        <v>9600878.8000000007</v>
      </c>
      <c r="M3166">
        <v>9589753.7799999993</v>
      </c>
      <c r="N3166">
        <v>9600878.8000000007</v>
      </c>
      <c r="O3166">
        <v>9589753.7799999993</v>
      </c>
      <c r="P3166">
        <v>9697857.3599999994</v>
      </c>
      <c r="Q3166">
        <v>9686619.9700000007</v>
      </c>
      <c r="R3166" s="14">
        <f>_xlfn.XLOOKUP(Table2[[#This Row],[LoanID]],Table1[G-L ID],Table1[ManagerCode],-99)</f>
        <v>103</v>
      </c>
      <c r="T3166"/>
    </row>
    <row r="3167" spans="1:20" x14ac:dyDescent="0.25">
      <c r="A3167">
        <v>20141130</v>
      </c>
      <c r="B3167">
        <v>2014</v>
      </c>
      <c r="C3167">
        <v>11</v>
      </c>
      <c r="D3167">
        <v>1</v>
      </c>
      <c r="E3167">
        <v>11840</v>
      </c>
      <c r="F3167">
        <v>52501.8</v>
      </c>
      <c r="G3167">
        <v>98386.95</v>
      </c>
      <c r="H3167">
        <v>0</v>
      </c>
      <c r="I3167">
        <v>0</v>
      </c>
      <c r="J3167">
        <v>0</v>
      </c>
      <c r="K3167">
        <v>0</v>
      </c>
      <c r="L3167">
        <v>12487345.189999999</v>
      </c>
      <c r="M3167">
        <v>12585732.140000001</v>
      </c>
      <c r="N3167">
        <v>12487345.189999999</v>
      </c>
      <c r="O3167">
        <v>12585732.140000001</v>
      </c>
      <c r="P3167">
        <v>12487345.189999999</v>
      </c>
      <c r="Q3167">
        <v>12585732.140000001</v>
      </c>
      <c r="R3167" s="14">
        <f>_xlfn.XLOOKUP(Table2[[#This Row],[LoanID]],Table1[G-L ID],Table1[ManagerCode],-99)</f>
        <v>183</v>
      </c>
      <c r="T3167"/>
    </row>
    <row r="3168" spans="1:20" x14ac:dyDescent="0.25">
      <c r="A3168">
        <v>20141130</v>
      </c>
      <c r="B3168">
        <v>2014</v>
      </c>
      <c r="C3168">
        <v>11</v>
      </c>
      <c r="D3168">
        <v>1</v>
      </c>
      <c r="E3168">
        <v>11880</v>
      </c>
      <c r="F3168">
        <v>194711.39</v>
      </c>
      <c r="G3168">
        <v>125621.16</v>
      </c>
      <c r="H3168">
        <v>0</v>
      </c>
      <c r="I3168">
        <v>0</v>
      </c>
      <c r="J3168">
        <v>-4183466.9</v>
      </c>
      <c r="K3168">
        <v>0</v>
      </c>
      <c r="L3168">
        <v>42279178.170000002</v>
      </c>
      <c r="M3168">
        <v>46588266.229999997</v>
      </c>
      <c r="N3168">
        <v>42279178.170000002</v>
      </c>
      <c r="O3168">
        <v>46588266.229999997</v>
      </c>
      <c r="P3168">
        <v>42279178.170000002</v>
      </c>
      <c r="Q3168">
        <v>46588266.229999997</v>
      </c>
      <c r="R3168" s="14">
        <f>_xlfn.XLOOKUP(Table2[[#This Row],[LoanID]],Table1[G-L ID],Table1[ManagerCode],-99)</f>
        <v>183</v>
      </c>
      <c r="T3168"/>
    </row>
    <row r="3169" spans="1:20" x14ac:dyDescent="0.25">
      <c r="A3169">
        <v>20141130</v>
      </c>
      <c r="B3169">
        <v>2014</v>
      </c>
      <c r="C3169">
        <v>11</v>
      </c>
      <c r="D3169">
        <v>1</v>
      </c>
      <c r="E3169">
        <v>11920</v>
      </c>
      <c r="F3169">
        <v>96625.279999999999</v>
      </c>
      <c r="G3169">
        <v>0</v>
      </c>
      <c r="H3169">
        <v>0</v>
      </c>
      <c r="I3169">
        <v>0</v>
      </c>
      <c r="J3169">
        <v>0</v>
      </c>
      <c r="K3169">
        <v>0</v>
      </c>
      <c r="L3169">
        <v>12250000</v>
      </c>
      <c r="M3169">
        <v>12250000</v>
      </c>
      <c r="N3169">
        <v>12250000</v>
      </c>
      <c r="O3169">
        <v>12250000</v>
      </c>
      <c r="P3169">
        <v>12250000</v>
      </c>
      <c r="Q3169">
        <v>12250000</v>
      </c>
      <c r="R3169" s="14">
        <f>_xlfn.XLOOKUP(Table2[[#This Row],[LoanID]],Table1[G-L ID],Table1[ManagerCode],-99)</f>
        <v>220</v>
      </c>
      <c r="T3169"/>
    </row>
    <row r="3170" spans="1:20" x14ac:dyDescent="0.25">
      <c r="A3170">
        <v>20141130</v>
      </c>
      <c r="B3170">
        <v>2014</v>
      </c>
      <c r="C3170">
        <v>11</v>
      </c>
      <c r="D3170">
        <v>1</v>
      </c>
      <c r="E3170">
        <v>11970</v>
      </c>
      <c r="F3170">
        <v>85000</v>
      </c>
      <c r="G3170">
        <v>62706.96</v>
      </c>
      <c r="H3170">
        <v>0</v>
      </c>
      <c r="I3170">
        <v>0</v>
      </c>
      <c r="J3170">
        <v>0</v>
      </c>
      <c r="K3170">
        <v>0</v>
      </c>
      <c r="L3170">
        <v>9847130.7799999993</v>
      </c>
      <c r="M3170">
        <v>9909837.7400000002</v>
      </c>
      <c r="N3170">
        <v>9847130.7799999993</v>
      </c>
      <c r="O3170">
        <v>9909837.7400000002</v>
      </c>
      <c r="P3170">
        <v>9847130.7799999993</v>
      </c>
      <c r="Q3170">
        <v>9909837.7400000002</v>
      </c>
      <c r="R3170" s="14">
        <f>_xlfn.XLOOKUP(Table2[[#This Row],[LoanID]],Table1[G-L ID],Table1[ManagerCode],-99)</f>
        <v>183</v>
      </c>
      <c r="T3170"/>
    </row>
    <row r="3171" spans="1:20" x14ac:dyDescent="0.25">
      <c r="A3171">
        <v>20141130</v>
      </c>
      <c r="B3171">
        <v>2014</v>
      </c>
      <c r="C3171">
        <v>11</v>
      </c>
      <c r="D3171">
        <v>1</v>
      </c>
      <c r="E3171">
        <v>11990</v>
      </c>
      <c r="F3171">
        <v>12921.67</v>
      </c>
      <c r="G3171">
        <v>0</v>
      </c>
      <c r="H3171">
        <v>75000</v>
      </c>
      <c r="I3171">
        <v>-2123.13</v>
      </c>
      <c r="J3171">
        <v>-15000000</v>
      </c>
      <c r="K3171">
        <v>0</v>
      </c>
      <c r="L3171">
        <v>0</v>
      </c>
      <c r="M3171">
        <v>15000000</v>
      </c>
      <c r="N3171">
        <v>0</v>
      </c>
      <c r="O3171">
        <v>15000000</v>
      </c>
      <c r="P3171">
        <v>0</v>
      </c>
      <c r="Q3171">
        <v>15000000</v>
      </c>
      <c r="R3171" s="14">
        <f>_xlfn.XLOOKUP(Table2[[#This Row],[LoanID]],Table1[G-L ID],Table1[ManagerCode],-99)</f>
        <v>220</v>
      </c>
      <c r="T3171"/>
    </row>
    <row r="3172" spans="1:20" x14ac:dyDescent="0.25">
      <c r="A3172">
        <v>20141130</v>
      </c>
      <c r="B3172">
        <v>2014</v>
      </c>
      <c r="C3172">
        <v>11</v>
      </c>
      <c r="D3172">
        <v>1</v>
      </c>
      <c r="E3172">
        <v>12080</v>
      </c>
      <c r="F3172">
        <v>296966.42</v>
      </c>
      <c r="G3172">
        <v>0</v>
      </c>
      <c r="H3172">
        <v>0</v>
      </c>
      <c r="I3172">
        <v>0</v>
      </c>
      <c r="J3172">
        <v>0</v>
      </c>
      <c r="K3172">
        <v>0</v>
      </c>
      <c r="L3172">
        <v>36609790.950000003</v>
      </c>
      <c r="M3172">
        <v>36609790.950000003</v>
      </c>
      <c r="N3172">
        <v>36609790.950000003</v>
      </c>
      <c r="O3172">
        <v>36609790.950000003</v>
      </c>
      <c r="P3172">
        <v>36609790.950000003</v>
      </c>
      <c r="Q3172">
        <v>36609790.950000003</v>
      </c>
      <c r="R3172" s="14">
        <f>_xlfn.XLOOKUP(Table2[[#This Row],[LoanID]],Table1[G-L ID],Table1[ManagerCode],-99)</f>
        <v>119</v>
      </c>
      <c r="T3172"/>
    </row>
    <row r="3173" spans="1:20" x14ac:dyDescent="0.25">
      <c r="A3173">
        <v>20141130</v>
      </c>
      <c r="B3173">
        <v>2014</v>
      </c>
      <c r="C3173">
        <v>11</v>
      </c>
      <c r="D3173">
        <v>1</v>
      </c>
      <c r="E3173">
        <v>12100</v>
      </c>
      <c r="F3173">
        <v>49975.39</v>
      </c>
      <c r="G3173">
        <v>91803.82</v>
      </c>
      <c r="H3173">
        <v>0</v>
      </c>
      <c r="I3173">
        <v>0</v>
      </c>
      <c r="J3173">
        <v>-49975.39</v>
      </c>
      <c r="K3173">
        <v>0</v>
      </c>
      <c r="L3173">
        <v>11719117.16</v>
      </c>
      <c r="M3173">
        <v>11860896.369999999</v>
      </c>
      <c r="N3173">
        <v>11719117.16</v>
      </c>
      <c r="O3173">
        <v>11860896.369999999</v>
      </c>
      <c r="P3173">
        <v>11719117.16</v>
      </c>
      <c r="Q3173">
        <v>11860896.369999999</v>
      </c>
      <c r="R3173" s="14">
        <f>_xlfn.XLOOKUP(Table2[[#This Row],[LoanID]],Table1[G-L ID],Table1[ManagerCode],-99)</f>
        <v>183</v>
      </c>
      <c r="T3173"/>
    </row>
    <row r="3174" spans="1:20" x14ac:dyDescent="0.25">
      <c r="A3174">
        <v>20141130</v>
      </c>
      <c r="B3174">
        <v>2014</v>
      </c>
      <c r="C3174">
        <v>11</v>
      </c>
      <c r="D3174">
        <v>1</v>
      </c>
      <c r="E3174">
        <v>12160</v>
      </c>
      <c r="F3174">
        <v>32013.919999999998</v>
      </c>
      <c r="G3174">
        <v>52524.38</v>
      </c>
      <c r="H3174">
        <v>0</v>
      </c>
      <c r="I3174">
        <v>0</v>
      </c>
      <c r="J3174">
        <v>-3830718.71</v>
      </c>
      <c r="K3174">
        <v>0</v>
      </c>
      <c r="L3174">
        <v>6705705.5499999998</v>
      </c>
      <c r="M3174">
        <v>10588948.640000001</v>
      </c>
      <c r="N3174">
        <v>6705705.5499999998</v>
      </c>
      <c r="O3174">
        <v>10588948.640000001</v>
      </c>
      <c r="P3174">
        <v>6705705.5499999998</v>
      </c>
      <c r="Q3174">
        <v>10588948.640000001</v>
      </c>
      <c r="R3174" s="14">
        <f>_xlfn.XLOOKUP(Table2[[#This Row],[LoanID]],Table1[G-L ID],Table1[ManagerCode],-99)</f>
        <v>183</v>
      </c>
      <c r="T3174"/>
    </row>
    <row r="3175" spans="1:20" x14ac:dyDescent="0.25">
      <c r="A3175">
        <v>20141130</v>
      </c>
      <c r="B3175">
        <v>2014</v>
      </c>
      <c r="C3175">
        <v>11</v>
      </c>
      <c r="D3175">
        <v>1</v>
      </c>
      <c r="E3175">
        <v>12180</v>
      </c>
      <c r="F3175">
        <v>233576.39</v>
      </c>
      <c r="G3175">
        <v>0</v>
      </c>
      <c r="H3175">
        <v>0</v>
      </c>
      <c r="I3175">
        <v>0</v>
      </c>
      <c r="J3175">
        <v>0</v>
      </c>
      <c r="K3175">
        <v>0</v>
      </c>
      <c r="L3175">
        <v>35000000</v>
      </c>
      <c r="M3175">
        <v>35000000</v>
      </c>
      <c r="N3175">
        <v>35000000</v>
      </c>
      <c r="O3175">
        <v>35000000</v>
      </c>
      <c r="P3175">
        <v>35000000</v>
      </c>
      <c r="Q3175">
        <v>35000000</v>
      </c>
      <c r="R3175" s="14">
        <f>_xlfn.XLOOKUP(Table2[[#This Row],[LoanID]],Table1[G-L ID],Table1[ManagerCode],-99)</f>
        <v>220</v>
      </c>
      <c r="T3175"/>
    </row>
    <row r="3176" spans="1:20" x14ac:dyDescent="0.25">
      <c r="A3176">
        <v>20141130</v>
      </c>
      <c r="B3176">
        <v>2014</v>
      </c>
      <c r="C3176">
        <v>11</v>
      </c>
      <c r="D3176">
        <v>1</v>
      </c>
      <c r="E3176">
        <v>12190</v>
      </c>
      <c r="F3176">
        <v>282875</v>
      </c>
      <c r="G3176">
        <v>0</v>
      </c>
      <c r="H3176">
        <v>0</v>
      </c>
      <c r="I3176">
        <v>0</v>
      </c>
      <c r="J3176">
        <v>0</v>
      </c>
      <c r="K3176">
        <v>0</v>
      </c>
      <c r="L3176">
        <v>37500000</v>
      </c>
      <c r="M3176">
        <v>37500000</v>
      </c>
      <c r="N3176">
        <v>37500000</v>
      </c>
      <c r="O3176">
        <v>37500000</v>
      </c>
      <c r="P3176">
        <v>37500000</v>
      </c>
      <c r="Q3176">
        <v>37500000</v>
      </c>
      <c r="R3176" s="14">
        <f>_xlfn.XLOOKUP(Table2[[#This Row],[LoanID]],Table1[G-L ID],Table1[ManagerCode],-99)</f>
        <v>220</v>
      </c>
      <c r="T3176"/>
    </row>
    <row r="3177" spans="1:20" x14ac:dyDescent="0.25">
      <c r="A3177">
        <v>20141130</v>
      </c>
      <c r="B3177">
        <v>2014</v>
      </c>
      <c r="C3177">
        <v>11</v>
      </c>
      <c r="D3177">
        <v>1</v>
      </c>
      <c r="E3177">
        <v>12210</v>
      </c>
      <c r="F3177">
        <v>678693.2</v>
      </c>
      <c r="G3177">
        <v>0</v>
      </c>
      <c r="H3177">
        <v>0</v>
      </c>
      <c r="I3177">
        <v>0</v>
      </c>
      <c r="J3177">
        <v>0</v>
      </c>
      <c r="K3177">
        <v>219630.93</v>
      </c>
      <c r="L3177">
        <v>125611673.2</v>
      </c>
      <c r="M3177">
        <v>125263126.40000001</v>
      </c>
      <c r="N3177">
        <v>125611673.2</v>
      </c>
      <c r="O3177">
        <v>125263126.40000001</v>
      </c>
      <c r="P3177">
        <v>109813654.8</v>
      </c>
      <c r="Q3177">
        <v>109594023.90000001</v>
      </c>
      <c r="R3177" s="14">
        <f>_xlfn.XLOOKUP(Table2[[#This Row],[LoanID]],Table1[G-L ID],Table1[ManagerCode],-99)</f>
        <v>103</v>
      </c>
      <c r="T3177"/>
    </row>
    <row r="3178" spans="1:20" x14ac:dyDescent="0.25">
      <c r="A3178">
        <v>20141130</v>
      </c>
      <c r="B3178">
        <v>2014</v>
      </c>
      <c r="C3178">
        <v>11</v>
      </c>
      <c r="D3178">
        <v>1</v>
      </c>
      <c r="E3178">
        <v>12230</v>
      </c>
      <c r="F3178">
        <v>101708.75</v>
      </c>
      <c r="G3178">
        <v>0</v>
      </c>
      <c r="H3178">
        <v>0</v>
      </c>
      <c r="I3178">
        <v>0</v>
      </c>
      <c r="J3178">
        <v>0</v>
      </c>
      <c r="K3178">
        <v>49439</v>
      </c>
      <c r="L3178">
        <v>20293412.210000001</v>
      </c>
      <c r="M3178">
        <v>20293412.210000001</v>
      </c>
      <c r="N3178">
        <v>13862300.710000001</v>
      </c>
      <c r="O3178">
        <v>13812861.710000001</v>
      </c>
      <c r="P3178">
        <v>19443597.32</v>
      </c>
      <c r="Q3178">
        <v>19443597.32</v>
      </c>
      <c r="R3178" s="14">
        <f>_xlfn.XLOOKUP(Table2[[#This Row],[LoanID]],Table1[G-L ID],Table1[ManagerCode],-99)</f>
        <v>183</v>
      </c>
      <c r="T3178"/>
    </row>
    <row r="3179" spans="1:20" x14ac:dyDescent="0.25">
      <c r="A3179">
        <v>20141130</v>
      </c>
      <c r="B3179">
        <v>2014</v>
      </c>
      <c r="C3179">
        <v>11</v>
      </c>
      <c r="D3179">
        <v>1</v>
      </c>
      <c r="E3179">
        <v>12240</v>
      </c>
      <c r="F3179">
        <v>0</v>
      </c>
      <c r="G3179">
        <v>1247242.76</v>
      </c>
      <c r="H3179">
        <v>0</v>
      </c>
      <c r="I3179">
        <v>0</v>
      </c>
      <c r="J3179">
        <v>-8814288.1899999995</v>
      </c>
      <c r="K3179">
        <v>0</v>
      </c>
      <c r="L3179">
        <v>37130921.090000004</v>
      </c>
      <c r="M3179">
        <v>47192452.039999999</v>
      </c>
      <c r="N3179">
        <v>37130921.090000004</v>
      </c>
      <c r="O3179">
        <v>47192452.039999999</v>
      </c>
      <c r="P3179">
        <v>37130921.090000004</v>
      </c>
      <c r="Q3179">
        <v>47192452.039999999</v>
      </c>
      <c r="R3179" s="14">
        <f>_xlfn.XLOOKUP(Table2[[#This Row],[LoanID]],Table1[G-L ID],Table1[ManagerCode],-99)</f>
        <v>183</v>
      </c>
      <c r="T3179"/>
    </row>
    <row r="3180" spans="1:20" x14ac:dyDescent="0.25">
      <c r="A3180">
        <v>20141130</v>
      </c>
      <c r="B3180">
        <v>2014</v>
      </c>
      <c r="C3180">
        <v>11</v>
      </c>
      <c r="D3180">
        <v>1</v>
      </c>
      <c r="E3180">
        <v>13630</v>
      </c>
      <c r="F3180">
        <v>0</v>
      </c>
      <c r="G3180">
        <v>0</v>
      </c>
      <c r="H3180">
        <v>0</v>
      </c>
      <c r="I3180">
        <v>0</v>
      </c>
      <c r="J3180">
        <v>0</v>
      </c>
      <c r="K3180">
        <v>0</v>
      </c>
      <c r="L3180">
        <v>35000000</v>
      </c>
      <c r="M3180">
        <v>35000000</v>
      </c>
      <c r="N3180">
        <v>35000000</v>
      </c>
      <c r="O3180">
        <v>35000000</v>
      </c>
      <c r="P3180">
        <v>35000000</v>
      </c>
      <c r="Q3180">
        <v>35000000</v>
      </c>
      <c r="R3180" s="14">
        <f>_xlfn.XLOOKUP(Table2[[#This Row],[LoanID]],Table1[G-L ID],Table1[ManagerCode],-99)</f>
        <v>298</v>
      </c>
      <c r="T3180"/>
    </row>
    <row r="3181" spans="1:20" x14ac:dyDescent="0.25">
      <c r="A3181">
        <v>20141130</v>
      </c>
      <c r="B3181">
        <v>2014</v>
      </c>
      <c r="C3181">
        <v>11</v>
      </c>
      <c r="D3181">
        <v>1</v>
      </c>
      <c r="E3181">
        <v>13670</v>
      </c>
      <c r="F3181">
        <v>279452.08</v>
      </c>
      <c r="G3181">
        <v>0</v>
      </c>
      <c r="H3181">
        <v>0</v>
      </c>
      <c r="I3181">
        <v>0</v>
      </c>
      <c r="J3181">
        <v>0</v>
      </c>
      <c r="K3181">
        <v>0</v>
      </c>
      <c r="L3181">
        <v>37500000</v>
      </c>
      <c r="M3181">
        <v>37500000</v>
      </c>
      <c r="N3181">
        <v>37500000</v>
      </c>
      <c r="O3181">
        <v>37500000</v>
      </c>
      <c r="P3181">
        <v>37500000</v>
      </c>
      <c r="Q3181">
        <v>37500000</v>
      </c>
      <c r="R3181" s="14">
        <f>_xlfn.XLOOKUP(Table2[[#This Row],[LoanID]],Table1[G-L ID],Table1[ManagerCode],-99)</f>
        <v>298</v>
      </c>
      <c r="T3181"/>
    </row>
    <row r="3182" spans="1:20" x14ac:dyDescent="0.25">
      <c r="A3182">
        <v>20141130</v>
      </c>
      <c r="B3182">
        <v>2014</v>
      </c>
      <c r="C3182">
        <v>11</v>
      </c>
      <c r="D3182">
        <v>1</v>
      </c>
      <c r="E3182">
        <v>13680</v>
      </c>
      <c r="F3182">
        <v>0</v>
      </c>
      <c r="G3182">
        <v>0</v>
      </c>
      <c r="H3182">
        <v>0</v>
      </c>
      <c r="I3182">
        <v>0</v>
      </c>
      <c r="J3182">
        <v>0</v>
      </c>
      <c r="K3182">
        <v>0</v>
      </c>
      <c r="L3182">
        <v>18000000</v>
      </c>
      <c r="M3182">
        <v>18000000</v>
      </c>
      <c r="N3182">
        <v>18000000</v>
      </c>
      <c r="O3182">
        <v>18000000</v>
      </c>
      <c r="P3182">
        <v>18000000</v>
      </c>
      <c r="Q3182">
        <v>18000000</v>
      </c>
      <c r="R3182" s="14">
        <f>_xlfn.XLOOKUP(Table2[[#This Row],[LoanID]],Table1[G-L ID],Table1[ManagerCode],-99)</f>
        <v>298</v>
      </c>
      <c r="T3182"/>
    </row>
    <row r="3183" spans="1:20" x14ac:dyDescent="0.25">
      <c r="A3183">
        <v>20141130</v>
      </c>
      <c r="B3183">
        <v>2014</v>
      </c>
      <c r="C3183">
        <v>11</v>
      </c>
      <c r="D3183">
        <v>1</v>
      </c>
      <c r="E3183">
        <v>13690</v>
      </c>
      <c r="F3183">
        <v>133472.22</v>
      </c>
      <c r="G3183">
        <v>0</v>
      </c>
      <c r="H3183">
        <v>0</v>
      </c>
      <c r="I3183">
        <v>0</v>
      </c>
      <c r="J3183">
        <v>0</v>
      </c>
      <c r="K3183">
        <v>0</v>
      </c>
      <c r="L3183">
        <v>20000000</v>
      </c>
      <c r="M3183">
        <v>20000000</v>
      </c>
      <c r="N3183">
        <v>20000000</v>
      </c>
      <c r="O3183">
        <v>20000000</v>
      </c>
      <c r="P3183">
        <v>20000000</v>
      </c>
      <c r="Q3183">
        <v>20000000</v>
      </c>
      <c r="R3183" s="14">
        <f>_xlfn.XLOOKUP(Table2[[#This Row],[LoanID]],Table1[G-L ID],Table1[ManagerCode],-99)</f>
        <v>298</v>
      </c>
      <c r="T3183"/>
    </row>
    <row r="3184" spans="1:20" x14ac:dyDescent="0.25">
      <c r="A3184">
        <v>20141130</v>
      </c>
      <c r="B3184">
        <v>2014</v>
      </c>
      <c r="C3184">
        <v>11</v>
      </c>
      <c r="D3184">
        <v>1</v>
      </c>
      <c r="E3184">
        <v>15580</v>
      </c>
      <c r="F3184">
        <v>118725.8</v>
      </c>
      <c r="G3184">
        <v>-3865.91</v>
      </c>
      <c r="H3184">
        <v>0</v>
      </c>
      <c r="I3184">
        <v>0</v>
      </c>
      <c r="J3184">
        <v>0</v>
      </c>
      <c r="K3184">
        <v>4675.51</v>
      </c>
      <c r="L3184">
        <v>15024144</v>
      </c>
      <c r="M3184">
        <v>15015602.58</v>
      </c>
      <c r="N3184">
        <v>15024144</v>
      </c>
      <c r="O3184">
        <v>15015602.58</v>
      </c>
      <c r="P3184">
        <v>15024144</v>
      </c>
      <c r="Q3184">
        <v>15015602.58</v>
      </c>
      <c r="R3184" s="14">
        <f>_xlfn.XLOOKUP(Table2[[#This Row],[LoanID]],Table1[G-L ID],Table1[ManagerCode],-99)</f>
        <v>212</v>
      </c>
      <c r="T3184"/>
    </row>
    <row r="3185" spans="1:20" x14ac:dyDescent="0.25">
      <c r="A3185">
        <v>20141231</v>
      </c>
      <c r="B3185">
        <v>2014</v>
      </c>
      <c r="C3185">
        <v>12</v>
      </c>
      <c r="D3185">
        <v>1</v>
      </c>
      <c r="E3185">
        <v>10010</v>
      </c>
      <c r="F3185">
        <v>176569.79</v>
      </c>
      <c r="G3185">
        <v>0</v>
      </c>
      <c r="H3185">
        <v>0</v>
      </c>
      <c r="I3185">
        <v>0</v>
      </c>
      <c r="J3185">
        <v>0</v>
      </c>
      <c r="K3185">
        <v>0</v>
      </c>
      <c r="L3185">
        <v>16250000</v>
      </c>
      <c r="M3185">
        <v>16250000</v>
      </c>
      <c r="N3185">
        <v>16250000</v>
      </c>
      <c r="O3185">
        <v>16250000</v>
      </c>
      <c r="P3185">
        <v>16250000</v>
      </c>
      <c r="Q3185">
        <v>16250000</v>
      </c>
      <c r="R3185" s="14">
        <f>_xlfn.XLOOKUP(Table2[[#This Row],[LoanID]],Table1[G-L ID],Table1[ManagerCode],-99)</f>
        <v>119</v>
      </c>
      <c r="T3185"/>
    </row>
    <row r="3186" spans="1:20" x14ac:dyDescent="0.25">
      <c r="A3186">
        <v>20141231</v>
      </c>
      <c r="B3186">
        <v>2014</v>
      </c>
      <c r="C3186">
        <v>12</v>
      </c>
      <c r="D3186">
        <v>1</v>
      </c>
      <c r="E3186">
        <v>10050</v>
      </c>
      <c r="F3186">
        <v>149013.89000000001</v>
      </c>
      <c r="G3186">
        <v>0</v>
      </c>
      <c r="H3186">
        <v>0</v>
      </c>
      <c r="I3186">
        <v>0</v>
      </c>
      <c r="J3186">
        <v>0</v>
      </c>
      <c r="K3186">
        <v>0</v>
      </c>
      <c r="L3186">
        <v>38331565.600000001</v>
      </c>
      <c r="M3186">
        <v>38848030.93</v>
      </c>
      <c r="N3186">
        <v>38331565.600000001</v>
      </c>
      <c r="O3186">
        <v>38848030.93</v>
      </c>
      <c r="P3186">
        <v>33333334</v>
      </c>
      <c r="Q3186">
        <v>33333334</v>
      </c>
      <c r="R3186" s="14">
        <f>_xlfn.XLOOKUP(Table2[[#This Row],[LoanID]],Table1[G-L ID],Table1[ManagerCode],-99)</f>
        <v>103</v>
      </c>
      <c r="T3186"/>
    </row>
    <row r="3187" spans="1:20" x14ac:dyDescent="0.25">
      <c r="A3187">
        <v>20141231</v>
      </c>
      <c r="B3187">
        <v>2014</v>
      </c>
      <c r="C3187">
        <v>12</v>
      </c>
      <c r="D3187">
        <v>1</v>
      </c>
      <c r="E3187">
        <v>10080</v>
      </c>
      <c r="F3187">
        <v>339718.75</v>
      </c>
      <c r="G3187">
        <v>0</v>
      </c>
      <c r="H3187">
        <v>0</v>
      </c>
      <c r="I3187">
        <v>-156.25</v>
      </c>
      <c r="J3187">
        <v>0</v>
      </c>
      <c r="K3187">
        <v>0</v>
      </c>
      <c r="L3187">
        <v>76223043.150000006</v>
      </c>
      <c r="M3187">
        <v>76070148.930000007</v>
      </c>
      <c r="N3187">
        <v>76223043.150000006</v>
      </c>
      <c r="O3187">
        <v>76070148.930000007</v>
      </c>
      <c r="P3187">
        <v>75000000</v>
      </c>
      <c r="Q3187">
        <v>75000000</v>
      </c>
      <c r="R3187" s="14">
        <f>_xlfn.XLOOKUP(Table2[[#This Row],[LoanID]],Table1[G-L ID],Table1[ManagerCode],-99)</f>
        <v>103</v>
      </c>
      <c r="T3187"/>
    </row>
    <row r="3188" spans="1:20" x14ac:dyDescent="0.25">
      <c r="A3188">
        <v>20141231</v>
      </c>
      <c r="B3188">
        <v>2014</v>
      </c>
      <c r="C3188">
        <v>12</v>
      </c>
      <c r="D3188">
        <v>1</v>
      </c>
      <c r="E3188">
        <v>10090</v>
      </c>
      <c r="F3188">
        <v>182083.33</v>
      </c>
      <c r="G3188">
        <v>0</v>
      </c>
      <c r="H3188">
        <v>0</v>
      </c>
      <c r="I3188">
        <v>0</v>
      </c>
      <c r="J3188">
        <v>0</v>
      </c>
      <c r="K3188">
        <v>0</v>
      </c>
      <c r="L3188">
        <v>23000000</v>
      </c>
      <c r="M3188">
        <v>23000000</v>
      </c>
      <c r="N3188">
        <v>23000000</v>
      </c>
      <c r="O3188">
        <v>23000000</v>
      </c>
      <c r="P3188">
        <v>23000000</v>
      </c>
      <c r="Q3188">
        <v>23000000</v>
      </c>
      <c r="R3188" s="14">
        <f>_xlfn.XLOOKUP(Table2[[#This Row],[LoanID]],Table1[G-L ID],Table1[ManagerCode],-99)</f>
        <v>119</v>
      </c>
      <c r="T3188"/>
    </row>
    <row r="3189" spans="1:20" x14ac:dyDescent="0.25">
      <c r="A3189">
        <v>20141231</v>
      </c>
      <c r="B3189">
        <v>2014</v>
      </c>
      <c r="C3189">
        <v>12</v>
      </c>
      <c r="D3189">
        <v>1</v>
      </c>
      <c r="E3189">
        <v>10100</v>
      </c>
      <c r="F3189">
        <v>171986.11</v>
      </c>
      <c r="G3189">
        <v>0</v>
      </c>
      <c r="H3189">
        <v>0</v>
      </c>
      <c r="I3189">
        <v>0</v>
      </c>
      <c r="J3189">
        <v>0</v>
      </c>
      <c r="K3189">
        <v>0</v>
      </c>
      <c r="L3189">
        <v>30500000</v>
      </c>
      <c r="M3189">
        <v>30500000</v>
      </c>
      <c r="N3189">
        <v>30500000</v>
      </c>
      <c r="O3189">
        <v>30500000</v>
      </c>
      <c r="P3189">
        <v>30500000</v>
      </c>
      <c r="Q3189">
        <v>30500000</v>
      </c>
      <c r="R3189" s="14">
        <f>_xlfn.XLOOKUP(Table2[[#This Row],[LoanID]],Table1[G-L ID],Table1[ManagerCode],-99)</f>
        <v>220</v>
      </c>
      <c r="T3189"/>
    </row>
    <row r="3190" spans="1:20" x14ac:dyDescent="0.25">
      <c r="A3190">
        <v>20141231</v>
      </c>
      <c r="B3190">
        <v>2014</v>
      </c>
      <c r="C3190">
        <v>12</v>
      </c>
      <c r="D3190">
        <v>1</v>
      </c>
      <c r="E3190">
        <v>10190</v>
      </c>
      <c r="F3190">
        <v>41666.67</v>
      </c>
      <c r="G3190">
        <v>0</v>
      </c>
      <c r="H3190">
        <v>0</v>
      </c>
      <c r="I3190">
        <v>0</v>
      </c>
      <c r="J3190">
        <v>0</v>
      </c>
      <c r="K3190">
        <v>0</v>
      </c>
      <c r="L3190">
        <v>10548379.26</v>
      </c>
      <c r="M3190">
        <v>10488756.880000001</v>
      </c>
      <c r="N3190">
        <v>10548379.26</v>
      </c>
      <c r="O3190">
        <v>10488756.880000001</v>
      </c>
      <c r="P3190">
        <v>10000000</v>
      </c>
      <c r="Q3190">
        <v>10000000</v>
      </c>
      <c r="R3190" s="14">
        <f>_xlfn.XLOOKUP(Table2[[#This Row],[LoanID]],Table1[G-L ID],Table1[ManagerCode],-99)</f>
        <v>103</v>
      </c>
      <c r="T3190"/>
    </row>
    <row r="3191" spans="1:20" x14ac:dyDescent="0.25">
      <c r="A3191">
        <v>20141231</v>
      </c>
      <c r="B3191">
        <v>2014</v>
      </c>
      <c r="C3191">
        <v>12</v>
      </c>
      <c r="D3191">
        <v>1</v>
      </c>
      <c r="E3191">
        <v>10200</v>
      </c>
      <c r="F3191">
        <v>128541.67</v>
      </c>
      <c r="G3191">
        <v>0</v>
      </c>
      <c r="H3191">
        <v>0</v>
      </c>
      <c r="I3191">
        <v>0</v>
      </c>
      <c r="J3191">
        <v>0</v>
      </c>
      <c r="K3191">
        <v>0</v>
      </c>
      <c r="L3191">
        <v>32541749.84</v>
      </c>
      <c r="M3191">
        <v>32357814.710000001</v>
      </c>
      <c r="N3191">
        <v>32541749.84</v>
      </c>
      <c r="O3191">
        <v>32357814.710000001</v>
      </c>
      <c r="P3191">
        <v>30850000</v>
      </c>
      <c r="Q3191">
        <v>30850000</v>
      </c>
      <c r="R3191" s="14">
        <f>_xlfn.XLOOKUP(Table2[[#This Row],[LoanID]],Table1[G-L ID],Table1[ManagerCode],-99)</f>
        <v>103</v>
      </c>
      <c r="T3191"/>
    </row>
    <row r="3192" spans="1:20" x14ac:dyDescent="0.25">
      <c r="A3192">
        <v>20141231</v>
      </c>
      <c r="B3192">
        <v>2014</v>
      </c>
      <c r="C3192">
        <v>12</v>
      </c>
      <c r="D3192">
        <v>1</v>
      </c>
      <c r="E3192">
        <v>10220</v>
      </c>
      <c r="F3192">
        <v>541666.67000000004</v>
      </c>
      <c r="G3192">
        <v>0</v>
      </c>
      <c r="H3192">
        <v>0</v>
      </c>
      <c r="I3192">
        <v>0</v>
      </c>
      <c r="J3192">
        <v>0</v>
      </c>
      <c r="K3192">
        <v>0</v>
      </c>
      <c r="L3192">
        <v>116941139.2</v>
      </c>
      <c r="M3192">
        <v>117673156.2</v>
      </c>
      <c r="N3192">
        <v>116941139.2</v>
      </c>
      <c r="O3192">
        <v>117673156.2</v>
      </c>
      <c r="P3192">
        <v>100000000</v>
      </c>
      <c r="Q3192">
        <v>100000000</v>
      </c>
      <c r="R3192" s="14">
        <f>_xlfn.XLOOKUP(Table2[[#This Row],[LoanID]],Table1[G-L ID],Table1[ManagerCode],-99)</f>
        <v>103</v>
      </c>
      <c r="T3192"/>
    </row>
    <row r="3193" spans="1:20" x14ac:dyDescent="0.25">
      <c r="A3193">
        <v>20141231</v>
      </c>
      <c r="B3193">
        <v>2014</v>
      </c>
      <c r="C3193">
        <v>12</v>
      </c>
      <c r="D3193">
        <v>1</v>
      </c>
      <c r="E3193">
        <v>10230</v>
      </c>
      <c r="F3193">
        <v>258510.07</v>
      </c>
      <c r="G3193">
        <v>0</v>
      </c>
      <c r="H3193">
        <v>0</v>
      </c>
      <c r="I3193">
        <v>0</v>
      </c>
      <c r="J3193">
        <v>0</v>
      </c>
      <c r="K3193">
        <v>30185194.469999999</v>
      </c>
      <c r="L3193">
        <v>28675934.75</v>
      </c>
      <c r="M3193">
        <v>0</v>
      </c>
      <c r="N3193">
        <v>28675934.75</v>
      </c>
      <c r="O3193">
        <v>0</v>
      </c>
      <c r="P3193">
        <v>30185194.469999999</v>
      </c>
      <c r="Q3193">
        <v>0</v>
      </c>
      <c r="R3193" s="14">
        <f>_xlfn.XLOOKUP(Table2[[#This Row],[LoanID]],Table1[G-L ID],Table1[ManagerCode],-99)</f>
        <v>103</v>
      </c>
      <c r="T3193"/>
    </row>
    <row r="3194" spans="1:20" x14ac:dyDescent="0.25">
      <c r="A3194">
        <v>20141231</v>
      </c>
      <c r="B3194">
        <v>2014</v>
      </c>
      <c r="C3194">
        <v>12</v>
      </c>
      <c r="D3194">
        <v>1</v>
      </c>
      <c r="E3194">
        <v>10240</v>
      </c>
      <c r="F3194">
        <v>0</v>
      </c>
      <c r="G3194">
        <v>0</v>
      </c>
      <c r="H3194">
        <v>0</v>
      </c>
      <c r="I3194">
        <v>-3132</v>
      </c>
      <c r="J3194">
        <v>-10445205.130000001</v>
      </c>
      <c r="K3194">
        <v>0</v>
      </c>
      <c r="L3194">
        <v>0</v>
      </c>
      <c r="M3194">
        <v>10445205</v>
      </c>
      <c r="N3194">
        <v>0</v>
      </c>
      <c r="O3194">
        <v>10445205</v>
      </c>
      <c r="P3194">
        <v>0</v>
      </c>
      <c r="Q3194">
        <v>10445205</v>
      </c>
      <c r="R3194" s="14">
        <f>_xlfn.XLOOKUP(Table2[[#This Row],[LoanID]],Table1[G-L ID],Table1[ManagerCode],-99)</f>
        <v>220</v>
      </c>
      <c r="T3194"/>
    </row>
    <row r="3195" spans="1:20" x14ac:dyDescent="0.25">
      <c r="A3195">
        <v>20141231</v>
      </c>
      <c r="B3195">
        <v>2014</v>
      </c>
      <c r="C3195">
        <v>12</v>
      </c>
      <c r="D3195">
        <v>1</v>
      </c>
      <c r="E3195">
        <v>10260</v>
      </c>
      <c r="F3195">
        <v>0</v>
      </c>
      <c r="G3195">
        <v>0</v>
      </c>
      <c r="H3195">
        <v>0</v>
      </c>
      <c r="I3195">
        <v>-129239.34</v>
      </c>
      <c r="J3195">
        <v>-15000000</v>
      </c>
      <c r="K3195">
        <v>0</v>
      </c>
      <c r="L3195">
        <v>0</v>
      </c>
      <c r="M3195">
        <v>15000000</v>
      </c>
      <c r="N3195">
        <v>0</v>
      </c>
      <c r="O3195">
        <v>15000000</v>
      </c>
      <c r="P3195">
        <v>0</v>
      </c>
      <c r="Q3195">
        <v>15000000</v>
      </c>
      <c r="R3195" s="14">
        <f>_xlfn.XLOOKUP(Table2[[#This Row],[LoanID]],Table1[G-L ID],Table1[ManagerCode],-99)</f>
        <v>220</v>
      </c>
      <c r="T3195"/>
    </row>
    <row r="3196" spans="1:20" x14ac:dyDescent="0.25">
      <c r="A3196">
        <v>20141231</v>
      </c>
      <c r="B3196">
        <v>2014</v>
      </c>
      <c r="C3196">
        <v>12</v>
      </c>
      <c r="D3196">
        <v>1</v>
      </c>
      <c r="E3196">
        <v>10270</v>
      </c>
      <c r="F3196">
        <v>14836.69</v>
      </c>
      <c r="G3196">
        <v>0</v>
      </c>
      <c r="H3196">
        <v>0</v>
      </c>
      <c r="I3196">
        <v>0</v>
      </c>
      <c r="J3196">
        <v>0</v>
      </c>
      <c r="K3196">
        <v>0</v>
      </c>
      <c r="L3196">
        <v>1860000</v>
      </c>
      <c r="M3196">
        <v>1860000</v>
      </c>
      <c r="N3196">
        <v>1860000</v>
      </c>
      <c r="O3196">
        <v>1860000</v>
      </c>
      <c r="P3196">
        <v>1860000</v>
      </c>
      <c r="Q3196">
        <v>1860000</v>
      </c>
      <c r="R3196" s="14">
        <f>_xlfn.XLOOKUP(Table2[[#This Row],[LoanID]],Table1[G-L ID],Table1[ManagerCode],-99)</f>
        <v>119</v>
      </c>
      <c r="T3196"/>
    </row>
    <row r="3197" spans="1:20" x14ac:dyDescent="0.25">
      <c r="A3197">
        <v>20141231</v>
      </c>
      <c r="B3197">
        <v>2014</v>
      </c>
      <c r="C3197">
        <v>12</v>
      </c>
      <c r="D3197">
        <v>1</v>
      </c>
      <c r="E3197">
        <v>10340</v>
      </c>
      <c r="F3197">
        <v>107005.5</v>
      </c>
      <c r="G3197">
        <v>0</v>
      </c>
      <c r="H3197">
        <v>0</v>
      </c>
      <c r="I3197">
        <v>0</v>
      </c>
      <c r="J3197">
        <v>0</v>
      </c>
      <c r="K3197">
        <v>0</v>
      </c>
      <c r="L3197">
        <v>12527473</v>
      </c>
      <c r="M3197">
        <v>12527473</v>
      </c>
      <c r="N3197">
        <v>12527473</v>
      </c>
      <c r="O3197">
        <v>12527473</v>
      </c>
      <c r="P3197">
        <v>12527473</v>
      </c>
      <c r="Q3197">
        <v>12527473</v>
      </c>
      <c r="R3197" s="14">
        <f>_xlfn.XLOOKUP(Table2[[#This Row],[LoanID]],Table1[G-L ID],Table1[ManagerCode],-99)</f>
        <v>220</v>
      </c>
      <c r="T3197"/>
    </row>
    <row r="3198" spans="1:20" x14ac:dyDescent="0.25">
      <c r="A3198">
        <v>20141231</v>
      </c>
      <c r="B3198">
        <v>2014</v>
      </c>
      <c r="C3198">
        <v>12</v>
      </c>
      <c r="D3198">
        <v>1</v>
      </c>
      <c r="E3198">
        <v>10350</v>
      </c>
      <c r="F3198">
        <v>0</v>
      </c>
      <c r="G3198">
        <v>0</v>
      </c>
      <c r="H3198">
        <v>0</v>
      </c>
      <c r="I3198">
        <v>0</v>
      </c>
      <c r="J3198">
        <v>0</v>
      </c>
      <c r="K3198">
        <v>0</v>
      </c>
      <c r="L3198">
        <v>24800000</v>
      </c>
      <c r="M3198">
        <v>24800000</v>
      </c>
      <c r="N3198">
        <v>24800000</v>
      </c>
      <c r="O3198">
        <v>24800000</v>
      </c>
      <c r="P3198">
        <v>24800000</v>
      </c>
      <c r="Q3198">
        <v>24800000</v>
      </c>
      <c r="R3198" s="14">
        <f>_xlfn.XLOOKUP(Table2[[#This Row],[LoanID]],Table1[G-L ID],Table1[ManagerCode],-99)</f>
        <v>220</v>
      </c>
      <c r="T3198"/>
    </row>
    <row r="3199" spans="1:20" x14ac:dyDescent="0.25">
      <c r="A3199">
        <v>20141231</v>
      </c>
      <c r="B3199">
        <v>2014</v>
      </c>
      <c r="C3199">
        <v>12</v>
      </c>
      <c r="D3199">
        <v>1</v>
      </c>
      <c r="E3199">
        <v>10400</v>
      </c>
      <c r="F3199">
        <v>418916.63</v>
      </c>
      <c r="G3199">
        <v>0</v>
      </c>
      <c r="H3199">
        <v>0</v>
      </c>
      <c r="I3199">
        <v>0</v>
      </c>
      <c r="J3199">
        <v>0</v>
      </c>
      <c r="K3199">
        <v>0</v>
      </c>
      <c r="L3199">
        <v>45000000</v>
      </c>
      <c r="M3199">
        <v>45000000</v>
      </c>
      <c r="N3199">
        <v>45000000</v>
      </c>
      <c r="O3199">
        <v>45000000</v>
      </c>
      <c r="P3199">
        <v>45000000</v>
      </c>
      <c r="Q3199">
        <v>45000000</v>
      </c>
      <c r="R3199" s="14">
        <f>_xlfn.XLOOKUP(Table2[[#This Row],[LoanID]],Table1[G-L ID],Table1[ManagerCode],-99)</f>
        <v>220</v>
      </c>
      <c r="T3199"/>
    </row>
    <row r="3200" spans="1:20" x14ac:dyDescent="0.25">
      <c r="A3200">
        <v>20141231</v>
      </c>
      <c r="B3200">
        <v>2014</v>
      </c>
      <c r="C3200">
        <v>12</v>
      </c>
      <c r="D3200">
        <v>1</v>
      </c>
      <c r="E3200">
        <v>10430</v>
      </c>
      <c r="F3200">
        <v>69843.210000000006</v>
      </c>
      <c r="G3200">
        <v>0</v>
      </c>
      <c r="H3200">
        <v>0</v>
      </c>
      <c r="I3200">
        <v>0</v>
      </c>
      <c r="J3200">
        <v>0</v>
      </c>
      <c r="K3200">
        <v>23400</v>
      </c>
      <c r="L3200">
        <v>11000000</v>
      </c>
      <c r="M3200">
        <v>10976600</v>
      </c>
      <c r="N3200">
        <v>11000000</v>
      </c>
      <c r="O3200">
        <v>10976600</v>
      </c>
      <c r="P3200">
        <v>11000000</v>
      </c>
      <c r="Q3200">
        <v>10976600</v>
      </c>
      <c r="R3200" s="14">
        <f>_xlfn.XLOOKUP(Table2[[#This Row],[LoanID]],Table1[G-L ID],Table1[ManagerCode],-99)</f>
        <v>119</v>
      </c>
      <c r="T3200"/>
    </row>
    <row r="3201" spans="1:20" x14ac:dyDescent="0.25">
      <c r="A3201">
        <v>20141231</v>
      </c>
      <c r="B3201">
        <v>2014</v>
      </c>
      <c r="C3201">
        <v>12</v>
      </c>
      <c r="D3201">
        <v>1</v>
      </c>
      <c r="E3201">
        <v>10460</v>
      </c>
      <c r="F3201">
        <v>120500</v>
      </c>
      <c r="G3201">
        <v>0</v>
      </c>
      <c r="H3201">
        <v>0</v>
      </c>
      <c r="I3201">
        <v>0</v>
      </c>
      <c r="J3201">
        <v>0</v>
      </c>
      <c r="K3201">
        <v>0</v>
      </c>
      <c r="L3201">
        <v>59726202.810000002</v>
      </c>
      <c r="M3201">
        <v>59735386.020000003</v>
      </c>
      <c r="N3201">
        <v>59726202.810000002</v>
      </c>
      <c r="O3201">
        <v>59735386.020000003</v>
      </c>
      <c r="P3201">
        <v>60000000</v>
      </c>
      <c r="Q3201">
        <v>60000000</v>
      </c>
      <c r="R3201" s="14">
        <f>_xlfn.XLOOKUP(Table2[[#This Row],[LoanID]],Table1[G-L ID],Table1[ManagerCode],-99)</f>
        <v>103</v>
      </c>
      <c r="T3201"/>
    </row>
    <row r="3202" spans="1:20" x14ac:dyDescent="0.25">
      <c r="A3202">
        <v>20141231</v>
      </c>
      <c r="B3202">
        <v>2014</v>
      </c>
      <c r="C3202">
        <v>12</v>
      </c>
      <c r="D3202">
        <v>1</v>
      </c>
      <c r="E3202">
        <v>10470</v>
      </c>
      <c r="F3202">
        <v>55416.67</v>
      </c>
      <c r="G3202">
        <v>0</v>
      </c>
      <c r="H3202">
        <v>0</v>
      </c>
      <c r="I3202">
        <v>0</v>
      </c>
      <c r="J3202">
        <v>0</v>
      </c>
      <c r="K3202">
        <v>0</v>
      </c>
      <c r="L3202">
        <v>25000000</v>
      </c>
      <c r="M3202">
        <v>25000000</v>
      </c>
      <c r="N3202">
        <v>25000000</v>
      </c>
      <c r="O3202">
        <v>25000000</v>
      </c>
      <c r="P3202">
        <v>25000000</v>
      </c>
      <c r="Q3202">
        <v>25000000</v>
      </c>
      <c r="R3202" s="14">
        <f>_xlfn.XLOOKUP(Table2[[#This Row],[LoanID]],Table1[G-L ID],Table1[ManagerCode],-99)</f>
        <v>103</v>
      </c>
      <c r="T3202"/>
    </row>
    <row r="3203" spans="1:20" x14ac:dyDescent="0.25">
      <c r="A3203">
        <v>20141231</v>
      </c>
      <c r="B3203">
        <v>2014</v>
      </c>
      <c r="C3203">
        <v>12</v>
      </c>
      <c r="D3203">
        <v>1</v>
      </c>
      <c r="E3203">
        <v>10480</v>
      </c>
      <c r="F3203">
        <v>0</v>
      </c>
      <c r="G3203">
        <v>0</v>
      </c>
      <c r="H3203">
        <v>-410093.13</v>
      </c>
      <c r="I3203">
        <v>0</v>
      </c>
      <c r="J3203">
        <v>39650000</v>
      </c>
      <c r="K3203">
        <v>0</v>
      </c>
      <c r="L3203">
        <v>61000000</v>
      </c>
      <c r="M3203">
        <v>21350000</v>
      </c>
      <c r="N3203">
        <v>61000000</v>
      </c>
      <c r="O3203">
        <v>21350000</v>
      </c>
      <c r="P3203">
        <v>61000000</v>
      </c>
      <c r="Q3203">
        <v>21350000</v>
      </c>
      <c r="R3203" s="14">
        <f>_xlfn.XLOOKUP(Table2[[#This Row],[LoanID]],Table1[G-L ID],Table1[ManagerCode],-99)</f>
        <v>119</v>
      </c>
      <c r="T3203"/>
    </row>
    <row r="3204" spans="1:20" x14ac:dyDescent="0.25">
      <c r="A3204">
        <v>20141231</v>
      </c>
      <c r="B3204">
        <v>2014</v>
      </c>
      <c r="C3204">
        <v>12</v>
      </c>
      <c r="D3204">
        <v>1</v>
      </c>
      <c r="E3204">
        <v>10510</v>
      </c>
      <c r="F3204">
        <v>265291.96999999997</v>
      </c>
      <c r="G3204">
        <v>0</v>
      </c>
      <c r="H3204">
        <v>0</v>
      </c>
      <c r="I3204">
        <v>0</v>
      </c>
      <c r="J3204">
        <v>0</v>
      </c>
      <c r="K3204">
        <v>0</v>
      </c>
      <c r="L3204">
        <v>43928249</v>
      </c>
      <c r="M3204">
        <v>43928249</v>
      </c>
      <c r="N3204">
        <v>43928249</v>
      </c>
      <c r="O3204">
        <v>43928249</v>
      </c>
      <c r="P3204">
        <v>43928249</v>
      </c>
      <c r="Q3204">
        <v>43928249</v>
      </c>
      <c r="R3204" s="14">
        <f>_xlfn.XLOOKUP(Table2[[#This Row],[LoanID]],Table1[G-L ID],Table1[ManagerCode],-99)</f>
        <v>220</v>
      </c>
      <c r="T3204"/>
    </row>
    <row r="3205" spans="1:20" x14ac:dyDescent="0.25">
      <c r="A3205">
        <v>20141231</v>
      </c>
      <c r="B3205">
        <v>2014</v>
      </c>
      <c r="C3205">
        <v>12</v>
      </c>
      <c r="D3205">
        <v>1</v>
      </c>
      <c r="E3205">
        <v>10570</v>
      </c>
      <c r="F3205">
        <v>769403.1</v>
      </c>
      <c r="G3205">
        <v>0</v>
      </c>
      <c r="H3205">
        <v>0</v>
      </c>
      <c r="I3205">
        <v>0.01</v>
      </c>
      <c r="J3205">
        <v>0</v>
      </c>
      <c r="K3205">
        <v>0</v>
      </c>
      <c r="L3205">
        <v>154792698.09999999</v>
      </c>
      <c r="M3205">
        <v>156273274</v>
      </c>
      <c r="N3205">
        <v>154792698.09999999</v>
      </c>
      <c r="O3205">
        <v>156273274</v>
      </c>
      <c r="P3205">
        <v>156356260.69999999</v>
      </c>
      <c r="Q3205">
        <v>156356260.69999999</v>
      </c>
      <c r="R3205" s="14">
        <f>_xlfn.XLOOKUP(Table2[[#This Row],[LoanID]],Table1[G-L ID],Table1[ManagerCode],-99)</f>
        <v>103</v>
      </c>
      <c r="T3205"/>
    </row>
    <row r="3206" spans="1:20" x14ac:dyDescent="0.25">
      <c r="A3206">
        <v>20141231</v>
      </c>
      <c r="B3206">
        <v>2014</v>
      </c>
      <c r="C3206">
        <v>12</v>
      </c>
      <c r="D3206">
        <v>1</v>
      </c>
      <c r="E3206">
        <v>10591</v>
      </c>
      <c r="F3206">
        <v>213269.82</v>
      </c>
      <c r="G3206">
        <v>0</v>
      </c>
      <c r="H3206">
        <v>0</v>
      </c>
      <c r="I3206">
        <v>0</v>
      </c>
      <c r="J3206">
        <v>0</v>
      </c>
      <c r="K3206">
        <v>0</v>
      </c>
      <c r="L3206">
        <v>26143904.25</v>
      </c>
      <c r="M3206">
        <v>26143904.25</v>
      </c>
      <c r="N3206">
        <v>26143904.25</v>
      </c>
      <c r="O3206">
        <v>26143904.25</v>
      </c>
      <c r="P3206">
        <v>25204522.670000002</v>
      </c>
      <c r="Q3206">
        <v>25204522.670000002</v>
      </c>
      <c r="R3206" s="14">
        <f>_xlfn.XLOOKUP(Table2[[#This Row],[LoanID]],Table1[G-L ID],Table1[ManagerCode],-99)</f>
        <v>220</v>
      </c>
      <c r="T3206"/>
    </row>
    <row r="3207" spans="1:20" x14ac:dyDescent="0.25">
      <c r="A3207">
        <v>20141231</v>
      </c>
      <c r="B3207">
        <v>2014</v>
      </c>
      <c r="C3207">
        <v>12</v>
      </c>
      <c r="D3207">
        <v>1</v>
      </c>
      <c r="E3207">
        <v>10592</v>
      </c>
      <c r="F3207">
        <v>353893.88</v>
      </c>
      <c r="G3207">
        <v>0</v>
      </c>
      <c r="H3207">
        <v>0</v>
      </c>
      <c r="I3207">
        <v>0</v>
      </c>
      <c r="J3207">
        <v>0</v>
      </c>
      <c r="K3207">
        <v>0</v>
      </c>
      <c r="L3207">
        <v>38429573.530000001</v>
      </c>
      <c r="M3207">
        <v>38429573.530000001</v>
      </c>
      <c r="N3207">
        <v>38429573.530000001</v>
      </c>
      <c r="O3207">
        <v>38429573.530000001</v>
      </c>
      <c r="P3207">
        <v>37206676.329999998</v>
      </c>
      <c r="Q3207">
        <v>37206676.329999998</v>
      </c>
      <c r="R3207" s="14">
        <f>_xlfn.XLOOKUP(Table2[[#This Row],[LoanID]],Table1[G-L ID],Table1[ManagerCode],-99)</f>
        <v>220</v>
      </c>
      <c r="T3207"/>
    </row>
    <row r="3208" spans="1:20" x14ac:dyDescent="0.25">
      <c r="A3208">
        <v>20141231</v>
      </c>
      <c r="B3208">
        <v>2014</v>
      </c>
      <c r="C3208">
        <v>12</v>
      </c>
      <c r="D3208">
        <v>1</v>
      </c>
      <c r="E3208">
        <v>10640</v>
      </c>
      <c r="F3208">
        <v>102888.05</v>
      </c>
      <c r="G3208">
        <v>0</v>
      </c>
      <c r="H3208">
        <v>0</v>
      </c>
      <c r="I3208">
        <v>0</v>
      </c>
      <c r="J3208">
        <v>0</v>
      </c>
      <c r="K3208">
        <v>0</v>
      </c>
      <c r="L3208">
        <v>12455572.970000001</v>
      </c>
      <c r="M3208">
        <v>12455572.970000001</v>
      </c>
      <c r="N3208">
        <v>12455572.970000001</v>
      </c>
      <c r="O3208">
        <v>12455572.970000001</v>
      </c>
      <c r="P3208">
        <v>12351334</v>
      </c>
      <c r="Q3208">
        <v>12351334</v>
      </c>
      <c r="R3208" s="14">
        <f>_xlfn.XLOOKUP(Table2[[#This Row],[LoanID]],Table1[G-L ID],Table1[ManagerCode],-99)</f>
        <v>220</v>
      </c>
      <c r="T3208"/>
    </row>
    <row r="3209" spans="1:20" x14ac:dyDescent="0.25">
      <c r="A3209">
        <v>20141231</v>
      </c>
      <c r="B3209">
        <v>2014</v>
      </c>
      <c r="C3209">
        <v>12</v>
      </c>
      <c r="D3209">
        <v>1</v>
      </c>
      <c r="E3209">
        <v>10680</v>
      </c>
      <c r="F3209">
        <v>56237.53</v>
      </c>
      <c r="G3209">
        <v>0</v>
      </c>
      <c r="H3209">
        <v>0</v>
      </c>
      <c r="I3209">
        <v>0</v>
      </c>
      <c r="J3209">
        <v>0</v>
      </c>
      <c r="K3209">
        <v>0</v>
      </c>
      <c r="L3209">
        <v>6964400</v>
      </c>
      <c r="M3209">
        <v>6964400</v>
      </c>
      <c r="N3209">
        <v>6964400</v>
      </c>
      <c r="O3209">
        <v>6964400</v>
      </c>
      <c r="P3209">
        <v>6964400</v>
      </c>
      <c r="Q3209">
        <v>6964400</v>
      </c>
      <c r="R3209" s="14">
        <f>_xlfn.XLOOKUP(Table2[[#This Row],[LoanID]],Table1[G-L ID],Table1[ManagerCode],-99)</f>
        <v>119</v>
      </c>
      <c r="T3209"/>
    </row>
    <row r="3210" spans="1:20" x14ac:dyDescent="0.25">
      <c r="A3210">
        <v>20141231</v>
      </c>
      <c r="B3210">
        <v>2014</v>
      </c>
      <c r="C3210">
        <v>12</v>
      </c>
      <c r="D3210">
        <v>1</v>
      </c>
      <c r="E3210">
        <v>10690</v>
      </c>
      <c r="F3210">
        <v>106885.18</v>
      </c>
      <c r="G3210">
        <v>28420.36</v>
      </c>
      <c r="H3210">
        <v>0</v>
      </c>
      <c r="I3210">
        <v>0</v>
      </c>
      <c r="J3210">
        <v>-142617.18</v>
      </c>
      <c r="K3210">
        <v>0</v>
      </c>
      <c r="L3210">
        <v>18482572.440000001</v>
      </c>
      <c r="M3210">
        <v>18653609.98</v>
      </c>
      <c r="N3210">
        <v>18482572.440000001</v>
      </c>
      <c r="O3210">
        <v>18653609.98</v>
      </c>
      <c r="P3210">
        <v>18482572.440000001</v>
      </c>
      <c r="Q3210">
        <v>18653609.98</v>
      </c>
      <c r="R3210" s="14">
        <f>_xlfn.XLOOKUP(Table2[[#This Row],[LoanID]],Table1[G-L ID],Table1[ManagerCode],-99)</f>
        <v>183</v>
      </c>
      <c r="T3210"/>
    </row>
    <row r="3211" spans="1:20" x14ac:dyDescent="0.25">
      <c r="A3211">
        <v>20141231</v>
      </c>
      <c r="B3211">
        <v>2014</v>
      </c>
      <c r="C3211">
        <v>12</v>
      </c>
      <c r="D3211">
        <v>1</v>
      </c>
      <c r="E3211">
        <v>10720</v>
      </c>
      <c r="F3211">
        <v>125000</v>
      </c>
      <c r="G3211">
        <v>70634.92</v>
      </c>
      <c r="H3211">
        <v>0</v>
      </c>
      <c r="I3211">
        <v>0</v>
      </c>
      <c r="J3211">
        <v>0</v>
      </c>
      <c r="K3211">
        <v>0</v>
      </c>
      <c r="L3211">
        <v>16703342.449999999</v>
      </c>
      <c r="M3211">
        <v>16200000</v>
      </c>
      <c r="N3211">
        <v>16703342.449999999</v>
      </c>
      <c r="O3211">
        <v>16200000</v>
      </c>
      <c r="P3211">
        <v>15145929.029999999</v>
      </c>
      <c r="Q3211">
        <v>15216563.949999999</v>
      </c>
      <c r="R3211" s="14">
        <f>_xlfn.XLOOKUP(Table2[[#This Row],[LoanID]],Table1[G-L ID],Table1[ManagerCode],-99)</f>
        <v>220</v>
      </c>
      <c r="T3211"/>
    </row>
    <row r="3212" spans="1:20" x14ac:dyDescent="0.25">
      <c r="A3212">
        <v>20141231</v>
      </c>
      <c r="B3212">
        <v>2014</v>
      </c>
      <c r="C3212">
        <v>12</v>
      </c>
      <c r="D3212">
        <v>1</v>
      </c>
      <c r="E3212">
        <v>10780</v>
      </c>
      <c r="F3212">
        <v>301179.17</v>
      </c>
      <c r="G3212">
        <v>0</v>
      </c>
      <c r="H3212">
        <v>0</v>
      </c>
      <c r="I3212">
        <v>0</v>
      </c>
      <c r="J3212">
        <v>0</v>
      </c>
      <c r="K3212">
        <v>0</v>
      </c>
      <c r="L3212">
        <v>43000000</v>
      </c>
      <c r="M3212">
        <v>43000000</v>
      </c>
      <c r="N3212">
        <v>43000000</v>
      </c>
      <c r="O3212">
        <v>43000000</v>
      </c>
      <c r="P3212">
        <v>43000000</v>
      </c>
      <c r="Q3212">
        <v>43000000</v>
      </c>
      <c r="R3212" s="14">
        <f>_xlfn.XLOOKUP(Table2[[#This Row],[LoanID]],Table1[G-L ID],Table1[ManagerCode],-99)</f>
        <v>220</v>
      </c>
      <c r="T3212"/>
    </row>
    <row r="3213" spans="1:20" x14ac:dyDescent="0.25">
      <c r="A3213">
        <v>20141231</v>
      </c>
      <c r="B3213">
        <v>2014</v>
      </c>
      <c r="C3213">
        <v>12</v>
      </c>
      <c r="D3213">
        <v>1</v>
      </c>
      <c r="E3213">
        <v>10800</v>
      </c>
      <c r="F3213">
        <v>209191.67</v>
      </c>
      <c r="G3213">
        <v>0</v>
      </c>
      <c r="H3213">
        <v>0</v>
      </c>
      <c r="I3213">
        <v>0</v>
      </c>
      <c r="J3213">
        <v>0</v>
      </c>
      <c r="K3213">
        <v>0</v>
      </c>
      <c r="L3213">
        <v>26000000</v>
      </c>
      <c r="M3213">
        <v>26000000</v>
      </c>
      <c r="N3213">
        <v>26000000</v>
      </c>
      <c r="O3213">
        <v>26000000</v>
      </c>
      <c r="P3213">
        <v>26000000</v>
      </c>
      <c r="Q3213">
        <v>26000000</v>
      </c>
      <c r="R3213" s="14">
        <f>_xlfn.XLOOKUP(Table2[[#This Row],[LoanID]],Table1[G-L ID],Table1[ManagerCode],-99)</f>
        <v>220</v>
      </c>
      <c r="T3213"/>
    </row>
    <row r="3214" spans="1:20" x14ac:dyDescent="0.25">
      <c r="A3214">
        <v>20141231</v>
      </c>
      <c r="B3214">
        <v>2014</v>
      </c>
      <c r="C3214">
        <v>12</v>
      </c>
      <c r="D3214">
        <v>1</v>
      </c>
      <c r="E3214">
        <v>10820</v>
      </c>
      <c r="F3214">
        <v>179901.5</v>
      </c>
      <c r="G3214">
        <v>0</v>
      </c>
      <c r="H3214">
        <v>0</v>
      </c>
      <c r="I3214">
        <v>0</v>
      </c>
      <c r="J3214">
        <v>0</v>
      </c>
      <c r="K3214">
        <v>0</v>
      </c>
      <c r="L3214">
        <v>22698809.739999998</v>
      </c>
      <c r="M3214">
        <v>22993894.27</v>
      </c>
      <c r="N3214">
        <v>22698809.739999998</v>
      </c>
      <c r="O3214">
        <v>22993894.27</v>
      </c>
      <c r="P3214">
        <v>22698809.739999998</v>
      </c>
      <c r="Q3214">
        <v>22698809.739999998</v>
      </c>
      <c r="R3214" s="14">
        <f>_xlfn.XLOOKUP(Table2[[#This Row],[LoanID]],Table1[G-L ID],Table1[ManagerCode],-99)</f>
        <v>220</v>
      </c>
      <c r="T3214"/>
    </row>
    <row r="3215" spans="1:20" x14ac:dyDescent="0.25">
      <c r="A3215">
        <v>20141231</v>
      </c>
      <c r="B3215">
        <v>2014</v>
      </c>
      <c r="C3215">
        <v>12</v>
      </c>
      <c r="D3215">
        <v>1</v>
      </c>
      <c r="E3215">
        <v>10830</v>
      </c>
      <c r="F3215">
        <v>57796.53</v>
      </c>
      <c r="G3215">
        <v>0</v>
      </c>
      <c r="H3215">
        <v>0</v>
      </c>
      <c r="I3215">
        <v>0</v>
      </c>
      <c r="J3215">
        <v>0</v>
      </c>
      <c r="K3215">
        <v>0</v>
      </c>
      <c r="L3215">
        <v>7328388.4000000004</v>
      </c>
      <c r="M3215">
        <v>7423657.4500000002</v>
      </c>
      <c r="N3215">
        <v>7328388.4000000004</v>
      </c>
      <c r="O3215">
        <v>7423657.4500000002</v>
      </c>
      <c r="P3215">
        <v>7328388.4000000004</v>
      </c>
      <c r="Q3215">
        <v>7328388.4000000004</v>
      </c>
      <c r="R3215" s="14">
        <f>_xlfn.XLOOKUP(Table2[[#This Row],[LoanID]],Table1[G-L ID],Table1[ManagerCode],-99)</f>
        <v>220</v>
      </c>
      <c r="T3215"/>
    </row>
    <row r="3216" spans="1:20" x14ac:dyDescent="0.25">
      <c r="A3216">
        <v>20141231</v>
      </c>
      <c r="B3216">
        <v>2014</v>
      </c>
      <c r="C3216">
        <v>12</v>
      </c>
      <c r="D3216">
        <v>1</v>
      </c>
      <c r="E3216">
        <v>10840</v>
      </c>
      <c r="F3216">
        <v>100614.41</v>
      </c>
      <c r="G3216">
        <v>0</v>
      </c>
      <c r="H3216">
        <v>0</v>
      </c>
      <c r="I3216">
        <v>0</v>
      </c>
      <c r="J3216">
        <v>0</v>
      </c>
      <c r="K3216">
        <v>0</v>
      </c>
      <c r="L3216">
        <v>12709189</v>
      </c>
      <c r="M3216">
        <v>12874408.460000001</v>
      </c>
      <c r="N3216">
        <v>12709189</v>
      </c>
      <c r="O3216">
        <v>12874408.460000001</v>
      </c>
      <c r="P3216">
        <v>12709189</v>
      </c>
      <c r="Q3216">
        <v>12709189</v>
      </c>
      <c r="R3216" s="14">
        <f>_xlfn.XLOOKUP(Table2[[#This Row],[LoanID]],Table1[G-L ID],Table1[ManagerCode],-99)</f>
        <v>220</v>
      </c>
      <c r="T3216"/>
    </row>
    <row r="3217" spans="1:20" x14ac:dyDescent="0.25">
      <c r="A3217">
        <v>20141231</v>
      </c>
      <c r="B3217">
        <v>2014</v>
      </c>
      <c r="C3217">
        <v>12</v>
      </c>
      <c r="D3217">
        <v>1</v>
      </c>
      <c r="E3217">
        <v>10850</v>
      </c>
      <c r="F3217">
        <v>106969.15</v>
      </c>
      <c r="G3217">
        <v>0</v>
      </c>
      <c r="H3217">
        <v>0</v>
      </c>
      <c r="I3217">
        <v>0</v>
      </c>
      <c r="J3217">
        <v>0</v>
      </c>
      <c r="K3217">
        <v>0</v>
      </c>
      <c r="L3217">
        <v>13511892</v>
      </c>
      <c r="M3217">
        <v>13687546.6</v>
      </c>
      <c r="N3217">
        <v>13511892</v>
      </c>
      <c r="O3217">
        <v>13687546.6</v>
      </c>
      <c r="P3217">
        <v>13511892</v>
      </c>
      <c r="Q3217">
        <v>13511892</v>
      </c>
      <c r="R3217" s="14">
        <f>_xlfn.XLOOKUP(Table2[[#This Row],[LoanID]],Table1[G-L ID],Table1[ManagerCode],-99)</f>
        <v>220</v>
      </c>
      <c r="T3217"/>
    </row>
    <row r="3218" spans="1:20" x14ac:dyDescent="0.25">
      <c r="A3218">
        <v>20141231</v>
      </c>
      <c r="B3218">
        <v>2014</v>
      </c>
      <c r="C3218">
        <v>12</v>
      </c>
      <c r="D3218">
        <v>1</v>
      </c>
      <c r="E3218">
        <v>10860</v>
      </c>
      <c r="F3218">
        <v>113689.53</v>
      </c>
      <c r="G3218">
        <v>0</v>
      </c>
      <c r="H3218">
        <v>0</v>
      </c>
      <c r="I3218">
        <v>-2405.52</v>
      </c>
      <c r="J3218">
        <v>0</v>
      </c>
      <c r="K3218">
        <v>0</v>
      </c>
      <c r="L3218">
        <v>19475000</v>
      </c>
      <c r="M3218">
        <v>19475000</v>
      </c>
      <c r="N3218">
        <v>19475000</v>
      </c>
      <c r="O3218">
        <v>19475000</v>
      </c>
      <c r="P3218">
        <v>20500000</v>
      </c>
      <c r="Q3218">
        <v>20500000</v>
      </c>
      <c r="R3218" s="14">
        <f>_xlfn.XLOOKUP(Table2[[#This Row],[LoanID]],Table1[G-L ID],Table1[ManagerCode],-99)</f>
        <v>103</v>
      </c>
      <c r="T3218"/>
    </row>
    <row r="3219" spans="1:20" x14ac:dyDescent="0.25">
      <c r="A3219">
        <v>20141231</v>
      </c>
      <c r="B3219">
        <v>2014</v>
      </c>
      <c r="C3219">
        <v>12</v>
      </c>
      <c r="D3219">
        <v>1</v>
      </c>
      <c r="E3219">
        <v>10900</v>
      </c>
      <c r="F3219">
        <v>77973.27</v>
      </c>
      <c r="G3219">
        <v>0</v>
      </c>
      <c r="H3219">
        <v>0</v>
      </c>
      <c r="I3219">
        <v>0</v>
      </c>
      <c r="J3219">
        <v>0</v>
      </c>
      <c r="K3219">
        <v>5643.79</v>
      </c>
      <c r="L3219">
        <v>8080866.1299999999</v>
      </c>
      <c r="M3219">
        <v>8075504.5300000003</v>
      </c>
      <c r="N3219">
        <v>8080866.1299999999</v>
      </c>
      <c r="O3219">
        <v>8075504.5300000003</v>
      </c>
      <c r="P3219">
        <v>8506174.8699999992</v>
      </c>
      <c r="Q3219">
        <v>8500531.0800000001</v>
      </c>
      <c r="R3219" s="14">
        <f>_xlfn.XLOOKUP(Table2[[#This Row],[LoanID]],Table1[G-L ID],Table1[ManagerCode],-99)</f>
        <v>103</v>
      </c>
      <c r="T3219"/>
    </row>
    <row r="3220" spans="1:20" x14ac:dyDescent="0.25">
      <c r="A3220">
        <v>20141231</v>
      </c>
      <c r="B3220">
        <v>2014</v>
      </c>
      <c r="C3220">
        <v>12</v>
      </c>
      <c r="D3220">
        <v>1</v>
      </c>
      <c r="E3220">
        <v>10940</v>
      </c>
      <c r="F3220">
        <v>54403.7</v>
      </c>
      <c r="G3220">
        <v>73381.63</v>
      </c>
      <c r="H3220">
        <v>0</v>
      </c>
      <c r="I3220">
        <v>0</v>
      </c>
      <c r="J3220">
        <v>-54403.7</v>
      </c>
      <c r="K3220">
        <v>0</v>
      </c>
      <c r="L3220">
        <v>10990923.67</v>
      </c>
      <c r="M3220">
        <v>11118709</v>
      </c>
      <c r="N3220">
        <v>10990923.67</v>
      </c>
      <c r="O3220">
        <v>11118709</v>
      </c>
      <c r="P3220">
        <v>10990923.67</v>
      </c>
      <c r="Q3220">
        <v>11118709</v>
      </c>
      <c r="R3220" s="14">
        <f>_xlfn.XLOOKUP(Table2[[#This Row],[LoanID]],Table1[G-L ID],Table1[ManagerCode],-99)</f>
        <v>183</v>
      </c>
      <c r="T3220"/>
    </row>
    <row r="3221" spans="1:20" x14ac:dyDescent="0.25">
      <c r="A3221">
        <v>20141231</v>
      </c>
      <c r="B3221">
        <v>2014</v>
      </c>
      <c r="C3221">
        <v>12</v>
      </c>
      <c r="D3221">
        <v>1</v>
      </c>
      <c r="E3221">
        <v>10960</v>
      </c>
      <c r="F3221">
        <v>66598.570000000007</v>
      </c>
      <c r="G3221">
        <v>0</v>
      </c>
      <c r="H3221">
        <v>0</v>
      </c>
      <c r="I3221">
        <v>0</v>
      </c>
      <c r="J3221">
        <v>0</v>
      </c>
      <c r="K3221">
        <v>0</v>
      </c>
      <c r="L3221">
        <v>6028750</v>
      </c>
      <c r="M3221">
        <v>6028750</v>
      </c>
      <c r="N3221">
        <v>6028750</v>
      </c>
      <c r="O3221">
        <v>6028750</v>
      </c>
      <c r="P3221">
        <v>6028750</v>
      </c>
      <c r="Q3221">
        <v>6028750</v>
      </c>
      <c r="R3221" s="14">
        <f>_xlfn.XLOOKUP(Table2[[#This Row],[LoanID]],Table1[G-L ID],Table1[ManagerCode],-99)</f>
        <v>119</v>
      </c>
      <c r="T3221"/>
    </row>
    <row r="3222" spans="1:20" x14ac:dyDescent="0.25">
      <c r="A3222">
        <v>20141231</v>
      </c>
      <c r="B3222">
        <v>2014</v>
      </c>
      <c r="C3222">
        <v>12</v>
      </c>
      <c r="D3222">
        <v>1</v>
      </c>
      <c r="E3222">
        <v>11030</v>
      </c>
      <c r="F3222">
        <v>58841.68</v>
      </c>
      <c r="G3222">
        <v>0</v>
      </c>
      <c r="H3222">
        <v>0</v>
      </c>
      <c r="I3222">
        <v>0</v>
      </c>
      <c r="J3222">
        <v>0</v>
      </c>
      <c r="K3222">
        <v>0</v>
      </c>
      <c r="L3222">
        <v>8000000</v>
      </c>
      <c r="M3222">
        <v>8000000</v>
      </c>
      <c r="N3222">
        <v>8000000</v>
      </c>
      <c r="O3222">
        <v>8000000</v>
      </c>
      <c r="P3222">
        <v>8000000</v>
      </c>
      <c r="Q3222">
        <v>8000000</v>
      </c>
      <c r="R3222" s="14">
        <f>_xlfn.XLOOKUP(Table2[[#This Row],[LoanID]],Table1[G-L ID],Table1[ManagerCode],-99)</f>
        <v>119</v>
      </c>
      <c r="T3222"/>
    </row>
    <row r="3223" spans="1:20" x14ac:dyDescent="0.25">
      <c r="A3223">
        <v>20141231</v>
      </c>
      <c r="B3223">
        <v>2014</v>
      </c>
      <c r="C3223">
        <v>12</v>
      </c>
      <c r="D3223">
        <v>1</v>
      </c>
      <c r="E3223">
        <v>11040</v>
      </c>
      <c r="F3223">
        <v>506458.34</v>
      </c>
      <c r="G3223">
        <v>0</v>
      </c>
      <c r="H3223">
        <v>0</v>
      </c>
      <c r="I3223">
        <v>0</v>
      </c>
      <c r="J3223">
        <v>0</v>
      </c>
      <c r="K3223">
        <v>0</v>
      </c>
      <c r="L3223">
        <v>50000000</v>
      </c>
      <c r="M3223">
        <v>50000000</v>
      </c>
      <c r="N3223">
        <v>50000000</v>
      </c>
      <c r="O3223">
        <v>50000000</v>
      </c>
      <c r="P3223">
        <v>50000000</v>
      </c>
      <c r="Q3223">
        <v>50000000</v>
      </c>
      <c r="R3223" s="14">
        <f>_xlfn.XLOOKUP(Table2[[#This Row],[LoanID]],Table1[G-L ID],Table1[ManagerCode],-99)</f>
        <v>220</v>
      </c>
      <c r="T3223"/>
    </row>
    <row r="3224" spans="1:20" x14ac:dyDescent="0.25">
      <c r="A3224">
        <v>20141231</v>
      </c>
      <c r="B3224">
        <v>2014</v>
      </c>
      <c r="C3224">
        <v>12</v>
      </c>
      <c r="D3224">
        <v>1</v>
      </c>
      <c r="E3224">
        <v>11050</v>
      </c>
      <c r="F3224">
        <v>290938</v>
      </c>
      <c r="G3224">
        <v>0</v>
      </c>
      <c r="H3224">
        <v>0</v>
      </c>
      <c r="I3224">
        <v>0</v>
      </c>
      <c r="J3224">
        <v>0</v>
      </c>
      <c r="K3224">
        <v>0</v>
      </c>
      <c r="L3224">
        <v>29200000</v>
      </c>
      <c r="M3224">
        <v>29300000</v>
      </c>
      <c r="N3224">
        <v>29200000</v>
      </c>
      <c r="O3224">
        <v>29300000</v>
      </c>
      <c r="P3224">
        <v>28500000</v>
      </c>
      <c r="Q3224">
        <v>28500000</v>
      </c>
      <c r="R3224" s="14">
        <f>_xlfn.XLOOKUP(Table2[[#This Row],[LoanID]],Table1[G-L ID],Table1[ManagerCode],-99)</f>
        <v>220</v>
      </c>
      <c r="T3224"/>
    </row>
    <row r="3225" spans="1:20" x14ac:dyDescent="0.25">
      <c r="A3225">
        <v>20141231</v>
      </c>
      <c r="B3225">
        <v>2014</v>
      </c>
      <c r="C3225">
        <v>12</v>
      </c>
      <c r="D3225">
        <v>1</v>
      </c>
      <c r="E3225">
        <v>11070</v>
      </c>
      <c r="F3225">
        <v>287570.48</v>
      </c>
      <c r="G3225">
        <v>0</v>
      </c>
      <c r="H3225">
        <v>0</v>
      </c>
      <c r="I3225">
        <v>0</v>
      </c>
      <c r="J3225">
        <v>0</v>
      </c>
      <c r="K3225">
        <v>13063.28</v>
      </c>
      <c r="L3225">
        <v>13808294.939999999</v>
      </c>
      <c r="M3225">
        <v>13797844.32</v>
      </c>
      <c r="N3225">
        <v>13808294.939999999</v>
      </c>
      <c r="O3225">
        <v>13797844.32</v>
      </c>
      <c r="P3225">
        <v>17260368.68</v>
      </c>
      <c r="Q3225">
        <v>17247305.399999999</v>
      </c>
      <c r="R3225" s="14">
        <f>_xlfn.XLOOKUP(Table2[[#This Row],[LoanID]],Table1[G-L ID],Table1[ManagerCode],-99)</f>
        <v>103</v>
      </c>
      <c r="T3225"/>
    </row>
    <row r="3226" spans="1:20" x14ac:dyDescent="0.25">
      <c r="A3226">
        <v>20141231</v>
      </c>
      <c r="B3226">
        <v>2014</v>
      </c>
      <c r="C3226">
        <v>12</v>
      </c>
      <c r="D3226">
        <v>1</v>
      </c>
      <c r="E3226">
        <v>11100</v>
      </c>
      <c r="F3226">
        <v>117080.6</v>
      </c>
      <c r="G3226">
        <v>0</v>
      </c>
      <c r="H3226">
        <v>0</v>
      </c>
      <c r="I3226">
        <v>0</v>
      </c>
      <c r="J3226">
        <v>-2714177.05</v>
      </c>
      <c r="K3226">
        <v>0</v>
      </c>
      <c r="L3226">
        <v>29566197.48</v>
      </c>
      <c r="M3226">
        <v>32290443.649999999</v>
      </c>
      <c r="N3226">
        <v>29566197.48</v>
      </c>
      <c r="O3226">
        <v>32290443.649999999</v>
      </c>
      <c r="P3226">
        <v>30001070.920000002</v>
      </c>
      <c r="Q3226">
        <v>32715247.969999999</v>
      </c>
      <c r="R3226" s="14">
        <f>_xlfn.XLOOKUP(Table2[[#This Row],[LoanID]],Table1[G-L ID],Table1[ManagerCode],-99)</f>
        <v>103</v>
      </c>
      <c r="T3226"/>
    </row>
    <row r="3227" spans="1:20" x14ac:dyDescent="0.25">
      <c r="A3227">
        <v>20141231</v>
      </c>
      <c r="B3227">
        <v>2014</v>
      </c>
      <c r="C3227">
        <v>12</v>
      </c>
      <c r="D3227">
        <v>1</v>
      </c>
      <c r="E3227">
        <v>11130</v>
      </c>
      <c r="F3227">
        <v>938277</v>
      </c>
      <c r="G3227">
        <v>0</v>
      </c>
      <c r="H3227">
        <v>0</v>
      </c>
      <c r="I3227">
        <v>0</v>
      </c>
      <c r="J3227">
        <v>0</v>
      </c>
      <c r="K3227">
        <v>0</v>
      </c>
      <c r="L3227">
        <v>168150000</v>
      </c>
      <c r="M3227">
        <v>168150000</v>
      </c>
      <c r="N3227">
        <v>168150000</v>
      </c>
      <c r="O3227">
        <v>168150000</v>
      </c>
      <c r="P3227">
        <v>177000000</v>
      </c>
      <c r="Q3227">
        <v>177000000</v>
      </c>
      <c r="R3227" s="14">
        <f>_xlfn.XLOOKUP(Table2[[#This Row],[LoanID]],Table1[G-L ID],Table1[ManagerCode],-99)</f>
        <v>103</v>
      </c>
      <c r="T3227"/>
    </row>
    <row r="3228" spans="1:20" x14ac:dyDescent="0.25">
      <c r="A3228">
        <v>20141231</v>
      </c>
      <c r="B3228">
        <v>2014</v>
      </c>
      <c r="C3228">
        <v>12</v>
      </c>
      <c r="D3228">
        <v>1</v>
      </c>
      <c r="E3228">
        <v>11170</v>
      </c>
      <c r="F3228">
        <v>679291.67</v>
      </c>
      <c r="G3228">
        <v>0</v>
      </c>
      <c r="H3228">
        <v>0</v>
      </c>
      <c r="I3228">
        <v>0</v>
      </c>
      <c r="J3228">
        <v>0</v>
      </c>
      <c r="K3228">
        <v>0</v>
      </c>
      <c r="L3228">
        <v>173249826.80000001</v>
      </c>
      <c r="M3228">
        <v>173249826.80000001</v>
      </c>
      <c r="N3228">
        <v>173249826.80000001</v>
      </c>
      <c r="O3228">
        <v>173249826.80000001</v>
      </c>
      <c r="P3228">
        <v>175000000</v>
      </c>
      <c r="Q3228">
        <v>175000000</v>
      </c>
      <c r="R3228" s="14">
        <f>_xlfn.XLOOKUP(Table2[[#This Row],[LoanID]],Table1[G-L ID],Table1[ManagerCode],-99)</f>
        <v>103</v>
      </c>
      <c r="T3228"/>
    </row>
    <row r="3229" spans="1:20" x14ac:dyDescent="0.25">
      <c r="A3229">
        <v>20141231</v>
      </c>
      <c r="B3229">
        <v>2014</v>
      </c>
      <c r="C3229">
        <v>12</v>
      </c>
      <c r="D3229">
        <v>1</v>
      </c>
      <c r="E3229">
        <v>11250</v>
      </c>
      <c r="F3229">
        <v>6664.83</v>
      </c>
      <c r="G3229">
        <v>37711.589999999997</v>
      </c>
      <c r="H3229">
        <v>0</v>
      </c>
      <c r="I3229">
        <v>0</v>
      </c>
      <c r="J3229">
        <v>-2532867.58</v>
      </c>
      <c r="K3229">
        <v>0</v>
      </c>
      <c r="L3229">
        <v>3342410.5</v>
      </c>
      <c r="M3229">
        <v>5912989.6699999999</v>
      </c>
      <c r="N3229">
        <v>3342410.5</v>
      </c>
      <c r="O3229">
        <v>5912989.6699999999</v>
      </c>
      <c r="P3229">
        <v>3342410.5</v>
      </c>
      <c r="Q3229">
        <v>5912989.6699999999</v>
      </c>
      <c r="R3229" s="14">
        <f>_xlfn.XLOOKUP(Table2[[#This Row],[LoanID]],Table1[G-L ID],Table1[ManagerCode],-99)</f>
        <v>183</v>
      </c>
      <c r="T3229"/>
    </row>
    <row r="3230" spans="1:20" x14ac:dyDescent="0.25">
      <c r="A3230">
        <v>20141231</v>
      </c>
      <c r="B3230">
        <v>2014</v>
      </c>
      <c r="C3230">
        <v>12</v>
      </c>
      <c r="D3230">
        <v>1</v>
      </c>
      <c r="E3230">
        <v>11320</v>
      </c>
      <c r="F3230">
        <v>93839.9</v>
      </c>
      <c r="G3230">
        <v>0</v>
      </c>
      <c r="H3230">
        <v>0</v>
      </c>
      <c r="I3230">
        <v>0</v>
      </c>
      <c r="J3230">
        <v>0</v>
      </c>
      <c r="K3230">
        <v>18000</v>
      </c>
      <c r="L3230">
        <v>11910000</v>
      </c>
      <c r="M3230">
        <v>11892000</v>
      </c>
      <c r="N3230">
        <v>11910000</v>
      </c>
      <c r="O3230">
        <v>11892000</v>
      </c>
      <c r="P3230">
        <v>11910000</v>
      </c>
      <c r="Q3230">
        <v>11892000</v>
      </c>
      <c r="R3230" s="14">
        <f>_xlfn.XLOOKUP(Table2[[#This Row],[LoanID]],Table1[G-L ID],Table1[ManagerCode],-99)</f>
        <v>119</v>
      </c>
      <c r="T3230"/>
    </row>
    <row r="3231" spans="1:20" x14ac:dyDescent="0.25">
      <c r="A3231">
        <v>20141231</v>
      </c>
      <c r="B3231">
        <v>2014</v>
      </c>
      <c r="C3231">
        <v>12</v>
      </c>
      <c r="D3231">
        <v>1</v>
      </c>
      <c r="E3231">
        <v>11340</v>
      </c>
      <c r="F3231">
        <v>291666.67</v>
      </c>
      <c r="G3231">
        <v>0</v>
      </c>
      <c r="H3231">
        <v>0</v>
      </c>
      <c r="I3231">
        <v>0</v>
      </c>
      <c r="J3231">
        <v>0</v>
      </c>
      <c r="K3231">
        <v>0</v>
      </c>
      <c r="L3231">
        <v>49500000</v>
      </c>
      <c r="M3231">
        <v>49500000</v>
      </c>
      <c r="N3231">
        <v>49500000</v>
      </c>
      <c r="O3231">
        <v>49500000</v>
      </c>
      <c r="P3231">
        <v>50000000</v>
      </c>
      <c r="Q3231">
        <v>50000000</v>
      </c>
      <c r="R3231" s="14">
        <f>_xlfn.XLOOKUP(Table2[[#This Row],[LoanID]],Table1[G-L ID],Table1[ManagerCode],-99)</f>
        <v>103</v>
      </c>
      <c r="T3231"/>
    </row>
    <row r="3232" spans="1:20" x14ac:dyDescent="0.25">
      <c r="A3232">
        <v>20141231</v>
      </c>
      <c r="B3232">
        <v>2014</v>
      </c>
      <c r="C3232">
        <v>12</v>
      </c>
      <c r="D3232">
        <v>1</v>
      </c>
      <c r="E3232">
        <v>11350</v>
      </c>
      <c r="F3232">
        <v>320833.33</v>
      </c>
      <c r="G3232">
        <v>0</v>
      </c>
      <c r="H3232">
        <v>0</v>
      </c>
      <c r="I3232">
        <v>0</v>
      </c>
      <c r="J3232">
        <v>0</v>
      </c>
      <c r="K3232">
        <v>0</v>
      </c>
      <c r="L3232">
        <v>54449945.549999997</v>
      </c>
      <c r="M3232">
        <v>54449945.549999997</v>
      </c>
      <c r="N3232">
        <v>54449945.549999997</v>
      </c>
      <c r="O3232">
        <v>54449945.549999997</v>
      </c>
      <c r="P3232">
        <v>55000000</v>
      </c>
      <c r="Q3232">
        <v>55000000</v>
      </c>
      <c r="R3232" s="14">
        <f>_xlfn.XLOOKUP(Table2[[#This Row],[LoanID]],Table1[G-L ID],Table1[ManagerCode],-99)</f>
        <v>103</v>
      </c>
      <c r="T3232"/>
    </row>
    <row r="3233" spans="1:20" x14ac:dyDescent="0.25">
      <c r="A3233">
        <v>20141231</v>
      </c>
      <c r="B3233">
        <v>2014</v>
      </c>
      <c r="C3233">
        <v>12</v>
      </c>
      <c r="D3233">
        <v>1</v>
      </c>
      <c r="E3233">
        <v>11370</v>
      </c>
      <c r="F3233">
        <v>50093.33</v>
      </c>
      <c r="G3233">
        <v>0</v>
      </c>
      <c r="H3233">
        <v>0</v>
      </c>
      <c r="I3233">
        <v>0</v>
      </c>
      <c r="J3233">
        <v>0</v>
      </c>
      <c r="K3233">
        <v>0</v>
      </c>
      <c r="L3233">
        <v>5525000</v>
      </c>
      <c r="M3233">
        <v>5525000</v>
      </c>
      <c r="N3233">
        <v>5525000</v>
      </c>
      <c r="O3233">
        <v>5525000</v>
      </c>
      <c r="P3233">
        <v>5525000</v>
      </c>
      <c r="Q3233">
        <v>5525000</v>
      </c>
      <c r="R3233" s="14">
        <f>_xlfn.XLOOKUP(Table2[[#This Row],[LoanID]],Table1[G-L ID],Table1[ManagerCode],-99)</f>
        <v>119</v>
      </c>
      <c r="T3233"/>
    </row>
    <row r="3234" spans="1:20" x14ac:dyDescent="0.25">
      <c r="A3234">
        <v>20141231</v>
      </c>
      <c r="B3234">
        <v>2014</v>
      </c>
      <c r="C3234">
        <v>12</v>
      </c>
      <c r="D3234">
        <v>1</v>
      </c>
      <c r="E3234">
        <v>11390</v>
      </c>
      <c r="F3234">
        <v>201041.67</v>
      </c>
      <c r="G3234">
        <v>0</v>
      </c>
      <c r="H3234">
        <v>0</v>
      </c>
      <c r="I3234">
        <v>0</v>
      </c>
      <c r="J3234">
        <v>0</v>
      </c>
      <c r="K3234">
        <v>0</v>
      </c>
      <c r="L3234">
        <v>25000000</v>
      </c>
      <c r="M3234">
        <v>25000000</v>
      </c>
      <c r="N3234">
        <v>25000000</v>
      </c>
      <c r="O3234">
        <v>25000000</v>
      </c>
      <c r="P3234">
        <v>25000000</v>
      </c>
      <c r="Q3234">
        <v>25000000</v>
      </c>
      <c r="R3234" s="14">
        <f>_xlfn.XLOOKUP(Table2[[#This Row],[LoanID]],Table1[G-L ID],Table1[ManagerCode],-99)</f>
        <v>220</v>
      </c>
      <c r="T3234"/>
    </row>
    <row r="3235" spans="1:20" x14ac:dyDescent="0.25">
      <c r="A3235">
        <v>20141231</v>
      </c>
      <c r="B3235">
        <v>2014</v>
      </c>
      <c r="C3235">
        <v>12</v>
      </c>
      <c r="D3235">
        <v>1</v>
      </c>
      <c r="E3235">
        <v>11480</v>
      </c>
      <c r="F3235">
        <v>344458.33</v>
      </c>
      <c r="G3235">
        <v>0</v>
      </c>
      <c r="H3235">
        <v>0</v>
      </c>
      <c r="I3235">
        <v>0</v>
      </c>
      <c r="J3235">
        <v>0</v>
      </c>
      <c r="K3235">
        <v>0</v>
      </c>
      <c r="L3235">
        <v>66500000</v>
      </c>
      <c r="M3235">
        <v>66500000</v>
      </c>
      <c r="N3235">
        <v>66500000</v>
      </c>
      <c r="O3235">
        <v>66500000</v>
      </c>
      <c r="P3235">
        <v>70000000</v>
      </c>
      <c r="Q3235">
        <v>70000000</v>
      </c>
      <c r="R3235" s="14">
        <f>_xlfn.XLOOKUP(Table2[[#This Row],[LoanID]],Table1[G-L ID],Table1[ManagerCode],-99)</f>
        <v>103</v>
      </c>
      <c r="T3235"/>
    </row>
    <row r="3236" spans="1:20" x14ac:dyDescent="0.25">
      <c r="A3236">
        <v>20141231</v>
      </c>
      <c r="B3236">
        <v>2014</v>
      </c>
      <c r="C3236">
        <v>12</v>
      </c>
      <c r="D3236">
        <v>1</v>
      </c>
      <c r="E3236">
        <v>11490</v>
      </c>
      <c r="F3236">
        <v>327937.5</v>
      </c>
      <c r="G3236">
        <v>0</v>
      </c>
      <c r="H3236">
        <v>0</v>
      </c>
      <c r="I3236">
        <v>0</v>
      </c>
      <c r="J3236">
        <v>0</v>
      </c>
      <c r="K3236">
        <v>0</v>
      </c>
      <c r="L3236">
        <v>49500000</v>
      </c>
      <c r="M3236">
        <v>49500000</v>
      </c>
      <c r="N3236">
        <v>49500000</v>
      </c>
      <c r="O3236">
        <v>49500000</v>
      </c>
      <c r="P3236">
        <v>55000000</v>
      </c>
      <c r="Q3236">
        <v>55000000</v>
      </c>
      <c r="R3236" s="14">
        <f>_xlfn.XLOOKUP(Table2[[#This Row],[LoanID]],Table1[G-L ID],Table1[ManagerCode],-99)</f>
        <v>103</v>
      </c>
      <c r="T3236"/>
    </row>
    <row r="3237" spans="1:20" x14ac:dyDescent="0.25">
      <c r="A3237">
        <v>20141231</v>
      </c>
      <c r="B3237">
        <v>2014</v>
      </c>
      <c r="C3237">
        <v>12</v>
      </c>
      <c r="D3237">
        <v>1</v>
      </c>
      <c r="E3237">
        <v>11540</v>
      </c>
      <c r="F3237">
        <v>76291.67</v>
      </c>
      <c r="G3237">
        <v>0</v>
      </c>
      <c r="H3237">
        <v>0</v>
      </c>
      <c r="I3237">
        <v>0</v>
      </c>
      <c r="J3237">
        <v>0</v>
      </c>
      <c r="K3237">
        <v>0</v>
      </c>
      <c r="L3237">
        <v>10000000</v>
      </c>
      <c r="M3237">
        <v>10000000</v>
      </c>
      <c r="N3237">
        <v>10000000</v>
      </c>
      <c r="O3237">
        <v>10000000</v>
      </c>
      <c r="P3237">
        <v>10000000</v>
      </c>
      <c r="Q3237">
        <v>10000000</v>
      </c>
      <c r="R3237" s="14">
        <f>_xlfn.XLOOKUP(Table2[[#This Row],[LoanID]],Table1[G-L ID],Table1[ManagerCode],-99)</f>
        <v>220</v>
      </c>
      <c r="T3237"/>
    </row>
    <row r="3238" spans="1:20" x14ac:dyDescent="0.25">
      <c r="A3238">
        <v>20141231</v>
      </c>
      <c r="B3238">
        <v>2014</v>
      </c>
      <c r="C3238">
        <v>12</v>
      </c>
      <c r="D3238">
        <v>1</v>
      </c>
      <c r="E3238">
        <v>11550</v>
      </c>
      <c r="F3238">
        <v>122762.5</v>
      </c>
      <c r="G3238">
        <v>0</v>
      </c>
      <c r="H3238">
        <v>0</v>
      </c>
      <c r="I3238">
        <v>-3176.1</v>
      </c>
      <c r="J3238">
        <v>0</v>
      </c>
      <c r="K3238">
        <v>0</v>
      </c>
      <c r="L3238">
        <v>21850000</v>
      </c>
      <c r="M3238">
        <v>22770000</v>
      </c>
      <c r="N3238">
        <v>21850000</v>
      </c>
      <c r="O3238">
        <v>22770000</v>
      </c>
      <c r="P3238">
        <v>23000000</v>
      </c>
      <c r="Q3238">
        <v>23000000</v>
      </c>
      <c r="R3238" s="14">
        <f>_xlfn.XLOOKUP(Table2[[#This Row],[LoanID]],Table1[G-L ID],Table1[ManagerCode],-99)</f>
        <v>103</v>
      </c>
      <c r="T3238"/>
    </row>
    <row r="3239" spans="1:20" x14ac:dyDescent="0.25">
      <c r="A3239">
        <v>20141231</v>
      </c>
      <c r="B3239">
        <v>2014</v>
      </c>
      <c r="C3239">
        <v>12</v>
      </c>
      <c r="D3239">
        <v>1</v>
      </c>
      <c r="E3239">
        <v>11560</v>
      </c>
      <c r="F3239">
        <v>0</v>
      </c>
      <c r="G3239">
        <v>162384.47</v>
      </c>
      <c r="H3239">
        <v>0</v>
      </c>
      <c r="I3239">
        <v>0</v>
      </c>
      <c r="J3239">
        <v>0</v>
      </c>
      <c r="K3239">
        <v>0</v>
      </c>
      <c r="L3239">
        <v>14434174.75</v>
      </c>
      <c r="M3239">
        <v>14596559.220000001</v>
      </c>
      <c r="N3239">
        <v>14434174.75</v>
      </c>
      <c r="O3239">
        <v>14596559.220000001</v>
      </c>
      <c r="P3239">
        <v>14434174.75</v>
      </c>
      <c r="Q3239">
        <v>14596559.220000001</v>
      </c>
      <c r="R3239" s="14">
        <f>_xlfn.XLOOKUP(Table2[[#This Row],[LoanID]],Table1[G-L ID],Table1[ManagerCode],-99)</f>
        <v>183</v>
      </c>
      <c r="T3239"/>
    </row>
    <row r="3240" spans="1:20" x14ac:dyDescent="0.25">
      <c r="A3240">
        <v>20141231</v>
      </c>
      <c r="B3240">
        <v>2014</v>
      </c>
      <c r="C3240">
        <v>12</v>
      </c>
      <c r="D3240">
        <v>1</v>
      </c>
      <c r="E3240">
        <v>11580</v>
      </c>
      <c r="F3240">
        <v>104028.17</v>
      </c>
      <c r="G3240">
        <v>0</v>
      </c>
      <c r="H3240">
        <v>0</v>
      </c>
      <c r="I3240">
        <v>0</v>
      </c>
      <c r="J3240">
        <v>0</v>
      </c>
      <c r="K3240">
        <v>0</v>
      </c>
      <c r="L3240">
        <v>15000000</v>
      </c>
      <c r="M3240">
        <v>15000000</v>
      </c>
      <c r="N3240">
        <v>15000000</v>
      </c>
      <c r="O3240">
        <v>15000000</v>
      </c>
      <c r="P3240">
        <v>15000000</v>
      </c>
      <c r="Q3240">
        <v>15000000</v>
      </c>
      <c r="R3240" s="14">
        <f>_xlfn.XLOOKUP(Table2[[#This Row],[LoanID]],Table1[G-L ID],Table1[ManagerCode],-99)</f>
        <v>119</v>
      </c>
      <c r="T3240"/>
    </row>
    <row r="3241" spans="1:20" x14ac:dyDescent="0.25">
      <c r="A3241">
        <v>20141231</v>
      </c>
      <c r="B3241">
        <v>2014</v>
      </c>
      <c r="C3241">
        <v>12</v>
      </c>
      <c r="D3241">
        <v>1</v>
      </c>
      <c r="E3241">
        <v>11650</v>
      </c>
      <c r="F3241">
        <v>75000</v>
      </c>
      <c r="G3241">
        <v>0</v>
      </c>
      <c r="H3241">
        <v>0</v>
      </c>
      <c r="I3241">
        <v>0</v>
      </c>
      <c r="J3241">
        <v>0</v>
      </c>
      <c r="K3241">
        <v>0</v>
      </c>
      <c r="L3241">
        <v>9600000</v>
      </c>
      <c r="M3241">
        <v>9600000</v>
      </c>
      <c r="N3241">
        <v>9600000</v>
      </c>
      <c r="O3241">
        <v>9600000</v>
      </c>
      <c r="P3241">
        <v>12000000</v>
      </c>
      <c r="Q3241">
        <v>12000000</v>
      </c>
      <c r="R3241" s="14">
        <f>_xlfn.XLOOKUP(Table2[[#This Row],[LoanID]],Table1[G-L ID],Table1[ManagerCode],-99)</f>
        <v>103</v>
      </c>
      <c r="T3241"/>
    </row>
    <row r="3242" spans="1:20" x14ac:dyDescent="0.25">
      <c r="A3242">
        <v>20141231</v>
      </c>
      <c r="B3242">
        <v>2014</v>
      </c>
      <c r="C3242">
        <v>12</v>
      </c>
      <c r="D3242">
        <v>1</v>
      </c>
      <c r="E3242">
        <v>11660</v>
      </c>
      <c r="F3242">
        <v>0</v>
      </c>
      <c r="G3242">
        <v>0</v>
      </c>
      <c r="H3242">
        <v>0</v>
      </c>
      <c r="I3242">
        <v>0</v>
      </c>
      <c r="J3242">
        <v>0</v>
      </c>
      <c r="K3242">
        <v>0</v>
      </c>
      <c r="L3242">
        <v>27647178</v>
      </c>
      <c r="M3242">
        <v>27647178</v>
      </c>
      <c r="N3242">
        <v>27647178</v>
      </c>
      <c r="O3242">
        <v>27647178</v>
      </c>
      <c r="P3242">
        <v>27647178</v>
      </c>
      <c r="Q3242">
        <v>27647178</v>
      </c>
      <c r="R3242" s="14">
        <f>_xlfn.XLOOKUP(Table2[[#This Row],[LoanID]],Table1[G-L ID],Table1[ManagerCode],-99)</f>
        <v>183</v>
      </c>
      <c r="T3242"/>
    </row>
    <row r="3243" spans="1:20" x14ac:dyDescent="0.25">
      <c r="A3243">
        <v>20141231</v>
      </c>
      <c r="B3243">
        <v>2014</v>
      </c>
      <c r="C3243">
        <v>12</v>
      </c>
      <c r="D3243">
        <v>1</v>
      </c>
      <c r="E3243">
        <v>11680</v>
      </c>
      <c r="F3243">
        <v>57126.559999999998</v>
      </c>
      <c r="G3243">
        <v>0</v>
      </c>
      <c r="H3243">
        <v>0</v>
      </c>
      <c r="I3243">
        <v>0</v>
      </c>
      <c r="J3243">
        <v>0</v>
      </c>
      <c r="K3243">
        <v>0</v>
      </c>
      <c r="L3243">
        <v>6600000</v>
      </c>
      <c r="M3243">
        <v>6600000</v>
      </c>
      <c r="N3243">
        <v>6600000</v>
      </c>
      <c r="O3243">
        <v>6600000</v>
      </c>
      <c r="P3243">
        <v>6600000</v>
      </c>
      <c r="Q3243">
        <v>6600000</v>
      </c>
      <c r="R3243" s="14">
        <f>_xlfn.XLOOKUP(Table2[[#This Row],[LoanID]],Table1[G-L ID],Table1[ManagerCode],-99)</f>
        <v>183</v>
      </c>
      <c r="T3243"/>
    </row>
    <row r="3244" spans="1:20" x14ac:dyDescent="0.25">
      <c r="A3244">
        <v>20141231</v>
      </c>
      <c r="B3244">
        <v>2014</v>
      </c>
      <c r="C3244">
        <v>12</v>
      </c>
      <c r="D3244">
        <v>1</v>
      </c>
      <c r="E3244">
        <v>11710</v>
      </c>
      <c r="F3244">
        <v>90129.2</v>
      </c>
      <c r="G3244">
        <v>0</v>
      </c>
      <c r="H3244">
        <v>45000</v>
      </c>
      <c r="I3244">
        <v>0</v>
      </c>
      <c r="J3244">
        <v>-3000000</v>
      </c>
      <c r="K3244">
        <v>0</v>
      </c>
      <c r="L3244">
        <v>12000000</v>
      </c>
      <c r="M3244">
        <v>15000000</v>
      </c>
      <c r="N3244">
        <v>12000000</v>
      </c>
      <c r="O3244">
        <v>15000000</v>
      </c>
      <c r="P3244">
        <v>12000000</v>
      </c>
      <c r="Q3244">
        <v>15000000</v>
      </c>
      <c r="R3244" s="14">
        <f>_xlfn.XLOOKUP(Table2[[#This Row],[LoanID]],Table1[G-L ID],Table1[ManagerCode],-99)</f>
        <v>119</v>
      </c>
      <c r="T3244"/>
    </row>
    <row r="3245" spans="1:20" x14ac:dyDescent="0.25">
      <c r="A3245">
        <v>20141231</v>
      </c>
      <c r="B3245">
        <v>2014</v>
      </c>
      <c r="C3245">
        <v>12</v>
      </c>
      <c r="D3245">
        <v>1</v>
      </c>
      <c r="E3245">
        <v>11720</v>
      </c>
      <c r="F3245">
        <v>83333.33</v>
      </c>
      <c r="G3245">
        <v>0</v>
      </c>
      <c r="H3245">
        <v>0</v>
      </c>
      <c r="I3245">
        <v>0</v>
      </c>
      <c r="J3245">
        <v>-20000000</v>
      </c>
      <c r="K3245">
        <v>0</v>
      </c>
      <c r="L3245">
        <v>0</v>
      </c>
      <c r="M3245">
        <v>19800000</v>
      </c>
      <c r="N3245">
        <v>0</v>
      </c>
      <c r="O3245">
        <v>19800000</v>
      </c>
      <c r="P3245">
        <v>0</v>
      </c>
      <c r="Q3245">
        <v>20000000</v>
      </c>
      <c r="R3245" s="14">
        <f>_xlfn.XLOOKUP(Table2[[#This Row],[LoanID]],Table1[G-L ID],Table1[ManagerCode],-99)</f>
        <v>103</v>
      </c>
      <c r="T3245"/>
    </row>
    <row r="3246" spans="1:20" x14ac:dyDescent="0.25">
      <c r="A3246">
        <v>20141231</v>
      </c>
      <c r="B3246">
        <v>2014</v>
      </c>
      <c r="C3246">
        <v>12</v>
      </c>
      <c r="D3246">
        <v>1</v>
      </c>
      <c r="E3246">
        <v>11730</v>
      </c>
      <c r="F3246">
        <v>56914.9</v>
      </c>
      <c r="G3246">
        <v>0</v>
      </c>
      <c r="H3246">
        <v>0</v>
      </c>
      <c r="I3246">
        <v>0</v>
      </c>
      <c r="J3246">
        <v>0</v>
      </c>
      <c r="K3246">
        <v>0</v>
      </c>
      <c r="L3246">
        <v>4750000</v>
      </c>
      <c r="M3246">
        <v>4750000</v>
      </c>
      <c r="N3246">
        <v>4750000</v>
      </c>
      <c r="O3246">
        <v>4750000</v>
      </c>
      <c r="P3246">
        <v>4750000</v>
      </c>
      <c r="Q3246">
        <v>4750000</v>
      </c>
      <c r="R3246" s="14">
        <f>_xlfn.XLOOKUP(Table2[[#This Row],[LoanID]],Table1[G-L ID],Table1[ManagerCode],-99)</f>
        <v>119</v>
      </c>
      <c r="T3246"/>
    </row>
    <row r="3247" spans="1:20" x14ac:dyDescent="0.25">
      <c r="A3247">
        <v>20141231</v>
      </c>
      <c r="B3247">
        <v>2014</v>
      </c>
      <c r="C3247">
        <v>12</v>
      </c>
      <c r="D3247">
        <v>1</v>
      </c>
      <c r="E3247">
        <v>11740</v>
      </c>
      <c r="F3247">
        <v>191100</v>
      </c>
      <c r="G3247">
        <v>0</v>
      </c>
      <c r="H3247">
        <v>0</v>
      </c>
      <c r="I3247">
        <v>0</v>
      </c>
      <c r="J3247">
        <v>0</v>
      </c>
      <c r="K3247">
        <v>0</v>
      </c>
      <c r="L3247">
        <v>19110000</v>
      </c>
      <c r="M3247">
        <v>19110000</v>
      </c>
      <c r="N3247">
        <v>19110000</v>
      </c>
      <c r="O3247">
        <v>19110000</v>
      </c>
      <c r="P3247">
        <v>19110000</v>
      </c>
      <c r="Q3247">
        <v>19110000</v>
      </c>
      <c r="R3247" s="14">
        <f>_xlfn.XLOOKUP(Table2[[#This Row],[LoanID]],Table1[G-L ID],Table1[ManagerCode],-99)</f>
        <v>183</v>
      </c>
      <c r="T3247"/>
    </row>
    <row r="3248" spans="1:20" x14ac:dyDescent="0.25">
      <c r="A3248">
        <v>20141231</v>
      </c>
      <c r="B3248">
        <v>2014</v>
      </c>
      <c r="C3248">
        <v>12</v>
      </c>
      <c r="D3248">
        <v>1</v>
      </c>
      <c r="E3248">
        <v>11810</v>
      </c>
      <c r="F3248">
        <v>49563.21</v>
      </c>
      <c r="G3248">
        <v>0</v>
      </c>
      <c r="H3248">
        <v>0</v>
      </c>
      <c r="I3248">
        <v>0</v>
      </c>
      <c r="J3248">
        <v>0</v>
      </c>
      <c r="K3248">
        <v>11294.88</v>
      </c>
      <c r="L3248">
        <v>9589753.7799999993</v>
      </c>
      <c r="M3248">
        <v>9578571.8399999999</v>
      </c>
      <c r="N3248">
        <v>9589753.7799999993</v>
      </c>
      <c r="O3248">
        <v>9578571.8399999999</v>
      </c>
      <c r="P3248">
        <v>9686619.9700000007</v>
      </c>
      <c r="Q3248">
        <v>9675325.0899999999</v>
      </c>
      <c r="R3248" s="14">
        <f>_xlfn.XLOOKUP(Table2[[#This Row],[LoanID]],Table1[G-L ID],Table1[ManagerCode],-99)</f>
        <v>103</v>
      </c>
      <c r="T3248"/>
    </row>
    <row r="3249" spans="1:20" x14ac:dyDescent="0.25">
      <c r="A3249">
        <v>20141231</v>
      </c>
      <c r="B3249">
        <v>2014</v>
      </c>
      <c r="C3249">
        <v>12</v>
      </c>
      <c r="D3249">
        <v>1</v>
      </c>
      <c r="E3249">
        <v>11840</v>
      </c>
      <c r="F3249">
        <v>106454.32</v>
      </c>
      <c r="G3249">
        <v>0</v>
      </c>
      <c r="H3249">
        <v>1025364.6</v>
      </c>
      <c r="I3249">
        <v>0</v>
      </c>
      <c r="J3249">
        <v>0</v>
      </c>
      <c r="K3249">
        <v>12585732.140000001</v>
      </c>
      <c r="L3249">
        <v>12585732.140000001</v>
      </c>
      <c r="M3249">
        <v>0</v>
      </c>
      <c r="N3249">
        <v>12585732.140000001</v>
      </c>
      <c r="O3249">
        <v>0</v>
      </c>
      <c r="P3249">
        <v>12585732.140000001</v>
      </c>
      <c r="Q3249">
        <v>0</v>
      </c>
      <c r="R3249" s="14">
        <f>_xlfn.XLOOKUP(Table2[[#This Row],[LoanID]],Table1[G-L ID],Table1[ManagerCode],-99)</f>
        <v>183</v>
      </c>
      <c r="T3249"/>
    </row>
    <row r="3250" spans="1:20" x14ac:dyDescent="0.25">
      <c r="A3250">
        <v>20141231</v>
      </c>
      <c r="B3250">
        <v>2014</v>
      </c>
      <c r="C3250">
        <v>12</v>
      </c>
      <c r="D3250">
        <v>1</v>
      </c>
      <c r="E3250">
        <v>11880</v>
      </c>
      <c r="F3250">
        <v>214716.59</v>
      </c>
      <c r="G3250">
        <v>127086.74</v>
      </c>
      <c r="H3250">
        <v>0</v>
      </c>
      <c r="I3250">
        <v>0</v>
      </c>
      <c r="J3250">
        <v>-3556790.92</v>
      </c>
      <c r="K3250">
        <v>0</v>
      </c>
      <c r="L3250">
        <v>46588266.229999997</v>
      </c>
      <c r="M3250">
        <v>50272143.789999999</v>
      </c>
      <c r="N3250">
        <v>46588266.229999997</v>
      </c>
      <c r="O3250">
        <v>50272143.789999999</v>
      </c>
      <c r="P3250">
        <v>46588266.229999997</v>
      </c>
      <c r="Q3250">
        <v>50272143.789999999</v>
      </c>
      <c r="R3250" s="14">
        <f>_xlfn.XLOOKUP(Table2[[#This Row],[LoanID]],Table1[G-L ID],Table1[ManagerCode],-99)</f>
        <v>183</v>
      </c>
      <c r="T3250"/>
    </row>
    <row r="3251" spans="1:20" x14ac:dyDescent="0.25">
      <c r="A3251">
        <v>20141231</v>
      </c>
      <c r="B3251">
        <v>2014</v>
      </c>
      <c r="C3251">
        <v>12</v>
      </c>
      <c r="D3251">
        <v>1</v>
      </c>
      <c r="E3251">
        <v>11920</v>
      </c>
      <c r="F3251">
        <v>81040.56</v>
      </c>
      <c r="G3251">
        <v>0</v>
      </c>
      <c r="H3251">
        <v>367500</v>
      </c>
      <c r="I3251">
        <v>0</v>
      </c>
      <c r="J3251">
        <v>0</v>
      </c>
      <c r="K3251">
        <v>12250000</v>
      </c>
      <c r="L3251">
        <v>12250000</v>
      </c>
      <c r="M3251">
        <v>0</v>
      </c>
      <c r="N3251">
        <v>12250000</v>
      </c>
      <c r="O3251">
        <v>0</v>
      </c>
      <c r="P3251">
        <v>12250000</v>
      </c>
      <c r="Q3251">
        <v>0</v>
      </c>
      <c r="R3251" s="14">
        <f>_xlfn.XLOOKUP(Table2[[#This Row],[LoanID]],Table1[G-L ID],Table1[ManagerCode],-99)</f>
        <v>220</v>
      </c>
      <c r="T3251"/>
    </row>
    <row r="3252" spans="1:20" x14ac:dyDescent="0.25">
      <c r="A3252">
        <v>20141231</v>
      </c>
      <c r="B3252">
        <v>2014</v>
      </c>
      <c r="C3252">
        <v>12</v>
      </c>
      <c r="D3252">
        <v>1</v>
      </c>
      <c r="E3252">
        <v>11970</v>
      </c>
      <c r="F3252">
        <v>85000</v>
      </c>
      <c r="G3252">
        <v>63647.57</v>
      </c>
      <c r="H3252">
        <v>0</v>
      </c>
      <c r="I3252">
        <v>0</v>
      </c>
      <c r="J3252">
        <v>0</v>
      </c>
      <c r="K3252">
        <v>0</v>
      </c>
      <c r="L3252">
        <v>9909837.7400000002</v>
      </c>
      <c r="M3252">
        <v>9973485.3100000005</v>
      </c>
      <c r="N3252">
        <v>9909837.7400000002</v>
      </c>
      <c r="O3252">
        <v>9973485.3100000005</v>
      </c>
      <c r="P3252">
        <v>9909837.7400000002</v>
      </c>
      <c r="Q3252">
        <v>9973485.3100000005</v>
      </c>
      <c r="R3252" s="14">
        <f>_xlfn.XLOOKUP(Table2[[#This Row],[LoanID]],Table1[G-L ID],Table1[ManagerCode],-99)</f>
        <v>183</v>
      </c>
      <c r="T3252"/>
    </row>
    <row r="3253" spans="1:20" x14ac:dyDescent="0.25">
      <c r="A3253">
        <v>20141231</v>
      </c>
      <c r="B3253">
        <v>2014</v>
      </c>
      <c r="C3253">
        <v>12</v>
      </c>
      <c r="D3253">
        <v>1</v>
      </c>
      <c r="E3253">
        <v>11990</v>
      </c>
      <c r="F3253">
        <v>96950</v>
      </c>
      <c r="G3253">
        <v>0</v>
      </c>
      <c r="H3253">
        <v>0</v>
      </c>
      <c r="I3253">
        <v>0</v>
      </c>
      <c r="J3253">
        <v>0</v>
      </c>
      <c r="K3253">
        <v>0</v>
      </c>
      <c r="L3253">
        <v>15000000</v>
      </c>
      <c r="M3253">
        <v>15000000</v>
      </c>
      <c r="N3253">
        <v>15000000</v>
      </c>
      <c r="O3253">
        <v>15000000</v>
      </c>
      <c r="P3253">
        <v>15000000</v>
      </c>
      <c r="Q3253">
        <v>15000000</v>
      </c>
      <c r="R3253" s="14">
        <f>_xlfn.XLOOKUP(Table2[[#This Row],[LoanID]],Table1[G-L ID],Table1[ManagerCode],-99)</f>
        <v>220</v>
      </c>
      <c r="T3253"/>
    </row>
    <row r="3254" spans="1:20" x14ac:dyDescent="0.25">
      <c r="A3254">
        <v>20141231</v>
      </c>
      <c r="B3254">
        <v>2014</v>
      </c>
      <c r="C3254">
        <v>12</v>
      </c>
      <c r="D3254">
        <v>1</v>
      </c>
      <c r="E3254">
        <v>12080</v>
      </c>
      <c r="F3254">
        <v>287386.86</v>
      </c>
      <c r="G3254">
        <v>0</v>
      </c>
      <c r="H3254">
        <v>0</v>
      </c>
      <c r="I3254">
        <v>0</v>
      </c>
      <c r="J3254">
        <v>0</v>
      </c>
      <c r="K3254">
        <v>0</v>
      </c>
      <c r="L3254">
        <v>36609790.950000003</v>
      </c>
      <c r="M3254">
        <v>36609790.950000003</v>
      </c>
      <c r="N3254">
        <v>36609790.950000003</v>
      </c>
      <c r="O3254">
        <v>36609790.950000003</v>
      </c>
      <c r="P3254">
        <v>36609790.950000003</v>
      </c>
      <c r="Q3254">
        <v>36609790.950000003</v>
      </c>
      <c r="R3254" s="14">
        <f>_xlfn.XLOOKUP(Table2[[#This Row],[LoanID]],Table1[G-L ID],Table1[ManagerCode],-99)</f>
        <v>119</v>
      </c>
      <c r="T3254"/>
    </row>
    <row r="3255" spans="1:20" x14ac:dyDescent="0.25">
      <c r="A3255">
        <v>20141231</v>
      </c>
      <c r="B3255">
        <v>2014</v>
      </c>
      <c r="C3255">
        <v>12</v>
      </c>
      <c r="D3255">
        <v>1</v>
      </c>
      <c r="E3255">
        <v>12100</v>
      </c>
      <c r="F3255">
        <v>50224.89</v>
      </c>
      <c r="G3255">
        <v>93019.3</v>
      </c>
      <c r="H3255">
        <v>0</v>
      </c>
      <c r="I3255">
        <v>0</v>
      </c>
      <c r="J3255">
        <v>0</v>
      </c>
      <c r="K3255">
        <v>0</v>
      </c>
      <c r="L3255">
        <v>11860896.369999999</v>
      </c>
      <c r="M3255">
        <v>11953915.67</v>
      </c>
      <c r="N3255">
        <v>11860896.369999999</v>
      </c>
      <c r="O3255">
        <v>11953915.67</v>
      </c>
      <c r="P3255">
        <v>11860896.369999999</v>
      </c>
      <c r="Q3255">
        <v>11953915.67</v>
      </c>
      <c r="R3255" s="14">
        <f>_xlfn.XLOOKUP(Table2[[#This Row],[LoanID]],Table1[G-L ID],Table1[ManagerCode],-99)</f>
        <v>183</v>
      </c>
      <c r="T3255"/>
    </row>
    <row r="3256" spans="1:20" x14ac:dyDescent="0.25">
      <c r="A3256">
        <v>20141231</v>
      </c>
      <c r="B3256">
        <v>2014</v>
      </c>
      <c r="C3256">
        <v>12</v>
      </c>
      <c r="D3256">
        <v>1</v>
      </c>
      <c r="E3256">
        <v>12160</v>
      </c>
      <c r="F3256">
        <v>43468.46</v>
      </c>
      <c r="G3256">
        <v>64063.53</v>
      </c>
      <c r="H3256">
        <v>0</v>
      </c>
      <c r="I3256">
        <v>0</v>
      </c>
      <c r="J3256">
        <v>-43468.46</v>
      </c>
      <c r="K3256">
        <v>0</v>
      </c>
      <c r="L3256">
        <v>10588948.640000001</v>
      </c>
      <c r="M3256">
        <v>10696480.630000001</v>
      </c>
      <c r="N3256">
        <v>10588948.640000001</v>
      </c>
      <c r="O3256">
        <v>10696480.630000001</v>
      </c>
      <c r="P3256">
        <v>10588948.640000001</v>
      </c>
      <c r="Q3256">
        <v>10696480.630000001</v>
      </c>
      <c r="R3256" s="14">
        <f>_xlfn.XLOOKUP(Table2[[#This Row],[LoanID]],Table1[G-L ID],Table1[ManagerCode],-99)</f>
        <v>183</v>
      </c>
      <c r="T3256"/>
    </row>
    <row r="3257" spans="1:20" x14ac:dyDescent="0.25">
      <c r="A3257">
        <v>20141231</v>
      </c>
      <c r="B3257">
        <v>2014</v>
      </c>
      <c r="C3257">
        <v>12</v>
      </c>
      <c r="D3257">
        <v>1</v>
      </c>
      <c r="E3257">
        <v>12180</v>
      </c>
      <c r="F3257">
        <v>226041.67</v>
      </c>
      <c r="G3257">
        <v>0</v>
      </c>
      <c r="H3257">
        <v>0</v>
      </c>
      <c r="I3257">
        <v>0</v>
      </c>
      <c r="J3257">
        <v>0</v>
      </c>
      <c r="K3257">
        <v>0</v>
      </c>
      <c r="L3257">
        <v>35000000</v>
      </c>
      <c r="M3257">
        <v>35000000</v>
      </c>
      <c r="N3257">
        <v>35000000</v>
      </c>
      <c r="O3257">
        <v>35000000</v>
      </c>
      <c r="P3257">
        <v>35000000</v>
      </c>
      <c r="Q3257">
        <v>35000000</v>
      </c>
      <c r="R3257" s="14">
        <f>_xlfn.XLOOKUP(Table2[[#This Row],[LoanID]],Table1[G-L ID],Table1[ManagerCode],-99)</f>
        <v>220</v>
      </c>
      <c r="T3257"/>
    </row>
    <row r="3258" spans="1:20" x14ac:dyDescent="0.25">
      <c r="A3258">
        <v>20141231</v>
      </c>
      <c r="B3258">
        <v>2014</v>
      </c>
      <c r="C3258">
        <v>12</v>
      </c>
      <c r="D3258">
        <v>1</v>
      </c>
      <c r="E3258">
        <v>12190</v>
      </c>
      <c r="F3258">
        <v>273750</v>
      </c>
      <c r="G3258">
        <v>0</v>
      </c>
      <c r="H3258">
        <v>0</v>
      </c>
      <c r="I3258">
        <v>0</v>
      </c>
      <c r="J3258">
        <v>0</v>
      </c>
      <c r="K3258">
        <v>0</v>
      </c>
      <c r="L3258">
        <v>37500000</v>
      </c>
      <c r="M3258">
        <v>37500000</v>
      </c>
      <c r="N3258">
        <v>37500000</v>
      </c>
      <c r="O3258">
        <v>37500000</v>
      </c>
      <c r="P3258">
        <v>37500000</v>
      </c>
      <c r="Q3258">
        <v>37500000</v>
      </c>
      <c r="R3258" s="14">
        <f>_xlfn.XLOOKUP(Table2[[#This Row],[LoanID]],Table1[G-L ID],Table1[ManagerCode],-99)</f>
        <v>220</v>
      </c>
      <c r="T3258"/>
    </row>
    <row r="3259" spans="1:20" x14ac:dyDescent="0.25">
      <c r="A3259">
        <v>20141231</v>
      </c>
      <c r="B3259">
        <v>2014</v>
      </c>
      <c r="C3259">
        <v>12</v>
      </c>
      <c r="D3259">
        <v>1</v>
      </c>
      <c r="E3259">
        <v>12210</v>
      </c>
      <c r="F3259">
        <v>677335.78</v>
      </c>
      <c r="G3259">
        <v>0</v>
      </c>
      <c r="H3259">
        <v>0</v>
      </c>
      <c r="I3259">
        <v>0</v>
      </c>
      <c r="J3259">
        <v>0</v>
      </c>
      <c r="K3259">
        <v>220826.09</v>
      </c>
      <c r="L3259">
        <v>125263126.40000001</v>
      </c>
      <c r="M3259">
        <v>124021850.40000001</v>
      </c>
      <c r="N3259">
        <v>125263126.40000001</v>
      </c>
      <c r="O3259">
        <v>124021850.40000001</v>
      </c>
      <c r="P3259">
        <v>109594023.90000001</v>
      </c>
      <c r="Q3259">
        <v>109373197.8</v>
      </c>
      <c r="R3259" s="14">
        <f>_xlfn.XLOOKUP(Table2[[#This Row],[LoanID]],Table1[G-L ID],Table1[ManagerCode],-99)</f>
        <v>103</v>
      </c>
      <c r="T3259"/>
    </row>
    <row r="3260" spans="1:20" x14ac:dyDescent="0.25">
      <c r="A3260">
        <v>20141231</v>
      </c>
      <c r="B3260">
        <v>2014</v>
      </c>
      <c r="C3260">
        <v>12</v>
      </c>
      <c r="D3260">
        <v>1</v>
      </c>
      <c r="E3260">
        <v>12230</v>
      </c>
      <c r="F3260">
        <v>102013.64</v>
      </c>
      <c r="G3260">
        <v>0</v>
      </c>
      <c r="H3260">
        <v>0</v>
      </c>
      <c r="I3260">
        <v>0</v>
      </c>
      <c r="J3260">
        <v>0</v>
      </c>
      <c r="K3260">
        <v>0</v>
      </c>
      <c r="L3260">
        <v>20293412.210000001</v>
      </c>
      <c r="M3260">
        <v>20230000</v>
      </c>
      <c r="N3260">
        <v>13812861.710000001</v>
      </c>
      <c r="O3260">
        <v>13749449.5</v>
      </c>
      <c r="P3260">
        <v>19443597.32</v>
      </c>
      <c r="Q3260">
        <v>19443597.32</v>
      </c>
      <c r="R3260" s="14">
        <f>_xlfn.XLOOKUP(Table2[[#This Row],[LoanID]],Table1[G-L ID],Table1[ManagerCode],-99)</f>
        <v>183</v>
      </c>
      <c r="T3260"/>
    </row>
    <row r="3261" spans="1:20" x14ac:dyDescent="0.25">
      <c r="A3261">
        <v>20141231</v>
      </c>
      <c r="B3261">
        <v>2014</v>
      </c>
      <c r="C3261">
        <v>12</v>
      </c>
      <c r="D3261">
        <v>1</v>
      </c>
      <c r="E3261">
        <v>12240</v>
      </c>
      <c r="F3261">
        <v>0</v>
      </c>
      <c r="G3261">
        <v>1261118.33</v>
      </c>
      <c r="H3261">
        <v>0</v>
      </c>
      <c r="I3261">
        <v>0</v>
      </c>
      <c r="J3261">
        <v>-10125479.49</v>
      </c>
      <c r="K3261">
        <v>0</v>
      </c>
      <c r="L3261">
        <v>47192452.039999999</v>
      </c>
      <c r="M3261">
        <v>58579049.859999999</v>
      </c>
      <c r="N3261">
        <v>47192452.039999999</v>
      </c>
      <c r="O3261">
        <v>58579049.859999999</v>
      </c>
      <c r="P3261">
        <v>47192452.039999999</v>
      </c>
      <c r="Q3261">
        <v>58579049.859999999</v>
      </c>
      <c r="R3261" s="14">
        <f>_xlfn.XLOOKUP(Table2[[#This Row],[LoanID]],Table1[G-L ID],Table1[ManagerCode],-99)</f>
        <v>183</v>
      </c>
      <c r="T3261"/>
    </row>
    <row r="3262" spans="1:20" x14ac:dyDescent="0.25">
      <c r="A3262">
        <v>20141231</v>
      </c>
      <c r="B3262">
        <v>2014</v>
      </c>
      <c r="C3262">
        <v>12</v>
      </c>
      <c r="D3262">
        <v>1</v>
      </c>
      <c r="E3262">
        <v>13630</v>
      </c>
      <c r="F3262">
        <v>211458.33</v>
      </c>
      <c r="G3262">
        <v>0</v>
      </c>
      <c r="H3262">
        <v>0</v>
      </c>
      <c r="I3262">
        <v>0</v>
      </c>
      <c r="J3262">
        <v>0</v>
      </c>
      <c r="K3262">
        <v>0</v>
      </c>
      <c r="L3262">
        <v>35000000</v>
      </c>
      <c r="M3262">
        <v>35000000</v>
      </c>
      <c r="N3262">
        <v>35000000</v>
      </c>
      <c r="O3262">
        <v>35000000</v>
      </c>
      <c r="P3262">
        <v>35000000</v>
      </c>
      <c r="Q3262">
        <v>35000000</v>
      </c>
      <c r="R3262" s="14">
        <f>_xlfn.XLOOKUP(Table2[[#This Row],[LoanID]],Table1[G-L ID],Table1[ManagerCode],-99)</f>
        <v>298</v>
      </c>
      <c r="T3262"/>
    </row>
    <row r="3263" spans="1:20" x14ac:dyDescent="0.25">
      <c r="A3263">
        <v>20141231</v>
      </c>
      <c r="B3263">
        <v>2014</v>
      </c>
      <c r="C3263">
        <v>12</v>
      </c>
      <c r="D3263">
        <v>1</v>
      </c>
      <c r="E3263">
        <v>13670</v>
      </c>
      <c r="F3263">
        <v>270468.75</v>
      </c>
      <c r="G3263">
        <v>0</v>
      </c>
      <c r="H3263">
        <v>0</v>
      </c>
      <c r="I3263">
        <v>0</v>
      </c>
      <c r="J3263">
        <v>0</v>
      </c>
      <c r="K3263">
        <v>0</v>
      </c>
      <c r="L3263">
        <v>37500000</v>
      </c>
      <c r="M3263">
        <v>37500000</v>
      </c>
      <c r="N3263">
        <v>37500000</v>
      </c>
      <c r="O3263">
        <v>37500000</v>
      </c>
      <c r="P3263">
        <v>37500000</v>
      </c>
      <c r="Q3263">
        <v>37500000</v>
      </c>
      <c r="R3263" s="14">
        <f>_xlfn.XLOOKUP(Table2[[#This Row],[LoanID]],Table1[G-L ID],Table1[ManagerCode],-99)</f>
        <v>298</v>
      </c>
      <c r="T3263"/>
    </row>
    <row r="3264" spans="1:20" x14ac:dyDescent="0.25">
      <c r="A3264">
        <v>20141231</v>
      </c>
      <c r="B3264">
        <v>2014</v>
      </c>
      <c r="C3264">
        <v>12</v>
      </c>
      <c r="D3264">
        <v>1</v>
      </c>
      <c r="E3264">
        <v>13680</v>
      </c>
      <c r="F3264">
        <v>134625</v>
      </c>
      <c r="G3264">
        <v>0</v>
      </c>
      <c r="H3264">
        <v>0</v>
      </c>
      <c r="I3264">
        <v>0</v>
      </c>
      <c r="J3264">
        <v>0</v>
      </c>
      <c r="K3264">
        <v>0</v>
      </c>
      <c r="L3264">
        <v>18000000</v>
      </c>
      <c r="M3264">
        <v>18000000</v>
      </c>
      <c r="N3264">
        <v>18000000</v>
      </c>
      <c r="O3264">
        <v>18000000</v>
      </c>
      <c r="P3264">
        <v>18000000</v>
      </c>
      <c r="Q3264">
        <v>18000000</v>
      </c>
      <c r="R3264" s="14">
        <f>_xlfn.XLOOKUP(Table2[[#This Row],[LoanID]],Table1[G-L ID],Table1[ManagerCode],-99)</f>
        <v>298</v>
      </c>
      <c r="T3264"/>
    </row>
    <row r="3265" spans="1:20" x14ac:dyDescent="0.25">
      <c r="A3265">
        <v>20141231</v>
      </c>
      <c r="B3265">
        <v>2014</v>
      </c>
      <c r="C3265">
        <v>12</v>
      </c>
      <c r="D3265">
        <v>1</v>
      </c>
      <c r="E3265">
        <v>13690</v>
      </c>
      <c r="F3265">
        <v>129166.67</v>
      </c>
      <c r="G3265">
        <v>0</v>
      </c>
      <c r="H3265">
        <v>0</v>
      </c>
      <c r="I3265">
        <v>0</v>
      </c>
      <c r="J3265">
        <v>0</v>
      </c>
      <c r="K3265">
        <v>0</v>
      </c>
      <c r="L3265">
        <v>20000000</v>
      </c>
      <c r="M3265">
        <v>20000000</v>
      </c>
      <c r="N3265">
        <v>20000000</v>
      </c>
      <c r="O3265">
        <v>20000000</v>
      </c>
      <c r="P3265">
        <v>20000000</v>
      </c>
      <c r="Q3265">
        <v>20000000</v>
      </c>
      <c r="R3265" s="14">
        <f>_xlfn.XLOOKUP(Table2[[#This Row],[LoanID]],Table1[G-L ID],Table1[ManagerCode],-99)</f>
        <v>298</v>
      </c>
      <c r="T3265"/>
    </row>
    <row r="3266" spans="1:20" x14ac:dyDescent="0.25">
      <c r="A3266">
        <v>20141231</v>
      </c>
      <c r="B3266">
        <v>2014</v>
      </c>
      <c r="C3266">
        <v>12</v>
      </c>
      <c r="D3266">
        <v>1</v>
      </c>
      <c r="E3266">
        <v>15580</v>
      </c>
      <c r="F3266">
        <v>114859.89</v>
      </c>
      <c r="G3266">
        <v>3760.63</v>
      </c>
      <c r="H3266">
        <v>0</v>
      </c>
      <c r="I3266">
        <v>0</v>
      </c>
      <c r="J3266">
        <v>0</v>
      </c>
      <c r="K3266">
        <v>8541.42</v>
      </c>
      <c r="L3266">
        <v>15015602.58</v>
      </c>
      <c r="M3266">
        <v>15010821.789999999</v>
      </c>
      <c r="N3266">
        <v>15015602.58</v>
      </c>
      <c r="O3266">
        <v>15010821.789999999</v>
      </c>
      <c r="P3266">
        <v>15015602.58</v>
      </c>
      <c r="Q3266">
        <v>15010821.789999999</v>
      </c>
      <c r="R3266" s="14">
        <f>_xlfn.XLOOKUP(Table2[[#This Row],[LoanID]],Table1[G-L ID],Table1[ManagerCode],-99)</f>
        <v>212</v>
      </c>
      <c r="T3266"/>
    </row>
    <row r="3267" spans="1:20" x14ac:dyDescent="0.25">
      <c r="A3267">
        <v>20150131</v>
      </c>
      <c r="B3267">
        <v>2015</v>
      </c>
      <c r="C3267">
        <v>1</v>
      </c>
      <c r="D3267">
        <v>1</v>
      </c>
      <c r="E3267">
        <v>10010</v>
      </c>
      <c r="F3267">
        <v>156965.51999999999</v>
      </c>
      <c r="G3267">
        <v>0</v>
      </c>
      <c r="H3267">
        <v>0</v>
      </c>
      <c r="I3267">
        <v>0</v>
      </c>
      <c r="J3267">
        <v>0</v>
      </c>
      <c r="K3267">
        <v>0</v>
      </c>
      <c r="L3267">
        <v>16250000</v>
      </c>
      <c r="M3267">
        <v>16250000</v>
      </c>
      <c r="N3267">
        <v>16250000</v>
      </c>
      <c r="O3267">
        <v>16250000</v>
      </c>
      <c r="P3267">
        <v>16250000</v>
      </c>
      <c r="Q3267">
        <v>16250000</v>
      </c>
      <c r="R3267" s="14">
        <f>_xlfn.XLOOKUP(Table2[[#This Row],[LoanID]],Table1[G-L ID],Table1[ManagerCode],-99)</f>
        <v>119</v>
      </c>
      <c r="T3267"/>
    </row>
    <row r="3268" spans="1:20" x14ac:dyDescent="0.25">
      <c r="A3268">
        <v>20150131</v>
      </c>
      <c r="B3268">
        <v>2015</v>
      </c>
      <c r="C3268">
        <v>1</v>
      </c>
      <c r="D3268">
        <v>1</v>
      </c>
      <c r="E3268">
        <v>10050</v>
      </c>
      <c r="F3268">
        <v>153981.01999999999</v>
      </c>
      <c r="G3268">
        <v>0</v>
      </c>
      <c r="H3268">
        <v>0</v>
      </c>
      <c r="I3268">
        <v>0</v>
      </c>
      <c r="J3268">
        <v>0</v>
      </c>
      <c r="K3268">
        <v>0</v>
      </c>
      <c r="L3268">
        <v>38848030.93</v>
      </c>
      <c r="M3268">
        <v>38821275.039999999</v>
      </c>
      <c r="N3268">
        <v>38848030.93</v>
      </c>
      <c r="O3268">
        <v>38821275.039999999</v>
      </c>
      <c r="P3268">
        <v>33333334</v>
      </c>
      <c r="Q3268">
        <v>33333334</v>
      </c>
      <c r="R3268" s="14">
        <f>_xlfn.XLOOKUP(Table2[[#This Row],[LoanID]],Table1[G-L ID],Table1[ManagerCode],-99)</f>
        <v>103</v>
      </c>
      <c r="T3268"/>
    </row>
    <row r="3269" spans="1:20" x14ac:dyDescent="0.25">
      <c r="A3269">
        <v>20150131</v>
      </c>
      <c r="B3269">
        <v>2015</v>
      </c>
      <c r="C3269">
        <v>1</v>
      </c>
      <c r="D3269">
        <v>1</v>
      </c>
      <c r="E3269">
        <v>10080</v>
      </c>
      <c r="F3269">
        <v>351042.71</v>
      </c>
      <c r="G3269">
        <v>0</v>
      </c>
      <c r="H3269">
        <v>0</v>
      </c>
      <c r="I3269">
        <v>-161.46</v>
      </c>
      <c r="J3269">
        <v>0</v>
      </c>
      <c r="K3269">
        <v>0</v>
      </c>
      <c r="L3269">
        <v>76070148.930000007</v>
      </c>
      <c r="M3269">
        <v>75822631.959999993</v>
      </c>
      <c r="N3269">
        <v>76070148.930000007</v>
      </c>
      <c r="O3269">
        <v>75822631.959999993</v>
      </c>
      <c r="P3269">
        <v>75000000</v>
      </c>
      <c r="Q3269">
        <v>75000000</v>
      </c>
      <c r="R3269" s="14">
        <f>_xlfn.XLOOKUP(Table2[[#This Row],[LoanID]],Table1[G-L ID],Table1[ManagerCode],-99)</f>
        <v>103</v>
      </c>
      <c r="T3269"/>
    </row>
    <row r="3270" spans="1:20" x14ac:dyDescent="0.25">
      <c r="A3270">
        <v>20150131</v>
      </c>
      <c r="B3270">
        <v>2015</v>
      </c>
      <c r="C3270">
        <v>1</v>
      </c>
      <c r="D3270">
        <v>1</v>
      </c>
      <c r="E3270">
        <v>10090</v>
      </c>
      <c r="F3270">
        <v>200291.67</v>
      </c>
      <c r="G3270">
        <v>0</v>
      </c>
      <c r="H3270">
        <v>0</v>
      </c>
      <c r="I3270">
        <v>0</v>
      </c>
      <c r="J3270">
        <v>0</v>
      </c>
      <c r="K3270">
        <v>0</v>
      </c>
      <c r="L3270">
        <v>23000000</v>
      </c>
      <c r="M3270">
        <v>23000000</v>
      </c>
      <c r="N3270">
        <v>23000000</v>
      </c>
      <c r="O3270">
        <v>23000000</v>
      </c>
      <c r="P3270">
        <v>23000000</v>
      </c>
      <c r="Q3270">
        <v>23000000</v>
      </c>
      <c r="R3270" s="14">
        <f>_xlfn.XLOOKUP(Table2[[#This Row],[LoanID]],Table1[G-L ID],Table1[ManagerCode],-99)</f>
        <v>119</v>
      </c>
      <c r="T3270"/>
    </row>
    <row r="3271" spans="1:20" x14ac:dyDescent="0.25">
      <c r="A3271">
        <v>20150131</v>
      </c>
      <c r="B3271">
        <v>2015</v>
      </c>
      <c r="C3271">
        <v>1</v>
      </c>
      <c r="D3271">
        <v>1</v>
      </c>
      <c r="E3271">
        <v>10100</v>
      </c>
      <c r="F3271">
        <v>196555.56</v>
      </c>
      <c r="G3271">
        <v>0</v>
      </c>
      <c r="H3271">
        <v>0</v>
      </c>
      <c r="I3271">
        <v>0</v>
      </c>
      <c r="J3271">
        <v>0</v>
      </c>
      <c r="K3271">
        <v>0</v>
      </c>
      <c r="L3271">
        <v>30500000</v>
      </c>
      <c r="M3271">
        <v>30500000</v>
      </c>
      <c r="N3271">
        <v>30500000</v>
      </c>
      <c r="O3271">
        <v>30500000</v>
      </c>
      <c r="P3271">
        <v>30500000</v>
      </c>
      <c r="Q3271">
        <v>30500000</v>
      </c>
      <c r="R3271" s="14">
        <f>_xlfn.XLOOKUP(Table2[[#This Row],[LoanID]],Table1[G-L ID],Table1[ManagerCode],-99)</f>
        <v>220</v>
      </c>
      <c r="T3271"/>
    </row>
    <row r="3272" spans="1:20" x14ac:dyDescent="0.25">
      <c r="A3272">
        <v>20150131</v>
      </c>
      <c r="B3272">
        <v>2015</v>
      </c>
      <c r="C3272">
        <v>1</v>
      </c>
      <c r="D3272">
        <v>1</v>
      </c>
      <c r="E3272">
        <v>10190</v>
      </c>
      <c r="F3272">
        <v>41666.67</v>
      </c>
      <c r="G3272">
        <v>0</v>
      </c>
      <c r="H3272">
        <v>0</v>
      </c>
      <c r="I3272">
        <v>0</v>
      </c>
      <c r="J3272">
        <v>0</v>
      </c>
      <c r="K3272">
        <v>0</v>
      </c>
      <c r="L3272">
        <v>10488756.880000001</v>
      </c>
      <c r="M3272">
        <v>10489998.390000001</v>
      </c>
      <c r="N3272">
        <v>10488756.880000001</v>
      </c>
      <c r="O3272">
        <v>10489998.390000001</v>
      </c>
      <c r="P3272">
        <v>10000000</v>
      </c>
      <c r="Q3272">
        <v>10000000</v>
      </c>
      <c r="R3272" s="14">
        <f>_xlfn.XLOOKUP(Table2[[#This Row],[LoanID]],Table1[G-L ID],Table1[ManagerCode],-99)</f>
        <v>103</v>
      </c>
      <c r="T3272"/>
    </row>
    <row r="3273" spans="1:20" x14ac:dyDescent="0.25">
      <c r="A3273">
        <v>20150131</v>
      </c>
      <c r="B3273">
        <v>2015</v>
      </c>
      <c r="C3273">
        <v>1</v>
      </c>
      <c r="D3273">
        <v>1</v>
      </c>
      <c r="E3273">
        <v>10200</v>
      </c>
      <c r="F3273">
        <v>128541.67</v>
      </c>
      <c r="G3273">
        <v>0</v>
      </c>
      <c r="H3273">
        <v>0</v>
      </c>
      <c r="I3273">
        <v>0</v>
      </c>
      <c r="J3273">
        <v>0</v>
      </c>
      <c r="K3273">
        <v>0</v>
      </c>
      <c r="L3273">
        <v>32357814.710000001</v>
      </c>
      <c r="M3273">
        <v>32361644.789999999</v>
      </c>
      <c r="N3273">
        <v>32357814.710000001</v>
      </c>
      <c r="O3273">
        <v>32361644.789999999</v>
      </c>
      <c r="P3273">
        <v>30850000</v>
      </c>
      <c r="Q3273">
        <v>30850000</v>
      </c>
      <c r="R3273" s="14">
        <f>_xlfn.XLOOKUP(Table2[[#This Row],[LoanID]],Table1[G-L ID],Table1[ManagerCode],-99)</f>
        <v>103</v>
      </c>
      <c r="T3273"/>
    </row>
    <row r="3274" spans="1:20" x14ac:dyDescent="0.25">
      <c r="A3274">
        <v>20150131</v>
      </c>
      <c r="B3274">
        <v>2015</v>
      </c>
      <c r="C3274">
        <v>1</v>
      </c>
      <c r="D3274">
        <v>1</v>
      </c>
      <c r="E3274">
        <v>10220</v>
      </c>
      <c r="F3274">
        <v>559722.22</v>
      </c>
      <c r="G3274">
        <v>0</v>
      </c>
      <c r="H3274">
        <v>0</v>
      </c>
      <c r="I3274">
        <v>0</v>
      </c>
      <c r="J3274">
        <v>0</v>
      </c>
      <c r="K3274">
        <v>0</v>
      </c>
      <c r="L3274">
        <v>117673156.2</v>
      </c>
      <c r="M3274">
        <v>119536284</v>
      </c>
      <c r="N3274">
        <v>117673156.2</v>
      </c>
      <c r="O3274">
        <v>119536284</v>
      </c>
      <c r="P3274">
        <v>100000000</v>
      </c>
      <c r="Q3274">
        <v>100000000</v>
      </c>
      <c r="R3274" s="14">
        <f>_xlfn.XLOOKUP(Table2[[#This Row],[LoanID]],Table1[G-L ID],Table1[ManagerCode],-99)</f>
        <v>103</v>
      </c>
      <c r="T3274"/>
    </row>
    <row r="3275" spans="1:20" x14ac:dyDescent="0.25">
      <c r="A3275">
        <v>20150131</v>
      </c>
      <c r="B3275">
        <v>2015</v>
      </c>
      <c r="C3275">
        <v>1</v>
      </c>
      <c r="D3275">
        <v>1</v>
      </c>
      <c r="E3275">
        <v>10240</v>
      </c>
      <c r="F3275">
        <v>73403.97</v>
      </c>
      <c r="G3275">
        <v>0</v>
      </c>
      <c r="H3275">
        <v>0</v>
      </c>
      <c r="I3275">
        <v>0</v>
      </c>
      <c r="J3275">
        <v>0</v>
      </c>
      <c r="K3275">
        <v>0</v>
      </c>
      <c r="L3275">
        <v>10445205</v>
      </c>
      <c r="M3275">
        <v>10445205</v>
      </c>
      <c r="N3275">
        <v>10445205</v>
      </c>
      <c r="O3275">
        <v>10445205</v>
      </c>
      <c r="P3275">
        <v>10445205</v>
      </c>
      <c r="Q3275">
        <v>10445205</v>
      </c>
      <c r="R3275" s="14">
        <f>_xlfn.XLOOKUP(Table2[[#This Row],[LoanID]],Table1[G-L ID],Table1[ManagerCode],-99)</f>
        <v>220</v>
      </c>
      <c r="T3275"/>
    </row>
    <row r="3276" spans="1:20" x14ac:dyDescent="0.25">
      <c r="A3276">
        <v>20150131</v>
      </c>
      <c r="B3276">
        <v>2015</v>
      </c>
      <c r="C3276">
        <v>1</v>
      </c>
      <c r="D3276">
        <v>1</v>
      </c>
      <c r="E3276">
        <v>10260</v>
      </c>
      <c r="F3276">
        <v>32101.040000000001</v>
      </c>
      <c r="G3276">
        <v>0</v>
      </c>
      <c r="H3276">
        <v>0</v>
      </c>
      <c r="I3276">
        <v>0</v>
      </c>
      <c r="J3276">
        <v>0</v>
      </c>
      <c r="K3276">
        <v>0</v>
      </c>
      <c r="L3276">
        <v>15000000</v>
      </c>
      <c r="M3276">
        <v>15000000</v>
      </c>
      <c r="N3276">
        <v>15000000</v>
      </c>
      <c r="O3276">
        <v>15000000</v>
      </c>
      <c r="P3276">
        <v>15000000</v>
      </c>
      <c r="Q3276">
        <v>15000000</v>
      </c>
      <c r="R3276" s="14">
        <f>_xlfn.XLOOKUP(Table2[[#This Row],[LoanID]],Table1[G-L ID],Table1[ManagerCode],-99)</f>
        <v>220</v>
      </c>
      <c r="T3276"/>
    </row>
    <row r="3277" spans="1:20" x14ac:dyDescent="0.25">
      <c r="A3277">
        <v>20150131</v>
      </c>
      <c r="B3277">
        <v>2015</v>
      </c>
      <c r="C3277">
        <v>1</v>
      </c>
      <c r="D3277">
        <v>1</v>
      </c>
      <c r="E3277">
        <v>10270</v>
      </c>
      <c r="F3277">
        <v>15308.67</v>
      </c>
      <c r="G3277">
        <v>0</v>
      </c>
      <c r="H3277">
        <v>0</v>
      </c>
      <c r="I3277">
        <v>0</v>
      </c>
      <c r="J3277">
        <v>0</v>
      </c>
      <c r="K3277">
        <v>0</v>
      </c>
      <c r="L3277">
        <v>1860000</v>
      </c>
      <c r="M3277">
        <v>1860000</v>
      </c>
      <c r="N3277">
        <v>1860000</v>
      </c>
      <c r="O3277">
        <v>1860000</v>
      </c>
      <c r="P3277">
        <v>1860000</v>
      </c>
      <c r="Q3277">
        <v>1860000</v>
      </c>
      <c r="R3277" s="14">
        <f>_xlfn.XLOOKUP(Table2[[#This Row],[LoanID]],Table1[G-L ID],Table1[ManagerCode],-99)</f>
        <v>119</v>
      </c>
      <c r="T3277"/>
    </row>
    <row r="3278" spans="1:20" x14ac:dyDescent="0.25">
      <c r="A3278">
        <v>20150131</v>
      </c>
      <c r="B3278">
        <v>2015</v>
      </c>
      <c r="C3278">
        <v>1</v>
      </c>
      <c r="D3278">
        <v>1</v>
      </c>
      <c r="E3278">
        <v>10340</v>
      </c>
      <c r="F3278">
        <v>110572.35</v>
      </c>
      <c r="G3278">
        <v>0</v>
      </c>
      <c r="H3278">
        <v>0</v>
      </c>
      <c r="I3278">
        <v>0</v>
      </c>
      <c r="J3278">
        <v>0</v>
      </c>
      <c r="K3278">
        <v>0</v>
      </c>
      <c r="L3278">
        <v>12527473</v>
      </c>
      <c r="M3278">
        <v>12527473</v>
      </c>
      <c r="N3278">
        <v>12527473</v>
      </c>
      <c r="O3278">
        <v>12527473</v>
      </c>
      <c r="P3278">
        <v>12527473</v>
      </c>
      <c r="Q3278">
        <v>12527473</v>
      </c>
      <c r="R3278" s="14">
        <f>_xlfn.XLOOKUP(Table2[[#This Row],[LoanID]],Table1[G-L ID],Table1[ManagerCode],-99)</f>
        <v>220</v>
      </c>
      <c r="T3278"/>
    </row>
    <row r="3279" spans="1:20" x14ac:dyDescent="0.25">
      <c r="A3279">
        <v>20150131</v>
      </c>
      <c r="B3279">
        <v>2015</v>
      </c>
      <c r="C3279">
        <v>1</v>
      </c>
      <c r="D3279">
        <v>1</v>
      </c>
      <c r="E3279">
        <v>10350</v>
      </c>
      <c r="F3279">
        <v>192888.89</v>
      </c>
      <c r="G3279">
        <v>0</v>
      </c>
      <c r="H3279">
        <v>0</v>
      </c>
      <c r="I3279">
        <v>0</v>
      </c>
      <c r="J3279">
        <v>0</v>
      </c>
      <c r="K3279">
        <v>0</v>
      </c>
      <c r="L3279">
        <v>24800000</v>
      </c>
      <c r="M3279">
        <v>24800000</v>
      </c>
      <c r="N3279">
        <v>24800000</v>
      </c>
      <c r="O3279">
        <v>24800000</v>
      </c>
      <c r="P3279">
        <v>24800000</v>
      </c>
      <c r="Q3279">
        <v>24800000</v>
      </c>
      <c r="R3279" s="14">
        <f>_xlfn.XLOOKUP(Table2[[#This Row],[LoanID]],Table1[G-L ID],Table1[ManagerCode],-99)</f>
        <v>220</v>
      </c>
      <c r="T3279"/>
    </row>
    <row r="3280" spans="1:20" x14ac:dyDescent="0.25">
      <c r="A3280">
        <v>20150131</v>
      </c>
      <c r="B3280">
        <v>2015</v>
      </c>
      <c r="C3280">
        <v>1</v>
      </c>
      <c r="D3280">
        <v>1</v>
      </c>
      <c r="E3280">
        <v>10400</v>
      </c>
      <c r="F3280">
        <v>412687.5</v>
      </c>
      <c r="G3280">
        <v>0</v>
      </c>
      <c r="H3280">
        <v>0</v>
      </c>
      <c r="I3280">
        <v>0</v>
      </c>
      <c r="J3280">
        <v>0</v>
      </c>
      <c r="K3280">
        <v>45000000</v>
      </c>
      <c r="L3280">
        <v>45000000</v>
      </c>
      <c r="M3280">
        <v>0</v>
      </c>
      <c r="N3280">
        <v>45000000</v>
      </c>
      <c r="O3280">
        <v>0</v>
      </c>
      <c r="P3280">
        <v>45000000</v>
      </c>
      <c r="Q3280">
        <v>0</v>
      </c>
      <c r="R3280" s="14">
        <f>_xlfn.XLOOKUP(Table2[[#This Row],[LoanID]],Table1[G-L ID],Table1[ManagerCode],-99)</f>
        <v>220</v>
      </c>
      <c r="T3280"/>
    </row>
    <row r="3281" spans="1:20" x14ac:dyDescent="0.25">
      <c r="A3281">
        <v>20150131</v>
      </c>
      <c r="B3281">
        <v>2015</v>
      </c>
      <c r="C3281">
        <v>1</v>
      </c>
      <c r="D3281">
        <v>1</v>
      </c>
      <c r="E3281">
        <v>10430</v>
      </c>
      <c r="F3281">
        <v>91307.63</v>
      </c>
      <c r="G3281">
        <v>0</v>
      </c>
      <c r="H3281">
        <v>0</v>
      </c>
      <c r="I3281">
        <v>0</v>
      </c>
      <c r="J3281">
        <v>0</v>
      </c>
      <c r="K3281">
        <v>23400</v>
      </c>
      <c r="L3281">
        <v>10976600</v>
      </c>
      <c r="M3281">
        <v>10953200</v>
      </c>
      <c r="N3281">
        <v>10976600</v>
      </c>
      <c r="O3281">
        <v>10953200</v>
      </c>
      <c r="P3281">
        <v>10976600</v>
      </c>
      <c r="Q3281">
        <v>10953200</v>
      </c>
      <c r="R3281" s="14">
        <f>_xlfn.XLOOKUP(Table2[[#This Row],[LoanID]],Table1[G-L ID],Table1[ManagerCode],-99)</f>
        <v>119</v>
      </c>
      <c r="T3281"/>
    </row>
    <row r="3282" spans="1:20" x14ac:dyDescent="0.25">
      <c r="A3282">
        <v>20150131</v>
      </c>
      <c r="B3282">
        <v>2015</v>
      </c>
      <c r="C3282">
        <v>1</v>
      </c>
      <c r="D3282">
        <v>1</v>
      </c>
      <c r="E3282">
        <v>10460</v>
      </c>
      <c r="F3282">
        <v>124516.67</v>
      </c>
      <c r="G3282">
        <v>0</v>
      </c>
      <c r="H3282">
        <v>0</v>
      </c>
      <c r="I3282">
        <v>0</v>
      </c>
      <c r="J3282">
        <v>0</v>
      </c>
      <c r="K3282">
        <v>0</v>
      </c>
      <c r="L3282">
        <v>59735386.020000003</v>
      </c>
      <c r="M3282">
        <v>59744566.009999998</v>
      </c>
      <c r="N3282">
        <v>59735386.020000003</v>
      </c>
      <c r="O3282">
        <v>59744566.009999998</v>
      </c>
      <c r="P3282">
        <v>60000000</v>
      </c>
      <c r="Q3282">
        <v>60000000</v>
      </c>
      <c r="R3282" s="14">
        <f>_xlfn.XLOOKUP(Table2[[#This Row],[LoanID]],Table1[G-L ID],Table1[ManagerCode],-99)</f>
        <v>103</v>
      </c>
      <c r="T3282"/>
    </row>
    <row r="3283" spans="1:20" x14ac:dyDescent="0.25">
      <c r="A3283">
        <v>20150131</v>
      </c>
      <c r="B3283">
        <v>2015</v>
      </c>
      <c r="C3283">
        <v>1</v>
      </c>
      <c r="D3283">
        <v>1</v>
      </c>
      <c r="E3283">
        <v>10470</v>
      </c>
      <c r="F3283">
        <v>57263.89</v>
      </c>
      <c r="G3283">
        <v>0</v>
      </c>
      <c r="H3283">
        <v>0</v>
      </c>
      <c r="I3283">
        <v>0</v>
      </c>
      <c r="J3283">
        <v>0</v>
      </c>
      <c r="K3283">
        <v>0</v>
      </c>
      <c r="L3283">
        <v>25000000</v>
      </c>
      <c r="M3283">
        <v>25000000</v>
      </c>
      <c r="N3283">
        <v>25000000</v>
      </c>
      <c r="O3283">
        <v>25000000</v>
      </c>
      <c r="P3283">
        <v>25000000</v>
      </c>
      <c r="Q3283">
        <v>25000000</v>
      </c>
      <c r="R3283" s="14">
        <f>_xlfn.XLOOKUP(Table2[[#This Row],[LoanID]],Table1[G-L ID],Table1[ManagerCode],-99)</f>
        <v>103</v>
      </c>
      <c r="T3283"/>
    </row>
    <row r="3284" spans="1:20" x14ac:dyDescent="0.25">
      <c r="A3284">
        <v>20150131</v>
      </c>
      <c r="B3284">
        <v>2015</v>
      </c>
      <c r="C3284">
        <v>1</v>
      </c>
      <c r="D3284">
        <v>1</v>
      </c>
      <c r="E3284">
        <v>10480</v>
      </c>
      <c r="F3284">
        <v>175716.6</v>
      </c>
      <c r="G3284">
        <v>0</v>
      </c>
      <c r="H3284">
        <v>0</v>
      </c>
      <c r="I3284">
        <v>0</v>
      </c>
      <c r="J3284">
        <v>0</v>
      </c>
      <c r="K3284">
        <v>0</v>
      </c>
      <c r="L3284">
        <v>21350000</v>
      </c>
      <c r="M3284">
        <v>21350000</v>
      </c>
      <c r="N3284">
        <v>21350000</v>
      </c>
      <c r="O3284">
        <v>21350000</v>
      </c>
      <c r="P3284">
        <v>21350000</v>
      </c>
      <c r="Q3284">
        <v>21350000</v>
      </c>
      <c r="R3284" s="14">
        <f>_xlfn.XLOOKUP(Table2[[#This Row],[LoanID]],Table1[G-L ID],Table1[ManagerCode],-99)</f>
        <v>119</v>
      </c>
      <c r="T3284"/>
    </row>
    <row r="3285" spans="1:20" x14ac:dyDescent="0.25">
      <c r="A3285">
        <v>20150131</v>
      </c>
      <c r="B3285">
        <v>2015</v>
      </c>
      <c r="C3285">
        <v>1</v>
      </c>
      <c r="D3285">
        <v>1</v>
      </c>
      <c r="E3285">
        <v>10510</v>
      </c>
      <c r="F3285">
        <v>293946.84999999998</v>
      </c>
      <c r="G3285">
        <v>0</v>
      </c>
      <c r="H3285">
        <v>0</v>
      </c>
      <c r="I3285">
        <v>0</v>
      </c>
      <c r="J3285">
        <v>0</v>
      </c>
      <c r="K3285">
        <v>0</v>
      </c>
      <c r="L3285">
        <v>43928249</v>
      </c>
      <c r="M3285">
        <v>43928249</v>
      </c>
      <c r="N3285">
        <v>43928249</v>
      </c>
      <c r="O3285">
        <v>43928249</v>
      </c>
      <c r="P3285">
        <v>43928249</v>
      </c>
      <c r="Q3285">
        <v>43928249</v>
      </c>
      <c r="R3285" s="14">
        <f>_xlfn.XLOOKUP(Table2[[#This Row],[LoanID]],Table1[G-L ID],Table1[ManagerCode],-99)</f>
        <v>220</v>
      </c>
      <c r="T3285"/>
    </row>
    <row r="3286" spans="1:20" x14ac:dyDescent="0.25">
      <c r="A3286">
        <v>20150131</v>
      </c>
      <c r="B3286">
        <v>2015</v>
      </c>
      <c r="C3286">
        <v>1</v>
      </c>
      <c r="D3286">
        <v>1</v>
      </c>
      <c r="E3286">
        <v>10570</v>
      </c>
      <c r="F3286">
        <v>795857.71</v>
      </c>
      <c r="G3286">
        <v>0</v>
      </c>
      <c r="H3286">
        <v>0</v>
      </c>
      <c r="I3286">
        <v>0</v>
      </c>
      <c r="J3286">
        <v>0</v>
      </c>
      <c r="K3286">
        <v>0</v>
      </c>
      <c r="L3286">
        <v>156273274</v>
      </c>
      <c r="M3286">
        <v>156285139.5</v>
      </c>
      <c r="N3286">
        <v>156273274</v>
      </c>
      <c r="O3286">
        <v>156285139.5</v>
      </c>
      <c r="P3286">
        <v>156356260.69999999</v>
      </c>
      <c r="Q3286">
        <v>156356260.69999999</v>
      </c>
      <c r="R3286" s="14">
        <f>_xlfn.XLOOKUP(Table2[[#This Row],[LoanID]],Table1[G-L ID],Table1[ManagerCode],-99)</f>
        <v>103</v>
      </c>
      <c r="T3286"/>
    </row>
    <row r="3287" spans="1:20" x14ac:dyDescent="0.25">
      <c r="A3287">
        <v>20150131</v>
      </c>
      <c r="B3287">
        <v>2015</v>
      </c>
      <c r="C3287">
        <v>1</v>
      </c>
      <c r="D3287">
        <v>1</v>
      </c>
      <c r="E3287">
        <v>10591</v>
      </c>
      <c r="F3287">
        <v>220538.06</v>
      </c>
      <c r="G3287">
        <v>0</v>
      </c>
      <c r="H3287">
        <v>0</v>
      </c>
      <c r="I3287">
        <v>0</v>
      </c>
      <c r="J3287">
        <v>0</v>
      </c>
      <c r="K3287">
        <v>1299.58</v>
      </c>
      <c r="L3287">
        <v>26143904.25</v>
      </c>
      <c r="M3287">
        <v>26142556.23</v>
      </c>
      <c r="N3287">
        <v>26143904.25</v>
      </c>
      <c r="O3287">
        <v>26142556.23</v>
      </c>
      <c r="P3287">
        <v>25204522.670000002</v>
      </c>
      <c r="Q3287">
        <v>25203223.09</v>
      </c>
      <c r="R3287" s="14">
        <f>_xlfn.XLOOKUP(Table2[[#This Row],[LoanID]],Table1[G-L ID],Table1[ManagerCode],-99)</f>
        <v>220</v>
      </c>
      <c r="T3287"/>
    </row>
    <row r="3288" spans="1:20" x14ac:dyDescent="0.25">
      <c r="A3288">
        <v>20150131</v>
      </c>
      <c r="B3288">
        <v>2015</v>
      </c>
      <c r="C3288">
        <v>1</v>
      </c>
      <c r="D3288">
        <v>1</v>
      </c>
      <c r="E3288">
        <v>10592</v>
      </c>
      <c r="F3288">
        <v>365925.43</v>
      </c>
      <c r="G3288">
        <v>0</v>
      </c>
      <c r="H3288">
        <v>0</v>
      </c>
      <c r="I3288">
        <v>0</v>
      </c>
      <c r="J3288">
        <v>0</v>
      </c>
      <c r="K3288">
        <v>1918.42</v>
      </c>
      <c r="L3288">
        <v>38429573.530000001</v>
      </c>
      <c r="M3288">
        <v>38427592.060000002</v>
      </c>
      <c r="N3288">
        <v>38429573.530000001</v>
      </c>
      <c r="O3288">
        <v>38427592.060000002</v>
      </c>
      <c r="P3288">
        <v>37206676.329999998</v>
      </c>
      <c r="Q3288">
        <v>37204757.909999996</v>
      </c>
      <c r="R3288" s="14">
        <f>_xlfn.XLOOKUP(Table2[[#This Row],[LoanID]],Table1[G-L ID],Table1[ManagerCode],-99)</f>
        <v>220</v>
      </c>
      <c r="T3288"/>
    </row>
    <row r="3289" spans="1:20" x14ac:dyDescent="0.25">
      <c r="A3289">
        <v>20150131</v>
      </c>
      <c r="B3289">
        <v>2015</v>
      </c>
      <c r="C3289">
        <v>1</v>
      </c>
      <c r="D3289">
        <v>1</v>
      </c>
      <c r="E3289">
        <v>10640</v>
      </c>
      <c r="F3289">
        <v>105941.79</v>
      </c>
      <c r="G3289">
        <v>0</v>
      </c>
      <c r="H3289">
        <v>0</v>
      </c>
      <c r="I3289">
        <v>0</v>
      </c>
      <c r="J3289">
        <v>-71778</v>
      </c>
      <c r="K3289">
        <v>0</v>
      </c>
      <c r="L3289">
        <v>12455572.970000001</v>
      </c>
      <c r="M3289">
        <v>12527956.74</v>
      </c>
      <c r="N3289">
        <v>12455572.970000001</v>
      </c>
      <c r="O3289">
        <v>12527956.74</v>
      </c>
      <c r="P3289">
        <v>12351334</v>
      </c>
      <c r="Q3289">
        <v>12423112</v>
      </c>
      <c r="R3289" s="14">
        <f>_xlfn.XLOOKUP(Table2[[#This Row],[LoanID]],Table1[G-L ID],Table1[ManagerCode],-99)</f>
        <v>220</v>
      </c>
      <c r="T3289"/>
    </row>
    <row r="3290" spans="1:20" x14ac:dyDescent="0.25">
      <c r="A3290">
        <v>20150131</v>
      </c>
      <c r="B3290">
        <v>2015</v>
      </c>
      <c r="C3290">
        <v>1</v>
      </c>
      <c r="D3290">
        <v>1</v>
      </c>
      <c r="E3290">
        <v>10680</v>
      </c>
      <c r="F3290">
        <v>58112.11</v>
      </c>
      <c r="G3290">
        <v>0</v>
      </c>
      <c r="H3290">
        <v>0</v>
      </c>
      <c r="I3290">
        <v>0</v>
      </c>
      <c r="J3290">
        <v>0</v>
      </c>
      <c r="K3290">
        <v>0</v>
      </c>
      <c r="L3290">
        <v>6964400</v>
      </c>
      <c r="M3290">
        <v>6964400</v>
      </c>
      <c r="N3290">
        <v>6964400</v>
      </c>
      <c r="O3290">
        <v>6964400</v>
      </c>
      <c r="P3290">
        <v>6964400</v>
      </c>
      <c r="Q3290">
        <v>6964400</v>
      </c>
      <c r="R3290" s="14">
        <f>_xlfn.XLOOKUP(Table2[[#This Row],[LoanID]],Table1[G-L ID],Table1[ManagerCode],-99)</f>
        <v>119</v>
      </c>
      <c r="T3290"/>
    </row>
    <row r="3291" spans="1:20" x14ac:dyDescent="0.25">
      <c r="A3291">
        <v>20150131</v>
      </c>
      <c r="B3291">
        <v>2015</v>
      </c>
      <c r="C3291">
        <v>1</v>
      </c>
      <c r="D3291">
        <v>1</v>
      </c>
      <c r="E3291">
        <v>10690</v>
      </c>
      <c r="F3291">
        <v>107591.52</v>
      </c>
      <c r="G3291">
        <v>28775.61</v>
      </c>
      <c r="H3291">
        <v>0</v>
      </c>
      <c r="I3291">
        <v>0</v>
      </c>
      <c r="J3291">
        <v>-107591.52</v>
      </c>
      <c r="K3291">
        <v>0</v>
      </c>
      <c r="L3291">
        <v>18653609.98</v>
      </c>
      <c r="M3291">
        <v>18789977.109999999</v>
      </c>
      <c r="N3291">
        <v>18653609.98</v>
      </c>
      <c r="O3291">
        <v>18789977.109999999</v>
      </c>
      <c r="P3291">
        <v>18653609.98</v>
      </c>
      <c r="Q3291">
        <v>18789977.109999999</v>
      </c>
      <c r="R3291" s="14">
        <f>_xlfn.XLOOKUP(Table2[[#This Row],[LoanID]],Table1[G-L ID],Table1[ManagerCode],-99)</f>
        <v>183</v>
      </c>
      <c r="T3291"/>
    </row>
    <row r="3292" spans="1:20" x14ac:dyDescent="0.25">
      <c r="A3292">
        <v>20150131</v>
      </c>
      <c r="B3292">
        <v>2015</v>
      </c>
      <c r="C3292">
        <v>1</v>
      </c>
      <c r="D3292">
        <v>1</v>
      </c>
      <c r="E3292">
        <v>10720</v>
      </c>
      <c r="F3292">
        <v>125000</v>
      </c>
      <c r="G3292">
        <v>71547.289999999994</v>
      </c>
      <c r="H3292">
        <v>0</v>
      </c>
      <c r="I3292">
        <v>0</v>
      </c>
      <c r="J3292">
        <v>0</v>
      </c>
      <c r="K3292">
        <v>0</v>
      </c>
      <c r="L3292">
        <v>16200000</v>
      </c>
      <c r="M3292">
        <v>16276171.029999999</v>
      </c>
      <c r="N3292">
        <v>16200000</v>
      </c>
      <c r="O3292">
        <v>16276171.029999999</v>
      </c>
      <c r="P3292">
        <v>15216563.949999999</v>
      </c>
      <c r="Q3292">
        <v>15288111.23</v>
      </c>
      <c r="R3292" s="14">
        <f>_xlfn.XLOOKUP(Table2[[#This Row],[LoanID]],Table1[G-L ID],Table1[ManagerCode],-99)</f>
        <v>220</v>
      </c>
      <c r="T3292"/>
    </row>
    <row r="3293" spans="1:20" x14ac:dyDescent="0.25">
      <c r="A3293">
        <v>20150131</v>
      </c>
      <c r="B3293">
        <v>2015</v>
      </c>
      <c r="C3293">
        <v>1</v>
      </c>
      <c r="D3293">
        <v>1</v>
      </c>
      <c r="E3293">
        <v>10780</v>
      </c>
      <c r="F3293">
        <v>311440.64000000001</v>
      </c>
      <c r="G3293">
        <v>0</v>
      </c>
      <c r="H3293">
        <v>0</v>
      </c>
      <c r="I3293">
        <v>0</v>
      </c>
      <c r="J3293">
        <v>0</v>
      </c>
      <c r="K3293">
        <v>0</v>
      </c>
      <c r="L3293">
        <v>43000000</v>
      </c>
      <c r="M3293">
        <v>43000000</v>
      </c>
      <c r="N3293">
        <v>43000000</v>
      </c>
      <c r="O3293">
        <v>43000000</v>
      </c>
      <c r="P3293">
        <v>43000000</v>
      </c>
      <c r="Q3293">
        <v>43000000</v>
      </c>
      <c r="R3293" s="14">
        <f>_xlfn.XLOOKUP(Table2[[#This Row],[LoanID]],Table1[G-L ID],Table1[ManagerCode],-99)</f>
        <v>220</v>
      </c>
      <c r="T3293"/>
    </row>
    <row r="3294" spans="1:20" x14ac:dyDescent="0.25">
      <c r="A3294">
        <v>20150131</v>
      </c>
      <c r="B3294">
        <v>2015</v>
      </c>
      <c r="C3294">
        <v>1</v>
      </c>
      <c r="D3294">
        <v>1</v>
      </c>
      <c r="E3294">
        <v>10800</v>
      </c>
      <c r="F3294">
        <v>216299.06</v>
      </c>
      <c r="G3294">
        <v>0</v>
      </c>
      <c r="H3294">
        <v>0</v>
      </c>
      <c r="I3294">
        <v>0</v>
      </c>
      <c r="J3294">
        <v>0</v>
      </c>
      <c r="K3294">
        <v>0</v>
      </c>
      <c r="L3294">
        <v>26000000</v>
      </c>
      <c r="M3294">
        <v>26000000</v>
      </c>
      <c r="N3294">
        <v>26000000</v>
      </c>
      <c r="O3294">
        <v>26000000</v>
      </c>
      <c r="P3294">
        <v>26000000</v>
      </c>
      <c r="Q3294">
        <v>26000000</v>
      </c>
      <c r="R3294" s="14">
        <f>_xlfn.XLOOKUP(Table2[[#This Row],[LoanID]],Table1[G-L ID],Table1[ManagerCode],-99)</f>
        <v>220</v>
      </c>
      <c r="T3294"/>
    </row>
    <row r="3295" spans="1:20" x14ac:dyDescent="0.25">
      <c r="A3295">
        <v>20150131</v>
      </c>
      <c r="B3295">
        <v>2015</v>
      </c>
      <c r="C3295">
        <v>1</v>
      </c>
      <c r="D3295">
        <v>1</v>
      </c>
      <c r="E3295">
        <v>10820</v>
      </c>
      <c r="F3295">
        <v>185688.87</v>
      </c>
      <c r="G3295">
        <v>0</v>
      </c>
      <c r="H3295">
        <v>0</v>
      </c>
      <c r="I3295">
        <v>0</v>
      </c>
      <c r="J3295">
        <v>0</v>
      </c>
      <c r="K3295">
        <v>0</v>
      </c>
      <c r="L3295">
        <v>22993894.27</v>
      </c>
      <c r="M3295">
        <v>22993894.27</v>
      </c>
      <c r="N3295">
        <v>22993894.27</v>
      </c>
      <c r="O3295">
        <v>22993894.27</v>
      </c>
      <c r="P3295">
        <v>22698809.739999998</v>
      </c>
      <c r="Q3295">
        <v>22698809.739999998</v>
      </c>
      <c r="R3295" s="14">
        <f>_xlfn.XLOOKUP(Table2[[#This Row],[LoanID]],Table1[G-L ID],Table1[ManagerCode],-99)</f>
        <v>220</v>
      </c>
      <c r="T3295"/>
    </row>
    <row r="3296" spans="1:20" x14ac:dyDescent="0.25">
      <c r="A3296">
        <v>20150131</v>
      </c>
      <c r="B3296">
        <v>2015</v>
      </c>
      <c r="C3296">
        <v>1</v>
      </c>
      <c r="D3296">
        <v>1</v>
      </c>
      <c r="E3296">
        <v>10830</v>
      </c>
      <c r="F3296">
        <v>59950.29</v>
      </c>
      <c r="G3296">
        <v>0</v>
      </c>
      <c r="H3296">
        <v>0</v>
      </c>
      <c r="I3296">
        <v>0</v>
      </c>
      <c r="J3296">
        <v>0</v>
      </c>
      <c r="K3296">
        <v>0</v>
      </c>
      <c r="L3296">
        <v>7423657.4500000002</v>
      </c>
      <c r="M3296">
        <v>7423657.4500000002</v>
      </c>
      <c r="N3296">
        <v>7423657.4500000002</v>
      </c>
      <c r="O3296">
        <v>7423657.4500000002</v>
      </c>
      <c r="P3296">
        <v>7328388.4000000004</v>
      </c>
      <c r="Q3296">
        <v>7328388.4000000004</v>
      </c>
      <c r="R3296" s="14">
        <f>_xlfn.XLOOKUP(Table2[[#This Row],[LoanID]],Table1[G-L ID],Table1[ManagerCode],-99)</f>
        <v>220</v>
      </c>
      <c r="T3296"/>
    </row>
    <row r="3297" spans="1:20" x14ac:dyDescent="0.25">
      <c r="A3297">
        <v>20150131</v>
      </c>
      <c r="B3297">
        <v>2015</v>
      </c>
      <c r="C3297">
        <v>1</v>
      </c>
      <c r="D3297">
        <v>1</v>
      </c>
      <c r="E3297">
        <v>10840</v>
      </c>
      <c r="F3297">
        <v>103968.23</v>
      </c>
      <c r="G3297">
        <v>0</v>
      </c>
      <c r="H3297">
        <v>0</v>
      </c>
      <c r="I3297">
        <v>0</v>
      </c>
      <c r="J3297">
        <v>0</v>
      </c>
      <c r="K3297">
        <v>0</v>
      </c>
      <c r="L3297">
        <v>12874408.460000001</v>
      </c>
      <c r="M3297">
        <v>12874408.460000001</v>
      </c>
      <c r="N3297">
        <v>12874408.460000001</v>
      </c>
      <c r="O3297">
        <v>12874408.460000001</v>
      </c>
      <c r="P3297">
        <v>12709189</v>
      </c>
      <c r="Q3297">
        <v>12709189</v>
      </c>
      <c r="R3297" s="14">
        <f>_xlfn.XLOOKUP(Table2[[#This Row],[LoanID]],Table1[G-L ID],Table1[ManagerCode],-99)</f>
        <v>220</v>
      </c>
      <c r="T3297"/>
    </row>
    <row r="3298" spans="1:20" x14ac:dyDescent="0.25">
      <c r="A3298">
        <v>20150131</v>
      </c>
      <c r="B3298">
        <v>2015</v>
      </c>
      <c r="C3298">
        <v>1</v>
      </c>
      <c r="D3298">
        <v>1</v>
      </c>
      <c r="E3298">
        <v>10850</v>
      </c>
      <c r="F3298">
        <v>110534.78</v>
      </c>
      <c r="G3298">
        <v>0</v>
      </c>
      <c r="H3298">
        <v>0</v>
      </c>
      <c r="I3298">
        <v>0</v>
      </c>
      <c r="J3298">
        <v>0</v>
      </c>
      <c r="K3298">
        <v>0</v>
      </c>
      <c r="L3298">
        <v>13687546.6</v>
      </c>
      <c r="M3298">
        <v>13687546.6</v>
      </c>
      <c r="N3298">
        <v>13687546.6</v>
      </c>
      <c r="O3298">
        <v>13687546.6</v>
      </c>
      <c r="P3298">
        <v>13511892</v>
      </c>
      <c r="Q3298">
        <v>13511892</v>
      </c>
      <c r="R3298" s="14">
        <f>_xlfn.XLOOKUP(Table2[[#This Row],[LoanID]],Table1[G-L ID],Table1[ManagerCode],-99)</f>
        <v>220</v>
      </c>
      <c r="T3298"/>
    </row>
    <row r="3299" spans="1:20" x14ac:dyDescent="0.25">
      <c r="A3299">
        <v>20150131</v>
      </c>
      <c r="B3299">
        <v>2015</v>
      </c>
      <c r="C3299">
        <v>1</v>
      </c>
      <c r="D3299">
        <v>1</v>
      </c>
      <c r="E3299">
        <v>10860</v>
      </c>
      <c r="F3299">
        <v>117595.45</v>
      </c>
      <c r="G3299">
        <v>0</v>
      </c>
      <c r="H3299">
        <v>0</v>
      </c>
      <c r="I3299">
        <v>0</v>
      </c>
      <c r="J3299">
        <v>0</v>
      </c>
      <c r="K3299">
        <v>0</v>
      </c>
      <c r="L3299">
        <v>19475000</v>
      </c>
      <c r="M3299">
        <v>19475000</v>
      </c>
      <c r="N3299">
        <v>19475000</v>
      </c>
      <c r="O3299">
        <v>19475000</v>
      </c>
      <c r="P3299">
        <v>20500000</v>
      </c>
      <c r="Q3299">
        <v>20500000</v>
      </c>
      <c r="R3299" s="14">
        <f>_xlfn.XLOOKUP(Table2[[#This Row],[LoanID]],Table1[G-L ID],Table1[ManagerCode],-99)</f>
        <v>103</v>
      </c>
      <c r="T3299"/>
    </row>
    <row r="3300" spans="1:20" x14ac:dyDescent="0.25">
      <c r="A3300">
        <v>20150131</v>
      </c>
      <c r="B3300">
        <v>2015</v>
      </c>
      <c r="C3300">
        <v>1</v>
      </c>
      <c r="D3300">
        <v>1</v>
      </c>
      <c r="E3300">
        <v>10900</v>
      </c>
      <c r="F3300">
        <v>137640.54999999999</v>
      </c>
      <c r="G3300">
        <v>0</v>
      </c>
      <c r="H3300">
        <v>0</v>
      </c>
      <c r="I3300">
        <v>0</v>
      </c>
      <c r="J3300">
        <v>0</v>
      </c>
      <c r="K3300">
        <v>8500531.0800000001</v>
      </c>
      <c r="L3300">
        <v>8075504.5300000003</v>
      </c>
      <c r="M3300">
        <v>0</v>
      </c>
      <c r="N3300">
        <v>8075504.5300000003</v>
      </c>
      <c r="O3300">
        <v>0</v>
      </c>
      <c r="P3300">
        <v>8500531.0800000001</v>
      </c>
      <c r="Q3300">
        <v>0</v>
      </c>
      <c r="R3300" s="14">
        <f>_xlfn.XLOOKUP(Table2[[#This Row],[LoanID]],Table1[G-L ID],Table1[ManagerCode],-99)</f>
        <v>103</v>
      </c>
      <c r="T3300"/>
    </row>
    <row r="3301" spans="1:20" x14ac:dyDescent="0.25">
      <c r="A3301">
        <v>20150131</v>
      </c>
      <c r="B3301">
        <v>2015</v>
      </c>
      <c r="C3301">
        <v>1</v>
      </c>
      <c r="D3301">
        <v>1</v>
      </c>
      <c r="E3301">
        <v>10940</v>
      </c>
      <c r="F3301">
        <v>55036.23</v>
      </c>
      <c r="G3301">
        <v>74263.34</v>
      </c>
      <c r="H3301">
        <v>0</v>
      </c>
      <c r="I3301">
        <v>0</v>
      </c>
      <c r="J3301">
        <v>-55036.23</v>
      </c>
      <c r="K3301">
        <v>0</v>
      </c>
      <c r="L3301">
        <v>11118709</v>
      </c>
      <c r="M3301">
        <v>11248008.57</v>
      </c>
      <c r="N3301">
        <v>11118709</v>
      </c>
      <c r="O3301">
        <v>11248008.57</v>
      </c>
      <c r="P3301">
        <v>11118709</v>
      </c>
      <c r="Q3301">
        <v>11248008.57</v>
      </c>
      <c r="R3301" s="14">
        <f>_xlfn.XLOOKUP(Table2[[#This Row],[LoanID]],Table1[G-L ID],Table1[ManagerCode],-99)</f>
        <v>183</v>
      </c>
      <c r="T3301"/>
    </row>
    <row r="3302" spans="1:20" x14ac:dyDescent="0.25">
      <c r="A3302">
        <v>20150131</v>
      </c>
      <c r="B3302">
        <v>2015</v>
      </c>
      <c r="C3302">
        <v>1</v>
      </c>
      <c r="D3302">
        <v>1</v>
      </c>
      <c r="E3302">
        <v>10960</v>
      </c>
      <c r="F3302">
        <v>68731.59</v>
      </c>
      <c r="G3302">
        <v>0</v>
      </c>
      <c r="H3302">
        <v>0</v>
      </c>
      <c r="I3302">
        <v>0</v>
      </c>
      <c r="J3302">
        <v>-109586.8</v>
      </c>
      <c r="K3302">
        <v>0</v>
      </c>
      <c r="L3302">
        <v>6028750</v>
      </c>
      <c r="M3302">
        <v>6138336.7999999998</v>
      </c>
      <c r="N3302">
        <v>6028750</v>
      </c>
      <c r="O3302">
        <v>6138336.7999999998</v>
      </c>
      <c r="P3302">
        <v>6028750</v>
      </c>
      <c r="Q3302">
        <v>6138336.7999999998</v>
      </c>
      <c r="R3302" s="14">
        <f>_xlfn.XLOOKUP(Table2[[#This Row],[LoanID]],Table1[G-L ID],Table1[ManagerCode],-99)</f>
        <v>119</v>
      </c>
      <c r="T3302"/>
    </row>
    <row r="3303" spans="1:20" x14ac:dyDescent="0.25">
      <c r="A3303">
        <v>20150131</v>
      </c>
      <c r="B3303">
        <v>2015</v>
      </c>
      <c r="C3303">
        <v>1</v>
      </c>
      <c r="D3303">
        <v>1</v>
      </c>
      <c r="E3303">
        <v>11030</v>
      </c>
      <c r="F3303">
        <v>67235.56</v>
      </c>
      <c r="G3303">
        <v>0</v>
      </c>
      <c r="H3303">
        <v>0</v>
      </c>
      <c r="I3303">
        <v>0</v>
      </c>
      <c r="J3303">
        <v>0</v>
      </c>
      <c r="K3303">
        <v>0</v>
      </c>
      <c r="L3303">
        <v>8000000</v>
      </c>
      <c r="M3303">
        <v>8000000</v>
      </c>
      <c r="N3303">
        <v>8000000</v>
      </c>
      <c r="O3303">
        <v>8000000</v>
      </c>
      <c r="P3303">
        <v>8000000</v>
      </c>
      <c r="Q3303">
        <v>8000000</v>
      </c>
      <c r="R3303" s="14">
        <f>_xlfn.XLOOKUP(Table2[[#This Row],[LoanID]],Table1[G-L ID],Table1[ManagerCode],-99)</f>
        <v>119</v>
      </c>
      <c r="T3303"/>
    </row>
    <row r="3304" spans="1:20" x14ac:dyDescent="0.25">
      <c r="A3304">
        <v>20150131</v>
      </c>
      <c r="B3304">
        <v>2015</v>
      </c>
      <c r="C3304">
        <v>1</v>
      </c>
      <c r="D3304">
        <v>1</v>
      </c>
      <c r="E3304">
        <v>11040</v>
      </c>
      <c r="F3304">
        <v>523598.62</v>
      </c>
      <c r="G3304">
        <v>0</v>
      </c>
      <c r="H3304">
        <v>0</v>
      </c>
      <c r="I3304">
        <v>0</v>
      </c>
      <c r="J3304">
        <v>0</v>
      </c>
      <c r="K3304">
        <v>0</v>
      </c>
      <c r="L3304">
        <v>50000000</v>
      </c>
      <c r="M3304">
        <v>50000000</v>
      </c>
      <c r="N3304">
        <v>50000000</v>
      </c>
      <c r="O3304">
        <v>50000000</v>
      </c>
      <c r="P3304">
        <v>50000000</v>
      </c>
      <c r="Q3304">
        <v>50000000</v>
      </c>
      <c r="R3304" s="14">
        <f>_xlfn.XLOOKUP(Table2[[#This Row],[LoanID]],Table1[G-L ID],Table1[ManagerCode],-99)</f>
        <v>220</v>
      </c>
      <c r="T3304"/>
    </row>
    <row r="3305" spans="1:20" x14ac:dyDescent="0.25">
      <c r="A3305">
        <v>20150131</v>
      </c>
      <c r="B3305">
        <v>2015</v>
      </c>
      <c r="C3305">
        <v>1</v>
      </c>
      <c r="D3305">
        <v>1</v>
      </c>
      <c r="E3305">
        <v>11050</v>
      </c>
      <c r="F3305">
        <v>300635</v>
      </c>
      <c r="G3305">
        <v>0</v>
      </c>
      <c r="H3305">
        <v>0</v>
      </c>
      <c r="I3305">
        <v>0</v>
      </c>
      <c r="J3305">
        <v>0</v>
      </c>
      <c r="K3305">
        <v>0</v>
      </c>
      <c r="L3305">
        <v>29300000</v>
      </c>
      <c r="M3305">
        <v>29300000</v>
      </c>
      <c r="N3305">
        <v>29300000</v>
      </c>
      <c r="O3305">
        <v>29300000</v>
      </c>
      <c r="P3305">
        <v>28500000</v>
      </c>
      <c r="Q3305">
        <v>28500000</v>
      </c>
      <c r="R3305" s="14">
        <f>_xlfn.XLOOKUP(Table2[[#This Row],[LoanID]],Table1[G-L ID],Table1[ManagerCode],-99)</f>
        <v>220</v>
      </c>
      <c r="T3305"/>
    </row>
    <row r="3306" spans="1:20" x14ac:dyDescent="0.25">
      <c r="A3306">
        <v>20150131</v>
      </c>
      <c r="B3306">
        <v>2015</v>
      </c>
      <c r="C3306">
        <v>1</v>
      </c>
      <c r="D3306">
        <v>1</v>
      </c>
      <c r="E3306">
        <v>11070</v>
      </c>
      <c r="F3306">
        <v>143724.67000000001</v>
      </c>
      <c r="G3306">
        <v>0</v>
      </c>
      <c r="H3306">
        <v>0</v>
      </c>
      <c r="I3306">
        <v>0</v>
      </c>
      <c r="J3306">
        <v>0</v>
      </c>
      <c r="K3306">
        <v>2085.27</v>
      </c>
      <c r="L3306">
        <v>13797844.32</v>
      </c>
      <c r="M3306">
        <v>13796176.1</v>
      </c>
      <c r="N3306">
        <v>13797844.32</v>
      </c>
      <c r="O3306">
        <v>13796176.1</v>
      </c>
      <c r="P3306">
        <v>17247305.399999999</v>
      </c>
      <c r="Q3306">
        <v>17245220.129999999</v>
      </c>
      <c r="R3306" s="14">
        <f>_xlfn.XLOOKUP(Table2[[#This Row],[LoanID]],Table1[G-L ID],Table1[ManagerCode],-99)</f>
        <v>103</v>
      </c>
      <c r="T3306"/>
    </row>
    <row r="3307" spans="1:20" x14ac:dyDescent="0.25">
      <c r="A3307">
        <v>20150131</v>
      </c>
      <c r="B3307">
        <v>2015</v>
      </c>
      <c r="C3307">
        <v>1</v>
      </c>
      <c r="D3307">
        <v>1</v>
      </c>
      <c r="E3307">
        <v>11100</v>
      </c>
      <c r="F3307">
        <v>135190.1</v>
      </c>
      <c r="G3307">
        <v>0</v>
      </c>
      <c r="H3307">
        <v>0</v>
      </c>
      <c r="I3307">
        <v>0</v>
      </c>
      <c r="J3307">
        <v>-5685047.4900000002</v>
      </c>
      <c r="K3307">
        <v>0</v>
      </c>
      <c r="L3307">
        <v>32290443.649999999</v>
      </c>
      <c r="M3307">
        <v>37963312.490000002</v>
      </c>
      <c r="N3307">
        <v>32290443.649999999</v>
      </c>
      <c r="O3307">
        <v>37963312.490000002</v>
      </c>
      <c r="P3307">
        <v>32715247.969999999</v>
      </c>
      <c r="Q3307">
        <v>38400295.460000001</v>
      </c>
      <c r="R3307" s="14">
        <f>_xlfn.XLOOKUP(Table2[[#This Row],[LoanID]],Table1[G-L ID],Table1[ManagerCode],-99)</f>
        <v>103</v>
      </c>
      <c r="T3307"/>
    </row>
    <row r="3308" spans="1:20" x14ac:dyDescent="0.25">
      <c r="A3308">
        <v>20150131</v>
      </c>
      <c r="B3308">
        <v>2015</v>
      </c>
      <c r="C3308">
        <v>1</v>
      </c>
      <c r="D3308">
        <v>1</v>
      </c>
      <c r="E3308">
        <v>11130</v>
      </c>
      <c r="F3308">
        <v>940410.83</v>
      </c>
      <c r="G3308">
        <v>0</v>
      </c>
      <c r="H3308">
        <v>0</v>
      </c>
      <c r="I3308">
        <v>0</v>
      </c>
      <c r="J3308">
        <v>0</v>
      </c>
      <c r="K3308">
        <v>0</v>
      </c>
      <c r="L3308">
        <v>168150000</v>
      </c>
      <c r="M3308">
        <v>168150000</v>
      </c>
      <c r="N3308">
        <v>168150000</v>
      </c>
      <c r="O3308">
        <v>168150000</v>
      </c>
      <c r="P3308">
        <v>177000000</v>
      </c>
      <c r="Q3308">
        <v>177000000</v>
      </c>
      <c r="R3308" s="14">
        <f>_xlfn.XLOOKUP(Table2[[#This Row],[LoanID]],Table1[G-L ID],Table1[ManagerCode],-99)</f>
        <v>103</v>
      </c>
      <c r="T3308"/>
    </row>
    <row r="3309" spans="1:20" x14ac:dyDescent="0.25">
      <c r="A3309">
        <v>20150131</v>
      </c>
      <c r="B3309">
        <v>2015</v>
      </c>
      <c r="C3309">
        <v>1</v>
      </c>
      <c r="D3309">
        <v>1</v>
      </c>
      <c r="E3309">
        <v>11170</v>
      </c>
      <c r="F3309">
        <v>702085.42</v>
      </c>
      <c r="G3309">
        <v>0</v>
      </c>
      <c r="H3309">
        <v>0</v>
      </c>
      <c r="I3309">
        <v>0</v>
      </c>
      <c r="J3309">
        <v>0</v>
      </c>
      <c r="K3309">
        <v>0</v>
      </c>
      <c r="L3309">
        <v>173249826.80000001</v>
      </c>
      <c r="M3309">
        <v>173249826.80000001</v>
      </c>
      <c r="N3309">
        <v>173249826.80000001</v>
      </c>
      <c r="O3309">
        <v>173249826.80000001</v>
      </c>
      <c r="P3309">
        <v>175000000</v>
      </c>
      <c r="Q3309">
        <v>175000000</v>
      </c>
      <c r="R3309" s="14">
        <f>_xlfn.XLOOKUP(Table2[[#This Row],[LoanID]],Table1[G-L ID],Table1[ManagerCode],-99)</f>
        <v>103</v>
      </c>
      <c r="T3309"/>
    </row>
    <row r="3310" spans="1:20" x14ac:dyDescent="0.25">
      <c r="A3310">
        <v>20150131</v>
      </c>
      <c r="B3310">
        <v>2015</v>
      </c>
      <c r="C3310">
        <v>1</v>
      </c>
      <c r="D3310">
        <v>1</v>
      </c>
      <c r="E3310">
        <v>11250</v>
      </c>
      <c r="F3310">
        <v>25141.06</v>
      </c>
      <c r="G3310">
        <v>45168.63</v>
      </c>
      <c r="H3310">
        <v>0</v>
      </c>
      <c r="I3310">
        <v>0</v>
      </c>
      <c r="J3310">
        <v>-1036279.76</v>
      </c>
      <c r="K3310">
        <v>0</v>
      </c>
      <c r="L3310">
        <v>5912989.6699999999</v>
      </c>
      <c r="M3310">
        <v>6994438.0599999996</v>
      </c>
      <c r="N3310">
        <v>5912989.6699999999</v>
      </c>
      <c r="O3310">
        <v>6994438.0599999996</v>
      </c>
      <c r="P3310">
        <v>5912989.6699999999</v>
      </c>
      <c r="Q3310">
        <v>6994438.0599999996</v>
      </c>
      <c r="R3310" s="14">
        <f>_xlfn.XLOOKUP(Table2[[#This Row],[LoanID]],Table1[G-L ID],Table1[ManagerCode],-99)</f>
        <v>183</v>
      </c>
      <c r="T3310"/>
    </row>
    <row r="3311" spans="1:20" x14ac:dyDescent="0.25">
      <c r="A3311">
        <v>20150131</v>
      </c>
      <c r="B3311">
        <v>2015</v>
      </c>
      <c r="C3311">
        <v>1</v>
      </c>
      <c r="D3311">
        <v>1</v>
      </c>
      <c r="E3311">
        <v>11320</v>
      </c>
      <c r="F3311">
        <v>96907.18</v>
      </c>
      <c r="G3311">
        <v>0</v>
      </c>
      <c r="H3311">
        <v>0</v>
      </c>
      <c r="I3311">
        <v>0</v>
      </c>
      <c r="J3311">
        <v>0</v>
      </c>
      <c r="K3311">
        <v>18000</v>
      </c>
      <c r="L3311">
        <v>11892000</v>
      </c>
      <c r="M3311">
        <v>11874000</v>
      </c>
      <c r="N3311">
        <v>11892000</v>
      </c>
      <c r="O3311">
        <v>11874000</v>
      </c>
      <c r="P3311">
        <v>11892000</v>
      </c>
      <c r="Q3311">
        <v>11874000</v>
      </c>
      <c r="R3311" s="14">
        <f>_xlfn.XLOOKUP(Table2[[#This Row],[LoanID]],Table1[G-L ID],Table1[ManagerCode],-99)</f>
        <v>119</v>
      </c>
      <c r="T3311"/>
    </row>
    <row r="3312" spans="1:20" x14ac:dyDescent="0.25">
      <c r="A3312">
        <v>20150131</v>
      </c>
      <c r="B3312">
        <v>2015</v>
      </c>
      <c r="C3312">
        <v>1</v>
      </c>
      <c r="D3312">
        <v>1</v>
      </c>
      <c r="E3312">
        <v>11340</v>
      </c>
      <c r="F3312">
        <v>301388.89</v>
      </c>
      <c r="G3312">
        <v>0</v>
      </c>
      <c r="H3312">
        <v>0</v>
      </c>
      <c r="I3312">
        <v>0</v>
      </c>
      <c r="J3312">
        <v>0</v>
      </c>
      <c r="K3312">
        <v>0</v>
      </c>
      <c r="L3312">
        <v>49500000</v>
      </c>
      <c r="M3312">
        <v>49500000</v>
      </c>
      <c r="N3312">
        <v>49500000</v>
      </c>
      <c r="O3312">
        <v>49500000</v>
      </c>
      <c r="P3312">
        <v>50000000</v>
      </c>
      <c r="Q3312">
        <v>50000000</v>
      </c>
      <c r="R3312" s="14">
        <f>_xlfn.XLOOKUP(Table2[[#This Row],[LoanID]],Table1[G-L ID],Table1[ManagerCode],-99)</f>
        <v>103</v>
      </c>
      <c r="T3312"/>
    </row>
    <row r="3313" spans="1:20" x14ac:dyDescent="0.25">
      <c r="A3313">
        <v>20150131</v>
      </c>
      <c r="B3313">
        <v>2015</v>
      </c>
      <c r="C3313">
        <v>1</v>
      </c>
      <c r="D3313">
        <v>1</v>
      </c>
      <c r="E3313">
        <v>11350</v>
      </c>
      <c r="F3313">
        <v>331527.78000000003</v>
      </c>
      <c r="G3313">
        <v>0</v>
      </c>
      <c r="H3313">
        <v>0</v>
      </c>
      <c r="I3313">
        <v>0</v>
      </c>
      <c r="J3313">
        <v>0</v>
      </c>
      <c r="K3313">
        <v>0</v>
      </c>
      <c r="L3313">
        <v>54449945.549999997</v>
      </c>
      <c r="M3313">
        <v>54449945.549999997</v>
      </c>
      <c r="N3313">
        <v>54449945.549999997</v>
      </c>
      <c r="O3313">
        <v>54449945.549999997</v>
      </c>
      <c r="P3313">
        <v>55000000</v>
      </c>
      <c r="Q3313">
        <v>55000000</v>
      </c>
      <c r="R3313" s="14">
        <f>_xlfn.XLOOKUP(Table2[[#This Row],[LoanID]],Table1[G-L ID],Table1[ManagerCode],-99)</f>
        <v>103</v>
      </c>
      <c r="T3313"/>
    </row>
    <row r="3314" spans="1:20" x14ac:dyDescent="0.25">
      <c r="A3314">
        <v>20150131</v>
      </c>
      <c r="B3314">
        <v>2015</v>
      </c>
      <c r="C3314">
        <v>1</v>
      </c>
      <c r="D3314">
        <v>1</v>
      </c>
      <c r="E3314">
        <v>11370</v>
      </c>
      <c r="F3314">
        <v>51763.11</v>
      </c>
      <c r="G3314">
        <v>0</v>
      </c>
      <c r="H3314">
        <v>0</v>
      </c>
      <c r="I3314">
        <v>0</v>
      </c>
      <c r="J3314">
        <v>0</v>
      </c>
      <c r="K3314">
        <v>0</v>
      </c>
      <c r="L3314">
        <v>5525000</v>
      </c>
      <c r="M3314">
        <v>5525000</v>
      </c>
      <c r="N3314">
        <v>5525000</v>
      </c>
      <c r="O3314">
        <v>5525000</v>
      </c>
      <c r="P3314">
        <v>5525000</v>
      </c>
      <c r="Q3314">
        <v>5525000</v>
      </c>
      <c r="R3314" s="14">
        <f>_xlfn.XLOOKUP(Table2[[#This Row],[LoanID]],Table1[G-L ID],Table1[ManagerCode],-99)</f>
        <v>119</v>
      </c>
      <c r="T3314"/>
    </row>
    <row r="3315" spans="1:20" x14ac:dyDescent="0.25">
      <c r="A3315">
        <v>20150131</v>
      </c>
      <c r="B3315">
        <v>2015</v>
      </c>
      <c r="C3315">
        <v>1</v>
      </c>
      <c r="D3315">
        <v>1</v>
      </c>
      <c r="E3315">
        <v>11390</v>
      </c>
      <c r="F3315">
        <v>207743.06</v>
      </c>
      <c r="G3315">
        <v>0</v>
      </c>
      <c r="H3315">
        <v>0</v>
      </c>
      <c r="I3315">
        <v>0</v>
      </c>
      <c r="J3315">
        <v>0</v>
      </c>
      <c r="K3315">
        <v>0</v>
      </c>
      <c r="L3315">
        <v>25000000</v>
      </c>
      <c r="M3315">
        <v>25000000</v>
      </c>
      <c r="N3315">
        <v>25000000</v>
      </c>
      <c r="O3315">
        <v>25000000</v>
      </c>
      <c r="P3315">
        <v>25000000</v>
      </c>
      <c r="Q3315">
        <v>25000000</v>
      </c>
      <c r="R3315" s="14">
        <f>_xlfn.XLOOKUP(Table2[[#This Row],[LoanID]],Table1[G-L ID],Table1[ManagerCode],-99)</f>
        <v>220</v>
      </c>
      <c r="T3315"/>
    </row>
    <row r="3316" spans="1:20" x14ac:dyDescent="0.25">
      <c r="A3316">
        <v>20150131</v>
      </c>
      <c r="B3316">
        <v>2015</v>
      </c>
      <c r="C3316">
        <v>1</v>
      </c>
      <c r="D3316">
        <v>1</v>
      </c>
      <c r="E3316">
        <v>11480</v>
      </c>
      <c r="F3316">
        <v>356301.94</v>
      </c>
      <c r="G3316">
        <v>0</v>
      </c>
      <c r="H3316">
        <v>0</v>
      </c>
      <c r="I3316">
        <v>0</v>
      </c>
      <c r="J3316">
        <v>0</v>
      </c>
      <c r="K3316">
        <v>0</v>
      </c>
      <c r="L3316">
        <v>66500000</v>
      </c>
      <c r="M3316">
        <v>66500000</v>
      </c>
      <c r="N3316">
        <v>66500000</v>
      </c>
      <c r="O3316">
        <v>66500000</v>
      </c>
      <c r="P3316">
        <v>70000000</v>
      </c>
      <c r="Q3316">
        <v>70000000</v>
      </c>
      <c r="R3316" s="14">
        <f>_xlfn.XLOOKUP(Table2[[#This Row],[LoanID]],Table1[G-L ID],Table1[ManagerCode],-99)</f>
        <v>103</v>
      </c>
      <c r="T3316"/>
    </row>
    <row r="3317" spans="1:20" x14ac:dyDescent="0.25">
      <c r="A3317">
        <v>20150131</v>
      </c>
      <c r="B3317">
        <v>2015</v>
      </c>
      <c r="C3317">
        <v>1</v>
      </c>
      <c r="D3317">
        <v>1</v>
      </c>
      <c r="E3317">
        <v>11490</v>
      </c>
      <c r="F3317">
        <v>339152.92</v>
      </c>
      <c r="G3317">
        <v>0</v>
      </c>
      <c r="H3317">
        <v>0</v>
      </c>
      <c r="I3317">
        <v>0</v>
      </c>
      <c r="J3317">
        <v>0</v>
      </c>
      <c r="K3317">
        <v>0</v>
      </c>
      <c r="L3317">
        <v>49500000</v>
      </c>
      <c r="M3317">
        <v>49500000</v>
      </c>
      <c r="N3317">
        <v>49500000</v>
      </c>
      <c r="O3317">
        <v>49500000</v>
      </c>
      <c r="P3317">
        <v>55000000</v>
      </c>
      <c r="Q3317">
        <v>55000000</v>
      </c>
      <c r="R3317" s="14">
        <f>_xlfn.XLOOKUP(Table2[[#This Row],[LoanID]],Table1[G-L ID],Table1[ManagerCode],-99)</f>
        <v>103</v>
      </c>
      <c r="T3317"/>
    </row>
    <row r="3318" spans="1:20" x14ac:dyDescent="0.25">
      <c r="A3318">
        <v>20150131</v>
      </c>
      <c r="B3318">
        <v>2015</v>
      </c>
      <c r="C3318">
        <v>1</v>
      </c>
      <c r="D3318">
        <v>1</v>
      </c>
      <c r="E3318">
        <v>11540</v>
      </c>
      <c r="F3318">
        <v>78886.39</v>
      </c>
      <c r="G3318">
        <v>0</v>
      </c>
      <c r="H3318">
        <v>0</v>
      </c>
      <c r="I3318">
        <v>0</v>
      </c>
      <c r="J3318">
        <v>0</v>
      </c>
      <c r="K3318">
        <v>0</v>
      </c>
      <c r="L3318">
        <v>10000000</v>
      </c>
      <c r="M3318">
        <v>10000000</v>
      </c>
      <c r="N3318">
        <v>10000000</v>
      </c>
      <c r="O3318">
        <v>10000000</v>
      </c>
      <c r="P3318">
        <v>10000000</v>
      </c>
      <c r="Q3318">
        <v>10000000</v>
      </c>
      <c r="R3318" s="14">
        <f>_xlfn.XLOOKUP(Table2[[#This Row],[LoanID]],Table1[G-L ID],Table1[ManagerCode],-99)</f>
        <v>220</v>
      </c>
      <c r="T3318"/>
    </row>
    <row r="3319" spans="1:20" x14ac:dyDescent="0.25">
      <c r="A3319">
        <v>20150131</v>
      </c>
      <c r="B3319">
        <v>2015</v>
      </c>
      <c r="C3319">
        <v>1</v>
      </c>
      <c r="D3319">
        <v>1</v>
      </c>
      <c r="E3319">
        <v>11550</v>
      </c>
      <c r="F3319">
        <v>126973.42</v>
      </c>
      <c r="G3319">
        <v>0</v>
      </c>
      <c r="H3319">
        <v>0</v>
      </c>
      <c r="I3319">
        <v>0</v>
      </c>
      <c r="J3319">
        <v>0</v>
      </c>
      <c r="K3319">
        <v>0</v>
      </c>
      <c r="L3319">
        <v>22770000</v>
      </c>
      <c r="M3319">
        <v>22770000</v>
      </c>
      <c r="N3319">
        <v>22770000</v>
      </c>
      <c r="O3319">
        <v>22770000</v>
      </c>
      <c r="P3319">
        <v>23000000</v>
      </c>
      <c r="Q3319">
        <v>23000000</v>
      </c>
      <c r="R3319" s="14">
        <f>_xlfn.XLOOKUP(Table2[[#This Row],[LoanID]],Table1[G-L ID],Table1[ManagerCode],-99)</f>
        <v>103</v>
      </c>
      <c r="T3319"/>
    </row>
    <row r="3320" spans="1:20" x14ac:dyDescent="0.25">
      <c r="A3320">
        <v>20150131</v>
      </c>
      <c r="B3320">
        <v>2015</v>
      </c>
      <c r="C3320">
        <v>1</v>
      </c>
      <c r="D3320">
        <v>1</v>
      </c>
      <c r="E3320">
        <v>11560</v>
      </c>
      <c r="F3320">
        <v>0</v>
      </c>
      <c r="G3320">
        <v>164211.29</v>
      </c>
      <c r="H3320">
        <v>0</v>
      </c>
      <c r="I3320">
        <v>0</v>
      </c>
      <c r="J3320">
        <v>0</v>
      </c>
      <c r="K3320">
        <v>0</v>
      </c>
      <c r="L3320">
        <v>14596559.220000001</v>
      </c>
      <c r="M3320">
        <v>14760770.51</v>
      </c>
      <c r="N3320">
        <v>14596559.220000001</v>
      </c>
      <c r="O3320">
        <v>14760770.51</v>
      </c>
      <c r="P3320">
        <v>14596559.220000001</v>
      </c>
      <c r="Q3320">
        <v>14760770.51</v>
      </c>
      <c r="R3320" s="14">
        <f>_xlfn.XLOOKUP(Table2[[#This Row],[LoanID]],Table1[G-L ID],Table1[ManagerCode],-99)</f>
        <v>183</v>
      </c>
      <c r="T3320"/>
    </row>
    <row r="3321" spans="1:20" x14ac:dyDescent="0.25">
      <c r="A3321">
        <v>20150131</v>
      </c>
      <c r="B3321">
        <v>2015</v>
      </c>
      <c r="C3321">
        <v>1</v>
      </c>
      <c r="D3321">
        <v>1</v>
      </c>
      <c r="E3321">
        <v>11580</v>
      </c>
      <c r="F3321">
        <v>118866.67</v>
      </c>
      <c r="G3321">
        <v>0</v>
      </c>
      <c r="H3321">
        <v>0</v>
      </c>
      <c r="I3321">
        <v>0</v>
      </c>
      <c r="J3321">
        <v>0</v>
      </c>
      <c r="K3321">
        <v>0</v>
      </c>
      <c r="L3321">
        <v>15000000</v>
      </c>
      <c r="M3321">
        <v>15000000</v>
      </c>
      <c r="N3321">
        <v>15000000</v>
      </c>
      <c r="O3321">
        <v>15000000</v>
      </c>
      <c r="P3321">
        <v>15000000</v>
      </c>
      <c r="Q3321">
        <v>15000000</v>
      </c>
      <c r="R3321" s="14">
        <f>_xlfn.XLOOKUP(Table2[[#This Row],[LoanID]],Table1[G-L ID],Table1[ManagerCode],-99)</f>
        <v>119</v>
      </c>
      <c r="T3321"/>
    </row>
    <row r="3322" spans="1:20" x14ac:dyDescent="0.25">
      <c r="A3322">
        <v>20150131</v>
      </c>
      <c r="B3322">
        <v>2015</v>
      </c>
      <c r="C3322">
        <v>1</v>
      </c>
      <c r="D3322">
        <v>1</v>
      </c>
      <c r="E3322">
        <v>11650</v>
      </c>
      <c r="F3322">
        <v>75000</v>
      </c>
      <c r="G3322">
        <v>0</v>
      </c>
      <c r="H3322">
        <v>0</v>
      </c>
      <c r="I3322">
        <v>0</v>
      </c>
      <c r="J3322">
        <v>0</v>
      </c>
      <c r="K3322">
        <v>0</v>
      </c>
      <c r="L3322">
        <v>9600000</v>
      </c>
      <c r="M3322">
        <v>9600000</v>
      </c>
      <c r="N3322">
        <v>9600000</v>
      </c>
      <c r="O3322">
        <v>9600000</v>
      </c>
      <c r="P3322">
        <v>12000000</v>
      </c>
      <c r="Q3322">
        <v>12000000</v>
      </c>
      <c r="R3322" s="14">
        <f>_xlfn.XLOOKUP(Table2[[#This Row],[LoanID]],Table1[G-L ID],Table1[ManagerCode],-99)</f>
        <v>103</v>
      </c>
      <c r="T3322"/>
    </row>
    <row r="3323" spans="1:20" x14ac:dyDescent="0.25">
      <c r="A3323">
        <v>20150131</v>
      </c>
      <c r="B3323">
        <v>2015</v>
      </c>
      <c r="C3323">
        <v>1</v>
      </c>
      <c r="D3323">
        <v>1</v>
      </c>
      <c r="E3323">
        <v>11660</v>
      </c>
      <c r="F3323">
        <v>0</v>
      </c>
      <c r="G3323">
        <v>0</v>
      </c>
      <c r="H3323">
        <v>0</v>
      </c>
      <c r="I3323">
        <v>0</v>
      </c>
      <c r="J3323">
        <v>0</v>
      </c>
      <c r="K3323">
        <v>0</v>
      </c>
      <c r="L3323">
        <v>27647178</v>
      </c>
      <c r="M3323">
        <v>27647178</v>
      </c>
      <c r="N3323">
        <v>27647178</v>
      </c>
      <c r="O3323">
        <v>27647178</v>
      </c>
      <c r="P3323">
        <v>27647178</v>
      </c>
      <c r="Q3323">
        <v>27647178</v>
      </c>
      <c r="R3323" s="14">
        <f>_xlfn.XLOOKUP(Table2[[#This Row],[LoanID]],Table1[G-L ID],Table1[ManagerCode],-99)</f>
        <v>183</v>
      </c>
      <c r="T3323"/>
    </row>
    <row r="3324" spans="1:20" x14ac:dyDescent="0.25">
      <c r="A3324">
        <v>20150131</v>
      </c>
      <c r="B3324">
        <v>2015</v>
      </c>
      <c r="C3324">
        <v>1</v>
      </c>
      <c r="D3324">
        <v>1</v>
      </c>
      <c r="E3324">
        <v>11680</v>
      </c>
      <c r="F3324">
        <v>57126.559999999998</v>
      </c>
      <c r="G3324">
        <v>0</v>
      </c>
      <c r="H3324">
        <v>0</v>
      </c>
      <c r="I3324">
        <v>0</v>
      </c>
      <c r="J3324">
        <v>0</v>
      </c>
      <c r="K3324">
        <v>0</v>
      </c>
      <c r="L3324">
        <v>6600000</v>
      </c>
      <c r="M3324">
        <v>6600000</v>
      </c>
      <c r="N3324">
        <v>6600000</v>
      </c>
      <c r="O3324">
        <v>6600000</v>
      </c>
      <c r="P3324">
        <v>6600000</v>
      </c>
      <c r="Q3324">
        <v>6600000</v>
      </c>
      <c r="R3324" s="14">
        <f>_xlfn.XLOOKUP(Table2[[#This Row],[LoanID]],Table1[G-L ID],Table1[ManagerCode],-99)</f>
        <v>183</v>
      </c>
      <c r="T3324"/>
    </row>
    <row r="3325" spans="1:20" x14ac:dyDescent="0.25">
      <c r="A3325">
        <v>20150131</v>
      </c>
      <c r="B3325">
        <v>2015</v>
      </c>
      <c r="C3325">
        <v>1</v>
      </c>
      <c r="D3325">
        <v>1</v>
      </c>
      <c r="E3325">
        <v>11710</v>
      </c>
      <c r="F3325">
        <v>111657.5</v>
      </c>
      <c r="G3325">
        <v>0</v>
      </c>
      <c r="H3325">
        <v>0</v>
      </c>
      <c r="I3325">
        <v>0</v>
      </c>
      <c r="J3325">
        <v>0</v>
      </c>
      <c r="K3325">
        <v>0</v>
      </c>
      <c r="L3325">
        <v>15000000</v>
      </c>
      <c r="M3325">
        <v>15000000</v>
      </c>
      <c r="N3325">
        <v>15000000</v>
      </c>
      <c r="O3325">
        <v>15000000</v>
      </c>
      <c r="P3325">
        <v>15000000</v>
      </c>
      <c r="Q3325">
        <v>15000000</v>
      </c>
      <c r="R3325" s="14">
        <f>_xlfn.XLOOKUP(Table2[[#This Row],[LoanID]],Table1[G-L ID],Table1[ManagerCode],-99)</f>
        <v>119</v>
      </c>
      <c r="T3325"/>
    </row>
    <row r="3326" spans="1:20" x14ac:dyDescent="0.25">
      <c r="A3326">
        <v>20150131</v>
      </c>
      <c r="B3326">
        <v>2015</v>
      </c>
      <c r="C3326">
        <v>1</v>
      </c>
      <c r="D3326">
        <v>1</v>
      </c>
      <c r="E3326">
        <v>11720</v>
      </c>
      <c r="F3326">
        <v>0</v>
      </c>
      <c r="G3326">
        <v>0</v>
      </c>
      <c r="H3326">
        <v>0</v>
      </c>
      <c r="I3326">
        <v>0</v>
      </c>
      <c r="J3326">
        <v>0</v>
      </c>
      <c r="K3326">
        <v>0</v>
      </c>
      <c r="L3326">
        <v>19800000</v>
      </c>
      <c r="M3326">
        <v>19800000</v>
      </c>
      <c r="N3326">
        <v>19800000</v>
      </c>
      <c r="O3326">
        <v>19800000</v>
      </c>
      <c r="P3326">
        <v>20000000</v>
      </c>
      <c r="Q3326">
        <v>20000000</v>
      </c>
      <c r="R3326" s="14">
        <f>_xlfn.XLOOKUP(Table2[[#This Row],[LoanID]],Table1[G-L ID],Table1[ManagerCode],-99)</f>
        <v>103</v>
      </c>
      <c r="T3326"/>
    </row>
    <row r="3327" spans="1:20" x14ac:dyDescent="0.25">
      <c r="A3327">
        <v>20150131</v>
      </c>
      <c r="B3327">
        <v>2015</v>
      </c>
      <c r="C3327">
        <v>1</v>
      </c>
      <c r="D3327">
        <v>1</v>
      </c>
      <c r="E3327">
        <v>11730</v>
      </c>
      <c r="F3327">
        <v>46880.25</v>
      </c>
      <c r="G3327">
        <v>0</v>
      </c>
      <c r="H3327">
        <v>0</v>
      </c>
      <c r="I3327">
        <v>0</v>
      </c>
      <c r="J3327">
        <v>0</v>
      </c>
      <c r="K3327">
        <v>0</v>
      </c>
      <c r="L3327">
        <v>4750000</v>
      </c>
      <c r="M3327">
        <v>4750000</v>
      </c>
      <c r="N3327">
        <v>4750000</v>
      </c>
      <c r="O3327">
        <v>4750000</v>
      </c>
      <c r="P3327">
        <v>4750000</v>
      </c>
      <c r="Q3327">
        <v>4750000</v>
      </c>
      <c r="R3327" s="14">
        <f>_xlfn.XLOOKUP(Table2[[#This Row],[LoanID]],Table1[G-L ID],Table1[ManagerCode],-99)</f>
        <v>119</v>
      </c>
      <c r="T3327"/>
    </row>
    <row r="3328" spans="1:20" x14ac:dyDescent="0.25">
      <c r="A3328">
        <v>20150131</v>
      </c>
      <c r="B3328">
        <v>2015</v>
      </c>
      <c r="C3328">
        <v>1</v>
      </c>
      <c r="D3328">
        <v>1</v>
      </c>
      <c r="E3328">
        <v>11740</v>
      </c>
      <c r="F3328">
        <v>191100</v>
      </c>
      <c r="G3328">
        <v>0</v>
      </c>
      <c r="H3328">
        <v>0</v>
      </c>
      <c r="I3328">
        <v>0</v>
      </c>
      <c r="J3328">
        <v>0</v>
      </c>
      <c r="K3328">
        <v>0</v>
      </c>
      <c r="L3328">
        <v>19110000</v>
      </c>
      <c r="M3328">
        <v>19110000</v>
      </c>
      <c r="N3328">
        <v>19110000</v>
      </c>
      <c r="O3328">
        <v>19110000</v>
      </c>
      <c r="P3328">
        <v>19110000</v>
      </c>
      <c r="Q3328">
        <v>19110000</v>
      </c>
      <c r="R3328" s="14">
        <f>_xlfn.XLOOKUP(Table2[[#This Row],[LoanID]],Table1[G-L ID],Table1[ManagerCode],-99)</f>
        <v>183</v>
      </c>
      <c r="T3328"/>
    </row>
    <row r="3329" spans="1:20" x14ac:dyDescent="0.25">
      <c r="A3329">
        <v>20150131</v>
      </c>
      <c r="B3329">
        <v>2015</v>
      </c>
      <c r="C3329">
        <v>1</v>
      </c>
      <c r="D3329">
        <v>1</v>
      </c>
      <c r="E3329">
        <v>11810</v>
      </c>
      <c r="F3329">
        <v>49505.41</v>
      </c>
      <c r="G3329">
        <v>0</v>
      </c>
      <c r="H3329">
        <v>0</v>
      </c>
      <c r="I3329">
        <v>0</v>
      </c>
      <c r="J3329">
        <v>0</v>
      </c>
      <c r="K3329">
        <v>11352.68</v>
      </c>
      <c r="L3329">
        <v>9578571.8399999999</v>
      </c>
      <c r="M3329">
        <v>9567332.6999999993</v>
      </c>
      <c r="N3329">
        <v>9578571.8399999999</v>
      </c>
      <c r="O3329">
        <v>9567332.6999999993</v>
      </c>
      <c r="P3329">
        <v>9675325.0899999999</v>
      </c>
      <c r="Q3329">
        <v>9663972.4100000001</v>
      </c>
      <c r="R3329" s="14">
        <f>_xlfn.XLOOKUP(Table2[[#This Row],[LoanID]],Table1[G-L ID],Table1[ManagerCode],-99)</f>
        <v>103</v>
      </c>
      <c r="T3329"/>
    </row>
    <row r="3330" spans="1:20" x14ac:dyDescent="0.25">
      <c r="A3330">
        <v>20150131</v>
      </c>
      <c r="B3330">
        <v>2015</v>
      </c>
      <c r="C3330">
        <v>1</v>
      </c>
      <c r="D3330">
        <v>1</v>
      </c>
      <c r="E3330">
        <v>11880</v>
      </c>
      <c r="F3330">
        <v>233848.65</v>
      </c>
      <c r="G3330">
        <v>128569.42</v>
      </c>
      <c r="H3330">
        <v>0</v>
      </c>
      <c r="I3330">
        <v>0</v>
      </c>
      <c r="J3330">
        <v>-3038900.57</v>
      </c>
      <c r="K3330">
        <v>0</v>
      </c>
      <c r="L3330">
        <v>50272143.789999999</v>
      </c>
      <c r="M3330">
        <v>53439613.780000001</v>
      </c>
      <c r="N3330">
        <v>50272143.789999999</v>
      </c>
      <c r="O3330">
        <v>53439613.780000001</v>
      </c>
      <c r="P3330">
        <v>50272143.789999999</v>
      </c>
      <c r="Q3330">
        <v>53439613.780000001</v>
      </c>
      <c r="R3330" s="14">
        <f>_xlfn.XLOOKUP(Table2[[#This Row],[LoanID]],Table1[G-L ID],Table1[ManagerCode],-99)</f>
        <v>183</v>
      </c>
      <c r="T3330"/>
    </row>
    <row r="3331" spans="1:20" x14ac:dyDescent="0.25">
      <c r="A3331">
        <v>20150131</v>
      </c>
      <c r="B3331">
        <v>2015</v>
      </c>
      <c r="C3331">
        <v>1</v>
      </c>
      <c r="D3331">
        <v>1</v>
      </c>
      <c r="E3331">
        <v>11970</v>
      </c>
      <c r="F3331">
        <v>85000</v>
      </c>
      <c r="G3331">
        <v>64602.28</v>
      </c>
      <c r="H3331">
        <v>0</v>
      </c>
      <c r="I3331">
        <v>0</v>
      </c>
      <c r="J3331">
        <v>0</v>
      </c>
      <c r="K3331">
        <v>0</v>
      </c>
      <c r="L3331">
        <v>9973485.3100000005</v>
      </c>
      <c r="M3331">
        <v>10038087.59</v>
      </c>
      <c r="N3331">
        <v>9973485.3100000005</v>
      </c>
      <c r="O3331">
        <v>10038087.59</v>
      </c>
      <c r="P3331">
        <v>9973485.3100000005</v>
      </c>
      <c r="Q3331">
        <v>10038087.59</v>
      </c>
      <c r="R3331" s="14">
        <f>_xlfn.XLOOKUP(Table2[[#This Row],[LoanID]],Table1[G-L ID],Table1[ManagerCode],-99)</f>
        <v>183</v>
      </c>
      <c r="T3331"/>
    </row>
    <row r="3332" spans="1:20" x14ac:dyDescent="0.25">
      <c r="A3332">
        <v>20150131</v>
      </c>
      <c r="B3332">
        <v>2015</v>
      </c>
      <c r="C3332">
        <v>1</v>
      </c>
      <c r="D3332">
        <v>1</v>
      </c>
      <c r="E3332">
        <v>11990</v>
      </c>
      <c r="F3332">
        <v>100207.5</v>
      </c>
      <c r="G3332">
        <v>0</v>
      </c>
      <c r="H3332">
        <v>0</v>
      </c>
      <c r="I3332">
        <v>0</v>
      </c>
      <c r="J3332">
        <v>0</v>
      </c>
      <c r="K3332">
        <v>0</v>
      </c>
      <c r="L3332">
        <v>15000000</v>
      </c>
      <c r="M3332">
        <v>15000000</v>
      </c>
      <c r="N3332">
        <v>15000000</v>
      </c>
      <c r="O3332">
        <v>15000000</v>
      </c>
      <c r="P3332">
        <v>15000000</v>
      </c>
      <c r="Q3332">
        <v>15000000</v>
      </c>
      <c r="R3332" s="14">
        <f>_xlfn.XLOOKUP(Table2[[#This Row],[LoanID]],Table1[G-L ID],Table1[ManagerCode],-99)</f>
        <v>220</v>
      </c>
      <c r="T3332"/>
    </row>
    <row r="3333" spans="1:20" x14ac:dyDescent="0.25">
      <c r="A3333">
        <v>20150131</v>
      </c>
      <c r="B3333">
        <v>2015</v>
      </c>
      <c r="C3333">
        <v>1</v>
      </c>
      <c r="D3333">
        <v>1</v>
      </c>
      <c r="E3333">
        <v>12080</v>
      </c>
      <c r="F3333">
        <v>296966.42</v>
      </c>
      <c r="G3333">
        <v>0</v>
      </c>
      <c r="H3333">
        <v>0</v>
      </c>
      <c r="I3333">
        <v>0</v>
      </c>
      <c r="J3333">
        <v>0</v>
      </c>
      <c r="K3333">
        <v>931385.77</v>
      </c>
      <c r="L3333">
        <v>36609790.950000003</v>
      </c>
      <c r="M3333">
        <v>35678405.18</v>
      </c>
      <c r="N3333">
        <v>36609790.950000003</v>
      </c>
      <c r="O3333">
        <v>35678405.18</v>
      </c>
      <c r="P3333">
        <v>36609790.950000003</v>
      </c>
      <c r="Q3333">
        <v>35678405.18</v>
      </c>
      <c r="R3333" s="14">
        <f>_xlfn.XLOOKUP(Table2[[#This Row],[LoanID]],Table1[G-L ID],Table1[ManagerCode],-99)</f>
        <v>119</v>
      </c>
      <c r="T3333"/>
    </row>
    <row r="3334" spans="1:20" x14ac:dyDescent="0.25">
      <c r="A3334">
        <v>20150131</v>
      </c>
      <c r="B3334">
        <v>2015</v>
      </c>
      <c r="C3334">
        <v>1</v>
      </c>
      <c r="D3334">
        <v>1</v>
      </c>
      <c r="E3334">
        <v>12100</v>
      </c>
      <c r="F3334">
        <v>92216.41</v>
      </c>
      <c r="G3334">
        <v>0</v>
      </c>
      <c r="H3334">
        <v>78952.740000000005</v>
      </c>
      <c r="I3334">
        <v>0</v>
      </c>
      <c r="J3334">
        <v>0</v>
      </c>
      <c r="K3334">
        <v>11953915.67</v>
      </c>
      <c r="L3334">
        <v>11953915.67</v>
      </c>
      <c r="M3334">
        <v>0</v>
      </c>
      <c r="N3334">
        <v>11953915.67</v>
      </c>
      <c r="O3334">
        <v>0</v>
      </c>
      <c r="P3334">
        <v>11953915.67</v>
      </c>
      <c r="Q3334">
        <v>0</v>
      </c>
      <c r="R3334" s="14">
        <f>_xlfn.XLOOKUP(Table2[[#This Row],[LoanID]],Table1[G-L ID],Table1[ManagerCode],-99)</f>
        <v>183</v>
      </c>
      <c r="T3334"/>
    </row>
    <row r="3335" spans="1:20" x14ac:dyDescent="0.25">
      <c r="A3335">
        <v>20150131</v>
      </c>
      <c r="B3335">
        <v>2015</v>
      </c>
      <c r="C3335">
        <v>1</v>
      </c>
      <c r="D3335">
        <v>1</v>
      </c>
      <c r="E3335">
        <v>12160</v>
      </c>
      <c r="F3335">
        <v>53018.1</v>
      </c>
      <c r="G3335">
        <v>71063.070000000007</v>
      </c>
      <c r="H3335">
        <v>0</v>
      </c>
      <c r="I3335">
        <v>0</v>
      </c>
      <c r="J3335">
        <v>-2140792.3199999998</v>
      </c>
      <c r="K3335">
        <v>0</v>
      </c>
      <c r="L3335">
        <v>10696480.630000001</v>
      </c>
      <c r="M3335">
        <v>12908336.02</v>
      </c>
      <c r="N3335">
        <v>10696480.630000001</v>
      </c>
      <c r="O3335">
        <v>12908336.02</v>
      </c>
      <c r="P3335">
        <v>10696480.630000001</v>
      </c>
      <c r="Q3335">
        <v>12908336.02</v>
      </c>
      <c r="R3335" s="14">
        <f>_xlfn.XLOOKUP(Table2[[#This Row],[LoanID]],Table1[G-L ID],Table1[ManagerCode],-99)</f>
        <v>183</v>
      </c>
      <c r="T3335"/>
    </row>
    <row r="3336" spans="1:20" x14ac:dyDescent="0.25">
      <c r="A3336">
        <v>20150131</v>
      </c>
      <c r="B3336">
        <v>2015</v>
      </c>
      <c r="C3336">
        <v>1</v>
      </c>
      <c r="D3336">
        <v>1</v>
      </c>
      <c r="E3336">
        <v>12180</v>
      </c>
      <c r="F3336">
        <v>233576.39</v>
      </c>
      <c r="G3336">
        <v>0</v>
      </c>
      <c r="H3336">
        <v>0</v>
      </c>
      <c r="I3336">
        <v>0</v>
      </c>
      <c r="J3336">
        <v>0</v>
      </c>
      <c r="K3336">
        <v>0</v>
      </c>
      <c r="L3336">
        <v>35000000</v>
      </c>
      <c r="M3336">
        <v>35000000</v>
      </c>
      <c r="N3336">
        <v>35000000</v>
      </c>
      <c r="O3336">
        <v>35000000</v>
      </c>
      <c r="P3336">
        <v>35000000</v>
      </c>
      <c r="Q3336">
        <v>35000000</v>
      </c>
      <c r="R3336" s="14">
        <f>_xlfn.XLOOKUP(Table2[[#This Row],[LoanID]],Table1[G-L ID],Table1[ManagerCode],-99)</f>
        <v>220</v>
      </c>
      <c r="T3336"/>
    </row>
    <row r="3337" spans="1:20" x14ac:dyDescent="0.25">
      <c r="A3337">
        <v>20150131</v>
      </c>
      <c r="B3337">
        <v>2015</v>
      </c>
      <c r="C3337">
        <v>1</v>
      </c>
      <c r="D3337">
        <v>1</v>
      </c>
      <c r="E3337">
        <v>12190</v>
      </c>
      <c r="F3337">
        <v>283197.92</v>
      </c>
      <c r="G3337">
        <v>0</v>
      </c>
      <c r="H3337">
        <v>0</v>
      </c>
      <c r="I3337">
        <v>0</v>
      </c>
      <c r="J3337">
        <v>0</v>
      </c>
      <c r="K3337">
        <v>0</v>
      </c>
      <c r="L3337">
        <v>37500000</v>
      </c>
      <c r="M3337">
        <v>37500000</v>
      </c>
      <c r="N3337">
        <v>37500000</v>
      </c>
      <c r="O3337">
        <v>37500000</v>
      </c>
      <c r="P3337">
        <v>37500000</v>
      </c>
      <c r="Q3337">
        <v>37500000</v>
      </c>
      <c r="R3337" s="14">
        <f>_xlfn.XLOOKUP(Table2[[#This Row],[LoanID]],Table1[G-L ID],Table1[ManagerCode],-99)</f>
        <v>220</v>
      </c>
      <c r="T3337"/>
    </row>
    <row r="3338" spans="1:20" x14ac:dyDescent="0.25">
      <c r="A3338">
        <v>20150131</v>
      </c>
      <c r="B3338">
        <v>2015</v>
      </c>
      <c r="C3338">
        <v>1</v>
      </c>
      <c r="D3338">
        <v>1</v>
      </c>
      <c r="E3338">
        <v>12210</v>
      </c>
      <c r="F3338">
        <v>675971</v>
      </c>
      <c r="G3338">
        <v>0</v>
      </c>
      <c r="H3338">
        <v>0</v>
      </c>
      <c r="I3338">
        <v>0</v>
      </c>
      <c r="J3338">
        <v>0</v>
      </c>
      <c r="K3338">
        <v>222027.75</v>
      </c>
      <c r="L3338">
        <v>124021850.40000001</v>
      </c>
      <c r="M3338">
        <v>122937525.3</v>
      </c>
      <c r="N3338">
        <v>124021850.40000001</v>
      </c>
      <c r="O3338">
        <v>122937525.3</v>
      </c>
      <c r="P3338">
        <v>109373197.8</v>
      </c>
      <c r="Q3338">
        <v>109151170</v>
      </c>
      <c r="R3338" s="14">
        <f>_xlfn.XLOOKUP(Table2[[#This Row],[LoanID]],Table1[G-L ID],Table1[ManagerCode],-99)</f>
        <v>103</v>
      </c>
      <c r="T3338"/>
    </row>
    <row r="3339" spans="1:20" x14ac:dyDescent="0.25">
      <c r="A3339">
        <v>20150131</v>
      </c>
      <c r="B3339">
        <v>2015</v>
      </c>
      <c r="C3339">
        <v>1</v>
      </c>
      <c r="D3339">
        <v>1</v>
      </c>
      <c r="E3339">
        <v>12230</v>
      </c>
      <c r="F3339">
        <v>101228.09</v>
      </c>
      <c r="G3339">
        <v>0</v>
      </c>
      <c r="H3339">
        <v>0</v>
      </c>
      <c r="I3339">
        <v>0</v>
      </c>
      <c r="J3339">
        <v>0</v>
      </c>
      <c r="K3339">
        <v>0</v>
      </c>
      <c r="L3339">
        <v>20230000</v>
      </c>
      <c r="M3339">
        <v>20230000</v>
      </c>
      <c r="N3339">
        <v>13749449.5</v>
      </c>
      <c r="O3339">
        <v>13749449.5</v>
      </c>
      <c r="P3339">
        <v>19443597.32</v>
      </c>
      <c r="Q3339">
        <v>19443597.32</v>
      </c>
      <c r="R3339" s="14">
        <f>_xlfn.XLOOKUP(Table2[[#This Row],[LoanID]],Table1[G-L ID],Table1[ManagerCode],-99)</f>
        <v>183</v>
      </c>
      <c r="T3339"/>
    </row>
    <row r="3340" spans="1:20" x14ac:dyDescent="0.25">
      <c r="A3340">
        <v>20150131</v>
      </c>
      <c r="B3340">
        <v>2015</v>
      </c>
      <c r="C3340">
        <v>1</v>
      </c>
      <c r="D3340">
        <v>1</v>
      </c>
      <c r="E3340">
        <v>12240</v>
      </c>
      <c r="F3340">
        <v>0</v>
      </c>
      <c r="G3340">
        <v>1275148.28</v>
      </c>
      <c r="H3340">
        <v>0</v>
      </c>
      <c r="I3340">
        <v>0</v>
      </c>
      <c r="J3340">
        <v>-5174216.32</v>
      </c>
      <c r="K3340">
        <v>0</v>
      </c>
      <c r="L3340">
        <v>58579049.859999999</v>
      </c>
      <c r="M3340">
        <v>65028414.460000001</v>
      </c>
      <c r="N3340">
        <v>58579049.859999999</v>
      </c>
      <c r="O3340">
        <v>65028414.460000001</v>
      </c>
      <c r="P3340">
        <v>58579049.859999999</v>
      </c>
      <c r="Q3340">
        <v>65028414.460000001</v>
      </c>
      <c r="R3340" s="14">
        <f>_xlfn.XLOOKUP(Table2[[#This Row],[LoanID]],Table1[G-L ID],Table1[ManagerCode],-99)</f>
        <v>183</v>
      </c>
      <c r="T3340"/>
    </row>
    <row r="3341" spans="1:20" x14ac:dyDescent="0.25">
      <c r="A3341">
        <v>20150131</v>
      </c>
      <c r="B3341">
        <v>2015</v>
      </c>
      <c r="C3341">
        <v>1</v>
      </c>
      <c r="D3341">
        <v>1</v>
      </c>
      <c r="E3341">
        <v>13630</v>
      </c>
      <c r="F3341">
        <v>218506.94</v>
      </c>
      <c r="G3341">
        <v>0</v>
      </c>
      <c r="H3341">
        <v>0</v>
      </c>
      <c r="I3341">
        <v>0</v>
      </c>
      <c r="J3341">
        <v>0</v>
      </c>
      <c r="K3341">
        <v>0</v>
      </c>
      <c r="L3341">
        <v>35000000</v>
      </c>
      <c r="M3341">
        <v>35000000</v>
      </c>
      <c r="N3341">
        <v>35000000</v>
      </c>
      <c r="O3341">
        <v>35000000</v>
      </c>
      <c r="P3341">
        <v>35000000</v>
      </c>
      <c r="Q3341">
        <v>35000000</v>
      </c>
      <c r="R3341" s="14">
        <f>_xlfn.XLOOKUP(Table2[[#This Row],[LoanID]],Table1[G-L ID],Table1[ManagerCode],-99)</f>
        <v>298</v>
      </c>
      <c r="T3341"/>
    </row>
    <row r="3342" spans="1:20" x14ac:dyDescent="0.25">
      <c r="A3342">
        <v>20150131</v>
      </c>
      <c r="B3342">
        <v>2015</v>
      </c>
      <c r="C3342">
        <v>1</v>
      </c>
      <c r="D3342">
        <v>1</v>
      </c>
      <c r="E3342">
        <v>13670</v>
      </c>
      <c r="F3342">
        <v>279678.13</v>
      </c>
      <c r="G3342">
        <v>0</v>
      </c>
      <c r="H3342">
        <v>0</v>
      </c>
      <c r="I3342">
        <v>0</v>
      </c>
      <c r="J3342">
        <v>0</v>
      </c>
      <c r="K3342">
        <v>0</v>
      </c>
      <c r="L3342">
        <v>37500000</v>
      </c>
      <c r="M3342">
        <v>37500000</v>
      </c>
      <c r="N3342">
        <v>37500000</v>
      </c>
      <c r="O3342">
        <v>37500000</v>
      </c>
      <c r="P3342">
        <v>37500000</v>
      </c>
      <c r="Q3342">
        <v>37500000</v>
      </c>
      <c r="R3342" s="14">
        <f>_xlfn.XLOOKUP(Table2[[#This Row],[LoanID]],Table1[G-L ID],Table1[ManagerCode],-99)</f>
        <v>298</v>
      </c>
      <c r="T3342"/>
    </row>
    <row r="3343" spans="1:20" x14ac:dyDescent="0.25">
      <c r="A3343">
        <v>20150131</v>
      </c>
      <c r="B3343">
        <v>2015</v>
      </c>
      <c r="C3343">
        <v>1</v>
      </c>
      <c r="D3343">
        <v>1</v>
      </c>
      <c r="E3343">
        <v>13680</v>
      </c>
      <c r="F3343">
        <v>144000</v>
      </c>
      <c r="G3343">
        <v>0</v>
      </c>
      <c r="H3343">
        <v>0</v>
      </c>
      <c r="I3343">
        <v>0</v>
      </c>
      <c r="J3343">
        <v>0</v>
      </c>
      <c r="K3343">
        <v>0</v>
      </c>
      <c r="L3343">
        <v>18000000</v>
      </c>
      <c r="M3343">
        <v>18000000</v>
      </c>
      <c r="N3343">
        <v>18000000</v>
      </c>
      <c r="O3343">
        <v>18000000</v>
      </c>
      <c r="P3343">
        <v>18000000</v>
      </c>
      <c r="Q3343">
        <v>18000000</v>
      </c>
      <c r="R3343" s="14">
        <f>_xlfn.XLOOKUP(Table2[[#This Row],[LoanID]],Table1[G-L ID],Table1[ManagerCode],-99)</f>
        <v>298</v>
      </c>
      <c r="T3343"/>
    </row>
    <row r="3344" spans="1:20" x14ac:dyDescent="0.25">
      <c r="A3344">
        <v>20150131</v>
      </c>
      <c r="B3344">
        <v>2015</v>
      </c>
      <c r="C3344">
        <v>1</v>
      </c>
      <c r="D3344">
        <v>1</v>
      </c>
      <c r="E3344">
        <v>13690</v>
      </c>
      <c r="F3344">
        <v>133472.22</v>
      </c>
      <c r="G3344">
        <v>0</v>
      </c>
      <c r="H3344">
        <v>0</v>
      </c>
      <c r="I3344">
        <v>0</v>
      </c>
      <c r="J3344">
        <v>0</v>
      </c>
      <c r="K3344">
        <v>0</v>
      </c>
      <c r="L3344">
        <v>20000000</v>
      </c>
      <c r="M3344">
        <v>20000000</v>
      </c>
      <c r="N3344">
        <v>20000000</v>
      </c>
      <c r="O3344">
        <v>20000000</v>
      </c>
      <c r="P3344">
        <v>20000000</v>
      </c>
      <c r="Q3344">
        <v>20000000</v>
      </c>
      <c r="R3344" s="14">
        <f>_xlfn.XLOOKUP(Table2[[#This Row],[LoanID]],Table1[G-L ID],Table1[ManagerCode],-99)</f>
        <v>298</v>
      </c>
      <c r="T3344"/>
    </row>
    <row r="3345" spans="1:20" x14ac:dyDescent="0.25">
      <c r="A3345">
        <v>20150131</v>
      </c>
      <c r="B3345">
        <v>2015</v>
      </c>
      <c r="C3345">
        <v>1</v>
      </c>
      <c r="D3345">
        <v>1</v>
      </c>
      <c r="E3345">
        <v>15580</v>
      </c>
      <c r="F3345">
        <v>118620.52</v>
      </c>
      <c r="G3345">
        <v>-38.08</v>
      </c>
      <c r="H3345">
        <v>0</v>
      </c>
      <c r="I3345">
        <v>0</v>
      </c>
      <c r="J3345">
        <v>0</v>
      </c>
      <c r="K3345">
        <v>4780.79</v>
      </c>
      <c r="L3345">
        <v>15010821.789999999</v>
      </c>
      <c r="M3345">
        <v>15006002.92</v>
      </c>
      <c r="N3345">
        <v>15010821.789999999</v>
      </c>
      <c r="O3345">
        <v>15006002.92</v>
      </c>
      <c r="P3345">
        <v>15010821.789999999</v>
      </c>
      <c r="Q3345">
        <v>15006002.92</v>
      </c>
      <c r="R3345" s="14">
        <f>_xlfn.XLOOKUP(Table2[[#This Row],[LoanID]],Table1[G-L ID],Table1[ManagerCode],-99)</f>
        <v>212</v>
      </c>
      <c r="T3345"/>
    </row>
    <row r="3346" spans="1:20" x14ac:dyDescent="0.25">
      <c r="A3346">
        <v>20150228</v>
      </c>
      <c r="B3346">
        <v>2015</v>
      </c>
      <c r="C3346">
        <v>2</v>
      </c>
      <c r="D3346">
        <v>1</v>
      </c>
      <c r="E3346">
        <v>10010</v>
      </c>
      <c r="F3346">
        <v>156731.25</v>
      </c>
      <c r="G3346">
        <v>0</v>
      </c>
      <c r="H3346">
        <v>0</v>
      </c>
      <c r="I3346">
        <v>0</v>
      </c>
      <c r="J3346">
        <v>0</v>
      </c>
      <c r="K3346">
        <v>0</v>
      </c>
      <c r="L3346">
        <v>16250000</v>
      </c>
      <c r="M3346">
        <v>16250000</v>
      </c>
      <c r="N3346">
        <v>16250000</v>
      </c>
      <c r="O3346">
        <v>16250000</v>
      </c>
      <c r="P3346">
        <v>16250000</v>
      </c>
      <c r="Q3346">
        <v>16250000</v>
      </c>
      <c r="R3346" s="14">
        <f>_xlfn.XLOOKUP(Table2[[#This Row],[LoanID]],Table1[G-L ID],Table1[ManagerCode],-99)</f>
        <v>119</v>
      </c>
      <c r="T3346"/>
    </row>
    <row r="3347" spans="1:20" x14ac:dyDescent="0.25">
      <c r="A3347">
        <v>20150228</v>
      </c>
      <c r="B3347">
        <v>2015</v>
      </c>
      <c r="C3347">
        <v>2</v>
      </c>
      <c r="D3347">
        <v>1</v>
      </c>
      <c r="E3347">
        <v>10050</v>
      </c>
      <c r="F3347">
        <v>153981.01999999999</v>
      </c>
      <c r="G3347">
        <v>0</v>
      </c>
      <c r="H3347">
        <v>0</v>
      </c>
      <c r="I3347">
        <v>0</v>
      </c>
      <c r="J3347">
        <v>0</v>
      </c>
      <c r="K3347">
        <v>0</v>
      </c>
      <c r="L3347">
        <v>38821275.039999999</v>
      </c>
      <c r="M3347">
        <v>37234632.619999997</v>
      </c>
      <c r="N3347">
        <v>38821275.039999999</v>
      </c>
      <c r="O3347">
        <v>37234632.619999997</v>
      </c>
      <c r="P3347">
        <v>33333334</v>
      </c>
      <c r="Q3347">
        <v>33333334</v>
      </c>
      <c r="R3347" s="14">
        <f>_xlfn.XLOOKUP(Table2[[#This Row],[LoanID]],Table1[G-L ID],Table1[ManagerCode],-99)</f>
        <v>103</v>
      </c>
      <c r="T3347"/>
    </row>
    <row r="3348" spans="1:20" x14ac:dyDescent="0.25">
      <c r="A3348">
        <v>20150228</v>
      </c>
      <c r="B3348">
        <v>2015</v>
      </c>
      <c r="C3348">
        <v>2</v>
      </c>
      <c r="D3348">
        <v>1</v>
      </c>
      <c r="E3348">
        <v>10080</v>
      </c>
      <c r="F3348">
        <v>351042.71</v>
      </c>
      <c r="G3348">
        <v>0</v>
      </c>
      <c r="H3348">
        <v>0</v>
      </c>
      <c r="I3348">
        <v>-161.46</v>
      </c>
      <c r="J3348">
        <v>0</v>
      </c>
      <c r="K3348">
        <v>0</v>
      </c>
      <c r="L3348">
        <v>75822631.959999993</v>
      </c>
      <c r="M3348">
        <v>75523529.670000002</v>
      </c>
      <c r="N3348">
        <v>75822631.959999993</v>
      </c>
      <c r="O3348">
        <v>75523529.670000002</v>
      </c>
      <c r="P3348">
        <v>75000000</v>
      </c>
      <c r="Q3348">
        <v>75000000</v>
      </c>
      <c r="R3348" s="14">
        <f>_xlfn.XLOOKUP(Table2[[#This Row],[LoanID]],Table1[G-L ID],Table1[ManagerCode],-99)</f>
        <v>103</v>
      </c>
      <c r="T3348"/>
    </row>
    <row r="3349" spans="1:20" x14ac:dyDescent="0.25">
      <c r="A3349">
        <v>20150228</v>
      </c>
      <c r="B3349">
        <v>2015</v>
      </c>
      <c r="C3349">
        <v>2</v>
      </c>
      <c r="D3349">
        <v>1</v>
      </c>
      <c r="E3349">
        <v>10090</v>
      </c>
      <c r="F3349">
        <v>176013.89</v>
      </c>
      <c r="G3349">
        <v>0</v>
      </c>
      <c r="H3349">
        <v>0</v>
      </c>
      <c r="I3349">
        <v>0</v>
      </c>
      <c r="J3349">
        <v>0</v>
      </c>
      <c r="K3349">
        <v>0</v>
      </c>
      <c r="L3349">
        <v>23000000</v>
      </c>
      <c r="M3349">
        <v>23000000</v>
      </c>
      <c r="N3349">
        <v>23000000</v>
      </c>
      <c r="O3349">
        <v>23000000</v>
      </c>
      <c r="P3349">
        <v>23000000</v>
      </c>
      <c r="Q3349">
        <v>23000000</v>
      </c>
      <c r="R3349" s="14">
        <f>_xlfn.XLOOKUP(Table2[[#This Row],[LoanID]],Table1[G-L ID],Table1[ManagerCode],-99)</f>
        <v>119</v>
      </c>
      <c r="T3349"/>
    </row>
    <row r="3350" spans="1:20" x14ac:dyDescent="0.25">
      <c r="A3350">
        <v>20150228</v>
      </c>
      <c r="B3350">
        <v>2015</v>
      </c>
      <c r="C3350">
        <v>2</v>
      </c>
      <c r="D3350">
        <v>1</v>
      </c>
      <c r="E3350">
        <v>10100</v>
      </c>
      <c r="F3350">
        <v>190413</v>
      </c>
      <c r="G3350">
        <v>0</v>
      </c>
      <c r="H3350">
        <v>0</v>
      </c>
      <c r="I3350">
        <v>0</v>
      </c>
      <c r="J3350">
        <v>0</v>
      </c>
      <c r="K3350">
        <v>0</v>
      </c>
      <c r="L3350">
        <v>30500000</v>
      </c>
      <c r="M3350">
        <v>30500000</v>
      </c>
      <c r="N3350">
        <v>30500000</v>
      </c>
      <c r="O3350">
        <v>30500000</v>
      </c>
      <c r="P3350">
        <v>30500000</v>
      </c>
      <c r="Q3350">
        <v>30500000</v>
      </c>
      <c r="R3350" s="14">
        <f>_xlfn.XLOOKUP(Table2[[#This Row],[LoanID]],Table1[G-L ID],Table1[ManagerCode],-99)</f>
        <v>220</v>
      </c>
      <c r="T3350"/>
    </row>
    <row r="3351" spans="1:20" x14ac:dyDescent="0.25">
      <c r="A3351">
        <v>20150228</v>
      </c>
      <c r="B3351">
        <v>2015</v>
      </c>
      <c r="C3351">
        <v>2</v>
      </c>
      <c r="D3351">
        <v>1</v>
      </c>
      <c r="E3351">
        <v>10160</v>
      </c>
      <c r="F3351">
        <v>53708.98</v>
      </c>
      <c r="G3351">
        <v>0</v>
      </c>
      <c r="H3351">
        <v>77500</v>
      </c>
      <c r="I3351">
        <v>0</v>
      </c>
      <c r="J3351">
        <v>-14051513.300000001</v>
      </c>
      <c r="K3351">
        <v>0</v>
      </c>
      <c r="L3351">
        <v>0</v>
      </c>
      <c r="M3351">
        <v>14051513.300000001</v>
      </c>
      <c r="N3351">
        <v>0</v>
      </c>
      <c r="O3351">
        <v>14051513.300000001</v>
      </c>
      <c r="P3351">
        <v>0</v>
      </c>
      <c r="Q3351">
        <v>14051513.300000001</v>
      </c>
      <c r="R3351" s="14">
        <f>_xlfn.XLOOKUP(Table2[[#This Row],[LoanID]],Table1[G-L ID],Table1[ManagerCode],-99)</f>
        <v>119</v>
      </c>
      <c r="T3351"/>
    </row>
    <row r="3352" spans="1:20" x14ac:dyDescent="0.25">
      <c r="A3352">
        <v>20150228</v>
      </c>
      <c r="B3352">
        <v>2015</v>
      </c>
      <c r="C3352">
        <v>2</v>
      </c>
      <c r="D3352">
        <v>1</v>
      </c>
      <c r="E3352">
        <v>10190</v>
      </c>
      <c r="F3352">
        <v>44406.39</v>
      </c>
      <c r="G3352">
        <v>0</v>
      </c>
      <c r="H3352">
        <v>0</v>
      </c>
      <c r="I3352">
        <v>0</v>
      </c>
      <c r="J3352">
        <v>0</v>
      </c>
      <c r="K3352">
        <v>10000000</v>
      </c>
      <c r="L3352">
        <v>10489998.390000001</v>
      </c>
      <c r="M3352">
        <v>0</v>
      </c>
      <c r="N3352">
        <v>10489998.390000001</v>
      </c>
      <c r="O3352">
        <v>0</v>
      </c>
      <c r="P3352">
        <v>10000000</v>
      </c>
      <c r="Q3352">
        <v>0</v>
      </c>
      <c r="R3352" s="14">
        <f>_xlfn.XLOOKUP(Table2[[#This Row],[LoanID]],Table1[G-L ID],Table1[ManagerCode],-99)</f>
        <v>103</v>
      </c>
      <c r="T3352"/>
    </row>
    <row r="3353" spans="1:20" x14ac:dyDescent="0.25">
      <c r="A3353">
        <v>20150228</v>
      </c>
      <c r="B3353">
        <v>2015</v>
      </c>
      <c r="C3353">
        <v>2</v>
      </c>
      <c r="D3353">
        <v>1</v>
      </c>
      <c r="E3353">
        <v>10200</v>
      </c>
      <c r="F3353">
        <v>136993.73000000001</v>
      </c>
      <c r="G3353">
        <v>0</v>
      </c>
      <c r="H3353">
        <v>0</v>
      </c>
      <c r="I3353">
        <v>0</v>
      </c>
      <c r="J3353">
        <v>0</v>
      </c>
      <c r="K3353">
        <v>30850000</v>
      </c>
      <c r="L3353">
        <v>32361644.789999999</v>
      </c>
      <c r="M3353">
        <v>0</v>
      </c>
      <c r="N3353">
        <v>32361644.789999999</v>
      </c>
      <c r="O3353">
        <v>0</v>
      </c>
      <c r="P3353">
        <v>30850000</v>
      </c>
      <c r="Q3353">
        <v>0</v>
      </c>
      <c r="R3353" s="14">
        <f>_xlfn.XLOOKUP(Table2[[#This Row],[LoanID]],Table1[G-L ID],Table1[ManagerCode],-99)</f>
        <v>103</v>
      </c>
      <c r="T3353"/>
    </row>
    <row r="3354" spans="1:20" x14ac:dyDescent="0.25">
      <c r="A3354">
        <v>20150228</v>
      </c>
      <c r="B3354">
        <v>2015</v>
      </c>
      <c r="C3354">
        <v>2</v>
      </c>
      <c r="D3354">
        <v>1</v>
      </c>
      <c r="E3354">
        <v>10220</v>
      </c>
      <c r="F3354">
        <v>1065277.78</v>
      </c>
      <c r="G3354">
        <v>0</v>
      </c>
      <c r="H3354">
        <v>0</v>
      </c>
      <c r="I3354">
        <v>-250</v>
      </c>
      <c r="J3354">
        <v>0</v>
      </c>
      <c r="K3354">
        <v>0</v>
      </c>
      <c r="L3354">
        <v>119536284</v>
      </c>
      <c r="M3354">
        <v>117527054.90000001</v>
      </c>
      <c r="N3354">
        <v>119536284</v>
      </c>
      <c r="O3354">
        <v>117527054.90000001</v>
      </c>
      <c r="P3354">
        <v>100000000</v>
      </c>
      <c r="Q3354">
        <v>100000000</v>
      </c>
      <c r="R3354" s="14">
        <f>_xlfn.XLOOKUP(Table2[[#This Row],[LoanID]],Table1[G-L ID],Table1[ManagerCode],-99)</f>
        <v>103</v>
      </c>
      <c r="T3354"/>
    </row>
    <row r="3355" spans="1:20" x14ac:dyDescent="0.25">
      <c r="A3355">
        <v>20150228</v>
      </c>
      <c r="B3355">
        <v>2015</v>
      </c>
      <c r="C3355">
        <v>2</v>
      </c>
      <c r="D3355">
        <v>1</v>
      </c>
      <c r="E3355">
        <v>10240</v>
      </c>
      <c r="F3355">
        <v>73458</v>
      </c>
      <c r="G3355">
        <v>0</v>
      </c>
      <c r="H3355">
        <v>0</v>
      </c>
      <c r="I3355">
        <v>0</v>
      </c>
      <c r="J3355">
        <v>0</v>
      </c>
      <c r="K3355">
        <v>0</v>
      </c>
      <c r="L3355">
        <v>10445205</v>
      </c>
      <c r="M3355">
        <v>10445205</v>
      </c>
      <c r="N3355">
        <v>10445205</v>
      </c>
      <c r="O3355">
        <v>10445205</v>
      </c>
      <c r="P3355">
        <v>10445205</v>
      </c>
      <c r="Q3355">
        <v>10445205</v>
      </c>
      <c r="R3355" s="14">
        <f>_xlfn.XLOOKUP(Table2[[#This Row],[LoanID]],Table1[G-L ID],Table1[ManagerCode],-99)</f>
        <v>220</v>
      </c>
      <c r="T3355"/>
    </row>
    <row r="3356" spans="1:20" x14ac:dyDescent="0.25">
      <c r="A3356">
        <v>20150228</v>
      </c>
      <c r="B3356">
        <v>2015</v>
      </c>
      <c r="C3356">
        <v>2</v>
      </c>
      <c r="D3356">
        <v>1</v>
      </c>
      <c r="E3356">
        <v>10260</v>
      </c>
      <c r="F3356">
        <v>99581.04</v>
      </c>
      <c r="G3356">
        <v>0</v>
      </c>
      <c r="H3356">
        <v>208000</v>
      </c>
      <c r="I3356">
        <v>0</v>
      </c>
      <c r="J3356">
        <v>0</v>
      </c>
      <c r="K3356">
        <v>0</v>
      </c>
      <c r="L3356">
        <v>15000000</v>
      </c>
      <c r="M3356">
        <v>15000000</v>
      </c>
      <c r="N3356">
        <v>15000000</v>
      </c>
      <c r="O3356">
        <v>15000000</v>
      </c>
      <c r="P3356">
        <v>15000000</v>
      </c>
      <c r="Q3356">
        <v>15000000</v>
      </c>
      <c r="R3356" s="14">
        <f>_xlfn.XLOOKUP(Table2[[#This Row],[LoanID]],Table1[G-L ID],Table1[ManagerCode],-99)</f>
        <v>220</v>
      </c>
      <c r="T3356"/>
    </row>
    <row r="3357" spans="1:20" x14ac:dyDescent="0.25">
      <c r="A3357">
        <v>20150228</v>
      </c>
      <c r="B3357">
        <v>2015</v>
      </c>
      <c r="C3357">
        <v>2</v>
      </c>
      <c r="D3357">
        <v>1</v>
      </c>
      <c r="E3357">
        <v>10270</v>
      </c>
      <c r="F3357">
        <v>15287.82</v>
      </c>
      <c r="G3357">
        <v>0</v>
      </c>
      <c r="H3357">
        <v>0</v>
      </c>
      <c r="I3357">
        <v>0</v>
      </c>
      <c r="J3357">
        <v>0</v>
      </c>
      <c r="K3357">
        <v>0</v>
      </c>
      <c r="L3357">
        <v>1860000</v>
      </c>
      <c r="M3357">
        <v>1860000</v>
      </c>
      <c r="N3357">
        <v>1860000</v>
      </c>
      <c r="O3357">
        <v>1860000</v>
      </c>
      <c r="P3357">
        <v>1860000</v>
      </c>
      <c r="Q3357">
        <v>1860000</v>
      </c>
      <c r="R3357" s="14">
        <f>_xlfn.XLOOKUP(Table2[[#This Row],[LoanID]],Table1[G-L ID],Table1[ManagerCode],-99)</f>
        <v>119</v>
      </c>
      <c r="T3357"/>
    </row>
    <row r="3358" spans="1:20" x14ac:dyDescent="0.25">
      <c r="A3358">
        <v>20150228</v>
      </c>
      <c r="B3358">
        <v>2015</v>
      </c>
      <c r="C3358">
        <v>2</v>
      </c>
      <c r="D3358">
        <v>1</v>
      </c>
      <c r="E3358">
        <v>10340</v>
      </c>
      <c r="F3358">
        <v>110572.35</v>
      </c>
      <c r="G3358">
        <v>0</v>
      </c>
      <c r="H3358">
        <v>0</v>
      </c>
      <c r="I3358">
        <v>0</v>
      </c>
      <c r="J3358">
        <v>0</v>
      </c>
      <c r="K3358">
        <v>0</v>
      </c>
      <c r="L3358">
        <v>12527473</v>
      </c>
      <c r="M3358">
        <v>12527473</v>
      </c>
      <c r="N3358">
        <v>12527473</v>
      </c>
      <c r="O3358">
        <v>12527473</v>
      </c>
      <c r="P3358">
        <v>12527473</v>
      </c>
      <c r="Q3358">
        <v>12527473</v>
      </c>
      <c r="R3358" s="14">
        <f>_xlfn.XLOOKUP(Table2[[#This Row],[LoanID]],Table1[G-L ID],Table1[ManagerCode],-99)</f>
        <v>220</v>
      </c>
      <c r="T3358"/>
    </row>
    <row r="3359" spans="1:20" x14ac:dyDescent="0.25">
      <c r="A3359">
        <v>20150228</v>
      </c>
      <c r="B3359">
        <v>2015</v>
      </c>
      <c r="C3359">
        <v>2</v>
      </c>
      <c r="D3359">
        <v>1</v>
      </c>
      <c r="E3359">
        <v>10350</v>
      </c>
      <c r="F3359">
        <v>186861</v>
      </c>
      <c r="G3359">
        <v>0</v>
      </c>
      <c r="H3359">
        <v>0</v>
      </c>
      <c r="I3359">
        <v>0</v>
      </c>
      <c r="J3359">
        <v>0</v>
      </c>
      <c r="K3359">
        <v>0</v>
      </c>
      <c r="L3359">
        <v>24800000</v>
      </c>
      <c r="M3359">
        <v>24800000</v>
      </c>
      <c r="N3359">
        <v>24800000</v>
      </c>
      <c r="O3359">
        <v>24800000</v>
      </c>
      <c r="P3359">
        <v>24800000</v>
      </c>
      <c r="Q3359">
        <v>24800000</v>
      </c>
      <c r="R3359" s="14">
        <f>_xlfn.XLOOKUP(Table2[[#This Row],[LoanID]],Table1[G-L ID],Table1[ManagerCode],-99)</f>
        <v>220</v>
      </c>
      <c r="T3359"/>
    </row>
    <row r="3360" spans="1:20" x14ac:dyDescent="0.25">
      <c r="A3360">
        <v>20150228</v>
      </c>
      <c r="B3360">
        <v>2015</v>
      </c>
      <c r="C3360">
        <v>2</v>
      </c>
      <c r="D3360">
        <v>1</v>
      </c>
      <c r="E3360">
        <v>10430</v>
      </c>
      <c r="F3360">
        <v>91219.68</v>
      </c>
      <c r="G3360">
        <v>0</v>
      </c>
      <c r="H3360">
        <v>0</v>
      </c>
      <c r="I3360">
        <v>0</v>
      </c>
      <c r="J3360">
        <v>0</v>
      </c>
      <c r="K3360">
        <v>23400</v>
      </c>
      <c r="L3360">
        <v>10953200</v>
      </c>
      <c r="M3360">
        <v>10929800</v>
      </c>
      <c r="N3360">
        <v>10953200</v>
      </c>
      <c r="O3360">
        <v>10929800</v>
      </c>
      <c r="P3360">
        <v>10953200</v>
      </c>
      <c r="Q3360">
        <v>10929800</v>
      </c>
      <c r="R3360" s="14">
        <f>_xlfn.XLOOKUP(Table2[[#This Row],[LoanID]],Table1[G-L ID],Table1[ManagerCode],-99)</f>
        <v>119</v>
      </c>
      <c r="T3360"/>
    </row>
    <row r="3361" spans="1:20" x14ac:dyDescent="0.25">
      <c r="A3361">
        <v>20150228</v>
      </c>
      <c r="B3361">
        <v>2015</v>
      </c>
      <c r="C3361">
        <v>2</v>
      </c>
      <c r="D3361">
        <v>1</v>
      </c>
      <c r="E3361">
        <v>10460</v>
      </c>
      <c r="F3361">
        <v>125033.33</v>
      </c>
      <c r="G3361">
        <v>0</v>
      </c>
      <c r="H3361">
        <v>0</v>
      </c>
      <c r="I3361">
        <v>0</v>
      </c>
      <c r="J3361">
        <v>0</v>
      </c>
      <c r="K3361">
        <v>0</v>
      </c>
      <c r="L3361">
        <v>59744566.009999998</v>
      </c>
      <c r="M3361">
        <v>59753742.039999999</v>
      </c>
      <c r="N3361">
        <v>59744566.009999998</v>
      </c>
      <c r="O3361">
        <v>59753742.039999999</v>
      </c>
      <c r="P3361">
        <v>60000000</v>
      </c>
      <c r="Q3361">
        <v>60000000</v>
      </c>
      <c r="R3361" s="14">
        <f>_xlfn.XLOOKUP(Table2[[#This Row],[LoanID]],Table1[G-L ID],Table1[ManagerCode],-99)</f>
        <v>103</v>
      </c>
      <c r="T3361"/>
    </row>
    <row r="3362" spans="1:20" x14ac:dyDescent="0.25">
      <c r="A3362">
        <v>20150228</v>
      </c>
      <c r="B3362">
        <v>2015</v>
      </c>
      <c r="C3362">
        <v>2</v>
      </c>
      <c r="D3362">
        <v>1</v>
      </c>
      <c r="E3362">
        <v>10470</v>
      </c>
      <c r="F3362">
        <v>57479.17</v>
      </c>
      <c r="G3362">
        <v>0</v>
      </c>
      <c r="H3362">
        <v>0</v>
      </c>
      <c r="I3362">
        <v>0</v>
      </c>
      <c r="J3362">
        <v>0</v>
      </c>
      <c r="K3362">
        <v>0</v>
      </c>
      <c r="L3362">
        <v>25000000</v>
      </c>
      <c r="M3362">
        <v>25000000</v>
      </c>
      <c r="N3362">
        <v>25000000</v>
      </c>
      <c r="O3362">
        <v>25000000</v>
      </c>
      <c r="P3362">
        <v>25000000</v>
      </c>
      <c r="Q3362">
        <v>25000000</v>
      </c>
      <c r="R3362" s="14">
        <f>_xlfn.XLOOKUP(Table2[[#This Row],[LoanID]],Table1[G-L ID],Table1[ManagerCode],-99)</f>
        <v>103</v>
      </c>
      <c r="T3362"/>
    </row>
    <row r="3363" spans="1:20" x14ac:dyDescent="0.25">
      <c r="A3363">
        <v>20150228</v>
      </c>
      <c r="B3363">
        <v>2015</v>
      </c>
      <c r="C3363">
        <v>2</v>
      </c>
      <c r="D3363">
        <v>1</v>
      </c>
      <c r="E3363">
        <v>10480</v>
      </c>
      <c r="F3363">
        <v>157021.63</v>
      </c>
      <c r="G3363">
        <v>0</v>
      </c>
      <c r="H3363">
        <v>0</v>
      </c>
      <c r="I3363">
        <v>0</v>
      </c>
      <c r="J3363">
        <v>0</v>
      </c>
      <c r="K3363">
        <v>0</v>
      </c>
      <c r="L3363">
        <v>21350000</v>
      </c>
      <c r="M3363">
        <v>21350000</v>
      </c>
      <c r="N3363">
        <v>21350000</v>
      </c>
      <c r="O3363">
        <v>21350000</v>
      </c>
      <c r="P3363">
        <v>21350000</v>
      </c>
      <c r="Q3363">
        <v>21350000</v>
      </c>
      <c r="R3363" s="14">
        <f>_xlfn.XLOOKUP(Table2[[#This Row],[LoanID]],Table1[G-L ID],Table1[ManagerCode],-99)</f>
        <v>119</v>
      </c>
      <c r="T3363"/>
    </row>
    <row r="3364" spans="1:20" x14ac:dyDescent="0.25">
      <c r="A3364">
        <v>20150228</v>
      </c>
      <c r="B3364">
        <v>2015</v>
      </c>
      <c r="C3364">
        <v>2</v>
      </c>
      <c r="D3364">
        <v>1</v>
      </c>
      <c r="E3364">
        <v>10510</v>
      </c>
      <c r="F3364">
        <v>408099</v>
      </c>
      <c r="G3364">
        <v>0</v>
      </c>
      <c r="H3364">
        <v>0</v>
      </c>
      <c r="I3364">
        <v>0</v>
      </c>
      <c r="J3364">
        <v>0</v>
      </c>
      <c r="K3364">
        <v>43928249</v>
      </c>
      <c r="L3364">
        <v>43928249</v>
      </c>
      <c r="M3364">
        <v>0</v>
      </c>
      <c r="N3364">
        <v>43928249</v>
      </c>
      <c r="O3364">
        <v>0</v>
      </c>
      <c r="P3364">
        <v>43928249</v>
      </c>
      <c r="Q3364">
        <v>0</v>
      </c>
      <c r="R3364" s="14">
        <f>_xlfn.XLOOKUP(Table2[[#This Row],[LoanID]],Table1[G-L ID],Table1[ManagerCode],-99)</f>
        <v>220</v>
      </c>
      <c r="T3364"/>
    </row>
    <row r="3365" spans="1:20" x14ac:dyDescent="0.25">
      <c r="A3365">
        <v>20150228</v>
      </c>
      <c r="B3365">
        <v>2015</v>
      </c>
      <c r="C3365">
        <v>2</v>
      </c>
      <c r="D3365">
        <v>1</v>
      </c>
      <c r="E3365">
        <v>10570</v>
      </c>
      <c r="F3365">
        <v>796665.55</v>
      </c>
      <c r="G3365">
        <v>0</v>
      </c>
      <c r="H3365">
        <v>0</v>
      </c>
      <c r="I3365">
        <v>-493.18</v>
      </c>
      <c r="J3365">
        <v>0</v>
      </c>
      <c r="K3365">
        <v>0</v>
      </c>
      <c r="L3365">
        <v>156285139.5</v>
      </c>
      <c r="M3365">
        <v>156297000.5</v>
      </c>
      <c r="N3365">
        <v>156285139.5</v>
      </c>
      <c r="O3365">
        <v>156297000.5</v>
      </c>
      <c r="P3365">
        <v>156356260.69999999</v>
      </c>
      <c r="Q3365">
        <v>156356260.69999999</v>
      </c>
      <c r="R3365" s="14">
        <f>_xlfn.XLOOKUP(Table2[[#This Row],[LoanID]],Table1[G-L ID],Table1[ManagerCode],-99)</f>
        <v>103</v>
      </c>
      <c r="T3365"/>
    </row>
    <row r="3366" spans="1:20" x14ac:dyDescent="0.25">
      <c r="A3366">
        <v>20150228</v>
      </c>
      <c r="B3366">
        <v>2015</v>
      </c>
      <c r="C3366">
        <v>2</v>
      </c>
      <c r="D3366">
        <v>1</v>
      </c>
      <c r="E3366">
        <v>10591</v>
      </c>
      <c r="F3366">
        <v>220716.84</v>
      </c>
      <c r="G3366">
        <v>0</v>
      </c>
      <c r="H3366">
        <v>0</v>
      </c>
      <c r="I3366">
        <v>0</v>
      </c>
      <c r="J3366">
        <v>0</v>
      </c>
      <c r="K3366">
        <v>60231.63</v>
      </c>
      <c r="L3366">
        <v>26142556.23</v>
      </c>
      <c r="M3366">
        <v>26080079.75</v>
      </c>
      <c r="N3366">
        <v>26142556.23</v>
      </c>
      <c r="O3366">
        <v>26080079.75</v>
      </c>
      <c r="P3366">
        <v>25203223.09</v>
      </c>
      <c r="Q3366">
        <v>25142991.460000001</v>
      </c>
      <c r="R3366" s="14">
        <f>_xlfn.XLOOKUP(Table2[[#This Row],[LoanID]],Table1[G-L ID],Table1[ManagerCode],-99)</f>
        <v>220</v>
      </c>
      <c r="T3366"/>
    </row>
    <row r="3367" spans="1:20" x14ac:dyDescent="0.25">
      <c r="A3367">
        <v>20150228</v>
      </c>
      <c r="B3367">
        <v>2015</v>
      </c>
      <c r="C3367">
        <v>2</v>
      </c>
      <c r="D3367">
        <v>1</v>
      </c>
      <c r="E3367">
        <v>10592</v>
      </c>
      <c r="F3367">
        <v>366185.21</v>
      </c>
      <c r="G3367">
        <v>0</v>
      </c>
      <c r="H3367">
        <v>0</v>
      </c>
      <c r="I3367">
        <v>0</v>
      </c>
      <c r="J3367">
        <v>0</v>
      </c>
      <c r="K3367">
        <v>88913.37</v>
      </c>
      <c r="L3367">
        <v>38427592.060000002</v>
      </c>
      <c r="M3367">
        <v>38335756.310000002</v>
      </c>
      <c r="N3367">
        <v>38427592.060000002</v>
      </c>
      <c r="O3367">
        <v>38335756.310000002</v>
      </c>
      <c r="P3367">
        <v>37204757.909999996</v>
      </c>
      <c r="Q3367">
        <v>37115844.539999999</v>
      </c>
      <c r="R3367" s="14">
        <f>_xlfn.XLOOKUP(Table2[[#This Row],[LoanID]],Table1[G-L ID],Table1[ManagerCode],-99)</f>
        <v>220</v>
      </c>
      <c r="T3367"/>
    </row>
    <row r="3368" spans="1:20" x14ac:dyDescent="0.25">
      <c r="A3368">
        <v>20150228</v>
      </c>
      <c r="B3368">
        <v>2015</v>
      </c>
      <c r="C3368">
        <v>2</v>
      </c>
      <c r="D3368">
        <v>1</v>
      </c>
      <c r="E3368">
        <v>10640</v>
      </c>
      <c r="F3368">
        <v>106281</v>
      </c>
      <c r="G3368">
        <v>0</v>
      </c>
      <c r="H3368">
        <v>0</v>
      </c>
      <c r="I3368">
        <v>0</v>
      </c>
      <c r="J3368">
        <v>0</v>
      </c>
      <c r="K3368">
        <v>0</v>
      </c>
      <c r="L3368">
        <v>12527956.74</v>
      </c>
      <c r="M3368">
        <v>12527956.74</v>
      </c>
      <c r="N3368">
        <v>12527956.74</v>
      </c>
      <c r="O3368">
        <v>12527956.74</v>
      </c>
      <c r="P3368">
        <v>12423112</v>
      </c>
      <c r="Q3368">
        <v>12423112</v>
      </c>
      <c r="R3368" s="14">
        <f>_xlfn.XLOOKUP(Table2[[#This Row],[LoanID]],Table1[G-L ID],Table1[ManagerCode],-99)</f>
        <v>220</v>
      </c>
      <c r="T3368"/>
    </row>
    <row r="3369" spans="1:20" x14ac:dyDescent="0.25">
      <c r="A3369">
        <v>20150228</v>
      </c>
      <c r="B3369">
        <v>2015</v>
      </c>
      <c r="C3369">
        <v>2</v>
      </c>
      <c r="D3369">
        <v>1</v>
      </c>
      <c r="E3369">
        <v>10680</v>
      </c>
      <c r="F3369">
        <v>58112.11</v>
      </c>
      <c r="G3369">
        <v>0</v>
      </c>
      <c r="H3369">
        <v>0</v>
      </c>
      <c r="I3369">
        <v>0</v>
      </c>
      <c r="J3369">
        <v>0</v>
      </c>
      <c r="K3369">
        <v>0</v>
      </c>
      <c r="L3369">
        <v>6964400</v>
      </c>
      <c r="M3369">
        <v>6964400</v>
      </c>
      <c r="N3369">
        <v>6964400</v>
      </c>
      <c r="O3369">
        <v>6964400</v>
      </c>
      <c r="P3369">
        <v>6964400</v>
      </c>
      <c r="Q3369">
        <v>6964400</v>
      </c>
      <c r="R3369" s="14">
        <f>_xlfn.XLOOKUP(Table2[[#This Row],[LoanID]],Table1[G-L ID],Table1[ManagerCode],-99)</f>
        <v>119</v>
      </c>
      <c r="T3369"/>
    </row>
    <row r="3370" spans="1:20" x14ac:dyDescent="0.25">
      <c r="A3370">
        <v>20150228</v>
      </c>
      <c r="B3370">
        <v>2015</v>
      </c>
      <c r="C3370">
        <v>2</v>
      </c>
      <c r="D3370">
        <v>1</v>
      </c>
      <c r="E3370">
        <v>10690</v>
      </c>
      <c r="F3370">
        <v>108152.3</v>
      </c>
      <c r="G3370">
        <v>29135.31</v>
      </c>
      <c r="H3370">
        <v>0</v>
      </c>
      <c r="I3370">
        <v>0</v>
      </c>
      <c r="J3370">
        <v>-108152.3</v>
      </c>
      <c r="K3370">
        <v>0</v>
      </c>
      <c r="L3370">
        <v>18789977.109999999</v>
      </c>
      <c r="M3370">
        <v>18927264.719999999</v>
      </c>
      <c r="N3370">
        <v>18789977.109999999</v>
      </c>
      <c r="O3370">
        <v>18927264.719999999</v>
      </c>
      <c r="P3370">
        <v>18789977.109999999</v>
      </c>
      <c r="Q3370">
        <v>18927264.719999999</v>
      </c>
      <c r="R3370" s="14">
        <f>_xlfn.XLOOKUP(Table2[[#This Row],[LoanID]],Table1[G-L ID],Table1[ManagerCode],-99)</f>
        <v>183</v>
      </c>
      <c r="T3370"/>
    </row>
    <row r="3371" spans="1:20" x14ac:dyDescent="0.25">
      <c r="A3371">
        <v>20150228</v>
      </c>
      <c r="B3371">
        <v>2015</v>
      </c>
      <c r="C3371">
        <v>2</v>
      </c>
      <c r="D3371">
        <v>1</v>
      </c>
      <c r="E3371">
        <v>10720</v>
      </c>
      <c r="F3371">
        <v>125000</v>
      </c>
      <c r="G3371">
        <v>72471.44</v>
      </c>
      <c r="H3371">
        <v>0</v>
      </c>
      <c r="I3371">
        <v>0</v>
      </c>
      <c r="J3371">
        <v>0</v>
      </c>
      <c r="K3371">
        <v>0</v>
      </c>
      <c r="L3371">
        <v>16276171.029999999</v>
      </c>
      <c r="M3371">
        <v>16353326.85</v>
      </c>
      <c r="N3371">
        <v>16276171.029999999</v>
      </c>
      <c r="O3371">
        <v>16353326.85</v>
      </c>
      <c r="P3371">
        <v>15288111.23</v>
      </c>
      <c r="Q3371">
        <v>15360582.67</v>
      </c>
      <c r="R3371" s="14">
        <f>_xlfn.XLOOKUP(Table2[[#This Row],[LoanID]],Table1[G-L ID],Table1[ManagerCode],-99)</f>
        <v>220</v>
      </c>
      <c r="T3371"/>
    </row>
    <row r="3372" spans="1:20" x14ac:dyDescent="0.25">
      <c r="A3372">
        <v>20150228</v>
      </c>
      <c r="B3372">
        <v>2015</v>
      </c>
      <c r="C3372">
        <v>2</v>
      </c>
      <c r="D3372">
        <v>1</v>
      </c>
      <c r="E3372">
        <v>10740</v>
      </c>
      <c r="F3372">
        <v>0</v>
      </c>
      <c r="G3372">
        <v>0</v>
      </c>
      <c r="H3372">
        <v>1310</v>
      </c>
      <c r="I3372">
        <v>0</v>
      </c>
      <c r="J3372">
        <v>-480000000</v>
      </c>
      <c r="K3372">
        <v>0</v>
      </c>
      <c r="L3372">
        <v>0</v>
      </c>
      <c r="M3372">
        <v>486168149.80000001</v>
      </c>
      <c r="N3372">
        <v>0</v>
      </c>
      <c r="O3372">
        <v>486168149.80000001</v>
      </c>
      <c r="P3372">
        <v>0</v>
      </c>
      <c r="Q3372">
        <v>480000000</v>
      </c>
      <c r="R3372" s="14">
        <f>_xlfn.XLOOKUP(Table2[[#This Row],[LoanID]],Table1[G-L ID],Table1[ManagerCode],-99)</f>
        <v>103</v>
      </c>
      <c r="T3372"/>
    </row>
    <row r="3373" spans="1:20" x14ac:dyDescent="0.25">
      <c r="A3373">
        <v>20150228</v>
      </c>
      <c r="B3373">
        <v>2015</v>
      </c>
      <c r="C3373">
        <v>2</v>
      </c>
      <c r="D3373">
        <v>1</v>
      </c>
      <c r="E3373">
        <v>10780</v>
      </c>
      <c r="F3373">
        <v>311663</v>
      </c>
      <c r="G3373">
        <v>0</v>
      </c>
      <c r="H3373">
        <v>0</v>
      </c>
      <c r="I3373">
        <v>0</v>
      </c>
      <c r="J3373">
        <v>0</v>
      </c>
      <c r="K3373">
        <v>0</v>
      </c>
      <c r="L3373">
        <v>43000000</v>
      </c>
      <c r="M3373">
        <v>43000000</v>
      </c>
      <c r="N3373">
        <v>43000000</v>
      </c>
      <c r="O3373">
        <v>43000000</v>
      </c>
      <c r="P3373">
        <v>43000000</v>
      </c>
      <c r="Q3373">
        <v>43000000</v>
      </c>
      <c r="R3373" s="14">
        <f>_xlfn.XLOOKUP(Table2[[#This Row],[LoanID]],Table1[G-L ID],Table1[ManagerCode],-99)</f>
        <v>220</v>
      </c>
      <c r="T3373"/>
    </row>
    <row r="3374" spans="1:20" x14ac:dyDescent="0.25">
      <c r="A3374">
        <v>20150228</v>
      </c>
      <c r="B3374">
        <v>2015</v>
      </c>
      <c r="C3374">
        <v>2</v>
      </c>
      <c r="D3374">
        <v>1</v>
      </c>
      <c r="E3374">
        <v>10800</v>
      </c>
      <c r="F3374">
        <v>216433</v>
      </c>
      <c r="G3374">
        <v>0</v>
      </c>
      <c r="H3374">
        <v>0</v>
      </c>
      <c r="I3374">
        <v>0</v>
      </c>
      <c r="J3374">
        <v>0</v>
      </c>
      <c r="K3374">
        <v>0</v>
      </c>
      <c r="L3374">
        <v>26000000</v>
      </c>
      <c r="M3374">
        <v>26000000</v>
      </c>
      <c r="N3374">
        <v>26000000</v>
      </c>
      <c r="O3374">
        <v>26000000</v>
      </c>
      <c r="P3374">
        <v>26000000</v>
      </c>
      <c r="Q3374">
        <v>26000000</v>
      </c>
      <c r="R3374" s="14">
        <f>_xlfn.XLOOKUP(Table2[[#This Row],[LoanID]],Table1[G-L ID],Table1[ManagerCode],-99)</f>
        <v>220</v>
      </c>
      <c r="T3374"/>
    </row>
    <row r="3375" spans="1:20" x14ac:dyDescent="0.25">
      <c r="A3375">
        <v>20150228</v>
      </c>
      <c r="B3375">
        <v>2015</v>
      </c>
      <c r="C3375">
        <v>2</v>
      </c>
      <c r="D3375">
        <v>1</v>
      </c>
      <c r="E3375">
        <v>10820</v>
      </c>
      <c r="F3375">
        <v>185688.87</v>
      </c>
      <c r="G3375">
        <v>0</v>
      </c>
      <c r="H3375">
        <v>0</v>
      </c>
      <c r="I3375">
        <v>0</v>
      </c>
      <c r="J3375">
        <v>0</v>
      </c>
      <c r="K3375">
        <v>0</v>
      </c>
      <c r="L3375">
        <v>22993894.27</v>
      </c>
      <c r="M3375">
        <v>22993894.27</v>
      </c>
      <c r="N3375">
        <v>22993894.27</v>
      </c>
      <c r="O3375">
        <v>22993894.27</v>
      </c>
      <c r="P3375">
        <v>22698809.739999998</v>
      </c>
      <c r="Q3375">
        <v>22698809.739999998</v>
      </c>
      <c r="R3375" s="14">
        <f>_xlfn.XLOOKUP(Table2[[#This Row],[LoanID]],Table1[G-L ID],Table1[ManagerCode],-99)</f>
        <v>220</v>
      </c>
      <c r="T3375"/>
    </row>
    <row r="3376" spans="1:20" x14ac:dyDescent="0.25">
      <c r="A3376">
        <v>20150228</v>
      </c>
      <c r="B3376">
        <v>2015</v>
      </c>
      <c r="C3376">
        <v>2</v>
      </c>
      <c r="D3376">
        <v>1</v>
      </c>
      <c r="E3376">
        <v>10830</v>
      </c>
      <c r="F3376">
        <v>59950.29</v>
      </c>
      <c r="G3376">
        <v>0</v>
      </c>
      <c r="H3376">
        <v>0</v>
      </c>
      <c r="I3376">
        <v>0</v>
      </c>
      <c r="J3376">
        <v>0</v>
      </c>
      <c r="K3376">
        <v>0</v>
      </c>
      <c r="L3376">
        <v>7423657.4500000002</v>
      </c>
      <c r="M3376">
        <v>7423657.4500000002</v>
      </c>
      <c r="N3376">
        <v>7423657.4500000002</v>
      </c>
      <c r="O3376">
        <v>7423657.4500000002</v>
      </c>
      <c r="P3376">
        <v>7328388.4000000004</v>
      </c>
      <c r="Q3376">
        <v>7328388.4000000004</v>
      </c>
      <c r="R3376" s="14">
        <f>_xlfn.XLOOKUP(Table2[[#This Row],[LoanID]],Table1[G-L ID],Table1[ManagerCode],-99)</f>
        <v>220</v>
      </c>
      <c r="T3376"/>
    </row>
    <row r="3377" spans="1:20" x14ac:dyDescent="0.25">
      <c r="A3377">
        <v>20150228</v>
      </c>
      <c r="B3377">
        <v>2015</v>
      </c>
      <c r="C3377">
        <v>2</v>
      </c>
      <c r="D3377">
        <v>1</v>
      </c>
      <c r="E3377">
        <v>10840</v>
      </c>
      <c r="F3377">
        <v>103968.23</v>
      </c>
      <c r="G3377">
        <v>0</v>
      </c>
      <c r="H3377">
        <v>0</v>
      </c>
      <c r="I3377">
        <v>0</v>
      </c>
      <c r="J3377">
        <v>0</v>
      </c>
      <c r="K3377">
        <v>0</v>
      </c>
      <c r="L3377">
        <v>12874408.460000001</v>
      </c>
      <c r="M3377">
        <v>12874408.460000001</v>
      </c>
      <c r="N3377">
        <v>12874408.460000001</v>
      </c>
      <c r="O3377">
        <v>12874408.460000001</v>
      </c>
      <c r="P3377">
        <v>12709189</v>
      </c>
      <c r="Q3377">
        <v>12709189</v>
      </c>
      <c r="R3377" s="14">
        <f>_xlfn.XLOOKUP(Table2[[#This Row],[LoanID]],Table1[G-L ID],Table1[ManagerCode],-99)</f>
        <v>220</v>
      </c>
      <c r="T3377"/>
    </row>
    <row r="3378" spans="1:20" x14ac:dyDescent="0.25">
      <c r="A3378">
        <v>20150228</v>
      </c>
      <c r="B3378">
        <v>2015</v>
      </c>
      <c r="C3378">
        <v>2</v>
      </c>
      <c r="D3378">
        <v>1</v>
      </c>
      <c r="E3378">
        <v>10850</v>
      </c>
      <c r="F3378">
        <v>110534.78</v>
      </c>
      <c r="G3378">
        <v>0</v>
      </c>
      <c r="H3378">
        <v>0</v>
      </c>
      <c r="I3378">
        <v>0</v>
      </c>
      <c r="J3378">
        <v>0</v>
      </c>
      <c r="K3378">
        <v>0</v>
      </c>
      <c r="L3378">
        <v>13687546.6</v>
      </c>
      <c r="M3378">
        <v>13687546.6</v>
      </c>
      <c r="N3378">
        <v>13687546.6</v>
      </c>
      <c r="O3378">
        <v>13687546.6</v>
      </c>
      <c r="P3378">
        <v>13511892</v>
      </c>
      <c r="Q3378">
        <v>13511892</v>
      </c>
      <c r="R3378" s="14">
        <f>_xlfn.XLOOKUP(Table2[[#This Row],[LoanID]],Table1[G-L ID],Table1[ManagerCode],-99)</f>
        <v>220</v>
      </c>
      <c r="T3378"/>
    </row>
    <row r="3379" spans="1:20" x14ac:dyDescent="0.25">
      <c r="A3379">
        <v>20150228</v>
      </c>
      <c r="B3379">
        <v>2015</v>
      </c>
      <c r="C3379">
        <v>2</v>
      </c>
      <c r="D3379">
        <v>1</v>
      </c>
      <c r="E3379">
        <v>10860</v>
      </c>
      <c r="F3379">
        <v>117691.07</v>
      </c>
      <c r="G3379">
        <v>0</v>
      </c>
      <c r="H3379">
        <v>0</v>
      </c>
      <c r="I3379">
        <v>0</v>
      </c>
      <c r="J3379">
        <v>0</v>
      </c>
      <c r="K3379">
        <v>0</v>
      </c>
      <c r="L3379">
        <v>19475000</v>
      </c>
      <c r="M3379">
        <v>19475000</v>
      </c>
      <c r="N3379">
        <v>19475000</v>
      </c>
      <c r="O3379">
        <v>19475000</v>
      </c>
      <c r="P3379">
        <v>20500000</v>
      </c>
      <c r="Q3379">
        <v>20500000</v>
      </c>
      <c r="R3379" s="14">
        <f>_xlfn.XLOOKUP(Table2[[#This Row],[LoanID]],Table1[G-L ID],Table1[ManagerCode],-99)</f>
        <v>103</v>
      </c>
      <c r="T3379"/>
    </row>
    <row r="3380" spans="1:20" x14ac:dyDescent="0.25">
      <c r="A3380">
        <v>20150228</v>
      </c>
      <c r="B3380">
        <v>2015</v>
      </c>
      <c r="C3380">
        <v>2</v>
      </c>
      <c r="D3380">
        <v>1</v>
      </c>
      <c r="E3380">
        <v>10940</v>
      </c>
      <c r="F3380">
        <v>55697.5</v>
      </c>
      <c r="G3380">
        <v>75098.12</v>
      </c>
      <c r="H3380">
        <v>0</v>
      </c>
      <c r="I3380">
        <v>0</v>
      </c>
      <c r="J3380">
        <v>-55697.5</v>
      </c>
      <c r="K3380">
        <v>0</v>
      </c>
      <c r="L3380">
        <v>11248008.57</v>
      </c>
      <c r="M3380">
        <v>11378804.189999999</v>
      </c>
      <c r="N3380">
        <v>11248008.57</v>
      </c>
      <c r="O3380">
        <v>11378804.189999999</v>
      </c>
      <c r="P3380">
        <v>11248008.57</v>
      </c>
      <c r="Q3380">
        <v>11378804.189999999</v>
      </c>
      <c r="R3380" s="14">
        <f>_xlfn.XLOOKUP(Table2[[#This Row],[LoanID]],Table1[G-L ID],Table1[ManagerCode],-99)</f>
        <v>183</v>
      </c>
      <c r="T3380"/>
    </row>
    <row r="3381" spans="1:20" x14ac:dyDescent="0.25">
      <c r="A3381">
        <v>20150228</v>
      </c>
      <c r="B3381">
        <v>2015</v>
      </c>
      <c r="C3381">
        <v>2</v>
      </c>
      <c r="D3381">
        <v>1</v>
      </c>
      <c r="E3381">
        <v>10960</v>
      </c>
      <c r="F3381">
        <v>69076.160000000003</v>
      </c>
      <c r="G3381">
        <v>0</v>
      </c>
      <c r="H3381">
        <v>0</v>
      </c>
      <c r="I3381">
        <v>0</v>
      </c>
      <c r="J3381">
        <v>-93080.18</v>
      </c>
      <c r="K3381">
        <v>0</v>
      </c>
      <c r="L3381">
        <v>6138336.7999999998</v>
      </c>
      <c r="M3381">
        <v>6231416.9800000004</v>
      </c>
      <c r="N3381">
        <v>6138336.7999999998</v>
      </c>
      <c r="O3381">
        <v>6231416.9800000004</v>
      </c>
      <c r="P3381">
        <v>6138336.7999999998</v>
      </c>
      <c r="Q3381">
        <v>6231416.9800000004</v>
      </c>
      <c r="R3381" s="14">
        <f>_xlfn.XLOOKUP(Table2[[#This Row],[LoanID]],Table1[G-L ID],Table1[ManagerCode],-99)</f>
        <v>119</v>
      </c>
      <c r="T3381"/>
    </row>
    <row r="3382" spans="1:20" x14ac:dyDescent="0.25">
      <c r="A3382">
        <v>20150228</v>
      </c>
      <c r="B3382">
        <v>2015</v>
      </c>
      <c r="C3382">
        <v>2</v>
      </c>
      <c r="D3382">
        <v>1</v>
      </c>
      <c r="E3382">
        <v>11010</v>
      </c>
      <c r="F3382">
        <v>155312.45000000001</v>
      </c>
      <c r="G3382">
        <v>0</v>
      </c>
      <c r="H3382">
        <v>265000</v>
      </c>
      <c r="I3382">
        <v>0</v>
      </c>
      <c r="J3382">
        <v>-26500000</v>
      </c>
      <c r="K3382">
        <v>0</v>
      </c>
      <c r="L3382">
        <v>0</v>
      </c>
      <c r="M3382">
        <v>26500000</v>
      </c>
      <c r="N3382">
        <v>0</v>
      </c>
      <c r="O3382">
        <v>26500000</v>
      </c>
      <c r="P3382">
        <v>0</v>
      </c>
      <c r="Q3382">
        <v>26500000</v>
      </c>
      <c r="R3382" s="14">
        <f>_xlfn.XLOOKUP(Table2[[#This Row],[LoanID]],Table1[G-L ID],Table1[ManagerCode],-99)</f>
        <v>119</v>
      </c>
      <c r="T3382"/>
    </row>
    <row r="3383" spans="1:20" x14ac:dyDescent="0.25">
      <c r="A3383">
        <v>20150228</v>
      </c>
      <c r="B3383">
        <v>2015</v>
      </c>
      <c r="C3383">
        <v>2</v>
      </c>
      <c r="D3383">
        <v>1</v>
      </c>
      <c r="E3383">
        <v>11030</v>
      </c>
      <c r="F3383">
        <v>65234.33</v>
      </c>
      <c r="G3383">
        <v>0</v>
      </c>
      <c r="H3383">
        <v>0</v>
      </c>
      <c r="I3383">
        <v>0</v>
      </c>
      <c r="J3383">
        <v>0</v>
      </c>
      <c r="K3383">
        <v>0</v>
      </c>
      <c r="L3383">
        <v>8000000</v>
      </c>
      <c r="M3383">
        <v>8000000</v>
      </c>
      <c r="N3383">
        <v>8000000</v>
      </c>
      <c r="O3383">
        <v>8000000</v>
      </c>
      <c r="P3383">
        <v>8000000</v>
      </c>
      <c r="Q3383">
        <v>8000000</v>
      </c>
      <c r="R3383" s="14">
        <f>_xlfn.XLOOKUP(Table2[[#This Row],[LoanID]],Table1[G-L ID],Table1[ManagerCode],-99)</f>
        <v>119</v>
      </c>
      <c r="T3383"/>
    </row>
    <row r="3384" spans="1:20" x14ac:dyDescent="0.25">
      <c r="A3384">
        <v>20150228</v>
      </c>
      <c r="B3384">
        <v>2015</v>
      </c>
      <c r="C3384">
        <v>2</v>
      </c>
      <c r="D3384">
        <v>1</v>
      </c>
      <c r="E3384">
        <v>11040</v>
      </c>
      <c r="F3384">
        <v>523857</v>
      </c>
      <c r="G3384">
        <v>0</v>
      </c>
      <c r="H3384">
        <v>0</v>
      </c>
      <c r="I3384">
        <v>0</v>
      </c>
      <c r="J3384">
        <v>0</v>
      </c>
      <c r="K3384">
        <v>0</v>
      </c>
      <c r="L3384">
        <v>50000000</v>
      </c>
      <c r="M3384">
        <v>50000000</v>
      </c>
      <c r="N3384">
        <v>50000000</v>
      </c>
      <c r="O3384">
        <v>50000000</v>
      </c>
      <c r="P3384">
        <v>50000000</v>
      </c>
      <c r="Q3384">
        <v>50000000</v>
      </c>
      <c r="R3384" s="14">
        <f>_xlfn.XLOOKUP(Table2[[#This Row],[LoanID]],Table1[G-L ID],Table1[ManagerCode],-99)</f>
        <v>220</v>
      </c>
      <c r="T3384"/>
    </row>
    <row r="3385" spans="1:20" x14ac:dyDescent="0.25">
      <c r="A3385">
        <v>20150228</v>
      </c>
      <c r="B3385">
        <v>2015</v>
      </c>
      <c r="C3385">
        <v>2</v>
      </c>
      <c r="D3385">
        <v>1</v>
      </c>
      <c r="E3385">
        <v>11050</v>
      </c>
      <c r="F3385">
        <v>300635</v>
      </c>
      <c r="G3385">
        <v>0</v>
      </c>
      <c r="H3385">
        <v>0</v>
      </c>
      <c r="I3385">
        <v>0</v>
      </c>
      <c r="J3385">
        <v>0</v>
      </c>
      <c r="K3385">
        <v>0</v>
      </c>
      <c r="L3385">
        <v>29300000</v>
      </c>
      <c r="M3385">
        <v>29300000</v>
      </c>
      <c r="N3385">
        <v>29300000</v>
      </c>
      <c r="O3385">
        <v>29300000</v>
      </c>
      <c r="P3385">
        <v>28500000</v>
      </c>
      <c r="Q3385">
        <v>28500000</v>
      </c>
      <c r="R3385" s="14">
        <f>_xlfn.XLOOKUP(Table2[[#This Row],[LoanID]],Table1[G-L ID],Table1[ManagerCode],-99)</f>
        <v>220</v>
      </c>
      <c r="T3385"/>
    </row>
    <row r="3386" spans="1:20" x14ac:dyDescent="0.25">
      <c r="A3386">
        <v>20150228</v>
      </c>
      <c r="B3386">
        <v>2015</v>
      </c>
      <c r="C3386">
        <v>2</v>
      </c>
      <c r="D3386">
        <v>1</v>
      </c>
      <c r="E3386">
        <v>11070</v>
      </c>
      <c r="F3386">
        <v>143708.43</v>
      </c>
      <c r="G3386">
        <v>0</v>
      </c>
      <c r="H3386">
        <v>0</v>
      </c>
      <c r="I3386">
        <v>0</v>
      </c>
      <c r="J3386">
        <v>0</v>
      </c>
      <c r="K3386">
        <v>4101.6000000000004</v>
      </c>
      <c r="L3386">
        <v>13796176.1</v>
      </c>
      <c r="M3386">
        <v>13792894.82</v>
      </c>
      <c r="N3386">
        <v>13796176.1</v>
      </c>
      <c r="O3386">
        <v>13792894.82</v>
      </c>
      <c r="P3386">
        <v>17245220.129999999</v>
      </c>
      <c r="Q3386">
        <v>17241118.530000001</v>
      </c>
      <c r="R3386" s="14">
        <f>_xlfn.XLOOKUP(Table2[[#This Row],[LoanID]],Table1[G-L ID],Table1[ManagerCode],-99)</f>
        <v>103</v>
      </c>
      <c r="T3386"/>
    </row>
    <row r="3387" spans="1:20" x14ac:dyDescent="0.25">
      <c r="A3387">
        <v>20150228</v>
      </c>
      <c r="B3387">
        <v>2015</v>
      </c>
      <c r="C3387">
        <v>2</v>
      </c>
      <c r="D3387">
        <v>1</v>
      </c>
      <c r="E3387">
        <v>11100</v>
      </c>
      <c r="F3387">
        <v>132447.49</v>
      </c>
      <c r="G3387">
        <v>0</v>
      </c>
      <c r="H3387">
        <v>0</v>
      </c>
      <c r="I3387">
        <v>0</v>
      </c>
      <c r="J3387">
        <v>-2550673.38</v>
      </c>
      <c r="K3387">
        <v>0</v>
      </c>
      <c r="L3387">
        <v>37963312.490000002</v>
      </c>
      <c r="M3387">
        <v>40508521.75</v>
      </c>
      <c r="N3387">
        <v>37963312.490000002</v>
      </c>
      <c r="O3387">
        <v>40508521.75</v>
      </c>
      <c r="P3387">
        <v>38400295.460000001</v>
      </c>
      <c r="Q3387">
        <v>40950968.840000004</v>
      </c>
      <c r="R3387" s="14">
        <f>_xlfn.XLOOKUP(Table2[[#This Row],[LoanID]],Table1[G-L ID],Table1[ManagerCode],-99)</f>
        <v>103</v>
      </c>
      <c r="T3387"/>
    </row>
    <row r="3388" spans="1:20" x14ac:dyDescent="0.25">
      <c r="A3388">
        <v>20150228</v>
      </c>
      <c r="B3388">
        <v>2015</v>
      </c>
      <c r="C3388">
        <v>2</v>
      </c>
      <c r="D3388">
        <v>1</v>
      </c>
      <c r="E3388">
        <v>11130</v>
      </c>
      <c r="F3388">
        <v>849541</v>
      </c>
      <c r="G3388">
        <v>0</v>
      </c>
      <c r="H3388">
        <v>0</v>
      </c>
      <c r="I3388">
        <v>0</v>
      </c>
      <c r="J3388">
        <v>0</v>
      </c>
      <c r="K3388">
        <v>0</v>
      </c>
      <c r="L3388">
        <v>168150000</v>
      </c>
      <c r="M3388">
        <v>168150000</v>
      </c>
      <c r="N3388">
        <v>168150000</v>
      </c>
      <c r="O3388">
        <v>168150000</v>
      </c>
      <c r="P3388">
        <v>177000000</v>
      </c>
      <c r="Q3388">
        <v>177000000</v>
      </c>
      <c r="R3388" s="14">
        <f>_xlfn.XLOOKUP(Table2[[#This Row],[LoanID]],Table1[G-L ID],Table1[ManagerCode],-99)</f>
        <v>103</v>
      </c>
      <c r="T3388"/>
    </row>
    <row r="3389" spans="1:20" x14ac:dyDescent="0.25">
      <c r="A3389">
        <v>20150228</v>
      </c>
      <c r="B3389">
        <v>2015</v>
      </c>
      <c r="C3389">
        <v>2</v>
      </c>
      <c r="D3389">
        <v>1</v>
      </c>
      <c r="E3389">
        <v>11170</v>
      </c>
      <c r="F3389">
        <v>703290.97</v>
      </c>
      <c r="G3389">
        <v>0</v>
      </c>
      <c r="H3389">
        <v>0</v>
      </c>
      <c r="I3389">
        <v>0</v>
      </c>
      <c r="J3389">
        <v>0</v>
      </c>
      <c r="K3389">
        <v>0</v>
      </c>
      <c r="L3389">
        <v>173249826.80000001</v>
      </c>
      <c r="M3389">
        <v>173249826.80000001</v>
      </c>
      <c r="N3389">
        <v>173249826.80000001</v>
      </c>
      <c r="O3389">
        <v>173249826.80000001</v>
      </c>
      <c r="P3389">
        <v>175000000</v>
      </c>
      <c r="Q3389">
        <v>175000000</v>
      </c>
      <c r="R3389" s="14">
        <f>_xlfn.XLOOKUP(Table2[[#This Row],[LoanID]],Table1[G-L ID],Table1[ManagerCode],-99)</f>
        <v>103</v>
      </c>
      <c r="T3389"/>
    </row>
    <row r="3390" spans="1:20" x14ac:dyDescent="0.25">
      <c r="A3390">
        <v>20150228</v>
      </c>
      <c r="B3390">
        <v>2015</v>
      </c>
      <c r="C3390">
        <v>2</v>
      </c>
      <c r="D3390">
        <v>1</v>
      </c>
      <c r="E3390">
        <v>11250</v>
      </c>
      <c r="F3390">
        <v>30112.42</v>
      </c>
      <c r="G3390">
        <v>52514.75</v>
      </c>
      <c r="H3390">
        <v>0</v>
      </c>
      <c r="I3390">
        <v>0</v>
      </c>
      <c r="J3390">
        <v>-30112.42</v>
      </c>
      <c r="K3390">
        <v>0</v>
      </c>
      <c r="L3390">
        <v>6994438.0599999996</v>
      </c>
      <c r="M3390">
        <v>7077065.2300000004</v>
      </c>
      <c r="N3390">
        <v>6994438.0599999996</v>
      </c>
      <c r="O3390">
        <v>7077065.2300000004</v>
      </c>
      <c r="P3390">
        <v>6994438.0599999996</v>
      </c>
      <c r="Q3390">
        <v>7077065.2300000004</v>
      </c>
      <c r="R3390" s="14">
        <f>_xlfn.XLOOKUP(Table2[[#This Row],[LoanID]],Table1[G-L ID],Table1[ManagerCode],-99)</f>
        <v>183</v>
      </c>
      <c r="T3390"/>
    </row>
    <row r="3391" spans="1:20" x14ac:dyDescent="0.25">
      <c r="A3391">
        <v>20150228</v>
      </c>
      <c r="B3391">
        <v>2015</v>
      </c>
      <c r="C3391">
        <v>2</v>
      </c>
      <c r="D3391">
        <v>1</v>
      </c>
      <c r="E3391">
        <v>11320</v>
      </c>
      <c r="F3391">
        <v>96810.28</v>
      </c>
      <c r="G3391">
        <v>0</v>
      </c>
      <c r="H3391">
        <v>0</v>
      </c>
      <c r="I3391">
        <v>0</v>
      </c>
      <c r="J3391">
        <v>0</v>
      </c>
      <c r="K3391">
        <v>18000</v>
      </c>
      <c r="L3391">
        <v>11874000</v>
      </c>
      <c r="M3391">
        <v>11856000</v>
      </c>
      <c r="N3391">
        <v>11874000</v>
      </c>
      <c r="O3391">
        <v>11856000</v>
      </c>
      <c r="P3391">
        <v>11874000</v>
      </c>
      <c r="Q3391">
        <v>11856000</v>
      </c>
      <c r="R3391" s="14">
        <f>_xlfn.XLOOKUP(Table2[[#This Row],[LoanID]],Table1[G-L ID],Table1[ManagerCode],-99)</f>
        <v>119</v>
      </c>
      <c r="T3391"/>
    </row>
    <row r="3392" spans="1:20" x14ac:dyDescent="0.25">
      <c r="A3392">
        <v>20150228</v>
      </c>
      <c r="B3392">
        <v>2015</v>
      </c>
      <c r="C3392">
        <v>2</v>
      </c>
      <c r="D3392">
        <v>1</v>
      </c>
      <c r="E3392">
        <v>11340</v>
      </c>
      <c r="F3392">
        <v>301388.89</v>
      </c>
      <c r="G3392">
        <v>0</v>
      </c>
      <c r="H3392">
        <v>0</v>
      </c>
      <c r="I3392">
        <v>-250</v>
      </c>
      <c r="J3392">
        <v>0</v>
      </c>
      <c r="K3392">
        <v>0</v>
      </c>
      <c r="L3392">
        <v>49500000</v>
      </c>
      <c r="M3392">
        <v>49500000</v>
      </c>
      <c r="N3392">
        <v>49500000</v>
      </c>
      <c r="O3392">
        <v>49500000</v>
      </c>
      <c r="P3392">
        <v>50000000</v>
      </c>
      <c r="Q3392">
        <v>50000000</v>
      </c>
      <c r="R3392" s="14">
        <f>_xlfn.XLOOKUP(Table2[[#This Row],[LoanID]],Table1[G-L ID],Table1[ManagerCode],-99)</f>
        <v>103</v>
      </c>
      <c r="T3392"/>
    </row>
    <row r="3393" spans="1:20" x14ac:dyDescent="0.25">
      <c r="A3393">
        <v>20150228</v>
      </c>
      <c r="B3393">
        <v>2015</v>
      </c>
      <c r="C3393">
        <v>2</v>
      </c>
      <c r="D3393">
        <v>1</v>
      </c>
      <c r="E3393">
        <v>11350</v>
      </c>
      <c r="F3393">
        <v>331527.78000000003</v>
      </c>
      <c r="G3393">
        <v>0</v>
      </c>
      <c r="H3393">
        <v>0</v>
      </c>
      <c r="I3393">
        <v>-250</v>
      </c>
      <c r="J3393">
        <v>0</v>
      </c>
      <c r="K3393">
        <v>0</v>
      </c>
      <c r="L3393">
        <v>54449945.549999997</v>
      </c>
      <c r="M3393">
        <v>54449945.549999997</v>
      </c>
      <c r="N3393">
        <v>54449945.549999997</v>
      </c>
      <c r="O3393">
        <v>54449945.549999997</v>
      </c>
      <c r="P3393">
        <v>55000000</v>
      </c>
      <c r="Q3393">
        <v>55000000</v>
      </c>
      <c r="R3393" s="14">
        <f>_xlfn.XLOOKUP(Table2[[#This Row],[LoanID]],Table1[G-L ID],Table1[ManagerCode],-99)</f>
        <v>103</v>
      </c>
      <c r="T3393"/>
    </row>
    <row r="3394" spans="1:20" x14ac:dyDescent="0.25">
      <c r="A3394">
        <v>20150228</v>
      </c>
      <c r="B3394">
        <v>2015</v>
      </c>
      <c r="C3394">
        <v>2</v>
      </c>
      <c r="D3394">
        <v>1</v>
      </c>
      <c r="E3394">
        <v>11370</v>
      </c>
      <c r="F3394">
        <v>51763.11</v>
      </c>
      <c r="G3394">
        <v>0</v>
      </c>
      <c r="H3394">
        <v>0</v>
      </c>
      <c r="I3394">
        <v>0</v>
      </c>
      <c r="J3394">
        <v>0</v>
      </c>
      <c r="K3394">
        <v>0</v>
      </c>
      <c r="L3394">
        <v>5525000</v>
      </c>
      <c r="M3394">
        <v>5525000</v>
      </c>
      <c r="N3394">
        <v>5525000</v>
      </c>
      <c r="O3394">
        <v>5525000</v>
      </c>
      <c r="P3394">
        <v>5525000</v>
      </c>
      <c r="Q3394">
        <v>5525000</v>
      </c>
      <c r="R3394" s="14">
        <f>_xlfn.XLOOKUP(Table2[[#This Row],[LoanID]],Table1[G-L ID],Table1[ManagerCode],-99)</f>
        <v>119</v>
      </c>
      <c r="T3394"/>
    </row>
    <row r="3395" spans="1:20" x14ac:dyDescent="0.25">
      <c r="A3395">
        <v>20150228</v>
      </c>
      <c r="B3395">
        <v>2015</v>
      </c>
      <c r="C3395">
        <v>2</v>
      </c>
      <c r="D3395">
        <v>1</v>
      </c>
      <c r="E3395">
        <v>11390</v>
      </c>
      <c r="F3395">
        <v>207743.06</v>
      </c>
      <c r="G3395">
        <v>0</v>
      </c>
      <c r="H3395">
        <v>0</v>
      </c>
      <c r="I3395">
        <v>0</v>
      </c>
      <c r="J3395">
        <v>0</v>
      </c>
      <c r="K3395">
        <v>0</v>
      </c>
      <c r="L3395">
        <v>25000000</v>
      </c>
      <c r="M3395">
        <v>25000000</v>
      </c>
      <c r="N3395">
        <v>25000000</v>
      </c>
      <c r="O3395">
        <v>25000000</v>
      </c>
      <c r="P3395">
        <v>25000000</v>
      </c>
      <c r="Q3395">
        <v>25000000</v>
      </c>
      <c r="R3395" s="14">
        <f>_xlfn.XLOOKUP(Table2[[#This Row],[LoanID]],Table1[G-L ID],Table1[ManagerCode],-99)</f>
        <v>220</v>
      </c>
      <c r="T3395"/>
    </row>
    <row r="3396" spans="1:20" x14ac:dyDescent="0.25">
      <c r="A3396">
        <v>20150228</v>
      </c>
      <c r="B3396">
        <v>2015</v>
      </c>
      <c r="C3396">
        <v>2</v>
      </c>
      <c r="D3396">
        <v>1</v>
      </c>
      <c r="E3396">
        <v>11480</v>
      </c>
      <c r="F3396">
        <v>356663.61</v>
      </c>
      <c r="G3396">
        <v>0</v>
      </c>
      <c r="H3396">
        <v>0</v>
      </c>
      <c r="I3396">
        <v>0</v>
      </c>
      <c r="J3396">
        <v>0</v>
      </c>
      <c r="K3396">
        <v>0</v>
      </c>
      <c r="L3396">
        <v>66500000</v>
      </c>
      <c r="M3396">
        <v>66500000</v>
      </c>
      <c r="N3396">
        <v>66500000</v>
      </c>
      <c r="O3396">
        <v>66500000</v>
      </c>
      <c r="P3396">
        <v>70000000</v>
      </c>
      <c r="Q3396">
        <v>70000000</v>
      </c>
      <c r="R3396" s="14">
        <f>_xlfn.XLOOKUP(Table2[[#This Row],[LoanID]],Table1[G-L ID],Table1[ManagerCode],-99)</f>
        <v>103</v>
      </c>
      <c r="T3396"/>
    </row>
    <row r="3397" spans="1:20" x14ac:dyDescent="0.25">
      <c r="A3397">
        <v>20150228</v>
      </c>
      <c r="B3397">
        <v>2015</v>
      </c>
      <c r="C3397">
        <v>2</v>
      </c>
      <c r="D3397">
        <v>1</v>
      </c>
      <c r="E3397">
        <v>11490</v>
      </c>
      <c r="F3397">
        <v>339437.08</v>
      </c>
      <c r="G3397">
        <v>0</v>
      </c>
      <c r="H3397">
        <v>0</v>
      </c>
      <c r="I3397">
        <v>0</v>
      </c>
      <c r="J3397">
        <v>0</v>
      </c>
      <c r="K3397">
        <v>0</v>
      </c>
      <c r="L3397">
        <v>49500000</v>
      </c>
      <c r="M3397">
        <v>49500000</v>
      </c>
      <c r="N3397">
        <v>49500000</v>
      </c>
      <c r="O3397">
        <v>49500000</v>
      </c>
      <c r="P3397">
        <v>55000000</v>
      </c>
      <c r="Q3397">
        <v>55000000</v>
      </c>
      <c r="R3397" s="14">
        <f>_xlfn.XLOOKUP(Table2[[#This Row],[LoanID]],Table1[G-L ID],Table1[ManagerCode],-99)</f>
        <v>103</v>
      </c>
      <c r="T3397"/>
    </row>
    <row r="3398" spans="1:20" x14ac:dyDescent="0.25">
      <c r="A3398">
        <v>20150228</v>
      </c>
      <c r="B3398">
        <v>2015</v>
      </c>
      <c r="C3398">
        <v>2</v>
      </c>
      <c r="D3398">
        <v>1</v>
      </c>
      <c r="E3398">
        <v>11540</v>
      </c>
      <c r="F3398">
        <v>78938</v>
      </c>
      <c r="G3398">
        <v>0</v>
      </c>
      <c r="H3398">
        <v>0</v>
      </c>
      <c r="I3398">
        <v>0</v>
      </c>
      <c r="J3398">
        <v>0</v>
      </c>
      <c r="K3398">
        <v>0</v>
      </c>
      <c r="L3398">
        <v>10000000</v>
      </c>
      <c r="M3398">
        <v>10000000</v>
      </c>
      <c r="N3398">
        <v>10000000</v>
      </c>
      <c r="O3398">
        <v>10000000</v>
      </c>
      <c r="P3398">
        <v>10000000</v>
      </c>
      <c r="Q3398">
        <v>10000000</v>
      </c>
      <c r="R3398" s="14">
        <f>_xlfn.XLOOKUP(Table2[[#This Row],[LoanID]],Table1[G-L ID],Table1[ManagerCode],-99)</f>
        <v>220</v>
      </c>
      <c r="T3398"/>
    </row>
    <row r="3399" spans="1:20" x14ac:dyDescent="0.25">
      <c r="A3399">
        <v>20150228</v>
      </c>
      <c r="B3399">
        <v>2015</v>
      </c>
      <c r="C3399">
        <v>2</v>
      </c>
      <c r="D3399">
        <v>1</v>
      </c>
      <c r="E3399">
        <v>11550</v>
      </c>
      <c r="F3399">
        <v>127092.25</v>
      </c>
      <c r="G3399">
        <v>0</v>
      </c>
      <c r="H3399">
        <v>0</v>
      </c>
      <c r="I3399">
        <v>-0.02</v>
      </c>
      <c r="J3399">
        <v>0</v>
      </c>
      <c r="K3399">
        <v>0</v>
      </c>
      <c r="L3399">
        <v>22770000</v>
      </c>
      <c r="M3399">
        <v>22770000</v>
      </c>
      <c r="N3399">
        <v>22770000</v>
      </c>
      <c r="O3399">
        <v>22770000</v>
      </c>
      <c r="P3399">
        <v>23000000</v>
      </c>
      <c r="Q3399">
        <v>23000000</v>
      </c>
      <c r="R3399" s="14">
        <f>_xlfn.XLOOKUP(Table2[[#This Row],[LoanID]],Table1[G-L ID],Table1[ManagerCode],-99)</f>
        <v>103</v>
      </c>
      <c r="T3399"/>
    </row>
    <row r="3400" spans="1:20" x14ac:dyDescent="0.25">
      <c r="A3400">
        <v>20150228</v>
      </c>
      <c r="B3400">
        <v>2015</v>
      </c>
      <c r="C3400">
        <v>2</v>
      </c>
      <c r="D3400">
        <v>1</v>
      </c>
      <c r="E3400">
        <v>11560</v>
      </c>
      <c r="F3400">
        <v>0</v>
      </c>
      <c r="G3400">
        <v>-32941.33</v>
      </c>
      <c r="H3400">
        <v>0</v>
      </c>
      <c r="I3400">
        <v>0</v>
      </c>
      <c r="J3400">
        <v>0</v>
      </c>
      <c r="K3400">
        <v>0</v>
      </c>
      <c r="L3400">
        <v>14760770.51</v>
      </c>
      <c r="M3400">
        <v>14727829.18</v>
      </c>
      <c r="N3400">
        <v>14760770.51</v>
      </c>
      <c r="O3400">
        <v>14727829.18</v>
      </c>
      <c r="P3400">
        <v>14760770.51</v>
      </c>
      <c r="Q3400">
        <v>14727829.18</v>
      </c>
      <c r="R3400" s="14">
        <f>_xlfn.XLOOKUP(Table2[[#This Row],[LoanID]],Table1[G-L ID],Table1[ManagerCode],-99)</f>
        <v>183</v>
      </c>
      <c r="T3400"/>
    </row>
    <row r="3401" spans="1:20" x14ac:dyDescent="0.25">
      <c r="A3401">
        <v>20150228</v>
      </c>
      <c r="B3401">
        <v>2015</v>
      </c>
      <c r="C3401">
        <v>2</v>
      </c>
      <c r="D3401">
        <v>1</v>
      </c>
      <c r="E3401">
        <v>11580</v>
      </c>
      <c r="F3401">
        <v>115339.38</v>
      </c>
      <c r="G3401">
        <v>0</v>
      </c>
      <c r="H3401">
        <v>0</v>
      </c>
      <c r="I3401">
        <v>0</v>
      </c>
      <c r="J3401">
        <v>0</v>
      </c>
      <c r="K3401">
        <v>0</v>
      </c>
      <c r="L3401">
        <v>15000000</v>
      </c>
      <c r="M3401">
        <v>15000000</v>
      </c>
      <c r="N3401">
        <v>15000000</v>
      </c>
      <c r="O3401">
        <v>15000000</v>
      </c>
      <c r="P3401">
        <v>15000000</v>
      </c>
      <c r="Q3401">
        <v>15000000</v>
      </c>
      <c r="R3401" s="14">
        <f>_xlfn.XLOOKUP(Table2[[#This Row],[LoanID]],Table1[G-L ID],Table1[ManagerCode],-99)</f>
        <v>119</v>
      </c>
      <c r="T3401"/>
    </row>
    <row r="3402" spans="1:20" x14ac:dyDescent="0.25">
      <c r="A3402">
        <v>20150228</v>
      </c>
      <c r="B3402">
        <v>2015</v>
      </c>
      <c r="C3402">
        <v>2</v>
      </c>
      <c r="D3402">
        <v>1</v>
      </c>
      <c r="E3402">
        <v>11590</v>
      </c>
      <c r="F3402">
        <v>4530.16</v>
      </c>
      <c r="G3402">
        <v>0</v>
      </c>
      <c r="H3402">
        <v>0</v>
      </c>
      <c r="I3402">
        <v>0</v>
      </c>
      <c r="J3402">
        <v>-3507224.44</v>
      </c>
      <c r="K3402">
        <v>0</v>
      </c>
      <c r="L3402">
        <v>0</v>
      </c>
      <c r="M3402">
        <v>3507224.44</v>
      </c>
      <c r="N3402">
        <v>0</v>
      </c>
      <c r="O3402">
        <v>3507224.44</v>
      </c>
      <c r="P3402">
        <v>0</v>
      </c>
      <c r="Q3402">
        <v>3507224.44</v>
      </c>
      <c r="R3402" s="14">
        <f>_xlfn.XLOOKUP(Table2[[#This Row],[LoanID]],Table1[G-L ID],Table1[ManagerCode],-99)</f>
        <v>119</v>
      </c>
      <c r="T3402"/>
    </row>
    <row r="3403" spans="1:20" x14ac:dyDescent="0.25">
      <c r="A3403">
        <v>20150228</v>
      </c>
      <c r="B3403">
        <v>2015</v>
      </c>
      <c r="C3403">
        <v>2</v>
      </c>
      <c r="D3403">
        <v>1</v>
      </c>
      <c r="E3403">
        <v>11650</v>
      </c>
      <c r="F3403">
        <v>75000</v>
      </c>
      <c r="G3403">
        <v>0</v>
      </c>
      <c r="H3403">
        <v>0</v>
      </c>
      <c r="I3403">
        <v>0</v>
      </c>
      <c r="J3403">
        <v>0</v>
      </c>
      <c r="K3403">
        <v>0</v>
      </c>
      <c r="L3403">
        <v>9600000</v>
      </c>
      <c r="M3403">
        <v>9600000</v>
      </c>
      <c r="N3403">
        <v>9600000</v>
      </c>
      <c r="O3403">
        <v>9600000</v>
      </c>
      <c r="P3403">
        <v>12000000</v>
      </c>
      <c r="Q3403">
        <v>12000000</v>
      </c>
      <c r="R3403" s="14">
        <f>_xlfn.XLOOKUP(Table2[[#This Row],[LoanID]],Table1[G-L ID],Table1[ManagerCode],-99)</f>
        <v>103</v>
      </c>
      <c r="T3403"/>
    </row>
    <row r="3404" spans="1:20" x14ac:dyDescent="0.25">
      <c r="A3404">
        <v>20150228</v>
      </c>
      <c r="B3404">
        <v>2015</v>
      </c>
      <c r="C3404">
        <v>2</v>
      </c>
      <c r="D3404">
        <v>1</v>
      </c>
      <c r="E3404">
        <v>11660</v>
      </c>
      <c r="F3404">
        <v>0</v>
      </c>
      <c r="G3404">
        <v>0</v>
      </c>
      <c r="H3404">
        <v>0</v>
      </c>
      <c r="I3404">
        <v>0</v>
      </c>
      <c r="J3404">
        <v>0</v>
      </c>
      <c r="K3404">
        <v>0</v>
      </c>
      <c r="L3404">
        <v>27647178</v>
      </c>
      <c r="M3404">
        <v>27647178</v>
      </c>
      <c r="N3404">
        <v>27647178</v>
      </c>
      <c r="O3404">
        <v>27647178</v>
      </c>
      <c r="P3404">
        <v>27647178</v>
      </c>
      <c r="Q3404">
        <v>27647178</v>
      </c>
      <c r="R3404" s="14">
        <f>_xlfn.XLOOKUP(Table2[[#This Row],[LoanID]],Table1[G-L ID],Table1[ManagerCode],-99)</f>
        <v>183</v>
      </c>
      <c r="T3404"/>
    </row>
    <row r="3405" spans="1:20" x14ac:dyDescent="0.25">
      <c r="A3405">
        <v>20150228</v>
      </c>
      <c r="B3405">
        <v>2015</v>
      </c>
      <c r="C3405">
        <v>2</v>
      </c>
      <c r="D3405">
        <v>1</v>
      </c>
      <c r="E3405">
        <v>11680</v>
      </c>
      <c r="F3405">
        <v>57126.559999999998</v>
      </c>
      <c r="G3405">
        <v>0</v>
      </c>
      <c r="H3405">
        <v>0</v>
      </c>
      <c r="I3405">
        <v>0</v>
      </c>
      <c r="J3405">
        <v>0</v>
      </c>
      <c r="K3405">
        <v>0</v>
      </c>
      <c r="L3405">
        <v>6600000</v>
      </c>
      <c r="M3405">
        <v>6600000</v>
      </c>
      <c r="N3405">
        <v>6600000</v>
      </c>
      <c r="O3405">
        <v>6600000</v>
      </c>
      <c r="P3405">
        <v>6600000</v>
      </c>
      <c r="Q3405">
        <v>6600000</v>
      </c>
      <c r="R3405" s="14">
        <f>_xlfn.XLOOKUP(Table2[[#This Row],[LoanID]],Table1[G-L ID],Table1[ManagerCode],-99)</f>
        <v>183</v>
      </c>
      <c r="T3405"/>
    </row>
    <row r="3406" spans="1:20" x14ac:dyDescent="0.25">
      <c r="A3406">
        <v>20150228</v>
      </c>
      <c r="B3406">
        <v>2015</v>
      </c>
      <c r="C3406">
        <v>2</v>
      </c>
      <c r="D3406">
        <v>1</v>
      </c>
      <c r="E3406">
        <v>11710</v>
      </c>
      <c r="F3406">
        <v>126835.21</v>
      </c>
      <c r="G3406">
        <v>0</v>
      </c>
      <c r="H3406">
        <v>0</v>
      </c>
      <c r="I3406">
        <v>0</v>
      </c>
      <c r="J3406">
        <v>0</v>
      </c>
      <c r="K3406">
        <v>0</v>
      </c>
      <c r="L3406">
        <v>15000000</v>
      </c>
      <c r="M3406">
        <v>15000000</v>
      </c>
      <c r="N3406">
        <v>15000000</v>
      </c>
      <c r="O3406">
        <v>15000000</v>
      </c>
      <c r="P3406">
        <v>15000000</v>
      </c>
      <c r="Q3406">
        <v>15000000</v>
      </c>
      <c r="R3406" s="14">
        <f>_xlfn.XLOOKUP(Table2[[#This Row],[LoanID]],Table1[G-L ID],Table1[ManagerCode],-99)</f>
        <v>119</v>
      </c>
      <c r="T3406"/>
    </row>
    <row r="3407" spans="1:20" x14ac:dyDescent="0.25">
      <c r="A3407">
        <v>20150228</v>
      </c>
      <c r="B3407">
        <v>2015</v>
      </c>
      <c r="C3407">
        <v>2</v>
      </c>
      <c r="D3407">
        <v>1</v>
      </c>
      <c r="E3407">
        <v>11720</v>
      </c>
      <c r="F3407">
        <v>129166.67</v>
      </c>
      <c r="G3407">
        <v>0</v>
      </c>
      <c r="H3407">
        <v>0</v>
      </c>
      <c r="I3407">
        <v>0</v>
      </c>
      <c r="J3407">
        <v>0</v>
      </c>
      <c r="K3407">
        <v>0</v>
      </c>
      <c r="L3407">
        <v>19800000</v>
      </c>
      <c r="M3407">
        <v>19800000</v>
      </c>
      <c r="N3407">
        <v>19800000</v>
      </c>
      <c r="O3407">
        <v>19800000</v>
      </c>
      <c r="P3407">
        <v>20000000</v>
      </c>
      <c r="Q3407">
        <v>20000000</v>
      </c>
      <c r="R3407" s="14">
        <f>_xlfn.XLOOKUP(Table2[[#This Row],[LoanID]],Table1[G-L ID],Table1[ManagerCode],-99)</f>
        <v>103</v>
      </c>
      <c r="T3407"/>
    </row>
    <row r="3408" spans="1:20" x14ac:dyDescent="0.25">
      <c r="A3408">
        <v>20150228</v>
      </c>
      <c r="B3408">
        <v>2015</v>
      </c>
      <c r="C3408">
        <v>2</v>
      </c>
      <c r="D3408">
        <v>1</v>
      </c>
      <c r="E3408">
        <v>11730</v>
      </c>
      <c r="F3408">
        <v>46909.95</v>
      </c>
      <c r="G3408">
        <v>0</v>
      </c>
      <c r="H3408">
        <v>0</v>
      </c>
      <c r="I3408">
        <v>0</v>
      </c>
      <c r="J3408">
        <v>0</v>
      </c>
      <c r="K3408">
        <v>0</v>
      </c>
      <c r="L3408">
        <v>4750000</v>
      </c>
      <c r="M3408">
        <v>4750000</v>
      </c>
      <c r="N3408">
        <v>4750000</v>
      </c>
      <c r="O3408">
        <v>4750000</v>
      </c>
      <c r="P3408">
        <v>4750000</v>
      </c>
      <c r="Q3408">
        <v>4750000</v>
      </c>
      <c r="R3408" s="14">
        <f>_xlfn.XLOOKUP(Table2[[#This Row],[LoanID]],Table1[G-L ID],Table1[ManagerCode],-99)</f>
        <v>119</v>
      </c>
      <c r="T3408"/>
    </row>
    <row r="3409" spans="1:20" x14ac:dyDescent="0.25">
      <c r="A3409">
        <v>20150228</v>
      </c>
      <c r="B3409">
        <v>2015</v>
      </c>
      <c r="C3409">
        <v>2</v>
      </c>
      <c r="D3409">
        <v>1</v>
      </c>
      <c r="E3409">
        <v>11740</v>
      </c>
      <c r="F3409">
        <v>191100</v>
      </c>
      <c r="G3409">
        <v>0</v>
      </c>
      <c r="H3409">
        <v>0</v>
      </c>
      <c r="I3409">
        <v>0</v>
      </c>
      <c r="J3409">
        <v>0</v>
      </c>
      <c r="K3409">
        <v>0</v>
      </c>
      <c r="L3409">
        <v>19110000</v>
      </c>
      <c r="M3409">
        <v>19110000</v>
      </c>
      <c r="N3409">
        <v>19110000</v>
      </c>
      <c r="O3409">
        <v>19110000</v>
      </c>
      <c r="P3409">
        <v>19110000</v>
      </c>
      <c r="Q3409">
        <v>19110000</v>
      </c>
      <c r="R3409" s="14">
        <f>_xlfn.XLOOKUP(Table2[[#This Row],[LoanID]],Table1[G-L ID],Table1[ManagerCode],-99)</f>
        <v>183</v>
      </c>
      <c r="T3409"/>
    </row>
    <row r="3410" spans="1:20" x14ac:dyDescent="0.25">
      <c r="A3410">
        <v>20150228</v>
      </c>
      <c r="B3410">
        <v>2015</v>
      </c>
      <c r="C3410">
        <v>2</v>
      </c>
      <c r="D3410">
        <v>1</v>
      </c>
      <c r="E3410">
        <v>11810</v>
      </c>
      <c r="F3410">
        <v>49447.33</v>
      </c>
      <c r="G3410">
        <v>0</v>
      </c>
      <c r="H3410">
        <v>0</v>
      </c>
      <c r="I3410">
        <v>0</v>
      </c>
      <c r="J3410">
        <v>0</v>
      </c>
      <c r="K3410">
        <v>11410.76</v>
      </c>
      <c r="L3410">
        <v>9567332.6999999993</v>
      </c>
      <c r="M3410">
        <v>9556036.0399999991</v>
      </c>
      <c r="N3410">
        <v>9567332.6999999993</v>
      </c>
      <c r="O3410">
        <v>9556036.0399999991</v>
      </c>
      <c r="P3410">
        <v>9663972.4100000001</v>
      </c>
      <c r="Q3410">
        <v>9652561.6500000004</v>
      </c>
      <c r="R3410" s="14">
        <f>_xlfn.XLOOKUP(Table2[[#This Row],[LoanID]],Table1[G-L ID],Table1[ManagerCode],-99)</f>
        <v>103</v>
      </c>
      <c r="T3410"/>
    </row>
    <row r="3411" spans="1:20" x14ac:dyDescent="0.25">
      <c r="A3411">
        <v>20150228</v>
      </c>
      <c r="B3411">
        <v>2015</v>
      </c>
      <c r="C3411">
        <v>2</v>
      </c>
      <c r="D3411">
        <v>1</v>
      </c>
      <c r="E3411">
        <v>11880</v>
      </c>
      <c r="F3411">
        <v>246799.33</v>
      </c>
      <c r="G3411">
        <v>130069.4</v>
      </c>
      <c r="H3411">
        <v>0</v>
      </c>
      <c r="I3411">
        <v>0</v>
      </c>
      <c r="J3411">
        <v>-1389187.8</v>
      </c>
      <c r="K3411">
        <v>0</v>
      </c>
      <c r="L3411">
        <v>53439613.780000001</v>
      </c>
      <c r="M3411">
        <v>54958870.979999997</v>
      </c>
      <c r="N3411">
        <v>53439613.780000001</v>
      </c>
      <c r="O3411">
        <v>54958870.979999997</v>
      </c>
      <c r="P3411">
        <v>53439613.780000001</v>
      </c>
      <c r="Q3411">
        <v>54958870.979999997</v>
      </c>
      <c r="R3411" s="14">
        <f>_xlfn.XLOOKUP(Table2[[#This Row],[LoanID]],Table1[G-L ID],Table1[ManagerCode],-99)</f>
        <v>183</v>
      </c>
      <c r="T3411"/>
    </row>
    <row r="3412" spans="1:20" x14ac:dyDescent="0.25">
      <c r="A3412">
        <v>20150228</v>
      </c>
      <c r="B3412">
        <v>2015</v>
      </c>
      <c r="C3412">
        <v>2</v>
      </c>
      <c r="D3412">
        <v>1</v>
      </c>
      <c r="E3412">
        <v>11970</v>
      </c>
      <c r="F3412">
        <v>85000</v>
      </c>
      <c r="G3412">
        <v>0</v>
      </c>
      <c r="H3412">
        <v>0</v>
      </c>
      <c r="I3412">
        <v>0</v>
      </c>
      <c r="J3412">
        <v>0</v>
      </c>
      <c r="K3412">
        <v>9106666.6699999999</v>
      </c>
      <c r="L3412">
        <v>10038087.59</v>
      </c>
      <c r="M3412">
        <v>0</v>
      </c>
      <c r="N3412">
        <v>10038087.59</v>
      </c>
      <c r="O3412">
        <v>0</v>
      </c>
      <c r="P3412">
        <v>10038087.59</v>
      </c>
      <c r="Q3412">
        <v>0</v>
      </c>
      <c r="R3412" s="14">
        <f>_xlfn.XLOOKUP(Table2[[#This Row],[LoanID]],Table1[G-L ID],Table1[ManagerCode],-99)</f>
        <v>183</v>
      </c>
      <c r="T3412"/>
    </row>
    <row r="3413" spans="1:20" x14ac:dyDescent="0.25">
      <c r="A3413">
        <v>20150228</v>
      </c>
      <c r="B3413">
        <v>2015</v>
      </c>
      <c r="C3413">
        <v>2</v>
      </c>
      <c r="D3413">
        <v>1</v>
      </c>
      <c r="E3413">
        <v>11990</v>
      </c>
      <c r="F3413">
        <v>100324</v>
      </c>
      <c r="G3413">
        <v>0</v>
      </c>
      <c r="H3413">
        <v>0</v>
      </c>
      <c r="I3413">
        <v>0</v>
      </c>
      <c r="J3413">
        <v>0</v>
      </c>
      <c r="K3413">
        <v>0</v>
      </c>
      <c r="L3413">
        <v>15000000</v>
      </c>
      <c r="M3413">
        <v>15000000</v>
      </c>
      <c r="N3413">
        <v>15000000</v>
      </c>
      <c r="O3413">
        <v>15000000</v>
      </c>
      <c r="P3413">
        <v>15000000</v>
      </c>
      <c r="Q3413">
        <v>15000000</v>
      </c>
      <c r="R3413" s="14">
        <f>_xlfn.XLOOKUP(Table2[[#This Row],[LoanID]],Table1[G-L ID],Table1[ManagerCode],-99)</f>
        <v>220</v>
      </c>
      <c r="T3413"/>
    </row>
    <row r="3414" spans="1:20" x14ac:dyDescent="0.25">
      <c r="A3414">
        <v>20150228</v>
      </c>
      <c r="B3414">
        <v>2015</v>
      </c>
      <c r="C3414">
        <v>2</v>
      </c>
      <c r="D3414">
        <v>1</v>
      </c>
      <c r="E3414">
        <v>12080</v>
      </c>
      <c r="F3414">
        <v>286974.2</v>
      </c>
      <c r="G3414">
        <v>0</v>
      </c>
      <c r="H3414">
        <v>0</v>
      </c>
      <c r="I3414">
        <v>0</v>
      </c>
      <c r="J3414">
        <v>0</v>
      </c>
      <c r="K3414">
        <v>0</v>
      </c>
      <c r="L3414">
        <v>35678405.18</v>
      </c>
      <c r="M3414">
        <v>35678405.18</v>
      </c>
      <c r="N3414">
        <v>35678405.18</v>
      </c>
      <c r="O3414">
        <v>35678405.18</v>
      </c>
      <c r="P3414">
        <v>35678405.18</v>
      </c>
      <c r="Q3414">
        <v>35678405.18</v>
      </c>
      <c r="R3414" s="14">
        <f>_xlfn.XLOOKUP(Table2[[#This Row],[LoanID]],Table1[G-L ID],Table1[ManagerCode],-99)</f>
        <v>119</v>
      </c>
      <c r="T3414"/>
    </row>
    <row r="3415" spans="1:20" x14ac:dyDescent="0.25">
      <c r="A3415">
        <v>20150228</v>
      </c>
      <c r="B3415">
        <v>2015</v>
      </c>
      <c r="C3415">
        <v>2</v>
      </c>
      <c r="D3415">
        <v>1</v>
      </c>
      <c r="E3415">
        <v>12160</v>
      </c>
      <c r="F3415">
        <v>58810.82</v>
      </c>
      <c r="G3415">
        <v>79593.08</v>
      </c>
      <c r="H3415">
        <v>0</v>
      </c>
      <c r="I3415">
        <v>0</v>
      </c>
      <c r="J3415">
        <v>-1533865.04</v>
      </c>
      <c r="K3415">
        <v>0</v>
      </c>
      <c r="L3415">
        <v>12908336.02</v>
      </c>
      <c r="M3415">
        <v>14521794.140000001</v>
      </c>
      <c r="N3415">
        <v>12908336.02</v>
      </c>
      <c r="O3415">
        <v>14521794.140000001</v>
      </c>
      <c r="P3415">
        <v>12908336.02</v>
      </c>
      <c r="Q3415">
        <v>14521794.140000001</v>
      </c>
      <c r="R3415" s="14">
        <f>_xlfn.XLOOKUP(Table2[[#This Row],[LoanID]],Table1[G-L ID],Table1[ManagerCode],-99)</f>
        <v>183</v>
      </c>
      <c r="T3415"/>
    </row>
    <row r="3416" spans="1:20" x14ac:dyDescent="0.25">
      <c r="A3416">
        <v>20150228</v>
      </c>
      <c r="B3416">
        <v>2015</v>
      </c>
      <c r="C3416">
        <v>2</v>
      </c>
      <c r="D3416">
        <v>1</v>
      </c>
      <c r="E3416">
        <v>12180</v>
      </c>
      <c r="F3416">
        <v>233576.39</v>
      </c>
      <c r="G3416">
        <v>0</v>
      </c>
      <c r="H3416">
        <v>0</v>
      </c>
      <c r="I3416">
        <v>0</v>
      </c>
      <c r="J3416">
        <v>0</v>
      </c>
      <c r="K3416">
        <v>0</v>
      </c>
      <c r="L3416">
        <v>35000000</v>
      </c>
      <c r="M3416">
        <v>35000000</v>
      </c>
      <c r="N3416">
        <v>35000000</v>
      </c>
      <c r="O3416">
        <v>35000000</v>
      </c>
      <c r="P3416">
        <v>35000000</v>
      </c>
      <c r="Q3416">
        <v>35000000</v>
      </c>
      <c r="R3416" s="14">
        <f>_xlfn.XLOOKUP(Table2[[#This Row],[LoanID]],Table1[G-L ID],Table1[ManagerCode],-99)</f>
        <v>220</v>
      </c>
      <c r="T3416"/>
    </row>
    <row r="3417" spans="1:20" x14ac:dyDescent="0.25">
      <c r="A3417">
        <v>20150228</v>
      </c>
      <c r="B3417">
        <v>2015</v>
      </c>
      <c r="C3417">
        <v>2</v>
      </c>
      <c r="D3417">
        <v>1</v>
      </c>
      <c r="E3417">
        <v>12190</v>
      </c>
      <c r="F3417">
        <v>283197.92</v>
      </c>
      <c r="G3417">
        <v>0</v>
      </c>
      <c r="H3417">
        <v>0</v>
      </c>
      <c r="I3417">
        <v>0</v>
      </c>
      <c r="J3417">
        <v>0</v>
      </c>
      <c r="K3417">
        <v>0</v>
      </c>
      <c r="L3417">
        <v>37500000</v>
      </c>
      <c r="M3417">
        <v>37500000</v>
      </c>
      <c r="N3417">
        <v>37500000</v>
      </c>
      <c r="O3417">
        <v>37500000</v>
      </c>
      <c r="P3417">
        <v>37500000</v>
      </c>
      <c r="Q3417">
        <v>37500000</v>
      </c>
      <c r="R3417" s="14">
        <f>_xlfn.XLOOKUP(Table2[[#This Row],[LoanID]],Table1[G-L ID],Table1[ManagerCode],-99)</f>
        <v>220</v>
      </c>
      <c r="T3417"/>
    </row>
    <row r="3418" spans="1:20" x14ac:dyDescent="0.25">
      <c r="A3418">
        <v>20150228</v>
      </c>
      <c r="B3418">
        <v>2015</v>
      </c>
      <c r="C3418">
        <v>2</v>
      </c>
      <c r="D3418">
        <v>1</v>
      </c>
      <c r="E3418">
        <v>12210</v>
      </c>
      <c r="F3418">
        <v>674598.78</v>
      </c>
      <c r="G3418">
        <v>0</v>
      </c>
      <c r="H3418">
        <v>0</v>
      </c>
      <c r="I3418">
        <v>0</v>
      </c>
      <c r="J3418">
        <v>0</v>
      </c>
      <c r="K3418">
        <v>223235.95</v>
      </c>
      <c r="L3418">
        <v>122937525.3</v>
      </c>
      <c r="M3418">
        <v>122577136.8</v>
      </c>
      <c r="N3418">
        <v>122937525.3</v>
      </c>
      <c r="O3418">
        <v>122577136.8</v>
      </c>
      <c r="P3418">
        <v>109151170</v>
      </c>
      <c r="Q3418">
        <v>108927934.09999999</v>
      </c>
      <c r="R3418" s="14">
        <f>_xlfn.XLOOKUP(Table2[[#This Row],[LoanID]],Table1[G-L ID],Table1[ManagerCode],-99)</f>
        <v>103</v>
      </c>
      <c r="T3418"/>
    </row>
    <row r="3419" spans="1:20" x14ac:dyDescent="0.25">
      <c r="A3419">
        <v>20150228</v>
      </c>
      <c r="B3419">
        <v>2015</v>
      </c>
      <c r="C3419">
        <v>2</v>
      </c>
      <c r="D3419">
        <v>1</v>
      </c>
      <c r="E3419">
        <v>12230</v>
      </c>
      <c r="F3419">
        <v>101310.98</v>
      </c>
      <c r="G3419">
        <v>0</v>
      </c>
      <c r="H3419">
        <v>0</v>
      </c>
      <c r="I3419">
        <v>0</v>
      </c>
      <c r="J3419">
        <v>0</v>
      </c>
      <c r="K3419">
        <v>0</v>
      </c>
      <c r="L3419">
        <v>20230000</v>
      </c>
      <c r="M3419">
        <v>20230000</v>
      </c>
      <c r="N3419">
        <v>13749449.5</v>
      </c>
      <c r="O3419">
        <v>13749449.5</v>
      </c>
      <c r="P3419">
        <v>19443597.32</v>
      </c>
      <c r="Q3419">
        <v>19443597.32</v>
      </c>
      <c r="R3419" s="14">
        <f>_xlfn.XLOOKUP(Table2[[#This Row],[LoanID]],Table1[G-L ID],Table1[ManagerCode],-99)</f>
        <v>183</v>
      </c>
      <c r="T3419"/>
    </row>
    <row r="3420" spans="1:20" x14ac:dyDescent="0.25">
      <c r="A3420">
        <v>20150228</v>
      </c>
      <c r="B3420">
        <v>2015</v>
      </c>
      <c r="C3420">
        <v>2</v>
      </c>
      <c r="D3420">
        <v>1</v>
      </c>
      <c r="E3420">
        <v>12240</v>
      </c>
      <c r="F3420">
        <v>0</v>
      </c>
      <c r="G3420">
        <v>1289334.3</v>
      </c>
      <c r="H3420">
        <v>0</v>
      </c>
      <c r="I3420">
        <v>0</v>
      </c>
      <c r="J3420">
        <v>-5834630.8099999996</v>
      </c>
      <c r="K3420">
        <v>0</v>
      </c>
      <c r="L3420">
        <v>65028414.460000001</v>
      </c>
      <c r="M3420">
        <v>72152379.569999993</v>
      </c>
      <c r="N3420">
        <v>65028414.460000001</v>
      </c>
      <c r="O3420">
        <v>72152379.569999993</v>
      </c>
      <c r="P3420">
        <v>65028414.460000001</v>
      </c>
      <c r="Q3420">
        <v>72152379.569999993</v>
      </c>
      <c r="R3420" s="14">
        <f>_xlfn.XLOOKUP(Table2[[#This Row],[LoanID]],Table1[G-L ID],Table1[ManagerCode],-99)</f>
        <v>183</v>
      </c>
      <c r="T3420"/>
    </row>
    <row r="3421" spans="1:20" x14ac:dyDescent="0.25">
      <c r="A3421">
        <v>20150228</v>
      </c>
      <c r="B3421">
        <v>2015</v>
      </c>
      <c r="C3421">
        <v>2</v>
      </c>
      <c r="D3421">
        <v>1</v>
      </c>
      <c r="E3421">
        <v>13630</v>
      </c>
      <c r="F3421">
        <v>218506.94</v>
      </c>
      <c r="G3421">
        <v>0</v>
      </c>
      <c r="H3421">
        <v>0</v>
      </c>
      <c r="I3421">
        <v>0</v>
      </c>
      <c r="J3421">
        <v>0</v>
      </c>
      <c r="K3421">
        <v>0</v>
      </c>
      <c r="L3421">
        <v>35000000</v>
      </c>
      <c r="M3421">
        <v>35000000</v>
      </c>
      <c r="N3421">
        <v>35000000</v>
      </c>
      <c r="O3421">
        <v>35000000</v>
      </c>
      <c r="P3421">
        <v>35000000</v>
      </c>
      <c r="Q3421">
        <v>35000000</v>
      </c>
      <c r="R3421" s="14">
        <f>_xlfn.XLOOKUP(Table2[[#This Row],[LoanID]],Table1[G-L ID],Table1[ManagerCode],-99)</f>
        <v>298</v>
      </c>
      <c r="T3421"/>
    </row>
    <row r="3422" spans="1:20" x14ac:dyDescent="0.25">
      <c r="A3422">
        <v>20150228</v>
      </c>
      <c r="B3422">
        <v>2015</v>
      </c>
      <c r="C3422">
        <v>2</v>
      </c>
      <c r="D3422">
        <v>1</v>
      </c>
      <c r="E3422">
        <v>13670</v>
      </c>
      <c r="F3422">
        <v>279971.87</v>
      </c>
      <c r="G3422">
        <v>0</v>
      </c>
      <c r="H3422">
        <v>0</v>
      </c>
      <c r="I3422">
        <v>0</v>
      </c>
      <c r="J3422">
        <v>0</v>
      </c>
      <c r="K3422">
        <v>0</v>
      </c>
      <c r="L3422">
        <v>37500000</v>
      </c>
      <c r="M3422">
        <v>37500000</v>
      </c>
      <c r="N3422">
        <v>37500000</v>
      </c>
      <c r="O3422">
        <v>37500000</v>
      </c>
      <c r="P3422">
        <v>37500000</v>
      </c>
      <c r="Q3422">
        <v>37500000</v>
      </c>
      <c r="R3422" s="14">
        <f>_xlfn.XLOOKUP(Table2[[#This Row],[LoanID]],Table1[G-L ID],Table1[ManagerCode],-99)</f>
        <v>298</v>
      </c>
      <c r="T3422"/>
    </row>
    <row r="3423" spans="1:20" x14ac:dyDescent="0.25">
      <c r="A3423">
        <v>20150228</v>
      </c>
      <c r="B3423">
        <v>2015</v>
      </c>
      <c r="C3423">
        <v>2</v>
      </c>
      <c r="D3423">
        <v>1</v>
      </c>
      <c r="E3423">
        <v>13680</v>
      </c>
      <c r="F3423">
        <v>139500</v>
      </c>
      <c r="G3423">
        <v>0</v>
      </c>
      <c r="H3423">
        <v>0</v>
      </c>
      <c r="I3423">
        <v>0</v>
      </c>
      <c r="J3423">
        <v>0</v>
      </c>
      <c r="K3423">
        <v>0</v>
      </c>
      <c r="L3423">
        <v>18000000</v>
      </c>
      <c r="M3423">
        <v>18000000</v>
      </c>
      <c r="N3423">
        <v>18000000</v>
      </c>
      <c r="O3423">
        <v>18000000</v>
      </c>
      <c r="P3423">
        <v>18000000</v>
      </c>
      <c r="Q3423">
        <v>18000000</v>
      </c>
      <c r="R3423" s="14">
        <f>_xlfn.XLOOKUP(Table2[[#This Row],[LoanID]],Table1[G-L ID],Table1[ManagerCode],-99)</f>
        <v>298</v>
      </c>
      <c r="T3423"/>
    </row>
    <row r="3424" spans="1:20" x14ac:dyDescent="0.25">
      <c r="A3424">
        <v>20150228</v>
      </c>
      <c r="B3424">
        <v>2015</v>
      </c>
      <c r="C3424">
        <v>2</v>
      </c>
      <c r="D3424">
        <v>1</v>
      </c>
      <c r="E3424">
        <v>13690</v>
      </c>
      <c r="F3424">
        <v>133472.22</v>
      </c>
      <c r="G3424">
        <v>0</v>
      </c>
      <c r="H3424">
        <v>0</v>
      </c>
      <c r="I3424">
        <v>0</v>
      </c>
      <c r="J3424">
        <v>0</v>
      </c>
      <c r="K3424">
        <v>0</v>
      </c>
      <c r="L3424">
        <v>20000000</v>
      </c>
      <c r="M3424">
        <v>20000000</v>
      </c>
      <c r="N3424">
        <v>20000000</v>
      </c>
      <c r="O3424">
        <v>20000000</v>
      </c>
      <c r="P3424">
        <v>20000000</v>
      </c>
      <c r="Q3424">
        <v>20000000</v>
      </c>
      <c r="R3424" s="14">
        <f>_xlfn.XLOOKUP(Table2[[#This Row],[LoanID]],Table1[G-L ID],Table1[ManagerCode],-99)</f>
        <v>298</v>
      </c>
      <c r="T3424"/>
    </row>
    <row r="3425" spans="1:20" x14ac:dyDescent="0.25">
      <c r="A3425">
        <v>20150228</v>
      </c>
      <c r="B3425">
        <v>2015</v>
      </c>
      <c r="C3425">
        <v>2</v>
      </c>
      <c r="D3425">
        <v>1</v>
      </c>
      <c r="E3425">
        <v>15580</v>
      </c>
      <c r="F3425">
        <v>118582.44</v>
      </c>
      <c r="G3425">
        <v>-11510.39</v>
      </c>
      <c r="H3425">
        <v>0</v>
      </c>
      <c r="I3425">
        <v>0</v>
      </c>
      <c r="J3425">
        <v>0</v>
      </c>
      <c r="K3425">
        <v>4818.87</v>
      </c>
      <c r="L3425">
        <v>15006002.92</v>
      </c>
      <c r="M3425">
        <v>14989673.66</v>
      </c>
      <c r="N3425">
        <v>15006002.92</v>
      </c>
      <c r="O3425">
        <v>14989673.66</v>
      </c>
      <c r="P3425">
        <v>15006002.92</v>
      </c>
      <c r="Q3425">
        <v>14989673.66</v>
      </c>
      <c r="R3425" s="14">
        <f>_xlfn.XLOOKUP(Table2[[#This Row],[LoanID]],Table1[G-L ID],Table1[ManagerCode],-99)</f>
        <v>212</v>
      </c>
      <c r="T3425"/>
    </row>
    <row r="3426" spans="1:20" x14ac:dyDescent="0.25">
      <c r="A3426">
        <v>20150331</v>
      </c>
      <c r="B3426">
        <v>2015</v>
      </c>
      <c r="C3426">
        <v>3</v>
      </c>
      <c r="D3426">
        <v>1</v>
      </c>
      <c r="E3426">
        <v>10010</v>
      </c>
      <c r="F3426">
        <v>141349.26999999999</v>
      </c>
      <c r="G3426">
        <v>0</v>
      </c>
      <c r="H3426">
        <v>0</v>
      </c>
      <c r="I3426">
        <v>0</v>
      </c>
      <c r="J3426">
        <v>0</v>
      </c>
      <c r="K3426">
        <v>0</v>
      </c>
      <c r="L3426">
        <v>16250000</v>
      </c>
      <c r="M3426">
        <v>16250000</v>
      </c>
      <c r="N3426">
        <v>16250000</v>
      </c>
      <c r="O3426">
        <v>16250000</v>
      </c>
      <c r="P3426">
        <v>16250000</v>
      </c>
      <c r="Q3426">
        <v>16250000</v>
      </c>
      <c r="R3426" s="14">
        <f>_xlfn.XLOOKUP(Table2[[#This Row],[LoanID]],Table1[G-L ID],Table1[ManagerCode],-99)</f>
        <v>119</v>
      </c>
      <c r="T3426"/>
    </row>
    <row r="3427" spans="1:20" x14ac:dyDescent="0.25">
      <c r="A3427">
        <v>20150331</v>
      </c>
      <c r="B3427">
        <v>2015</v>
      </c>
      <c r="C3427">
        <v>3</v>
      </c>
      <c r="D3427">
        <v>1</v>
      </c>
      <c r="E3427">
        <v>10050</v>
      </c>
      <c r="F3427">
        <v>139079.63</v>
      </c>
      <c r="G3427">
        <v>0</v>
      </c>
      <c r="H3427">
        <v>0</v>
      </c>
      <c r="I3427">
        <v>0</v>
      </c>
      <c r="J3427">
        <v>0</v>
      </c>
      <c r="K3427">
        <v>0</v>
      </c>
      <c r="L3427">
        <v>37234632.619999997</v>
      </c>
      <c r="M3427">
        <v>38763149.170000002</v>
      </c>
      <c r="N3427">
        <v>37234632.619999997</v>
      </c>
      <c r="O3427">
        <v>38763149.170000002</v>
      </c>
      <c r="P3427">
        <v>33333334</v>
      </c>
      <c r="Q3427">
        <v>33333334</v>
      </c>
      <c r="R3427" s="14">
        <f>_xlfn.XLOOKUP(Table2[[#This Row],[LoanID]],Table1[G-L ID],Table1[ManagerCode],-99)</f>
        <v>103</v>
      </c>
      <c r="T3427"/>
    </row>
    <row r="3428" spans="1:20" x14ac:dyDescent="0.25">
      <c r="A3428">
        <v>20150331</v>
      </c>
      <c r="B3428">
        <v>2015</v>
      </c>
      <c r="C3428">
        <v>3</v>
      </c>
      <c r="D3428">
        <v>1</v>
      </c>
      <c r="E3428">
        <v>10080</v>
      </c>
      <c r="F3428">
        <v>328394.78999999998</v>
      </c>
      <c r="G3428">
        <v>0</v>
      </c>
      <c r="H3428">
        <v>0</v>
      </c>
      <c r="I3428">
        <v>-145.83000000000001</v>
      </c>
      <c r="J3428">
        <v>0</v>
      </c>
      <c r="K3428">
        <v>75000000</v>
      </c>
      <c r="L3428">
        <v>75523529.670000002</v>
      </c>
      <c r="M3428">
        <v>0</v>
      </c>
      <c r="N3428">
        <v>75523529.670000002</v>
      </c>
      <c r="O3428">
        <v>0</v>
      </c>
      <c r="P3428">
        <v>75000000</v>
      </c>
      <c r="Q3428">
        <v>0</v>
      </c>
      <c r="R3428" s="14">
        <f>_xlfn.XLOOKUP(Table2[[#This Row],[LoanID]],Table1[G-L ID],Table1[ManagerCode],-99)</f>
        <v>103</v>
      </c>
      <c r="T3428"/>
    </row>
    <row r="3429" spans="1:20" x14ac:dyDescent="0.25">
      <c r="A3429">
        <v>20150331</v>
      </c>
      <c r="B3429">
        <v>2015</v>
      </c>
      <c r="C3429">
        <v>3</v>
      </c>
      <c r="D3429">
        <v>1</v>
      </c>
      <c r="E3429">
        <v>10090</v>
      </c>
      <c r="F3429">
        <v>169944.44</v>
      </c>
      <c r="G3429">
        <v>0</v>
      </c>
      <c r="H3429">
        <v>0</v>
      </c>
      <c r="I3429">
        <v>0</v>
      </c>
      <c r="J3429">
        <v>0</v>
      </c>
      <c r="K3429">
        <v>0</v>
      </c>
      <c r="L3429">
        <v>23000000</v>
      </c>
      <c r="M3429">
        <v>23000000</v>
      </c>
      <c r="N3429">
        <v>23000000</v>
      </c>
      <c r="O3429">
        <v>23000000</v>
      </c>
      <c r="P3429">
        <v>23000000</v>
      </c>
      <c r="Q3429">
        <v>23000000</v>
      </c>
      <c r="R3429" s="14">
        <f>_xlfn.XLOOKUP(Table2[[#This Row],[LoanID]],Table1[G-L ID],Table1[ManagerCode],-99)</f>
        <v>119</v>
      </c>
      <c r="T3429"/>
    </row>
    <row r="3430" spans="1:20" x14ac:dyDescent="0.25">
      <c r="A3430">
        <v>20150331</v>
      </c>
      <c r="B3430">
        <v>2015</v>
      </c>
      <c r="C3430">
        <v>3</v>
      </c>
      <c r="D3430">
        <v>1</v>
      </c>
      <c r="E3430">
        <v>10100</v>
      </c>
      <c r="F3430">
        <v>173646.67</v>
      </c>
      <c r="G3430">
        <v>0</v>
      </c>
      <c r="H3430">
        <v>0</v>
      </c>
      <c r="I3430">
        <v>0</v>
      </c>
      <c r="J3430">
        <v>0</v>
      </c>
      <c r="K3430">
        <v>0</v>
      </c>
      <c r="L3430">
        <v>30500000</v>
      </c>
      <c r="M3430">
        <v>30500000</v>
      </c>
      <c r="N3430">
        <v>30500000</v>
      </c>
      <c r="O3430">
        <v>30500000</v>
      </c>
      <c r="P3430">
        <v>30500000</v>
      </c>
      <c r="Q3430">
        <v>30500000</v>
      </c>
      <c r="R3430" s="14">
        <f>_xlfn.XLOOKUP(Table2[[#This Row],[LoanID]],Table1[G-L ID],Table1[ManagerCode],-99)</f>
        <v>220</v>
      </c>
      <c r="T3430"/>
    </row>
    <row r="3431" spans="1:20" x14ac:dyDescent="0.25">
      <c r="A3431">
        <v>20150331</v>
      </c>
      <c r="B3431">
        <v>2015</v>
      </c>
      <c r="C3431">
        <v>3</v>
      </c>
      <c r="D3431">
        <v>1</v>
      </c>
      <c r="E3431">
        <v>10160</v>
      </c>
      <c r="F3431">
        <v>0</v>
      </c>
      <c r="G3431">
        <v>0</v>
      </c>
      <c r="H3431">
        <v>0</v>
      </c>
      <c r="I3431">
        <v>0</v>
      </c>
      <c r="J3431">
        <v>0</v>
      </c>
      <c r="K3431">
        <v>0</v>
      </c>
      <c r="L3431">
        <v>14051513.300000001</v>
      </c>
      <c r="M3431">
        <v>14051513.300000001</v>
      </c>
      <c r="N3431">
        <v>14051513.300000001</v>
      </c>
      <c r="O3431">
        <v>14051513.300000001</v>
      </c>
      <c r="P3431">
        <v>14051513.300000001</v>
      </c>
      <c r="Q3431">
        <v>14051513.300000001</v>
      </c>
      <c r="R3431" s="14">
        <f>_xlfn.XLOOKUP(Table2[[#This Row],[LoanID]],Table1[G-L ID],Table1[ManagerCode],-99)</f>
        <v>119</v>
      </c>
      <c r="T3431"/>
    </row>
    <row r="3432" spans="1:20" x14ac:dyDescent="0.25">
      <c r="A3432">
        <v>20150331</v>
      </c>
      <c r="B3432">
        <v>2015</v>
      </c>
      <c r="C3432">
        <v>3</v>
      </c>
      <c r="D3432">
        <v>1</v>
      </c>
      <c r="E3432">
        <v>10220</v>
      </c>
      <c r="F3432">
        <v>0</v>
      </c>
      <c r="G3432">
        <v>0</v>
      </c>
      <c r="H3432">
        <v>0</v>
      </c>
      <c r="I3432">
        <v>0</v>
      </c>
      <c r="J3432">
        <v>0</v>
      </c>
      <c r="K3432">
        <v>0</v>
      </c>
      <c r="L3432">
        <v>117527054.90000001</v>
      </c>
      <c r="M3432">
        <v>117746852.90000001</v>
      </c>
      <c r="N3432">
        <v>117527054.90000001</v>
      </c>
      <c r="O3432">
        <v>117746852.90000001</v>
      </c>
      <c r="P3432">
        <v>100000000</v>
      </c>
      <c r="Q3432">
        <v>100000000</v>
      </c>
      <c r="R3432" s="14">
        <f>_xlfn.XLOOKUP(Table2[[#This Row],[LoanID]],Table1[G-L ID],Table1[ManagerCode],-99)</f>
        <v>103</v>
      </c>
      <c r="T3432"/>
    </row>
    <row r="3433" spans="1:20" x14ac:dyDescent="0.25">
      <c r="A3433">
        <v>20150331</v>
      </c>
      <c r="B3433">
        <v>2015</v>
      </c>
      <c r="C3433">
        <v>3</v>
      </c>
      <c r="D3433">
        <v>1</v>
      </c>
      <c r="E3433">
        <v>10240</v>
      </c>
      <c r="F3433">
        <v>66389.72</v>
      </c>
      <c r="G3433">
        <v>0</v>
      </c>
      <c r="H3433">
        <v>0</v>
      </c>
      <c r="I3433">
        <v>0</v>
      </c>
      <c r="J3433">
        <v>0</v>
      </c>
      <c r="K3433">
        <v>0</v>
      </c>
      <c r="L3433">
        <v>10445205</v>
      </c>
      <c r="M3433">
        <v>10445205</v>
      </c>
      <c r="N3433">
        <v>10445205</v>
      </c>
      <c r="O3433">
        <v>10445205</v>
      </c>
      <c r="P3433">
        <v>10445205</v>
      </c>
      <c r="Q3433">
        <v>10445205</v>
      </c>
      <c r="R3433" s="14">
        <f>_xlfn.XLOOKUP(Table2[[#This Row],[LoanID]],Table1[G-L ID],Table1[ManagerCode],-99)</f>
        <v>220</v>
      </c>
      <c r="T3433"/>
    </row>
    <row r="3434" spans="1:20" x14ac:dyDescent="0.25">
      <c r="A3434">
        <v>20150331</v>
      </c>
      <c r="B3434">
        <v>2015</v>
      </c>
      <c r="C3434">
        <v>3</v>
      </c>
      <c r="D3434">
        <v>1</v>
      </c>
      <c r="E3434">
        <v>10260</v>
      </c>
      <c r="F3434">
        <v>89960.5</v>
      </c>
      <c r="G3434">
        <v>0</v>
      </c>
      <c r="H3434">
        <v>0</v>
      </c>
      <c r="I3434">
        <v>0</v>
      </c>
      <c r="J3434">
        <v>0</v>
      </c>
      <c r="K3434">
        <v>0</v>
      </c>
      <c r="L3434">
        <v>15000000</v>
      </c>
      <c r="M3434">
        <v>15000000</v>
      </c>
      <c r="N3434">
        <v>15000000</v>
      </c>
      <c r="O3434">
        <v>15000000</v>
      </c>
      <c r="P3434">
        <v>15000000</v>
      </c>
      <c r="Q3434">
        <v>15000000</v>
      </c>
      <c r="R3434" s="14">
        <f>_xlfn.XLOOKUP(Table2[[#This Row],[LoanID]],Table1[G-L ID],Table1[ManagerCode],-99)</f>
        <v>220</v>
      </c>
      <c r="T3434"/>
    </row>
    <row r="3435" spans="1:20" x14ac:dyDescent="0.25">
      <c r="A3435">
        <v>20150331</v>
      </c>
      <c r="B3435">
        <v>2015</v>
      </c>
      <c r="C3435">
        <v>3</v>
      </c>
      <c r="D3435">
        <v>1</v>
      </c>
      <c r="E3435">
        <v>10270</v>
      </c>
      <c r="F3435">
        <v>13789.27</v>
      </c>
      <c r="G3435">
        <v>0</v>
      </c>
      <c r="H3435">
        <v>0</v>
      </c>
      <c r="I3435">
        <v>0</v>
      </c>
      <c r="J3435">
        <v>0</v>
      </c>
      <c r="K3435">
        <v>0</v>
      </c>
      <c r="L3435">
        <v>1860000</v>
      </c>
      <c r="M3435">
        <v>1860000</v>
      </c>
      <c r="N3435">
        <v>1860000</v>
      </c>
      <c r="O3435">
        <v>1860000</v>
      </c>
      <c r="P3435">
        <v>1860000</v>
      </c>
      <c r="Q3435">
        <v>1860000</v>
      </c>
      <c r="R3435" s="14">
        <f>_xlfn.XLOOKUP(Table2[[#This Row],[LoanID]],Table1[G-L ID],Table1[ManagerCode],-99)</f>
        <v>119</v>
      </c>
      <c r="T3435"/>
    </row>
    <row r="3436" spans="1:20" x14ac:dyDescent="0.25">
      <c r="A3436">
        <v>20150331</v>
      </c>
      <c r="B3436">
        <v>2015</v>
      </c>
      <c r="C3436">
        <v>3</v>
      </c>
      <c r="D3436">
        <v>1</v>
      </c>
      <c r="E3436">
        <v>10340</v>
      </c>
      <c r="F3436">
        <v>99871.8</v>
      </c>
      <c r="G3436">
        <v>0</v>
      </c>
      <c r="H3436">
        <v>0</v>
      </c>
      <c r="I3436">
        <v>0</v>
      </c>
      <c r="J3436">
        <v>0</v>
      </c>
      <c r="K3436">
        <v>0</v>
      </c>
      <c r="L3436">
        <v>12527473</v>
      </c>
      <c r="M3436">
        <v>12527473</v>
      </c>
      <c r="N3436">
        <v>12527473</v>
      </c>
      <c r="O3436">
        <v>12527473</v>
      </c>
      <c r="P3436">
        <v>12527473</v>
      </c>
      <c r="Q3436">
        <v>12527473</v>
      </c>
      <c r="R3436" s="14">
        <f>_xlfn.XLOOKUP(Table2[[#This Row],[LoanID]],Table1[G-L ID],Table1[ManagerCode],-99)</f>
        <v>220</v>
      </c>
      <c r="T3436"/>
    </row>
    <row r="3437" spans="1:20" x14ac:dyDescent="0.25">
      <c r="A3437">
        <v>20150331</v>
      </c>
      <c r="B3437">
        <v>2015</v>
      </c>
      <c r="C3437">
        <v>3</v>
      </c>
      <c r="D3437">
        <v>1</v>
      </c>
      <c r="E3437">
        <v>10350</v>
      </c>
      <c r="F3437">
        <v>168777.78</v>
      </c>
      <c r="G3437">
        <v>0</v>
      </c>
      <c r="H3437">
        <v>0</v>
      </c>
      <c r="I3437">
        <v>0</v>
      </c>
      <c r="J3437">
        <v>0</v>
      </c>
      <c r="K3437">
        <v>0</v>
      </c>
      <c r="L3437">
        <v>24800000</v>
      </c>
      <c r="M3437">
        <v>24800000</v>
      </c>
      <c r="N3437">
        <v>24800000</v>
      </c>
      <c r="O3437">
        <v>24800000</v>
      </c>
      <c r="P3437">
        <v>24800000</v>
      </c>
      <c r="Q3437">
        <v>24800000</v>
      </c>
      <c r="R3437" s="14">
        <f>_xlfn.XLOOKUP(Table2[[#This Row],[LoanID]],Table1[G-L ID],Table1[ManagerCode],-99)</f>
        <v>220</v>
      </c>
      <c r="T3437"/>
    </row>
    <row r="3438" spans="1:20" x14ac:dyDescent="0.25">
      <c r="A3438">
        <v>20150331</v>
      </c>
      <c r="B3438">
        <v>2015</v>
      </c>
      <c r="C3438">
        <v>3</v>
      </c>
      <c r="D3438">
        <v>1</v>
      </c>
      <c r="E3438">
        <v>10430</v>
      </c>
      <c r="F3438">
        <v>82221.77</v>
      </c>
      <c r="G3438">
        <v>0</v>
      </c>
      <c r="H3438">
        <v>0</v>
      </c>
      <c r="I3438">
        <v>0</v>
      </c>
      <c r="J3438">
        <v>0</v>
      </c>
      <c r="K3438">
        <v>23400</v>
      </c>
      <c r="L3438">
        <v>10929800</v>
      </c>
      <c r="M3438">
        <v>10906400</v>
      </c>
      <c r="N3438">
        <v>10929800</v>
      </c>
      <c r="O3438">
        <v>10906400</v>
      </c>
      <c r="P3438">
        <v>10929800</v>
      </c>
      <c r="Q3438">
        <v>10906400</v>
      </c>
      <c r="R3438" s="14">
        <f>_xlfn.XLOOKUP(Table2[[#This Row],[LoanID]],Table1[G-L ID],Table1[ManagerCode],-99)</f>
        <v>119</v>
      </c>
      <c r="T3438"/>
    </row>
    <row r="3439" spans="1:20" x14ac:dyDescent="0.25">
      <c r="A3439">
        <v>20150331</v>
      </c>
      <c r="B3439">
        <v>2015</v>
      </c>
      <c r="C3439">
        <v>3</v>
      </c>
      <c r="D3439">
        <v>1</v>
      </c>
      <c r="E3439">
        <v>10460</v>
      </c>
      <c r="F3439">
        <v>238950</v>
      </c>
      <c r="G3439">
        <v>0</v>
      </c>
      <c r="H3439">
        <v>0</v>
      </c>
      <c r="I3439">
        <v>0</v>
      </c>
      <c r="J3439">
        <v>0</v>
      </c>
      <c r="K3439">
        <v>0</v>
      </c>
      <c r="L3439">
        <v>59753742.039999999</v>
      </c>
      <c r="M3439">
        <v>59762913.469999999</v>
      </c>
      <c r="N3439">
        <v>59753742.039999999</v>
      </c>
      <c r="O3439">
        <v>59762913.469999999</v>
      </c>
      <c r="P3439">
        <v>60000000</v>
      </c>
      <c r="Q3439">
        <v>60000000</v>
      </c>
      <c r="R3439" s="14">
        <f>_xlfn.XLOOKUP(Table2[[#This Row],[LoanID]],Table1[G-L ID],Table1[ManagerCode],-99)</f>
        <v>103</v>
      </c>
      <c r="T3439"/>
    </row>
    <row r="3440" spans="1:20" x14ac:dyDescent="0.25">
      <c r="A3440">
        <v>20150331</v>
      </c>
      <c r="B3440">
        <v>2015</v>
      </c>
      <c r="C3440">
        <v>3</v>
      </c>
      <c r="D3440">
        <v>1</v>
      </c>
      <c r="E3440">
        <v>10470</v>
      </c>
      <c r="F3440">
        <v>109805.55</v>
      </c>
      <c r="G3440">
        <v>0</v>
      </c>
      <c r="H3440">
        <v>0</v>
      </c>
      <c r="I3440">
        <v>0</v>
      </c>
      <c r="J3440">
        <v>0</v>
      </c>
      <c r="K3440">
        <v>0</v>
      </c>
      <c r="L3440">
        <v>25000000</v>
      </c>
      <c r="M3440">
        <v>25000000</v>
      </c>
      <c r="N3440">
        <v>25000000</v>
      </c>
      <c r="O3440">
        <v>25000000</v>
      </c>
      <c r="P3440">
        <v>25000000</v>
      </c>
      <c r="Q3440">
        <v>25000000</v>
      </c>
      <c r="R3440" s="14">
        <f>_xlfn.XLOOKUP(Table2[[#This Row],[LoanID]],Table1[G-L ID],Table1[ManagerCode],-99)</f>
        <v>103</v>
      </c>
      <c r="T3440"/>
    </row>
    <row r="3441" spans="1:20" x14ac:dyDescent="0.25">
      <c r="A3441">
        <v>20150331</v>
      </c>
      <c r="B3441">
        <v>2015</v>
      </c>
      <c r="C3441">
        <v>3</v>
      </c>
      <c r="D3441">
        <v>1</v>
      </c>
      <c r="E3441">
        <v>10480</v>
      </c>
      <c r="F3441">
        <v>141651.57999999999</v>
      </c>
      <c r="G3441">
        <v>0</v>
      </c>
      <c r="H3441">
        <v>0</v>
      </c>
      <c r="I3441">
        <v>0</v>
      </c>
      <c r="J3441">
        <v>0</v>
      </c>
      <c r="K3441">
        <v>0</v>
      </c>
      <c r="L3441">
        <v>21350000</v>
      </c>
      <c r="M3441">
        <v>21350000</v>
      </c>
      <c r="N3441">
        <v>21350000</v>
      </c>
      <c r="O3441">
        <v>21350000</v>
      </c>
      <c r="P3441">
        <v>21350000</v>
      </c>
      <c r="Q3441">
        <v>21350000</v>
      </c>
      <c r="R3441" s="14">
        <f>_xlfn.XLOOKUP(Table2[[#This Row],[LoanID]],Table1[G-L ID],Table1[ManagerCode],-99)</f>
        <v>119</v>
      </c>
      <c r="T3441"/>
    </row>
    <row r="3442" spans="1:20" x14ac:dyDescent="0.25">
      <c r="A3442">
        <v>20150331</v>
      </c>
      <c r="B3442">
        <v>2015</v>
      </c>
      <c r="C3442">
        <v>3</v>
      </c>
      <c r="D3442">
        <v>1</v>
      </c>
      <c r="E3442">
        <v>10570</v>
      </c>
      <c r="F3442">
        <v>720176.93</v>
      </c>
      <c r="G3442">
        <v>0</v>
      </c>
      <c r="H3442">
        <v>0</v>
      </c>
      <c r="I3442">
        <v>0</v>
      </c>
      <c r="J3442">
        <v>0</v>
      </c>
      <c r="K3442">
        <v>0</v>
      </c>
      <c r="L3442">
        <v>156297000.5</v>
      </c>
      <c r="M3442">
        <v>156308860.80000001</v>
      </c>
      <c r="N3442">
        <v>156297000.5</v>
      </c>
      <c r="O3442">
        <v>156308860.80000001</v>
      </c>
      <c r="P3442">
        <v>156356260.69999999</v>
      </c>
      <c r="Q3442">
        <v>156356260.69999999</v>
      </c>
      <c r="R3442" s="14">
        <f>_xlfn.XLOOKUP(Table2[[#This Row],[LoanID]],Table1[G-L ID],Table1[ManagerCode],-99)</f>
        <v>103</v>
      </c>
      <c r="T3442"/>
    </row>
    <row r="3443" spans="1:20" x14ac:dyDescent="0.25">
      <c r="A3443">
        <v>20150331</v>
      </c>
      <c r="B3443">
        <v>2015</v>
      </c>
      <c r="C3443">
        <v>3</v>
      </c>
      <c r="D3443">
        <v>1</v>
      </c>
      <c r="E3443">
        <v>10591</v>
      </c>
      <c r="F3443">
        <v>199162.28</v>
      </c>
      <c r="G3443">
        <v>0</v>
      </c>
      <c r="H3443">
        <v>0</v>
      </c>
      <c r="I3443">
        <v>0</v>
      </c>
      <c r="J3443">
        <v>0</v>
      </c>
      <c r="K3443">
        <v>79590.399999999994</v>
      </c>
      <c r="L3443">
        <v>26080079.75</v>
      </c>
      <c r="M3443">
        <v>25063401.059999999</v>
      </c>
      <c r="N3443">
        <v>26080079.75</v>
      </c>
      <c r="O3443">
        <v>25063401.059999999</v>
      </c>
      <c r="P3443">
        <v>25142991.460000001</v>
      </c>
      <c r="Q3443">
        <v>25063401.059999999</v>
      </c>
      <c r="R3443" s="14">
        <f>_xlfn.XLOOKUP(Table2[[#This Row],[LoanID]],Table1[G-L ID],Table1[ManagerCode],-99)</f>
        <v>220</v>
      </c>
      <c r="T3443"/>
    </row>
    <row r="3444" spans="1:20" x14ac:dyDescent="0.25">
      <c r="A3444">
        <v>20150331</v>
      </c>
      <c r="B3444">
        <v>2015</v>
      </c>
      <c r="C3444">
        <v>3</v>
      </c>
      <c r="D3444">
        <v>1</v>
      </c>
      <c r="E3444">
        <v>10592</v>
      </c>
      <c r="F3444">
        <v>330427.36</v>
      </c>
      <c r="G3444">
        <v>0</v>
      </c>
      <c r="H3444">
        <v>0</v>
      </c>
      <c r="I3444">
        <v>0</v>
      </c>
      <c r="J3444">
        <v>0</v>
      </c>
      <c r="K3444">
        <v>117490.6</v>
      </c>
      <c r="L3444">
        <v>38335756.310000002</v>
      </c>
      <c r="M3444">
        <v>37200000</v>
      </c>
      <c r="N3444">
        <v>38335756.310000002</v>
      </c>
      <c r="O3444">
        <v>37200000</v>
      </c>
      <c r="P3444">
        <v>37115844.539999999</v>
      </c>
      <c r="Q3444">
        <v>36998353.939999998</v>
      </c>
      <c r="R3444" s="14">
        <f>_xlfn.XLOOKUP(Table2[[#This Row],[LoanID]],Table1[G-L ID],Table1[ManagerCode],-99)</f>
        <v>220</v>
      </c>
      <c r="T3444"/>
    </row>
    <row r="3445" spans="1:20" x14ac:dyDescent="0.25">
      <c r="A3445">
        <v>20150331</v>
      </c>
      <c r="B3445">
        <v>2015</v>
      </c>
      <c r="C3445">
        <v>3</v>
      </c>
      <c r="D3445">
        <v>1</v>
      </c>
      <c r="E3445">
        <v>10640</v>
      </c>
      <c r="F3445">
        <v>96353.65</v>
      </c>
      <c r="G3445">
        <v>0</v>
      </c>
      <c r="H3445">
        <v>6761</v>
      </c>
      <c r="I3445">
        <v>0</v>
      </c>
      <c r="J3445">
        <v>0</v>
      </c>
      <c r="K3445">
        <v>0</v>
      </c>
      <c r="L3445">
        <v>12527956.74</v>
      </c>
      <c r="M3445">
        <v>12527956.74</v>
      </c>
      <c r="N3445">
        <v>12527956.74</v>
      </c>
      <c r="O3445">
        <v>12527956.74</v>
      </c>
      <c r="P3445">
        <v>12423112</v>
      </c>
      <c r="Q3445">
        <v>12423112</v>
      </c>
      <c r="R3445" s="14">
        <f>_xlfn.XLOOKUP(Table2[[#This Row],[LoanID]],Table1[G-L ID],Table1[ManagerCode],-99)</f>
        <v>220</v>
      </c>
      <c r="T3445"/>
    </row>
    <row r="3446" spans="1:20" x14ac:dyDescent="0.25">
      <c r="A3446">
        <v>20150331</v>
      </c>
      <c r="B3446">
        <v>2015</v>
      </c>
      <c r="C3446">
        <v>3</v>
      </c>
      <c r="D3446">
        <v>1</v>
      </c>
      <c r="E3446">
        <v>10680</v>
      </c>
      <c r="F3446">
        <v>52488.36</v>
      </c>
      <c r="G3446">
        <v>0</v>
      </c>
      <c r="H3446">
        <v>0</v>
      </c>
      <c r="I3446">
        <v>0</v>
      </c>
      <c r="J3446">
        <v>0</v>
      </c>
      <c r="K3446">
        <v>0</v>
      </c>
      <c r="L3446">
        <v>6964400</v>
      </c>
      <c r="M3446">
        <v>6964400</v>
      </c>
      <c r="N3446">
        <v>6964400</v>
      </c>
      <c r="O3446">
        <v>6964400</v>
      </c>
      <c r="P3446">
        <v>6964400</v>
      </c>
      <c r="Q3446">
        <v>6964400</v>
      </c>
      <c r="R3446" s="14">
        <f>_xlfn.XLOOKUP(Table2[[#This Row],[LoanID]],Table1[G-L ID],Table1[ManagerCode],-99)</f>
        <v>119</v>
      </c>
      <c r="T3446"/>
    </row>
    <row r="3447" spans="1:20" x14ac:dyDescent="0.25">
      <c r="A3447">
        <v>20150331</v>
      </c>
      <c r="B3447">
        <v>2015</v>
      </c>
      <c r="C3447">
        <v>3</v>
      </c>
      <c r="D3447">
        <v>1</v>
      </c>
      <c r="E3447">
        <v>10690</v>
      </c>
      <c r="F3447">
        <v>108674.29</v>
      </c>
      <c r="G3447">
        <v>29499.5</v>
      </c>
      <c r="H3447">
        <v>0</v>
      </c>
      <c r="I3447">
        <v>0</v>
      </c>
      <c r="J3447">
        <v>-108674.29</v>
      </c>
      <c r="K3447">
        <v>0</v>
      </c>
      <c r="L3447">
        <v>18927264.719999999</v>
      </c>
      <c r="M3447">
        <v>19065438.510000002</v>
      </c>
      <c r="N3447">
        <v>18927264.719999999</v>
      </c>
      <c r="O3447">
        <v>19065438.510000002</v>
      </c>
      <c r="P3447">
        <v>18927264.719999999</v>
      </c>
      <c r="Q3447">
        <v>19065438.510000002</v>
      </c>
      <c r="R3447" s="14">
        <f>_xlfn.XLOOKUP(Table2[[#This Row],[LoanID]],Table1[G-L ID],Table1[ManagerCode],-99)</f>
        <v>183</v>
      </c>
      <c r="T3447"/>
    </row>
    <row r="3448" spans="1:20" x14ac:dyDescent="0.25">
      <c r="A3448">
        <v>20150331</v>
      </c>
      <c r="B3448">
        <v>2015</v>
      </c>
      <c r="C3448">
        <v>3</v>
      </c>
      <c r="D3448">
        <v>1</v>
      </c>
      <c r="E3448">
        <v>10720</v>
      </c>
      <c r="F3448">
        <v>125000</v>
      </c>
      <c r="G3448">
        <v>73407.53</v>
      </c>
      <c r="H3448">
        <v>0</v>
      </c>
      <c r="I3448">
        <v>0</v>
      </c>
      <c r="J3448">
        <v>0</v>
      </c>
      <c r="K3448">
        <v>0</v>
      </c>
      <c r="L3448">
        <v>16353326.85</v>
      </c>
      <c r="M3448">
        <v>16431478.09</v>
      </c>
      <c r="N3448">
        <v>16353326.85</v>
      </c>
      <c r="O3448">
        <v>16431478.09</v>
      </c>
      <c r="P3448">
        <v>15360582.67</v>
      </c>
      <c r="Q3448">
        <v>15433990.199999999</v>
      </c>
      <c r="R3448" s="14">
        <f>_xlfn.XLOOKUP(Table2[[#This Row],[LoanID]],Table1[G-L ID],Table1[ManagerCode],-99)</f>
        <v>220</v>
      </c>
      <c r="T3448"/>
    </row>
    <row r="3449" spans="1:20" x14ac:dyDescent="0.25">
      <c r="A3449">
        <v>20150331</v>
      </c>
      <c r="B3449">
        <v>2015</v>
      </c>
      <c r="C3449">
        <v>3</v>
      </c>
      <c r="D3449">
        <v>1</v>
      </c>
      <c r="E3449">
        <v>10740</v>
      </c>
      <c r="F3449">
        <v>1640000</v>
      </c>
      <c r="G3449">
        <v>0</v>
      </c>
      <c r="H3449">
        <v>0</v>
      </c>
      <c r="I3449">
        <v>0</v>
      </c>
      <c r="J3449">
        <v>0</v>
      </c>
      <c r="K3449">
        <v>0</v>
      </c>
      <c r="L3449">
        <v>486168149.80000001</v>
      </c>
      <c r="M3449">
        <v>470696032.69999999</v>
      </c>
      <c r="N3449">
        <v>486168149.80000001</v>
      </c>
      <c r="O3449">
        <v>470696032.69999999</v>
      </c>
      <c r="P3449">
        <v>480000000</v>
      </c>
      <c r="Q3449">
        <v>480000000</v>
      </c>
      <c r="R3449" s="14">
        <f>_xlfn.XLOOKUP(Table2[[#This Row],[LoanID]],Table1[G-L ID],Table1[ManagerCode],-99)</f>
        <v>103</v>
      </c>
      <c r="T3449"/>
    </row>
    <row r="3450" spans="1:20" x14ac:dyDescent="0.25">
      <c r="A3450">
        <v>20150331</v>
      </c>
      <c r="B3450">
        <v>2015</v>
      </c>
      <c r="C3450">
        <v>3</v>
      </c>
      <c r="D3450">
        <v>1</v>
      </c>
      <c r="E3450">
        <v>10780</v>
      </c>
      <c r="F3450">
        <v>281669.11</v>
      </c>
      <c r="G3450">
        <v>0</v>
      </c>
      <c r="H3450">
        <v>0</v>
      </c>
      <c r="I3450">
        <v>0</v>
      </c>
      <c r="J3450">
        <v>0</v>
      </c>
      <c r="K3450">
        <v>0</v>
      </c>
      <c r="L3450">
        <v>43000000</v>
      </c>
      <c r="M3450">
        <v>43000000</v>
      </c>
      <c r="N3450">
        <v>43000000</v>
      </c>
      <c r="O3450">
        <v>43000000</v>
      </c>
      <c r="P3450">
        <v>43000000</v>
      </c>
      <c r="Q3450">
        <v>43000000</v>
      </c>
      <c r="R3450" s="14">
        <f>_xlfn.XLOOKUP(Table2[[#This Row],[LoanID]],Table1[G-L ID],Table1[ManagerCode],-99)</f>
        <v>220</v>
      </c>
      <c r="T3450"/>
    </row>
    <row r="3451" spans="1:20" x14ac:dyDescent="0.25">
      <c r="A3451">
        <v>20150331</v>
      </c>
      <c r="B3451">
        <v>2015</v>
      </c>
      <c r="C3451">
        <v>3</v>
      </c>
      <c r="D3451">
        <v>1</v>
      </c>
      <c r="E3451">
        <v>10800</v>
      </c>
      <c r="F3451">
        <v>195589.33</v>
      </c>
      <c r="G3451">
        <v>0</v>
      </c>
      <c r="H3451">
        <v>0</v>
      </c>
      <c r="I3451">
        <v>0</v>
      </c>
      <c r="J3451">
        <v>0</v>
      </c>
      <c r="K3451">
        <v>0</v>
      </c>
      <c r="L3451">
        <v>26000000</v>
      </c>
      <c r="M3451">
        <v>26000000</v>
      </c>
      <c r="N3451">
        <v>26000000</v>
      </c>
      <c r="O3451">
        <v>26000000</v>
      </c>
      <c r="P3451">
        <v>26000000</v>
      </c>
      <c r="Q3451">
        <v>26000000</v>
      </c>
      <c r="R3451" s="14">
        <f>_xlfn.XLOOKUP(Table2[[#This Row],[LoanID]],Table1[G-L ID],Table1[ManagerCode],-99)</f>
        <v>220</v>
      </c>
      <c r="T3451"/>
    </row>
    <row r="3452" spans="1:20" x14ac:dyDescent="0.25">
      <c r="A3452">
        <v>20150331</v>
      </c>
      <c r="B3452">
        <v>2015</v>
      </c>
      <c r="C3452">
        <v>3</v>
      </c>
      <c r="D3452">
        <v>1</v>
      </c>
      <c r="E3452">
        <v>10820</v>
      </c>
      <c r="F3452">
        <v>167718.98000000001</v>
      </c>
      <c r="G3452">
        <v>0</v>
      </c>
      <c r="H3452">
        <v>0</v>
      </c>
      <c r="I3452">
        <v>0</v>
      </c>
      <c r="J3452">
        <v>0</v>
      </c>
      <c r="K3452">
        <v>0</v>
      </c>
      <c r="L3452">
        <v>22993894.27</v>
      </c>
      <c r="M3452">
        <v>22993894.27</v>
      </c>
      <c r="N3452">
        <v>22993894.27</v>
      </c>
      <c r="O3452">
        <v>22993894.27</v>
      </c>
      <c r="P3452">
        <v>22698809.739999998</v>
      </c>
      <c r="Q3452">
        <v>22698809.739999998</v>
      </c>
      <c r="R3452" s="14">
        <f>_xlfn.XLOOKUP(Table2[[#This Row],[LoanID]],Table1[G-L ID],Table1[ManagerCode],-99)</f>
        <v>220</v>
      </c>
      <c r="T3452"/>
    </row>
    <row r="3453" spans="1:20" x14ac:dyDescent="0.25">
      <c r="A3453">
        <v>20150331</v>
      </c>
      <c r="B3453">
        <v>2015</v>
      </c>
      <c r="C3453">
        <v>3</v>
      </c>
      <c r="D3453">
        <v>1</v>
      </c>
      <c r="E3453">
        <v>10830</v>
      </c>
      <c r="F3453">
        <v>54148.65</v>
      </c>
      <c r="G3453">
        <v>0</v>
      </c>
      <c r="H3453">
        <v>0</v>
      </c>
      <c r="I3453">
        <v>0</v>
      </c>
      <c r="J3453">
        <v>-77300.14</v>
      </c>
      <c r="K3453">
        <v>0</v>
      </c>
      <c r="L3453">
        <v>7423657.4500000002</v>
      </c>
      <c r="M3453">
        <v>7501962.4900000002</v>
      </c>
      <c r="N3453">
        <v>7423657.4500000002</v>
      </c>
      <c r="O3453">
        <v>7501962.4900000002</v>
      </c>
      <c r="P3453">
        <v>7328388.4000000004</v>
      </c>
      <c r="Q3453">
        <v>7405688.54</v>
      </c>
      <c r="R3453" s="14">
        <f>_xlfn.XLOOKUP(Table2[[#This Row],[LoanID]],Table1[G-L ID],Table1[ManagerCode],-99)</f>
        <v>220</v>
      </c>
      <c r="T3453"/>
    </row>
    <row r="3454" spans="1:20" x14ac:dyDescent="0.25">
      <c r="A3454">
        <v>20150331</v>
      </c>
      <c r="B3454">
        <v>2015</v>
      </c>
      <c r="C3454">
        <v>3</v>
      </c>
      <c r="D3454">
        <v>1</v>
      </c>
      <c r="E3454">
        <v>10840</v>
      </c>
      <c r="F3454">
        <v>93906.79</v>
      </c>
      <c r="G3454">
        <v>0</v>
      </c>
      <c r="H3454">
        <v>0</v>
      </c>
      <c r="I3454">
        <v>0</v>
      </c>
      <c r="J3454">
        <v>0</v>
      </c>
      <c r="K3454">
        <v>0</v>
      </c>
      <c r="L3454">
        <v>12874408.460000001</v>
      </c>
      <c r="M3454">
        <v>12874408.460000001</v>
      </c>
      <c r="N3454">
        <v>12874408.460000001</v>
      </c>
      <c r="O3454">
        <v>12874408.460000001</v>
      </c>
      <c r="P3454">
        <v>12709189</v>
      </c>
      <c r="Q3454">
        <v>12709189</v>
      </c>
      <c r="R3454" s="14">
        <f>_xlfn.XLOOKUP(Table2[[#This Row],[LoanID]],Table1[G-L ID],Table1[ManagerCode],-99)</f>
        <v>220</v>
      </c>
      <c r="T3454"/>
    </row>
    <row r="3455" spans="1:20" x14ac:dyDescent="0.25">
      <c r="A3455">
        <v>20150331</v>
      </c>
      <c r="B3455">
        <v>2015</v>
      </c>
      <c r="C3455">
        <v>3</v>
      </c>
      <c r="D3455">
        <v>1</v>
      </c>
      <c r="E3455">
        <v>10850</v>
      </c>
      <c r="F3455">
        <v>99837.87</v>
      </c>
      <c r="G3455">
        <v>0</v>
      </c>
      <c r="H3455">
        <v>0</v>
      </c>
      <c r="I3455">
        <v>0</v>
      </c>
      <c r="J3455">
        <v>0</v>
      </c>
      <c r="K3455">
        <v>0</v>
      </c>
      <c r="L3455">
        <v>13687546.6</v>
      </c>
      <c r="M3455">
        <v>13687546.6</v>
      </c>
      <c r="N3455">
        <v>13687546.6</v>
      </c>
      <c r="O3455">
        <v>13687546.6</v>
      </c>
      <c r="P3455">
        <v>13511892</v>
      </c>
      <c r="Q3455">
        <v>13511892</v>
      </c>
      <c r="R3455" s="14">
        <f>_xlfn.XLOOKUP(Table2[[#This Row],[LoanID]],Table1[G-L ID],Table1[ManagerCode],-99)</f>
        <v>220</v>
      </c>
      <c r="T3455"/>
    </row>
    <row r="3456" spans="1:20" x14ac:dyDescent="0.25">
      <c r="A3456">
        <v>20150331</v>
      </c>
      <c r="B3456">
        <v>2015</v>
      </c>
      <c r="C3456">
        <v>3</v>
      </c>
      <c r="D3456">
        <v>1</v>
      </c>
      <c r="E3456">
        <v>10860</v>
      </c>
      <c r="F3456">
        <v>106381.33</v>
      </c>
      <c r="G3456">
        <v>0</v>
      </c>
      <c r="H3456">
        <v>0</v>
      </c>
      <c r="I3456">
        <v>0</v>
      </c>
      <c r="J3456">
        <v>0</v>
      </c>
      <c r="K3456">
        <v>0</v>
      </c>
      <c r="L3456">
        <v>19475000</v>
      </c>
      <c r="M3456">
        <v>19475000</v>
      </c>
      <c r="N3456">
        <v>19475000</v>
      </c>
      <c r="O3456">
        <v>19475000</v>
      </c>
      <c r="P3456">
        <v>20500000</v>
      </c>
      <c r="Q3456">
        <v>20500000</v>
      </c>
      <c r="R3456" s="14">
        <f>_xlfn.XLOOKUP(Table2[[#This Row],[LoanID]],Table1[G-L ID],Table1[ManagerCode],-99)</f>
        <v>103</v>
      </c>
      <c r="T3456"/>
    </row>
    <row r="3457" spans="1:20" x14ac:dyDescent="0.25">
      <c r="A3457">
        <v>20150331</v>
      </c>
      <c r="B3457">
        <v>2015</v>
      </c>
      <c r="C3457">
        <v>3</v>
      </c>
      <c r="D3457">
        <v>1</v>
      </c>
      <c r="E3457">
        <v>10940</v>
      </c>
      <c r="F3457">
        <v>56323.59</v>
      </c>
      <c r="G3457">
        <v>75971.34</v>
      </c>
      <c r="H3457">
        <v>0</v>
      </c>
      <c r="I3457">
        <v>0</v>
      </c>
      <c r="J3457">
        <v>-56323.59</v>
      </c>
      <c r="K3457">
        <v>0</v>
      </c>
      <c r="L3457">
        <v>11378804.189999999</v>
      </c>
      <c r="M3457">
        <v>11511099.119999999</v>
      </c>
      <c r="N3457">
        <v>11378804.189999999</v>
      </c>
      <c r="O3457">
        <v>11511099.119999999</v>
      </c>
      <c r="P3457">
        <v>11378804.189999999</v>
      </c>
      <c r="Q3457">
        <v>11511099.119999999</v>
      </c>
      <c r="R3457" s="14">
        <f>_xlfn.XLOOKUP(Table2[[#This Row],[LoanID]],Table1[G-L ID],Table1[ManagerCode],-99)</f>
        <v>183</v>
      </c>
      <c r="T3457"/>
    </row>
    <row r="3458" spans="1:20" x14ac:dyDescent="0.25">
      <c r="A3458">
        <v>20150331</v>
      </c>
      <c r="B3458">
        <v>2015</v>
      </c>
      <c r="C3458">
        <v>3</v>
      </c>
      <c r="D3458">
        <v>1</v>
      </c>
      <c r="E3458">
        <v>10960</v>
      </c>
      <c r="F3458">
        <v>62374.69</v>
      </c>
      <c r="G3458">
        <v>0</v>
      </c>
      <c r="H3458">
        <v>0</v>
      </c>
      <c r="I3458">
        <v>0</v>
      </c>
      <c r="J3458">
        <v>0</v>
      </c>
      <c r="K3458">
        <v>0</v>
      </c>
      <c r="L3458">
        <v>6231416.9800000004</v>
      </c>
      <c r="M3458">
        <v>6231416.9800000004</v>
      </c>
      <c r="N3458">
        <v>6231416.9800000004</v>
      </c>
      <c r="O3458">
        <v>6231416.9800000004</v>
      </c>
      <c r="P3458">
        <v>6231416.9800000004</v>
      </c>
      <c r="Q3458">
        <v>6231416.9800000004</v>
      </c>
      <c r="R3458" s="14">
        <f>_xlfn.XLOOKUP(Table2[[#This Row],[LoanID]],Table1[G-L ID],Table1[ManagerCode],-99)</f>
        <v>119</v>
      </c>
      <c r="T3458"/>
    </row>
    <row r="3459" spans="1:20" x14ac:dyDescent="0.25">
      <c r="A3459">
        <v>20150331</v>
      </c>
      <c r="B3459">
        <v>2015</v>
      </c>
      <c r="C3459">
        <v>3</v>
      </c>
      <c r="D3459">
        <v>1</v>
      </c>
      <c r="E3459">
        <v>11010</v>
      </c>
      <c r="F3459">
        <v>0</v>
      </c>
      <c r="G3459">
        <v>0</v>
      </c>
      <c r="H3459">
        <v>0</v>
      </c>
      <c r="I3459">
        <v>0</v>
      </c>
      <c r="J3459">
        <v>0</v>
      </c>
      <c r="K3459">
        <v>0</v>
      </c>
      <c r="L3459">
        <v>26500000</v>
      </c>
      <c r="M3459">
        <v>26500000</v>
      </c>
      <c r="N3459">
        <v>26500000</v>
      </c>
      <c r="O3459">
        <v>26500000</v>
      </c>
      <c r="P3459">
        <v>26500000</v>
      </c>
      <c r="Q3459">
        <v>26500000</v>
      </c>
      <c r="R3459" s="14">
        <f>_xlfn.XLOOKUP(Table2[[#This Row],[LoanID]],Table1[G-L ID],Table1[ManagerCode],-99)</f>
        <v>119</v>
      </c>
      <c r="T3459"/>
    </row>
    <row r="3460" spans="1:20" x14ac:dyDescent="0.25">
      <c r="A3460">
        <v>20150331</v>
      </c>
      <c r="B3460">
        <v>2015</v>
      </c>
      <c r="C3460">
        <v>3</v>
      </c>
      <c r="D3460">
        <v>1</v>
      </c>
      <c r="E3460">
        <v>11030</v>
      </c>
      <c r="F3460">
        <v>58930.04</v>
      </c>
      <c r="G3460">
        <v>0</v>
      </c>
      <c r="H3460">
        <v>0</v>
      </c>
      <c r="I3460">
        <v>0</v>
      </c>
      <c r="J3460">
        <v>0</v>
      </c>
      <c r="K3460">
        <v>0</v>
      </c>
      <c r="L3460">
        <v>8000000</v>
      </c>
      <c r="M3460">
        <v>8000000</v>
      </c>
      <c r="N3460">
        <v>8000000</v>
      </c>
      <c r="O3460">
        <v>8000000</v>
      </c>
      <c r="P3460">
        <v>8000000</v>
      </c>
      <c r="Q3460">
        <v>8000000</v>
      </c>
      <c r="R3460" s="14">
        <f>_xlfn.XLOOKUP(Table2[[#This Row],[LoanID]],Table1[G-L ID],Table1[ManagerCode],-99)</f>
        <v>119</v>
      </c>
      <c r="T3460"/>
    </row>
    <row r="3461" spans="1:20" x14ac:dyDescent="0.25">
      <c r="A3461">
        <v>20150331</v>
      </c>
      <c r="B3461">
        <v>2015</v>
      </c>
      <c r="C3461">
        <v>3</v>
      </c>
      <c r="D3461">
        <v>1</v>
      </c>
      <c r="E3461">
        <v>11040</v>
      </c>
      <c r="F3461">
        <v>473355.56</v>
      </c>
      <c r="G3461">
        <v>0</v>
      </c>
      <c r="H3461">
        <v>0</v>
      </c>
      <c r="I3461">
        <v>0</v>
      </c>
      <c r="J3461">
        <v>0</v>
      </c>
      <c r="K3461">
        <v>0</v>
      </c>
      <c r="L3461">
        <v>50000000</v>
      </c>
      <c r="M3461">
        <v>51000000</v>
      </c>
      <c r="N3461">
        <v>50000000</v>
      </c>
      <c r="O3461">
        <v>51000000</v>
      </c>
      <c r="P3461">
        <v>50000000</v>
      </c>
      <c r="Q3461">
        <v>50000000</v>
      </c>
      <c r="R3461" s="14">
        <f>_xlfn.XLOOKUP(Table2[[#This Row],[LoanID]],Table1[G-L ID],Table1[ManagerCode],-99)</f>
        <v>220</v>
      </c>
      <c r="T3461"/>
    </row>
    <row r="3462" spans="1:20" x14ac:dyDescent="0.25">
      <c r="A3462">
        <v>20150331</v>
      </c>
      <c r="B3462">
        <v>2015</v>
      </c>
      <c r="C3462">
        <v>3</v>
      </c>
      <c r="D3462">
        <v>1</v>
      </c>
      <c r="E3462">
        <v>11050</v>
      </c>
      <c r="F3462">
        <v>552782</v>
      </c>
      <c r="G3462">
        <v>0</v>
      </c>
      <c r="H3462">
        <v>0</v>
      </c>
      <c r="I3462">
        <v>0</v>
      </c>
      <c r="J3462">
        <v>0</v>
      </c>
      <c r="K3462">
        <v>0</v>
      </c>
      <c r="L3462">
        <v>29300000</v>
      </c>
      <c r="M3462">
        <v>29300000</v>
      </c>
      <c r="N3462">
        <v>29300000</v>
      </c>
      <c r="O3462">
        <v>29300000</v>
      </c>
      <c r="P3462">
        <v>28500000</v>
      </c>
      <c r="Q3462">
        <v>28500000</v>
      </c>
      <c r="R3462" s="14">
        <f>_xlfn.XLOOKUP(Table2[[#This Row],[LoanID]],Table1[G-L ID],Table1[ManagerCode],-99)</f>
        <v>220</v>
      </c>
      <c r="T3462"/>
    </row>
    <row r="3463" spans="1:20" x14ac:dyDescent="0.25">
      <c r="A3463">
        <v>20150331</v>
      </c>
      <c r="B3463">
        <v>2015</v>
      </c>
      <c r="C3463">
        <v>3</v>
      </c>
      <c r="D3463">
        <v>1</v>
      </c>
      <c r="E3463">
        <v>11070</v>
      </c>
      <c r="F3463">
        <v>143671.43</v>
      </c>
      <c r="G3463">
        <v>0</v>
      </c>
      <c r="H3463">
        <v>0</v>
      </c>
      <c r="I3463">
        <v>0</v>
      </c>
      <c r="J3463">
        <v>0</v>
      </c>
      <c r="K3463">
        <v>2116.98</v>
      </c>
      <c r="L3463">
        <v>13792894.82</v>
      </c>
      <c r="M3463">
        <v>13791201.24</v>
      </c>
      <c r="N3463">
        <v>13792894.82</v>
      </c>
      <c r="O3463">
        <v>13791201.24</v>
      </c>
      <c r="P3463">
        <v>17241118.530000001</v>
      </c>
      <c r="Q3463">
        <v>17239001.550000001</v>
      </c>
      <c r="R3463" s="14">
        <f>_xlfn.XLOOKUP(Table2[[#This Row],[LoanID]],Table1[G-L ID],Table1[ManagerCode],-99)</f>
        <v>103</v>
      </c>
      <c r="T3463"/>
    </row>
    <row r="3464" spans="1:20" x14ac:dyDescent="0.25">
      <c r="A3464">
        <v>20150331</v>
      </c>
      <c r="B3464">
        <v>2015</v>
      </c>
      <c r="C3464">
        <v>3</v>
      </c>
      <c r="D3464">
        <v>1</v>
      </c>
      <c r="E3464">
        <v>11100</v>
      </c>
      <c r="F3464">
        <v>161687.9</v>
      </c>
      <c r="G3464">
        <v>0</v>
      </c>
      <c r="H3464">
        <v>0</v>
      </c>
      <c r="I3464">
        <v>0</v>
      </c>
      <c r="J3464">
        <v>-4191695.43</v>
      </c>
      <c r="K3464">
        <v>0</v>
      </c>
      <c r="L3464">
        <v>40508521.75</v>
      </c>
      <c r="M3464">
        <v>44691237.630000003</v>
      </c>
      <c r="N3464">
        <v>40508521.75</v>
      </c>
      <c r="O3464">
        <v>44691237.630000003</v>
      </c>
      <c r="P3464">
        <v>40950968.840000004</v>
      </c>
      <c r="Q3464">
        <v>45142664.270000003</v>
      </c>
      <c r="R3464" s="14">
        <f>_xlfn.XLOOKUP(Table2[[#This Row],[LoanID]],Table1[G-L ID],Table1[ManagerCode],-99)</f>
        <v>103</v>
      </c>
      <c r="T3464"/>
    </row>
    <row r="3465" spans="1:20" x14ac:dyDescent="0.25">
      <c r="A3465">
        <v>20150331</v>
      </c>
      <c r="B3465">
        <v>2015</v>
      </c>
      <c r="C3465">
        <v>3</v>
      </c>
      <c r="D3465">
        <v>1</v>
      </c>
      <c r="E3465">
        <v>11130</v>
      </c>
      <c r="F3465">
        <v>940715.67</v>
      </c>
      <c r="G3465">
        <v>0</v>
      </c>
      <c r="H3465">
        <v>0</v>
      </c>
      <c r="I3465">
        <v>0</v>
      </c>
      <c r="J3465">
        <v>0</v>
      </c>
      <c r="K3465">
        <v>0</v>
      </c>
      <c r="L3465">
        <v>168150000</v>
      </c>
      <c r="M3465">
        <v>168150000</v>
      </c>
      <c r="N3465">
        <v>168150000</v>
      </c>
      <c r="O3465">
        <v>168150000</v>
      </c>
      <c r="P3465">
        <v>177000000</v>
      </c>
      <c r="Q3465">
        <v>177000000</v>
      </c>
      <c r="R3465" s="14">
        <f>_xlfn.XLOOKUP(Table2[[#This Row],[LoanID]],Table1[G-L ID],Table1[ManagerCode],-99)</f>
        <v>103</v>
      </c>
      <c r="T3465"/>
    </row>
    <row r="3466" spans="1:20" x14ac:dyDescent="0.25">
      <c r="A3466">
        <v>20150331</v>
      </c>
      <c r="B3466">
        <v>2015</v>
      </c>
      <c r="C3466">
        <v>3</v>
      </c>
      <c r="D3466">
        <v>1</v>
      </c>
      <c r="E3466">
        <v>11170</v>
      </c>
      <c r="F3466">
        <v>636047.22</v>
      </c>
      <c r="G3466">
        <v>0</v>
      </c>
      <c r="H3466">
        <v>0</v>
      </c>
      <c r="I3466">
        <v>0</v>
      </c>
      <c r="J3466">
        <v>0</v>
      </c>
      <c r="K3466">
        <v>0</v>
      </c>
      <c r="L3466">
        <v>173249826.80000001</v>
      </c>
      <c r="M3466">
        <v>173249826.80000001</v>
      </c>
      <c r="N3466">
        <v>173249826.80000001</v>
      </c>
      <c r="O3466">
        <v>173249826.80000001</v>
      </c>
      <c r="P3466">
        <v>175000000</v>
      </c>
      <c r="Q3466">
        <v>175000000</v>
      </c>
      <c r="R3466" s="14">
        <f>_xlfn.XLOOKUP(Table2[[#This Row],[LoanID]],Table1[G-L ID],Table1[ManagerCode],-99)</f>
        <v>103</v>
      </c>
      <c r="T3466"/>
    </row>
    <row r="3467" spans="1:20" x14ac:dyDescent="0.25">
      <c r="A3467">
        <v>20150331</v>
      </c>
      <c r="B3467">
        <v>2015</v>
      </c>
      <c r="C3467">
        <v>3</v>
      </c>
      <c r="D3467">
        <v>1</v>
      </c>
      <c r="E3467">
        <v>11250</v>
      </c>
      <c r="F3467">
        <v>35009.199999999997</v>
      </c>
      <c r="G3467">
        <v>68893.72</v>
      </c>
      <c r="H3467">
        <v>0</v>
      </c>
      <c r="I3467">
        <v>0</v>
      </c>
      <c r="J3467">
        <v>-2546620.9900000002</v>
      </c>
      <c r="K3467">
        <v>0</v>
      </c>
      <c r="L3467">
        <v>7077065.2300000004</v>
      </c>
      <c r="M3467">
        <v>9692579.9399999995</v>
      </c>
      <c r="N3467">
        <v>7077065.2300000004</v>
      </c>
      <c r="O3467">
        <v>9692579.9399999995</v>
      </c>
      <c r="P3467">
        <v>7077065.2300000004</v>
      </c>
      <c r="Q3467">
        <v>9692579.9399999995</v>
      </c>
      <c r="R3467" s="14">
        <f>_xlfn.XLOOKUP(Table2[[#This Row],[LoanID]],Table1[G-L ID],Table1[ManagerCode],-99)</f>
        <v>183</v>
      </c>
      <c r="T3467"/>
    </row>
    <row r="3468" spans="1:20" x14ac:dyDescent="0.25">
      <c r="A3468">
        <v>20150331</v>
      </c>
      <c r="B3468">
        <v>2015</v>
      </c>
      <c r="C3468">
        <v>3</v>
      </c>
      <c r="D3468">
        <v>1</v>
      </c>
      <c r="E3468">
        <v>11320</v>
      </c>
      <c r="F3468">
        <v>87345.05</v>
      </c>
      <c r="G3468">
        <v>0</v>
      </c>
      <c r="H3468">
        <v>0</v>
      </c>
      <c r="I3468">
        <v>0</v>
      </c>
      <c r="J3468">
        <v>0</v>
      </c>
      <c r="K3468">
        <v>18000</v>
      </c>
      <c r="L3468">
        <v>11856000</v>
      </c>
      <c r="M3468">
        <v>11838000</v>
      </c>
      <c r="N3468">
        <v>11856000</v>
      </c>
      <c r="O3468">
        <v>11838000</v>
      </c>
      <c r="P3468">
        <v>11856000</v>
      </c>
      <c r="Q3468">
        <v>11838000</v>
      </c>
      <c r="R3468" s="14">
        <f>_xlfn.XLOOKUP(Table2[[#This Row],[LoanID]],Table1[G-L ID],Table1[ManagerCode],-99)</f>
        <v>119</v>
      </c>
      <c r="T3468"/>
    </row>
    <row r="3469" spans="1:20" x14ac:dyDescent="0.25">
      <c r="A3469">
        <v>20150331</v>
      </c>
      <c r="B3469">
        <v>2015</v>
      </c>
      <c r="C3469">
        <v>3</v>
      </c>
      <c r="D3469">
        <v>1</v>
      </c>
      <c r="E3469">
        <v>11340</v>
      </c>
      <c r="F3469">
        <v>272222.21999999997</v>
      </c>
      <c r="G3469">
        <v>0</v>
      </c>
      <c r="H3469">
        <v>0</v>
      </c>
      <c r="I3469">
        <v>0</v>
      </c>
      <c r="J3469">
        <v>0</v>
      </c>
      <c r="K3469">
        <v>0</v>
      </c>
      <c r="L3469">
        <v>49500000</v>
      </c>
      <c r="M3469">
        <v>49500000</v>
      </c>
      <c r="N3469">
        <v>49500000</v>
      </c>
      <c r="O3469">
        <v>49500000</v>
      </c>
      <c r="P3469">
        <v>50000000</v>
      </c>
      <c r="Q3469">
        <v>50000000</v>
      </c>
      <c r="R3469" s="14">
        <f>_xlfn.XLOOKUP(Table2[[#This Row],[LoanID]],Table1[G-L ID],Table1[ManagerCode],-99)</f>
        <v>103</v>
      </c>
      <c r="T3469"/>
    </row>
    <row r="3470" spans="1:20" x14ac:dyDescent="0.25">
      <c r="A3470">
        <v>20150331</v>
      </c>
      <c r="B3470">
        <v>2015</v>
      </c>
      <c r="C3470">
        <v>3</v>
      </c>
      <c r="D3470">
        <v>1</v>
      </c>
      <c r="E3470">
        <v>11350</v>
      </c>
      <c r="F3470">
        <v>299444.44</v>
      </c>
      <c r="G3470">
        <v>0</v>
      </c>
      <c r="H3470">
        <v>0</v>
      </c>
      <c r="I3470">
        <v>0</v>
      </c>
      <c r="J3470">
        <v>0</v>
      </c>
      <c r="K3470">
        <v>0</v>
      </c>
      <c r="L3470">
        <v>54449945.549999997</v>
      </c>
      <c r="M3470">
        <v>54449945.549999997</v>
      </c>
      <c r="N3470">
        <v>54449945.549999997</v>
      </c>
      <c r="O3470">
        <v>54449945.549999997</v>
      </c>
      <c r="P3470">
        <v>55000000</v>
      </c>
      <c r="Q3470">
        <v>55000000</v>
      </c>
      <c r="R3470" s="14">
        <f>_xlfn.XLOOKUP(Table2[[#This Row],[LoanID]],Table1[G-L ID],Table1[ManagerCode],-99)</f>
        <v>103</v>
      </c>
      <c r="T3470"/>
    </row>
    <row r="3471" spans="1:20" x14ac:dyDescent="0.25">
      <c r="A3471">
        <v>20150331</v>
      </c>
      <c r="B3471">
        <v>2015</v>
      </c>
      <c r="C3471">
        <v>3</v>
      </c>
      <c r="D3471">
        <v>1</v>
      </c>
      <c r="E3471">
        <v>11370</v>
      </c>
      <c r="F3471">
        <v>46753.78</v>
      </c>
      <c r="G3471">
        <v>0</v>
      </c>
      <c r="H3471">
        <v>0</v>
      </c>
      <c r="I3471">
        <v>0</v>
      </c>
      <c r="J3471">
        <v>-171705.23</v>
      </c>
      <c r="K3471">
        <v>0</v>
      </c>
      <c r="L3471">
        <v>5525000</v>
      </c>
      <c r="M3471">
        <v>5696705.2300000004</v>
      </c>
      <c r="N3471">
        <v>5525000</v>
      </c>
      <c r="O3471">
        <v>5696705.2300000004</v>
      </c>
      <c r="P3471">
        <v>5525000</v>
      </c>
      <c r="Q3471">
        <v>5696705.2300000004</v>
      </c>
      <c r="R3471" s="14">
        <f>_xlfn.XLOOKUP(Table2[[#This Row],[LoanID]],Table1[G-L ID],Table1[ManagerCode],-99)</f>
        <v>119</v>
      </c>
      <c r="T3471"/>
    </row>
    <row r="3472" spans="1:20" x14ac:dyDescent="0.25">
      <c r="A3472">
        <v>20150331</v>
      </c>
      <c r="B3472">
        <v>2015</v>
      </c>
      <c r="C3472">
        <v>3</v>
      </c>
      <c r="D3472">
        <v>1</v>
      </c>
      <c r="E3472">
        <v>11390</v>
      </c>
      <c r="F3472">
        <v>187638.89</v>
      </c>
      <c r="G3472">
        <v>0</v>
      </c>
      <c r="H3472">
        <v>0</v>
      </c>
      <c r="I3472">
        <v>0</v>
      </c>
      <c r="J3472">
        <v>0</v>
      </c>
      <c r="K3472">
        <v>0</v>
      </c>
      <c r="L3472">
        <v>25000000</v>
      </c>
      <c r="M3472">
        <v>25000000</v>
      </c>
      <c r="N3472">
        <v>25000000</v>
      </c>
      <c r="O3472">
        <v>25000000</v>
      </c>
      <c r="P3472">
        <v>25000000</v>
      </c>
      <c r="Q3472">
        <v>25000000</v>
      </c>
      <c r="R3472" s="14">
        <f>_xlfn.XLOOKUP(Table2[[#This Row],[LoanID]],Table1[G-L ID],Table1[ManagerCode],-99)</f>
        <v>220</v>
      </c>
      <c r="T3472"/>
    </row>
    <row r="3473" spans="1:20" x14ac:dyDescent="0.25">
      <c r="A3473">
        <v>20150331</v>
      </c>
      <c r="B3473">
        <v>2015</v>
      </c>
      <c r="C3473">
        <v>3</v>
      </c>
      <c r="D3473">
        <v>1</v>
      </c>
      <c r="E3473">
        <v>11480</v>
      </c>
      <c r="F3473">
        <v>322420</v>
      </c>
      <c r="G3473">
        <v>0</v>
      </c>
      <c r="H3473">
        <v>0</v>
      </c>
      <c r="I3473">
        <v>0</v>
      </c>
      <c r="J3473">
        <v>0</v>
      </c>
      <c r="K3473">
        <v>0</v>
      </c>
      <c r="L3473">
        <v>66500000</v>
      </c>
      <c r="M3473">
        <v>66500000</v>
      </c>
      <c r="N3473">
        <v>66500000</v>
      </c>
      <c r="O3473">
        <v>66500000</v>
      </c>
      <c r="P3473">
        <v>70000000</v>
      </c>
      <c r="Q3473">
        <v>70000000</v>
      </c>
      <c r="R3473" s="14">
        <f>_xlfn.XLOOKUP(Table2[[#This Row],[LoanID]],Table1[G-L ID],Table1[ManagerCode],-99)</f>
        <v>103</v>
      </c>
      <c r="T3473"/>
    </row>
    <row r="3474" spans="1:20" x14ac:dyDescent="0.25">
      <c r="A3474">
        <v>20150331</v>
      </c>
      <c r="B3474">
        <v>2015</v>
      </c>
      <c r="C3474">
        <v>3</v>
      </c>
      <c r="D3474">
        <v>1</v>
      </c>
      <c r="E3474">
        <v>11490</v>
      </c>
      <c r="F3474">
        <v>306802.21999999997</v>
      </c>
      <c r="G3474">
        <v>0</v>
      </c>
      <c r="H3474">
        <v>0</v>
      </c>
      <c r="I3474">
        <v>0</v>
      </c>
      <c r="J3474">
        <v>0</v>
      </c>
      <c r="K3474">
        <v>0</v>
      </c>
      <c r="L3474">
        <v>49500000</v>
      </c>
      <c r="M3474">
        <v>49500000</v>
      </c>
      <c r="N3474">
        <v>49500000</v>
      </c>
      <c r="O3474">
        <v>49500000</v>
      </c>
      <c r="P3474">
        <v>55000000</v>
      </c>
      <c r="Q3474">
        <v>55000000</v>
      </c>
      <c r="R3474" s="14">
        <f>_xlfn.XLOOKUP(Table2[[#This Row],[LoanID]],Table1[G-L ID],Table1[ManagerCode],-99)</f>
        <v>103</v>
      </c>
      <c r="T3474"/>
    </row>
    <row r="3475" spans="1:20" x14ac:dyDescent="0.25">
      <c r="A3475">
        <v>20150331</v>
      </c>
      <c r="B3475">
        <v>2015</v>
      </c>
      <c r="C3475">
        <v>3</v>
      </c>
      <c r="D3475">
        <v>1</v>
      </c>
      <c r="E3475">
        <v>11540</v>
      </c>
      <c r="F3475">
        <v>71337.78</v>
      </c>
      <c r="G3475">
        <v>0</v>
      </c>
      <c r="H3475">
        <v>0</v>
      </c>
      <c r="I3475">
        <v>0</v>
      </c>
      <c r="J3475">
        <v>0</v>
      </c>
      <c r="K3475">
        <v>10000000</v>
      </c>
      <c r="L3475">
        <v>10000000</v>
      </c>
      <c r="M3475">
        <v>0</v>
      </c>
      <c r="N3475">
        <v>10000000</v>
      </c>
      <c r="O3475">
        <v>0</v>
      </c>
      <c r="P3475">
        <v>10000000</v>
      </c>
      <c r="Q3475">
        <v>0</v>
      </c>
      <c r="R3475" s="14">
        <f>_xlfn.XLOOKUP(Table2[[#This Row],[LoanID]],Table1[G-L ID],Table1[ManagerCode],-99)</f>
        <v>220</v>
      </c>
      <c r="T3475"/>
    </row>
    <row r="3476" spans="1:20" x14ac:dyDescent="0.25">
      <c r="A3476">
        <v>20150331</v>
      </c>
      <c r="B3476">
        <v>2015</v>
      </c>
      <c r="C3476">
        <v>3</v>
      </c>
      <c r="D3476">
        <v>1</v>
      </c>
      <c r="E3476">
        <v>11550</v>
      </c>
      <c r="F3476">
        <v>114882.44</v>
      </c>
      <c r="G3476">
        <v>0</v>
      </c>
      <c r="H3476">
        <v>0</v>
      </c>
      <c r="I3476">
        <v>0</v>
      </c>
      <c r="J3476">
        <v>0</v>
      </c>
      <c r="K3476">
        <v>23000000</v>
      </c>
      <c r="L3476">
        <v>22770000</v>
      </c>
      <c r="M3476">
        <v>0</v>
      </c>
      <c r="N3476">
        <v>22770000</v>
      </c>
      <c r="O3476">
        <v>0</v>
      </c>
      <c r="P3476">
        <v>23000000</v>
      </c>
      <c r="Q3476">
        <v>0</v>
      </c>
      <c r="R3476" s="14">
        <f>_xlfn.XLOOKUP(Table2[[#This Row],[LoanID]],Table1[G-L ID],Table1[ManagerCode],-99)</f>
        <v>103</v>
      </c>
      <c r="T3476"/>
    </row>
    <row r="3477" spans="1:20" x14ac:dyDescent="0.25">
      <c r="A3477">
        <v>20150331</v>
      </c>
      <c r="B3477">
        <v>2015</v>
      </c>
      <c r="C3477">
        <v>3</v>
      </c>
      <c r="D3477">
        <v>1</v>
      </c>
      <c r="E3477">
        <v>11560</v>
      </c>
      <c r="F3477">
        <v>199000</v>
      </c>
      <c r="G3477">
        <v>91066.8</v>
      </c>
      <c r="H3477">
        <v>0</v>
      </c>
      <c r="I3477">
        <v>0</v>
      </c>
      <c r="J3477">
        <v>0</v>
      </c>
      <c r="K3477">
        <v>0</v>
      </c>
      <c r="L3477">
        <v>14727829.18</v>
      </c>
      <c r="M3477">
        <v>14818895.98</v>
      </c>
      <c r="N3477">
        <v>14727829.18</v>
      </c>
      <c r="O3477">
        <v>14818895.98</v>
      </c>
      <c r="P3477">
        <v>14727829.18</v>
      </c>
      <c r="Q3477">
        <v>14818895.98</v>
      </c>
      <c r="R3477" s="14">
        <f>_xlfn.XLOOKUP(Table2[[#This Row],[LoanID]],Table1[G-L ID],Table1[ManagerCode],-99)</f>
        <v>183</v>
      </c>
      <c r="T3477"/>
    </row>
    <row r="3478" spans="1:20" x14ac:dyDescent="0.25">
      <c r="A3478">
        <v>20150331</v>
      </c>
      <c r="B3478">
        <v>2015</v>
      </c>
      <c r="C3478">
        <v>3</v>
      </c>
      <c r="D3478">
        <v>1</v>
      </c>
      <c r="E3478">
        <v>11580</v>
      </c>
      <c r="F3478">
        <v>104193.83</v>
      </c>
      <c r="G3478">
        <v>0</v>
      </c>
      <c r="H3478">
        <v>0</v>
      </c>
      <c r="I3478">
        <v>0</v>
      </c>
      <c r="J3478">
        <v>0</v>
      </c>
      <c r="K3478">
        <v>0</v>
      </c>
      <c r="L3478">
        <v>15000000</v>
      </c>
      <c r="M3478">
        <v>15000000</v>
      </c>
      <c r="N3478">
        <v>15000000</v>
      </c>
      <c r="O3478">
        <v>15000000</v>
      </c>
      <c r="P3478">
        <v>15000000</v>
      </c>
      <c r="Q3478">
        <v>15000000</v>
      </c>
      <c r="R3478" s="14">
        <f>_xlfn.XLOOKUP(Table2[[#This Row],[LoanID]],Table1[G-L ID],Table1[ManagerCode],-99)</f>
        <v>119</v>
      </c>
      <c r="T3478"/>
    </row>
    <row r="3479" spans="1:20" x14ac:dyDescent="0.25">
      <c r="A3479">
        <v>20150331</v>
      </c>
      <c r="B3479">
        <v>2015</v>
      </c>
      <c r="C3479">
        <v>3</v>
      </c>
      <c r="D3479">
        <v>1</v>
      </c>
      <c r="E3479">
        <v>11590</v>
      </c>
      <c r="F3479">
        <v>21140.77</v>
      </c>
      <c r="G3479">
        <v>0</v>
      </c>
      <c r="H3479">
        <v>0</v>
      </c>
      <c r="I3479">
        <v>0</v>
      </c>
      <c r="J3479">
        <v>0</v>
      </c>
      <c r="K3479">
        <v>0</v>
      </c>
      <c r="L3479">
        <v>3507224.44</v>
      </c>
      <c r="M3479">
        <v>3507224.44</v>
      </c>
      <c r="N3479">
        <v>3507224.44</v>
      </c>
      <c r="O3479">
        <v>3507224.44</v>
      </c>
      <c r="P3479">
        <v>3507224.44</v>
      </c>
      <c r="Q3479">
        <v>3507224.44</v>
      </c>
      <c r="R3479" s="14">
        <f>_xlfn.XLOOKUP(Table2[[#This Row],[LoanID]],Table1[G-L ID],Table1[ManagerCode],-99)</f>
        <v>119</v>
      </c>
      <c r="T3479"/>
    </row>
    <row r="3480" spans="1:20" x14ac:dyDescent="0.25">
      <c r="A3480">
        <v>20150331</v>
      </c>
      <c r="B3480">
        <v>2015</v>
      </c>
      <c r="C3480">
        <v>3</v>
      </c>
      <c r="D3480">
        <v>1</v>
      </c>
      <c r="E3480">
        <v>11650</v>
      </c>
      <c r="F3480">
        <v>75000</v>
      </c>
      <c r="G3480">
        <v>0</v>
      </c>
      <c r="H3480">
        <v>0</v>
      </c>
      <c r="I3480">
        <v>0</v>
      </c>
      <c r="J3480">
        <v>0</v>
      </c>
      <c r="K3480">
        <v>0</v>
      </c>
      <c r="L3480">
        <v>9600000</v>
      </c>
      <c r="M3480">
        <v>9600000</v>
      </c>
      <c r="N3480">
        <v>9600000</v>
      </c>
      <c r="O3480">
        <v>9600000</v>
      </c>
      <c r="P3480">
        <v>12000000</v>
      </c>
      <c r="Q3480">
        <v>12000000</v>
      </c>
      <c r="R3480" s="14">
        <f>_xlfn.XLOOKUP(Table2[[#This Row],[LoanID]],Table1[G-L ID],Table1[ManagerCode],-99)</f>
        <v>103</v>
      </c>
      <c r="T3480"/>
    </row>
    <row r="3481" spans="1:20" x14ac:dyDescent="0.25">
      <c r="A3481">
        <v>20150331</v>
      </c>
      <c r="B3481">
        <v>2015</v>
      </c>
      <c r="C3481">
        <v>3</v>
      </c>
      <c r="D3481">
        <v>1</v>
      </c>
      <c r="E3481">
        <v>11660</v>
      </c>
      <c r="F3481">
        <v>0</v>
      </c>
      <c r="G3481">
        <v>0</v>
      </c>
      <c r="H3481">
        <v>0</v>
      </c>
      <c r="I3481">
        <v>0</v>
      </c>
      <c r="J3481">
        <v>0</v>
      </c>
      <c r="K3481">
        <v>0</v>
      </c>
      <c r="L3481">
        <v>27647178</v>
      </c>
      <c r="M3481">
        <v>27647178</v>
      </c>
      <c r="N3481">
        <v>27647178</v>
      </c>
      <c r="O3481">
        <v>27647178</v>
      </c>
      <c r="P3481">
        <v>27647178</v>
      </c>
      <c r="Q3481">
        <v>27647178</v>
      </c>
      <c r="R3481" s="14">
        <f>_xlfn.XLOOKUP(Table2[[#This Row],[LoanID]],Table1[G-L ID],Table1[ManagerCode],-99)</f>
        <v>183</v>
      </c>
      <c r="T3481"/>
    </row>
    <row r="3482" spans="1:20" x14ac:dyDescent="0.25">
      <c r="A3482">
        <v>20150331</v>
      </c>
      <c r="B3482">
        <v>2015</v>
      </c>
      <c r="C3482">
        <v>3</v>
      </c>
      <c r="D3482">
        <v>1</v>
      </c>
      <c r="E3482">
        <v>11680</v>
      </c>
      <c r="F3482">
        <v>57126.559999999998</v>
      </c>
      <c r="G3482">
        <v>0</v>
      </c>
      <c r="H3482">
        <v>0</v>
      </c>
      <c r="I3482">
        <v>0</v>
      </c>
      <c r="J3482">
        <v>0</v>
      </c>
      <c r="K3482">
        <v>0</v>
      </c>
      <c r="L3482">
        <v>6600000</v>
      </c>
      <c r="M3482">
        <v>6600000</v>
      </c>
      <c r="N3482">
        <v>6600000</v>
      </c>
      <c r="O3482">
        <v>6600000</v>
      </c>
      <c r="P3482">
        <v>6600000</v>
      </c>
      <c r="Q3482">
        <v>6600000</v>
      </c>
      <c r="R3482" s="14">
        <f>_xlfn.XLOOKUP(Table2[[#This Row],[LoanID]],Table1[G-L ID],Table1[ManagerCode],-99)</f>
        <v>183</v>
      </c>
      <c r="T3482"/>
    </row>
    <row r="3483" spans="1:20" x14ac:dyDescent="0.25">
      <c r="A3483">
        <v>20150331</v>
      </c>
      <c r="B3483">
        <v>2015</v>
      </c>
      <c r="C3483">
        <v>3</v>
      </c>
      <c r="D3483">
        <v>1</v>
      </c>
      <c r="E3483">
        <v>11710</v>
      </c>
      <c r="F3483">
        <v>114577.17</v>
      </c>
      <c r="G3483">
        <v>0</v>
      </c>
      <c r="H3483">
        <v>0</v>
      </c>
      <c r="I3483">
        <v>0</v>
      </c>
      <c r="J3483">
        <v>0</v>
      </c>
      <c r="K3483">
        <v>0</v>
      </c>
      <c r="L3483">
        <v>15000000</v>
      </c>
      <c r="M3483">
        <v>15000000</v>
      </c>
      <c r="N3483">
        <v>15000000</v>
      </c>
      <c r="O3483">
        <v>15000000</v>
      </c>
      <c r="P3483">
        <v>15000000</v>
      </c>
      <c r="Q3483">
        <v>15000000</v>
      </c>
      <c r="R3483" s="14">
        <f>_xlfn.XLOOKUP(Table2[[#This Row],[LoanID]],Table1[G-L ID],Table1[ManagerCode],-99)</f>
        <v>119</v>
      </c>
      <c r="T3483"/>
    </row>
    <row r="3484" spans="1:20" x14ac:dyDescent="0.25">
      <c r="A3484">
        <v>20150331</v>
      </c>
      <c r="B3484">
        <v>2015</v>
      </c>
      <c r="C3484">
        <v>3</v>
      </c>
      <c r="D3484">
        <v>1</v>
      </c>
      <c r="E3484">
        <v>11720</v>
      </c>
      <c r="F3484">
        <v>116666.67</v>
      </c>
      <c r="G3484">
        <v>0</v>
      </c>
      <c r="H3484">
        <v>0</v>
      </c>
      <c r="I3484">
        <v>0</v>
      </c>
      <c r="J3484">
        <v>0</v>
      </c>
      <c r="K3484">
        <v>0</v>
      </c>
      <c r="L3484">
        <v>19800000</v>
      </c>
      <c r="M3484">
        <v>19800000</v>
      </c>
      <c r="N3484">
        <v>19800000</v>
      </c>
      <c r="O3484">
        <v>19800000</v>
      </c>
      <c r="P3484">
        <v>20000000</v>
      </c>
      <c r="Q3484">
        <v>20000000</v>
      </c>
      <c r="R3484" s="14">
        <f>_xlfn.XLOOKUP(Table2[[#This Row],[LoanID]],Table1[G-L ID],Table1[ManagerCode],-99)</f>
        <v>103</v>
      </c>
      <c r="T3484"/>
    </row>
    <row r="3485" spans="1:20" x14ac:dyDescent="0.25">
      <c r="A3485">
        <v>20150331</v>
      </c>
      <c r="B3485">
        <v>2015</v>
      </c>
      <c r="C3485">
        <v>3</v>
      </c>
      <c r="D3485">
        <v>1</v>
      </c>
      <c r="E3485">
        <v>11730</v>
      </c>
      <c r="F3485">
        <v>42381.48</v>
      </c>
      <c r="G3485">
        <v>0</v>
      </c>
      <c r="H3485">
        <v>0</v>
      </c>
      <c r="I3485">
        <v>0</v>
      </c>
      <c r="J3485">
        <v>0</v>
      </c>
      <c r="K3485">
        <v>0</v>
      </c>
      <c r="L3485">
        <v>4750000</v>
      </c>
      <c r="M3485">
        <v>4750000</v>
      </c>
      <c r="N3485">
        <v>4750000</v>
      </c>
      <c r="O3485">
        <v>4750000</v>
      </c>
      <c r="P3485">
        <v>4750000</v>
      </c>
      <c r="Q3485">
        <v>4750000</v>
      </c>
      <c r="R3485" s="14">
        <f>_xlfn.XLOOKUP(Table2[[#This Row],[LoanID]],Table1[G-L ID],Table1[ManagerCode],-99)</f>
        <v>119</v>
      </c>
      <c r="T3485"/>
    </row>
    <row r="3486" spans="1:20" x14ac:dyDescent="0.25">
      <c r="A3486">
        <v>20150331</v>
      </c>
      <c r="B3486">
        <v>2015</v>
      </c>
      <c r="C3486">
        <v>3</v>
      </c>
      <c r="D3486">
        <v>1</v>
      </c>
      <c r="E3486">
        <v>11740</v>
      </c>
      <c r="F3486">
        <v>191100</v>
      </c>
      <c r="G3486">
        <v>0</v>
      </c>
      <c r="H3486">
        <v>0</v>
      </c>
      <c r="I3486">
        <v>0</v>
      </c>
      <c r="J3486">
        <v>0</v>
      </c>
      <c r="K3486">
        <v>0</v>
      </c>
      <c r="L3486">
        <v>19110000</v>
      </c>
      <c r="M3486">
        <v>19110000</v>
      </c>
      <c r="N3486">
        <v>19110000</v>
      </c>
      <c r="O3486">
        <v>19110000</v>
      </c>
      <c r="P3486">
        <v>19110000</v>
      </c>
      <c r="Q3486">
        <v>19110000</v>
      </c>
      <c r="R3486" s="14">
        <f>_xlfn.XLOOKUP(Table2[[#This Row],[LoanID]],Table1[G-L ID],Table1[ManagerCode],-99)</f>
        <v>183</v>
      </c>
      <c r="T3486"/>
    </row>
    <row r="3487" spans="1:20" x14ac:dyDescent="0.25">
      <c r="A3487">
        <v>20150331</v>
      </c>
      <c r="B3487">
        <v>2015</v>
      </c>
      <c r="C3487">
        <v>3</v>
      </c>
      <c r="D3487">
        <v>1</v>
      </c>
      <c r="E3487">
        <v>11810</v>
      </c>
      <c r="F3487">
        <v>49388.94</v>
      </c>
      <c r="G3487">
        <v>0</v>
      </c>
      <c r="H3487">
        <v>0</v>
      </c>
      <c r="I3487">
        <v>0</v>
      </c>
      <c r="J3487">
        <v>0</v>
      </c>
      <c r="K3487">
        <v>11469.15</v>
      </c>
      <c r="L3487">
        <v>9556036.0399999991</v>
      </c>
      <c r="M3487">
        <v>9544681.5800000001</v>
      </c>
      <c r="N3487">
        <v>9556036.0399999991</v>
      </c>
      <c r="O3487">
        <v>9544681.5800000001</v>
      </c>
      <c r="P3487">
        <v>9652561.6500000004</v>
      </c>
      <c r="Q3487">
        <v>9641092.5</v>
      </c>
      <c r="R3487" s="14">
        <f>_xlfn.XLOOKUP(Table2[[#This Row],[LoanID]],Table1[G-L ID],Table1[ManagerCode],-99)</f>
        <v>103</v>
      </c>
      <c r="T3487"/>
    </row>
    <row r="3488" spans="1:20" x14ac:dyDescent="0.25">
      <c r="A3488">
        <v>20150331</v>
      </c>
      <c r="B3488">
        <v>2015</v>
      </c>
      <c r="C3488">
        <v>3</v>
      </c>
      <c r="D3488">
        <v>1</v>
      </c>
      <c r="E3488">
        <v>11880</v>
      </c>
      <c r="F3488">
        <v>255358.21</v>
      </c>
      <c r="G3488">
        <v>131586.87</v>
      </c>
      <c r="H3488">
        <v>0</v>
      </c>
      <c r="I3488">
        <v>0</v>
      </c>
      <c r="J3488">
        <v>-2178059.33</v>
      </c>
      <c r="K3488">
        <v>0</v>
      </c>
      <c r="L3488">
        <v>54958870.979999997</v>
      </c>
      <c r="M3488">
        <v>57268517.18</v>
      </c>
      <c r="N3488">
        <v>54958870.979999997</v>
      </c>
      <c r="O3488">
        <v>57268517.18</v>
      </c>
      <c r="P3488">
        <v>54958870.979999997</v>
      </c>
      <c r="Q3488">
        <v>57268517.18</v>
      </c>
      <c r="R3488" s="14">
        <f>_xlfn.XLOOKUP(Table2[[#This Row],[LoanID]],Table1[G-L ID],Table1[ManagerCode],-99)</f>
        <v>183</v>
      </c>
      <c r="T3488"/>
    </row>
    <row r="3489" spans="1:20" x14ac:dyDescent="0.25">
      <c r="A3489">
        <v>20150331</v>
      </c>
      <c r="B3489">
        <v>2015</v>
      </c>
      <c r="C3489">
        <v>3</v>
      </c>
      <c r="D3489">
        <v>1</v>
      </c>
      <c r="E3489">
        <v>11990</v>
      </c>
      <c r="F3489">
        <v>90661.67</v>
      </c>
      <c r="G3489">
        <v>0</v>
      </c>
      <c r="H3489">
        <v>0</v>
      </c>
      <c r="I3489">
        <v>0</v>
      </c>
      <c r="J3489">
        <v>0</v>
      </c>
      <c r="K3489">
        <v>0</v>
      </c>
      <c r="L3489">
        <v>15000000</v>
      </c>
      <c r="M3489">
        <v>15000000</v>
      </c>
      <c r="N3489">
        <v>15000000</v>
      </c>
      <c r="O3489">
        <v>15000000</v>
      </c>
      <c r="P3489">
        <v>15000000</v>
      </c>
      <c r="Q3489">
        <v>15000000</v>
      </c>
      <c r="R3489" s="14">
        <f>_xlfn.XLOOKUP(Table2[[#This Row],[LoanID]],Table1[G-L ID],Table1[ManagerCode],-99)</f>
        <v>220</v>
      </c>
      <c r="T3489"/>
    </row>
    <row r="3490" spans="1:20" x14ac:dyDescent="0.25">
      <c r="A3490">
        <v>20150331</v>
      </c>
      <c r="B3490">
        <v>2015</v>
      </c>
      <c r="C3490">
        <v>3</v>
      </c>
      <c r="D3490">
        <v>1</v>
      </c>
      <c r="E3490">
        <v>12080</v>
      </c>
      <c r="F3490">
        <v>261403.78</v>
      </c>
      <c r="G3490">
        <v>0</v>
      </c>
      <c r="H3490">
        <v>0</v>
      </c>
      <c r="I3490">
        <v>0</v>
      </c>
      <c r="J3490">
        <v>0</v>
      </c>
      <c r="K3490">
        <v>0</v>
      </c>
      <c r="L3490">
        <v>35678405.18</v>
      </c>
      <c r="M3490">
        <v>35678405.18</v>
      </c>
      <c r="N3490">
        <v>35678405.18</v>
      </c>
      <c r="O3490">
        <v>35678405.18</v>
      </c>
      <c r="P3490">
        <v>35678405.18</v>
      </c>
      <c r="Q3490">
        <v>35678405.18</v>
      </c>
      <c r="R3490" s="14">
        <f>_xlfn.XLOOKUP(Table2[[#This Row],[LoanID]],Table1[G-L ID],Table1[ManagerCode],-99)</f>
        <v>119</v>
      </c>
      <c r="T3490"/>
    </row>
    <row r="3491" spans="1:20" x14ac:dyDescent="0.25">
      <c r="A3491">
        <v>20150331</v>
      </c>
      <c r="B3491">
        <v>2015</v>
      </c>
      <c r="C3491">
        <v>3</v>
      </c>
      <c r="D3491">
        <v>1</v>
      </c>
      <c r="E3491">
        <v>12160</v>
      </c>
      <c r="F3491">
        <v>65870.14</v>
      </c>
      <c r="G3491">
        <v>89223.02</v>
      </c>
      <c r="H3491">
        <v>0</v>
      </c>
      <c r="I3491">
        <v>0</v>
      </c>
      <c r="J3491">
        <v>-625679.43999999994</v>
      </c>
      <c r="K3491">
        <v>0</v>
      </c>
      <c r="L3491">
        <v>14521794.140000001</v>
      </c>
      <c r="M3491">
        <v>15236696.6</v>
      </c>
      <c r="N3491">
        <v>14521794.140000001</v>
      </c>
      <c r="O3491">
        <v>15236696.6</v>
      </c>
      <c r="P3491">
        <v>14521794.140000001</v>
      </c>
      <c r="Q3491">
        <v>15236696.6</v>
      </c>
      <c r="R3491" s="14">
        <f>_xlfn.XLOOKUP(Table2[[#This Row],[LoanID]],Table1[G-L ID],Table1[ManagerCode],-99)</f>
        <v>183</v>
      </c>
      <c r="T3491"/>
    </row>
    <row r="3492" spans="1:20" x14ac:dyDescent="0.25">
      <c r="A3492">
        <v>20150331</v>
      </c>
      <c r="B3492">
        <v>2015</v>
      </c>
      <c r="C3492">
        <v>3</v>
      </c>
      <c r="D3492">
        <v>1</v>
      </c>
      <c r="E3492">
        <v>12180</v>
      </c>
      <c r="F3492">
        <v>210972.22</v>
      </c>
      <c r="G3492">
        <v>0</v>
      </c>
      <c r="H3492">
        <v>0</v>
      </c>
      <c r="I3492">
        <v>0</v>
      </c>
      <c r="J3492">
        <v>0</v>
      </c>
      <c r="K3492">
        <v>0</v>
      </c>
      <c r="L3492">
        <v>35000000</v>
      </c>
      <c r="M3492">
        <v>35000000</v>
      </c>
      <c r="N3492">
        <v>35000000</v>
      </c>
      <c r="O3492">
        <v>35000000</v>
      </c>
      <c r="P3492">
        <v>35000000</v>
      </c>
      <c r="Q3492">
        <v>35000000</v>
      </c>
      <c r="R3492" s="14">
        <f>_xlfn.XLOOKUP(Table2[[#This Row],[LoanID]],Table1[G-L ID],Table1[ManagerCode],-99)</f>
        <v>220</v>
      </c>
      <c r="T3492"/>
    </row>
    <row r="3493" spans="1:20" x14ac:dyDescent="0.25">
      <c r="A3493">
        <v>20150331</v>
      </c>
      <c r="B3493">
        <v>2015</v>
      </c>
      <c r="C3493">
        <v>3</v>
      </c>
      <c r="D3493">
        <v>1</v>
      </c>
      <c r="E3493">
        <v>12190</v>
      </c>
      <c r="F3493">
        <v>256083.33</v>
      </c>
      <c r="G3493">
        <v>0</v>
      </c>
      <c r="H3493">
        <v>0</v>
      </c>
      <c r="I3493">
        <v>0</v>
      </c>
      <c r="J3493">
        <v>0</v>
      </c>
      <c r="K3493">
        <v>0</v>
      </c>
      <c r="L3493">
        <v>37500000</v>
      </c>
      <c r="M3493">
        <v>37500000</v>
      </c>
      <c r="N3493">
        <v>37500000</v>
      </c>
      <c r="O3493">
        <v>37500000</v>
      </c>
      <c r="P3493">
        <v>37500000</v>
      </c>
      <c r="Q3493">
        <v>37500000</v>
      </c>
      <c r="R3493" s="14">
        <f>_xlfn.XLOOKUP(Table2[[#This Row],[LoanID]],Table1[G-L ID],Table1[ManagerCode],-99)</f>
        <v>220</v>
      </c>
      <c r="T3493"/>
    </row>
    <row r="3494" spans="1:20" x14ac:dyDescent="0.25">
      <c r="A3494">
        <v>20150331</v>
      </c>
      <c r="B3494">
        <v>2015</v>
      </c>
      <c r="C3494">
        <v>3</v>
      </c>
      <c r="D3494">
        <v>1</v>
      </c>
      <c r="E3494">
        <v>12210</v>
      </c>
      <c r="F3494">
        <v>673219.08</v>
      </c>
      <c r="G3494">
        <v>0</v>
      </c>
      <c r="H3494">
        <v>0</v>
      </c>
      <c r="I3494">
        <v>0</v>
      </c>
      <c r="J3494">
        <v>0</v>
      </c>
      <c r="K3494">
        <v>224450.73</v>
      </c>
      <c r="L3494">
        <v>122577136.8</v>
      </c>
      <c r="M3494">
        <v>122081160.2</v>
      </c>
      <c r="N3494">
        <v>122577136.8</v>
      </c>
      <c r="O3494">
        <v>122081160.2</v>
      </c>
      <c r="P3494">
        <v>108927934.09999999</v>
      </c>
      <c r="Q3494">
        <v>108703483.3</v>
      </c>
      <c r="R3494" s="14">
        <f>_xlfn.XLOOKUP(Table2[[#This Row],[LoanID]],Table1[G-L ID],Table1[ManagerCode],-99)</f>
        <v>103</v>
      </c>
      <c r="T3494"/>
    </row>
    <row r="3495" spans="1:20" x14ac:dyDescent="0.25">
      <c r="A3495">
        <v>20150331</v>
      </c>
      <c r="B3495">
        <v>2015</v>
      </c>
      <c r="C3495">
        <v>3</v>
      </c>
      <c r="D3495">
        <v>1</v>
      </c>
      <c r="E3495">
        <v>12230</v>
      </c>
      <c r="F3495">
        <v>102840.91</v>
      </c>
      <c r="G3495">
        <v>0</v>
      </c>
      <c r="H3495">
        <v>0</v>
      </c>
      <c r="I3495">
        <v>0</v>
      </c>
      <c r="J3495">
        <v>0</v>
      </c>
      <c r="K3495">
        <v>0</v>
      </c>
      <c r="L3495">
        <v>20230000</v>
      </c>
      <c r="M3495">
        <v>20153000</v>
      </c>
      <c r="N3495">
        <v>13749449.5</v>
      </c>
      <c r="O3495">
        <v>13672449.5</v>
      </c>
      <c r="P3495">
        <v>19443597.32</v>
      </c>
      <c r="Q3495">
        <v>19443597.32</v>
      </c>
      <c r="R3495" s="14">
        <f>_xlfn.XLOOKUP(Table2[[#This Row],[LoanID]],Table1[G-L ID],Table1[ManagerCode],-99)</f>
        <v>183</v>
      </c>
      <c r="T3495"/>
    </row>
    <row r="3496" spans="1:20" x14ac:dyDescent="0.25">
      <c r="A3496">
        <v>20150331</v>
      </c>
      <c r="B3496">
        <v>2015</v>
      </c>
      <c r="C3496">
        <v>3</v>
      </c>
      <c r="D3496">
        <v>1</v>
      </c>
      <c r="E3496">
        <v>12240</v>
      </c>
      <c r="F3496">
        <v>0</v>
      </c>
      <c r="G3496">
        <v>1303678.1499999999</v>
      </c>
      <c r="H3496">
        <v>0</v>
      </c>
      <c r="I3496">
        <v>0</v>
      </c>
      <c r="J3496">
        <v>-6885205.8600000003</v>
      </c>
      <c r="K3496">
        <v>0</v>
      </c>
      <c r="L3496">
        <v>72152379.569999993</v>
      </c>
      <c r="M3496">
        <v>80341263.579999998</v>
      </c>
      <c r="N3496">
        <v>72152379.569999993</v>
      </c>
      <c r="O3496">
        <v>80341263.579999998</v>
      </c>
      <c r="P3496">
        <v>72152379.569999993</v>
      </c>
      <c r="Q3496">
        <v>80341263.579999998</v>
      </c>
      <c r="R3496" s="14">
        <f>_xlfn.XLOOKUP(Table2[[#This Row],[LoanID]],Table1[G-L ID],Table1[ManagerCode],-99)</f>
        <v>183</v>
      </c>
      <c r="T3496"/>
    </row>
    <row r="3497" spans="1:20" x14ac:dyDescent="0.25">
      <c r="A3497">
        <v>20150331</v>
      </c>
      <c r="B3497">
        <v>2015</v>
      </c>
      <c r="C3497">
        <v>3</v>
      </c>
      <c r="D3497">
        <v>1</v>
      </c>
      <c r="E3497">
        <v>13630</v>
      </c>
      <c r="F3497">
        <v>197361.11</v>
      </c>
      <c r="G3497">
        <v>0</v>
      </c>
      <c r="H3497">
        <v>0</v>
      </c>
      <c r="I3497">
        <v>0</v>
      </c>
      <c r="J3497">
        <v>0</v>
      </c>
      <c r="K3497">
        <v>0</v>
      </c>
      <c r="L3497">
        <v>35000000</v>
      </c>
      <c r="M3497">
        <v>35000000</v>
      </c>
      <c r="N3497">
        <v>35000000</v>
      </c>
      <c r="O3497">
        <v>35000000</v>
      </c>
      <c r="P3497">
        <v>35000000</v>
      </c>
      <c r="Q3497">
        <v>35000000</v>
      </c>
      <c r="R3497" s="14">
        <f>_xlfn.XLOOKUP(Table2[[#This Row],[LoanID]],Table1[G-L ID],Table1[ManagerCode],-99)</f>
        <v>298</v>
      </c>
      <c r="T3497"/>
    </row>
    <row r="3498" spans="1:20" x14ac:dyDescent="0.25">
      <c r="A3498">
        <v>20150331</v>
      </c>
      <c r="B3498">
        <v>2015</v>
      </c>
      <c r="C3498">
        <v>3</v>
      </c>
      <c r="D3498">
        <v>1</v>
      </c>
      <c r="E3498">
        <v>13670</v>
      </c>
      <c r="F3498">
        <v>252933.34</v>
      </c>
      <c r="G3498">
        <v>0</v>
      </c>
      <c r="H3498">
        <v>0</v>
      </c>
      <c r="I3498">
        <v>0</v>
      </c>
      <c r="J3498">
        <v>0</v>
      </c>
      <c r="K3498">
        <v>0</v>
      </c>
      <c r="L3498">
        <v>37500000</v>
      </c>
      <c r="M3498">
        <v>37500000</v>
      </c>
      <c r="N3498">
        <v>37500000</v>
      </c>
      <c r="O3498">
        <v>37500000</v>
      </c>
      <c r="P3498">
        <v>37500000</v>
      </c>
      <c r="Q3498">
        <v>37500000</v>
      </c>
      <c r="R3498" s="14">
        <f>_xlfn.XLOOKUP(Table2[[#This Row],[LoanID]],Table1[G-L ID],Table1[ManagerCode],-99)</f>
        <v>298</v>
      </c>
      <c r="T3498"/>
    </row>
    <row r="3499" spans="1:20" x14ac:dyDescent="0.25">
      <c r="A3499">
        <v>20150331</v>
      </c>
      <c r="B3499">
        <v>2015</v>
      </c>
      <c r="C3499">
        <v>3</v>
      </c>
      <c r="D3499">
        <v>1</v>
      </c>
      <c r="E3499">
        <v>13680</v>
      </c>
      <c r="F3499">
        <v>126875</v>
      </c>
      <c r="G3499">
        <v>0</v>
      </c>
      <c r="H3499">
        <v>0</v>
      </c>
      <c r="I3499">
        <v>0</v>
      </c>
      <c r="J3499">
        <v>0</v>
      </c>
      <c r="K3499">
        <v>0</v>
      </c>
      <c r="L3499">
        <v>18000000</v>
      </c>
      <c r="M3499">
        <v>18000000</v>
      </c>
      <c r="N3499">
        <v>18000000</v>
      </c>
      <c r="O3499">
        <v>18000000</v>
      </c>
      <c r="P3499">
        <v>18000000</v>
      </c>
      <c r="Q3499">
        <v>18000000</v>
      </c>
      <c r="R3499" s="14">
        <f>_xlfn.XLOOKUP(Table2[[#This Row],[LoanID]],Table1[G-L ID],Table1[ManagerCode],-99)</f>
        <v>298</v>
      </c>
      <c r="T3499"/>
    </row>
    <row r="3500" spans="1:20" x14ac:dyDescent="0.25">
      <c r="A3500">
        <v>20150331</v>
      </c>
      <c r="B3500">
        <v>2015</v>
      </c>
      <c r="C3500">
        <v>3</v>
      </c>
      <c r="D3500">
        <v>1</v>
      </c>
      <c r="E3500">
        <v>13690</v>
      </c>
      <c r="F3500">
        <v>120555.56</v>
      </c>
      <c r="G3500">
        <v>0</v>
      </c>
      <c r="H3500">
        <v>0</v>
      </c>
      <c r="I3500">
        <v>0</v>
      </c>
      <c r="J3500">
        <v>0</v>
      </c>
      <c r="K3500">
        <v>0</v>
      </c>
      <c r="L3500">
        <v>20000000</v>
      </c>
      <c r="M3500">
        <v>20000000</v>
      </c>
      <c r="N3500">
        <v>20000000</v>
      </c>
      <c r="O3500">
        <v>20000000</v>
      </c>
      <c r="P3500">
        <v>20000000</v>
      </c>
      <c r="Q3500">
        <v>20000000</v>
      </c>
      <c r="R3500" s="14">
        <f>_xlfn.XLOOKUP(Table2[[#This Row],[LoanID]],Table1[G-L ID],Table1[ManagerCode],-99)</f>
        <v>298</v>
      </c>
      <c r="T3500"/>
    </row>
    <row r="3501" spans="1:20" x14ac:dyDescent="0.25">
      <c r="A3501">
        <v>20150331</v>
      </c>
      <c r="B3501">
        <v>2015</v>
      </c>
      <c r="C3501">
        <v>3</v>
      </c>
      <c r="D3501">
        <v>1</v>
      </c>
      <c r="E3501">
        <v>15580</v>
      </c>
      <c r="F3501">
        <v>107072.05</v>
      </c>
      <c r="G3501">
        <v>11341.94</v>
      </c>
      <c r="H3501">
        <v>0</v>
      </c>
      <c r="I3501">
        <v>0</v>
      </c>
      <c r="J3501">
        <v>0</v>
      </c>
      <c r="K3501">
        <v>16329.26</v>
      </c>
      <c r="L3501">
        <v>14989673.66</v>
      </c>
      <c r="M3501">
        <v>14984686.34</v>
      </c>
      <c r="N3501">
        <v>14989673.66</v>
      </c>
      <c r="O3501">
        <v>14984686.34</v>
      </c>
      <c r="P3501">
        <v>14989673.66</v>
      </c>
      <c r="Q3501">
        <v>14984686.34</v>
      </c>
      <c r="R3501" s="14">
        <f>_xlfn.XLOOKUP(Table2[[#This Row],[LoanID]],Table1[G-L ID],Table1[ManagerCode],-99)</f>
        <v>212</v>
      </c>
      <c r="T3501"/>
    </row>
    <row r="3502" spans="1:20" x14ac:dyDescent="0.25">
      <c r="A3502">
        <v>20150430</v>
      </c>
      <c r="B3502">
        <v>2015</v>
      </c>
      <c r="C3502">
        <v>4</v>
      </c>
      <c r="D3502">
        <v>1</v>
      </c>
      <c r="E3502">
        <v>10010</v>
      </c>
      <c r="F3502">
        <v>156315.51999999999</v>
      </c>
      <c r="G3502">
        <v>0</v>
      </c>
      <c r="H3502">
        <v>0</v>
      </c>
      <c r="I3502">
        <v>0</v>
      </c>
      <c r="J3502">
        <v>0</v>
      </c>
      <c r="K3502">
        <v>0</v>
      </c>
      <c r="L3502">
        <v>16250000</v>
      </c>
      <c r="M3502">
        <v>16250000</v>
      </c>
      <c r="N3502">
        <v>16250000</v>
      </c>
      <c r="O3502">
        <v>16250000</v>
      </c>
      <c r="P3502">
        <v>16250000</v>
      </c>
      <c r="Q3502">
        <v>16250000</v>
      </c>
      <c r="R3502" s="14">
        <f>_xlfn.XLOOKUP(Table2[[#This Row],[LoanID]],Table1[G-L ID],Table1[ManagerCode],-99)</f>
        <v>119</v>
      </c>
      <c r="T3502"/>
    </row>
    <row r="3503" spans="1:20" x14ac:dyDescent="0.25">
      <c r="A3503">
        <v>20150430</v>
      </c>
      <c r="B3503">
        <v>2015</v>
      </c>
      <c r="C3503">
        <v>4</v>
      </c>
      <c r="D3503">
        <v>1</v>
      </c>
      <c r="E3503">
        <v>10050</v>
      </c>
      <c r="F3503">
        <v>153981.01999999999</v>
      </c>
      <c r="G3503">
        <v>0</v>
      </c>
      <c r="H3503">
        <v>0</v>
      </c>
      <c r="I3503">
        <v>0</v>
      </c>
      <c r="J3503">
        <v>0</v>
      </c>
      <c r="K3503">
        <v>0</v>
      </c>
      <c r="L3503">
        <v>38763149.170000002</v>
      </c>
      <c r="M3503">
        <v>38199259.299999997</v>
      </c>
      <c r="N3503">
        <v>38763149.170000002</v>
      </c>
      <c r="O3503">
        <v>38199259.299999997</v>
      </c>
      <c r="P3503">
        <v>33333334</v>
      </c>
      <c r="Q3503">
        <v>33333334</v>
      </c>
      <c r="R3503" s="14">
        <f>_xlfn.XLOOKUP(Table2[[#This Row],[LoanID]],Table1[G-L ID],Table1[ManagerCode],-99)</f>
        <v>103</v>
      </c>
      <c r="T3503"/>
    </row>
    <row r="3504" spans="1:20" x14ac:dyDescent="0.25">
      <c r="A3504">
        <v>20150430</v>
      </c>
      <c r="B3504">
        <v>2015</v>
      </c>
      <c r="C3504">
        <v>4</v>
      </c>
      <c r="D3504">
        <v>1</v>
      </c>
      <c r="E3504">
        <v>10090</v>
      </c>
      <c r="F3504">
        <v>188152.78</v>
      </c>
      <c r="G3504">
        <v>0</v>
      </c>
      <c r="H3504">
        <v>0</v>
      </c>
      <c r="I3504">
        <v>0</v>
      </c>
      <c r="J3504">
        <v>0</v>
      </c>
      <c r="K3504">
        <v>0</v>
      </c>
      <c r="L3504">
        <v>23000000</v>
      </c>
      <c r="M3504">
        <v>23000000</v>
      </c>
      <c r="N3504">
        <v>23000000</v>
      </c>
      <c r="O3504">
        <v>23000000</v>
      </c>
      <c r="P3504">
        <v>23000000</v>
      </c>
      <c r="Q3504">
        <v>23000000</v>
      </c>
      <c r="R3504" s="14">
        <f>_xlfn.XLOOKUP(Table2[[#This Row],[LoanID]],Table1[G-L ID],Table1[ManagerCode],-99)</f>
        <v>119</v>
      </c>
      <c r="T3504"/>
    </row>
    <row r="3505" spans="1:20" x14ac:dyDescent="0.25">
      <c r="A3505">
        <v>20150430</v>
      </c>
      <c r="B3505">
        <v>2015</v>
      </c>
      <c r="C3505">
        <v>4</v>
      </c>
      <c r="D3505">
        <v>1</v>
      </c>
      <c r="E3505">
        <v>10100</v>
      </c>
      <c r="F3505">
        <v>186050</v>
      </c>
      <c r="G3505">
        <v>0</v>
      </c>
      <c r="H3505">
        <v>0</v>
      </c>
      <c r="I3505">
        <v>0</v>
      </c>
      <c r="J3505">
        <v>0</v>
      </c>
      <c r="K3505">
        <v>0</v>
      </c>
      <c r="L3505">
        <v>30500000</v>
      </c>
      <c r="M3505">
        <v>30500000</v>
      </c>
      <c r="N3505">
        <v>30500000</v>
      </c>
      <c r="O3505">
        <v>30500000</v>
      </c>
      <c r="P3505">
        <v>30500000</v>
      </c>
      <c r="Q3505">
        <v>30500000</v>
      </c>
      <c r="R3505" s="14">
        <f>_xlfn.XLOOKUP(Table2[[#This Row],[LoanID]],Table1[G-L ID],Table1[ManagerCode],-99)</f>
        <v>220</v>
      </c>
      <c r="T3505"/>
    </row>
    <row r="3506" spans="1:20" x14ac:dyDescent="0.25">
      <c r="A3506">
        <v>20150430</v>
      </c>
      <c r="B3506">
        <v>2015</v>
      </c>
      <c r="C3506">
        <v>4</v>
      </c>
      <c r="D3506">
        <v>1</v>
      </c>
      <c r="E3506">
        <v>10160</v>
      </c>
      <c r="F3506">
        <v>111115.27</v>
      </c>
      <c r="G3506">
        <v>0</v>
      </c>
      <c r="H3506">
        <v>0</v>
      </c>
      <c r="I3506">
        <v>0</v>
      </c>
      <c r="J3506">
        <v>0</v>
      </c>
      <c r="K3506">
        <v>0</v>
      </c>
      <c r="L3506">
        <v>14051513.300000001</v>
      </c>
      <c r="M3506">
        <v>14051513.300000001</v>
      </c>
      <c r="N3506">
        <v>14051513.300000001</v>
      </c>
      <c r="O3506">
        <v>14051513.300000001</v>
      </c>
      <c r="P3506">
        <v>14051513.300000001</v>
      </c>
      <c r="Q3506">
        <v>14051513.300000001</v>
      </c>
      <c r="R3506" s="14">
        <f>_xlfn.XLOOKUP(Table2[[#This Row],[LoanID]],Table1[G-L ID],Table1[ManagerCode],-99)</f>
        <v>119</v>
      </c>
      <c r="T3506"/>
    </row>
    <row r="3507" spans="1:20" x14ac:dyDescent="0.25">
      <c r="A3507">
        <v>20150430</v>
      </c>
      <c r="B3507">
        <v>2015</v>
      </c>
      <c r="C3507">
        <v>4</v>
      </c>
      <c r="D3507">
        <v>1</v>
      </c>
      <c r="E3507">
        <v>10220</v>
      </c>
      <c r="F3507">
        <v>559722.22</v>
      </c>
      <c r="G3507">
        <v>0</v>
      </c>
      <c r="H3507">
        <v>0</v>
      </c>
      <c r="I3507">
        <v>0</v>
      </c>
      <c r="J3507">
        <v>0</v>
      </c>
      <c r="K3507">
        <v>0</v>
      </c>
      <c r="L3507">
        <v>117746852.90000001</v>
      </c>
      <c r="M3507">
        <v>116622515</v>
      </c>
      <c r="N3507">
        <v>117746852.90000001</v>
      </c>
      <c r="O3507">
        <v>116622515</v>
      </c>
      <c r="P3507">
        <v>100000000</v>
      </c>
      <c r="Q3507">
        <v>100000000</v>
      </c>
      <c r="R3507" s="14">
        <f>_xlfn.XLOOKUP(Table2[[#This Row],[LoanID]],Table1[G-L ID],Table1[ManagerCode],-99)</f>
        <v>103</v>
      </c>
      <c r="T3507"/>
    </row>
    <row r="3508" spans="1:20" x14ac:dyDescent="0.25">
      <c r="A3508">
        <v>20150430</v>
      </c>
      <c r="B3508">
        <v>2015</v>
      </c>
      <c r="C3508">
        <v>4</v>
      </c>
      <c r="D3508">
        <v>1</v>
      </c>
      <c r="E3508">
        <v>10240</v>
      </c>
      <c r="F3508">
        <v>73529.89</v>
      </c>
      <c r="G3508">
        <v>0</v>
      </c>
      <c r="H3508">
        <v>0</v>
      </c>
      <c r="I3508">
        <v>0</v>
      </c>
      <c r="J3508">
        <v>0</v>
      </c>
      <c r="K3508">
        <v>0</v>
      </c>
      <c r="L3508">
        <v>10445205</v>
      </c>
      <c r="M3508">
        <v>10445205</v>
      </c>
      <c r="N3508">
        <v>10445205</v>
      </c>
      <c r="O3508">
        <v>10445205</v>
      </c>
      <c r="P3508">
        <v>10445205</v>
      </c>
      <c r="Q3508">
        <v>10445205</v>
      </c>
      <c r="R3508" s="14">
        <f>_xlfn.XLOOKUP(Table2[[#This Row],[LoanID]],Table1[G-L ID],Table1[ManagerCode],-99)</f>
        <v>220</v>
      </c>
      <c r="T3508"/>
    </row>
    <row r="3509" spans="1:20" x14ac:dyDescent="0.25">
      <c r="A3509">
        <v>20150430</v>
      </c>
      <c r="B3509">
        <v>2015</v>
      </c>
      <c r="C3509">
        <v>4</v>
      </c>
      <c r="D3509">
        <v>1</v>
      </c>
      <c r="E3509">
        <v>10260</v>
      </c>
      <c r="F3509">
        <v>96398.75</v>
      </c>
      <c r="G3509">
        <v>0</v>
      </c>
      <c r="H3509">
        <v>0</v>
      </c>
      <c r="I3509">
        <v>0</v>
      </c>
      <c r="J3509">
        <v>0</v>
      </c>
      <c r="K3509">
        <v>0</v>
      </c>
      <c r="L3509">
        <v>15000000</v>
      </c>
      <c r="M3509">
        <v>15000000</v>
      </c>
      <c r="N3509">
        <v>15000000</v>
      </c>
      <c r="O3509">
        <v>15000000</v>
      </c>
      <c r="P3509">
        <v>15000000</v>
      </c>
      <c r="Q3509">
        <v>15000000</v>
      </c>
      <c r="R3509" s="14">
        <f>_xlfn.XLOOKUP(Table2[[#This Row],[LoanID]],Table1[G-L ID],Table1[ManagerCode],-99)</f>
        <v>220</v>
      </c>
      <c r="T3509"/>
    </row>
    <row r="3510" spans="1:20" x14ac:dyDescent="0.25">
      <c r="A3510">
        <v>20150430</v>
      </c>
      <c r="B3510">
        <v>2015</v>
      </c>
      <c r="C3510">
        <v>4</v>
      </c>
      <c r="D3510">
        <v>1</v>
      </c>
      <c r="E3510">
        <v>10270</v>
      </c>
      <c r="F3510">
        <v>15250.81</v>
      </c>
      <c r="G3510">
        <v>0</v>
      </c>
      <c r="H3510">
        <v>0</v>
      </c>
      <c r="I3510">
        <v>0</v>
      </c>
      <c r="J3510">
        <v>0</v>
      </c>
      <c r="K3510">
        <v>0</v>
      </c>
      <c r="L3510">
        <v>1860000</v>
      </c>
      <c r="M3510">
        <v>1860000</v>
      </c>
      <c r="N3510">
        <v>1860000</v>
      </c>
      <c r="O3510">
        <v>1860000</v>
      </c>
      <c r="P3510">
        <v>1860000</v>
      </c>
      <c r="Q3510">
        <v>1860000</v>
      </c>
      <c r="R3510" s="14">
        <f>_xlfn.XLOOKUP(Table2[[#This Row],[LoanID]],Table1[G-L ID],Table1[ManagerCode],-99)</f>
        <v>119</v>
      </c>
      <c r="T3510"/>
    </row>
    <row r="3511" spans="1:20" x14ac:dyDescent="0.25">
      <c r="A3511">
        <v>20150430</v>
      </c>
      <c r="B3511">
        <v>2015</v>
      </c>
      <c r="C3511">
        <v>4</v>
      </c>
      <c r="D3511">
        <v>1</v>
      </c>
      <c r="E3511">
        <v>10340</v>
      </c>
      <c r="F3511">
        <v>110572</v>
      </c>
      <c r="G3511">
        <v>0</v>
      </c>
      <c r="H3511">
        <v>0</v>
      </c>
      <c r="I3511">
        <v>0</v>
      </c>
      <c r="J3511">
        <v>0</v>
      </c>
      <c r="K3511">
        <v>0</v>
      </c>
      <c r="L3511">
        <v>12527473</v>
      </c>
      <c r="M3511">
        <v>12527473</v>
      </c>
      <c r="N3511">
        <v>12527473</v>
      </c>
      <c r="O3511">
        <v>12527473</v>
      </c>
      <c r="P3511">
        <v>12527473</v>
      </c>
      <c r="Q3511">
        <v>12527473</v>
      </c>
      <c r="R3511" s="14">
        <f>_xlfn.XLOOKUP(Table2[[#This Row],[LoanID]],Table1[G-L ID],Table1[ManagerCode],-99)</f>
        <v>220</v>
      </c>
      <c r="T3511"/>
    </row>
    <row r="3512" spans="1:20" x14ac:dyDescent="0.25">
      <c r="A3512">
        <v>20150430</v>
      </c>
      <c r="B3512">
        <v>2015</v>
      </c>
      <c r="C3512">
        <v>4</v>
      </c>
      <c r="D3512">
        <v>1</v>
      </c>
      <c r="E3512">
        <v>10350</v>
      </c>
      <c r="F3512">
        <v>180833.33</v>
      </c>
      <c r="G3512">
        <v>0</v>
      </c>
      <c r="H3512">
        <v>0</v>
      </c>
      <c r="I3512">
        <v>0</v>
      </c>
      <c r="J3512">
        <v>0</v>
      </c>
      <c r="K3512">
        <v>0</v>
      </c>
      <c r="L3512">
        <v>24800000</v>
      </c>
      <c r="M3512">
        <v>24800000</v>
      </c>
      <c r="N3512">
        <v>24800000</v>
      </c>
      <c r="O3512">
        <v>24800000</v>
      </c>
      <c r="P3512">
        <v>24800000</v>
      </c>
      <c r="Q3512">
        <v>24800000</v>
      </c>
      <c r="R3512" s="14">
        <f>_xlfn.XLOOKUP(Table2[[#This Row],[LoanID]],Table1[G-L ID],Table1[ManagerCode],-99)</f>
        <v>220</v>
      </c>
      <c r="T3512"/>
    </row>
    <row r="3513" spans="1:20" x14ac:dyDescent="0.25">
      <c r="A3513">
        <v>20150430</v>
      </c>
      <c r="B3513">
        <v>2015</v>
      </c>
      <c r="C3513">
        <v>4</v>
      </c>
      <c r="D3513">
        <v>1</v>
      </c>
      <c r="E3513">
        <v>10430</v>
      </c>
      <c r="F3513">
        <v>90864.34</v>
      </c>
      <c r="G3513">
        <v>0</v>
      </c>
      <c r="H3513">
        <v>0</v>
      </c>
      <c r="I3513">
        <v>0</v>
      </c>
      <c r="J3513">
        <v>0</v>
      </c>
      <c r="K3513">
        <v>23400</v>
      </c>
      <c r="L3513">
        <v>10906400</v>
      </c>
      <c r="M3513">
        <v>10883000</v>
      </c>
      <c r="N3513">
        <v>10906400</v>
      </c>
      <c r="O3513">
        <v>10883000</v>
      </c>
      <c r="P3513">
        <v>10906400</v>
      </c>
      <c r="Q3513">
        <v>10883000</v>
      </c>
      <c r="R3513" s="14">
        <f>_xlfn.XLOOKUP(Table2[[#This Row],[LoanID]],Table1[G-L ID],Table1[ManagerCode],-99)</f>
        <v>119</v>
      </c>
      <c r="T3513"/>
    </row>
    <row r="3514" spans="1:20" x14ac:dyDescent="0.25">
      <c r="A3514">
        <v>20150430</v>
      </c>
      <c r="B3514">
        <v>2015</v>
      </c>
      <c r="C3514">
        <v>4</v>
      </c>
      <c r="D3514">
        <v>1</v>
      </c>
      <c r="E3514">
        <v>10460</v>
      </c>
      <c r="F3514">
        <v>121500</v>
      </c>
      <c r="G3514">
        <v>0</v>
      </c>
      <c r="H3514">
        <v>0</v>
      </c>
      <c r="I3514">
        <v>0</v>
      </c>
      <c r="J3514">
        <v>0</v>
      </c>
      <c r="K3514">
        <v>0</v>
      </c>
      <c r="L3514">
        <v>59762913.469999999</v>
      </c>
      <c r="M3514">
        <v>59772081.630000003</v>
      </c>
      <c r="N3514">
        <v>59762913.469999999</v>
      </c>
      <c r="O3514">
        <v>59772081.630000003</v>
      </c>
      <c r="P3514">
        <v>60000000</v>
      </c>
      <c r="Q3514">
        <v>60000000</v>
      </c>
      <c r="R3514" s="14">
        <f>_xlfn.XLOOKUP(Table2[[#This Row],[LoanID]],Table1[G-L ID],Table1[ManagerCode],-99)</f>
        <v>103</v>
      </c>
      <c r="T3514"/>
    </row>
    <row r="3515" spans="1:20" x14ac:dyDescent="0.25">
      <c r="A3515">
        <v>20150430</v>
      </c>
      <c r="B3515">
        <v>2015</v>
      </c>
      <c r="C3515">
        <v>4</v>
      </c>
      <c r="D3515">
        <v>1</v>
      </c>
      <c r="E3515">
        <v>10470</v>
      </c>
      <c r="F3515">
        <v>55833.33</v>
      </c>
      <c r="G3515">
        <v>0</v>
      </c>
      <c r="H3515">
        <v>0</v>
      </c>
      <c r="I3515">
        <v>0</v>
      </c>
      <c r="J3515">
        <v>0</v>
      </c>
      <c r="K3515">
        <v>0</v>
      </c>
      <c r="L3515">
        <v>25000000</v>
      </c>
      <c r="M3515">
        <v>25000000</v>
      </c>
      <c r="N3515">
        <v>25000000</v>
      </c>
      <c r="O3515">
        <v>25000000</v>
      </c>
      <c r="P3515">
        <v>25000000</v>
      </c>
      <c r="Q3515">
        <v>25000000</v>
      </c>
      <c r="R3515" s="14">
        <f>_xlfn.XLOOKUP(Table2[[#This Row],[LoanID]],Table1[G-L ID],Table1[ManagerCode],-99)</f>
        <v>103</v>
      </c>
      <c r="T3515"/>
    </row>
    <row r="3516" spans="1:20" x14ac:dyDescent="0.25">
      <c r="A3516">
        <v>20150430</v>
      </c>
      <c r="B3516">
        <v>2015</v>
      </c>
      <c r="C3516">
        <v>4</v>
      </c>
      <c r="D3516">
        <v>1</v>
      </c>
      <c r="E3516">
        <v>10480</v>
      </c>
      <c r="F3516">
        <v>156683.5</v>
      </c>
      <c r="G3516">
        <v>0</v>
      </c>
      <c r="H3516">
        <v>0</v>
      </c>
      <c r="I3516">
        <v>0</v>
      </c>
      <c r="J3516">
        <v>0</v>
      </c>
      <c r="K3516">
        <v>0</v>
      </c>
      <c r="L3516">
        <v>21350000</v>
      </c>
      <c r="M3516">
        <v>21350000</v>
      </c>
      <c r="N3516">
        <v>21350000</v>
      </c>
      <c r="O3516">
        <v>21350000</v>
      </c>
      <c r="P3516">
        <v>21350000</v>
      </c>
      <c r="Q3516">
        <v>21350000</v>
      </c>
      <c r="R3516" s="14">
        <f>_xlfn.XLOOKUP(Table2[[#This Row],[LoanID]],Table1[G-L ID],Table1[ManagerCode],-99)</f>
        <v>119</v>
      </c>
      <c r="T3516"/>
    </row>
    <row r="3517" spans="1:20" x14ac:dyDescent="0.25">
      <c r="A3517">
        <v>20150430</v>
      </c>
      <c r="B3517">
        <v>2015</v>
      </c>
      <c r="C3517">
        <v>4</v>
      </c>
      <c r="D3517">
        <v>1</v>
      </c>
      <c r="E3517">
        <v>10570</v>
      </c>
      <c r="F3517">
        <v>797742.67</v>
      </c>
      <c r="G3517">
        <v>0</v>
      </c>
      <c r="H3517">
        <v>0</v>
      </c>
      <c r="I3517">
        <v>0</v>
      </c>
      <c r="J3517">
        <v>0</v>
      </c>
      <c r="K3517">
        <v>0</v>
      </c>
      <c r="L3517">
        <v>156308860.80000001</v>
      </c>
      <c r="M3517">
        <v>156320716.59999999</v>
      </c>
      <c r="N3517">
        <v>156308860.80000001</v>
      </c>
      <c r="O3517">
        <v>156320716.59999999</v>
      </c>
      <c r="P3517">
        <v>156356260.69999999</v>
      </c>
      <c r="Q3517">
        <v>156356260.69999999</v>
      </c>
      <c r="R3517" s="14">
        <f>_xlfn.XLOOKUP(Table2[[#This Row],[LoanID]],Table1[G-L ID],Table1[ManagerCode],-99)</f>
        <v>103</v>
      </c>
      <c r="T3517"/>
    </row>
    <row r="3518" spans="1:20" x14ac:dyDescent="0.25">
      <c r="A3518">
        <v>20150430</v>
      </c>
      <c r="B3518">
        <v>2015</v>
      </c>
      <c r="C3518">
        <v>4</v>
      </c>
      <c r="D3518">
        <v>1</v>
      </c>
      <c r="E3518">
        <v>10591</v>
      </c>
      <c r="F3518">
        <v>219939.08</v>
      </c>
      <c r="G3518">
        <v>0</v>
      </c>
      <c r="H3518">
        <v>0</v>
      </c>
      <c r="I3518">
        <v>0</v>
      </c>
      <c r="J3518">
        <v>0</v>
      </c>
      <c r="K3518">
        <v>94668.81</v>
      </c>
      <c r="L3518">
        <v>25063401.059999999</v>
      </c>
      <c r="M3518">
        <v>24968732.25</v>
      </c>
      <c r="N3518">
        <v>25063401.059999999</v>
      </c>
      <c r="O3518">
        <v>24968732.25</v>
      </c>
      <c r="P3518">
        <v>25063401.059999999</v>
      </c>
      <c r="Q3518">
        <v>24968732.25</v>
      </c>
      <c r="R3518" s="14">
        <f>_xlfn.XLOOKUP(Table2[[#This Row],[LoanID]],Table1[G-L ID],Table1[ManagerCode],-99)</f>
        <v>220</v>
      </c>
      <c r="T3518"/>
    </row>
    <row r="3519" spans="1:20" x14ac:dyDescent="0.25">
      <c r="A3519">
        <v>20150430</v>
      </c>
      <c r="B3519">
        <v>2015</v>
      </c>
      <c r="C3519">
        <v>4</v>
      </c>
      <c r="D3519">
        <v>1</v>
      </c>
      <c r="E3519">
        <v>10592</v>
      </c>
      <c r="F3519">
        <v>364876.88</v>
      </c>
      <c r="G3519">
        <v>0</v>
      </c>
      <c r="H3519">
        <v>0</v>
      </c>
      <c r="I3519">
        <v>0</v>
      </c>
      <c r="J3519">
        <v>0</v>
      </c>
      <c r="K3519">
        <v>139749.19</v>
      </c>
      <c r="L3519">
        <v>37200000</v>
      </c>
      <c r="M3519">
        <v>37059489.159999996</v>
      </c>
      <c r="N3519">
        <v>37200000</v>
      </c>
      <c r="O3519">
        <v>37059489.159999996</v>
      </c>
      <c r="P3519">
        <v>36998353.939999998</v>
      </c>
      <c r="Q3519">
        <v>36858604.75</v>
      </c>
      <c r="R3519" s="14">
        <f>_xlfn.XLOOKUP(Table2[[#This Row],[LoanID]],Table1[G-L ID],Table1[ManagerCode],-99)</f>
        <v>220</v>
      </c>
      <c r="T3519"/>
    </row>
    <row r="3520" spans="1:20" x14ac:dyDescent="0.25">
      <c r="A3520">
        <v>20150430</v>
      </c>
      <c r="B3520">
        <v>2015</v>
      </c>
      <c r="C3520">
        <v>4</v>
      </c>
      <c r="D3520">
        <v>1</v>
      </c>
      <c r="E3520">
        <v>10640</v>
      </c>
      <c r="F3520">
        <v>95838.56</v>
      </c>
      <c r="G3520">
        <v>0</v>
      </c>
      <c r="H3520">
        <v>0</v>
      </c>
      <c r="I3520">
        <v>0</v>
      </c>
      <c r="J3520">
        <v>0</v>
      </c>
      <c r="K3520">
        <v>1352263</v>
      </c>
      <c r="L3520">
        <v>12527956.74</v>
      </c>
      <c r="M3520">
        <v>11164281.33</v>
      </c>
      <c r="N3520">
        <v>12527956.74</v>
      </c>
      <c r="O3520">
        <v>11164281.33</v>
      </c>
      <c r="P3520">
        <v>12423112</v>
      </c>
      <c r="Q3520">
        <v>11070849</v>
      </c>
      <c r="R3520" s="14">
        <f>_xlfn.XLOOKUP(Table2[[#This Row],[LoanID]],Table1[G-L ID],Table1[ManagerCode],-99)</f>
        <v>220</v>
      </c>
      <c r="T3520"/>
    </row>
    <row r="3521" spans="1:20" x14ac:dyDescent="0.25">
      <c r="A3521">
        <v>20150430</v>
      </c>
      <c r="B3521">
        <v>2015</v>
      </c>
      <c r="C3521">
        <v>4</v>
      </c>
      <c r="D3521">
        <v>1</v>
      </c>
      <c r="E3521">
        <v>10680</v>
      </c>
      <c r="F3521">
        <v>58112.11</v>
      </c>
      <c r="G3521">
        <v>0</v>
      </c>
      <c r="H3521">
        <v>0</v>
      </c>
      <c r="I3521">
        <v>0</v>
      </c>
      <c r="J3521">
        <v>0</v>
      </c>
      <c r="K3521">
        <v>0</v>
      </c>
      <c r="L3521">
        <v>6964400</v>
      </c>
      <c r="M3521">
        <v>6964400</v>
      </c>
      <c r="N3521">
        <v>6964400</v>
      </c>
      <c r="O3521">
        <v>6964400</v>
      </c>
      <c r="P3521">
        <v>6964400</v>
      </c>
      <c r="Q3521">
        <v>6964400</v>
      </c>
      <c r="R3521" s="14">
        <f>_xlfn.XLOOKUP(Table2[[#This Row],[LoanID]],Table1[G-L ID],Table1[ManagerCode],-99)</f>
        <v>119</v>
      </c>
      <c r="T3521"/>
    </row>
    <row r="3522" spans="1:20" x14ac:dyDescent="0.25">
      <c r="A3522">
        <v>20150430</v>
      </c>
      <c r="B3522">
        <v>2015</v>
      </c>
      <c r="C3522">
        <v>4</v>
      </c>
      <c r="D3522">
        <v>1</v>
      </c>
      <c r="E3522">
        <v>10690</v>
      </c>
      <c r="F3522">
        <v>150991.32</v>
      </c>
      <c r="G3522">
        <v>0</v>
      </c>
      <c r="H3522">
        <v>0</v>
      </c>
      <c r="I3522">
        <v>0</v>
      </c>
      <c r="J3522">
        <v>0</v>
      </c>
      <c r="K3522">
        <v>19065438.510000002</v>
      </c>
      <c r="L3522">
        <v>19065438.510000002</v>
      </c>
      <c r="M3522">
        <v>0</v>
      </c>
      <c r="N3522">
        <v>19065438.510000002</v>
      </c>
      <c r="O3522">
        <v>0</v>
      </c>
      <c r="P3522">
        <v>19065438.510000002</v>
      </c>
      <c r="Q3522">
        <v>0</v>
      </c>
      <c r="R3522" s="14">
        <f>_xlfn.XLOOKUP(Table2[[#This Row],[LoanID]],Table1[G-L ID],Table1[ManagerCode],-99)</f>
        <v>183</v>
      </c>
      <c r="T3522"/>
    </row>
    <row r="3523" spans="1:20" x14ac:dyDescent="0.25">
      <c r="A3523">
        <v>20150430</v>
      </c>
      <c r="B3523">
        <v>2015</v>
      </c>
      <c r="C3523">
        <v>4</v>
      </c>
      <c r="D3523">
        <v>1</v>
      </c>
      <c r="E3523">
        <v>10720</v>
      </c>
      <c r="F3523">
        <v>125000</v>
      </c>
      <c r="G3523">
        <v>74355.710000000006</v>
      </c>
      <c r="H3523">
        <v>0</v>
      </c>
      <c r="I3523">
        <v>0</v>
      </c>
      <c r="J3523">
        <v>0</v>
      </c>
      <c r="K3523">
        <v>0</v>
      </c>
      <c r="L3523">
        <v>16431478.09</v>
      </c>
      <c r="M3523">
        <v>16510639.67</v>
      </c>
      <c r="N3523">
        <v>16431478.09</v>
      </c>
      <c r="O3523">
        <v>16510639.67</v>
      </c>
      <c r="P3523">
        <v>15433990.199999999</v>
      </c>
      <c r="Q3523">
        <v>15508345.91</v>
      </c>
      <c r="R3523" s="14">
        <f>_xlfn.XLOOKUP(Table2[[#This Row],[LoanID]],Table1[G-L ID],Table1[ManagerCode],-99)</f>
        <v>220</v>
      </c>
      <c r="T3523"/>
    </row>
    <row r="3524" spans="1:20" x14ac:dyDescent="0.25">
      <c r="A3524">
        <v>20150430</v>
      </c>
      <c r="B3524">
        <v>2015</v>
      </c>
      <c r="C3524">
        <v>4</v>
      </c>
      <c r="D3524">
        <v>1</v>
      </c>
      <c r="E3524">
        <v>10740</v>
      </c>
      <c r="F3524">
        <v>0</v>
      </c>
      <c r="G3524">
        <v>0</v>
      </c>
      <c r="H3524">
        <v>0</v>
      </c>
      <c r="I3524">
        <v>0</v>
      </c>
      <c r="J3524">
        <v>0</v>
      </c>
      <c r="K3524">
        <v>0</v>
      </c>
      <c r="L3524">
        <v>470696032.69999999</v>
      </c>
      <c r="M3524">
        <v>467055774.10000002</v>
      </c>
      <c r="N3524">
        <v>470696032.69999999</v>
      </c>
      <c r="O3524">
        <v>467055774.10000002</v>
      </c>
      <c r="P3524">
        <v>480000000</v>
      </c>
      <c r="Q3524">
        <v>480000000</v>
      </c>
      <c r="R3524" s="14">
        <f>_xlfn.XLOOKUP(Table2[[#This Row],[LoanID]],Table1[G-L ID],Table1[ManagerCode],-99)</f>
        <v>103</v>
      </c>
      <c r="T3524"/>
    </row>
    <row r="3525" spans="1:20" x14ac:dyDescent="0.25">
      <c r="A3525">
        <v>20150430</v>
      </c>
      <c r="B3525">
        <v>2015</v>
      </c>
      <c r="C3525">
        <v>4</v>
      </c>
      <c r="D3525">
        <v>1</v>
      </c>
      <c r="E3525">
        <v>10750</v>
      </c>
      <c r="F3525">
        <v>89375</v>
      </c>
      <c r="G3525">
        <v>0</v>
      </c>
      <c r="H3525">
        <v>208000</v>
      </c>
      <c r="I3525">
        <v>0</v>
      </c>
      <c r="J3525">
        <v>-25000000</v>
      </c>
      <c r="K3525">
        <v>0</v>
      </c>
      <c r="L3525">
        <v>0</v>
      </c>
      <c r="M3525">
        <v>25000000</v>
      </c>
      <c r="N3525">
        <v>0</v>
      </c>
      <c r="O3525">
        <v>25000000</v>
      </c>
      <c r="P3525">
        <v>0</v>
      </c>
      <c r="Q3525">
        <v>25000000</v>
      </c>
      <c r="R3525" s="14">
        <f>_xlfn.XLOOKUP(Table2[[#This Row],[LoanID]],Table1[G-L ID],Table1[ManagerCode],-99)</f>
        <v>119</v>
      </c>
      <c r="T3525"/>
    </row>
    <row r="3526" spans="1:20" x14ac:dyDescent="0.25">
      <c r="A3526">
        <v>20150430</v>
      </c>
      <c r="B3526">
        <v>2015</v>
      </c>
      <c r="C3526">
        <v>4</v>
      </c>
      <c r="D3526">
        <v>1</v>
      </c>
      <c r="E3526">
        <v>10780</v>
      </c>
      <c r="F3526">
        <v>311959.03000000003</v>
      </c>
      <c r="G3526">
        <v>0</v>
      </c>
      <c r="H3526">
        <v>0</v>
      </c>
      <c r="I3526">
        <v>0</v>
      </c>
      <c r="J3526">
        <v>0</v>
      </c>
      <c r="K3526">
        <v>0</v>
      </c>
      <c r="L3526">
        <v>43000000</v>
      </c>
      <c r="M3526">
        <v>43000000</v>
      </c>
      <c r="N3526">
        <v>43000000</v>
      </c>
      <c r="O3526">
        <v>43000000</v>
      </c>
      <c r="P3526">
        <v>43000000</v>
      </c>
      <c r="Q3526">
        <v>43000000</v>
      </c>
      <c r="R3526" s="14">
        <f>_xlfn.XLOOKUP(Table2[[#This Row],[LoanID]],Table1[G-L ID],Table1[ManagerCode],-99)</f>
        <v>220</v>
      </c>
      <c r="T3526"/>
    </row>
    <row r="3527" spans="1:20" x14ac:dyDescent="0.25">
      <c r="A3527">
        <v>20150430</v>
      </c>
      <c r="B3527">
        <v>2015</v>
      </c>
      <c r="C3527">
        <v>4</v>
      </c>
      <c r="D3527">
        <v>1</v>
      </c>
      <c r="E3527">
        <v>10800</v>
      </c>
      <c r="F3527">
        <v>216612.5</v>
      </c>
      <c r="G3527">
        <v>0</v>
      </c>
      <c r="H3527">
        <v>0</v>
      </c>
      <c r="I3527">
        <v>0</v>
      </c>
      <c r="J3527">
        <v>0</v>
      </c>
      <c r="K3527">
        <v>0</v>
      </c>
      <c r="L3527">
        <v>26000000</v>
      </c>
      <c r="M3527">
        <v>26000000</v>
      </c>
      <c r="N3527">
        <v>26000000</v>
      </c>
      <c r="O3527">
        <v>26000000</v>
      </c>
      <c r="P3527">
        <v>26000000</v>
      </c>
      <c r="Q3527">
        <v>26000000</v>
      </c>
      <c r="R3527" s="14">
        <f>_xlfn.XLOOKUP(Table2[[#This Row],[LoanID]],Table1[G-L ID],Table1[ManagerCode],-99)</f>
        <v>220</v>
      </c>
      <c r="T3527"/>
    </row>
    <row r="3528" spans="1:20" x14ac:dyDescent="0.25">
      <c r="A3528">
        <v>20150430</v>
      </c>
      <c r="B3528">
        <v>2015</v>
      </c>
      <c r="C3528">
        <v>4</v>
      </c>
      <c r="D3528">
        <v>1</v>
      </c>
      <c r="E3528">
        <v>10820</v>
      </c>
      <c r="F3528">
        <v>185688.87</v>
      </c>
      <c r="G3528">
        <v>0</v>
      </c>
      <c r="H3528">
        <v>0</v>
      </c>
      <c r="I3528">
        <v>0</v>
      </c>
      <c r="J3528">
        <v>0</v>
      </c>
      <c r="K3528">
        <v>0</v>
      </c>
      <c r="L3528">
        <v>22993894.27</v>
      </c>
      <c r="M3528">
        <v>22993894.27</v>
      </c>
      <c r="N3528">
        <v>22993894.27</v>
      </c>
      <c r="O3528">
        <v>22993894.27</v>
      </c>
      <c r="P3528">
        <v>22698809.739999998</v>
      </c>
      <c r="Q3528">
        <v>22698809.739999998</v>
      </c>
      <c r="R3528" s="14">
        <f>_xlfn.XLOOKUP(Table2[[#This Row],[LoanID]],Table1[G-L ID],Table1[ManagerCode],-99)</f>
        <v>220</v>
      </c>
      <c r="T3528"/>
    </row>
    <row r="3529" spans="1:20" x14ac:dyDescent="0.25">
      <c r="A3529">
        <v>20150430</v>
      </c>
      <c r="B3529">
        <v>2015</v>
      </c>
      <c r="C3529">
        <v>4</v>
      </c>
      <c r="D3529">
        <v>1</v>
      </c>
      <c r="E3529">
        <v>10830</v>
      </c>
      <c r="F3529">
        <v>60501.05</v>
      </c>
      <c r="G3529">
        <v>0</v>
      </c>
      <c r="H3529">
        <v>0</v>
      </c>
      <c r="I3529">
        <v>0</v>
      </c>
      <c r="J3529">
        <v>0</v>
      </c>
      <c r="K3529">
        <v>0</v>
      </c>
      <c r="L3529">
        <v>7501962.4900000002</v>
      </c>
      <c r="M3529">
        <v>7501962.4900000002</v>
      </c>
      <c r="N3529">
        <v>7501962.4900000002</v>
      </c>
      <c r="O3529">
        <v>7501962.4900000002</v>
      </c>
      <c r="P3529">
        <v>7405688.54</v>
      </c>
      <c r="Q3529">
        <v>7405688.54</v>
      </c>
      <c r="R3529" s="14">
        <f>_xlfn.XLOOKUP(Table2[[#This Row],[LoanID]],Table1[G-L ID],Table1[ManagerCode],-99)</f>
        <v>220</v>
      </c>
      <c r="T3529"/>
    </row>
    <row r="3530" spans="1:20" x14ac:dyDescent="0.25">
      <c r="A3530">
        <v>20150430</v>
      </c>
      <c r="B3530">
        <v>2015</v>
      </c>
      <c r="C3530">
        <v>4</v>
      </c>
      <c r="D3530">
        <v>1</v>
      </c>
      <c r="E3530">
        <v>10840</v>
      </c>
      <c r="F3530">
        <v>103968.23</v>
      </c>
      <c r="G3530">
        <v>0</v>
      </c>
      <c r="H3530">
        <v>0</v>
      </c>
      <c r="I3530">
        <v>0</v>
      </c>
      <c r="J3530">
        <v>0</v>
      </c>
      <c r="K3530">
        <v>0</v>
      </c>
      <c r="L3530">
        <v>12874408.460000001</v>
      </c>
      <c r="M3530">
        <v>12874408.460000001</v>
      </c>
      <c r="N3530">
        <v>12874408.460000001</v>
      </c>
      <c r="O3530">
        <v>12874408.460000001</v>
      </c>
      <c r="P3530">
        <v>12709189</v>
      </c>
      <c r="Q3530">
        <v>12709189</v>
      </c>
      <c r="R3530" s="14">
        <f>_xlfn.XLOOKUP(Table2[[#This Row],[LoanID]],Table1[G-L ID],Table1[ManagerCode],-99)</f>
        <v>220</v>
      </c>
      <c r="T3530"/>
    </row>
    <row r="3531" spans="1:20" x14ac:dyDescent="0.25">
      <c r="A3531">
        <v>20150430</v>
      </c>
      <c r="B3531">
        <v>2015</v>
      </c>
      <c r="C3531">
        <v>4</v>
      </c>
      <c r="D3531">
        <v>1</v>
      </c>
      <c r="E3531">
        <v>10850</v>
      </c>
      <c r="F3531">
        <v>110534.78</v>
      </c>
      <c r="G3531">
        <v>0</v>
      </c>
      <c r="H3531">
        <v>0</v>
      </c>
      <c r="I3531">
        <v>0</v>
      </c>
      <c r="J3531">
        <v>0</v>
      </c>
      <c r="K3531">
        <v>0</v>
      </c>
      <c r="L3531">
        <v>13687546.6</v>
      </c>
      <c r="M3531">
        <v>13687546.6</v>
      </c>
      <c r="N3531">
        <v>13687546.6</v>
      </c>
      <c r="O3531">
        <v>13687546.6</v>
      </c>
      <c r="P3531">
        <v>13511892</v>
      </c>
      <c r="Q3531">
        <v>13511892</v>
      </c>
      <c r="R3531" s="14">
        <f>_xlfn.XLOOKUP(Table2[[#This Row],[LoanID]],Table1[G-L ID],Table1[ManagerCode],-99)</f>
        <v>220</v>
      </c>
      <c r="T3531"/>
    </row>
    <row r="3532" spans="1:20" x14ac:dyDescent="0.25">
      <c r="A3532">
        <v>20150430</v>
      </c>
      <c r="B3532">
        <v>2015</v>
      </c>
      <c r="C3532">
        <v>4</v>
      </c>
      <c r="D3532">
        <v>1</v>
      </c>
      <c r="E3532">
        <v>10860</v>
      </c>
      <c r="F3532">
        <v>117832.29</v>
      </c>
      <c r="G3532">
        <v>0</v>
      </c>
      <c r="H3532">
        <v>0</v>
      </c>
      <c r="I3532">
        <v>0</v>
      </c>
      <c r="J3532">
        <v>0</v>
      </c>
      <c r="K3532">
        <v>0</v>
      </c>
      <c r="L3532">
        <v>19475000</v>
      </c>
      <c r="M3532">
        <v>19475000</v>
      </c>
      <c r="N3532">
        <v>19475000</v>
      </c>
      <c r="O3532">
        <v>19475000</v>
      </c>
      <c r="P3532">
        <v>20500000</v>
      </c>
      <c r="Q3532">
        <v>20500000</v>
      </c>
      <c r="R3532" s="14">
        <f>_xlfn.XLOOKUP(Table2[[#This Row],[LoanID]],Table1[G-L ID],Table1[ManagerCode],-99)</f>
        <v>103</v>
      </c>
      <c r="T3532"/>
    </row>
    <row r="3533" spans="1:20" x14ac:dyDescent="0.25">
      <c r="A3533">
        <v>20150430</v>
      </c>
      <c r="B3533">
        <v>2015</v>
      </c>
      <c r="C3533">
        <v>4</v>
      </c>
      <c r="D3533">
        <v>1</v>
      </c>
      <c r="E3533">
        <v>10940</v>
      </c>
      <c r="F3533">
        <v>56978.51</v>
      </c>
      <c r="G3533">
        <v>76854.62</v>
      </c>
      <c r="H3533">
        <v>0</v>
      </c>
      <c r="I3533">
        <v>0</v>
      </c>
      <c r="J3533">
        <v>-56978.51</v>
      </c>
      <c r="K3533">
        <v>0</v>
      </c>
      <c r="L3533">
        <v>11511099.119999999</v>
      </c>
      <c r="M3533">
        <v>11644932.25</v>
      </c>
      <c r="N3533">
        <v>11511099.119999999</v>
      </c>
      <c r="O3533">
        <v>11644932.25</v>
      </c>
      <c r="P3533">
        <v>11511099.119999999</v>
      </c>
      <c r="Q3533">
        <v>11644932.25</v>
      </c>
      <c r="R3533" s="14">
        <f>_xlfn.XLOOKUP(Table2[[#This Row],[LoanID]],Table1[G-L ID],Table1[ManagerCode],-99)</f>
        <v>183</v>
      </c>
      <c r="T3533"/>
    </row>
    <row r="3534" spans="1:20" x14ac:dyDescent="0.25">
      <c r="A3534">
        <v>20150430</v>
      </c>
      <c r="B3534">
        <v>2015</v>
      </c>
      <c r="C3534">
        <v>4</v>
      </c>
      <c r="D3534">
        <v>1</v>
      </c>
      <c r="E3534">
        <v>10960</v>
      </c>
      <c r="F3534">
        <v>69624.81</v>
      </c>
      <c r="G3534">
        <v>0</v>
      </c>
      <c r="H3534">
        <v>0</v>
      </c>
      <c r="I3534">
        <v>0</v>
      </c>
      <c r="J3534">
        <v>-96958.25</v>
      </c>
      <c r="K3534">
        <v>0</v>
      </c>
      <c r="L3534">
        <v>6231416.9800000004</v>
      </c>
      <c r="M3534">
        <v>6328375.2300000004</v>
      </c>
      <c r="N3534">
        <v>6231416.9800000004</v>
      </c>
      <c r="O3534">
        <v>6328375.2300000004</v>
      </c>
      <c r="P3534">
        <v>6231416.9800000004</v>
      </c>
      <c r="Q3534">
        <v>6328375.2300000004</v>
      </c>
      <c r="R3534" s="14">
        <f>_xlfn.XLOOKUP(Table2[[#This Row],[LoanID]],Table1[G-L ID],Table1[ManagerCode],-99)</f>
        <v>119</v>
      </c>
      <c r="T3534"/>
    </row>
    <row r="3535" spans="1:20" x14ac:dyDescent="0.25">
      <c r="A3535">
        <v>20150430</v>
      </c>
      <c r="B3535">
        <v>2015</v>
      </c>
      <c r="C3535">
        <v>4</v>
      </c>
      <c r="D3535">
        <v>1</v>
      </c>
      <c r="E3535">
        <v>11010</v>
      </c>
      <c r="F3535">
        <v>209297.66</v>
      </c>
      <c r="G3535">
        <v>0</v>
      </c>
      <c r="H3535">
        <v>0</v>
      </c>
      <c r="I3535">
        <v>0</v>
      </c>
      <c r="J3535">
        <v>0</v>
      </c>
      <c r="K3535">
        <v>0</v>
      </c>
      <c r="L3535">
        <v>26500000</v>
      </c>
      <c r="M3535">
        <v>26500000</v>
      </c>
      <c r="N3535">
        <v>26500000</v>
      </c>
      <c r="O3535">
        <v>26500000</v>
      </c>
      <c r="P3535">
        <v>26500000</v>
      </c>
      <c r="Q3535">
        <v>26500000</v>
      </c>
      <c r="R3535" s="14">
        <f>_xlfn.XLOOKUP(Table2[[#This Row],[LoanID]],Table1[G-L ID],Table1[ManagerCode],-99)</f>
        <v>119</v>
      </c>
      <c r="T3535"/>
    </row>
    <row r="3536" spans="1:20" x14ac:dyDescent="0.25">
      <c r="A3536">
        <v>20150430</v>
      </c>
      <c r="B3536">
        <v>2015</v>
      </c>
      <c r="C3536">
        <v>4</v>
      </c>
      <c r="D3536">
        <v>1</v>
      </c>
      <c r="E3536">
        <v>11030</v>
      </c>
      <c r="F3536">
        <v>63146</v>
      </c>
      <c r="G3536">
        <v>0</v>
      </c>
      <c r="H3536">
        <v>0</v>
      </c>
      <c r="I3536">
        <v>0</v>
      </c>
      <c r="J3536">
        <v>0</v>
      </c>
      <c r="K3536">
        <v>0</v>
      </c>
      <c r="L3536">
        <v>8000000</v>
      </c>
      <c r="M3536">
        <v>8000000</v>
      </c>
      <c r="N3536">
        <v>8000000</v>
      </c>
      <c r="O3536">
        <v>8000000</v>
      </c>
      <c r="P3536">
        <v>8000000</v>
      </c>
      <c r="Q3536">
        <v>8000000</v>
      </c>
      <c r="R3536" s="14">
        <f>_xlfn.XLOOKUP(Table2[[#This Row],[LoanID]],Table1[G-L ID],Table1[ManagerCode],-99)</f>
        <v>119</v>
      </c>
      <c r="T3536"/>
    </row>
    <row r="3537" spans="1:20" x14ac:dyDescent="0.25">
      <c r="A3537">
        <v>20150430</v>
      </c>
      <c r="B3537">
        <v>2015</v>
      </c>
      <c r="C3537">
        <v>4</v>
      </c>
      <c r="D3537">
        <v>1</v>
      </c>
      <c r="E3537">
        <v>11040</v>
      </c>
      <c r="F3537">
        <v>524201.38</v>
      </c>
      <c r="G3537">
        <v>0</v>
      </c>
      <c r="H3537">
        <v>0</v>
      </c>
      <c r="I3537">
        <v>0</v>
      </c>
      <c r="J3537">
        <v>0</v>
      </c>
      <c r="K3537">
        <v>0</v>
      </c>
      <c r="L3537">
        <v>51000000</v>
      </c>
      <c r="M3537">
        <v>51000000</v>
      </c>
      <c r="N3537">
        <v>51000000</v>
      </c>
      <c r="O3537">
        <v>51000000</v>
      </c>
      <c r="P3537">
        <v>50000000</v>
      </c>
      <c r="Q3537">
        <v>50000000</v>
      </c>
      <c r="R3537" s="14">
        <f>_xlfn.XLOOKUP(Table2[[#This Row],[LoanID]],Table1[G-L ID],Table1[ManagerCode],-99)</f>
        <v>220</v>
      </c>
      <c r="T3537"/>
    </row>
    <row r="3538" spans="1:20" x14ac:dyDescent="0.25">
      <c r="A3538">
        <v>20150430</v>
      </c>
      <c r="B3538">
        <v>2015</v>
      </c>
      <c r="C3538">
        <v>4</v>
      </c>
      <c r="D3538">
        <v>1</v>
      </c>
      <c r="E3538">
        <v>11050</v>
      </c>
      <c r="F3538">
        <v>300635</v>
      </c>
      <c r="G3538">
        <v>0</v>
      </c>
      <c r="H3538">
        <v>0</v>
      </c>
      <c r="I3538">
        <v>0</v>
      </c>
      <c r="J3538">
        <v>0</v>
      </c>
      <c r="K3538">
        <v>0</v>
      </c>
      <c r="L3538">
        <v>29300000</v>
      </c>
      <c r="M3538">
        <v>29300000</v>
      </c>
      <c r="N3538">
        <v>29300000</v>
      </c>
      <c r="O3538">
        <v>29300000</v>
      </c>
      <c r="P3538">
        <v>28500000</v>
      </c>
      <c r="Q3538">
        <v>28500000</v>
      </c>
      <c r="R3538" s="14">
        <f>_xlfn.XLOOKUP(Table2[[#This Row],[LoanID]],Table1[G-L ID],Table1[ManagerCode],-99)</f>
        <v>220</v>
      </c>
      <c r="T3538"/>
    </row>
    <row r="3539" spans="1:20" x14ac:dyDescent="0.25">
      <c r="A3539">
        <v>20150430</v>
      </c>
      <c r="B3539">
        <v>2015</v>
      </c>
      <c r="C3539">
        <v>4</v>
      </c>
      <c r="D3539">
        <v>1</v>
      </c>
      <c r="E3539">
        <v>11070</v>
      </c>
      <c r="F3539">
        <v>143656</v>
      </c>
      <c r="G3539">
        <v>0</v>
      </c>
      <c r="H3539">
        <v>0</v>
      </c>
      <c r="I3539">
        <v>0</v>
      </c>
      <c r="J3539">
        <v>0</v>
      </c>
      <c r="K3539">
        <v>11152.58</v>
      </c>
      <c r="L3539">
        <v>13791201.24</v>
      </c>
      <c r="M3539">
        <v>13782279.17</v>
      </c>
      <c r="N3539">
        <v>13791201.24</v>
      </c>
      <c r="O3539">
        <v>13782279.17</v>
      </c>
      <c r="P3539">
        <v>17239001.550000001</v>
      </c>
      <c r="Q3539">
        <v>17227848.969999999</v>
      </c>
      <c r="R3539" s="14">
        <f>_xlfn.XLOOKUP(Table2[[#This Row],[LoanID]],Table1[G-L ID],Table1[ManagerCode],-99)</f>
        <v>103</v>
      </c>
      <c r="T3539"/>
    </row>
    <row r="3540" spans="1:20" x14ac:dyDescent="0.25">
      <c r="A3540">
        <v>20150430</v>
      </c>
      <c r="B3540">
        <v>2015</v>
      </c>
      <c r="C3540">
        <v>4</v>
      </c>
      <c r="D3540">
        <v>1</v>
      </c>
      <c r="E3540">
        <v>11100</v>
      </c>
      <c r="F3540">
        <v>170093.2</v>
      </c>
      <c r="G3540">
        <v>0</v>
      </c>
      <c r="H3540">
        <v>0</v>
      </c>
      <c r="I3540">
        <v>0</v>
      </c>
      <c r="J3540">
        <v>-3687918.29</v>
      </c>
      <c r="K3540">
        <v>0</v>
      </c>
      <c r="L3540">
        <v>44691237.630000003</v>
      </c>
      <c r="M3540">
        <v>48342276.729999997</v>
      </c>
      <c r="N3540">
        <v>44691237.630000003</v>
      </c>
      <c r="O3540">
        <v>48342276.729999997</v>
      </c>
      <c r="P3540">
        <v>45142664.270000003</v>
      </c>
      <c r="Q3540">
        <v>48830582.560000002</v>
      </c>
      <c r="R3540" s="14">
        <f>_xlfn.XLOOKUP(Table2[[#This Row],[LoanID]],Table1[G-L ID],Table1[ManagerCode],-99)</f>
        <v>103</v>
      </c>
      <c r="T3540"/>
    </row>
    <row r="3541" spans="1:20" x14ac:dyDescent="0.25">
      <c r="A3541">
        <v>20150430</v>
      </c>
      <c r="B3541">
        <v>2015</v>
      </c>
      <c r="C3541">
        <v>4</v>
      </c>
      <c r="D3541">
        <v>1</v>
      </c>
      <c r="E3541">
        <v>11130</v>
      </c>
      <c r="F3541">
        <v>0</v>
      </c>
      <c r="G3541">
        <v>0</v>
      </c>
      <c r="H3541">
        <v>0</v>
      </c>
      <c r="I3541">
        <v>0.01</v>
      </c>
      <c r="J3541">
        <v>0</v>
      </c>
      <c r="K3541">
        <v>0</v>
      </c>
      <c r="L3541">
        <v>168150000</v>
      </c>
      <c r="M3541">
        <v>168150000</v>
      </c>
      <c r="N3541">
        <v>168150000</v>
      </c>
      <c r="O3541">
        <v>168150000</v>
      </c>
      <c r="P3541">
        <v>177000000</v>
      </c>
      <c r="Q3541">
        <v>177000000</v>
      </c>
      <c r="R3541" s="14">
        <f>_xlfn.XLOOKUP(Table2[[#This Row],[LoanID]],Table1[G-L ID],Table1[ManagerCode],-99)</f>
        <v>103</v>
      </c>
      <c r="T3541"/>
    </row>
    <row r="3542" spans="1:20" x14ac:dyDescent="0.25">
      <c r="A3542">
        <v>20150430</v>
      </c>
      <c r="B3542">
        <v>2015</v>
      </c>
      <c r="C3542">
        <v>4</v>
      </c>
      <c r="D3542">
        <v>1</v>
      </c>
      <c r="E3542">
        <v>11170</v>
      </c>
      <c r="F3542">
        <v>704797.92</v>
      </c>
      <c r="G3542">
        <v>0</v>
      </c>
      <c r="H3542">
        <v>0</v>
      </c>
      <c r="I3542">
        <v>0</v>
      </c>
      <c r="J3542">
        <v>0</v>
      </c>
      <c r="K3542">
        <v>0</v>
      </c>
      <c r="L3542">
        <v>173249826.80000001</v>
      </c>
      <c r="M3542">
        <v>173249826.80000001</v>
      </c>
      <c r="N3542">
        <v>173249826.80000001</v>
      </c>
      <c r="O3542">
        <v>173249826.80000001</v>
      </c>
      <c r="P3542">
        <v>175000000</v>
      </c>
      <c r="Q3542">
        <v>175000000</v>
      </c>
      <c r="R3542" s="14">
        <f>_xlfn.XLOOKUP(Table2[[#This Row],[LoanID]],Table1[G-L ID],Table1[ManagerCode],-99)</f>
        <v>103</v>
      </c>
      <c r="T3542"/>
    </row>
    <row r="3543" spans="1:20" x14ac:dyDescent="0.25">
      <c r="A3543">
        <v>20150430</v>
      </c>
      <c r="B3543">
        <v>2015</v>
      </c>
      <c r="C3543">
        <v>4</v>
      </c>
      <c r="D3543">
        <v>1</v>
      </c>
      <c r="E3543">
        <v>11250</v>
      </c>
      <c r="F3543">
        <v>45929.15</v>
      </c>
      <c r="G3543">
        <v>78338.53</v>
      </c>
      <c r="H3543">
        <v>0</v>
      </c>
      <c r="I3543">
        <v>0</v>
      </c>
      <c r="J3543">
        <v>-1281054.23</v>
      </c>
      <c r="K3543">
        <v>0</v>
      </c>
      <c r="L3543">
        <v>9692579.9399999995</v>
      </c>
      <c r="M3543">
        <v>11051972.699999999</v>
      </c>
      <c r="N3543">
        <v>9692579.9399999995</v>
      </c>
      <c r="O3543">
        <v>11051972.699999999</v>
      </c>
      <c r="P3543">
        <v>9692579.9399999995</v>
      </c>
      <c r="Q3543">
        <v>11051972.699999999</v>
      </c>
      <c r="R3543" s="14">
        <f>_xlfn.XLOOKUP(Table2[[#This Row],[LoanID]],Table1[G-L ID],Table1[ManagerCode],-99)</f>
        <v>183</v>
      </c>
      <c r="T3543"/>
    </row>
    <row r="3544" spans="1:20" x14ac:dyDescent="0.25">
      <c r="A3544">
        <v>20150430</v>
      </c>
      <c r="B3544">
        <v>2015</v>
      </c>
      <c r="C3544">
        <v>4</v>
      </c>
      <c r="D3544">
        <v>1</v>
      </c>
      <c r="E3544">
        <v>11320</v>
      </c>
      <c r="F3544">
        <v>96587.02</v>
      </c>
      <c r="G3544">
        <v>0</v>
      </c>
      <c r="H3544">
        <v>0</v>
      </c>
      <c r="I3544">
        <v>0</v>
      </c>
      <c r="J3544">
        <v>0</v>
      </c>
      <c r="K3544">
        <v>18000</v>
      </c>
      <c r="L3544">
        <v>11838000</v>
      </c>
      <c r="M3544">
        <v>11820000</v>
      </c>
      <c r="N3544">
        <v>11838000</v>
      </c>
      <c r="O3544">
        <v>11820000</v>
      </c>
      <c r="P3544">
        <v>11838000</v>
      </c>
      <c r="Q3544">
        <v>11820000</v>
      </c>
      <c r="R3544" s="14">
        <f>_xlfn.XLOOKUP(Table2[[#This Row],[LoanID]],Table1[G-L ID],Table1[ManagerCode],-99)</f>
        <v>119</v>
      </c>
      <c r="T3544"/>
    </row>
    <row r="3545" spans="1:20" x14ac:dyDescent="0.25">
      <c r="A3545">
        <v>20150430</v>
      </c>
      <c r="B3545">
        <v>2015</v>
      </c>
      <c r="C3545">
        <v>4</v>
      </c>
      <c r="D3545">
        <v>1</v>
      </c>
      <c r="E3545">
        <v>11340</v>
      </c>
      <c r="F3545">
        <v>301388.89</v>
      </c>
      <c r="G3545">
        <v>0</v>
      </c>
      <c r="H3545">
        <v>0</v>
      </c>
      <c r="I3545">
        <v>0</v>
      </c>
      <c r="J3545">
        <v>0</v>
      </c>
      <c r="K3545">
        <v>0</v>
      </c>
      <c r="L3545">
        <v>49500000</v>
      </c>
      <c r="M3545">
        <v>49500000</v>
      </c>
      <c r="N3545">
        <v>49500000</v>
      </c>
      <c r="O3545">
        <v>49500000</v>
      </c>
      <c r="P3545">
        <v>50000000</v>
      </c>
      <c r="Q3545">
        <v>50000000</v>
      </c>
      <c r="R3545" s="14">
        <f>_xlfn.XLOOKUP(Table2[[#This Row],[LoanID]],Table1[G-L ID],Table1[ManagerCode],-99)</f>
        <v>103</v>
      </c>
      <c r="T3545"/>
    </row>
    <row r="3546" spans="1:20" x14ac:dyDescent="0.25">
      <c r="A3546">
        <v>20150430</v>
      </c>
      <c r="B3546">
        <v>2015</v>
      </c>
      <c r="C3546">
        <v>4</v>
      </c>
      <c r="D3546">
        <v>1</v>
      </c>
      <c r="E3546">
        <v>11350</v>
      </c>
      <c r="F3546">
        <v>331527.78000000003</v>
      </c>
      <c r="G3546">
        <v>0</v>
      </c>
      <c r="H3546">
        <v>0</v>
      </c>
      <c r="I3546">
        <v>0</v>
      </c>
      <c r="J3546">
        <v>0</v>
      </c>
      <c r="K3546">
        <v>0</v>
      </c>
      <c r="L3546">
        <v>54449945.549999997</v>
      </c>
      <c r="M3546">
        <v>54449945.549999997</v>
      </c>
      <c r="N3546">
        <v>54449945.549999997</v>
      </c>
      <c r="O3546">
        <v>54449945.549999997</v>
      </c>
      <c r="P3546">
        <v>55000000</v>
      </c>
      <c r="Q3546">
        <v>55000000</v>
      </c>
      <c r="R3546" s="14">
        <f>_xlfn.XLOOKUP(Table2[[#This Row],[LoanID]],Table1[G-L ID],Table1[ManagerCode],-99)</f>
        <v>103</v>
      </c>
      <c r="T3546"/>
    </row>
    <row r="3547" spans="1:20" x14ac:dyDescent="0.25">
      <c r="A3547">
        <v>20150430</v>
      </c>
      <c r="B3547">
        <v>2015</v>
      </c>
      <c r="C3547">
        <v>4</v>
      </c>
      <c r="D3547">
        <v>1</v>
      </c>
      <c r="E3547">
        <v>11370</v>
      </c>
      <c r="F3547">
        <v>53683.16</v>
      </c>
      <c r="G3547">
        <v>0</v>
      </c>
      <c r="H3547">
        <v>0</v>
      </c>
      <c r="I3547">
        <v>0</v>
      </c>
      <c r="J3547">
        <v>0</v>
      </c>
      <c r="K3547">
        <v>0</v>
      </c>
      <c r="L3547">
        <v>5696705.2300000004</v>
      </c>
      <c r="M3547">
        <v>5696705.2300000004</v>
      </c>
      <c r="N3547">
        <v>5696705.2300000004</v>
      </c>
      <c r="O3547">
        <v>5696705.2300000004</v>
      </c>
      <c r="P3547">
        <v>5696705.2300000004</v>
      </c>
      <c r="Q3547">
        <v>5696705.2300000004</v>
      </c>
      <c r="R3547" s="14">
        <f>_xlfn.XLOOKUP(Table2[[#This Row],[LoanID]],Table1[G-L ID],Table1[ManagerCode],-99)</f>
        <v>119</v>
      </c>
      <c r="T3547"/>
    </row>
    <row r="3548" spans="1:20" x14ac:dyDescent="0.25">
      <c r="A3548">
        <v>20150430</v>
      </c>
      <c r="B3548">
        <v>2015</v>
      </c>
      <c r="C3548">
        <v>4</v>
      </c>
      <c r="D3548">
        <v>1</v>
      </c>
      <c r="E3548">
        <v>11390</v>
      </c>
      <c r="F3548">
        <v>207743.06</v>
      </c>
      <c r="G3548">
        <v>0</v>
      </c>
      <c r="H3548">
        <v>0</v>
      </c>
      <c r="I3548">
        <v>0</v>
      </c>
      <c r="J3548">
        <v>0</v>
      </c>
      <c r="K3548">
        <v>25000000</v>
      </c>
      <c r="L3548">
        <v>25000000</v>
      </c>
      <c r="M3548">
        <v>0</v>
      </c>
      <c r="N3548">
        <v>25000000</v>
      </c>
      <c r="O3548">
        <v>0</v>
      </c>
      <c r="P3548">
        <v>25000000</v>
      </c>
      <c r="Q3548">
        <v>0</v>
      </c>
      <c r="R3548" s="14">
        <f>_xlfn.XLOOKUP(Table2[[#This Row],[LoanID]],Table1[G-L ID],Table1[ManagerCode],-99)</f>
        <v>220</v>
      </c>
      <c r="T3548"/>
    </row>
    <row r="3549" spans="1:20" x14ac:dyDescent="0.25">
      <c r="A3549">
        <v>20150430</v>
      </c>
      <c r="B3549">
        <v>2015</v>
      </c>
      <c r="C3549">
        <v>4</v>
      </c>
      <c r="D3549">
        <v>1</v>
      </c>
      <c r="E3549">
        <v>11480</v>
      </c>
      <c r="F3549">
        <v>357145.83</v>
      </c>
      <c r="G3549">
        <v>0</v>
      </c>
      <c r="H3549">
        <v>0</v>
      </c>
      <c r="I3549">
        <v>0</v>
      </c>
      <c r="J3549">
        <v>0</v>
      </c>
      <c r="K3549">
        <v>0</v>
      </c>
      <c r="L3549">
        <v>66500000</v>
      </c>
      <c r="M3549">
        <v>66500000</v>
      </c>
      <c r="N3549">
        <v>66500000</v>
      </c>
      <c r="O3549">
        <v>66500000</v>
      </c>
      <c r="P3549">
        <v>70000000</v>
      </c>
      <c r="Q3549">
        <v>70000000</v>
      </c>
      <c r="R3549" s="14">
        <f>_xlfn.XLOOKUP(Table2[[#This Row],[LoanID]],Table1[G-L ID],Table1[ManagerCode],-99)</f>
        <v>103</v>
      </c>
      <c r="T3549"/>
    </row>
    <row r="3550" spans="1:20" x14ac:dyDescent="0.25">
      <c r="A3550">
        <v>20150430</v>
      </c>
      <c r="B3550">
        <v>2015</v>
      </c>
      <c r="C3550">
        <v>4</v>
      </c>
      <c r="D3550">
        <v>1</v>
      </c>
      <c r="E3550">
        <v>11490</v>
      </c>
      <c r="F3550">
        <v>339815.97</v>
      </c>
      <c r="G3550">
        <v>0</v>
      </c>
      <c r="H3550">
        <v>0</v>
      </c>
      <c r="I3550">
        <v>0</v>
      </c>
      <c r="J3550">
        <v>0</v>
      </c>
      <c r="K3550">
        <v>0</v>
      </c>
      <c r="L3550">
        <v>49500000</v>
      </c>
      <c r="M3550">
        <v>49500000</v>
      </c>
      <c r="N3550">
        <v>49500000</v>
      </c>
      <c r="O3550">
        <v>49500000</v>
      </c>
      <c r="P3550">
        <v>55000000</v>
      </c>
      <c r="Q3550">
        <v>55000000</v>
      </c>
      <c r="R3550" s="14">
        <f>_xlfn.XLOOKUP(Table2[[#This Row],[LoanID]],Table1[G-L ID],Table1[ManagerCode],-99)</f>
        <v>103</v>
      </c>
      <c r="T3550"/>
    </row>
    <row r="3551" spans="1:20" x14ac:dyDescent="0.25">
      <c r="A3551">
        <v>20150430</v>
      </c>
      <c r="B3551">
        <v>2015</v>
      </c>
      <c r="C3551">
        <v>4</v>
      </c>
      <c r="D3551">
        <v>1</v>
      </c>
      <c r="E3551">
        <v>11560</v>
      </c>
      <c r="F3551">
        <v>74621.279999999999</v>
      </c>
      <c r="G3551">
        <v>140641.15</v>
      </c>
      <c r="H3551">
        <v>0</v>
      </c>
      <c r="I3551">
        <v>0</v>
      </c>
      <c r="J3551">
        <v>0</v>
      </c>
      <c r="K3551">
        <v>0</v>
      </c>
      <c r="L3551">
        <v>14818895.98</v>
      </c>
      <c r="M3551">
        <v>14959537.130000001</v>
      </c>
      <c r="N3551">
        <v>14818895.98</v>
      </c>
      <c r="O3551">
        <v>14959537.130000001</v>
      </c>
      <c r="P3551">
        <v>14818895.98</v>
      </c>
      <c r="Q3551">
        <v>14959537.130000001</v>
      </c>
      <c r="R3551" s="14">
        <f>_xlfn.XLOOKUP(Table2[[#This Row],[LoanID]],Table1[G-L ID],Table1[ManagerCode],-99)</f>
        <v>183</v>
      </c>
      <c r="T3551"/>
    </row>
    <row r="3552" spans="1:20" x14ac:dyDescent="0.25">
      <c r="A3552">
        <v>20150430</v>
      </c>
      <c r="B3552">
        <v>2015</v>
      </c>
      <c r="C3552">
        <v>4</v>
      </c>
      <c r="D3552">
        <v>1</v>
      </c>
      <c r="E3552">
        <v>11580</v>
      </c>
      <c r="F3552">
        <v>111648.75</v>
      </c>
      <c r="G3552">
        <v>0</v>
      </c>
      <c r="H3552">
        <v>0</v>
      </c>
      <c r="I3552">
        <v>0</v>
      </c>
      <c r="J3552">
        <v>0</v>
      </c>
      <c r="K3552">
        <v>0</v>
      </c>
      <c r="L3552">
        <v>15000000</v>
      </c>
      <c r="M3552">
        <v>15000000</v>
      </c>
      <c r="N3552">
        <v>15000000</v>
      </c>
      <c r="O3552">
        <v>15000000</v>
      </c>
      <c r="P3552">
        <v>15000000</v>
      </c>
      <c r="Q3552">
        <v>15000000</v>
      </c>
      <c r="R3552" s="14">
        <f>_xlfn.XLOOKUP(Table2[[#This Row],[LoanID]],Table1[G-L ID],Table1[ManagerCode],-99)</f>
        <v>119</v>
      </c>
      <c r="T3552"/>
    </row>
    <row r="3553" spans="1:20" x14ac:dyDescent="0.25">
      <c r="A3553">
        <v>20150430</v>
      </c>
      <c r="B3553">
        <v>2015</v>
      </c>
      <c r="C3553">
        <v>4</v>
      </c>
      <c r="D3553">
        <v>1</v>
      </c>
      <c r="E3553">
        <v>11590</v>
      </c>
      <c r="F3553">
        <v>23405.85</v>
      </c>
      <c r="G3553">
        <v>0</v>
      </c>
      <c r="H3553">
        <v>0</v>
      </c>
      <c r="I3553">
        <v>0</v>
      </c>
      <c r="J3553">
        <v>0</v>
      </c>
      <c r="K3553">
        <v>0</v>
      </c>
      <c r="L3553">
        <v>3507224.44</v>
      </c>
      <c r="M3553">
        <v>3507224.44</v>
      </c>
      <c r="N3553">
        <v>3507224.44</v>
      </c>
      <c r="O3553">
        <v>3507224.44</v>
      </c>
      <c r="P3553">
        <v>3507224.44</v>
      </c>
      <c r="Q3553">
        <v>3507224.44</v>
      </c>
      <c r="R3553" s="14">
        <f>_xlfn.XLOOKUP(Table2[[#This Row],[LoanID]],Table1[G-L ID],Table1[ManagerCode],-99)</f>
        <v>119</v>
      </c>
      <c r="T3553"/>
    </row>
    <row r="3554" spans="1:20" x14ac:dyDescent="0.25">
      <c r="A3554">
        <v>20150430</v>
      </c>
      <c r="B3554">
        <v>2015</v>
      </c>
      <c r="C3554">
        <v>4</v>
      </c>
      <c r="D3554">
        <v>1</v>
      </c>
      <c r="E3554">
        <v>11650</v>
      </c>
      <c r="F3554">
        <v>75000</v>
      </c>
      <c r="G3554">
        <v>0</v>
      </c>
      <c r="H3554">
        <v>0</v>
      </c>
      <c r="I3554">
        <v>0</v>
      </c>
      <c r="J3554">
        <v>0</v>
      </c>
      <c r="K3554">
        <v>0</v>
      </c>
      <c r="L3554">
        <v>9600000</v>
      </c>
      <c r="M3554">
        <v>9600000</v>
      </c>
      <c r="N3554">
        <v>9600000</v>
      </c>
      <c r="O3554">
        <v>9600000</v>
      </c>
      <c r="P3554">
        <v>12000000</v>
      </c>
      <c r="Q3554">
        <v>12000000</v>
      </c>
      <c r="R3554" s="14">
        <f>_xlfn.XLOOKUP(Table2[[#This Row],[LoanID]],Table1[G-L ID],Table1[ManagerCode],-99)</f>
        <v>103</v>
      </c>
      <c r="T3554"/>
    </row>
    <row r="3555" spans="1:20" x14ac:dyDescent="0.25">
      <c r="A3555">
        <v>20150430</v>
      </c>
      <c r="B3555">
        <v>2015</v>
      </c>
      <c r="C3555">
        <v>4</v>
      </c>
      <c r="D3555">
        <v>1</v>
      </c>
      <c r="E3555">
        <v>11660</v>
      </c>
      <c r="F3555">
        <v>0</v>
      </c>
      <c r="G3555">
        <v>0</v>
      </c>
      <c r="H3555">
        <v>0</v>
      </c>
      <c r="I3555">
        <v>0</v>
      </c>
      <c r="J3555">
        <v>0</v>
      </c>
      <c r="K3555">
        <v>0</v>
      </c>
      <c r="L3555">
        <v>27647178</v>
      </c>
      <c r="M3555">
        <v>27647178</v>
      </c>
      <c r="N3555">
        <v>27647178</v>
      </c>
      <c r="O3555">
        <v>27647178</v>
      </c>
      <c r="P3555">
        <v>27647178</v>
      </c>
      <c r="Q3555">
        <v>27647178</v>
      </c>
      <c r="R3555" s="14">
        <f>_xlfn.XLOOKUP(Table2[[#This Row],[LoanID]],Table1[G-L ID],Table1[ManagerCode],-99)</f>
        <v>183</v>
      </c>
      <c r="T3555"/>
    </row>
    <row r="3556" spans="1:20" x14ac:dyDescent="0.25">
      <c r="A3556">
        <v>20150430</v>
      </c>
      <c r="B3556">
        <v>2015</v>
      </c>
      <c r="C3556">
        <v>4</v>
      </c>
      <c r="D3556">
        <v>1</v>
      </c>
      <c r="E3556">
        <v>11680</v>
      </c>
      <c r="F3556">
        <v>57126.559999999998</v>
      </c>
      <c r="G3556">
        <v>0</v>
      </c>
      <c r="H3556">
        <v>0</v>
      </c>
      <c r="I3556">
        <v>0</v>
      </c>
      <c r="J3556">
        <v>0</v>
      </c>
      <c r="K3556">
        <v>0</v>
      </c>
      <c r="L3556">
        <v>6600000</v>
      </c>
      <c r="M3556">
        <v>6600000</v>
      </c>
      <c r="N3556">
        <v>6600000</v>
      </c>
      <c r="O3556">
        <v>6600000</v>
      </c>
      <c r="P3556">
        <v>6600000</v>
      </c>
      <c r="Q3556">
        <v>6600000</v>
      </c>
      <c r="R3556" s="14">
        <f>_xlfn.XLOOKUP(Table2[[#This Row],[LoanID]],Table1[G-L ID],Table1[ManagerCode],-99)</f>
        <v>183</v>
      </c>
      <c r="T3556"/>
    </row>
    <row r="3557" spans="1:20" x14ac:dyDescent="0.25">
      <c r="A3557">
        <v>20150430</v>
      </c>
      <c r="B3557">
        <v>2015</v>
      </c>
      <c r="C3557">
        <v>4</v>
      </c>
      <c r="D3557">
        <v>1</v>
      </c>
      <c r="E3557">
        <v>11710</v>
      </c>
      <c r="F3557">
        <v>122773.75</v>
      </c>
      <c r="G3557">
        <v>0</v>
      </c>
      <c r="H3557">
        <v>0</v>
      </c>
      <c r="I3557">
        <v>0</v>
      </c>
      <c r="J3557">
        <v>0</v>
      </c>
      <c r="K3557">
        <v>0</v>
      </c>
      <c r="L3557">
        <v>15000000</v>
      </c>
      <c r="M3557">
        <v>15000000</v>
      </c>
      <c r="N3557">
        <v>15000000</v>
      </c>
      <c r="O3557">
        <v>15000000</v>
      </c>
      <c r="P3557">
        <v>15000000</v>
      </c>
      <c r="Q3557">
        <v>15000000</v>
      </c>
      <c r="R3557" s="14">
        <f>_xlfn.XLOOKUP(Table2[[#This Row],[LoanID]],Table1[G-L ID],Table1[ManagerCode],-99)</f>
        <v>119</v>
      </c>
      <c r="T3557"/>
    </row>
    <row r="3558" spans="1:20" x14ac:dyDescent="0.25">
      <c r="A3558">
        <v>20150430</v>
      </c>
      <c r="B3558">
        <v>2015</v>
      </c>
      <c r="C3558">
        <v>4</v>
      </c>
      <c r="D3558">
        <v>1</v>
      </c>
      <c r="E3558">
        <v>11720</v>
      </c>
      <c r="F3558">
        <v>129166.67</v>
      </c>
      <c r="G3558">
        <v>0</v>
      </c>
      <c r="H3558">
        <v>0</v>
      </c>
      <c r="I3558">
        <v>0</v>
      </c>
      <c r="J3558">
        <v>0</v>
      </c>
      <c r="K3558">
        <v>0</v>
      </c>
      <c r="L3558">
        <v>19800000</v>
      </c>
      <c r="M3558">
        <v>19800000</v>
      </c>
      <c r="N3558">
        <v>19800000</v>
      </c>
      <c r="O3558">
        <v>19800000</v>
      </c>
      <c r="P3558">
        <v>20000000</v>
      </c>
      <c r="Q3558">
        <v>20000000</v>
      </c>
      <c r="R3558" s="14">
        <f>_xlfn.XLOOKUP(Table2[[#This Row],[LoanID]],Table1[G-L ID],Table1[ManagerCode],-99)</f>
        <v>103</v>
      </c>
      <c r="T3558"/>
    </row>
    <row r="3559" spans="1:20" x14ac:dyDescent="0.25">
      <c r="A3559">
        <v>20150430</v>
      </c>
      <c r="B3559">
        <v>2015</v>
      </c>
      <c r="C3559">
        <v>4</v>
      </c>
      <c r="D3559">
        <v>1</v>
      </c>
      <c r="E3559">
        <v>11730</v>
      </c>
      <c r="F3559">
        <v>46935.68</v>
      </c>
      <c r="G3559">
        <v>0</v>
      </c>
      <c r="H3559">
        <v>0</v>
      </c>
      <c r="I3559">
        <v>0</v>
      </c>
      <c r="J3559">
        <v>0</v>
      </c>
      <c r="K3559">
        <v>0</v>
      </c>
      <c r="L3559">
        <v>4750000</v>
      </c>
      <c r="M3559">
        <v>4750000</v>
      </c>
      <c r="N3559">
        <v>4750000</v>
      </c>
      <c r="O3559">
        <v>4750000</v>
      </c>
      <c r="P3559">
        <v>4750000</v>
      </c>
      <c r="Q3559">
        <v>4750000</v>
      </c>
      <c r="R3559" s="14">
        <f>_xlfn.XLOOKUP(Table2[[#This Row],[LoanID]],Table1[G-L ID],Table1[ManagerCode],-99)</f>
        <v>119</v>
      </c>
      <c r="T3559"/>
    </row>
    <row r="3560" spans="1:20" x14ac:dyDescent="0.25">
      <c r="A3560">
        <v>20150430</v>
      </c>
      <c r="B3560">
        <v>2015</v>
      </c>
      <c r="C3560">
        <v>4</v>
      </c>
      <c r="D3560">
        <v>1</v>
      </c>
      <c r="E3560">
        <v>11740</v>
      </c>
      <c r="F3560">
        <v>191100</v>
      </c>
      <c r="G3560">
        <v>0</v>
      </c>
      <c r="H3560">
        <v>0</v>
      </c>
      <c r="I3560">
        <v>0</v>
      </c>
      <c r="J3560">
        <v>0</v>
      </c>
      <c r="K3560">
        <v>0</v>
      </c>
      <c r="L3560">
        <v>19110000</v>
      </c>
      <c r="M3560">
        <v>19110000</v>
      </c>
      <c r="N3560">
        <v>19110000</v>
      </c>
      <c r="O3560">
        <v>19110000</v>
      </c>
      <c r="P3560">
        <v>19110000</v>
      </c>
      <c r="Q3560">
        <v>19110000</v>
      </c>
      <c r="R3560" s="14">
        <f>_xlfn.XLOOKUP(Table2[[#This Row],[LoanID]],Table1[G-L ID],Table1[ManagerCode],-99)</f>
        <v>183</v>
      </c>
      <c r="T3560"/>
    </row>
    <row r="3561" spans="1:20" x14ac:dyDescent="0.25">
      <c r="A3561">
        <v>20150430</v>
      </c>
      <c r="B3561">
        <v>2015</v>
      </c>
      <c r="C3561">
        <v>4</v>
      </c>
      <c r="D3561">
        <v>1</v>
      </c>
      <c r="E3561">
        <v>11810</v>
      </c>
      <c r="F3561">
        <v>49330.26</v>
      </c>
      <c r="G3561">
        <v>0</v>
      </c>
      <c r="H3561">
        <v>0</v>
      </c>
      <c r="I3561">
        <v>0</v>
      </c>
      <c r="J3561">
        <v>0</v>
      </c>
      <c r="K3561">
        <v>11527.83</v>
      </c>
      <c r="L3561">
        <v>9544681.5800000001</v>
      </c>
      <c r="M3561">
        <v>9533269.0199999996</v>
      </c>
      <c r="N3561">
        <v>9544681.5800000001</v>
      </c>
      <c r="O3561">
        <v>9533269.0199999996</v>
      </c>
      <c r="P3561">
        <v>9641092.5</v>
      </c>
      <c r="Q3561">
        <v>9629564.6699999999</v>
      </c>
      <c r="R3561" s="14">
        <f>_xlfn.XLOOKUP(Table2[[#This Row],[LoanID]],Table1[G-L ID],Table1[ManagerCode],-99)</f>
        <v>103</v>
      </c>
      <c r="T3561"/>
    </row>
    <row r="3562" spans="1:20" x14ac:dyDescent="0.25">
      <c r="A3562">
        <v>20150430</v>
      </c>
      <c r="B3562">
        <v>2015</v>
      </c>
      <c r="C3562">
        <v>4</v>
      </c>
      <c r="D3562">
        <v>1</v>
      </c>
      <c r="E3562">
        <v>11880</v>
      </c>
      <c r="F3562">
        <v>263134.21999999997</v>
      </c>
      <c r="G3562">
        <v>133122.04999999999</v>
      </c>
      <c r="H3562">
        <v>0</v>
      </c>
      <c r="I3562">
        <v>0</v>
      </c>
      <c r="J3562">
        <v>-2060923.48</v>
      </c>
      <c r="K3562">
        <v>0</v>
      </c>
      <c r="L3562">
        <v>57268517.18</v>
      </c>
      <c r="M3562">
        <v>59462562.710000001</v>
      </c>
      <c r="N3562">
        <v>57268517.18</v>
      </c>
      <c r="O3562">
        <v>59462562.710000001</v>
      </c>
      <c r="P3562">
        <v>57268517.18</v>
      </c>
      <c r="Q3562">
        <v>59462562.710000001</v>
      </c>
      <c r="R3562" s="14">
        <f>_xlfn.XLOOKUP(Table2[[#This Row],[LoanID]],Table1[G-L ID],Table1[ManagerCode],-99)</f>
        <v>183</v>
      </c>
      <c r="T3562"/>
    </row>
    <row r="3563" spans="1:20" x14ac:dyDescent="0.25">
      <c r="A3563">
        <v>20150430</v>
      </c>
      <c r="B3563">
        <v>2015</v>
      </c>
      <c r="C3563">
        <v>4</v>
      </c>
      <c r="D3563">
        <v>1</v>
      </c>
      <c r="E3563">
        <v>11990</v>
      </c>
      <c r="F3563">
        <v>100427.08</v>
      </c>
      <c r="G3563">
        <v>0</v>
      </c>
      <c r="H3563">
        <v>0</v>
      </c>
      <c r="I3563">
        <v>0</v>
      </c>
      <c r="J3563">
        <v>0</v>
      </c>
      <c r="K3563">
        <v>0</v>
      </c>
      <c r="L3563">
        <v>15000000</v>
      </c>
      <c r="M3563">
        <v>15000000</v>
      </c>
      <c r="N3563">
        <v>15000000</v>
      </c>
      <c r="O3563">
        <v>15000000</v>
      </c>
      <c r="P3563">
        <v>15000000</v>
      </c>
      <c r="Q3563">
        <v>15000000</v>
      </c>
      <c r="R3563" s="14">
        <f>_xlfn.XLOOKUP(Table2[[#This Row],[LoanID]],Table1[G-L ID],Table1[ManagerCode],-99)</f>
        <v>220</v>
      </c>
      <c r="T3563"/>
    </row>
    <row r="3564" spans="1:20" x14ac:dyDescent="0.25">
      <c r="A3564">
        <v>20150430</v>
      </c>
      <c r="B3564">
        <v>2015</v>
      </c>
      <c r="C3564">
        <v>4</v>
      </c>
      <c r="D3564">
        <v>1</v>
      </c>
      <c r="E3564">
        <v>12080</v>
      </c>
      <c r="F3564">
        <v>289411.33</v>
      </c>
      <c r="G3564">
        <v>0</v>
      </c>
      <c r="H3564">
        <v>0</v>
      </c>
      <c r="I3564">
        <v>0</v>
      </c>
      <c r="J3564">
        <v>0</v>
      </c>
      <c r="K3564">
        <v>0</v>
      </c>
      <c r="L3564">
        <v>35678405.18</v>
      </c>
      <c r="M3564">
        <v>35678405.18</v>
      </c>
      <c r="N3564">
        <v>35678405.18</v>
      </c>
      <c r="O3564">
        <v>35678405.18</v>
      </c>
      <c r="P3564">
        <v>35678405.18</v>
      </c>
      <c r="Q3564">
        <v>35678405.18</v>
      </c>
      <c r="R3564" s="14">
        <f>_xlfn.XLOOKUP(Table2[[#This Row],[LoanID]],Table1[G-L ID],Table1[ManagerCode],-99)</f>
        <v>119</v>
      </c>
      <c r="T3564"/>
    </row>
    <row r="3565" spans="1:20" x14ac:dyDescent="0.25">
      <c r="A3565">
        <v>20150430</v>
      </c>
      <c r="B3565">
        <v>2015</v>
      </c>
      <c r="C3565">
        <v>4</v>
      </c>
      <c r="D3565">
        <v>1</v>
      </c>
      <c r="E3565">
        <v>12160</v>
      </c>
      <c r="F3565">
        <v>73839.740000000005</v>
      </c>
      <c r="G3565">
        <v>92205.6</v>
      </c>
      <c r="H3565">
        <v>0</v>
      </c>
      <c r="I3565">
        <v>0</v>
      </c>
      <c r="J3565">
        <v>-73839.740000000005</v>
      </c>
      <c r="K3565">
        <v>0</v>
      </c>
      <c r="L3565">
        <v>15236696.6</v>
      </c>
      <c r="M3565">
        <v>15402741.939999999</v>
      </c>
      <c r="N3565">
        <v>15236696.6</v>
      </c>
      <c r="O3565">
        <v>15402741.939999999</v>
      </c>
      <c r="P3565">
        <v>15236696.6</v>
      </c>
      <c r="Q3565">
        <v>15402741.939999999</v>
      </c>
      <c r="R3565" s="14">
        <f>_xlfn.XLOOKUP(Table2[[#This Row],[LoanID]],Table1[G-L ID],Table1[ManagerCode],-99)</f>
        <v>183</v>
      </c>
      <c r="T3565"/>
    </row>
    <row r="3566" spans="1:20" x14ac:dyDescent="0.25">
      <c r="A3566">
        <v>20150430</v>
      </c>
      <c r="B3566">
        <v>2015</v>
      </c>
      <c r="C3566">
        <v>4</v>
      </c>
      <c r="D3566">
        <v>1</v>
      </c>
      <c r="E3566">
        <v>12180</v>
      </c>
      <c r="F3566">
        <v>233576.39</v>
      </c>
      <c r="G3566">
        <v>0</v>
      </c>
      <c r="H3566">
        <v>0</v>
      </c>
      <c r="I3566">
        <v>0</v>
      </c>
      <c r="J3566">
        <v>0</v>
      </c>
      <c r="K3566">
        <v>0</v>
      </c>
      <c r="L3566">
        <v>35000000</v>
      </c>
      <c r="M3566">
        <v>35000000</v>
      </c>
      <c r="N3566">
        <v>35000000</v>
      </c>
      <c r="O3566">
        <v>35000000</v>
      </c>
      <c r="P3566">
        <v>35000000</v>
      </c>
      <c r="Q3566">
        <v>35000000</v>
      </c>
      <c r="R3566" s="14">
        <f>_xlfn.XLOOKUP(Table2[[#This Row],[LoanID]],Table1[G-L ID],Table1[ManagerCode],-99)</f>
        <v>220</v>
      </c>
      <c r="T3566"/>
    </row>
    <row r="3567" spans="1:20" x14ac:dyDescent="0.25">
      <c r="A3567">
        <v>20150430</v>
      </c>
      <c r="B3567">
        <v>2015</v>
      </c>
      <c r="C3567">
        <v>4</v>
      </c>
      <c r="D3567">
        <v>1</v>
      </c>
      <c r="E3567">
        <v>12190</v>
      </c>
      <c r="F3567">
        <v>283520.83</v>
      </c>
      <c r="G3567">
        <v>0</v>
      </c>
      <c r="H3567">
        <v>0</v>
      </c>
      <c r="I3567">
        <v>0</v>
      </c>
      <c r="J3567">
        <v>0</v>
      </c>
      <c r="K3567">
        <v>0</v>
      </c>
      <c r="L3567">
        <v>37500000</v>
      </c>
      <c r="M3567">
        <v>37500000</v>
      </c>
      <c r="N3567">
        <v>37500000</v>
      </c>
      <c r="O3567">
        <v>37500000</v>
      </c>
      <c r="P3567">
        <v>37500000</v>
      </c>
      <c r="Q3567">
        <v>37500000</v>
      </c>
      <c r="R3567" s="14">
        <f>_xlfn.XLOOKUP(Table2[[#This Row],[LoanID]],Table1[G-L ID],Table1[ManagerCode],-99)</f>
        <v>220</v>
      </c>
      <c r="T3567"/>
    </row>
    <row r="3568" spans="1:20" x14ac:dyDescent="0.25">
      <c r="A3568">
        <v>20150430</v>
      </c>
      <c r="B3568">
        <v>2015</v>
      </c>
      <c r="C3568">
        <v>4</v>
      </c>
      <c r="D3568">
        <v>1</v>
      </c>
      <c r="E3568">
        <v>12210</v>
      </c>
      <c r="F3568">
        <v>671831.88</v>
      </c>
      <c r="G3568">
        <v>0</v>
      </c>
      <c r="H3568">
        <v>0</v>
      </c>
      <c r="I3568">
        <v>0</v>
      </c>
      <c r="J3568">
        <v>0</v>
      </c>
      <c r="K3568">
        <v>225672.12</v>
      </c>
      <c r="L3568">
        <v>122081160.2</v>
      </c>
      <c r="M3568">
        <v>121536606.09999999</v>
      </c>
      <c r="N3568">
        <v>122081160.2</v>
      </c>
      <c r="O3568">
        <v>121536606.09999999</v>
      </c>
      <c r="P3568">
        <v>108703483.3</v>
      </c>
      <c r="Q3568">
        <v>108477811.2</v>
      </c>
      <c r="R3568" s="14">
        <f>_xlfn.XLOOKUP(Table2[[#This Row],[LoanID]],Table1[G-L ID],Table1[ManagerCode],-99)</f>
        <v>103</v>
      </c>
      <c r="T3568"/>
    </row>
    <row r="3569" spans="1:20" x14ac:dyDescent="0.25">
      <c r="A3569">
        <v>20150430</v>
      </c>
      <c r="B3569">
        <v>2015</v>
      </c>
      <c r="C3569">
        <v>4</v>
      </c>
      <c r="D3569">
        <v>1</v>
      </c>
      <c r="E3569">
        <v>12230</v>
      </c>
      <c r="F3569">
        <v>101188.99</v>
      </c>
      <c r="G3569">
        <v>0</v>
      </c>
      <c r="H3569">
        <v>0</v>
      </c>
      <c r="I3569">
        <v>0</v>
      </c>
      <c r="J3569">
        <v>0</v>
      </c>
      <c r="K3569">
        <v>0</v>
      </c>
      <c r="L3569">
        <v>20153000</v>
      </c>
      <c r="M3569">
        <v>20153000</v>
      </c>
      <c r="N3569">
        <v>13672449.5</v>
      </c>
      <c r="O3569">
        <v>13672449.5</v>
      </c>
      <c r="P3569">
        <v>19443597.32</v>
      </c>
      <c r="Q3569">
        <v>19443597.32</v>
      </c>
      <c r="R3569" s="14">
        <f>_xlfn.XLOOKUP(Table2[[#This Row],[LoanID]],Table1[G-L ID],Table1[ManagerCode],-99)</f>
        <v>183</v>
      </c>
      <c r="T3569"/>
    </row>
    <row r="3570" spans="1:20" x14ac:dyDescent="0.25">
      <c r="A3570">
        <v>20150430</v>
      </c>
      <c r="B3570">
        <v>2015</v>
      </c>
      <c r="C3570">
        <v>4</v>
      </c>
      <c r="D3570">
        <v>1</v>
      </c>
      <c r="E3570">
        <v>12240</v>
      </c>
      <c r="F3570">
        <v>0</v>
      </c>
      <c r="G3570">
        <v>1318181.56</v>
      </c>
      <c r="H3570">
        <v>0</v>
      </c>
      <c r="I3570">
        <v>0</v>
      </c>
      <c r="J3570">
        <v>-5217748.16</v>
      </c>
      <c r="K3570">
        <v>0</v>
      </c>
      <c r="L3570">
        <v>80341263.579999998</v>
      </c>
      <c r="M3570">
        <v>86877193.299999997</v>
      </c>
      <c r="N3570">
        <v>80341263.579999998</v>
      </c>
      <c r="O3570">
        <v>86877193.299999997</v>
      </c>
      <c r="P3570">
        <v>80341263.579999998</v>
      </c>
      <c r="Q3570">
        <v>86877193.299999997</v>
      </c>
      <c r="R3570" s="14">
        <f>_xlfn.XLOOKUP(Table2[[#This Row],[LoanID]],Table1[G-L ID],Table1[ManagerCode],-99)</f>
        <v>183</v>
      </c>
      <c r="T3570"/>
    </row>
    <row r="3571" spans="1:20" x14ac:dyDescent="0.25">
      <c r="A3571">
        <v>20150430</v>
      </c>
      <c r="B3571">
        <v>2015</v>
      </c>
      <c r="C3571">
        <v>4</v>
      </c>
      <c r="D3571">
        <v>1</v>
      </c>
      <c r="E3571">
        <v>13630</v>
      </c>
      <c r="F3571">
        <v>218506.94</v>
      </c>
      <c r="G3571">
        <v>0</v>
      </c>
      <c r="H3571">
        <v>0</v>
      </c>
      <c r="I3571">
        <v>0</v>
      </c>
      <c r="J3571">
        <v>0</v>
      </c>
      <c r="K3571">
        <v>0</v>
      </c>
      <c r="L3571">
        <v>35000000</v>
      </c>
      <c r="M3571">
        <v>35000000</v>
      </c>
      <c r="N3571">
        <v>35000000</v>
      </c>
      <c r="O3571">
        <v>35000000</v>
      </c>
      <c r="P3571">
        <v>35000000</v>
      </c>
      <c r="Q3571">
        <v>35000000</v>
      </c>
      <c r="R3571" s="14">
        <f>_xlfn.XLOOKUP(Table2[[#This Row],[LoanID]],Table1[G-L ID],Table1[ManagerCode],-99)</f>
        <v>298</v>
      </c>
      <c r="T3571"/>
    </row>
    <row r="3572" spans="1:20" x14ac:dyDescent="0.25">
      <c r="A3572">
        <v>20150430</v>
      </c>
      <c r="B3572">
        <v>2015</v>
      </c>
      <c r="C3572">
        <v>4</v>
      </c>
      <c r="D3572">
        <v>1</v>
      </c>
      <c r="E3572">
        <v>13670</v>
      </c>
      <c r="F3572">
        <v>280130.2</v>
      </c>
      <c r="G3572">
        <v>0</v>
      </c>
      <c r="H3572">
        <v>0</v>
      </c>
      <c r="I3572">
        <v>0</v>
      </c>
      <c r="J3572">
        <v>0</v>
      </c>
      <c r="K3572">
        <v>0</v>
      </c>
      <c r="L3572">
        <v>37500000</v>
      </c>
      <c r="M3572">
        <v>37500000</v>
      </c>
      <c r="N3572">
        <v>37500000</v>
      </c>
      <c r="O3572">
        <v>37500000</v>
      </c>
      <c r="P3572">
        <v>37500000</v>
      </c>
      <c r="Q3572">
        <v>37500000</v>
      </c>
      <c r="R3572" s="14">
        <f>_xlfn.XLOOKUP(Table2[[#This Row],[LoanID]],Table1[G-L ID],Table1[ManagerCode],-99)</f>
        <v>298</v>
      </c>
      <c r="T3572"/>
    </row>
    <row r="3573" spans="1:20" x14ac:dyDescent="0.25">
      <c r="A3573">
        <v>20150430</v>
      </c>
      <c r="B3573">
        <v>2015</v>
      </c>
      <c r="C3573">
        <v>4</v>
      </c>
      <c r="D3573">
        <v>1</v>
      </c>
      <c r="E3573">
        <v>13680</v>
      </c>
      <c r="F3573">
        <v>135937.5</v>
      </c>
      <c r="G3573">
        <v>0</v>
      </c>
      <c r="H3573">
        <v>0</v>
      </c>
      <c r="I3573">
        <v>0</v>
      </c>
      <c r="J3573">
        <v>0</v>
      </c>
      <c r="K3573">
        <v>0</v>
      </c>
      <c r="L3573">
        <v>18000000</v>
      </c>
      <c r="M3573">
        <v>18000000</v>
      </c>
      <c r="N3573">
        <v>18000000</v>
      </c>
      <c r="O3573">
        <v>18000000</v>
      </c>
      <c r="P3573">
        <v>18000000</v>
      </c>
      <c r="Q3573">
        <v>18000000</v>
      </c>
      <c r="R3573" s="14">
        <f>_xlfn.XLOOKUP(Table2[[#This Row],[LoanID]],Table1[G-L ID],Table1[ManagerCode],-99)</f>
        <v>298</v>
      </c>
      <c r="T3573"/>
    </row>
    <row r="3574" spans="1:20" x14ac:dyDescent="0.25">
      <c r="A3574">
        <v>20150430</v>
      </c>
      <c r="B3574">
        <v>2015</v>
      </c>
      <c r="C3574">
        <v>4</v>
      </c>
      <c r="D3574">
        <v>1</v>
      </c>
      <c r="E3574">
        <v>13690</v>
      </c>
      <c r="F3574">
        <v>133472.22</v>
      </c>
      <c r="G3574">
        <v>0</v>
      </c>
      <c r="H3574">
        <v>0</v>
      </c>
      <c r="I3574">
        <v>0</v>
      </c>
      <c r="J3574">
        <v>0</v>
      </c>
      <c r="K3574">
        <v>0</v>
      </c>
      <c r="L3574">
        <v>20000000</v>
      </c>
      <c r="M3574">
        <v>20000000</v>
      </c>
      <c r="N3574">
        <v>20000000</v>
      </c>
      <c r="O3574">
        <v>20000000</v>
      </c>
      <c r="P3574">
        <v>20000000</v>
      </c>
      <c r="Q3574">
        <v>20000000</v>
      </c>
      <c r="R3574" s="14">
        <f>_xlfn.XLOOKUP(Table2[[#This Row],[LoanID]],Table1[G-L ID],Table1[ManagerCode],-99)</f>
        <v>298</v>
      </c>
      <c r="T3574"/>
    </row>
    <row r="3575" spans="1:20" x14ac:dyDescent="0.25">
      <c r="A3575">
        <v>20150430</v>
      </c>
      <c r="B3575">
        <v>2015</v>
      </c>
      <c r="C3575">
        <v>4</v>
      </c>
      <c r="D3575">
        <v>1</v>
      </c>
      <c r="E3575">
        <v>15580</v>
      </c>
      <c r="F3575">
        <v>118413.99</v>
      </c>
      <c r="G3575">
        <v>-3858.25</v>
      </c>
      <c r="H3575">
        <v>0</v>
      </c>
      <c r="I3575">
        <v>0</v>
      </c>
      <c r="J3575">
        <v>0</v>
      </c>
      <c r="K3575">
        <v>4987.32</v>
      </c>
      <c r="L3575">
        <v>14984686.34</v>
      </c>
      <c r="M3575">
        <v>14975840.77</v>
      </c>
      <c r="N3575">
        <v>14984686.34</v>
      </c>
      <c r="O3575">
        <v>14975840.77</v>
      </c>
      <c r="P3575">
        <v>14984686.34</v>
      </c>
      <c r="Q3575">
        <v>14975840.77</v>
      </c>
      <c r="R3575" s="14">
        <f>_xlfn.XLOOKUP(Table2[[#This Row],[LoanID]],Table1[G-L ID],Table1[ManagerCode],-99)</f>
        <v>212</v>
      </c>
      <c r="T3575"/>
    </row>
    <row r="3576" spans="1:20" x14ac:dyDescent="0.25">
      <c r="A3576">
        <v>20150531</v>
      </c>
      <c r="B3576">
        <v>2015</v>
      </c>
      <c r="C3576">
        <v>5</v>
      </c>
      <c r="D3576">
        <v>1</v>
      </c>
      <c r="E3576">
        <v>10010</v>
      </c>
      <c r="F3576">
        <v>151111.46</v>
      </c>
      <c r="G3576">
        <v>0</v>
      </c>
      <c r="H3576">
        <v>0</v>
      </c>
      <c r="I3576">
        <v>0</v>
      </c>
      <c r="J3576">
        <v>0</v>
      </c>
      <c r="K3576">
        <v>0</v>
      </c>
      <c r="L3576">
        <v>16250000</v>
      </c>
      <c r="M3576">
        <v>16250000</v>
      </c>
      <c r="N3576">
        <v>16250000</v>
      </c>
      <c r="O3576">
        <v>16250000</v>
      </c>
      <c r="P3576">
        <v>16250000</v>
      </c>
      <c r="Q3576">
        <v>16250000</v>
      </c>
      <c r="R3576" s="14">
        <f>_xlfn.XLOOKUP(Table2[[#This Row],[LoanID]],Table1[G-L ID],Table1[ManagerCode],-99)</f>
        <v>119</v>
      </c>
      <c r="T3576"/>
    </row>
    <row r="3577" spans="1:20" x14ac:dyDescent="0.25">
      <c r="A3577">
        <v>20150531</v>
      </c>
      <c r="B3577">
        <v>2015</v>
      </c>
      <c r="C3577">
        <v>5</v>
      </c>
      <c r="D3577">
        <v>1</v>
      </c>
      <c r="E3577">
        <v>10050</v>
      </c>
      <c r="F3577">
        <v>149013.89000000001</v>
      </c>
      <c r="G3577">
        <v>0</v>
      </c>
      <c r="H3577">
        <v>0</v>
      </c>
      <c r="I3577">
        <v>0</v>
      </c>
      <c r="J3577">
        <v>0</v>
      </c>
      <c r="K3577">
        <v>0</v>
      </c>
      <c r="L3577">
        <v>38199259.299999997</v>
      </c>
      <c r="M3577">
        <v>38054425.950000003</v>
      </c>
      <c r="N3577">
        <v>38199259.299999997</v>
      </c>
      <c r="O3577">
        <v>38054425.950000003</v>
      </c>
      <c r="P3577">
        <v>33333334</v>
      </c>
      <c r="Q3577">
        <v>33333334</v>
      </c>
      <c r="R3577" s="14">
        <f>_xlfn.XLOOKUP(Table2[[#This Row],[LoanID]],Table1[G-L ID],Table1[ManagerCode],-99)</f>
        <v>103</v>
      </c>
      <c r="T3577"/>
    </row>
    <row r="3578" spans="1:20" x14ac:dyDescent="0.25">
      <c r="A3578">
        <v>20150531</v>
      </c>
      <c r="B3578">
        <v>2015</v>
      </c>
      <c r="C3578">
        <v>5</v>
      </c>
      <c r="D3578">
        <v>1</v>
      </c>
      <c r="E3578">
        <v>10090</v>
      </c>
      <c r="F3578">
        <v>188152.78</v>
      </c>
      <c r="G3578">
        <v>0</v>
      </c>
      <c r="H3578">
        <v>0</v>
      </c>
      <c r="I3578">
        <v>0</v>
      </c>
      <c r="J3578">
        <v>0</v>
      </c>
      <c r="K3578">
        <v>0</v>
      </c>
      <c r="L3578">
        <v>23000000</v>
      </c>
      <c r="M3578">
        <v>23000000</v>
      </c>
      <c r="N3578">
        <v>23000000</v>
      </c>
      <c r="O3578">
        <v>23000000</v>
      </c>
      <c r="P3578">
        <v>23000000</v>
      </c>
      <c r="Q3578">
        <v>23000000</v>
      </c>
      <c r="R3578" s="14">
        <f>_xlfn.XLOOKUP(Table2[[#This Row],[LoanID]],Table1[G-L ID],Table1[ManagerCode],-99)</f>
        <v>119</v>
      </c>
      <c r="T3578"/>
    </row>
    <row r="3579" spans="1:20" x14ac:dyDescent="0.25">
      <c r="A3579">
        <v>20150531</v>
      </c>
      <c r="B3579">
        <v>2015</v>
      </c>
      <c r="C3579">
        <v>5</v>
      </c>
      <c r="D3579">
        <v>1</v>
      </c>
      <c r="E3579">
        <v>10100</v>
      </c>
      <c r="F3579">
        <v>186050</v>
      </c>
      <c r="G3579">
        <v>0</v>
      </c>
      <c r="H3579">
        <v>0</v>
      </c>
      <c r="I3579">
        <v>0</v>
      </c>
      <c r="J3579">
        <v>0</v>
      </c>
      <c r="K3579">
        <v>0</v>
      </c>
      <c r="L3579">
        <v>30500000</v>
      </c>
      <c r="M3579">
        <v>30500000</v>
      </c>
      <c r="N3579">
        <v>30500000</v>
      </c>
      <c r="O3579">
        <v>30500000</v>
      </c>
      <c r="P3579">
        <v>30500000</v>
      </c>
      <c r="Q3579">
        <v>30500000</v>
      </c>
      <c r="R3579" s="14">
        <f>_xlfn.XLOOKUP(Table2[[#This Row],[LoanID]],Table1[G-L ID],Table1[ManagerCode],-99)</f>
        <v>220</v>
      </c>
      <c r="T3579"/>
    </row>
    <row r="3580" spans="1:20" x14ac:dyDescent="0.25">
      <c r="A3580">
        <v>20150531</v>
      </c>
      <c r="B3580">
        <v>2015</v>
      </c>
      <c r="C3580">
        <v>5</v>
      </c>
      <c r="D3580">
        <v>1</v>
      </c>
      <c r="E3580">
        <v>10120</v>
      </c>
      <c r="F3580">
        <v>0</v>
      </c>
      <c r="G3580">
        <v>32500</v>
      </c>
      <c r="H3580">
        <v>106500</v>
      </c>
      <c r="I3580">
        <v>0</v>
      </c>
      <c r="J3580">
        <v>-6000000</v>
      </c>
      <c r="K3580">
        <v>0</v>
      </c>
      <c r="L3580">
        <v>0</v>
      </c>
      <c r="M3580">
        <v>6032500</v>
      </c>
      <c r="N3580">
        <v>0</v>
      </c>
      <c r="O3580">
        <v>6032500</v>
      </c>
      <c r="P3580">
        <v>0</v>
      </c>
      <c r="Q3580">
        <v>6032500</v>
      </c>
      <c r="R3580" s="14">
        <f>_xlfn.XLOOKUP(Table2[[#This Row],[LoanID]],Table1[G-L ID],Table1[ManagerCode],-99)</f>
        <v>183</v>
      </c>
      <c r="T3580"/>
    </row>
    <row r="3581" spans="1:20" x14ac:dyDescent="0.25">
      <c r="A3581">
        <v>20150531</v>
      </c>
      <c r="B3581">
        <v>2015</v>
      </c>
      <c r="C3581">
        <v>5</v>
      </c>
      <c r="D3581">
        <v>1</v>
      </c>
      <c r="E3581">
        <v>10160</v>
      </c>
      <c r="F3581">
        <v>107494.07</v>
      </c>
      <c r="G3581">
        <v>0</v>
      </c>
      <c r="H3581">
        <v>0</v>
      </c>
      <c r="I3581">
        <v>0</v>
      </c>
      <c r="J3581">
        <v>0</v>
      </c>
      <c r="K3581">
        <v>0</v>
      </c>
      <c r="L3581">
        <v>14051513.300000001</v>
      </c>
      <c r="M3581">
        <v>14051513.300000001</v>
      </c>
      <c r="N3581">
        <v>14051513.300000001</v>
      </c>
      <c r="O3581">
        <v>14051513.300000001</v>
      </c>
      <c r="P3581">
        <v>14051513.300000001</v>
      </c>
      <c r="Q3581">
        <v>14051513.300000001</v>
      </c>
      <c r="R3581" s="14">
        <f>_xlfn.XLOOKUP(Table2[[#This Row],[LoanID]],Table1[G-L ID],Table1[ManagerCode],-99)</f>
        <v>119</v>
      </c>
      <c r="T3581"/>
    </row>
    <row r="3582" spans="1:20" x14ac:dyDescent="0.25">
      <c r="A3582">
        <v>20150531</v>
      </c>
      <c r="B3582">
        <v>2015</v>
      </c>
      <c r="C3582">
        <v>5</v>
      </c>
      <c r="D3582">
        <v>1</v>
      </c>
      <c r="E3582">
        <v>10220</v>
      </c>
      <c r="F3582">
        <v>541666.67000000004</v>
      </c>
      <c r="G3582">
        <v>0</v>
      </c>
      <c r="H3582">
        <v>0</v>
      </c>
      <c r="I3582">
        <v>0</v>
      </c>
      <c r="J3582">
        <v>0</v>
      </c>
      <c r="K3582">
        <v>0</v>
      </c>
      <c r="L3582">
        <v>116622515</v>
      </c>
      <c r="M3582">
        <v>116613685.40000001</v>
      </c>
      <c r="N3582">
        <v>116622515</v>
      </c>
      <c r="O3582">
        <v>116613685.40000001</v>
      </c>
      <c r="P3582">
        <v>100000000</v>
      </c>
      <c r="Q3582">
        <v>100000000</v>
      </c>
      <c r="R3582" s="14">
        <f>_xlfn.XLOOKUP(Table2[[#This Row],[LoanID]],Table1[G-L ID],Table1[ManagerCode],-99)</f>
        <v>103</v>
      </c>
      <c r="T3582"/>
    </row>
    <row r="3583" spans="1:20" x14ac:dyDescent="0.25">
      <c r="A3583">
        <v>20150531</v>
      </c>
      <c r="B3583">
        <v>2015</v>
      </c>
      <c r="C3583">
        <v>5</v>
      </c>
      <c r="D3583">
        <v>1</v>
      </c>
      <c r="E3583">
        <v>10240</v>
      </c>
      <c r="F3583">
        <v>71218.89</v>
      </c>
      <c r="G3583">
        <v>0</v>
      </c>
      <c r="H3583">
        <v>0</v>
      </c>
      <c r="I3583">
        <v>0</v>
      </c>
      <c r="J3583">
        <v>0</v>
      </c>
      <c r="K3583">
        <v>0</v>
      </c>
      <c r="L3583">
        <v>10445205</v>
      </c>
      <c r="M3583">
        <v>10445205</v>
      </c>
      <c r="N3583">
        <v>10445205</v>
      </c>
      <c r="O3583">
        <v>10445205</v>
      </c>
      <c r="P3583">
        <v>10445205</v>
      </c>
      <c r="Q3583">
        <v>10445205</v>
      </c>
      <c r="R3583" s="14">
        <f>_xlfn.XLOOKUP(Table2[[#This Row],[LoanID]],Table1[G-L ID],Table1[ManagerCode],-99)</f>
        <v>220</v>
      </c>
      <c r="T3583"/>
    </row>
    <row r="3584" spans="1:20" x14ac:dyDescent="0.25">
      <c r="A3584">
        <v>20150531</v>
      </c>
      <c r="B3584">
        <v>2015</v>
      </c>
      <c r="C3584">
        <v>5</v>
      </c>
      <c r="D3584">
        <v>1</v>
      </c>
      <c r="E3584">
        <v>10250</v>
      </c>
      <c r="F3584">
        <v>0</v>
      </c>
      <c r="G3584">
        <v>0</v>
      </c>
      <c r="H3584">
        <v>180000</v>
      </c>
      <c r="I3584">
        <v>0</v>
      </c>
      <c r="J3584">
        <v>-18000000</v>
      </c>
      <c r="K3584">
        <v>0</v>
      </c>
      <c r="L3584">
        <v>0</v>
      </c>
      <c r="M3584">
        <v>18000000</v>
      </c>
      <c r="N3584">
        <v>0</v>
      </c>
      <c r="O3584">
        <v>18000000</v>
      </c>
      <c r="P3584">
        <v>0</v>
      </c>
      <c r="Q3584">
        <v>18000000</v>
      </c>
      <c r="R3584" s="14">
        <f>_xlfn.XLOOKUP(Table2[[#This Row],[LoanID]],Table1[G-L ID],Table1[ManagerCode],-99)</f>
        <v>119</v>
      </c>
      <c r="T3584"/>
    </row>
    <row r="3585" spans="1:20" x14ac:dyDescent="0.25">
      <c r="A3585">
        <v>20150531</v>
      </c>
      <c r="B3585">
        <v>2015</v>
      </c>
      <c r="C3585">
        <v>5</v>
      </c>
      <c r="D3585">
        <v>1</v>
      </c>
      <c r="E3585">
        <v>10260</v>
      </c>
      <c r="F3585">
        <v>96490.63</v>
      </c>
      <c r="G3585">
        <v>0</v>
      </c>
      <c r="H3585">
        <v>0</v>
      </c>
      <c r="I3585">
        <v>0</v>
      </c>
      <c r="J3585">
        <v>0</v>
      </c>
      <c r="K3585">
        <v>0</v>
      </c>
      <c r="L3585">
        <v>15000000</v>
      </c>
      <c r="M3585">
        <v>15000000</v>
      </c>
      <c r="N3585">
        <v>15000000</v>
      </c>
      <c r="O3585">
        <v>15000000</v>
      </c>
      <c r="P3585">
        <v>15000000</v>
      </c>
      <c r="Q3585">
        <v>15000000</v>
      </c>
      <c r="R3585" s="14">
        <f>_xlfn.XLOOKUP(Table2[[#This Row],[LoanID]],Table1[G-L ID],Table1[ManagerCode],-99)</f>
        <v>220</v>
      </c>
      <c r="T3585"/>
    </row>
    <row r="3586" spans="1:20" x14ac:dyDescent="0.25">
      <c r="A3586">
        <v>20150531</v>
      </c>
      <c r="B3586">
        <v>2015</v>
      </c>
      <c r="C3586">
        <v>5</v>
      </c>
      <c r="D3586">
        <v>1</v>
      </c>
      <c r="E3586">
        <v>10270</v>
      </c>
      <c r="F3586">
        <v>14744.46</v>
      </c>
      <c r="G3586">
        <v>0</v>
      </c>
      <c r="H3586">
        <v>0</v>
      </c>
      <c r="I3586">
        <v>0</v>
      </c>
      <c r="J3586">
        <v>0</v>
      </c>
      <c r="K3586">
        <v>0</v>
      </c>
      <c r="L3586">
        <v>1860000</v>
      </c>
      <c r="M3586">
        <v>1860000</v>
      </c>
      <c r="N3586">
        <v>1860000</v>
      </c>
      <c r="O3586">
        <v>1860000</v>
      </c>
      <c r="P3586">
        <v>1860000</v>
      </c>
      <c r="Q3586">
        <v>1860000</v>
      </c>
      <c r="R3586" s="14">
        <f>_xlfn.XLOOKUP(Table2[[#This Row],[LoanID]],Table1[G-L ID],Table1[ManagerCode],-99)</f>
        <v>119</v>
      </c>
      <c r="T3586"/>
    </row>
    <row r="3587" spans="1:20" x14ac:dyDescent="0.25">
      <c r="A3587">
        <v>20150531</v>
      </c>
      <c r="B3587">
        <v>2015</v>
      </c>
      <c r="C3587">
        <v>5</v>
      </c>
      <c r="D3587">
        <v>1</v>
      </c>
      <c r="E3587">
        <v>10340</v>
      </c>
      <c r="F3587">
        <v>107005.5</v>
      </c>
      <c r="G3587">
        <v>0</v>
      </c>
      <c r="H3587">
        <v>0</v>
      </c>
      <c r="I3587">
        <v>0</v>
      </c>
      <c r="J3587">
        <v>0</v>
      </c>
      <c r="K3587">
        <v>0</v>
      </c>
      <c r="L3587">
        <v>12527473</v>
      </c>
      <c r="M3587">
        <v>12527473</v>
      </c>
      <c r="N3587">
        <v>12527473</v>
      </c>
      <c r="O3587">
        <v>12527473</v>
      </c>
      <c r="P3587">
        <v>12527473</v>
      </c>
      <c r="Q3587">
        <v>12527473</v>
      </c>
      <c r="R3587" s="14">
        <f>_xlfn.XLOOKUP(Table2[[#This Row],[LoanID]],Table1[G-L ID],Table1[ManagerCode],-99)</f>
        <v>220</v>
      </c>
      <c r="T3587"/>
    </row>
    <row r="3588" spans="1:20" x14ac:dyDescent="0.25">
      <c r="A3588">
        <v>20150531</v>
      </c>
      <c r="B3588">
        <v>2015</v>
      </c>
      <c r="C3588">
        <v>5</v>
      </c>
      <c r="D3588">
        <v>1</v>
      </c>
      <c r="E3588">
        <v>10350</v>
      </c>
      <c r="F3588">
        <v>180833.33</v>
      </c>
      <c r="G3588">
        <v>0</v>
      </c>
      <c r="H3588">
        <v>0</v>
      </c>
      <c r="I3588">
        <v>0</v>
      </c>
      <c r="J3588">
        <v>0</v>
      </c>
      <c r="K3588">
        <v>0</v>
      </c>
      <c r="L3588">
        <v>24800000</v>
      </c>
      <c r="M3588">
        <v>24800000</v>
      </c>
      <c r="N3588">
        <v>24800000</v>
      </c>
      <c r="O3588">
        <v>24800000</v>
      </c>
      <c r="P3588">
        <v>24800000</v>
      </c>
      <c r="Q3588">
        <v>24800000</v>
      </c>
      <c r="R3588" s="14">
        <f>_xlfn.XLOOKUP(Table2[[#This Row],[LoanID]],Table1[G-L ID],Table1[ManagerCode],-99)</f>
        <v>220</v>
      </c>
      <c r="T3588"/>
    </row>
    <row r="3589" spans="1:20" x14ac:dyDescent="0.25">
      <c r="A3589">
        <v>20150531</v>
      </c>
      <c r="B3589">
        <v>2015</v>
      </c>
      <c r="C3589">
        <v>5</v>
      </c>
      <c r="D3589">
        <v>1</v>
      </c>
      <c r="E3589">
        <v>10430</v>
      </c>
      <c r="F3589">
        <v>87775.6</v>
      </c>
      <c r="G3589">
        <v>0</v>
      </c>
      <c r="H3589">
        <v>0</v>
      </c>
      <c r="I3589">
        <v>0</v>
      </c>
      <c r="J3589">
        <v>0</v>
      </c>
      <c r="K3589">
        <v>23400</v>
      </c>
      <c r="L3589">
        <v>10883000</v>
      </c>
      <c r="M3589">
        <v>10859600</v>
      </c>
      <c r="N3589">
        <v>10883000</v>
      </c>
      <c r="O3589">
        <v>10859600</v>
      </c>
      <c r="P3589">
        <v>10883000</v>
      </c>
      <c r="Q3589">
        <v>10859600</v>
      </c>
      <c r="R3589" s="14">
        <f>_xlfn.XLOOKUP(Table2[[#This Row],[LoanID]],Table1[G-L ID],Table1[ManagerCode],-99)</f>
        <v>119</v>
      </c>
      <c r="T3589"/>
    </row>
    <row r="3590" spans="1:20" x14ac:dyDescent="0.25">
      <c r="A3590">
        <v>20150531</v>
      </c>
      <c r="B3590">
        <v>2015</v>
      </c>
      <c r="C3590">
        <v>5</v>
      </c>
      <c r="D3590">
        <v>1</v>
      </c>
      <c r="E3590">
        <v>10460</v>
      </c>
      <c r="F3590">
        <v>126066.67</v>
      </c>
      <c r="G3590">
        <v>0</v>
      </c>
      <c r="H3590">
        <v>0</v>
      </c>
      <c r="I3590">
        <v>0</v>
      </c>
      <c r="J3590">
        <v>0</v>
      </c>
      <c r="K3590">
        <v>0</v>
      </c>
      <c r="L3590">
        <v>59772081.630000003</v>
      </c>
      <c r="M3590">
        <v>59781245.130000003</v>
      </c>
      <c r="N3590">
        <v>59772081.630000003</v>
      </c>
      <c r="O3590">
        <v>59781245.130000003</v>
      </c>
      <c r="P3590">
        <v>60000000</v>
      </c>
      <c r="Q3590">
        <v>60000000</v>
      </c>
      <c r="R3590" s="14">
        <f>_xlfn.XLOOKUP(Table2[[#This Row],[LoanID]],Table1[G-L ID],Table1[ManagerCode],-99)</f>
        <v>103</v>
      </c>
      <c r="T3590"/>
    </row>
    <row r="3591" spans="1:20" x14ac:dyDescent="0.25">
      <c r="A3591">
        <v>20150531</v>
      </c>
      <c r="B3591">
        <v>2015</v>
      </c>
      <c r="C3591">
        <v>5</v>
      </c>
      <c r="D3591">
        <v>1</v>
      </c>
      <c r="E3591">
        <v>10470</v>
      </c>
      <c r="F3591">
        <v>57909.72</v>
      </c>
      <c r="G3591">
        <v>0</v>
      </c>
      <c r="H3591">
        <v>0</v>
      </c>
      <c r="I3591">
        <v>0</v>
      </c>
      <c r="J3591">
        <v>0</v>
      </c>
      <c r="K3591">
        <v>0</v>
      </c>
      <c r="L3591">
        <v>25000000</v>
      </c>
      <c r="M3591">
        <v>25000000</v>
      </c>
      <c r="N3591">
        <v>25000000</v>
      </c>
      <c r="O3591">
        <v>25000000</v>
      </c>
      <c r="P3591">
        <v>25000000</v>
      </c>
      <c r="Q3591">
        <v>25000000</v>
      </c>
      <c r="R3591" s="14">
        <f>_xlfn.XLOOKUP(Table2[[#This Row],[LoanID]],Table1[G-L ID],Table1[ManagerCode],-99)</f>
        <v>103</v>
      </c>
      <c r="T3591"/>
    </row>
    <row r="3592" spans="1:20" x14ac:dyDescent="0.25">
      <c r="A3592">
        <v>20150531</v>
      </c>
      <c r="B3592">
        <v>2015</v>
      </c>
      <c r="C3592">
        <v>5</v>
      </c>
      <c r="D3592">
        <v>1</v>
      </c>
      <c r="E3592">
        <v>10480</v>
      </c>
      <c r="F3592">
        <v>151497.74</v>
      </c>
      <c r="G3592">
        <v>0</v>
      </c>
      <c r="H3592">
        <v>0</v>
      </c>
      <c r="I3592">
        <v>0</v>
      </c>
      <c r="J3592">
        <v>0</v>
      </c>
      <c r="K3592">
        <v>0</v>
      </c>
      <c r="L3592">
        <v>21350000</v>
      </c>
      <c r="M3592">
        <v>21350000</v>
      </c>
      <c r="N3592">
        <v>21350000</v>
      </c>
      <c r="O3592">
        <v>21350000</v>
      </c>
      <c r="P3592">
        <v>21350000</v>
      </c>
      <c r="Q3592">
        <v>21350000</v>
      </c>
      <c r="R3592" s="14">
        <f>_xlfn.XLOOKUP(Table2[[#This Row],[LoanID]],Table1[G-L ID],Table1[ManagerCode],-99)</f>
        <v>119</v>
      </c>
      <c r="T3592"/>
    </row>
    <row r="3593" spans="1:20" x14ac:dyDescent="0.25">
      <c r="A3593">
        <v>20150531</v>
      </c>
      <c r="B3593">
        <v>2015</v>
      </c>
      <c r="C3593">
        <v>5</v>
      </c>
      <c r="D3593">
        <v>1</v>
      </c>
      <c r="E3593">
        <v>10570</v>
      </c>
      <c r="F3593">
        <v>772921.12</v>
      </c>
      <c r="G3593">
        <v>0</v>
      </c>
      <c r="H3593">
        <v>0</v>
      </c>
      <c r="I3593">
        <v>0</v>
      </c>
      <c r="J3593">
        <v>0</v>
      </c>
      <c r="K3593">
        <v>0</v>
      </c>
      <c r="L3593">
        <v>156320716.59999999</v>
      </c>
      <c r="M3593">
        <v>156332571.40000001</v>
      </c>
      <c r="N3593">
        <v>156320716.59999999</v>
      </c>
      <c r="O3593">
        <v>156332571.40000001</v>
      </c>
      <c r="P3593">
        <v>156356260.69999999</v>
      </c>
      <c r="Q3593">
        <v>156356260.69999999</v>
      </c>
      <c r="R3593" s="14">
        <f>_xlfn.XLOOKUP(Table2[[#This Row],[LoanID]],Table1[G-L ID],Table1[ManagerCode],-99)</f>
        <v>103</v>
      </c>
      <c r="T3593"/>
    </row>
    <row r="3594" spans="1:20" x14ac:dyDescent="0.25">
      <c r="A3594">
        <v>20150531</v>
      </c>
      <c r="B3594">
        <v>2015</v>
      </c>
      <c r="C3594">
        <v>5</v>
      </c>
      <c r="D3594">
        <v>1</v>
      </c>
      <c r="E3594">
        <v>10591</v>
      </c>
      <c r="F3594">
        <v>211939.55</v>
      </c>
      <c r="G3594">
        <v>0</v>
      </c>
      <c r="H3594">
        <v>0</v>
      </c>
      <c r="I3594">
        <v>0</v>
      </c>
      <c r="J3594">
        <v>0</v>
      </c>
      <c r="K3594">
        <v>89849.71</v>
      </c>
      <c r="L3594">
        <v>24968732.25</v>
      </c>
      <c r="M3594">
        <v>24878882.539999999</v>
      </c>
      <c r="N3594">
        <v>24968732.25</v>
      </c>
      <c r="O3594">
        <v>24878882.539999999</v>
      </c>
      <c r="P3594">
        <v>24968732.25</v>
      </c>
      <c r="Q3594">
        <v>24878882.539999999</v>
      </c>
      <c r="R3594" s="14">
        <f>_xlfn.XLOOKUP(Table2[[#This Row],[LoanID]],Table1[G-L ID],Table1[ManagerCode],-99)</f>
        <v>220</v>
      </c>
      <c r="T3594"/>
    </row>
    <row r="3595" spans="1:20" x14ac:dyDescent="0.25">
      <c r="A3595">
        <v>20150531</v>
      </c>
      <c r="B3595">
        <v>2015</v>
      </c>
      <c r="C3595">
        <v>5</v>
      </c>
      <c r="D3595">
        <v>1</v>
      </c>
      <c r="E3595">
        <v>10592</v>
      </c>
      <c r="F3595">
        <v>351589.12</v>
      </c>
      <c r="G3595">
        <v>0</v>
      </c>
      <c r="H3595">
        <v>0</v>
      </c>
      <c r="I3595">
        <v>0</v>
      </c>
      <c r="J3595">
        <v>0</v>
      </c>
      <c r="K3595">
        <v>132635.29</v>
      </c>
      <c r="L3595">
        <v>37059489.159999996</v>
      </c>
      <c r="M3595">
        <v>36926130.990000002</v>
      </c>
      <c r="N3595">
        <v>37059489.159999996</v>
      </c>
      <c r="O3595">
        <v>36926130.990000002</v>
      </c>
      <c r="P3595">
        <v>36858604.75</v>
      </c>
      <c r="Q3595">
        <v>36725969.460000001</v>
      </c>
      <c r="R3595" s="14">
        <f>_xlfn.XLOOKUP(Table2[[#This Row],[LoanID]],Table1[G-L ID],Table1[ManagerCode],-99)</f>
        <v>220</v>
      </c>
      <c r="T3595"/>
    </row>
    <row r="3596" spans="1:20" x14ac:dyDescent="0.25">
      <c r="A3596">
        <v>20150531</v>
      </c>
      <c r="B3596">
        <v>2015</v>
      </c>
      <c r="C3596">
        <v>5</v>
      </c>
      <c r="D3596">
        <v>1</v>
      </c>
      <c r="E3596">
        <v>10640</v>
      </c>
      <c r="F3596">
        <v>92086.399999999994</v>
      </c>
      <c r="G3596">
        <v>0</v>
      </c>
      <c r="H3596">
        <v>0</v>
      </c>
      <c r="I3596">
        <v>0</v>
      </c>
      <c r="J3596">
        <v>0</v>
      </c>
      <c r="K3596">
        <v>0</v>
      </c>
      <c r="L3596">
        <v>11164281.33</v>
      </c>
      <c r="M3596">
        <v>11164281.33</v>
      </c>
      <c r="N3596">
        <v>11164281.33</v>
      </c>
      <c r="O3596">
        <v>11164281.33</v>
      </c>
      <c r="P3596">
        <v>11070849</v>
      </c>
      <c r="Q3596">
        <v>11070849</v>
      </c>
      <c r="R3596" s="14">
        <f>_xlfn.XLOOKUP(Table2[[#This Row],[LoanID]],Table1[G-L ID],Table1[ManagerCode],-99)</f>
        <v>220</v>
      </c>
      <c r="T3596"/>
    </row>
    <row r="3597" spans="1:20" x14ac:dyDescent="0.25">
      <c r="A3597">
        <v>20150531</v>
      </c>
      <c r="B3597">
        <v>2015</v>
      </c>
      <c r="C3597">
        <v>5</v>
      </c>
      <c r="D3597">
        <v>1</v>
      </c>
      <c r="E3597">
        <v>10680</v>
      </c>
      <c r="F3597">
        <v>56237.53</v>
      </c>
      <c r="G3597">
        <v>0</v>
      </c>
      <c r="H3597">
        <v>0</v>
      </c>
      <c r="I3597">
        <v>0</v>
      </c>
      <c r="J3597">
        <v>0</v>
      </c>
      <c r="K3597">
        <v>0</v>
      </c>
      <c r="L3597">
        <v>6964400</v>
      </c>
      <c r="M3597">
        <v>6964400</v>
      </c>
      <c r="N3597">
        <v>6964400</v>
      </c>
      <c r="O3597">
        <v>6964400</v>
      </c>
      <c r="P3597">
        <v>6964400</v>
      </c>
      <c r="Q3597">
        <v>6964400</v>
      </c>
      <c r="R3597" s="14">
        <f>_xlfn.XLOOKUP(Table2[[#This Row],[LoanID]],Table1[G-L ID],Table1[ManagerCode],-99)</f>
        <v>119</v>
      </c>
      <c r="T3597"/>
    </row>
    <row r="3598" spans="1:20" x14ac:dyDescent="0.25">
      <c r="A3598">
        <v>20150531</v>
      </c>
      <c r="B3598">
        <v>2015</v>
      </c>
      <c r="C3598">
        <v>5</v>
      </c>
      <c r="D3598">
        <v>1</v>
      </c>
      <c r="E3598">
        <v>10720</v>
      </c>
      <c r="F3598">
        <v>125000</v>
      </c>
      <c r="G3598">
        <v>75316.14</v>
      </c>
      <c r="H3598">
        <v>0</v>
      </c>
      <c r="I3598">
        <v>0</v>
      </c>
      <c r="J3598">
        <v>0</v>
      </c>
      <c r="K3598">
        <v>0</v>
      </c>
      <c r="L3598">
        <v>16510639.67</v>
      </c>
      <c r="M3598">
        <v>16590823.289999999</v>
      </c>
      <c r="N3598">
        <v>16510639.67</v>
      </c>
      <c r="O3598">
        <v>16590823.289999999</v>
      </c>
      <c r="P3598">
        <v>15508345.91</v>
      </c>
      <c r="Q3598">
        <v>15583662.050000001</v>
      </c>
      <c r="R3598" s="14">
        <f>_xlfn.XLOOKUP(Table2[[#This Row],[LoanID]],Table1[G-L ID],Table1[ManagerCode],-99)</f>
        <v>220</v>
      </c>
      <c r="T3598"/>
    </row>
    <row r="3599" spans="1:20" x14ac:dyDescent="0.25">
      <c r="A3599">
        <v>20150531</v>
      </c>
      <c r="B3599">
        <v>2015</v>
      </c>
      <c r="C3599">
        <v>5</v>
      </c>
      <c r="D3599">
        <v>1</v>
      </c>
      <c r="E3599">
        <v>10740</v>
      </c>
      <c r="F3599">
        <v>2240000</v>
      </c>
      <c r="G3599">
        <v>0</v>
      </c>
      <c r="H3599">
        <v>68244</v>
      </c>
      <c r="I3599">
        <v>0</v>
      </c>
      <c r="J3599">
        <v>0</v>
      </c>
      <c r="K3599">
        <v>18198525</v>
      </c>
      <c r="L3599">
        <v>467055774.10000002</v>
      </c>
      <c r="M3599">
        <v>451142082.60000002</v>
      </c>
      <c r="N3599">
        <v>467055774.10000002</v>
      </c>
      <c r="O3599">
        <v>451142082.60000002</v>
      </c>
      <c r="P3599">
        <v>480000000</v>
      </c>
      <c r="Q3599">
        <v>461801475</v>
      </c>
      <c r="R3599" s="14">
        <f>_xlfn.XLOOKUP(Table2[[#This Row],[LoanID]],Table1[G-L ID],Table1[ManagerCode],-99)</f>
        <v>103</v>
      </c>
      <c r="T3599"/>
    </row>
    <row r="3600" spans="1:20" x14ac:dyDescent="0.25">
      <c r="A3600">
        <v>20150531</v>
      </c>
      <c r="B3600">
        <v>2015</v>
      </c>
      <c r="C3600">
        <v>5</v>
      </c>
      <c r="D3600">
        <v>1</v>
      </c>
      <c r="E3600">
        <v>10750</v>
      </c>
      <c r="F3600">
        <v>-5825.17</v>
      </c>
      <c r="G3600">
        <v>0</v>
      </c>
      <c r="H3600">
        <v>-146250</v>
      </c>
      <c r="I3600">
        <v>0</v>
      </c>
      <c r="J3600">
        <v>16250000</v>
      </c>
      <c r="K3600">
        <v>0</v>
      </c>
      <c r="L3600">
        <v>25000000</v>
      </c>
      <c r="M3600">
        <v>8750000</v>
      </c>
      <c r="N3600">
        <v>25000000</v>
      </c>
      <c r="O3600">
        <v>8750000</v>
      </c>
      <c r="P3600">
        <v>25000000</v>
      </c>
      <c r="Q3600">
        <v>8750000</v>
      </c>
      <c r="R3600" s="14">
        <f>_xlfn.XLOOKUP(Table2[[#This Row],[LoanID]],Table1[G-L ID],Table1[ManagerCode],-99)</f>
        <v>119</v>
      </c>
      <c r="T3600"/>
    </row>
    <row r="3601" spans="1:20" x14ac:dyDescent="0.25">
      <c r="A3601">
        <v>20150531</v>
      </c>
      <c r="B3601">
        <v>2015</v>
      </c>
      <c r="C3601">
        <v>5</v>
      </c>
      <c r="D3601">
        <v>1</v>
      </c>
      <c r="E3601">
        <v>10780</v>
      </c>
      <c r="F3601">
        <v>302146.67</v>
      </c>
      <c r="G3601">
        <v>0</v>
      </c>
      <c r="H3601">
        <v>0</v>
      </c>
      <c r="I3601">
        <v>0</v>
      </c>
      <c r="J3601">
        <v>0</v>
      </c>
      <c r="K3601">
        <v>0</v>
      </c>
      <c r="L3601">
        <v>43000000</v>
      </c>
      <c r="M3601">
        <v>43000000</v>
      </c>
      <c r="N3601">
        <v>43000000</v>
      </c>
      <c r="O3601">
        <v>43000000</v>
      </c>
      <c r="P3601">
        <v>43000000</v>
      </c>
      <c r="Q3601">
        <v>43000000</v>
      </c>
      <c r="R3601" s="14">
        <f>_xlfn.XLOOKUP(Table2[[#This Row],[LoanID]],Table1[G-L ID],Table1[ManagerCode],-99)</f>
        <v>220</v>
      </c>
      <c r="T3601"/>
    </row>
    <row r="3602" spans="1:20" x14ac:dyDescent="0.25">
      <c r="A3602">
        <v>20150531</v>
      </c>
      <c r="B3602">
        <v>2015</v>
      </c>
      <c r="C3602">
        <v>5</v>
      </c>
      <c r="D3602">
        <v>1</v>
      </c>
      <c r="E3602">
        <v>10800</v>
      </c>
      <c r="F3602">
        <v>209776.67</v>
      </c>
      <c r="G3602">
        <v>0</v>
      </c>
      <c r="H3602">
        <v>0</v>
      </c>
      <c r="I3602">
        <v>0</v>
      </c>
      <c r="J3602">
        <v>0</v>
      </c>
      <c r="K3602">
        <v>0</v>
      </c>
      <c r="L3602">
        <v>26000000</v>
      </c>
      <c r="M3602">
        <v>26000000</v>
      </c>
      <c r="N3602">
        <v>26000000</v>
      </c>
      <c r="O3602">
        <v>26000000</v>
      </c>
      <c r="P3602">
        <v>26000000</v>
      </c>
      <c r="Q3602">
        <v>26000000</v>
      </c>
      <c r="R3602" s="14">
        <f>_xlfn.XLOOKUP(Table2[[#This Row],[LoanID]],Table1[G-L ID],Table1[ManagerCode],-99)</f>
        <v>220</v>
      </c>
      <c r="T3602"/>
    </row>
    <row r="3603" spans="1:20" x14ac:dyDescent="0.25">
      <c r="A3603">
        <v>20150531</v>
      </c>
      <c r="B3603">
        <v>2015</v>
      </c>
      <c r="C3603">
        <v>5</v>
      </c>
      <c r="D3603">
        <v>1</v>
      </c>
      <c r="E3603">
        <v>10820</v>
      </c>
      <c r="F3603">
        <v>179698.91</v>
      </c>
      <c r="G3603">
        <v>0</v>
      </c>
      <c r="H3603">
        <v>0</v>
      </c>
      <c r="I3603">
        <v>0</v>
      </c>
      <c r="J3603">
        <v>0</v>
      </c>
      <c r="K3603">
        <v>0</v>
      </c>
      <c r="L3603">
        <v>22993894.27</v>
      </c>
      <c r="M3603">
        <v>22993894.27</v>
      </c>
      <c r="N3603">
        <v>22993894.27</v>
      </c>
      <c r="O3603">
        <v>22993894.27</v>
      </c>
      <c r="P3603">
        <v>22698809.739999998</v>
      </c>
      <c r="Q3603">
        <v>22698809.739999998</v>
      </c>
      <c r="R3603" s="14">
        <f>_xlfn.XLOOKUP(Table2[[#This Row],[LoanID]],Table1[G-L ID],Table1[ManagerCode],-99)</f>
        <v>220</v>
      </c>
      <c r="T3603"/>
    </row>
    <row r="3604" spans="1:20" x14ac:dyDescent="0.25">
      <c r="A3604">
        <v>20150531</v>
      </c>
      <c r="B3604">
        <v>2015</v>
      </c>
      <c r="C3604">
        <v>5</v>
      </c>
      <c r="D3604">
        <v>1</v>
      </c>
      <c r="E3604">
        <v>10830</v>
      </c>
      <c r="F3604">
        <v>58628.37</v>
      </c>
      <c r="G3604">
        <v>0</v>
      </c>
      <c r="H3604">
        <v>0</v>
      </c>
      <c r="I3604">
        <v>0</v>
      </c>
      <c r="J3604">
        <v>0</v>
      </c>
      <c r="K3604">
        <v>0</v>
      </c>
      <c r="L3604">
        <v>7501962.4900000002</v>
      </c>
      <c r="M3604">
        <v>7501962.4900000002</v>
      </c>
      <c r="N3604">
        <v>7501962.4900000002</v>
      </c>
      <c r="O3604">
        <v>7501962.4900000002</v>
      </c>
      <c r="P3604">
        <v>7405688.54</v>
      </c>
      <c r="Q3604">
        <v>7405688.54</v>
      </c>
      <c r="R3604" s="14">
        <f>_xlfn.XLOOKUP(Table2[[#This Row],[LoanID]],Table1[G-L ID],Table1[ManagerCode],-99)</f>
        <v>220</v>
      </c>
      <c r="T3604"/>
    </row>
    <row r="3605" spans="1:20" x14ac:dyDescent="0.25">
      <c r="A3605">
        <v>20150531</v>
      </c>
      <c r="B3605">
        <v>2015</v>
      </c>
      <c r="C3605">
        <v>5</v>
      </c>
      <c r="D3605">
        <v>1</v>
      </c>
      <c r="E3605">
        <v>10840</v>
      </c>
      <c r="F3605">
        <v>100614.41</v>
      </c>
      <c r="G3605">
        <v>0</v>
      </c>
      <c r="H3605">
        <v>0</v>
      </c>
      <c r="I3605">
        <v>0</v>
      </c>
      <c r="J3605">
        <v>0</v>
      </c>
      <c r="K3605">
        <v>0</v>
      </c>
      <c r="L3605">
        <v>12874408.460000001</v>
      </c>
      <c r="M3605">
        <v>12874408.460000001</v>
      </c>
      <c r="N3605">
        <v>12874408.460000001</v>
      </c>
      <c r="O3605">
        <v>12874408.460000001</v>
      </c>
      <c r="P3605">
        <v>12709189</v>
      </c>
      <c r="Q3605">
        <v>12709189</v>
      </c>
      <c r="R3605" s="14">
        <f>_xlfn.XLOOKUP(Table2[[#This Row],[LoanID]],Table1[G-L ID],Table1[ManagerCode],-99)</f>
        <v>220</v>
      </c>
      <c r="T3605"/>
    </row>
    <row r="3606" spans="1:20" x14ac:dyDescent="0.25">
      <c r="A3606">
        <v>20150531</v>
      </c>
      <c r="B3606">
        <v>2015</v>
      </c>
      <c r="C3606">
        <v>5</v>
      </c>
      <c r="D3606">
        <v>1</v>
      </c>
      <c r="E3606">
        <v>10850</v>
      </c>
      <c r="F3606">
        <v>106969.15</v>
      </c>
      <c r="G3606">
        <v>0</v>
      </c>
      <c r="H3606">
        <v>0</v>
      </c>
      <c r="I3606">
        <v>0</v>
      </c>
      <c r="J3606">
        <v>0</v>
      </c>
      <c r="K3606">
        <v>0</v>
      </c>
      <c r="L3606">
        <v>13687546.6</v>
      </c>
      <c r="M3606">
        <v>13687546.6</v>
      </c>
      <c r="N3606">
        <v>13687546.6</v>
      </c>
      <c r="O3606">
        <v>13687546.6</v>
      </c>
      <c r="P3606">
        <v>13511892</v>
      </c>
      <c r="Q3606">
        <v>13511892</v>
      </c>
      <c r="R3606" s="14">
        <f>_xlfn.XLOOKUP(Table2[[#This Row],[LoanID]],Table1[G-L ID],Table1[ManagerCode],-99)</f>
        <v>220</v>
      </c>
      <c r="T3606"/>
    </row>
    <row r="3607" spans="1:20" x14ac:dyDescent="0.25">
      <c r="A3607">
        <v>20150531</v>
      </c>
      <c r="B3607">
        <v>2015</v>
      </c>
      <c r="C3607">
        <v>5</v>
      </c>
      <c r="D3607">
        <v>1</v>
      </c>
      <c r="E3607">
        <v>10860</v>
      </c>
      <c r="F3607">
        <v>114150.84</v>
      </c>
      <c r="G3607">
        <v>0</v>
      </c>
      <c r="H3607">
        <v>0</v>
      </c>
      <c r="I3607">
        <v>0</v>
      </c>
      <c r="J3607">
        <v>0</v>
      </c>
      <c r="K3607">
        <v>0</v>
      </c>
      <c r="L3607">
        <v>19475000</v>
      </c>
      <c r="M3607">
        <v>19475000</v>
      </c>
      <c r="N3607">
        <v>19475000</v>
      </c>
      <c r="O3607">
        <v>19475000</v>
      </c>
      <c r="P3607">
        <v>20500000</v>
      </c>
      <c r="Q3607">
        <v>20500000</v>
      </c>
      <c r="R3607" s="14">
        <f>_xlfn.XLOOKUP(Table2[[#This Row],[LoanID]],Table1[G-L ID],Table1[ManagerCode],-99)</f>
        <v>103</v>
      </c>
      <c r="T3607"/>
    </row>
    <row r="3608" spans="1:20" x14ac:dyDescent="0.25">
      <c r="A3608">
        <v>20150531</v>
      </c>
      <c r="B3608">
        <v>2015</v>
      </c>
      <c r="C3608">
        <v>5</v>
      </c>
      <c r="D3608">
        <v>1</v>
      </c>
      <c r="E3608">
        <v>10910</v>
      </c>
      <c r="F3608">
        <v>204350</v>
      </c>
      <c r="G3608">
        <v>0</v>
      </c>
      <c r="H3608">
        <v>202500</v>
      </c>
      <c r="I3608">
        <v>0</v>
      </c>
      <c r="J3608">
        <v>-22500000</v>
      </c>
      <c r="K3608">
        <v>0</v>
      </c>
      <c r="L3608">
        <v>0</v>
      </c>
      <c r="M3608">
        <v>22500000</v>
      </c>
      <c r="N3608">
        <v>0</v>
      </c>
      <c r="O3608">
        <v>22500000</v>
      </c>
      <c r="P3608">
        <v>0</v>
      </c>
      <c r="Q3608">
        <v>22500000</v>
      </c>
      <c r="R3608" s="14">
        <f>_xlfn.XLOOKUP(Table2[[#This Row],[LoanID]],Table1[G-L ID],Table1[ManagerCode],-99)</f>
        <v>119</v>
      </c>
      <c r="T3608"/>
    </row>
    <row r="3609" spans="1:20" x14ac:dyDescent="0.25">
      <c r="A3609">
        <v>20150531</v>
      </c>
      <c r="B3609">
        <v>2015</v>
      </c>
      <c r="C3609">
        <v>5</v>
      </c>
      <c r="D3609">
        <v>1</v>
      </c>
      <c r="E3609">
        <v>10940</v>
      </c>
      <c r="F3609">
        <v>57640.959999999999</v>
      </c>
      <c r="G3609">
        <v>77718.27</v>
      </c>
      <c r="H3609">
        <v>0</v>
      </c>
      <c r="I3609">
        <v>0</v>
      </c>
      <c r="J3609">
        <v>-57640.959999999999</v>
      </c>
      <c r="K3609">
        <v>0</v>
      </c>
      <c r="L3609">
        <v>11644932.25</v>
      </c>
      <c r="M3609">
        <v>11780291.48</v>
      </c>
      <c r="N3609">
        <v>11644932.25</v>
      </c>
      <c r="O3609">
        <v>11780291.48</v>
      </c>
      <c r="P3609">
        <v>11644932.25</v>
      </c>
      <c r="Q3609">
        <v>11780291.48</v>
      </c>
      <c r="R3609" s="14">
        <f>_xlfn.XLOOKUP(Table2[[#This Row],[LoanID]],Table1[G-L ID],Table1[ManagerCode],-99)</f>
        <v>183</v>
      </c>
      <c r="T3609"/>
    </row>
    <row r="3610" spans="1:20" x14ac:dyDescent="0.25">
      <c r="A3610">
        <v>20150531</v>
      </c>
      <c r="B3610">
        <v>2015</v>
      </c>
      <c r="C3610">
        <v>5</v>
      </c>
      <c r="D3610">
        <v>1</v>
      </c>
      <c r="E3610">
        <v>10960</v>
      </c>
      <c r="F3610">
        <v>67116.429999999993</v>
      </c>
      <c r="G3610">
        <v>0</v>
      </c>
      <c r="H3610">
        <v>0</v>
      </c>
      <c r="I3610">
        <v>0</v>
      </c>
      <c r="J3610">
        <v>0</v>
      </c>
      <c r="K3610">
        <v>0</v>
      </c>
      <c r="L3610">
        <v>6328375.2300000004</v>
      </c>
      <c r="M3610">
        <v>6328375.2300000004</v>
      </c>
      <c r="N3610">
        <v>6328375.2300000004</v>
      </c>
      <c r="O3610">
        <v>6328375.2300000004</v>
      </c>
      <c r="P3610">
        <v>6328375.2300000004</v>
      </c>
      <c r="Q3610">
        <v>6328375.2300000004</v>
      </c>
      <c r="R3610" s="14">
        <f>_xlfn.XLOOKUP(Table2[[#This Row],[LoanID]],Table1[G-L ID],Table1[ManagerCode],-99)</f>
        <v>119</v>
      </c>
      <c r="T3610"/>
    </row>
    <row r="3611" spans="1:20" x14ac:dyDescent="0.25">
      <c r="A3611">
        <v>20150531</v>
      </c>
      <c r="B3611">
        <v>2015</v>
      </c>
      <c r="C3611">
        <v>5</v>
      </c>
      <c r="D3611">
        <v>1</v>
      </c>
      <c r="E3611">
        <v>11010</v>
      </c>
      <c r="F3611">
        <v>202708.44</v>
      </c>
      <c r="G3611">
        <v>0</v>
      </c>
      <c r="H3611">
        <v>0</v>
      </c>
      <c r="I3611">
        <v>0</v>
      </c>
      <c r="J3611">
        <v>0</v>
      </c>
      <c r="K3611">
        <v>0</v>
      </c>
      <c r="L3611">
        <v>26500000</v>
      </c>
      <c r="M3611">
        <v>26500000</v>
      </c>
      <c r="N3611">
        <v>26500000</v>
      </c>
      <c r="O3611">
        <v>26500000</v>
      </c>
      <c r="P3611">
        <v>26500000</v>
      </c>
      <c r="Q3611">
        <v>26500000</v>
      </c>
      <c r="R3611" s="14">
        <f>_xlfn.XLOOKUP(Table2[[#This Row],[LoanID]],Table1[G-L ID],Table1[ManagerCode],-99)</f>
        <v>119</v>
      </c>
      <c r="T3611"/>
    </row>
    <row r="3612" spans="1:20" x14ac:dyDescent="0.25">
      <c r="A3612">
        <v>20150531</v>
      </c>
      <c r="B3612">
        <v>2015</v>
      </c>
      <c r="C3612">
        <v>5</v>
      </c>
      <c r="D3612">
        <v>1</v>
      </c>
      <c r="E3612">
        <v>11030</v>
      </c>
      <c r="F3612">
        <v>63195</v>
      </c>
      <c r="G3612">
        <v>0</v>
      </c>
      <c r="H3612">
        <v>0</v>
      </c>
      <c r="I3612">
        <v>0</v>
      </c>
      <c r="J3612">
        <v>0</v>
      </c>
      <c r="K3612">
        <v>0</v>
      </c>
      <c r="L3612">
        <v>8000000</v>
      </c>
      <c r="M3612">
        <v>8000000</v>
      </c>
      <c r="N3612">
        <v>8000000</v>
      </c>
      <c r="O3612">
        <v>8000000</v>
      </c>
      <c r="P3612">
        <v>8000000</v>
      </c>
      <c r="Q3612">
        <v>8000000</v>
      </c>
      <c r="R3612" s="14">
        <f>_xlfn.XLOOKUP(Table2[[#This Row],[LoanID]],Table1[G-L ID],Table1[ManagerCode],-99)</f>
        <v>119</v>
      </c>
      <c r="T3612"/>
    </row>
    <row r="3613" spans="1:20" x14ac:dyDescent="0.25">
      <c r="A3613">
        <v>20150531</v>
      </c>
      <c r="B3613">
        <v>2015</v>
      </c>
      <c r="C3613">
        <v>5</v>
      </c>
      <c r="D3613">
        <v>1</v>
      </c>
      <c r="E3613">
        <v>11040</v>
      </c>
      <c r="F3613">
        <v>507583.34</v>
      </c>
      <c r="G3613">
        <v>0</v>
      </c>
      <c r="H3613">
        <v>0</v>
      </c>
      <c r="I3613">
        <v>0</v>
      </c>
      <c r="J3613">
        <v>0</v>
      </c>
      <c r="K3613">
        <v>0</v>
      </c>
      <c r="L3613">
        <v>51000000</v>
      </c>
      <c r="M3613">
        <v>51000000</v>
      </c>
      <c r="N3613">
        <v>51000000</v>
      </c>
      <c r="O3613">
        <v>51000000</v>
      </c>
      <c r="P3613">
        <v>50000000</v>
      </c>
      <c r="Q3613">
        <v>50000000</v>
      </c>
      <c r="R3613" s="14">
        <f>_xlfn.XLOOKUP(Table2[[#This Row],[LoanID]],Table1[G-L ID],Table1[ManagerCode],-99)</f>
        <v>220</v>
      </c>
      <c r="T3613"/>
    </row>
    <row r="3614" spans="1:20" x14ac:dyDescent="0.25">
      <c r="A3614">
        <v>20150531</v>
      </c>
      <c r="B3614">
        <v>2015</v>
      </c>
      <c r="C3614">
        <v>5</v>
      </c>
      <c r="D3614">
        <v>1</v>
      </c>
      <c r="E3614">
        <v>11050</v>
      </c>
      <c r="F3614">
        <v>290938</v>
      </c>
      <c r="G3614">
        <v>0</v>
      </c>
      <c r="H3614">
        <v>0</v>
      </c>
      <c r="I3614">
        <v>0</v>
      </c>
      <c r="J3614">
        <v>0</v>
      </c>
      <c r="K3614">
        <v>0</v>
      </c>
      <c r="L3614">
        <v>29300000</v>
      </c>
      <c r="M3614">
        <v>29300000</v>
      </c>
      <c r="N3614">
        <v>29300000</v>
      </c>
      <c r="O3614">
        <v>29300000</v>
      </c>
      <c r="P3614">
        <v>28500000</v>
      </c>
      <c r="Q3614">
        <v>28500000</v>
      </c>
      <c r="R3614" s="14">
        <f>_xlfn.XLOOKUP(Table2[[#This Row],[LoanID]],Table1[G-L ID],Table1[ManagerCode],-99)</f>
        <v>220</v>
      </c>
      <c r="T3614"/>
    </row>
    <row r="3615" spans="1:20" x14ac:dyDescent="0.25">
      <c r="A3615">
        <v>20150531</v>
      </c>
      <c r="B3615">
        <v>2015</v>
      </c>
      <c r="C3615">
        <v>5</v>
      </c>
      <c r="D3615">
        <v>1</v>
      </c>
      <c r="E3615">
        <v>11070</v>
      </c>
      <c r="F3615">
        <v>100495.71</v>
      </c>
      <c r="G3615">
        <v>0</v>
      </c>
      <c r="H3615">
        <v>0</v>
      </c>
      <c r="I3615">
        <v>0</v>
      </c>
      <c r="J3615">
        <v>0</v>
      </c>
      <c r="K3615">
        <v>17227848.969999999</v>
      </c>
      <c r="L3615">
        <v>13782279.17</v>
      </c>
      <c r="M3615">
        <v>0</v>
      </c>
      <c r="N3615">
        <v>13782279.17</v>
      </c>
      <c r="O3615">
        <v>0</v>
      </c>
      <c r="P3615">
        <v>17227848.969999999</v>
      </c>
      <c r="Q3615">
        <v>0</v>
      </c>
      <c r="R3615" s="14">
        <f>_xlfn.XLOOKUP(Table2[[#This Row],[LoanID]],Table1[G-L ID],Table1[ManagerCode],-99)</f>
        <v>103</v>
      </c>
      <c r="T3615"/>
    </row>
    <row r="3616" spans="1:20" x14ac:dyDescent="0.25">
      <c r="A3616">
        <v>20150531</v>
      </c>
      <c r="B3616">
        <v>2015</v>
      </c>
      <c r="C3616">
        <v>5</v>
      </c>
      <c r="D3616">
        <v>1</v>
      </c>
      <c r="E3616">
        <v>11100</v>
      </c>
      <c r="F3616">
        <v>186252.68</v>
      </c>
      <c r="G3616">
        <v>0</v>
      </c>
      <c r="H3616">
        <v>0</v>
      </c>
      <c r="I3616">
        <v>0</v>
      </c>
      <c r="J3616">
        <v>-2901882.57</v>
      </c>
      <c r="K3616">
        <v>0</v>
      </c>
      <c r="L3616">
        <v>48342276.729999997</v>
      </c>
      <c r="M3616">
        <v>51215140.479999997</v>
      </c>
      <c r="N3616">
        <v>48342276.729999997</v>
      </c>
      <c r="O3616">
        <v>51215140.479999997</v>
      </c>
      <c r="P3616">
        <v>48830582.560000002</v>
      </c>
      <c r="Q3616">
        <v>51732465.130000003</v>
      </c>
      <c r="R3616" s="14">
        <f>_xlfn.XLOOKUP(Table2[[#This Row],[LoanID]],Table1[G-L ID],Table1[ManagerCode],-99)</f>
        <v>103</v>
      </c>
      <c r="T3616"/>
    </row>
    <row r="3617" spans="1:20" x14ac:dyDescent="0.25">
      <c r="A3617">
        <v>20150531</v>
      </c>
      <c r="B3617">
        <v>2015</v>
      </c>
      <c r="C3617">
        <v>5</v>
      </c>
      <c r="D3617">
        <v>1</v>
      </c>
      <c r="E3617">
        <v>11130</v>
      </c>
      <c r="F3617">
        <v>911550</v>
      </c>
      <c r="G3617">
        <v>0</v>
      </c>
      <c r="H3617">
        <v>0</v>
      </c>
      <c r="I3617">
        <v>0</v>
      </c>
      <c r="J3617">
        <v>0</v>
      </c>
      <c r="K3617">
        <v>0</v>
      </c>
      <c r="L3617">
        <v>168150000</v>
      </c>
      <c r="M3617">
        <v>168150000</v>
      </c>
      <c r="N3617">
        <v>168150000</v>
      </c>
      <c r="O3617">
        <v>168150000</v>
      </c>
      <c r="P3617">
        <v>177000000</v>
      </c>
      <c r="Q3617">
        <v>177000000</v>
      </c>
      <c r="R3617" s="14">
        <f>_xlfn.XLOOKUP(Table2[[#This Row],[LoanID]],Table1[G-L ID],Table1[ManagerCode],-99)</f>
        <v>103</v>
      </c>
      <c r="T3617"/>
    </row>
    <row r="3618" spans="1:20" x14ac:dyDescent="0.25">
      <c r="A3618">
        <v>20150531</v>
      </c>
      <c r="B3618">
        <v>2015</v>
      </c>
      <c r="C3618">
        <v>5</v>
      </c>
      <c r="D3618">
        <v>1</v>
      </c>
      <c r="E3618">
        <v>11160</v>
      </c>
      <c r="F3618">
        <v>0</v>
      </c>
      <c r="G3618">
        <v>37644.22</v>
      </c>
      <c r="H3618">
        <v>0</v>
      </c>
      <c r="I3618">
        <v>0</v>
      </c>
      <c r="J3618">
        <v>-19322242.48</v>
      </c>
      <c r="K3618">
        <v>0</v>
      </c>
      <c r="L3618">
        <v>0</v>
      </c>
      <c r="M3618">
        <v>19359886.699999999</v>
      </c>
      <c r="N3618">
        <v>0</v>
      </c>
      <c r="O3618">
        <v>19359886.699999999</v>
      </c>
      <c r="P3618">
        <v>0</v>
      </c>
      <c r="Q3618">
        <v>19359886.699999999</v>
      </c>
      <c r="R3618" s="14">
        <f>_xlfn.XLOOKUP(Table2[[#This Row],[LoanID]],Table1[G-L ID],Table1[ManagerCode],-99)</f>
        <v>183</v>
      </c>
      <c r="T3618"/>
    </row>
    <row r="3619" spans="1:20" x14ac:dyDescent="0.25">
      <c r="A3619">
        <v>20150531</v>
      </c>
      <c r="B3619">
        <v>2015</v>
      </c>
      <c r="C3619">
        <v>5</v>
      </c>
      <c r="D3619">
        <v>1</v>
      </c>
      <c r="E3619">
        <v>11170</v>
      </c>
      <c r="F3619">
        <v>682500</v>
      </c>
      <c r="G3619">
        <v>0</v>
      </c>
      <c r="H3619">
        <v>0</v>
      </c>
      <c r="I3619">
        <v>0</v>
      </c>
      <c r="J3619">
        <v>0</v>
      </c>
      <c r="K3619">
        <v>0</v>
      </c>
      <c r="L3619">
        <v>173249826.80000001</v>
      </c>
      <c r="M3619">
        <v>173249826.80000001</v>
      </c>
      <c r="N3619">
        <v>173249826.80000001</v>
      </c>
      <c r="O3619">
        <v>173249826.80000001</v>
      </c>
      <c r="P3619">
        <v>175000000</v>
      </c>
      <c r="Q3619">
        <v>175000000</v>
      </c>
      <c r="R3619" s="14">
        <f>_xlfn.XLOOKUP(Table2[[#This Row],[LoanID]],Table1[G-L ID],Table1[ManagerCode],-99)</f>
        <v>103</v>
      </c>
      <c r="T3619"/>
    </row>
    <row r="3620" spans="1:20" x14ac:dyDescent="0.25">
      <c r="A3620">
        <v>20150531</v>
      </c>
      <c r="B3620">
        <v>2015</v>
      </c>
      <c r="C3620">
        <v>5</v>
      </c>
      <c r="D3620">
        <v>1</v>
      </c>
      <c r="E3620">
        <v>11250</v>
      </c>
      <c r="F3620">
        <v>52225.69</v>
      </c>
      <c r="G3620">
        <v>88032.13</v>
      </c>
      <c r="H3620">
        <v>0</v>
      </c>
      <c r="I3620">
        <v>0</v>
      </c>
      <c r="J3620">
        <v>-1898428.11</v>
      </c>
      <c r="K3620">
        <v>0</v>
      </c>
      <c r="L3620">
        <v>11051972.699999999</v>
      </c>
      <c r="M3620">
        <v>13038432.939999999</v>
      </c>
      <c r="N3620">
        <v>11051972.699999999</v>
      </c>
      <c r="O3620">
        <v>13038432.939999999</v>
      </c>
      <c r="P3620">
        <v>11051972.699999999</v>
      </c>
      <c r="Q3620">
        <v>13038432.939999999</v>
      </c>
      <c r="R3620" s="14">
        <f>_xlfn.XLOOKUP(Table2[[#This Row],[LoanID]],Table1[G-L ID],Table1[ManagerCode],-99)</f>
        <v>183</v>
      </c>
      <c r="T3620"/>
    </row>
    <row r="3621" spans="1:20" x14ac:dyDescent="0.25">
      <c r="A3621">
        <v>20150531</v>
      </c>
      <c r="B3621">
        <v>2015</v>
      </c>
      <c r="C3621">
        <v>5</v>
      </c>
      <c r="D3621">
        <v>1</v>
      </c>
      <c r="E3621">
        <v>11320</v>
      </c>
      <c r="F3621">
        <v>93362.96</v>
      </c>
      <c r="G3621">
        <v>0</v>
      </c>
      <c r="H3621">
        <v>0</v>
      </c>
      <c r="I3621">
        <v>0</v>
      </c>
      <c r="J3621">
        <v>0</v>
      </c>
      <c r="K3621">
        <v>0</v>
      </c>
      <c r="L3621">
        <v>11820000</v>
      </c>
      <c r="M3621">
        <v>11820000</v>
      </c>
      <c r="N3621">
        <v>11820000</v>
      </c>
      <c r="O3621">
        <v>11820000</v>
      </c>
      <c r="P3621">
        <v>11820000</v>
      </c>
      <c r="Q3621">
        <v>11820000</v>
      </c>
      <c r="R3621" s="14">
        <f>_xlfn.XLOOKUP(Table2[[#This Row],[LoanID]],Table1[G-L ID],Table1[ManagerCode],-99)</f>
        <v>119</v>
      </c>
      <c r="T3621"/>
    </row>
    <row r="3622" spans="1:20" x14ac:dyDescent="0.25">
      <c r="A3622">
        <v>20150531</v>
      </c>
      <c r="B3622">
        <v>2015</v>
      </c>
      <c r="C3622">
        <v>5</v>
      </c>
      <c r="D3622">
        <v>1</v>
      </c>
      <c r="E3622">
        <v>11330</v>
      </c>
      <c r="F3622">
        <v>63000</v>
      </c>
      <c r="G3622">
        <v>0</v>
      </c>
      <c r="H3622">
        <v>313000</v>
      </c>
      <c r="I3622">
        <v>0</v>
      </c>
      <c r="J3622">
        <v>-28000000</v>
      </c>
      <c r="K3622">
        <v>0</v>
      </c>
      <c r="L3622">
        <v>0</v>
      </c>
      <c r="M3622">
        <v>28000000</v>
      </c>
      <c r="N3622">
        <v>0</v>
      </c>
      <c r="O3622">
        <v>28000000</v>
      </c>
      <c r="P3622">
        <v>0</v>
      </c>
      <c r="Q3622">
        <v>28000000</v>
      </c>
      <c r="R3622" s="14">
        <f>_xlfn.XLOOKUP(Table2[[#This Row],[LoanID]],Table1[G-L ID],Table1[ManagerCode],-99)</f>
        <v>119</v>
      </c>
      <c r="T3622"/>
    </row>
    <row r="3623" spans="1:20" x14ac:dyDescent="0.25">
      <c r="A3623">
        <v>20150531</v>
      </c>
      <c r="B3623">
        <v>2015</v>
      </c>
      <c r="C3623">
        <v>5</v>
      </c>
      <c r="D3623">
        <v>1</v>
      </c>
      <c r="E3623">
        <v>11340</v>
      </c>
      <c r="F3623">
        <v>291666.67</v>
      </c>
      <c r="G3623">
        <v>0</v>
      </c>
      <c r="H3623">
        <v>0</v>
      </c>
      <c r="I3623">
        <v>0</v>
      </c>
      <c r="J3623">
        <v>0</v>
      </c>
      <c r="K3623">
        <v>0</v>
      </c>
      <c r="L3623">
        <v>49500000</v>
      </c>
      <c r="M3623">
        <v>49500000</v>
      </c>
      <c r="N3623">
        <v>49500000</v>
      </c>
      <c r="O3623">
        <v>49500000</v>
      </c>
      <c r="P3623">
        <v>50000000</v>
      </c>
      <c r="Q3623">
        <v>50000000</v>
      </c>
      <c r="R3623" s="14">
        <f>_xlfn.XLOOKUP(Table2[[#This Row],[LoanID]],Table1[G-L ID],Table1[ManagerCode],-99)</f>
        <v>103</v>
      </c>
      <c r="T3623"/>
    </row>
    <row r="3624" spans="1:20" x14ac:dyDescent="0.25">
      <c r="A3624">
        <v>20150531</v>
      </c>
      <c r="B3624">
        <v>2015</v>
      </c>
      <c r="C3624">
        <v>5</v>
      </c>
      <c r="D3624">
        <v>1</v>
      </c>
      <c r="E3624">
        <v>11350</v>
      </c>
      <c r="F3624">
        <v>320833.33</v>
      </c>
      <c r="G3624">
        <v>0</v>
      </c>
      <c r="H3624">
        <v>0</v>
      </c>
      <c r="I3624">
        <v>0</v>
      </c>
      <c r="J3624">
        <v>0</v>
      </c>
      <c r="K3624">
        <v>0</v>
      </c>
      <c r="L3624">
        <v>54449945.549999997</v>
      </c>
      <c r="M3624">
        <v>54449945.549999997</v>
      </c>
      <c r="N3624">
        <v>54449945.549999997</v>
      </c>
      <c r="O3624">
        <v>54449945.549999997</v>
      </c>
      <c r="P3624">
        <v>55000000</v>
      </c>
      <c r="Q3624">
        <v>55000000</v>
      </c>
      <c r="R3624" s="14">
        <f>_xlfn.XLOOKUP(Table2[[#This Row],[LoanID]],Table1[G-L ID],Table1[ManagerCode],-99)</f>
        <v>103</v>
      </c>
      <c r="T3624"/>
    </row>
    <row r="3625" spans="1:20" x14ac:dyDescent="0.25">
      <c r="A3625">
        <v>20150531</v>
      </c>
      <c r="B3625">
        <v>2015</v>
      </c>
      <c r="C3625">
        <v>5</v>
      </c>
      <c r="D3625">
        <v>1</v>
      </c>
      <c r="E3625">
        <v>11370</v>
      </c>
      <c r="F3625">
        <v>51650.13</v>
      </c>
      <c r="G3625">
        <v>0</v>
      </c>
      <c r="H3625">
        <v>0</v>
      </c>
      <c r="I3625">
        <v>0</v>
      </c>
      <c r="J3625">
        <v>0</v>
      </c>
      <c r="K3625">
        <v>0</v>
      </c>
      <c r="L3625">
        <v>5696705.2300000004</v>
      </c>
      <c r="M3625">
        <v>5696705.2300000004</v>
      </c>
      <c r="N3625">
        <v>5696705.2300000004</v>
      </c>
      <c r="O3625">
        <v>5696705.2300000004</v>
      </c>
      <c r="P3625">
        <v>5696705.2300000004</v>
      </c>
      <c r="Q3625">
        <v>5696705.2300000004</v>
      </c>
      <c r="R3625" s="14">
        <f>_xlfn.XLOOKUP(Table2[[#This Row],[LoanID]],Table1[G-L ID],Table1[ManagerCode],-99)</f>
        <v>119</v>
      </c>
      <c r="T3625"/>
    </row>
    <row r="3626" spans="1:20" x14ac:dyDescent="0.25">
      <c r="A3626">
        <v>20150531</v>
      </c>
      <c r="B3626">
        <v>2015</v>
      </c>
      <c r="C3626">
        <v>5</v>
      </c>
      <c r="D3626">
        <v>1</v>
      </c>
      <c r="E3626">
        <v>11480</v>
      </c>
      <c r="F3626">
        <v>346033.33</v>
      </c>
      <c r="G3626">
        <v>0</v>
      </c>
      <c r="H3626">
        <v>0</v>
      </c>
      <c r="I3626">
        <v>0</v>
      </c>
      <c r="J3626">
        <v>0</v>
      </c>
      <c r="K3626">
        <v>0</v>
      </c>
      <c r="L3626">
        <v>66500000</v>
      </c>
      <c r="M3626">
        <v>66500000</v>
      </c>
      <c r="N3626">
        <v>66500000</v>
      </c>
      <c r="O3626">
        <v>66500000</v>
      </c>
      <c r="P3626">
        <v>70000000</v>
      </c>
      <c r="Q3626">
        <v>70000000</v>
      </c>
      <c r="R3626" s="14">
        <f>_xlfn.XLOOKUP(Table2[[#This Row],[LoanID]],Table1[G-L ID],Table1[ManagerCode],-99)</f>
        <v>103</v>
      </c>
      <c r="T3626"/>
    </row>
    <row r="3627" spans="1:20" x14ac:dyDescent="0.25">
      <c r="A3627">
        <v>20150531</v>
      </c>
      <c r="B3627">
        <v>2015</v>
      </c>
      <c r="C3627">
        <v>5</v>
      </c>
      <c r="D3627">
        <v>1</v>
      </c>
      <c r="E3627">
        <v>11490</v>
      </c>
      <c r="F3627">
        <v>329175</v>
      </c>
      <c r="G3627">
        <v>0</v>
      </c>
      <c r="H3627">
        <v>0</v>
      </c>
      <c r="I3627">
        <v>0</v>
      </c>
      <c r="J3627">
        <v>0</v>
      </c>
      <c r="K3627">
        <v>0</v>
      </c>
      <c r="L3627">
        <v>49500000</v>
      </c>
      <c r="M3627">
        <v>49500000</v>
      </c>
      <c r="N3627">
        <v>49500000</v>
      </c>
      <c r="O3627">
        <v>49500000</v>
      </c>
      <c r="P3627">
        <v>55000000</v>
      </c>
      <c r="Q3627">
        <v>55000000</v>
      </c>
      <c r="R3627" s="14">
        <f>_xlfn.XLOOKUP(Table2[[#This Row],[LoanID]],Table1[G-L ID],Table1[ManagerCode],-99)</f>
        <v>103</v>
      </c>
      <c r="T3627"/>
    </row>
    <row r="3628" spans="1:20" x14ac:dyDescent="0.25">
      <c r="A3628">
        <v>20150531</v>
      </c>
      <c r="B3628">
        <v>2015</v>
      </c>
      <c r="C3628">
        <v>5</v>
      </c>
      <c r="D3628">
        <v>1</v>
      </c>
      <c r="E3628">
        <v>11560</v>
      </c>
      <c r="F3628">
        <v>26071.43</v>
      </c>
      <c r="G3628">
        <v>-23499.33</v>
      </c>
      <c r="H3628">
        <v>0</v>
      </c>
      <c r="I3628">
        <v>0</v>
      </c>
      <c r="J3628">
        <v>0</v>
      </c>
      <c r="K3628">
        <v>0</v>
      </c>
      <c r="L3628">
        <v>14959537.130000001</v>
      </c>
      <c r="M3628">
        <v>14936037.800000001</v>
      </c>
      <c r="N3628">
        <v>14959537.130000001</v>
      </c>
      <c r="O3628">
        <v>14936037.800000001</v>
      </c>
      <c r="P3628">
        <v>14959537.130000001</v>
      </c>
      <c r="Q3628">
        <v>14936037.800000001</v>
      </c>
      <c r="R3628" s="14">
        <f>_xlfn.XLOOKUP(Table2[[#This Row],[LoanID]],Table1[G-L ID],Table1[ManagerCode],-99)</f>
        <v>183</v>
      </c>
      <c r="T3628"/>
    </row>
    <row r="3629" spans="1:20" x14ac:dyDescent="0.25">
      <c r="A3629">
        <v>20150531</v>
      </c>
      <c r="B3629">
        <v>2015</v>
      </c>
      <c r="C3629">
        <v>5</v>
      </c>
      <c r="D3629">
        <v>1</v>
      </c>
      <c r="E3629">
        <v>11580</v>
      </c>
      <c r="F3629">
        <v>111740.63</v>
      </c>
      <c r="G3629">
        <v>0</v>
      </c>
      <c r="H3629">
        <v>0</v>
      </c>
      <c r="I3629">
        <v>0</v>
      </c>
      <c r="J3629">
        <v>0</v>
      </c>
      <c r="K3629">
        <v>0</v>
      </c>
      <c r="L3629">
        <v>15000000</v>
      </c>
      <c r="M3629">
        <v>15000000</v>
      </c>
      <c r="N3629">
        <v>15000000</v>
      </c>
      <c r="O3629">
        <v>15000000</v>
      </c>
      <c r="P3629">
        <v>15000000</v>
      </c>
      <c r="Q3629">
        <v>15000000</v>
      </c>
      <c r="R3629" s="14">
        <f>_xlfn.XLOOKUP(Table2[[#This Row],[LoanID]],Table1[G-L ID],Table1[ManagerCode],-99)</f>
        <v>119</v>
      </c>
      <c r="T3629"/>
    </row>
    <row r="3630" spans="1:20" x14ac:dyDescent="0.25">
      <c r="A3630">
        <v>20150531</v>
      </c>
      <c r="B3630">
        <v>2015</v>
      </c>
      <c r="C3630">
        <v>5</v>
      </c>
      <c r="D3630">
        <v>1</v>
      </c>
      <c r="E3630">
        <v>11590</v>
      </c>
      <c r="F3630">
        <v>22650.82</v>
      </c>
      <c r="G3630">
        <v>0</v>
      </c>
      <c r="H3630">
        <v>0</v>
      </c>
      <c r="I3630">
        <v>0</v>
      </c>
      <c r="J3630">
        <v>0</v>
      </c>
      <c r="K3630">
        <v>0</v>
      </c>
      <c r="L3630">
        <v>3507224.44</v>
      </c>
      <c r="M3630">
        <v>3507224.44</v>
      </c>
      <c r="N3630">
        <v>3507224.44</v>
      </c>
      <c r="O3630">
        <v>3507224.44</v>
      </c>
      <c r="P3630">
        <v>3507224.44</v>
      </c>
      <c r="Q3630">
        <v>3507224.44</v>
      </c>
      <c r="R3630" s="14">
        <f>_xlfn.XLOOKUP(Table2[[#This Row],[LoanID]],Table1[G-L ID],Table1[ManagerCode],-99)</f>
        <v>119</v>
      </c>
      <c r="T3630"/>
    </row>
    <row r="3631" spans="1:20" x14ac:dyDescent="0.25">
      <c r="A3631">
        <v>20150531</v>
      </c>
      <c r="B3631">
        <v>2015</v>
      </c>
      <c r="C3631">
        <v>5</v>
      </c>
      <c r="D3631">
        <v>1</v>
      </c>
      <c r="E3631">
        <v>11650</v>
      </c>
      <c r="F3631">
        <v>75000</v>
      </c>
      <c r="G3631">
        <v>0</v>
      </c>
      <c r="H3631">
        <v>0</v>
      </c>
      <c r="I3631">
        <v>0</v>
      </c>
      <c r="J3631">
        <v>0</v>
      </c>
      <c r="K3631">
        <v>0</v>
      </c>
      <c r="L3631">
        <v>9600000</v>
      </c>
      <c r="M3631">
        <v>9600000</v>
      </c>
      <c r="N3631">
        <v>9600000</v>
      </c>
      <c r="O3631">
        <v>9600000</v>
      </c>
      <c r="P3631">
        <v>12000000</v>
      </c>
      <c r="Q3631">
        <v>12000000</v>
      </c>
      <c r="R3631" s="14">
        <f>_xlfn.XLOOKUP(Table2[[#This Row],[LoanID]],Table1[G-L ID],Table1[ManagerCode],-99)</f>
        <v>103</v>
      </c>
      <c r="T3631"/>
    </row>
    <row r="3632" spans="1:20" x14ac:dyDescent="0.25">
      <c r="A3632">
        <v>20150531</v>
      </c>
      <c r="B3632">
        <v>2015</v>
      </c>
      <c r="C3632">
        <v>5</v>
      </c>
      <c r="D3632">
        <v>1</v>
      </c>
      <c r="E3632">
        <v>11660</v>
      </c>
      <c r="F3632">
        <v>0</v>
      </c>
      <c r="G3632">
        <v>0</v>
      </c>
      <c r="H3632">
        <v>0</v>
      </c>
      <c r="I3632">
        <v>0</v>
      </c>
      <c r="J3632">
        <v>0</v>
      </c>
      <c r="K3632">
        <v>0</v>
      </c>
      <c r="L3632">
        <v>27647178</v>
      </c>
      <c r="M3632">
        <v>27647178</v>
      </c>
      <c r="N3632">
        <v>27647178</v>
      </c>
      <c r="O3632">
        <v>27647178</v>
      </c>
      <c r="P3632">
        <v>27647178</v>
      </c>
      <c r="Q3632">
        <v>27647178</v>
      </c>
      <c r="R3632" s="14">
        <f>_xlfn.XLOOKUP(Table2[[#This Row],[LoanID]],Table1[G-L ID],Table1[ManagerCode],-99)</f>
        <v>183</v>
      </c>
      <c r="T3632"/>
    </row>
    <row r="3633" spans="1:20" x14ac:dyDescent="0.25">
      <c r="A3633">
        <v>20150531</v>
      </c>
      <c r="B3633">
        <v>2015</v>
      </c>
      <c r="C3633">
        <v>5</v>
      </c>
      <c r="D3633">
        <v>1</v>
      </c>
      <c r="E3633">
        <v>11680</v>
      </c>
      <c r="F3633">
        <v>57126.559999999998</v>
      </c>
      <c r="G3633">
        <v>0</v>
      </c>
      <c r="H3633">
        <v>0</v>
      </c>
      <c r="I3633">
        <v>0</v>
      </c>
      <c r="J3633">
        <v>0</v>
      </c>
      <c r="K3633">
        <v>0</v>
      </c>
      <c r="L3633">
        <v>6600000</v>
      </c>
      <c r="M3633">
        <v>6600000</v>
      </c>
      <c r="N3633">
        <v>6600000</v>
      </c>
      <c r="O3633">
        <v>6600000</v>
      </c>
      <c r="P3633">
        <v>6600000</v>
      </c>
      <c r="Q3633">
        <v>6600000</v>
      </c>
      <c r="R3633" s="14">
        <f>_xlfn.XLOOKUP(Table2[[#This Row],[LoanID]],Table1[G-L ID],Table1[ManagerCode],-99)</f>
        <v>183</v>
      </c>
      <c r="T3633"/>
    </row>
    <row r="3634" spans="1:20" x14ac:dyDescent="0.25">
      <c r="A3634">
        <v>20150531</v>
      </c>
      <c r="B3634">
        <v>2015</v>
      </c>
      <c r="C3634">
        <v>5</v>
      </c>
      <c r="D3634">
        <v>1</v>
      </c>
      <c r="E3634">
        <v>11710</v>
      </c>
      <c r="F3634">
        <v>122865.62</v>
      </c>
      <c r="G3634">
        <v>0</v>
      </c>
      <c r="H3634">
        <v>0</v>
      </c>
      <c r="I3634">
        <v>0</v>
      </c>
      <c r="J3634">
        <v>0</v>
      </c>
      <c r="K3634">
        <v>0</v>
      </c>
      <c r="L3634">
        <v>15000000</v>
      </c>
      <c r="M3634">
        <v>15000000</v>
      </c>
      <c r="N3634">
        <v>15000000</v>
      </c>
      <c r="O3634">
        <v>15000000</v>
      </c>
      <c r="P3634">
        <v>15000000</v>
      </c>
      <c r="Q3634">
        <v>15000000</v>
      </c>
      <c r="R3634" s="14">
        <f>_xlfn.XLOOKUP(Table2[[#This Row],[LoanID]],Table1[G-L ID],Table1[ManagerCode],-99)</f>
        <v>119</v>
      </c>
      <c r="T3634"/>
    </row>
    <row r="3635" spans="1:20" x14ac:dyDescent="0.25">
      <c r="A3635">
        <v>20150531</v>
      </c>
      <c r="B3635">
        <v>2015</v>
      </c>
      <c r="C3635">
        <v>5</v>
      </c>
      <c r="D3635">
        <v>1</v>
      </c>
      <c r="E3635">
        <v>11720</v>
      </c>
      <c r="F3635">
        <v>125000</v>
      </c>
      <c r="G3635">
        <v>0</v>
      </c>
      <c r="H3635">
        <v>0</v>
      </c>
      <c r="I3635">
        <v>0</v>
      </c>
      <c r="J3635">
        <v>0</v>
      </c>
      <c r="K3635">
        <v>0</v>
      </c>
      <c r="L3635">
        <v>19800000</v>
      </c>
      <c r="M3635">
        <v>19800000</v>
      </c>
      <c r="N3635">
        <v>19800000</v>
      </c>
      <c r="O3635">
        <v>19800000</v>
      </c>
      <c r="P3635">
        <v>20000000</v>
      </c>
      <c r="Q3635">
        <v>20000000</v>
      </c>
      <c r="R3635" s="14">
        <f>_xlfn.XLOOKUP(Table2[[#This Row],[LoanID]],Table1[G-L ID],Table1[ManagerCode],-99)</f>
        <v>103</v>
      </c>
      <c r="T3635"/>
    </row>
    <row r="3636" spans="1:20" x14ac:dyDescent="0.25">
      <c r="A3636">
        <v>20150531</v>
      </c>
      <c r="B3636">
        <v>2015</v>
      </c>
      <c r="C3636">
        <v>5</v>
      </c>
      <c r="D3636">
        <v>1</v>
      </c>
      <c r="E3636">
        <v>11730</v>
      </c>
      <c r="F3636">
        <v>45437.71</v>
      </c>
      <c r="G3636">
        <v>0</v>
      </c>
      <c r="H3636">
        <v>0</v>
      </c>
      <c r="I3636">
        <v>0</v>
      </c>
      <c r="J3636">
        <v>0</v>
      </c>
      <c r="K3636">
        <v>0</v>
      </c>
      <c r="L3636">
        <v>4750000</v>
      </c>
      <c r="M3636">
        <v>4750000</v>
      </c>
      <c r="N3636">
        <v>4750000</v>
      </c>
      <c r="O3636">
        <v>4750000</v>
      </c>
      <c r="P3636">
        <v>4750000</v>
      </c>
      <c r="Q3636">
        <v>4750000</v>
      </c>
      <c r="R3636" s="14">
        <f>_xlfn.XLOOKUP(Table2[[#This Row],[LoanID]],Table1[G-L ID],Table1[ManagerCode],-99)</f>
        <v>119</v>
      </c>
      <c r="T3636"/>
    </row>
    <row r="3637" spans="1:20" x14ac:dyDescent="0.25">
      <c r="A3637">
        <v>20150531</v>
      </c>
      <c r="B3637">
        <v>2015</v>
      </c>
      <c r="C3637">
        <v>5</v>
      </c>
      <c r="D3637">
        <v>1</v>
      </c>
      <c r="E3637">
        <v>11740</v>
      </c>
      <c r="F3637">
        <v>191100</v>
      </c>
      <c r="G3637">
        <v>0</v>
      </c>
      <c r="H3637">
        <v>0</v>
      </c>
      <c r="I3637">
        <v>0</v>
      </c>
      <c r="J3637">
        <v>0</v>
      </c>
      <c r="K3637">
        <v>0</v>
      </c>
      <c r="L3637">
        <v>19110000</v>
      </c>
      <c r="M3637">
        <v>19110000</v>
      </c>
      <c r="N3637">
        <v>19110000</v>
      </c>
      <c r="O3637">
        <v>19110000</v>
      </c>
      <c r="P3637">
        <v>19110000</v>
      </c>
      <c r="Q3637">
        <v>19110000</v>
      </c>
      <c r="R3637" s="14">
        <f>_xlfn.XLOOKUP(Table2[[#This Row],[LoanID]],Table1[G-L ID],Table1[ManagerCode],-99)</f>
        <v>183</v>
      </c>
      <c r="T3637"/>
    </row>
    <row r="3638" spans="1:20" x14ac:dyDescent="0.25">
      <c r="A3638">
        <v>20150531</v>
      </c>
      <c r="B3638">
        <v>2015</v>
      </c>
      <c r="C3638">
        <v>5</v>
      </c>
      <c r="D3638">
        <v>1</v>
      </c>
      <c r="E3638">
        <v>11810</v>
      </c>
      <c r="F3638">
        <v>49271.27</v>
      </c>
      <c r="G3638">
        <v>0</v>
      </c>
      <c r="H3638">
        <v>0</v>
      </c>
      <c r="I3638">
        <v>0</v>
      </c>
      <c r="J3638">
        <v>0</v>
      </c>
      <c r="K3638">
        <v>11586.82</v>
      </c>
      <c r="L3638">
        <v>9533269.0199999996</v>
      </c>
      <c r="M3638">
        <v>9521798.0800000001</v>
      </c>
      <c r="N3638">
        <v>9533269.0199999996</v>
      </c>
      <c r="O3638">
        <v>9521798.0800000001</v>
      </c>
      <c r="P3638">
        <v>9629564.6699999999</v>
      </c>
      <c r="Q3638">
        <v>9617977.8499999996</v>
      </c>
      <c r="R3638" s="14">
        <f>_xlfn.XLOOKUP(Table2[[#This Row],[LoanID]],Table1[G-L ID],Table1[ManagerCode],-99)</f>
        <v>103</v>
      </c>
      <c r="T3638"/>
    </row>
    <row r="3639" spans="1:20" x14ac:dyDescent="0.25">
      <c r="A3639">
        <v>20150531</v>
      </c>
      <c r="B3639">
        <v>2015</v>
      </c>
      <c r="C3639">
        <v>5</v>
      </c>
      <c r="D3639">
        <v>1</v>
      </c>
      <c r="E3639">
        <v>11880</v>
      </c>
      <c r="F3639">
        <v>274079.2</v>
      </c>
      <c r="G3639">
        <v>134675.14000000001</v>
      </c>
      <c r="H3639">
        <v>0</v>
      </c>
      <c r="I3639">
        <v>0</v>
      </c>
      <c r="J3639">
        <v>-1433837.94</v>
      </c>
      <c r="K3639">
        <v>0</v>
      </c>
      <c r="L3639">
        <v>59462562.710000001</v>
      </c>
      <c r="M3639">
        <v>61031075.789999999</v>
      </c>
      <c r="N3639">
        <v>59462562.710000001</v>
      </c>
      <c r="O3639">
        <v>61031075.789999999</v>
      </c>
      <c r="P3639">
        <v>59462562.710000001</v>
      </c>
      <c r="Q3639">
        <v>61031075.789999999</v>
      </c>
      <c r="R3639" s="14">
        <f>_xlfn.XLOOKUP(Table2[[#This Row],[LoanID]],Table1[G-L ID],Table1[ManagerCode],-99)</f>
        <v>183</v>
      </c>
      <c r="T3639"/>
    </row>
    <row r="3640" spans="1:20" x14ac:dyDescent="0.25">
      <c r="A3640">
        <v>20150531</v>
      </c>
      <c r="B3640">
        <v>2015</v>
      </c>
      <c r="C3640">
        <v>5</v>
      </c>
      <c r="D3640">
        <v>1</v>
      </c>
      <c r="E3640">
        <v>11990</v>
      </c>
      <c r="F3640">
        <v>97262.5</v>
      </c>
      <c r="G3640">
        <v>0</v>
      </c>
      <c r="H3640">
        <v>0</v>
      </c>
      <c r="I3640">
        <v>0</v>
      </c>
      <c r="J3640">
        <v>0</v>
      </c>
      <c r="K3640">
        <v>0</v>
      </c>
      <c r="L3640">
        <v>15000000</v>
      </c>
      <c r="M3640">
        <v>15000000</v>
      </c>
      <c r="N3640">
        <v>15000000</v>
      </c>
      <c r="O3640">
        <v>15000000</v>
      </c>
      <c r="P3640">
        <v>15000000</v>
      </c>
      <c r="Q3640">
        <v>15000000</v>
      </c>
      <c r="R3640" s="14">
        <f>_xlfn.XLOOKUP(Table2[[#This Row],[LoanID]],Table1[G-L ID],Table1[ManagerCode],-99)</f>
        <v>220</v>
      </c>
      <c r="T3640"/>
    </row>
    <row r="3641" spans="1:20" x14ac:dyDescent="0.25">
      <c r="A3641">
        <v>20150531</v>
      </c>
      <c r="B3641">
        <v>2015</v>
      </c>
      <c r="C3641">
        <v>5</v>
      </c>
      <c r="D3641">
        <v>1</v>
      </c>
      <c r="E3641">
        <v>12080</v>
      </c>
      <c r="F3641">
        <v>280075.48</v>
      </c>
      <c r="G3641">
        <v>0</v>
      </c>
      <c r="H3641">
        <v>0</v>
      </c>
      <c r="I3641">
        <v>0</v>
      </c>
      <c r="J3641">
        <v>0</v>
      </c>
      <c r="K3641">
        <v>0</v>
      </c>
      <c r="L3641">
        <v>35678405.18</v>
      </c>
      <c r="M3641">
        <v>35678405.18</v>
      </c>
      <c r="N3641">
        <v>35678405.18</v>
      </c>
      <c r="O3641">
        <v>35678405.18</v>
      </c>
      <c r="P3641">
        <v>35678405.18</v>
      </c>
      <c r="Q3641">
        <v>35678405.18</v>
      </c>
      <c r="R3641" s="14">
        <f>_xlfn.XLOOKUP(Table2[[#This Row],[LoanID]],Table1[G-L ID],Table1[ManagerCode],-99)</f>
        <v>119</v>
      </c>
      <c r="T3641"/>
    </row>
    <row r="3642" spans="1:20" x14ac:dyDescent="0.25">
      <c r="A3642">
        <v>20150531</v>
      </c>
      <c r="B3642">
        <v>2015</v>
      </c>
      <c r="C3642">
        <v>5</v>
      </c>
      <c r="D3642">
        <v>1</v>
      </c>
      <c r="E3642">
        <v>12160</v>
      </c>
      <c r="F3642">
        <v>76308.09</v>
      </c>
      <c r="G3642">
        <v>93179.89</v>
      </c>
      <c r="H3642">
        <v>0</v>
      </c>
      <c r="I3642">
        <v>0</v>
      </c>
      <c r="J3642">
        <v>-76308.09</v>
      </c>
      <c r="K3642">
        <v>0</v>
      </c>
      <c r="L3642">
        <v>15402741.939999999</v>
      </c>
      <c r="M3642">
        <v>15572229.92</v>
      </c>
      <c r="N3642">
        <v>15402741.939999999</v>
      </c>
      <c r="O3642">
        <v>15572229.92</v>
      </c>
      <c r="P3642">
        <v>15402741.939999999</v>
      </c>
      <c r="Q3642">
        <v>15572229.92</v>
      </c>
      <c r="R3642" s="14">
        <f>_xlfn.XLOOKUP(Table2[[#This Row],[LoanID]],Table1[G-L ID],Table1[ManagerCode],-99)</f>
        <v>183</v>
      </c>
      <c r="T3642"/>
    </row>
    <row r="3643" spans="1:20" x14ac:dyDescent="0.25">
      <c r="A3643">
        <v>20150531</v>
      </c>
      <c r="B3643">
        <v>2015</v>
      </c>
      <c r="C3643">
        <v>5</v>
      </c>
      <c r="D3643">
        <v>1</v>
      </c>
      <c r="E3643">
        <v>12180</v>
      </c>
      <c r="F3643">
        <v>226041.67</v>
      </c>
      <c r="G3643">
        <v>0</v>
      </c>
      <c r="H3643">
        <v>0</v>
      </c>
      <c r="I3643">
        <v>0</v>
      </c>
      <c r="J3643">
        <v>0</v>
      </c>
      <c r="K3643">
        <v>0</v>
      </c>
      <c r="L3643">
        <v>35000000</v>
      </c>
      <c r="M3643">
        <v>35000000</v>
      </c>
      <c r="N3643">
        <v>35000000</v>
      </c>
      <c r="O3643">
        <v>35000000</v>
      </c>
      <c r="P3643">
        <v>35000000</v>
      </c>
      <c r="Q3643">
        <v>35000000</v>
      </c>
      <c r="R3643" s="14">
        <f>_xlfn.XLOOKUP(Table2[[#This Row],[LoanID]],Table1[G-L ID],Table1[ManagerCode],-99)</f>
        <v>220</v>
      </c>
      <c r="T3643"/>
    </row>
    <row r="3644" spans="1:20" x14ac:dyDescent="0.25">
      <c r="A3644">
        <v>20150531</v>
      </c>
      <c r="B3644">
        <v>2015</v>
      </c>
      <c r="C3644">
        <v>5</v>
      </c>
      <c r="D3644">
        <v>1</v>
      </c>
      <c r="E3644">
        <v>12190</v>
      </c>
      <c r="F3644">
        <v>274687.5</v>
      </c>
      <c r="G3644">
        <v>0</v>
      </c>
      <c r="H3644">
        <v>0</v>
      </c>
      <c r="I3644">
        <v>0</v>
      </c>
      <c r="J3644">
        <v>0</v>
      </c>
      <c r="K3644">
        <v>0</v>
      </c>
      <c r="L3644">
        <v>37500000</v>
      </c>
      <c r="M3644">
        <v>37500000</v>
      </c>
      <c r="N3644">
        <v>37500000</v>
      </c>
      <c r="O3644">
        <v>37500000</v>
      </c>
      <c r="P3644">
        <v>37500000</v>
      </c>
      <c r="Q3644">
        <v>37500000</v>
      </c>
      <c r="R3644" s="14">
        <f>_xlfn.XLOOKUP(Table2[[#This Row],[LoanID]],Table1[G-L ID],Table1[ManagerCode],-99)</f>
        <v>220</v>
      </c>
      <c r="T3644"/>
    </row>
    <row r="3645" spans="1:20" x14ac:dyDescent="0.25">
      <c r="A3645">
        <v>20150531</v>
      </c>
      <c r="B3645">
        <v>2015</v>
      </c>
      <c r="C3645">
        <v>5</v>
      </c>
      <c r="D3645">
        <v>1</v>
      </c>
      <c r="E3645">
        <v>12210</v>
      </c>
      <c r="F3645">
        <v>670437.13</v>
      </c>
      <c r="G3645">
        <v>0</v>
      </c>
      <c r="H3645">
        <v>0</v>
      </c>
      <c r="I3645">
        <v>0</v>
      </c>
      <c r="J3645">
        <v>0</v>
      </c>
      <c r="K3645">
        <v>226900.15</v>
      </c>
      <c r="L3645">
        <v>121536606.09999999</v>
      </c>
      <c r="M3645">
        <v>120908997.7</v>
      </c>
      <c r="N3645">
        <v>121536606.09999999</v>
      </c>
      <c r="O3645">
        <v>120908997.7</v>
      </c>
      <c r="P3645">
        <v>108477811.2</v>
      </c>
      <c r="Q3645">
        <v>108250911.09999999</v>
      </c>
      <c r="R3645" s="14">
        <f>_xlfn.XLOOKUP(Table2[[#This Row],[LoanID]],Table1[G-L ID],Table1[ManagerCode],-99)</f>
        <v>103</v>
      </c>
      <c r="T3645"/>
    </row>
    <row r="3646" spans="1:20" x14ac:dyDescent="0.25">
      <c r="A3646">
        <v>20150531</v>
      </c>
      <c r="B3646">
        <v>2015</v>
      </c>
      <c r="C3646">
        <v>5</v>
      </c>
      <c r="D3646">
        <v>1</v>
      </c>
      <c r="E3646">
        <v>12230</v>
      </c>
      <c r="F3646">
        <v>101791.89</v>
      </c>
      <c r="G3646">
        <v>0</v>
      </c>
      <c r="H3646">
        <v>0</v>
      </c>
      <c r="I3646">
        <v>0</v>
      </c>
      <c r="J3646">
        <v>-104715</v>
      </c>
      <c r="K3646">
        <v>0</v>
      </c>
      <c r="L3646">
        <v>20153000</v>
      </c>
      <c r="M3646">
        <v>20257715</v>
      </c>
      <c r="N3646">
        <v>13672449.5</v>
      </c>
      <c r="O3646">
        <v>13777164.5</v>
      </c>
      <c r="P3646">
        <v>19443597.32</v>
      </c>
      <c r="Q3646">
        <v>19548312.32</v>
      </c>
      <c r="R3646" s="14">
        <f>_xlfn.XLOOKUP(Table2[[#This Row],[LoanID]],Table1[G-L ID],Table1[ManagerCode],-99)</f>
        <v>183</v>
      </c>
      <c r="T3646"/>
    </row>
    <row r="3647" spans="1:20" x14ac:dyDescent="0.25">
      <c r="A3647">
        <v>20150531</v>
      </c>
      <c r="B3647">
        <v>2015</v>
      </c>
      <c r="C3647">
        <v>5</v>
      </c>
      <c r="D3647">
        <v>1</v>
      </c>
      <c r="E3647">
        <v>12240</v>
      </c>
      <c r="F3647">
        <v>0</v>
      </c>
      <c r="G3647">
        <v>1332846.33</v>
      </c>
      <c r="H3647">
        <v>0</v>
      </c>
      <c r="I3647">
        <v>0</v>
      </c>
      <c r="J3647">
        <v>-5272759.63</v>
      </c>
      <c r="K3647">
        <v>0</v>
      </c>
      <c r="L3647">
        <v>86877193.299999997</v>
      </c>
      <c r="M3647">
        <v>93482799.260000005</v>
      </c>
      <c r="N3647">
        <v>86877193.299999997</v>
      </c>
      <c r="O3647">
        <v>93482799.260000005</v>
      </c>
      <c r="P3647">
        <v>86877193.299999997</v>
      </c>
      <c r="Q3647">
        <v>93482799.260000005</v>
      </c>
      <c r="R3647" s="14">
        <f>_xlfn.XLOOKUP(Table2[[#This Row],[LoanID]],Table1[G-L ID],Table1[ManagerCode],-99)</f>
        <v>183</v>
      </c>
      <c r="T3647"/>
    </row>
    <row r="3648" spans="1:20" x14ac:dyDescent="0.25">
      <c r="A3648">
        <v>20150531</v>
      </c>
      <c r="B3648">
        <v>2015</v>
      </c>
      <c r="C3648">
        <v>5</v>
      </c>
      <c r="D3648">
        <v>1</v>
      </c>
      <c r="E3648">
        <v>13630</v>
      </c>
      <c r="F3648">
        <v>211458.33</v>
      </c>
      <c r="G3648">
        <v>0</v>
      </c>
      <c r="H3648">
        <v>0</v>
      </c>
      <c r="I3648">
        <v>0</v>
      </c>
      <c r="J3648">
        <v>0</v>
      </c>
      <c r="K3648">
        <v>0</v>
      </c>
      <c r="L3648">
        <v>35000000</v>
      </c>
      <c r="M3648">
        <v>35000000</v>
      </c>
      <c r="N3648">
        <v>35000000</v>
      </c>
      <c r="O3648">
        <v>35000000</v>
      </c>
      <c r="P3648">
        <v>35000000</v>
      </c>
      <c r="Q3648">
        <v>35000000</v>
      </c>
      <c r="R3648" s="14">
        <f>_xlfn.XLOOKUP(Table2[[#This Row],[LoanID]],Table1[G-L ID],Table1[ManagerCode],-99)</f>
        <v>298</v>
      </c>
      <c r="T3648"/>
    </row>
    <row r="3649" spans="1:20" x14ac:dyDescent="0.25">
      <c r="A3649">
        <v>20150531</v>
      </c>
      <c r="B3649">
        <v>2015</v>
      </c>
      <c r="C3649">
        <v>5</v>
      </c>
      <c r="D3649">
        <v>1</v>
      </c>
      <c r="E3649">
        <v>13670</v>
      </c>
      <c r="F3649">
        <v>271312.49</v>
      </c>
      <c r="G3649">
        <v>0</v>
      </c>
      <c r="H3649">
        <v>0</v>
      </c>
      <c r="I3649">
        <v>0</v>
      </c>
      <c r="J3649">
        <v>0</v>
      </c>
      <c r="K3649">
        <v>0</v>
      </c>
      <c r="L3649">
        <v>37500000</v>
      </c>
      <c r="M3649">
        <v>37500000</v>
      </c>
      <c r="N3649">
        <v>37500000</v>
      </c>
      <c r="O3649">
        <v>37500000</v>
      </c>
      <c r="P3649">
        <v>37500000</v>
      </c>
      <c r="Q3649">
        <v>37500000</v>
      </c>
      <c r="R3649" s="14">
        <f>_xlfn.XLOOKUP(Table2[[#This Row],[LoanID]],Table1[G-L ID],Table1[ManagerCode],-99)</f>
        <v>298</v>
      </c>
      <c r="T3649"/>
    </row>
    <row r="3650" spans="1:20" x14ac:dyDescent="0.25">
      <c r="A3650">
        <v>20150531</v>
      </c>
      <c r="B3650">
        <v>2015</v>
      </c>
      <c r="C3650">
        <v>5</v>
      </c>
      <c r="D3650">
        <v>1</v>
      </c>
      <c r="E3650">
        <v>13680</v>
      </c>
      <c r="F3650">
        <v>135937.5</v>
      </c>
      <c r="G3650">
        <v>0</v>
      </c>
      <c r="H3650">
        <v>0</v>
      </c>
      <c r="I3650">
        <v>0</v>
      </c>
      <c r="J3650">
        <v>0</v>
      </c>
      <c r="K3650">
        <v>0</v>
      </c>
      <c r="L3650">
        <v>18000000</v>
      </c>
      <c r="M3650">
        <v>18000000</v>
      </c>
      <c r="N3650">
        <v>18000000</v>
      </c>
      <c r="O3650">
        <v>18000000</v>
      </c>
      <c r="P3650">
        <v>18000000</v>
      </c>
      <c r="Q3650">
        <v>18000000</v>
      </c>
      <c r="R3650" s="14">
        <f>_xlfn.XLOOKUP(Table2[[#This Row],[LoanID]],Table1[G-L ID],Table1[ManagerCode],-99)</f>
        <v>298</v>
      </c>
      <c r="T3650"/>
    </row>
    <row r="3651" spans="1:20" x14ac:dyDescent="0.25">
      <c r="A3651">
        <v>20150531</v>
      </c>
      <c r="B3651">
        <v>2015</v>
      </c>
      <c r="C3651">
        <v>5</v>
      </c>
      <c r="D3651">
        <v>1</v>
      </c>
      <c r="E3651">
        <v>13690</v>
      </c>
      <c r="F3651">
        <v>129166.67</v>
      </c>
      <c r="G3651">
        <v>0</v>
      </c>
      <c r="H3651">
        <v>0</v>
      </c>
      <c r="I3651">
        <v>0</v>
      </c>
      <c r="J3651">
        <v>0</v>
      </c>
      <c r="K3651">
        <v>0</v>
      </c>
      <c r="L3651">
        <v>20000000</v>
      </c>
      <c r="M3651">
        <v>20000000</v>
      </c>
      <c r="N3651">
        <v>20000000</v>
      </c>
      <c r="O3651">
        <v>20000000</v>
      </c>
      <c r="P3651">
        <v>20000000</v>
      </c>
      <c r="Q3651">
        <v>20000000</v>
      </c>
      <c r="R3651" s="14">
        <f>_xlfn.XLOOKUP(Table2[[#This Row],[LoanID]],Table1[G-L ID],Table1[ManagerCode],-99)</f>
        <v>298</v>
      </c>
      <c r="T3651"/>
    </row>
    <row r="3652" spans="1:20" x14ac:dyDescent="0.25">
      <c r="A3652">
        <v>20150531</v>
      </c>
      <c r="B3652">
        <v>2015</v>
      </c>
      <c r="C3652">
        <v>5</v>
      </c>
      <c r="D3652">
        <v>1</v>
      </c>
      <c r="E3652">
        <v>15580</v>
      </c>
      <c r="F3652">
        <v>114555.74</v>
      </c>
      <c r="G3652">
        <v>3748.07</v>
      </c>
      <c r="H3652">
        <v>0</v>
      </c>
      <c r="I3652">
        <v>0</v>
      </c>
      <c r="J3652">
        <v>0</v>
      </c>
      <c r="K3652">
        <v>8845.57</v>
      </c>
      <c r="L3652">
        <v>14975840.77</v>
      </c>
      <c r="M3652">
        <v>14970743.27</v>
      </c>
      <c r="N3652">
        <v>14975840.77</v>
      </c>
      <c r="O3652">
        <v>14970743.27</v>
      </c>
      <c r="P3652">
        <v>14975840.77</v>
      </c>
      <c r="Q3652">
        <v>14970743.27</v>
      </c>
      <c r="R3652" s="14">
        <f>_xlfn.XLOOKUP(Table2[[#This Row],[LoanID]],Table1[G-L ID],Table1[ManagerCode],-99)</f>
        <v>212</v>
      </c>
      <c r="T3652"/>
    </row>
    <row r="3653" spans="1:20" x14ac:dyDescent="0.25">
      <c r="A3653">
        <v>20150630</v>
      </c>
      <c r="B3653">
        <v>2015</v>
      </c>
      <c r="C3653">
        <v>6</v>
      </c>
      <c r="D3653">
        <v>1</v>
      </c>
      <c r="E3653">
        <v>10010</v>
      </c>
      <c r="F3653">
        <v>156018.96</v>
      </c>
      <c r="G3653">
        <v>0</v>
      </c>
      <c r="H3653">
        <v>0</v>
      </c>
      <c r="I3653">
        <v>0</v>
      </c>
      <c r="J3653">
        <v>0</v>
      </c>
      <c r="K3653">
        <v>0</v>
      </c>
      <c r="L3653">
        <v>16250000</v>
      </c>
      <c r="M3653">
        <v>16250000</v>
      </c>
      <c r="N3653">
        <v>16250000</v>
      </c>
      <c r="O3653">
        <v>16250000</v>
      </c>
      <c r="P3653">
        <v>16250000</v>
      </c>
      <c r="Q3653">
        <v>16250000</v>
      </c>
      <c r="R3653" s="14">
        <f>_xlfn.XLOOKUP(Table2[[#This Row],[LoanID]],Table1[G-L ID],Table1[ManagerCode],-99)</f>
        <v>119</v>
      </c>
      <c r="T3653"/>
    </row>
    <row r="3654" spans="1:20" x14ac:dyDescent="0.25">
      <c r="A3654">
        <v>20150630</v>
      </c>
      <c r="B3654">
        <v>2015</v>
      </c>
      <c r="C3654">
        <v>6</v>
      </c>
      <c r="D3654">
        <v>1</v>
      </c>
      <c r="E3654">
        <v>10050</v>
      </c>
      <c r="F3654">
        <v>153981.01999999999</v>
      </c>
      <c r="G3654">
        <v>0</v>
      </c>
      <c r="H3654">
        <v>0</v>
      </c>
      <c r="I3654">
        <v>0</v>
      </c>
      <c r="J3654">
        <v>0</v>
      </c>
      <c r="K3654">
        <v>0</v>
      </c>
      <c r="L3654">
        <v>38054425.950000003</v>
      </c>
      <c r="M3654">
        <v>37427952.140000001</v>
      </c>
      <c r="N3654">
        <v>38054425.950000003</v>
      </c>
      <c r="O3654">
        <v>37427952.140000001</v>
      </c>
      <c r="P3654">
        <v>33333334</v>
      </c>
      <c r="Q3654">
        <v>33333334</v>
      </c>
      <c r="R3654" s="14">
        <f>_xlfn.XLOOKUP(Table2[[#This Row],[LoanID]],Table1[G-L ID],Table1[ManagerCode],-99)</f>
        <v>103</v>
      </c>
      <c r="T3654"/>
    </row>
    <row r="3655" spans="1:20" x14ac:dyDescent="0.25">
      <c r="A3655">
        <v>20150630</v>
      </c>
      <c r="B3655">
        <v>2015</v>
      </c>
      <c r="C3655">
        <v>6</v>
      </c>
      <c r="D3655">
        <v>1</v>
      </c>
      <c r="E3655">
        <v>10090</v>
      </c>
      <c r="F3655">
        <v>182083.33</v>
      </c>
      <c r="G3655">
        <v>0</v>
      </c>
      <c r="H3655">
        <v>0</v>
      </c>
      <c r="I3655">
        <v>0</v>
      </c>
      <c r="J3655">
        <v>0</v>
      </c>
      <c r="K3655">
        <v>0</v>
      </c>
      <c r="L3655">
        <v>23000000</v>
      </c>
      <c r="M3655">
        <v>23000000</v>
      </c>
      <c r="N3655">
        <v>23000000</v>
      </c>
      <c r="O3655">
        <v>23000000</v>
      </c>
      <c r="P3655">
        <v>23000000</v>
      </c>
      <c r="Q3655">
        <v>23000000</v>
      </c>
      <c r="R3655" s="14">
        <f>_xlfn.XLOOKUP(Table2[[#This Row],[LoanID]],Table1[G-L ID],Table1[ManagerCode],-99)</f>
        <v>119</v>
      </c>
      <c r="T3655"/>
    </row>
    <row r="3656" spans="1:20" x14ac:dyDescent="0.25">
      <c r="A3656">
        <v>20150630</v>
      </c>
      <c r="B3656">
        <v>2015</v>
      </c>
      <c r="C3656">
        <v>6</v>
      </c>
      <c r="D3656">
        <v>1</v>
      </c>
      <c r="E3656">
        <v>10100</v>
      </c>
      <c r="F3656">
        <v>192251.67</v>
      </c>
      <c r="G3656">
        <v>0</v>
      </c>
      <c r="H3656">
        <v>0</v>
      </c>
      <c r="I3656">
        <v>0</v>
      </c>
      <c r="J3656">
        <v>0</v>
      </c>
      <c r="K3656">
        <v>0</v>
      </c>
      <c r="L3656">
        <v>30500000</v>
      </c>
      <c r="M3656">
        <v>30500000</v>
      </c>
      <c r="N3656">
        <v>30500000</v>
      </c>
      <c r="O3656">
        <v>30500000</v>
      </c>
      <c r="P3656">
        <v>30500000</v>
      </c>
      <c r="Q3656">
        <v>30500000</v>
      </c>
      <c r="R3656" s="14">
        <f>_xlfn.XLOOKUP(Table2[[#This Row],[LoanID]],Table1[G-L ID],Table1[ManagerCode],-99)</f>
        <v>220</v>
      </c>
      <c r="T3656"/>
    </row>
    <row r="3657" spans="1:20" x14ac:dyDescent="0.25">
      <c r="A3657">
        <v>20150630</v>
      </c>
      <c r="B3657">
        <v>2015</v>
      </c>
      <c r="C3657">
        <v>6</v>
      </c>
      <c r="D3657">
        <v>1</v>
      </c>
      <c r="E3657">
        <v>10120</v>
      </c>
      <c r="F3657">
        <v>30000</v>
      </c>
      <c r="G3657">
        <v>32736.98</v>
      </c>
      <c r="H3657">
        <v>0</v>
      </c>
      <c r="I3657">
        <v>0</v>
      </c>
      <c r="J3657">
        <v>-30000</v>
      </c>
      <c r="K3657">
        <v>0</v>
      </c>
      <c r="L3657">
        <v>6032500</v>
      </c>
      <c r="M3657">
        <v>6095236.9800000004</v>
      </c>
      <c r="N3657">
        <v>6032500</v>
      </c>
      <c r="O3657">
        <v>6095236.9800000004</v>
      </c>
      <c r="P3657">
        <v>6032500</v>
      </c>
      <c r="Q3657">
        <v>6095236.9800000004</v>
      </c>
      <c r="R3657" s="14">
        <f>_xlfn.XLOOKUP(Table2[[#This Row],[LoanID]],Table1[G-L ID],Table1[ManagerCode],-99)</f>
        <v>183</v>
      </c>
      <c r="T3657"/>
    </row>
    <row r="3658" spans="1:20" x14ac:dyDescent="0.25">
      <c r="A3658">
        <v>20150630</v>
      </c>
      <c r="B3658">
        <v>2015</v>
      </c>
      <c r="C3658">
        <v>6</v>
      </c>
      <c r="D3658">
        <v>1</v>
      </c>
      <c r="E3658">
        <v>10160</v>
      </c>
      <c r="F3658">
        <v>111198.21</v>
      </c>
      <c r="G3658">
        <v>0</v>
      </c>
      <c r="H3658">
        <v>0</v>
      </c>
      <c r="I3658">
        <v>0</v>
      </c>
      <c r="J3658">
        <v>0</v>
      </c>
      <c r="K3658">
        <v>0</v>
      </c>
      <c r="L3658">
        <v>14051513.300000001</v>
      </c>
      <c r="M3658">
        <v>14051513.300000001</v>
      </c>
      <c r="N3658">
        <v>14051513.300000001</v>
      </c>
      <c r="O3658">
        <v>14051513.300000001</v>
      </c>
      <c r="P3658">
        <v>14051513.300000001</v>
      </c>
      <c r="Q3658">
        <v>14051513.300000001</v>
      </c>
      <c r="R3658" s="14">
        <f>_xlfn.XLOOKUP(Table2[[#This Row],[LoanID]],Table1[G-L ID],Table1[ManagerCode],-99)</f>
        <v>119</v>
      </c>
      <c r="T3658"/>
    </row>
    <row r="3659" spans="1:20" x14ac:dyDescent="0.25">
      <c r="A3659">
        <v>20150630</v>
      </c>
      <c r="B3659">
        <v>2015</v>
      </c>
      <c r="C3659">
        <v>6</v>
      </c>
      <c r="D3659">
        <v>1</v>
      </c>
      <c r="E3659">
        <v>10220</v>
      </c>
      <c r="F3659">
        <v>559722.22</v>
      </c>
      <c r="G3659">
        <v>0</v>
      </c>
      <c r="H3659">
        <v>0</v>
      </c>
      <c r="I3659">
        <v>0</v>
      </c>
      <c r="J3659">
        <v>0</v>
      </c>
      <c r="K3659">
        <v>0</v>
      </c>
      <c r="L3659">
        <v>116613685.40000001</v>
      </c>
      <c r="M3659">
        <v>115221415.2</v>
      </c>
      <c r="N3659">
        <v>116613685.40000001</v>
      </c>
      <c r="O3659">
        <v>115221415.2</v>
      </c>
      <c r="P3659">
        <v>100000000</v>
      </c>
      <c r="Q3659">
        <v>100000000</v>
      </c>
      <c r="R3659" s="14">
        <f>_xlfn.XLOOKUP(Table2[[#This Row],[LoanID]],Table1[G-L ID],Table1[ManagerCode],-99)</f>
        <v>103</v>
      </c>
      <c r="T3659"/>
    </row>
    <row r="3660" spans="1:20" x14ac:dyDescent="0.25">
      <c r="A3660">
        <v>20150630</v>
      </c>
      <c r="B3660">
        <v>2015</v>
      </c>
      <c r="C3660">
        <v>6</v>
      </c>
      <c r="D3660">
        <v>1</v>
      </c>
      <c r="E3660">
        <v>10240</v>
      </c>
      <c r="F3660">
        <v>73628.83</v>
      </c>
      <c r="G3660">
        <v>0</v>
      </c>
      <c r="H3660">
        <v>0</v>
      </c>
      <c r="I3660">
        <v>0</v>
      </c>
      <c r="J3660">
        <v>0</v>
      </c>
      <c r="K3660">
        <v>0</v>
      </c>
      <c r="L3660">
        <v>10445205</v>
      </c>
      <c r="M3660">
        <v>10445205</v>
      </c>
      <c r="N3660">
        <v>10445205</v>
      </c>
      <c r="O3660">
        <v>10445205</v>
      </c>
      <c r="P3660">
        <v>10445205</v>
      </c>
      <c r="Q3660">
        <v>10445205</v>
      </c>
      <c r="R3660" s="14">
        <f>_xlfn.XLOOKUP(Table2[[#This Row],[LoanID]],Table1[G-L ID],Table1[ManagerCode],-99)</f>
        <v>220</v>
      </c>
      <c r="T3660"/>
    </row>
    <row r="3661" spans="1:20" x14ac:dyDescent="0.25">
      <c r="A3661">
        <v>20150630</v>
      </c>
      <c r="B3661">
        <v>2015</v>
      </c>
      <c r="C3661">
        <v>6</v>
      </c>
      <c r="D3661">
        <v>1</v>
      </c>
      <c r="E3661">
        <v>10250</v>
      </c>
      <c r="F3661">
        <v>89375</v>
      </c>
      <c r="G3661">
        <v>0</v>
      </c>
      <c r="H3661">
        <v>-130000</v>
      </c>
      <c r="I3661">
        <v>0</v>
      </c>
      <c r="J3661">
        <v>13000000</v>
      </c>
      <c r="K3661">
        <v>0</v>
      </c>
      <c r="L3661">
        <v>18000000</v>
      </c>
      <c r="M3661">
        <v>5000000</v>
      </c>
      <c r="N3661">
        <v>18000000</v>
      </c>
      <c r="O3661">
        <v>5000000</v>
      </c>
      <c r="P3661">
        <v>18000000</v>
      </c>
      <c r="Q3661">
        <v>5000000</v>
      </c>
      <c r="R3661" s="14">
        <f>_xlfn.XLOOKUP(Table2[[#This Row],[LoanID]],Table1[G-L ID],Table1[ManagerCode],-99)</f>
        <v>119</v>
      </c>
      <c r="T3661"/>
    </row>
    <row r="3662" spans="1:20" x14ac:dyDescent="0.25">
      <c r="A3662">
        <v>20150630</v>
      </c>
      <c r="B3662">
        <v>2015</v>
      </c>
      <c r="C3662">
        <v>6</v>
      </c>
      <c r="D3662">
        <v>1</v>
      </c>
      <c r="E3662">
        <v>10260</v>
      </c>
      <c r="F3662">
        <v>99719.9</v>
      </c>
      <c r="G3662">
        <v>0</v>
      </c>
      <c r="H3662">
        <v>0</v>
      </c>
      <c r="I3662">
        <v>0</v>
      </c>
      <c r="J3662">
        <v>0</v>
      </c>
      <c r="K3662">
        <v>0</v>
      </c>
      <c r="L3662">
        <v>15000000</v>
      </c>
      <c r="M3662">
        <v>15000000</v>
      </c>
      <c r="N3662">
        <v>15000000</v>
      </c>
      <c r="O3662">
        <v>15000000</v>
      </c>
      <c r="P3662">
        <v>15000000</v>
      </c>
      <c r="Q3662">
        <v>15000000</v>
      </c>
      <c r="R3662" s="14">
        <f>_xlfn.XLOOKUP(Table2[[#This Row],[LoanID]],Table1[G-L ID],Table1[ManagerCode],-99)</f>
        <v>220</v>
      </c>
      <c r="T3662"/>
    </row>
    <row r="3663" spans="1:20" x14ac:dyDescent="0.25">
      <c r="A3663">
        <v>20150630</v>
      </c>
      <c r="B3663">
        <v>2015</v>
      </c>
      <c r="C3663">
        <v>6</v>
      </c>
      <c r="D3663">
        <v>1</v>
      </c>
      <c r="E3663">
        <v>10270</v>
      </c>
      <c r="F3663">
        <v>15224.4</v>
      </c>
      <c r="G3663">
        <v>0</v>
      </c>
      <c r="H3663">
        <v>0</v>
      </c>
      <c r="I3663">
        <v>0</v>
      </c>
      <c r="J3663">
        <v>-3540000</v>
      </c>
      <c r="K3663">
        <v>0</v>
      </c>
      <c r="L3663">
        <v>1860000</v>
      </c>
      <c r="M3663">
        <v>5400000</v>
      </c>
      <c r="N3663">
        <v>1860000</v>
      </c>
      <c r="O3663">
        <v>5400000</v>
      </c>
      <c r="P3663">
        <v>1860000</v>
      </c>
      <c r="Q3663">
        <v>5400000</v>
      </c>
      <c r="R3663" s="14">
        <f>_xlfn.XLOOKUP(Table2[[#This Row],[LoanID]],Table1[G-L ID],Table1[ManagerCode],-99)</f>
        <v>119</v>
      </c>
      <c r="T3663"/>
    </row>
    <row r="3664" spans="1:20" x14ac:dyDescent="0.25">
      <c r="A3664">
        <v>20150630</v>
      </c>
      <c r="B3664">
        <v>2015</v>
      </c>
      <c r="C3664">
        <v>6</v>
      </c>
      <c r="D3664">
        <v>1</v>
      </c>
      <c r="E3664">
        <v>10340</v>
      </c>
      <c r="F3664">
        <v>110572.35</v>
      </c>
      <c r="G3664">
        <v>0</v>
      </c>
      <c r="H3664">
        <v>0</v>
      </c>
      <c r="I3664">
        <v>0</v>
      </c>
      <c r="J3664">
        <v>0</v>
      </c>
      <c r="K3664">
        <v>0</v>
      </c>
      <c r="L3664">
        <v>12527473</v>
      </c>
      <c r="M3664">
        <v>12527473</v>
      </c>
      <c r="N3664">
        <v>12527473</v>
      </c>
      <c r="O3664">
        <v>12527473</v>
      </c>
      <c r="P3664">
        <v>12527473</v>
      </c>
      <c r="Q3664">
        <v>12527473</v>
      </c>
      <c r="R3664" s="14">
        <f>_xlfn.XLOOKUP(Table2[[#This Row],[LoanID]],Table1[G-L ID],Table1[ManagerCode],-99)</f>
        <v>220</v>
      </c>
      <c r="T3664"/>
    </row>
    <row r="3665" spans="1:20" x14ac:dyDescent="0.25">
      <c r="A3665">
        <v>20150630</v>
      </c>
      <c r="B3665">
        <v>2015</v>
      </c>
      <c r="C3665">
        <v>6</v>
      </c>
      <c r="D3665">
        <v>1</v>
      </c>
      <c r="E3665">
        <v>10350</v>
      </c>
      <c r="F3665">
        <v>186861.11</v>
      </c>
      <c r="G3665">
        <v>0</v>
      </c>
      <c r="H3665">
        <v>0</v>
      </c>
      <c r="I3665">
        <v>0</v>
      </c>
      <c r="J3665">
        <v>0</v>
      </c>
      <c r="K3665">
        <v>0</v>
      </c>
      <c r="L3665">
        <v>24800000</v>
      </c>
      <c r="M3665">
        <v>24800000</v>
      </c>
      <c r="N3665">
        <v>24800000</v>
      </c>
      <c r="O3665">
        <v>24800000</v>
      </c>
      <c r="P3665">
        <v>24800000</v>
      </c>
      <c r="Q3665">
        <v>24800000</v>
      </c>
      <c r="R3665" s="14">
        <f>_xlfn.XLOOKUP(Table2[[#This Row],[LoanID]],Table1[G-L ID],Table1[ManagerCode],-99)</f>
        <v>220</v>
      </c>
      <c r="T3665"/>
    </row>
    <row r="3666" spans="1:20" x14ac:dyDescent="0.25">
      <c r="A3666">
        <v>20150630</v>
      </c>
      <c r="B3666">
        <v>2015</v>
      </c>
      <c r="C3666">
        <v>6</v>
      </c>
      <c r="D3666">
        <v>1</v>
      </c>
      <c r="E3666">
        <v>10430</v>
      </c>
      <c r="F3666">
        <v>90573.45</v>
      </c>
      <c r="G3666">
        <v>0</v>
      </c>
      <c r="H3666">
        <v>0</v>
      </c>
      <c r="I3666">
        <v>0</v>
      </c>
      <c r="J3666">
        <v>0</v>
      </c>
      <c r="K3666">
        <v>23400</v>
      </c>
      <c r="L3666">
        <v>10859600</v>
      </c>
      <c r="M3666">
        <v>10836200</v>
      </c>
      <c r="N3666">
        <v>10859600</v>
      </c>
      <c r="O3666">
        <v>10836200</v>
      </c>
      <c r="P3666">
        <v>10859600</v>
      </c>
      <c r="Q3666">
        <v>10836200</v>
      </c>
      <c r="R3666" s="14">
        <f>_xlfn.XLOOKUP(Table2[[#This Row],[LoanID]],Table1[G-L ID],Table1[ManagerCode],-99)</f>
        <v>119</v>
      </c>
      <c r="T3666"/>
    </row>
    <row r="3667" spans="1:20" x14ac:dyDescent="0.25">
      <c r="A3667">
        <v>20150630</v>
      </c>
      <c r="B3667">
        <v>2015</v>
      </c>
      <c r="C3667">
        <v>6</v>
      </c>
      <c r="D3667">
        <v>1</v>
      </c>
      <c r="E3667">
        <v>10460</v>
      </c>
      <c r="F3667">
        <v>0</v>
      </c>
      <c r="G3667">
        <v>0</v>
      </c>
      <c r="H3667">
        <v>0</v>
      </c>
      <c r="I3667">
        <v>0</v>
      </c>
      <c r="J3667">
        <v>0</v>
      </c>
      <c r="K3667">
        <v>0</v>
      </c>
      <c r="L3667">
        <v>59781245.130000003</v>
      </c>
      <c r="M3667">
        <v>59790405.420000002</v>
      </c>
      <c r="N3667">
        <v>59781245.130000003</v>
      </c>
      <c r="O3667">
        <v>59790405.420000002</v>
      </c>
      <c r="P3667">
        <v>60000000</v>
      </c>
      <c r="Q3667">
        <v>60000000</v>
      </c>
      <c r="R3667" s="14">
        <f>_xlfn.XLOOKUP(Table2[[#This Row],[LoanID]],Table1[G-L ID],Table1[ManagerCode],-99)</f>
        <v>103</v>
      </c>
      <c r="T3667"/>
    </row>
    <row r="3668" spans="1:20" x14ac:dyDescent="0.25">
      <c r="A3668">
        <v>20150630</v>
      </c>
      <c r="B3668">
        <v>2015</v>
      </c>
      <c r="C3668">
        <v>6</v>
      </c>
      <c r="D3668">
        <v>1</v>
      </c>
      <c r="E3668">
        <v>10470</v>
      </c>
      <c r="F3668">
        <v>0</v>
      </c>
      <c r="G3668">
        <v>0</v>
      </c>
      <c r="H3668">
        <v>0</v>
      </c>
      <c r="I3668">
        <v>0</v>
      </c>
      <c r="J3668">
        <v>0</v>
      </c>
      <c r="K3668">
        <v>0</v>
      </c>
      <c r="L3668">
        <v>25000000</v>
      </c>
      <c r="M3668">
        <v>25000000</v>
      </c>
      <c r="N3668">
        <v>25000000</v>
      </c>
      <c r="O3668">
        <v>25000000</v>
      </c>
      <c r="P3668">
        <v>25000000</v>
      </c>
      <c r="Q3668">
        <v>25000000</v>
      </c>
      <c r="R3668" s="14">
        <f>_xlfn.XLOOKUP(Table2[[#This Row],[LoanID]],Table1[G-L ID],Table1[ManagerCode],-99)</f>
        <v>103</v>
      </c>
      <c r="T3668"/>
    </row>
    <row r="3669" spans="1:20" x14ac:dyDescent="0.25">
      <c r="A3669">
        <v>20150630</v>
      </c>
      <c r="B3669">
        <v>2015</v>
      </c>
      <c r="C3669">
        <v>6</v>
      </c>
      <c r="D3669">
        <v>1</v>
      </c>
      <c r="E3669">
        <v>10480</v>
      </c>
      <c r="F3669">
        <v>156442.29999999999</v>
      </c>
      <c r="G3669">
        <v>0</v>
      </c>
      <c r="H3669">
        <v>0</v>
      </c>
      <c r="I3669">
        <v>0</v>
      </c>
      <c r="J3669">
        <v>0</v>
      </c>
      <c r="K3669">
        <v>0</v>
      </c>
      <c r="L3669">
        <v>21350000</v>
      </c>
      <c r="M3669">
        <v>21350000</v>
      </c>
      <c r="N3669">
        <v>21350000</v>
      </c>
      <c r="O3669">
        <v>21350000</v>
      </c>
      <c r="P3669">
        <v>21350000</v>
      </c>
      <c r="Q3669">
        <v>21350000</v>
      </c>
      <c r="R3669" s="14">
        <f>_xlfn.XLOOKUP(Table2[[#This Row],[LoanID]],Table1[G-L ID],Table1[ManagerCode],-99)</f>
        <v>119</v>
      </c>
      <c r="T3669"/>
    </row>
    <row r="3670" spans="1:20" x14ac:dyDescent="0.25">
      <c r="A3670">
        <v>20150630</v>
      </c>
      <c r="B3670">
        <v>2015</v>
      </c>
      <c r="C3670">
        <v>6</v>
      </c>
      <c r="D3670">
        <v>1</v>
      </c>
      <c r="E3670">
        <v>10570</v>
      </c>
      <c r="F3670">
        <v>799223.72</v>
      </c>
      <c r="G3670">
        <v>0</v>
      </c>
      <c r="H3670">
        <v>0</v>
      </c>
      <c r="I3670">
        <v>0</v>
      </c>
      <c r="J3670">
        <v>0</v>
      </c>
      <c r="K3670">
        <v>0</v>
      </c>
      <c r="L3670">
        <v>156332571.40000001</v>
      </c>
      <c r="M3670">
        <v>156344418.40000001</v>
      </c>
      <c r="N3670">
        <v>156332571.40000001</v>
      </c>
      <c r="O3670">
        <v>156344418.40000001</v>
      </c>
      <c r="P3670">
        <v>156356260.69999999</v>
      </c>
      <c r="Q3670">
        <v>156356260.69999999</v>
      </c>
      <c r="R3670" s="14">
        <f>_xlfn.XLOOKUP(Table2[[#This Row],[LoanID]],Table1[G-L ID],Table1[ManagerCode],-99)</f>
        <v>103</v>
      </c>
      <c r="T3670"/>
    </row>
    <row r="3671" spans="1:20" x14ac:dyDescent="0.25">
      <c r="A3671">
        <v>20150630</v>
      </c>
      <c r="B3671">
        <v>2015</v>
      </c>
      <c r="C3671">
        <v>6</v>
      </c>
      <c r="D3671">
        <v>1</v>
      </c>
      <c r="E3671">
        <v>10591</v>
      </c>
      <c r="F3671">
        <v>218314.74</v>
      </c>
      <c r="G3671">
        <v>0</v>
      </c>
      <c r="H3671">
        <v>0</v>
      </c>
      <c r="I3671">
        <v>0</v>
      </c>
      <c r="J3671">
        <v>0</v>
      </c>
      <c r="K3671">
        <v>171859.56</v>
      </c>
      <c r="L3671">
        <v>24878882.539999999</v>
      </c>
      <c r="M3671">
        <v>24707022.98</v>
      </c>
      <c r="N3671">
        <v>24878882.539999999</v>
      </c>
      <c r="O3671">
        <v>24707022.98</v>
      </c>
      <c r="P3671">
        <v>24878882.539999999</v>
      </c>
      <c r="Q3671">
        <v>24707022.98</v>
      </c>
      <c r="R3671" s="14">
        <f>_xlfn.XLOOKUP(Table2[[#This Row],[LoanID]],Table1[G-L ID],Table1[ManagerCode],-99)</f>
        <v>220</v>
      </c>
      <c r="T3671"/>
    </row>
    <row r="3672" spans="1:20" x14ac:dyDescent="0.25">
      <c r="A3672">
        <v>20150630</v>
      </c>
      <c r="B3672">
        <v>2015</v>
      </c>
      <c r="C3672">
        <v>6</v>
      </c>
      <c r="D3672">
        <v>1</v>
      </c>
      <c r="E3672">
        <v>10592</v>
      </c>
      <c r="F3672">
        <v>362145.03</v>
      </c>
      <c r="G3672">
        <v>0</v>
      </c>
      <c r="H3672">
        <v>0</v>
      </c>
      <c r="I3672">
        <v>0</v>
      </c>
      <c r="J3672">
        <v>0</v>
      </c>
      <c r="K3672">
        <v>253697.44</v>
      </c>
      <c r="L3672">
        <v>36926130.990000002</v>
      </c>
      <c r="M3672">
        <v>36671050.859999999</v>
      </c>
      <c r="N3672">
        <v>36926130.990000002</v>
      </c>
      <c r="O3672">
        <v>36671050.859999999</v>
      </c>
      <c r="P3672">
        <v>36725969.460000001</v>
      </c>
      <c r="Q3672">
        <v>36472272.020000003</v>
      </c>
      <c r="R3672" s="14">
        <f>_xlfn.XLOOKUP(Table2[[#This Row],[LoanID]],Table1[G-L ID],Table1[ManagerCode],-99)</f>
        <v>220</v>
      </c>
      <c r="T3672"/>
    </row>
    <row r="3673" spans="1:20" x14ac:dyDescent="0.25">
      <c r="A3673">
        <v>20150630</v>
      </c>
      <c r="B3673">
        <v>2015</v>
      </c>
      <c r="C3673">
        <v>6</v>
      </c>
      <c r="D3673">
        <v>1</v>
      </c>
      <c r="E3673">
        <v>10640</v>
      </c>
      <c r="F3673">
        <v>95195.03</v>
      </c>
      <c r="G3673">
        <v>0</v>
      </c>
      <c r="H3673">
        <v>10492</v>
      </c>
      <c r="I3673">
        <v>0</v>
      </c>
      <c r="J3673">
        <v>0</v>
      </c>
      <c r="K3673">
        <v>0</v>
      </c>
      <c r="L3673">
        <v>11164281.33</v>
      </c>
      <c r="M3673">
        <v>11164281.33</v>
      </c>
      <c r="N3673">
        <v>11164281.33</v>
      </c>
      <c r="O3673">
        <v>11164281.33</v>
      </c>
      <c r="P3673">
        <v>11070849</v>
      </c>
      <c r="Q3673">
        <v>11070849</v>
      </c>
      <c r="R3673" s="14">
        <f>_xlfn.XLOOKUP(Table2[[#This Row],[LoanID]],Table1[G-L ID],Table1[ManagerCode],-99)</f>
        <v>220</v>
      </c>
      <c r="T3673"/>
    </row>
    <row r="3674" spans="1:20" x14ac:dyDescent="0.25">
      <c r="A3674">
        <v>20150630</v>
      </c>
      <c r="B3674">
        <v>2015</v>
      </c>
      <c r="C3674">
        <v>6</v>
      </c>
      <c r="D3674">
        <v>1</v>
      </c>
      <c r="E3674">
        <v>10680</v>
      </c>
      <c r="F3674">
        <v>58112.11</v>
      </c>
      <c r="G3674">
        <v>0</v>
      </c>
      <c r="H3674">
        <v>0</v>
      </c>
      <c r="I3674">
        <v>0</v>
      </c>
      <c r="J3674">
        <v>0</v>
      </c>
      <c r="K3674">
        <v>0</v>
      </c>
      <c r="L3674">
        <v>6964400</v>
      </c>
      <c r="M3674">
        <v>6964400</v>
      </c>
      <c r="N3674">
        <v>6964400</v>
      </c>
      <c r="O3674">
        <v>6964400</v>
      </c>
      <c r="P3674">
        <v>6964400</v>
      </c>
      <c r="Q3674">
        <v>6964400</v>
      </c>
      <c r="R3674" s="14">
        <f>_xlfn.XLOOKUP(Table2[[#This Row],[LoanID]],Table1[G-L ID],Table1[ManagerCode],-99)</f>
        <v>119</v>
      </c>
      <c r="T3674"/>
    </row>
    <row r="3675" spans="1:20" x14ac:dyDescent="0.25">
      <c r="A3675">
        <v>20150630</v>
      </c>
      <c r="B3675">
        <v>2015</v>
      </c>
      <c r="C3675">
        <v>6</v>
      </c>
      <c r="D3675">
        <v>1</v>
      </c>
      <c r="E3675">
        <v>10720</v>
      </c>
      <c r="F3675">
        <v>125000</v>
      </c>
      <c r="G3675">
        <v>76288.97</v>
      </c>
      <c r="H3675">
        <v>0</v>
      </c>
      <c r="I3675">
        <v>0</v>
      </c>
      <c r="J3675">
        <v>0</v>
      </c>
      <c r="K3675">
        <v>0</v>
      </c>
      <c r="L3675">
        <v>16590823.289999999</v>
      </c>
      <c r="M3675">
        <v>16672042.789999999</v>
      </c>
      <c r="N3675">
        <v>16590823.289999999</v>
      </c>
      <c r="O3675">
        <v>16672042.789999999</v>
      </c>
      <c r="P3675">
        <v>15583662.050000001</v>
      </c>
      <c r="Q3675">
        <v>15659951.02</v>
      </c>
      <c r="R3675" s="14">
        <f>_xlfn.XLOOKUP(Table2[[#This Row],[LoanID]],Table1[G-L ID],Table1[ManagerCode],-99)</f>
        <v>220</v>
      </c>
      <c r="T3675"/>
    </row>
    <row r="3676" spans="1:20" x14ac:dyDescent="0.25">
      <c r="A3676">
        <v>20150630</v>
      </c>
      <c r="B3676">
        <v>2015</v>
      </c>
      <c r="C3676">
        <v>6</v>
      </c>
      <c r="D3676">
        <v>1</v>
      </c>
      <c r="E3676">
        <v>10740</v>
      </c>
      <c r="F3676">
        <v>3607205.9</v>
      </c>
      <c r="G3676">
        <v>0</v>
      </c>
      <c r="H3676">
        <v>0</v>
      </c>
      <c r="I3676">
        <v>0</v>
      </c>
      <c r="J3676">
        <v>0</v>
      </c>
      <c r="K3676">
        <v>0</v>
      </c>
      <c r="L3676">
        <v>451142082.60000002</v>
      </c>
      <c r="M3676">
        <v>448674895.10000002</v>
      </c>
      <c r="N3676">
        <v>451142082.60000002</v>
      </c>
      <c r="O3676">
        <v>448674895.10000002</v>
      </c>
      <c r="P3676">
        <v>461801475</v>
      </c>
      <c r="Q3676">
        <v>461801475</v>
      </c>
      <c r="R3676" s="14">
        <f>_xlfn.XLOOKUP(Table2[[#This Row],[LoanID]],Table1[G-L ID],Table1[ManagerCode],-99)</f>
        <v>103</v>
      </c>
      <c r="T3676"/>
    </row>
    <row r="3677" spans="1:20" x14ac:dyDescent="0.25">
      <c r="A3677">
        <v>20150630</v>
      </c>
      <c r="B3677">
        <v>2015</v>
      </c>
      <c r="C3677">
        <v>6</v>
      </c>
      <c r="D3677">
        <v>1</v>
      </c>
      <c r="E3677">
        <v>10750</v>
      </c>
      <c r="F3677">
        <v>70412.37</v>
      </c>
      <c r="G3677">
        <v>0</v>
      </c>
      <c r="H3677">
        <v>0</v>
      </c>
      <c r="I3677">
        <v>0</v>
      </c>
      <c r="J3677">
        <v>0</v>
      </c>
      <c r="K3677">
        <v>0</v>
      </c>
      <c r="L3677">
        <v>8750000</v>
      </c>
      <c r="M3677">
        <v>8750000</v>
      </c>
      <c r="N3677">
        <v>8750000</v>
      </c>
      <c r="O3677">
        <v>8750000</v>
      </c>
      <c r="P3677">
        <v>8750000</v>
      </c>
      <c r="Q3677">
        <v>8750000</v>
      </c>
      <c r="R3677" s="14">
        <f>_xlfn.XLOOKUP(Table2[[#This Row],[LoanID]],Table1[G-L ID],Table1[ManagerCode],-99)</f>
        <v>119</v>
      </c>
      <c r="T3677"/>
    </row>
    <row r="3678" spans="1:20" x14ac:dyDescent="0.25">
      <c r="A3678">
        <v>20150630</v>
      </c>
      <c r="B3678">
        <v>2015</v>
      </c>
      <c r="C3678">
        <v>6</v>
      </c>
      <c r="D3678">
        <v>1</v>
      </c>
      <c r="E3678">
        <v>10780</v>
      </c>
      <c r="F3678">
        <v>312366.33</v>
      </c>
      <c r="G3678">
        <v>0</v>
      </c>
      <c r="H3678">
        <v>0</v>
      </c>
      <c r="I3678">
        <v>0</v>
      </c>
      <c r="J3678">
        <v>0</v>
      </c>
      <c r="K3678">
        <v>0</v>
      </c>
      <c r="L3678">
        <v>43000000</v>
      </c>
      <c r="M3678">
        <v>43000000</v>
      </c>
      <c r="N3678">
        <v>43000000</v>
      </c>
      <c r="O3678">
        <v>43000000</v>
      </c>
      <c r="P3678">
        <v>43000000</v>
      </c>
      <c r="Q3678">
        <v>43000000</v>
      </c>
      <c r="R3678" s="14">
        <f>_xlfn.XLOOKUP(Table2[[#This Row],[LoanID]],Table1[G-L ID],Table1[ManagerCode],-99)</f>
        <v>220</v>
      </c>
      <c r="T3678"/>
    </row>
    <row r="3679" spans="1:20" x14ac:dyDescent="0.25">
      <c r="A3679">
        <v>20150630</v>
      </c>
      <c r="B3679">
        <v>2015</v>
      </c>
      <c r="C3679">
        <v>6</v>
      </c>
      <c r="D3679">
        <v>1</v>
      </c>
      <c r="E3679">
        <v>10800</v>
      </c>
      <c r="F3679">
        <v>216858.78</v>
      </c>
      <c r="G3679">
        <v>0</v>
      </c>
      <c r="H3679">
        <v>0</v>
      </c>
      <c r="I3679">
        <v>0</v>
      </c>
      <c r="J3679">
        <v>0</v>
      </c>
      <c r="K3679">
        <v>0</v>
      </c>
      <c r="L3679">
        <v>26000000</v>
      </c>
      <c r="M3679">
        <v>26000000</v>
      </c>
      <c r="N3679">
        <v>26000000</v>
      </c>
      <c r="O3679">
        <v>26000000</v>
      </c>
      <c r="P3679">
        <v>26000000</v>
      </c>
      <c r="Q3679">
        <v>26000000</v>
      </c>
      <c r="R3679" s="14">
        <f>_xlfn.XLOOKUP(Table2[[#This Row],[LoanID]],Table1[G-L ID],Table1[ManagerCode],-99)</f>
        <v>220</v>
      </c>
      <c r="T3679"/>
    </row>
    <row r="3680" spans="1:20" x14ac:dyDescent="0.25">
      <c r="A3680">
        <v>20150630</v>
      </c>
      <c r="B3680">
        <v>2015</v>
      </c>
      <c r="C3680">
        <v>6</v>
      </c>
      <c r="D3680">
        <v>1</v>
      </c>
      <c r="E3680">
        <v>10820</v>
      </c>
      <c r="F3680">
        <v>185688.87</v>
      </c>
      <c r="G3680">
        <v>0</v>
      </c>
      <c r="H3680">
        <v>0</v>
      </c>
      <c r="I3680">
        <v>0</v>
      </c>
      <c r="J3680">
        <v>0</v>
      </c>
      <c r="K3680">
        <v>0</v>
      </c>
      <c r="L3680">
        <v>22993894.27</v>
      </c>
      <c r="M3680">
        <v>22993894.27</v>
      </c>
      <c r="N3680">
        <v>22993894.27</v>
      </c>
      <c r="O3680">
        <v>22993894.27</v>
      </c>
      <c r="P3680">
        <v>22698809.739999998</v>
      </c>
      <c r="Q3680">
        <v>22698809.739999998</v>
      </c>
      <c r="R3680" s="14">
        <f>_xlfn.XLOOKUP(Table2[[#This Row],[LoanID]],Table1[G-L ID],Table1[ManagerCode],-99)</f>
        <v>220</v>
      </c>
      <c r="T3680"/>
    </row>
    <row r="3681" spans="1:20" x14ac:dyDescent="0.25">
      <c r="A3681">
        <v>20150630</v>
      </c>
      <c r="B3681">
        <v>2015</v>
      </c>
      <c r="C3681">
        <v>6</v>
      </c>
      <c r="D3681">
        <v>1</v>
      </c>
      <c r="E3681">
        <v>10830</v>
      </c>
      <c r="F3681">
        <v>60582.65</v>
      </c>
      <c r="G3681">
        <v>0</v>
      </c>
      <c r="H3681">
        <v>0</v>
      </c>
      <c r="I3681">
        <v>0</v>
      </c>
      <c r="J3681">
        <v>-277554.59999999998</v>
      </c>
      <c r="K3681">
        <v>0</v>
      </c>
      <c r="L3681">
        <v>7501962.4900000002</v>
      </c>
      <c r="M3681">
        <v>7783125.2999999998</v>
      </c>
      <c r="N3681">
        <v>7501962.4900000002</v>
      </c>
      <c r="O3681">
        <v>7783125.2999999998</v>
      </c>
      <c r="P3681">
        <v>7405688.54</v>
      </c>
      <c r="Q3681">
        <v>7683243.1399999997</v>
      </c>
      <c r="R3681" s="14">
        <f>_xlfn.XLOOKUP(Table2[[#This Row],[LoanID]],Table1[G-L ID],Table1[ManagerCode],-99)</f>
        <v>220</v>
      </c>
      <c r="T3681"/>
    </row>
    <row r="3682" spans="1:20" x14ac:dyDescent="0.25">
      <c r="A3682">
        <v>20150630</v>
      </c>
      <c r="B3682">
        <v>2015</v>
      </c>
      <c r="C3682">
        <v>6</v>
      </c>
      <c r="D3682">
        <v>1</v>
      </c>
      <c r="E3682">
        <v>10840</v>
      </c>
      <c r="F3682">
        <v>103968.23</v>
      </c>
      <c r="G3682">
        <v>0</v>
      </c>
      <c r="H3682">
        <v>0</v>
      </c>
      <c r="I3682">
        <v>0</v>
      </c>
      <c r="J3682">
        <v>0</v>
      </c>
      <c r="K3682">
        <v>0</v>
      </c>
      <c r="L3682">
        <v>12874408.460000001</v>
      </c>
      <c r="M3682">
        <v>12874408.460000001</v>
      </c>
      <c r="N3682">
        <v>12874408.460000001</v>
      </c>
      <c r="O3682">
        <v>12874408.460000001</v>
      </c>
      <c r="P3682">
        <v>12709189</v>
      </c>
      <c r="Q3682">
        <v>12709189</v>
      </c>
      <c r="R3682" s="14">
        <f>_xlfn.XLOOKUP(Table2[[#This Row],[LoanID]],Table1[G-L ID],Table1[ManagerCode],-99)</f>
        <v>220</v>
      </c>
      <c r="T3682"/>
    </row>
    <row r="3683" spans="1:20" x14ac:dyDescent="0.25">
      <c r="A3683">
        <v>20150630</v>
      </c>
      <c r="B3683">
        <v>2015</v>
      </c>
      <c r="C3683">
        <v>6</v>
      </c>
      <c r="D3683">
        <v>1</v>
      </c>
      <c r="E3683">
        <v>10850</v>
      </c>
      <c r="F3683">
        <v>110534.78</v>
      </c>
      <c r="G3683">
        <v>0</v>
      </c>
      <c r="H3683">
        <v>0</v>
      </c>
      <c r="I3683">
        <v>0</v>
      </c>
      <c r="J3683">
        <v>0</v>
      </c>
      <c r="K3683">
        <v>0</v>
      </c>
      <c r="L3683">
        <v>13687546.6</v>
      </c>
      <c r="M3683">
        <v>13687546.6</v>
      </c>
      <c r="N3683">
        <v>13687546.6</v>
      </c>
      <c r="O3683">
        <v>13687546.6</v>
      </c>
      <c r="P3683">
        <v>13511892</v>
      </c>
      <c r="Q3683">
        <v>13511892</v>
      </c>
      <c r="R3683" s="14">
        <f>_xlfn.XLOOKUP(Table2[[#This Row],[LoanID]],Table1[G-L ID],Table1[ManagerCode],-99)</f>
        <v>220</v>
      </c>
      <c r="T3683"/>
    </row>
    <row r="3684" spans="1:20" x14ac:dyDescent="0.25">
      <c r="A3684">
        <v>20150630</v>
      </c>
      <c r="B3684">
        <v>2015</v>
      </c>
      <c r="C3684">
        <v>6</v>
      </c>
      <c r="D3684">
        <v>1</v>
      </c>
      <c r="E3684">
        <v>10860</v>
      </c>
      <c r="F3684">
        <v>118026.48</v>
      </c>
      <c r="G3684">
        <v>0</v>
      </c>
      <c r="H3684">
        <v>0</v>
      </c>
      <c r="I3684">
        <v>0</v>
      </c>
      <c r="J3684">
        <v>0</v>
      </c>
      <c r="K3684">
        <v>0</v>
      </c>
      <c r="L3684">
        <v>19475000</v>
      </c>
      <c r="M3684">
        <v>19475000</v>
      </c>
      <c r="N3684">
        <v>19475000</v>
      </c>
      <c r="O3684">
        <v>19475000</v>
      </c>
      <c r="P3684">
        <v>20500000</v>
      </c>
      <c r="Q3684">
        <v>20500000</v>
      </c>
      <c r="R3684" s="14">
        <f>_xlfn.XLOOKUP(Table2[[#This Row],[LoanID]],Table1[G-L ID],Table1[ManagerCode],-99)</f>
        <v>103</v>
      </c>
      <c r="T3684"/>
    </row>
    <row r="3685" spans="1:20" x14ac:dyDescent="0.25">
      <c r="A3685">
        <v>20150630</v>
      </c>
      <c r="B3685">
        <v>2015</v>
      </c>
      <c r="C3685">
        <v>6</v>
      </c>
      <c r="D3685">
        <v>1</v>
      </c>
      <c r="E3685">
        <v>10910</v>
      </c>
      <c r="F3685">
        <v>0</v>
      </c>
      <c r="G3685">
        <v>0</v>
      </c>
      <c r="H3685">
        <v>0</v>
      </c>
      <c r="I3685">
        <v>0</v>
      </c>
      <c r="J3685">
        <v>0</v>
      </c>
      <c r="K3685">
        <v>0</v>
      </c>
      <c r="L3685">
        <v>22500000</v>
      </c>
      <c r="M3685">
        <v>22500000</v>
      </c>
      <c r="N3685">
        <v>22500000</v>
      </c>
      <c r="O3685">
        <v>22500000</v>
      </c>
      <c r="P3685">
        <v>22500000</v>
      </c>
      <c r="Q3685">
        <v>22500000</v>
      </c>
      <c r="R3685" s="14">
        <f>_xlfn.XLOOKUP(Table2[[#This Row],[LoanID]],Table1[G-L ID],Table1[ManagerCode],-99)</f>
        <v>119</v>
      </c>
      <c r="T3685"/>
    </row>
    <row r="3686" spans="1:20" x14ac:dyDescent="0.25">
      <c r="A3686">
        <v>20150630</v>
      </c>
      <c r="B3686">
        <v>2015</v>
      </c>
      <c r="C3686">
        <v>6</v>
      </c>
      <c r="D3686">
        <v>1</v>
      </c>
      <c r="E3686">
        <v>10930</v>
      </c>
      <c r="F3686">
        <v>0</v>
      </c>
      <c r="G3686">
        <v>9808.74</v>
      </c>
      <c r="H3686">
        <v>0</v>
      </c>
      <c r="I3686">
        <v>0</v>
      </c>
      <c r="J3686">
        <v>-13769960</v>
      </c>
      <c r="K3686">
        <v>0</v>
      </c>
      <c r="L3686">
        <v>0</v>
      </c>
      <c r="M3686">
        <v>13779768.74</v>
      </c>
      <c r="N3686">
        <v>0</v>
      </c>
      <c r="O3686">
        <v>13779768.74</v>
      </c>
      <c r="P3686">
        <v>0</v>
      </c>
      <c r="Q3686">
        <v>13779768.74</v>
      </c>
      <c r="R3686" s="14">
        <f>_xlfn.XLOOKUP(Table2[[#This Row],[LoanID]],Table1[G-L ID],Table1[ManagerCode],-99)</f>
        <v>183</v>
      </c>
      <c r="T3686"/>
    </row>
    <row r="3687" spans="1:20" x14ac:dyDescent="0.25">
      <c r="A3687">
        <v>20150630</v>
      </c>
      <c r="B3687">
        <v>2015</v>
      </c>
      <c r="C3687">
        <v>6</v>
      </c>
      <c r="D3687">
        <v>1</v>
      </c>
      <c r="E3687">
        <v>10940</v>
      </c>
      <c r="F3687">
        <v>58288.71</v>
      </c>
      <c r="G3687">
        <v>78651.86</v>
      </c>
      <c r="H3687">
        <v>0</v>
      </c>
      <c r="I3687">
        <v>0</v>
      </c>
      <c r="J3687">
        <v>-58288.71</v>
      </c>
      <c r="K3687">
        <v>0</v>
      </c>
      <c r="L3687">
        <v>11780291.48</v>
      </c>
      <c r="M3687">
        <v>11917232.050000001</v>
      </c>
      <c r="N3687">
        <v>11780291.48</v>
      </c>
      <c r="O3687">
        <v>11917232.050000001</v>
      </c>
      <c r="P3687">
        <v>11780291.48</v>
      </c>
      <c r="Q3687">
        <v>11917232.050000001</v>
      </c>
      <c r="R3687" s="14">
        <f>_xlfn.XLOOKUP(Table2[[#This Row],[LoanID]],Table1[G-L ID],Table1[ManagerCode],-99)</f>
        <v>183</v>
      </c>
      <c r="T3687"/>
    </row>
    <row r="3688" spans="1:20" x14ac:dyDescent="0.25">
      <c r="A3688">
        <v>20150630</v>
      </c>
      <c r="B3688">
        <v>2015</v>
      </c>
      <c r="C3688">
        <v>6</v>
      </c>
      <c r="D3688">
        <v>1</v>
      </c>
      <c r="E3688">
        <v>10960</v>
      </c>
      <c r="F3688">
        <v>69740.88</v>
      </c>
      <c r="G3688">
        <v>0</v>
      </c>
      <c r="H3688">
        <v>0</v>
      </c>
      <c r="I3688">
        <v>0</v>
      </c>
      <c r="J3688">
        <v>0</v>
      </c>
      <c r="K3688">
        <v>0</v>
      </c>
      <c r="L3688">
        <v>6328375.2300000004</v>
      </c>
      <c r="M3688">
        <v>6328375.2300000004</v>
      </c>
      <c r="N3688">
        <v>6328375.2300000004</v>
      </c>
      <c r="O3688">
        <v>6328375.2300000004</v>
      </c>
      <c r="P3688">
        <v>6328375.2300000004</v>
      </c>
      <c r="Q3688">
        <v>6328375.2300000004</v>
      </c>
      <c r="R3688" s="14">
        <f>_xlfn.XLOOKUP(Table2[[#This Row],[LoanID]],Table1[G-L ID],Table1[ManagerCode],-99)</f>
        <v>119</v>
      </c>
      <c r="T3688"/>
    </row>
    <row r="3689" spans="1:20" x14ac:dyDescent="0.25">
      <c r="A3689">
        <v>20150630</v>
      </c>
      <c r="B3689">
        <v>2015</v>
      </c>
      <c r="C3689">
        <v>6</v>
      </c>
      <c r="D3689">
        <v>1</v>
      </c>
      <c r="E3689">
        <v>11010</v>
      </c>
      <c r="F3689">
        <v>209488.2</v>
      </c>
      <c r="G3689">
        <v>0</v>
      </c>
      <c r="H3689">
        <v>0</v>
      </c>
      <c r="I3689">
        <v>0</v>
      </c>
      <c r="J3689">
        <v>0</v>
      </c>
      <c r="K3689">
        <v>0</v>
      </c>
      <c r="L3689">
        <v>26500000</v>
      </c>
      <c r="M3689">
        <v>26500000</v>
      </c>
      <c r="N3689">
        <v>26500000</v>
      </c>
      <c r="O3689">
        <v>26500000</v>
      </c>
      <c r="P3689">
        <v>26500000</v>
      </c>
      <c r="Q3689">
        <v>26500000</v>
      </c>
      <c r="R3689" s="14">
        <f>_xlfn.XLOOKUP(Table2[[#This Row],[LoanID]],Table1[G-L ID],Table1[ManagerCode],-99)</f>
        <v>119</v>
      </c>
      <c r="T3689"/>
    </row>
    <row r="3690" spans="1:20" x14ac:dyDescent="0.25">
      <c r="A3690">
        <v>20150630</v>
      </c>
      <c r="B3690">
        <v>2015</v>
      </c>
      <c r="C3690">
        <v>6</v>
      </c>
      <c r="D3690">
        <v>1</v>
      </c>
      <c r="E3690">
        <v>11030</v>
      </c>
      <c r="F3690">
        <v>65308.39</v>
      </c>
      <c r="G3690">
        <v>0</v>
      </c>
      <c r="H3690">
        <v>0</v>
      </c>
      <c r="I3690">
        <v>0</v>
      </c>
      <c r="J3690">
        <v>0</v>
      </c>
      <c r="K3690">
        <v>0</v>
      </c>
      <c r="L3690">
        <v>8000000</v>
      </c>
      <c r="M3690">
        <v>8000000</v>
      </c>
      <c r="N3690">
        <v>8000000</v>
      </c>
      <c r="O3690">
        <v>8000000</v>
      </c>
      <c r="P3690">
        <v>8000000</v>
      </c>
      <c r="Q3690">
        <v>8000000</v>
      </c>
      <c r="R3690" s="14">
        <f>_xlfn.XLOOKUP(Table2[[#This Row],[LoanID]],Table1[G-L ID],Table1[ManagerCode],-99)</f>
        <v>119</v>
      </c>
      <c r="T3690"/>
    </row>
    <row r="3691" spans="1:20" x14ac:dyDescent="0.25">
      <c r="A3691">
        <v>20150630</v>
      </c>
      <c r="B3691">
        <v>2015</v>
      </c>
      <c r="C3691">
        <v>6</v>
      </c>
      <c r="D3691">
        <v>1</v>
      </c>
      <c r="E3691">
        <v>11040</v>
      </c>
      <c r="F3691">
        <v>524675</v>
      </c>
      <c r="G3691">
        <v>0</v>
      </c>
      <c r="H3691">
        <v>0</v>
      </c>
      <c r="I3691">
        <v>0</v>
      </c>
      <c r="J3691">
        <v>0</v>
      </c>
      <c r="K3691">
        <v>0</v>
      </c>
      <c r="L3691">
        <v>51000000</v>
      </c>
      <c r="M3691">
        <v>51000000</v>
      </c>
      <c r="N3691">
        <v>51000000</v>
      </c>
      <c r="O3691">
        <v>51000000</v>
      </c>
      <c r="P3691">
        <v>50000000</v>
      </c>
      <c r="Q3691">
        <v>50000000</v>
      </c>
      <c r="R3691" s="14">
        <f>_xlfn.XLOOKUP(Table2[[#This Row],[LoanID]],Table1[G-L ID],Table1[ManagerCode],-99)</f>
        <v>220</v>
      </c>
      <c r="T3691"/>
    </row>
    <row r="3692" spans="1:20" x14ac:dyDescent="0.25">
      <c r="A3692">
        <v>20150630</v>
      </c>
      <c r="B3692">
        <v>2015</v>
      </c>
      <c r="C3692">
        <v>6</v>
      </c>
      <c r="D3692">
        <v>1</v>
      </c>
      <c r="E3692">
        <v>11050</v>
      </c>
      <c r="F3692">
        <v>300635</v>
      </c>
      <c r="G3692">
        <v>0</v>
      </c>
      <c r="H3692">
        <v>0</v>
      </c>
      <c r="I3692">
        <v>0</v>
      </c>
      <c r="J3692">
        <v>0</v>
      </c>
      <c r="K3692">
        <v>0</v>
      </c>
      <c r="L3692">
        <v>29300000</v>
      </c>
      <c r="M3692">
        <v>29300000</v>
      </c>
      <c r="N3692">
        <v>29300000</v>
      </c>
      <c r="O3692">
        <v>29300000</v>
      </c>
      <c r="P3692">
        <v>28500000</v>
      </c>
      <c r="Q3692">
        <v>28500000</v>
      </c>
      <c r="R3692" s="14">
        <f>_xlfn.XLOOKUP(Table2[[#This Row],[LoanID]],Table1[G-L ID],Table1[ManagerCode],-99)</f>
        <v>220</v>
      </c>
      <c r="T3692"/>
    </row>
    <row r="3693" spans="1:20" x14ac:dyDescent="0.25">
      <c r="A3693">
        <v>20150630</v>
      </c>
      <c r="B3693">
        <v>2015</v>
      </c>
      <c r="C3693">
        <v>6</v>
      </c>
      <c r="D3693">
        <v>1</v>
      </c>
      <c r="E3693">
        <v>11100</v>
      </c>
      <c r="F3693">
        <v>180373.86</v>
      </c>
      <c r="G3693">
        <v>0</v>
      </c>
      <c r="H3693">
        <v>0</v>
      </c>
      <c r="I3693">
        <v>0</v>
      </c>
      <c r="J3693">
        <v>-2271989.5699999998</v>
      </c>
      <c r="K3693">
        <v>0</v>
      </c>
      <c r="L3693">
        <v>51215140.479999997</v>
      </c>
      <c r="M3693">
        <v>53464410.149999999</v>
      </c>
      <c r="N3693">
        <v>51215140.479999997</v>
      </c>
      <c r="O3693">
        <v>53464410.149999999</v>
      </c>
      <c r="P3693">
        <v>51732465.130000003</v>
      </c>
      <c r="Q3693">
        <v>54004454.700000003</v>
      </c>
      <c r="R3693" s="14">
        <f>_xlfn.XLOOKUP(Table2[[#This Row],[LoanID]],Table1[G-L ID],Table1[ManagerCode],-99)</f>
        <v>103</v>
      </c>
      <c r="T3693"/>
    </row>
    <row r="3694" spans="1:20" x14ac:dyDescent="0.25">
      <c r="A3694">
        <v>20150630</v>
      </c>
      <c r="B3694">
        <v>2015</v>
      </c>
      <c r="C3694">
        <v>6</v>
      </c>
      <c r="D3694">
        <v>1</v>
      </c>
      <c r="E3694">
        <v>11130</v>
      </c>
      <c r="F3694">
        <v>942087.42</v>
      </c>
      <c r="G3694">
        <v>0</v>
      </c>
      <c r="H3694">
        <v>0</v>
      </c>
      <c r="I3694">
        <v>0</v>
      </c>
      <c r="J3694">
        <v>0</v>
      </c>
      <c r="K3694">
        <v>0</v>
      </c>
      <c r="L3694">
        <v>168150000</v>
      </c>
      <c r="M3694">
        <v>168150000</v>
      </c>
      <c r="N3694">
        <v>168150000</v>
      </c>
      <c r="O3694">
        <v>168150000</v>
      </c>
      <c r="P3694">
        <v>177000000</v>
      </c>
      <c r="Q3694">
        <v>177000000</v>
      </c>
      <c r="R3694" s="14">
        <f>_xlfn.XLOOKUP(Table2[[#This Row],[LoanID]],Table1[G-L ID],Table1[ManagerCode],-99)</f>
        <v>103</v>
      </c>
      <c r="T3694"/>
    </row>
    <row r="3695" spans="1:20" x14ac:dyDescent="0.25">
      <c r="A3695">
        <v>20150630</v>
      </c>
      <c r="B3695">
        <v>2015</v>
      </c>
      <c r="C3695">
        <v>6</v>
      </c>
      <c r="D3695">
        <v>1</v>
      </c>
      <c r="E3695">
        <v>11160</v>
      </c>
      <c r="F3695">
        <v>32266.48</v>
      </c>
      <c r="G3695">
        <v>117832.56</v>
      </c>
      <c r="H3695">
        <v>788000</v>
      </c>
      <c r="I3695">
        <v>0</v>
      </c>
      <c r="J3695">
        <v>-1777561.21</v>
      </c>
      <c r="K3695">
        <v>0</v>
      </c>
      <c r="L3695">
        <v>19359886.699999999</v>
      </c>
      <c r="M3695">
        <v>21255280.469999999</v>
      </c>
      <c r="N3695">
        <v>19359886.699999999</v>
      </c>
      <c r="O3695">
        <v>21255280.469999999</v>
      </c>
      <c r="P3695">
        <v>19359886.699999999</v>
      </c>
      <c r="Q3695">
        <v>21255280.469999999</v>
      </c>
      <c r="R3695" s="14">
        <f>_xlfn.XLOOKUP(Table2[[#This Row],[LoanID]],Table1[G-L ID],Table1[ManagerCode],-99)</f>
        <v>183</v>
      </c>
      <c r="T3695"/>
    </row>
    <row r="3696" spans="1:20" x14ac:dyDescent="0.25">
      <c r="A3696">
        <v>20150630</v>
      </c>
      <c r="B3696">
        <v>2015</v>
      </c>
      <c r="C3696">
        <v>6</v>
      </c>
      <c r="D3696">
        <v>1</v>
      </c>
      <c r="E3696">
        <v>11170</v>
      </c>
      <c r="F3696">
        <v>705551.39</v>
      </c>
      <c r="G3696">
        <v>0</v>
      </c>
      <c r="H3696">
        <v>0</v>
      </c>
      <c r="I3696">
        <v>0</v>
      </c>
      <c r="J3696">
        <v>0</v>
      </c>
      <c r="K3696">
        <v>0</v>
      </c>
      <c r="L3696">
        <v>173249826.80000001</v>
      </c>
      <c r="M3696">
        <v>173249826.80000001</v>
      </c>
      <c r="N3696">
        <v>173249826.80000001</v>
      </c>
      <c r="O3696">
        <v>173249826.80000001</v>
      </c>
      <c r="P3696">
        <v>175000000</v>
      </c>
      <c r="Q3696">
        <v>175000000</v>
      </c>
      <c r="R3696" s="14">
        <f>_xlfn.XLOOKUP(Table2[[#This Row],[LoanID]],Table1[G-L ID],Table1[ManagerCode],-99)</f>
        <v>103</v>
      </c>
      <c r="T3696"/>
    </row>
    <row r="3697" spans="1:20" x14ac:dyDescent="0.25">
      <c r="A3697">
        <v>20150630</v>
      </c>
      <c r="B3697">
        <v>2015</v>
      </c>
      <c r="C3697">
        <v>6</v>
      </c>
      <c r="D3697">
        <v>1</v>
      </c>
      <c r="E3697">
        <v>11250</v>
      </c>
      <c r="F3697">
        <v>58688.09</v>
      </c>
      <c r="G3697">
        <v>109364.41</v>
      </c>
      <c r="H3697">
        <v>0</v>
      </c>
      <c r="I3697">
        <v>0</v>
      </c>
      <c r="J3697">
        <v>-3108494.71</v>
      </c>
      <c r="K3697">
        <v>0</v>
      </c>
      <c r="L3697">
        <v>13038432.939999999</v>
      </c>
      <c r="M3697">
        <v>16256292.060000001</v>
      </c>
      <c r="N3697">
        <v>13038432.939999999</v>
      </c>
      <c r="O3697">
        <v>16256292.060000001</v>
      </c>
      <c r="P3697">
        <v>13038432.939999999</v>
      </c>
      <c r="Q3697">
        <v>16256292.060000001</v>
      </c>
      <c r="R3697" s="14">
        <f>_xlfn.XLOOKUP(Table2[[#This Row],[LoanID]],Table1[G-L ID],Table1[ManagerCode],-99)</f>
        <v>183</v>
      </c>
      <c r="T3697"/>
    </row>
    <row r="3698" spans="1:20" x14ac:dyDescent="0.25">
      <c r="A3698">
        <v>20150630</v>
      </c>
      <c r="B3698">
        <v>2015</v>
      </c>
      <c r="C3698">
        <v>6</v>
      </c>
      <c r="D3698">
        <v>1</v>
      </c>
      <c r="E3698">
        <v>11320</v>
      </c>
      <c r="F3698">
        <v>96402.55</v>
      </c>
      <c r="G3698">
        <v>0</v>
      </c>
      <c r="H3698">
        <v>0</v>
      </c>
      <c r="I3698">
        <v>0</v>
      </c>
      <c r="J3698">
        <v>0</v>
      </c>
      <c r="K3698">
        <v>0</v>
      </c>
      <c r="L3698">
        <v>11820000</v>
      </c>
      <c r="M3698">
        <v>11820000</v>
      </c>
      <c r="N3698">
        <v>11820000</v>
      </c>
      <c r="O3698">
        <v>11820000</v>
      </c>
      <c r="P3698">
        <v>11820000</v>
      </c>
      <c r="Q3698">
        <v>11820000</v>
      </c>
      <c r="R3698" s="14">
        <f>_xlfn.XLOOKUP(Table2[[#This Row],[LoanID]],Table1[G-L ID],Table1[ManagerCode],-99)</f>
        <v>119</v>
      </c>
      <c r="T3698"/>
    </row>
    <row r="3699" spans="1:20" x14ac:dyDescent="0.25">
      <c r="A3699">
        <v>20150630</v>
      </c>
      <c r="B3699">
        <v>2015</v>
      </c>
      <c r="C3699">
        <v>6</v>
      </c>
      <c r="D3699">
        <v>1</v>
      </c>
      <c r="E3699">
        <v>11330</v>
      </c>
      <c r="F3699">
        <v>0</v>
      </c>
      <c r="G3699">
        <v>0</v>
      </c>
      <c r="H3699">
        <v>-241792.5</v>
      </c>
      <c r="I3699">
        <v>0</v>
      </c>
      <c r="J3699">
        <v>21630000</v>
      </c>
      <c r="K3699">
        <v>0</v>
      </c>
      <c r="L3699">
        <v>28000000</v>
      </c>
      <c r="M3699">
        <v>6370000</v>
      </c>
      <c r="N3699">
        <v>28000000</v>
      </c>
      <c r="O3699">
        <v>6370000</v>
      </c>
      <c r="P3699">
        <v>28000000</v>
      </c>
      <c r="Q3699">
        <v>6370000</v>
      </c>
      <c r="R3699" s="14">
        <f>_xlfn.XLOOKUP(Table2[[#This Row],[LoanID]],Table1[G-L ID],Table1[ManagerCode],-99)</f>
        <v>119</v>
      </c>
      <c r="T3699"/>
    </row>
    <row r="3700" spans="1:20" x14ac:dyDescent="0.25">
      <c r="A3700">
        <v>20150630</v>
      </c>
      <c r="B3700">
        <v>2015</v>
      </c>
      <c r="C3700">
        <v>6</v>
      </c>
      <c r="D3700">
        <v>1</v>
      </c>
      <c r="E3700">
        <v>11340</v>
      </c>
      <c r="F3700">
        <v>301388.89</v>
      </c>
      <c r="G3700">
        <v>0</v>
      </c>
      <c r="H3700">
        <v>0</v>
      </c>
      <c r="I3700">
        <v>0</v>
      </c>
      <c r="J3700">
        <v>0</v>
      </c>
      <c r="K3700">
        <v>0</v>
      </c>
      <c r="L3700">
        <v>49500000</v>
      </c>
      <c r="M3700">
        <v>49500000</v>
      </c>
      <c r="N3700">
        <v>49500000</v>
      </c>
      <c r="O3700">
        <v>49500000</v>
      </c>
      <c r="P3700">
        <v>50000000</v>
      </c>
      <c r="Q3700">
        <v>50000000</v>
      </c>
      <c r="R3700" s="14">
        <f>_xlfn.XLOOKUP(Table2[[#This Row],[LoanID]],Table1[G-L ID],Table1[ManagerCode],-99)</f>
        <v>103</v>
      </c>
      <c r="T3700"/>
    </row>
    <row r="3701" spans="1:20" x14ac:dyDescent="0.25">
      <c r="A3701">
        <v>20150630</v>
      </c>
      <c r="B3701">
        <v>2015</v>
      </c>
      <c r="C3701">
        <v>6</v>
      </c>
      <c r="D3701">
        <v>1</v>
      </c>
      <c r="E3701">
        <v>11350</v>
      </c>
      <c r="F3701">
        <v>331527.78000000003</v>
      </c>
      <c r="G3701">
        <v>0</v>
      </c>
      <c r="H3701">
        <v>0</v>
      </c>
      <c r="I3701">
        <v>0</v>
      </c>
      <c r="J3701">
        <v>0</v>
      </c>
      <c r="K3701">
        <v>0</v>
      </c>
      <c r="L3701">
        <v>54449945.549999997</v>
      </c>
      <c r="M3701">
        <v>54449945.549999997</v>
      </c>
      <c r="N3701">
        <v>54449945.549999997</v>
      </c>
      <c r="O3701">
        <v>54449945.549999997</v>
      </c>
      <c r="P3701">
        <v>55000000</v>
      </c>
      <c r="Q3701">
        <v>55000000</v>
      </c>
      <c r="R3701" s="14">
        <f>_xlfn.XLOOKUP(Table2[[#This Row],[LoanID]],Table1[G-L ID],Table1[ManagerCode],-99)</f>
        <v>103</v>
      </c>
      <c r="T3701"/>
    </row>
    <row r="3702" spans="1:20" x14ac:dyDescent="0.25">
      <c r="A3702">
        <v>20150630</v>
      </c>
      <c r="B3702">
        <v>2015</v>
      </c>
      <c r="C3702">
        <v>6</v>
      </c>
      <c r="D3702">
        <v>1</v>
      </c>
      <c r="E3702">
        <v>11370</v>
      </c>
      <c r="F3702">
        <v>53371.8</v>
      </c>
      <c r="G3702">
        <v>0</v>
      </c>
      <c r="H3702">
        <v>0</v>
      </c>
      <c r="I3702">
        <v>0</v>
      </c>
      <c r="J3702">
        <v>-171705.23</v>
      </c>
      <c r="K3702">
        <v>0</v>
      </c>
      <c r="L3702">
        <v>5696705.2300000004</v>
      </c>
      <c r="M3702">
        <v>5868410.46</v>
      </c>
      <c r="N3702">
        <v>5696705.2300000004</v>
      </c>
      <c r="O3702">
        <v>5868410.46</v>
      </c>
      <c r="P3702">
        <v>5696705.2300000004</v>
      </c>
      <c r="Q3702">
        <v>5868410.46</v>
      </c>
      <c r="R3702" s="14">
        <f>_xlfn.XLOOKUP(Table2[[#This Row],[LoanID]],Table1[G-L ID],Table1[ManagerCode],-99)</f>
        <v>119</v>
      </c>
      <c r="T3702"/>
    </row>
    <row r="3703" spans="1:20" x14ac:dyDescent="0.25">
      <c r="A3703">
        <v>20150630</v>
      </c>
      <c r="B3703">
        <v>2015</v>
      </c>
      <c r="C3703">
        <v>6</v>
      </c>
      <c r="D3703">
        <v>1</v>
      </c>
      <c r="E3703">
        <v>11480</v>
      </c>
      <c r="F3703">
        <v>357808.89</v>
      </c>
      <c r="G3703">
        <v>0</v>
      </c>
      <c r="H3703">
        <v>0</v>
      </c>
      <c r="I3703">
        <v>0</v>
      </c>
      <c r="J3703">
        <v>0</v>
      </c>
      <c r="K3703">
        <v>0</v>
      </c>
      <c r="L3703">
        <v>66500000</v>
      </c>
      <c r="M3703">
        <v>66500000</v>
      </c>
      <c r="N3703">
        <v>66500000</v>
      </c>
      <c r="O3703">
        <v>66500000</v>
      </c>
      <c r="P3703">
        <v>70000000</v>
      </c>
      <c r="Q3703">
        <v>70000000</v>
      </c>
      <c r="R3703" s="14">
        <f>_xlfn.XLOOKUP(Table2[[#This Row],[LoanID]],Table1[G-L ID],Table1[ManagerCode],-99)</f>
        <v>103</v>
      </c>
      <c r="T3703"/>
    </row>
    <row r="3704" spans="1:20" x14ac:dyDescent="0.25">
      <c r="A3704">
        <v>20150630</v>
      </c>
      <c r="B3704">
        <v>2015</v>
      </c>
      <c r="C3704">
        <v>6</v>
      </c>
      <c r="D3704">
        <v>1</v>
      </c>
      <c r="E3704">
        <v>11490</v>
      </c>
      <c r="F3704">
        <v>340336.94</v>
      </c>
      <c r="G3704">
        <v>0</v>
      </c>
      <c r="H3704">
        <v>0</v>
      </c>
      <c r="I3704">
        <v>0</v>
      </c>
      <c r="J3704">
        <v>0</v>
      </c>
      <c r="K3704">
        <v>0</v>
      </c>
      <c r="L3704">
        <v>49500000</v>
      </c>
      <c r="M3704">
        <v>49500000</v>
      </c>
      <c r="N3704">
        <v>49500000</v>
      </c>
      <c r="O3704">
        <v>49500000</v>
      </c>
      <c r="P3704">
        <v>55000000</v>
      </c>
      <c r="Q3704">
        <v>55000000</v>
      </c>
      <c r="R3704" s="14">
        <f>_xlfn.XLOOKUP(Table2[[#This Row],[LoanID]],Table1[G-L ID],Table1[ManagerCode],-99)</f>
        <v>103</v>
      </c>
      <c r="T3704"/>
    </row>
    <row r="3705" spans="1:20" x14ac:dyDescent="0.25">
      <c r="A3705">
        <v>20150630</v>
      </c>
      <c r="B3705">
        <v>2015</v>
      </c>
      <c r="C3705">
        <v>6</v>
      </c>
      <c r="D3705">
        <v>1</v>
      </c>
      <c r="E3705">
        <v>11560</v>
      </c>
      <c r="F3705">
        <v>191794.12</v>
      </c>
      <c r="G3705">
        <v>163669.31</v>
      </c>
      <c r="H3705">
        <v>0</v>
      </c>
      <c r="I3705">
        <v>0</v>
      </c>
      <c r="J3705">
        <v>-111251.58</v>
      </c>
      <c r="K3705">
        <v>0</v>
      </c>
      <c r="L3705">
        <v>14936037.800000001</v>
      </c>
      <c r="M3705">
        <v>15210958.689999999</v>
      </c>
      <c r="N3705">
        <v>14936037.800000001</v>
      </c>
      <c r="O3705">
        <v>15210958.689999999</v>
      </c>
      <c r="P3705">
        <v>14936037.800000001</v>
      </c>
      <c r="Q3705">
        <v>15210958.689999999</v>
      </c>
      <c r="R3705" s="14">
        <f>_xlfn.XLOOKUP(Table2[[#This Row],[LoanID]],Table1[G-L ID],Table1[ManagerCode],-99)</f>
        <v>183</v>
      </c>
      <c r="T3705"/>
    </row>
    <row r="3706" spans="1:20" x14ac:dyDescent="0.25">
      <c r="A3706">
        <v>20150630</v>
      </c>
      <c r="B3706">
        <v>2015</v>
      </c>
      <c r="C3706">
        <v>6</v>
      </c>
      <c r="D3706">
        <v>1</v>
      </c>
      <c r="E3706">
        <v>11580</v>
      </c>
      <c r="F3706">
        <v>115478.23</v>
      </c>
      <c r="G3706">
        <v>0</v>
      </c>
      <c r="H3706">
        <v>0</v>
      </c>
      <c r="I3706">
        <v>0</v>
      </c>
      <c r="J3706">
        <v>0</v>
      </c>
      <c r="K3706">
        <v>0</v>
      </c>
      <c r="L3706">
        <v>15000000</v>
      </c>
      <c r="M3706">
        <v>15000000</v>
      </c>
      <c r="N3706">
        <v>15000000</v>
      </c>
      <c r="O3706">
        <v>15000000</v>
      </c>
      <c r="P3706">
        <v>15000000</v>
      </c>
      <c r="Q3706">
        <v>15000000</v>
      </c>
      <c r="R3706" s="14">
        <f>_xlfn.XLOOKUP(Table2[[#This Row],[LoanID]],Table1[G-L ID],Table1[ManagerCode],-99)</f>
        <v>119</v>
      </c>
      <c r="T3706"/>
    </row>
    <row r="3707" spans="1:20" x14ac:dyDescent="0.25">
      <c r="A3707">
        <v>20150630</v>
      </c>
      <c r="B3707">
        <v>2015</v>
      </c>
      <c r="C3707">
        <v>6</v>
      </c>
      <c r="D3707">
        <v>1</v>
      </c>
      <c r="E3707">
        <v>11590</v>
      </c>
      <c r="F3707">
        <v>23405.85</v>
      </c>
      <c r="G3707">
        <v>0</v>
      </c>
      <c r="H3707">
        <v>0</v>
      </c>
      <c r="I3707">
        <v>0</v>
      </c>
      <c r="J3707">
        <v>0</v>
      </c>
      <c r="K3707">
        <v>0</v>
      </c>
      <c r="L3707">
        <v>3507224.44</v>
      </c>
      <c r="M3707">
        <v>3507224.44</v>
      </c>
      <c r="N3707">
        <v>3507224.44</v>
      </c>
      <c r="O3707">
        <v>3507224.44</v>
      </c>
      <c r="P3707">
        <v>3507224.44</v>
      </c>
      <c r="Q3707">
        <v>3507224.44</v>
      </c>
      <c r="R3707" s="14">
        <f>_xlfn.XLOOKUP(Table2[[#This Row],[LoanID]],Table1[G-L ID],Table1[ManagerCode],-99)</f>
        <v>119</v>
      </c>
      <c r="T3707"/>
    </row>
    <row r="3708" spans="1:20" x14ac:dyDescent="0.25">
      <c r="A3708">
        <v>20150630</v>
      </c>
      <c r="B3708">
        <v>2015</v>
      </c>
      <c r="C3708">
        <v>6</v>
      </c>
      <c r="D3708">
        <v>1</v>
      </c>
      <c r="E3708">
        <v>11650</v>
      </c>
      <c r="F3708">
        <v>75000</v>
      </c>
      <c r="G3708">
        <v>0</v>
      </c>
      <c r="H3708">
        <v>0</v>
      </c>
      <c r="I3708">
        <v>0</v>
      </c>
      <c r="J3708">
        <v>0</v>
      </c>
      <c r="K3708">
        <v>0</v>
      </c>
      <c r="L3708">
        <v>9600000</v>
      </c>
      <c r="M3708">
        <v>9600000</v>
      </c>
      <c r="N3708">
        <v>9600000</v>
      </c>
      <c r="O3708">
        <v>9600000</v>
      </c>
      <c r="P3708">
        <v>12000000</v>
      </c>
      <c r="Q3708">
        <v>12000000</v>
      </c>
      <c r="R3708" s="14">
        <f>_xlfn.XLOOKUP(Table2[[#This Row],[LoanID]],Table1[G-L ID],Table1[ManagerCode],-99)</f>
        <v>103</v>
      </c>
      <c r="T3708"/>
    </row>
    <row r="3709" spans="1:20" x14ac:dyDescent="0.25">
      <c r="A3709">
        <v>20150630</v>
      </c>
      <c r="B3709">
        <v>2015</v>
      </c>
      <c r="C3709">
        <v>6</v>
      </c>
      <c r="D3709">
        <v>1</v>
      </c>
      <c r="E3709">
        <v>11660</v>
      </c>
      <c r="F3709">
        <v>0</v>
      </c>
      <c r="G3709">
        <v>0</v>
      </c>
      <c r="H3709">
        <v>0</v>
      </c>
      <c r="I3709">
        <v>0</v>
      </c>
      <c r="J3709">
        <v>0</v>
      </c>
      <c r="K3709">
        <v>0</v>
      </c>
      <c r="L3709">
        <v>27647178</v>
      </c>
      <c r="M3709">
        <v>27647178</v>
      </c>
      <c r="N3709">
        <v>27647178</v>
      </c>
      <c r="O3709">
        <v>27647178</v>
      </c>
      <c r="P3709">
        <v>27647178</v>
      </c>
      <c r="Q3709">
        <v>27647178</v>
      </c>
      <c r="R3709" s="14">
        <f>_xlfn.XLOOKUP(Table2[[#This Row],[LoanID]],Table1[G-L ID],Table1[ManagerCode],-99)</f>
        <v>183</v>
      </c>
      <c r="T3709"/>
    </row>
    <row r="3710" spans="1:20" x14ac:dyDescent="0.25">
      <c r="A3710">
        <v>20150630</v>
      </c>
      <c r="B3710">
        <v>2015</v>
      </c>
      <c r="C3710">
        <v>6</v>
      </c>
      <c r="D3710">
        <v>1</v>
      </c>
      <c r="E3710">
        <v>11680</v>
      </c>
      <c r="F3710">
        <v>57126.559999999998</v>
      </c>
      <c r="G3710">
        <v>0</v>
      </c>
      <c r="H3710">
        <v>0</v>
      </c>
      <c r="I3710">
        <v>0</v>
      </c>
      <c r="J3710">
        <v>0</v>
      </c>
      <c r="K3710">
        <v>0</v>
      </c>
      <c r="L3710">
        <v>6600000</v>
      </c>
      <c r="M3710">
        <v>6600000</v>
      </c>
      <c r="N3710">
        <v>6600000</v>
      </c>
      <c r="O3710">
        <v>6600000</v>
      </c>
      <c r="P3710">
        <v>6600000</v>
      </c>
      <c r="Q3710">
        <v>6600000</v>
      </c>
      <c r="R3710" s="14">
        <f>_xlfn.XLOOKUP(Table2[[#This Row],[LoanID]],Table1[G-L ID],Table1[ManagerCode],-99)</f>
        <v>183</v>
      </c>
      <c r="T3710"/>
    </row>
    <row r="3711" spans="1:20" x14ac:dyDescent="0.25">
      <c r="A3711">
        <v>20150630</v>
      </c>
      <c r="B3711">
        <v>2015</v>
      </c>
      <c r="C3711">
        <v>6</v>
      </c>
      <c r="D3711">
        <v>1</v>
      </c>
      <c r="E3711">
        <v>11710</v>
      </c>
      <c r="F3711">
        <v>126974.06</v>
      </c>
      <c r="G3711">
        <v>0</v>
      </c>
      <c r="H3711">
        <v>0</v>
      </c>
      <c r="I3711">
        <v>0</v>
      </c>
      <c r="J3711">
        <v>0</v>
      </c>
      <c r="K3711">
        <v>0</v>
      </c>
      <c r="L3711">
        <v>15000000</v>
      </c>
      <c r="M3711">
        <v>15000000</v>
      </c>
      <c r="N3711">
        <v>15000000</v>
      </c>
      <c r="O3711">
        <v>15000000</v>
      </c>
      <c r="P3711">
        <v>15000000</v>
      </c>
      <c r="Q3711">
        <v>15000000</v>
      </c>
      <c r="R3711" s="14">
        <f>_xlfn.XLOOKUP(Table2[[#This Row],[LoanID]],Table1[G-L ID],Table1[ManagerCode],-99)</f>
        <v>119</v>
      </c>
      <c r="T3711"/>
    </row>
    <row r="3712" spans="1:20" x14ac:dyDescent="0.25">
      <c r="A3712">
        <v>20150630</v>
      </c>
      <c r="B3712">
        <v>2015</v>
      </c>
      <c r="C3712">
        <v>6</v>
      </c>
      <c r="D3712">
        <v>1</v>
      </c>
      <c r="E3712">
        <v>11720</v>
      </c>
      <c r="F3712">
        <v>129166.67</v>
      </c>
      <c r="G3712">
        <v>0</v>
      </c>
      <c r="H3712">
        <v>0</v>
      </c>
      <c r="I3712">
        <v>0</v>
      </c>
      <c r="J3712">
        <v>0</v>
      </c>
      <c r="K3712">
        <v>0</v>
      </c>
      <c r="L3712">
        <v>19800000</v>
      </c>
      <c r="M3712">
        <v>19800000</v>
      </c>
      <c r="N3712">
        <v>19800000</v>
      </c>
      <c r="O3712">
        <v>19800000</v>
      </c>
      <c r="P3712">
        <v>20000000</v>
      </c>
      <c r="Q3712">
        <v>20000000</v>
      </c>
      <c r="R3712" s="14">
        <f>_xlfn.XLOOKUP(Table2[[#This Row],[LoanID]],Table1[G-L ID],Table1[ManagerCode],-99)</f>
        <v>103</v>
      </c>
      <c r="T3712"/>
    </row>
    <row r="3713" spans="1:20" x14ac:dyDescent="0.25">
      <c r="A3713">
        <v>20150630</v>
      </c>
      <c r="B3713">
        <v>2015</v>
      </c>
      <c r="C3713">
        <v>6</v>
      </c>
      <c r="D3713">
        <v>1</v>
      </c>
      <c r="E3713">
        <v>11730</v>
      </c>
      <c r="F3713">
        <v>47012.59</v>
      </c>
      <c r="G3713">
        <v>0</v>
      </c>
      <c r="H3713">
        <v>0</v>
      </c>
      <c r="I3713">
        <v>0</v>
      </c>
      <c r="J3713">
        <v>0</v>
      </c>
      <c r="K3713">
        <v>0</v>
      </c>
      <c r="L3713">
        <v>4750000</v>
      </c>
      <c r="M3713">
        <v>4750000</v>
      </c>
      <c r="N3713">
        <v>4750000</v>
      </c>
      <c r="O3713">
        <v>4750000</v>
      </c>
      <c r="P3713">
        <v>4750000</v>
      </c>
      <c r="Q3713">
        <v>4750000</v>
      </c>
      <c r="R3713" s="14">
        <f>_xlfn.XLOOKUP(Table2[[#This Row],[LoanID]],Table1[G-L ID],Table1[ManagerCode],-99)</f>
        <v>119</v>
      </c>
      <c r="T3713"/>
    </row>
    <row r="3714" spans="1:20" x14ac:dyDescent="0.25">
      <c r="A3714">
        <v>20150630</v>
      </c>
      <c r="B3714">
        <v>2015</v>
      </c>
      <c r="C3714">
        <v>6</v>
      </c>
      <c r="D3714">
        <v>1</v>
      </c>
      <c r="E3714">
        <v>11740</v>
      </c>
      <c r="F3714">
        <v>191100</v>
      </c>
      <c r="G3714">
        <v>0</v>
      </c>
      <c r="H3714">
        <v>0</v>
      </c>
      <c r="I3714">
        <v>0</v>
      </c>
      <c r="J3714">
        <v>0</v>
      </c>
      <c r="K3714">
        <v>0</v>
      </c>
      <c r="L3714">
        <v>19110000</v>
      </c>
      <c r="M3714">
        <v>19110000</v>
      </c>
      <c r="N3714">
        <v>19110000</v>
      </c>
      <c r="O3714">
        <v>19110000</v>
      </c>
      <c r="P3714">
        <v>19110000</v>
      </c>
      <c r="Q3714">
        <v>19110000</v>
      </c>
      <c r="R3714" s="14">
        <f>_xlfn.XLOOKUP(Table2[[#This Row],[LoanID]],Table1[G-L ID],Table1[ManagerCode],-99)</f>
        <v>183</v>
      </c>
      <c r="T3714"/>
    </row>
    <row r="3715" spans="1:20" x14ac:dyDescent="0.25">
      <c r="A3715">
        <v>20150630</v>
      </c>
      <c r="B3715">
        <v>2015</v>
      </c>
      <c r="C3715">
        <v>6</v>
      </c>
      <c r="D3715">
        <v>1</v>
      </c>
      <c r="E3715">
        <v>11810</v>
      </c>
      <c r="F3715">
        <v>49211.99</v>
      </c>
      <c r="G3715">
        <v>0</v>
      </c>
      <c r="H3715">
        <v>0</v>
      </c>
      <c r="I3715">
        <v>0</v>
      </c>
      <c r="J3715">
        <v>0</v>
      </c>
      <c r="K3715">
        <v>11646.1</v>
      </c>
      <c r="L3715">
        <v>9521798.0800000001</v>
      </c>
      <c r="M3715">
        <v>9510268.4399999995</v>
      </c>
      <c r="N3715">
        <v>9521798.0800000001</v>
      </c>
      <c r="O3715">
        <v>9510268.4399999995</v>
      </c>
      <c r="P3715">
        <v>9617977.8499999996</v>
      </c>
      <c r="Q3715">
        <v>9606331.75</v>
      </c>
      <c r="R3715" s="14">
        <f>_xlfn.XLOOKUP(Table2[[#This Row],[LoanID]],Table1[G-L ID],Table1[ManagerCode],-99)</f>
        <v>103</v>
      </c>
      <c r="T3715"/>
    </row>
    <row r="3716" spans="1:20" x14ac:dyDescent="0.25">
      <c r="A3716">
        <v>20150630</v>
      </c>
      <c r="B3716">
        <v>2015</v>
      </c>
      <c r="C3716">
        <v>6</v>
      </c>
      <c r="D3716">
        <v>1</v>
      </c>
      <c r="E3716">
        <v>11880</v>
      </c>
      <c r="F3716">
        <v>281334.95</v>
      </c>
      <c r="G3716">
        <v>136246.35</v>
      </c>
      <c r="H3716">
        <v>0</v>
      </c>
      <c r="I3716">
        <v>0</v>
      </c>
      <c r="J3716">
        <v>-2061012.36</v>
      </c>
      <c r="K3716">
        <v>0</v>
      </c>
      <c r="L3716">
        <v>61031075.789999999</v>
      </c>
      <c r="M3716">
        <v>63228334.5</v>
      </c>
      <c r="N3716">
        <v>61031075.789999999</v>
      </c>
      <c r="O3716">
        <v>63228334.5</v>
      </c>
      <c r="P3716">
        <v>61031075.789999999</v>
      </c>
      <c r="Q3716">
        <v>63228334.5</v>
      </c>
      <c r="R3716" s="14">
        <f>_xlfn.XLOOKUP(Table2[[#This Row],[LoanID]],Table1[G-L ID],Table1[ManagerCode],-99)</f>
        <v>183</v>
      </c>
      <c r="T3716"/>
    </row>
    <row r="3717" spans="1:20" x14ac:dyDescent="0.25">
      <c r="A3717">
        <v>20150630</v>
      </c>
      <c r="B3717">
        <v>2015</v>
      </c>
      <c r="C3717">
        <v>6</v>
      </c>
      <c r="D3717">
        <v>1</v>
      </c>
      <c r="E3717">
        <v>11990</v>
      </c>
      <c r="F3717">
        <v>100517.5</v>
      </c>
      <c r="G3717">
        <v>0</v>
      </c>
      <c r="H3717">
        <v>0</v>
      </c>
      <c r="I3717">
        <v>0</v>
      </c>
      <c r="J3717">
        <v>0</v>
      </c>
      <c r="K3717">
        <v>0</v>
      </c>
      <c r="L3717">
        <v>15000000</v>
      </c>
      <c r="M3717">
        <v>15000000</v>
      </c>
      <c r="N3717">
        <v>15000000</v>
      </c>
      <c r="O3717">
        <v>15000000</v>
      </c>
      <c r="P3717">
        <v>15000000</v>
      </c>
      <c r="Q3717">
        <v>15000000</v>
      </c>
      <c r="R3717" s="14">
        <f>_xlfn.XLOOKUP(Table2[[#This Row],[LoanID]],Table1[G-L ID],Table1[ManagerCode],-99)</f>
        <v>220</v>
      </c>
      <c r="T3717"/>
    </row>
    <row r="3718" spans="1:20" x14ac:dyDescent="0.25">
      <c r="A3718">
        <v>20150630</v>
      </c>
      <c r="B3718">
        <v>2015</v>
      </c>
      <c r="C3718">
        <v>6</v>
      </c>
      <c r="D3718">
        <v>1</v>
      </c>
      <c r="E3718">
        <v>12080</v>
      </c>
      <c r="F3718">
        <v>289411.33</v>
      </c>
      <c r="G3718">
        <v>0</v>
      </c>
      <c r="H3718">
        <v>0</v>
      </c>
      <c r="I3718">
        <v>0</v>
      </c>
      <c r="J3718">
        <v>0</v>
      </c>
      <c r="K3718">
        <v>0</v>
      </c>
      <c r="L3718">
        <v>35678405.18</v>
      </c>
      <c r="M3718">
        <v>35678405.18</v>
      </c>
      <c r="N3718">
        <v>35678405.18</v>
      </c>
      <c r="O3718">
        <v>35678405.18</v>
      </c>
      <c r="P3718">
        <v>35678405.18</v>
      </c>
      <c r="Q3718">
        <v>35678405.18</v>
      </c>
      <c r="R3718" s="14">
        <f>_xlfn.XLOOKUP(Table2[[#This Row],[LoanID]],Table1[G-L ID],Table1[ManagerCode],-99)</f>
        <v>119</v>
      </c>
      <c r="T3718"/>
    </row>
    <row r="3719" spans="1:20" x14ac:dyDescent="0.25">
      <c r="A3719">
        <v>20150630</v>
      </c>
      <c r="B3719">
        <v>2015</v>
      </c>
      <c r="C3719">
        <v>6</v>
      </c>
      <c r="D3719">
        <v>1</v>
      </c>
      <c r="E3719">
        <v>12160</v>
      </c>
      <c r="F3719">
        <v>77114.399999999994</v>
      </c>
      <c r="G3719">
        <v>94239.46</v>
      </c>
      <c r="H3719">
        <v>0</v>
      </c>
      <c r="I3719">
        <v>0</v>
      </c>
      <c r="J3719">
        <v>-77114.399999999994</v>
      </c>
      <c r="K3719">
        <v>0</v>
      </c>
      <c r="L3719">
        <v>15572229.92</v>
      </c>
      <c r="M3719">
        <v>15743583.779999999</v>
      </c>
      <c r="N3719">
        <v>15572229.92</v>
      </c>
      <c r="O3719">
        <v>15743583.779999999</v>
      </c>
      <c r="P3719">
        <v>15572229.92</v>
      </c>
      <c r="Q3719">
        <v>15743583.779999999</v>
      </c>
      <c r="R3719" s="14">
        <f>_xlfn.XLOOKUP(Table2[[#This Row],[LoanID]],Table1[G-L ID],Table1[ManagerCode],-99)</f>
        <v>183</v>
      </c>
      <c r="T3719"/>
    </row>
    <row r="3720" spans="1:20" x14ac:dyDescent="0.25">
      <c r="A3720">
        <v>20150630</v>
      </c>
      <c r="B3720">
        <v>2015</v>
      </c>
      <c r="C3720">
        <v>6</v>
      </c>
      <c r="D3720">
        <v>1</v>
      </c>
      <c r="E3720">
        <v>12180</v>
      </c>
      <c r="F3720">
        <v>233576.39</v>
      </c>
      <c r="G3720">
        <v>0</v>
      </c>
      <c r="H3720">
        <v>0</v>
      </c>
      <c r="I3720">
        <v>0</v>
      </c>
      <c r="J3720">
        <v>0</v>
      </c>
      <c r="K3720">
        <v>0</v>
      </c>
      <c r="L3720">
        <v>35000000</v>
      </c>
      <c r="M3720">
        <v>35000000</v>
      </c>
      <c r="N3720">
        <v>35000000</v>
      </c>
      <c r="O3720">
        <v>35000000</v>
      </c>
      <c r="P3720">
        <v>35000000</v>
      </c>
      <c r="Q3720">
        <v>35000000</v>
      </c>
      <c r="R3720" s="14">
        <f>_xlfn.XLOOKUP(Table2[[#This Row],[LoanID]],Table1[G-L ID],Table1[ManagerCode],-99)</f>
        <v>220</v>
      </c>
      <c r="T3720"/>
    </row>
    <row r="3721" spans="1:20" x14ac:dyDescent="0.25">
      <c r="A3721">
        <v>20150630</v>
      </c>
      <c r="B3721">
        <v>2015</v>
      </c>
      <c r="C3721">
        <v>6</v>
      </c>
      <c r="D3721">
        <v>1</v>
      </c>
      <c r="E3721">
        <v>12190</v>
      </c>
      <c r="F3721">
        <v>283843.75</v>
      </c>
      <c r="G3721">
        <v>0</v>
      </c>
      <c r="H3721">
        <v>0</v>
      </c>
      <c r="I3721">
        <v>0</v>
      </c>
      <c r="J3721">
        <v>0</v>
      </c>
      <c r="K3721">
        <v>0</v>
      </c>
      <c r="L3721">
        <v>37500000</v>
      </c>
      <c r="M3721">
        <v>37500000</v>
      </c>
      <c r="N3721">
        <v>37500000</v>
      </c>
      <c r="O3721">
        <v>37500000</v>
      </c>
      <c r="P3721">
        <v>37500000</v>
      </c>
      <c r="Q3721">
        <v>37500000</v>
      </c>
      <c r="R3721" s="14">
        <f>_xlfn.XLOOKUP(Table2[[#This Row],[LoanID]],Table1[G-L ID],Table1[ManagerCode],-99)</f>
        <v>220</v>
      </c>
      <c r="T3721"/>
    </row>
    <row r="3722" spans="1:20" x14ac:dyDescent="0.25">
      <c r="A3722">
        <v>20150630</v>
      </c>
      <c r="B3722">
        <v>2015</v>
      </c>
      <c r="C3722">
        <v>6</v>
      </c>
      <c r="D3722">
        <v>1</v>
      </c>
      <c r="E3722">
        <v>12210</v>
      </c>
      <c r="F3722">
        <v>669034.80000000005</v>
      </c>
      <c r="G3722">
        <v>0</v>
      </c>
      <c r="H3722">
        <v>0</v>
      </c>
      <c r="I3722">
        <v>0</v>
      </c>
      <c r="J3722">
        <v>0</v>
      </c>
      <c r="K3722">
        <v>228134.86</v>
      </c>
      <c r="L3722">
        <v>120908997.7</v>
      </c>
      <c r="M3722">
        <v>120307023.8</v>
      </c>
      <c r="N3722">
        <v>120908997.7</v>
      </c>
      <c r="O3722">
        <v>120307023.8</v>
      </c>
      <c r="P3722">
        <v>108250911.09999999</v>
      </c>
      <c r="Q3722">
        <v>108022776.2</v>
      </c>
      <c r="R3722" s="14">
        <f>_xlfn.XLOOKUP(Table2[[#This Row],[LoanID]],Table1[G-L ID],Table1[ManagerCode],-99)</f>
        <v>103</v>
      </c>
      <c r="T3722"/>
    </row>
    <row r="3723" spans="1:20" x14ac:dyDescent="0.25">
      <c r="A3723">
        <v>20150630</v>
      </c>
      <c r="B3723">
        <v>2015</v>
      </c>
      <c r="C3723">
        <v>6</v>
      </c>
      <c r="D3723">
        <v>1</v>
      </c>
      <c r="E3723">
        <v>12230</v>
      </c>
      <c r="F3723">
        <v>101352.59</v>
      </c>
      <c r="G3723">
        <v>0</v>
      </c>
      <c r="H3723">
        <v>0</v>
      </c>
      <c r="I3723">
        <v>0</v>
      </c>
      <c r="J3723">
        <v>0</v>
      </c>
      <c r="K3723">
        <v>34902</v>
      </c>
      <c r="L3723">
        <v>20257715</v>
      </c>
      <c r="M3723">
        <v>19548312.32</v>
      </c>
      <c r="N3723">
        <v>13777164.5</v>
      </c>
      <c r="O3723">
        <v>13032859.82</v>
      </c>
      <c r="P3723">
        <v>19548312.32</v>
      </c>
      <c r="Q3723">
        <v>19548312.32</v>
      </c>
      <c r="R3723" s="14">
        <f>_xlfn.XLOOKUP(Table2[[#This Row],[LoanID]],Table1[G-L ID],Table1[ManagerCode],-99)</f>
        <v>183</v>
      </c>
      <c r="T3723"/>
    </row>
    <row r="3724" spans="1:20" x14ac:dyDescent="0.25">
      <c r="A3724">
        <v>20150630</v>
      </c>
      <c r="B3724">
        <v>2015</v>
      </c>
      <c r="C3724">
        <v>6</v>
      </c>
      <c r="D3724">
        <v>1</v>
      </c>
      <c r="E3724">
        <v>12240</v>
      </c>
      <c r="F3724">
        <v>0</v>
      </c>
      <c r="G3724">
        <v>1347674.25</v>
      </c>
      <c r="H3724">
        <v>0</v>
      </c>
      <c r="I3724">
        <v>0</v>
      </c>
      <c r="J3724">
        <v>-6529715.3099999996</v>
      </c>
      <c r="K3724">
        <v>0</v>
      </c>
      <c r="L3724">
        <v>93482799.260000005</v>
      </c>
      <c r="M3724">
        <v>101360188.8</v>
      </c>
      <c r="N3724">
        <v>93482799.260000005</v>
      </c>
      <c r="O3724">
        <v>101360188.8</v>
      </c>
      <c r="P3724">
        <v>93482799.260000005</v>
      </c>
      <c r="Q3724">
        <v>101360188.8</v>
      </c>
      <c r="R3724" s="14">
        <f>_xlfn.XLOOKUP(Table2[[#This Row],[LoanID]],Table1[G-L ID],Table1[ManagerCode],-99)</f>
        <v>183</v>
      </c>
      <c r="T3724"/>
    </row>
    <row r="3725" spans="1:20" x14ac:dyDescent="0.25">
      <c r="A3725">
        <v>20150630</v>
      </c>
      <c r="B3725">
        <v>2015</v>
      </c>
      <c r="C3725">
        <v>6</v>
      </c>
      <c r="D3725">
        <v>1</v>
      </c>
      <c r="E3725">
        <v>13630</v>
      </c>
      <c r="F3725">
        <v>218506.94</v>
      </c>
      <c r="G3725">
        <v>0</v>
      </c>
      <c r="H3725">
        <v>0</v>
      </c>
      <c r="I3725">
        <v>0</v>
      </c>
      <c r="J3725">
        <v>0</v>
      </c>
      <c r="K3725">
        <v>0</v>
      </c>
      <c r="L3725">
        <v>35000000</v>
      </c>
      <c r="M3725">
        <v>35000000</v>
      </c>
      <c r="N3725">
        <v>35000000</v>
      </c>
      <c r="O3725">
        <v>35000000</v>
      </c>
      <c r="P3725">
        <v>35000000</v>
      </c>
      <c r="Q3725">
        <v>35000000</v>
      </c>
      <c r="R3725" s="14">
        <f>_xlfn.XLOOKUP(Table2[[#This Row],[LoanID]],Table1[G-L ID],Table1[ManagerCode],-99)</f>
        <v>298</v>
      </c>
      <c r="T3725"/>
    </row>
    <row r="3726" spans="1:20" x14ac:dyDescent="0.25">
      <c r="A3726">
        <v>20150630</v>
      </c>
      <c r="B3726">
        <v>2015</v>
      </c>
      <c r="C3726">
        <v>6</v>
      </c>
      <c r="D3726">
        <v>1</v>
      </c>
      <c r="E3726">
        <v>13670</v>
      </c>
      <c r="F3726">
        <v>280485.42</v>
      </c>
      <c r="G3726">
        <v>0</v>
      </c>
      <c r="H3726">
        <v>0</v>
      </c>
      <c r="I3726">
        <v>0</v>
      </c>
      <c r="J3726">
        <v>0</v>
      </c>
      <c r="K3726">
        <v>0</v>
      </c>
      <c r="L3726">
        <v>37500000</v>
      </c>
      <c r="M3726">
        <v>37500000</v>
      </c>
      <c r="N3726">
        <v>37500000</v>
      </c>
      <c r="O3726">
        <v>37500000</v>
      </c>
      <c r="P3726">
        <v>37500000</v>
      </c>
      <c r="Q3726">
        <v>37500000</v>
      </c>
      <c r="R3726" s="14">
        <f>_xlfn.XLOOKUP(Table2[[#This Row],[LoanID]],Table1[G-L ID],Table1[ManagerCode],-99)</f>
        <v>298</v>
      </c>
      <c r="T3726"/>
    </row>
    <row r="3727" spans="1:20" x14ac:dyDescent="0.25">
      <c r="A3727">
        <v>20150630</v>
      </c>
      <c r="B3727">
        <v>2015</v>
      </c>
      <c r="C3727">
        <v>6</v>
      </c>
      <c r="D3727">
        <v>1</v>
      </c>
      <c r="E3727">
        <v>13680</v>
      </c>
      <c r="F3727">
        <v>140468.75</v>
      </c>
      <c r="G3727">
        <v>0</v>
      </c>
      <c r="H3727">
        <v>0</v>
      </c>
      <c r="I3727">
        <v>0</v>
      </c>
      <c r="J3727">
        <v>0</v>
      </c>
      <c r="K3727">
        <v>0</v>
      </c>
      <c r="L3727">
        <v>18000000</v>
      </c>
      <c r="M3727">
        <v>18000000</v>
      </c>
      <c r="N3727">
        <v>18000000</v>
      </c>
      <c r="O3727">
        <v>18000000</v>
      </c>
      <c r="P3727">
        <v>18000000</v>
      </c>
      <c r="Q3727">
        <v>18000000</v>
      </c>
      <c r="R3727" s="14">
        <f>_xlfn.XLOOKUP(Table2[[#This Row],[LoanID]],Table1[G-L ID],Table1[ManagerCode],-99)</f>
        <v>298</v>
      </c>
      <c r="T3727"/>
    </row>
    <row r="3728" spans="1:20" x14ac:dyDescent="0.25">
      <c r="A3728">
        <v>20150630</v>
      </c>
      <c r="B3728">
        <v>2015</v>
      </c>
      <c r="C3728">
        <v>6</v>
      </c>
      <c r="D3728">
        <v>1</v>
      </c>
      <c r="E3728">
        <v>13690</v>
      </c>
      <c r="F3728">
        <v>133472.22</v>
      </c>
      <c r="G3728">
        <v>0</v>
      </c>
      <c r="H3728">
        <v>0</v>
      </c>
      <c r="I3728">
        <v>0</v>
      </c>
      <c r="J3728">
        <v>0</v>
      </c>
      <c r="K3728">
        <v>0</v>
      </c>
      <c r="L3728">
        <v>20000000</v>
      </c>
      <c r="M3728">
        <v>20000000</v>
      </c>
      <c r="N3728">
        <v>20000000</v>
      </c>
      <c r="O3728">
        <v>20000000</v>
      </c>
      <c r="P3728">
        <v>20000000</v>
      </c>
      <c r="Q3728">
        <v>20000000</v>
      </c>
      <c r="R3728" s="14">
        <f>_xlfn.XLOOKUP(Table2[[#This Row],[LoanID]],Table1[G-L ID],Table1[ManagerCode],-99)</f>
        <v>298</v>
      </c>
      <c r="T3728"/>
    </row>
    <row r="3729" spans="1:20" x14ac:dyDescent="0.25">
      <c r="A3729">
        <v>20150630</v>
      </c>
      <c r="B3729">
        <v>2015</v>
      </c>
      <c r="C3729">
        <v>6</v>
      </c>
      <c r="D3729">
        <v>1</v>
      </c>
      <c r="E3729">
        <v>15580</v>
      </c>
      <c r="F3729">
        <v>118303.81</v>
      </c>
      <c r="G3729">
        <v>-3855.55</v>
      </c>
      <c r="H3729">
        <v>0</v>
      </c>
      <c r="I3729">
        <v>0</v>
      </c>
      <c r="J3729">
        <v>0</v>
      </c>
      <c r="K3729">
        <v>5097.5</v>
      </c>
      <c r="L3729">
        <v>14970743.27</v>
      </c>
      <c r="M3729">
        <v>14961790.220000001</v>
      </c>
      <c r="N3729">
        <v>14970743.27</v>
      </c>
      <c r="O3729">
        <v>14961790.220000001</v>
      </c>
      <c r="P3729">
        <v>14970743.27</v>
      </c>
      <c r="Q3729">
        <v>14961790.220000001</v>
      </c>
      <c r="R3729" s="14">
        <f>_xlfn.XLOOKUP(Table2[[#This Row],[LoanID]],Table1[G-L ID],Table1[ManagerCode],-99)</f>
        <v>212</v>
      </c>
      <c r="T3729"/>
    </row>
    <row r="3730" spans="1:20" x14ac:dyDescent="0.25">
      <c r="A3730">
        <v>20150731</v>
      </c>
      <c r="B3730">
        <v>2015</v>
      </c>
      <c r="C3730">
        <v>7</v>
      </c>
      <c r="D3730">
        <v>1</v>
      </c>
      <c r="E3730">
        <v>10010</v>
      </c>
      <c r="F3730">
        <v>150894.79</v>
      </c>
      <c r="G3730">
        <v>0</v>
      </c>
      <c r="H3730">
        <v>0</v>
      </c>
      <c r="I3730">
        <v>0</v>
      </c>
      <c r="J3730">
        <v>0</v>
      </c>
      <c r="K3730">
        <v>0</v>
      </c>
      <c r="L3730">
        <v>16250000</v>
      </c>
      <c r="M3730">
        <v>16250000</v>
      </c>
      <c r="N3730">
        <v>16250000</v>
      </c>
      <c r="O3730">
        <v>16250000</v>
      </c>
      <c r="P3730">
        <v>16250000</v>
      </c>
      <c r="Q3730">
        <v>16250000</v>
      </c>
      <c r="R3730" s="14">
        <f>_xlfn.XLOOKUP(Table2[[#This Row],[LoanID]],Table1[G-L ID],Table1[ManagerCode],-99)</f>
        <v>119</v>
      </c>
      <c r="T3730"/>
    </row>
    <row r="3731" spans="1:20" x14ac:dyDescent="0.25">
      <c r="A3731">
        <v>20150731</v>
      </c>
      <c r="B3731">
        <v>2015</v>
      </c>
      <c r="C3731">
        <v>7</v>
      </c>
      <c r="D3731">
        <v>1</v>
      </c>
      <c r="E3731">
        <v>10050</v>
      </c>
      <c r="F3731">
        <v>149013.89000000001</v>
      </c>
      <c r="G3731">
        <v>0</v>
      </c>
      <c r="H3731">
        <v>0</v>
      </c>
      <c r="I3731">
        <v>0</v>
      </c>
      <c r="J3731">
        <v>0</v>
      </c>
      <c r="K3731">
        <v>0</v>
      </c>
      <c r="L3731">
        <v>37427952.140000001</v>
      </c>
      <c r="M3731">
        <v>37649946.770000003</v>
      </c>
      <c r="N3731">
        <v>37427952.140000001</v>
      </c>
      <c r="O3731">
        <v>37649946.770000003</v>
      </c>
      <c r="P3731">
        <v>33333334</v>
      </c>
      <c r="Q3731">
        <v>33333334</v>
      </c>
      <c r="R3731" s="14">
        <f>_xlfn.XLOOKUP(Table2[[#This Row],[LoanID]],Table1[G-L ID],Table1[ManagerCode],-99)</f>
        <v>103</v>
      </c>
      <c r="T3731"/>
    </row>
    <row r="3732" spans="1:20" x14ac:dyDescent="0.25">
      <c r="A3732">
        <v>20150731</v>
      </c>
      <c r="B3732">
        <v>2015</v>
      </c>
      <c r="C3732">
        <v>7</v>
      </c>
      <c r="D3732">
        <v>1</v>
      </c>
      <c r="E3732">
        <v>10090</v>
      </c>
      <c r="F3732">
        <v>182083.33</v>
      </c>
      <c r="G3732">
        <v>0</v>
      </c>
      <c r="H3732">
        <v>0</v>
      </c>
      <c r="I3732">
        <v>0</v>
      </c>
      <c r="J3732">
        <v>0</v>
      </c>
      <c r="K3732">
        <v>0</v>
      </c>
      <c r="L3732">
        <v>23000000</v>
      </c>
      <c r="M3732">
        <v>23000000</v>
      </c>
      <c r="N3732">
        <v>23000000</v>
      </c>
      <c r="O3732">
        <v>23000000</v>
      </c>
      <c r="P3732">
        <v>23000000</v>
      </c>
      <c r="Q3732">
        <v>23000000</v>
      </c>
      <c r="R3732" s="14">
        <f>_xlfn.XLOOKUP(Table2[[#This Row],[LoanID]],Table1[G-L ID],Table1[ManagerCode],-99)</f>
        <v>119</v>
      </c>
      <c r="T3732"/>
    </row>
    <row r="3733" spans="1:20" x14ac:dyDescent="0.25">
      <c r="A3733">
        <v>20150731</v>
      </c>
      <c r="B3733">
        <v>2015</v>
      </c>
      <c r="C3733">
        <v>7</v>
      </c>
      <c r="D3733">
        <v>1</v>
      </c>
      <c r="E3733">
        <v>10100</v>
      </c>
      <c r="F3733">
        <v>186050</v>
      </c>
      <c r="G3733">
        <v>0</v>
      </c>
      <c r="H3733">
        <v>0</v>
      </c>
      <c r="I3733">
        <v>0</v>
      </c>
      <c r="J3733">
        <v>0</v>
      </c>
      <c r="K3733">
        <v>0</v>
      </c>
      <c r="L3733">
        <v>30500000</v>
      </c>
      <c r="M3733">
        <v>30500000</v>
      </c>
      <c r="N3733">
        <v>30500000</v>
      </c>
      <c r="O3733">
        <v>30500000</v>
      </c>
      <c r="P3733">
        <v>30500000</v>
      </c>
      <c r="Q3733">
        <v>30500000</v>
      </c>
      <c r="R3733" s="14">
        <f>_xlfn.XLOOKUP(Table2[[#This Row],[LoanID]],Table1[G-L ID],Table1[ManagerCode],-99)</f>
        <v>220</v>
      </c>
      <c r="T3733"/>
    </row>
    <row r="3734" spans="1:20" x14ac:dyDescent="0.25">
      <c r="A3734">
        <v>20150731</v>
      </c>
      <c r="B3734">
        <v>2015</v>
      </c>
      <c r="C3734">
        <v>7</v>
      </c>
      <c r="D3734">
        <v>1</v>
      </c>
      <c r="E3734">
        <v>10120</v>
      </c>
      <c r="F3734">
        <v>30218.75</v>
      </c>
      <c r="G3734">
        <v>33706.75</v>
      </c>
      <c r="H3734">
        <v>0</v>
      </c>
      <c r="I3734">
        <v>0</v>
      </c>
      <c r="J3734">
        <v>-347169.63</v>
      </c>
      <c r="K3734">
        <v>0</v>
      </c>
      <c r="L3734">
        <v>6095236.9800000004</v>
      </c>
      <c r="M3734">
        <v>6476113.3600000003</v>
      </c>
      <c r="N3734">
        <v>6095236.9800000004</v>
      </c>
      <c r="O3734">
        <v>6476113.3600000003</v>
      </c>
      <c r="P3734">
        <v>6095236.9800000004</v>
      </c>
      <c r="Q3734">
        <v>6476113.3600000003</v>
      </c>
      <c r="R3734" s="14">
        <f>_xlfn.XLOOKUP(Table2[[#This Row],[LoanID]],Table1[G-L ID],Table1[ManagerCode],-99)</f>
        <v>183</v>
      </c>
      <c r="T3734"/>
    </row>
    <row r="3735" spans="1:20" x14ac:dyDescent="0.25">
      <c r="A3735">
        <v>20150731</v>
      </c>
      <c r="B3735">
        <v>2015</v>
      </c>
      <c r="C3735">
        <v>7</v>
      </c>
      <c r="D3735">
        <v>1</v>
      </c>
      <c r="E3735">
        <v>10160</v>
      </c>
      <c r="F3735">
        <v>107611.17</v>
      </c>
      <c r="G3735">
        <v>0</v>
      </c>
      <c r="H3735">
        <v>0</v>
      </c>
      <c r="I3735">
        <v>0</v>
      </c>
      <c r="J3735">
        <v>0</v>
      </c>
      <c r="K3735">
        <v>0</v>
      </c>
      <c r="L3735">
        <v>14051513.300000001</v>
      </c>
      <c r="M3735">
        <v>14051513.300000001</v>
      </c>
      <c r="N3735">
        <v>14051513.300000001</v>
      </c>
      <c r="O3735">
        <v>14051513.300000001</v>
      </c>
      <c r="P3735">
        <v>14051513.300000001</v>
      </c>
      <c r="Q3735">
        <v>14051513.300000001</v>
      </c>
      <c r="R3735" s="14">
        <f>_xlfn.XLOOKUP(Table2[[#This Row],[LoanID]],Table1[G-L ID],Table1[ManagerCode],-99)</f>
        <v>119</v>
      </c>
      <c r="T3735"/>
    </row>
    <row r="3736" spans="1:20" x14ac:dyDescent="0.25">
      <c r="A3736">
        <v>20150731</v>
      </c>
      <c r="B3736">
        <v>2015</v>
      </c>
      <c r="C3736">
        <v>7</v>
      </c>
      <c r="D3736">
        <v>1</v>
      </c>
      <c r="E3736">
        <v>10220</v>
      </c>
      <c r="F3736">
        <v>1101388.8899999999</v>
      </c>
      <c r="G3736">
        <v>0</v>
      </c>
      <c r="H3736">
        <v>0</v>
      </c>
      <c r="I3736">
        <v>0</v>
      </c>
      <c r="J3736">
        <v>0</v>
      </c>
      <c r="K3736">
        <v>0</v>
      </c>
      <c r="L3736">
        <v>115221415.2</v>
      </c>
      <c r="M3736">
        <v>115476894.09999999</v>
      </c>
      <c r="N3736">
        <v>115221415.2</v>
      </c>
      <c r="O3736">
        <v>115476894.09999999</v>
      </c>
      <c r="P3736">
        <v>100000000</v>
      </c>
      <c r="Q3736">
        <v>100000000</v>
      </c>
      <c r="R3736" s="14">
        <f>_xlfn.XLOOKUP(Table2[[#This Row],[LoanID]],Table1[G-L ID],Table1[ManagerCode],-99)</f>
        <v>103</v>
      </c>
      <c r="T3736"/>
    </row>
    <row r="3737" spans="1:20" x14ac:dyDescent="0.25">
      <c r="A3737">
        <v>20150731</v>
      </c>
      <c r="B3737">
        <v>2015</v>
      </c>
      <c r="C3737">
        <v>7</v>
      </c>
      <c r="D3737">
        <v>1</v>
      </c>
      <c r="E3737">
        <v>10240</v>
      </c>
      <c r="F3737">
        <v>71253.710000000006</v>
      </c>
      <c r="G3737">
        <v>0</v>
      </c>
      <c r="H3737">
        <v>0</v>
      </c>
      <c r="I3737">
        <v>0</v>
      </c>
      <c r="J3737">
        <v>0</v>
      </c>
      <c r="K3737">
        <v>0</v>
      </c>
      <c r="L3737">
        <v>10445205</v>
      </c>
      <c r="M3737">
        <v>10445205</v>
      </c>
      <c r="N3737">
        <v>10445205</v>
      </c>
      <c r="O3737">
        <v>10445205</v>
      </c>
      <c r="P3737">
        <v>10445205</v>
      </c>
      <c r="Q3737">
        <v>10445205</v>
      </c>
      <c r="R3737" s="14">
        <f>_xlfn.XLOOKUP(Table2[[#This Row],[LoanID]],Table1[G-L ID],Table1[ManagerCode],-99)</f>
        <v>220</v>
      </c>
      <c r="T3737"/>
    </row>
    <row r="3738" spans="1:20" x14ac:dyDescent="0.25">
      <c r="A3738">
        <v>20150731</v>
      </c>
      <c r="B3738">
        <v>2015</v>
      </c>
      <c r="C3738">
        <v>7</v>
      </c>
      <c r="D3738">
        <v>1</v>
      </c>
      <c r="E3738">
        <v>10250</v>
      </c>
      <c r="F3738">
        <v>48204.17</v>
      </c>
      <c r="G3738">
        <v>0</v>
      </c>
      <c r="H3738">
        <v>0</v>
      </c>
      <c r="I3738">
        <v>0</v>
      </c>
      <c r="J3738">
        <v>0</v>
      </c>
      <c r="K3738">
        <v>0</v>
      </c>
      <c r="L3738">
        <v>5000000</v>
      </c>
      <c r="M3738">
        <v>5000000</v>
      </c>
      <c r="N3738">
        <v>5000000</v>
      </c>
      <c r="O3738">
        <v>5000000</v>
      </c>
      <c r="P3738">
        <v>5000000</v>
      </c>
      <c r="Q3738">
        <v>5000000</v>
      </c>
      <c r="R3738" s="14">
        <f>_xlfn.XLOOKUP(Table2[[#This Row],[LoanID]],Table1[G-L ID],Table1[ManagerCode],-99)</f>
        <v>119</v>
      </c>
      <c r="T3738"/>
    </row>
    <row r="3739" spans="1:20" x14ac:dyDescent="0.25">
      <c r="A3739">
        <v>20150731</v>
      </c>
      <c r="B3739">
        <v>2015</v>
      </c>
      <c r="C3739">
        <v>7</v>
      </c>
      <c r="D3739">
        <v>1</v>
      </c>
      <c r="E3739">
        <v>10260</v>
      </c>
      <c r="F3739">
        <v>96550</v>
      </c>
      <c r="G3739">
        <v>0</v>
      </c>
      <c r="H3739">
        <v>0</v>
      </c>
      <c r="I3739">
        <v>0</v>
      </c>
      <c r="J3739">
        <v>0</v>
      </c>
      <c r="K3739">
        <v>0</v>
      </c>
      <c r="L3739">
        <v>15000000</v>
      </c>
      <c r="M3739">
        <v>15000000</v>
      </c>
      <c r="N3739">
        <v>15000000</v>
      </c>
      <c r="O3739">
        <v>15000000</v>
      </c>
      <c r="P3739">
        <v>15000000</v>
      </c>
      <c r="Q3739">
        <v>15000000</v>
      </c>
      <c r="R3739" s="14">
        <f>_xlfn.XLOOKUP(Table2[[#This Row],[LoanID]],Table1[G-L ID],Table1[ManagerCode],-99)</f>
        <v>220</v>
      </c>
      <c r="T3739"/>
    </row>
    <row r="3740" spans="1:20" x14ac:dyDescent="0.25">
      <c r="A3740">
        <v>20150731</v>
      </c>
      <c r="B3740">
        <v>2015</v>
      </c>
      <c r="C3740">
        <v>7</v>
      </c>
      <c r="D3740">
        <v>1</v>
      </c>
      <c r="E3740">
        <v>10270</v>
      </c>
      <c r="F3740">
        <v>45600.59</v>
      </c>
      <c r="G3740">
        <v>0</v>
      </c>
      <c r="H3740">
        <v>0</v>
      </c>
      <c r="I3740">
        <v>0</v>
      </c>
      <c r="J3740">
        <v>0</v>
      </c>
      <c r="K3740">
        <v>0</v>
      </c>
      <c r="L3740">
        <v>5400000</v>
      </c>
      <c r="M3740">
        <v>5400000</v>
      </c>
      <c r="N3740">
        <v>5400000</v>
      </c>
      <c r="O3740">
        <v>5400000</v>
      </c>
      <c r="P3740">
        <v>5400000</v>
      </c>
      <c r="Q3740">
        <v>5400000</v>
      </c>
      <c r="R3740" s="14">
        <f>_xlfn.XLOOKUP(Table2[[#This Row],[LoanID]],Table1[G-L ID],Table1[ManagerCode],-99)</f>
        <v>119</v>
      </c>
      <c r="T3740"/>
    </row>
    <row r="3741" spans="1:20" x14ac:dyDescent="0.25">
      <c r="A3741">
        <v>20150731</v>
      </c>
      <c r="B3741">
        <v>2015</v>
      </c>
      <c r="C3741">
        <v>7</v>
      </c>
      <c r="D3741">
        <v>1</v>
      </c>
      <c r="E3741">
        <v>10340</v>
      </c>
      <c r="F3741">
        <v>92737.95</v>
      </c>
      <c r="G3741">
        <v>0</v>
      </c>
      <c r="H3741">
        <v>0</v>
      </c>
      <c r="I3741">
        <v>0</v>
      </c>
      <c r="J3741">
        <v>0</v>
      </c>
      <c r="K3741">
        <v>12527473</v>
      </c>
      <c r="L3741">
        <v>12527473</v>
      </c>
      <c r="M3741">
        <v>0</v>
      </c>
      <c r="N3741">
        <v>12527473</v>
      </c>
      <c r="O3741">
        <v>0</v>
      </c>
      <c r="P3741">
        <v>12527473</v>
      </c>
      <c r="Q3741">
        <v>0</v>
      </c>
      <c r="R3741" s="14">
        <f>_xlfn.XLOOKUP(Table2[[#This Row],[LoanID]],Table1[G-L ID],Table1[ManagerCode],-99)</f>
        <v>220</v>
      </c>
      <c r="T3741"/>
    </row>
    <row r="3742" spans="1:20" x14ac:dyDescent="0.25">
      <c r="A3742">
        <v>20150731</v>
      </c>
      <c r="B3742">
        <v>2015</v>
      </c>
      <c r="C3742">
        <v>7</v>
      </c>
      <c r="D3742">
        <v>1</v>
      </c>
      <c r="E3742">
        <v>10350</v>
      </c>
      <c r="F3742">
        <v>180833.33</v>
      </c>
      <c r="G3742">
        <v>0</v>
      </c>
      <c r="H3742">
        <v>0</v>
      </c>
      <c r="I3742">
        <v>0</v>
      </c>
      <c r="J3742">
        <v>0</v>
      </c>
      <c r="K3742">
        <v>0</v>
      </c>
      <c r="L3742">
        <v>24800000</v>
      </c>
      <c r="M3742">
        <v>24800000</v>
      </c>
      <c r="N3742">
        <v>24800000</v>
      </c>
      <c r="O3742">
        <v>24800000</v>
      </c>
      <c r="P3742">
        <v>24800000</v>
      </c>
      <c r="Q3742">
        <v>24800000</v>
      </c>
      <c r="R3742" s="14">
        <f>_xlfn.XLOOKUP(Table2[[#This Row],[LoanID]],Table1[G-L ID],Table1[ManagerCode],-99)</f>
        <v>220</v>
      </c>
      <c r="T3742"/>
    </row>
    <row r="3743" spans="1:20" x14ac:dyDescent="0.25">
      <c r="A3743">
        <v>20150731</v>
      </c>
      <c r="B3743">
        <v>2015</v>
      </c>
      <c r="C3743">
        <v>7</v>
      </c>
      <c r="D3743">
        <v>1</v>
      </c>
      <c r="E3743">
        <v>10430</v>
      </c>
      <c r="F3743">
        <v>87439.1</v>
      </c>
      <c r="G3743">
        <v>0</v>
      </c>
      <c r="H3743">
        <v>0</v>
      </c>
      <c r="I3743">
        <v>0</v>
      </c>
      <c r="J3743">
        <v>0</v>
      </c>
      <c r="K3743">
        <v>23400</v>
      </c>
      <c r="L3743">
        <v>10836200</v>
      </c>
      <c r="M3743">
        <v>10812800</v>
      </c>
      <c r="N3743">
        <v>10836200</v>
      </c>
      <c r="O3743">
        <v>10812800</v>
      </c>
      <c r="P3743">
        <v>10836200</v>
      </c>
      <c r="Q3743">
        <v>10812800</v>
      </c>
      <c r="R3743" s="14">
        <f>_xlfn.XLOOKUP(Table2[[#This Row],[LoanID]],Table1[G-L ID],Table1[ManagerCode],-99)</f>
        <v>119</v>
      </c>
      <c r="T3743"/>
    </row>
    <row r="3744" spans="1:20" x14ac:dyDescent="0.25">
      <c r="A3744">
        <v>20150731</v>
      </c>
      <c r="B3744">
        <v>2015</v>
      </c>
      <c r="C3744">
        <v>7</v>
      </c>
      <c r="D3744">
        <v>1</v>
      </c>
      <c r="E3744">
        <v>10460</v>
      </c>
      <c r="F3744">
        <v>248066.67</v>
      </c>
      <c r="G3744">
        <v>0</v>
      </c>
      <c r="H3744">
        <v>0</v>
      </c>
      <c r="I3744">
        <v>0</v>
      </c>
      <c r="J3744">
        <v>0</v>
      </c>
      <c r="K3744">
        <v>0</v>
      </c>
      <c r="L3744">
        <v>59790405.420000002</v>
      </c>
      <c r="M3744">
        <v>59799562.409999996</v>
      </c>
      <c r="N3744">
        <v>59790405.420000002</v>
      </c>
      <c r="O3744">
        <v>59799562.409999996</v>
      </c>
      <c r="P3744">
        <v>60000000</v>
      </c>
      <c r="Q3744">
        <v>60000000</v>
      </c>
      <c r="R3744" s="14">
        <f>_xlfn.XLOOKUP(Table2[[#This Row],[LoanID]],Table1[G-L ID],Table1[ManagerCode],-99)</f>
        <v>103</v>
      </c>
      <c r="T3744"/>
    </row>
    <row r="3745" spans="1:20" x14ac:dyDescent="0.25">
      <c r="A3745">
        <v>20150731</v>
      </c>
      <c r="B3745">
        <v>2015</v>
      </c>
      <c r="C3745">
        <v>7</v>
      </c>
      <c r="D3745">
        <v>1</v>
      </c>
      <c r="E3745">
        <v>10470</v>
      </c>
      <c r="F3745">
        <v>113951.39</v>
      </c>
      <c r="G3745">
        <v>0</v>
      </c>
      <c r="H3745">
        <v>0</v>
      </c>
      <c r="I3745">
        <v>0</v>
      </c>
      <c r="J3745">
        <v>0</v>
      </c>
      <c r="K3745">
        <v>0</v>
      </c>
      <c r="L3745">
        <v>25000000</v>
      </c>
      <c r="M3745">
        <v>25000000</v>
      </c>
      <c r="N3745">
        <v>25000000</v>
      </c>
      <c r="O3745">
        <v>25000000</v>
      </c>
      <c r="P3745">
        <v>25000000</v>
      </c>
      <c r="Q3745">
        <v>25000000</v>
      </c>
      <c r="R3745" s="14">
        <f>_xlfn.XLOOKUP(Table2[[#This Row],[LoanID]],Table1[G-L ID],Table1[ManagerCode],-99)</f>
        <v>103</v>
      </c>
      <c r="T3745"/>
    </row>
    <row r="3746" spans="1:20" x14ac:dyDescent="0.25">
      <c r="A3746">
        <v>20150731</v>
      </c>
      <c r="B3746">
        <v>2015</v>
      </c>
      <c r="C3746">
        <v>7</v>
      </c>
      <c r="D3746">
        <v>1</v>
      </c>
      <c r="E3746">
        <v>10480</v>
      </c>
      <c r="F3746">
        <v>151321.51</v>
      </c>
      <c r="G3746">
        <v>0</v>
      </c>
      <c r="H3746">
        <v>0</v>
      </c>
      <c r="I3746">
        <v>0</v>
      </c>
      <c r="J3746">
        <v>0</v>
      </c>
      <c r="K3746">
        <v>0</v>
      </c>
      <c r="L3746">
        <v>21350000</v>
      </c>
      <c r="M3746">
        <v>21350000</v>
      </c>
      <c r="N3746">
        <v>21350000</v>
      </c>
      <c r="O3746">
        <v>21350000</v>
      </c>
      <c r="P3746">
        <v>21350000</v>
      </c>
      <c r="Q3746">
        <v>21350000</v>
      </c>
      <c r="R3746" s="14">
        <f>_xlfn.XLOOKUP(Table2[[#This Row],[LoanID]],Table1[G-L ID],Table1[ManagerCode],-99)</f>
        <v>119</v>
      </c>
      <c r="T3746"/>
    </row>
    <row r="3747" spans="1:20" x14ac:dyDescent="0.25">
      <c r="A3747">
        <v>20150731</v>
      </c>
      <c r="B3747">
        <v>2015</v>
      </c>
      <c r="C3747">
        <v>7</v>
      </c>
      <c r="D3747">
        <v>1</v>
      </c>
      <c r="E3747">
        <v>10570</v>
      </c>
      <c r="F3747">
        <v>773442.3</v>
      </c>
      <c r="G3747">
        <v>0</v>
      </c>
      <c r="H3747">
        <v>0</v>
      </c>
      <c r="I3747">
        <v>0</v>
      </c>
      <c r="J3747">
        <v>0</v>
      </c>
      <c r="K3747">
        <v>0</v>
      </c>
      <c r="L3747">
        <v>156344418.40000001</v>
      </c>
      <c r="M3747">
        <v>156356260.69999999</v>
      </c>
      <c r="N3747">
        <v>156344418.40000001</v>
      </c>
      <c r="O3747">
        <v>156356260.69999999</v>
      </c>
      <c r="P3747">
        <v>156356260.69999999</v>
      </c>
      <c r="Q3747">
        <v>156356260.69999999</v>
      </c>
      <c r="R3747" s="14">
        <f>_xlfn.XLOOKUP(Table2[[#This Row],[LoanID]],Table1[G-L ID],Table1[ManagerCode],-99)</f>
        <v>103</v>
      </c>
      <c r="T3747"/>
    </row>
    <row r="3748" spans="1:20" x14ac:dyDescent="0.25">
      <c r="A3748">
        <v>20150731</v>
      </c>
      <c r="B3748">
        <v>2015</v>
      </c>
      <c r="C3748">
        <v>7</v>
      </c>
      <c r="D3748">
        <v>1</v>
      </c>
      <c r="E3748">
        <v>10591</v>
      </c>
      <c r="F3748">
        <v>209909.63</v>
      </c>
      <c r="G3748">
        <v>0</v>
      </c>
      <c r="H3748">
        <v>0</v>
      </c>
      <c r="I3748">
        <v>0</v>
      </c>
      <c r="J3748">
        <v>0</v>
      </c>
      <c r="K3748">
        <v>163902.57999999999</v>
      </c>
      <c r="L3748">
        <v>24707022.98</v>
      </c>
      <c r="M3748">
        <v>24543120.399999999</v>
      </c>
      <c r="N3748">
        <v>24707022.98</v>
      </c>
      <c r="O3748">
        <v>24543120.399999999</v>
      </c>
      <c r="P3748">
        <v>24707022.98</v>
      </c>
      <c r="Q3748">
        <v>24543120.399999999</v>
      </c>
      <c r="R3748" s="14">
        <f>_xlfn.XLOOKUP(Table2[[#This Row],[LoanID]],Table1[G-L ID],Table1[ManagerCode],-99)</f>
        <v>220</v>
      </c>
      <c r="T3748"/>
    </row>
    <row r="3749" spans="1:20" x14ac:dyDescent="0.25">
      <c r="A3749">
        <v>20150731</v>
      </c>
      <c r="B3749">
        <v>2015</v>
      </c>
      <c r="C3749">
        <v>7</v>
      </c>
      <c r="D3749">
        <v>1</v>
      </c>
      <c r="E3749">
        <v>10592</v>
      </c>
      <c r="F3749">
        <v>348198</v>
      </c>
      <c r="G3749">
        <v>0</v>
      </c>
      <c r="H3749">
        <v>0</v>
      </c>
      <c r="I3749">
        <v>0</v>
      </c>
      <c r="J3749">
        <v>0</v>
      </c>
      <c r="K3749">
        <v>241951.42</v>
      </c>
      <c r="L3749">
        <v>36671050.859999999</v>
      </c>
      <c r="M3749">
        <v>36427780.770000003</v>
      </c>
      <c r="N3749">
        <v>36671050.859999999</v>
      </c>
      <c r="O3749">
        <v>36427780.770000003</v>
      </c>
      <c r="P3749">
        <v>36472272.020000003</v>
      </c>
      <c r="Q3749">
        <v>36230320.600000001</v>
      </c>
      <c r="R3749" s="14">
        <f>_xlfn.XLOOKUP(Table2[[#This Row],[LoanID]],Table1[G-L ID],Table1[ManagerCode],-99)</f>
        <v>220</v>
      </c>
      <c r="T3749"/>
    </row>
    <row r="3750" spans="1:20" x14ac:dyDescent="0.25">
      <c r="A3750">
        <v>20150731</v>
      </c>
      <c r="B3750">
        <v>2015</v>
      </c>
      <c r="C3750">
        <v>7</v>
      </c>
      <c r="D3750">
        <v>1</v>
      </c>
      <c r="E3750">
        <v>10640</v>
      </c>
      <c r="F3750">
        <v>75244.22</v>
      </c>
      <c r="G3750">
        <v>0</v>
      </c>
      <c r="H3750">
        <v>0</v>
      </c>
      <c r="I3750">
        <v>0</v>
      </c>
      <c r="J3750">
        <v>0</v>
      </c>
      <c r="K3750">
        <v>2098377</v>
      </c>
      <c r="L3750">
        <v>11164281.33</v>
      </c>
      <c r="M3750">
        <v>9048195.0899999999</v>
      </c>
      <c r="N3750">
        <v>11164281.33</v>
      </c>
      <c r="O3750">
        <v>9048195.0899999999</v>
      </c>
      <c r="P3750">
        <v>11070849</v>
      </c>
      <c r="Q3750">
        <v>8972472</v>
      </c>
      <c r="R3750" s="14">
        <f>_xlfn.XLOOKUP(Table2[[#This Row],[LoanID]],Table1[G-L ID],Table1[ManagerCode],-99)</f>
        <v>220</v>
      </c>
      <c r="T3750"/>
    </row>
    <row r="3751" spans="1:20" x14ac:dyDescent="0.25">
      <c r="A3751">
        <v>20150731</v>
      </c>
      <c r="B3751">
        <v>2015</v>
      </c>
      <c r="C3751">
        <v>7</v>
      </c>
      <c r="D3751">
        <v>1</v>
      </c>
      <c r="E3751">
        <v>10680</v>
      </c>
      <c r="F3751">
        <v>56237.53</v>
      </c>
      <c r="G3751">
        <v>0</v>
      </c>
      <c r="H3751">
        <v>0</v>
      </c>
      <c r="I3751">
        <v>0</v>
      </c>
      <c r="J3751">
        <v>0</v>
      </c>
      <c r="K3751">
        <v>0</v>
      </c>
      <c r="L3751">
        <v>6964400</v>
      </c>
      <c r="M3751">
        <v>6964400</v>
      </c>
      <c r="N3751">
        <v>6964400</v>
      </c>
      <c r="O3751">
        <v>6964400</v>
      </c>
      <c r="P3751">
        <v>6964400</v>
      </c>
      <c r="Q3751">
        <v>6964400</v>
      </c>
      <c r="R3751" s="14">
        <f>_xlfn.XLOOKUP(Table2[[#This Row],[LoanID]],Table1[G-L ID],Table1[ManagerCode],-99)</f>
        <v>119</v>
      </c>
      <c r="T3751"/>
    </row>
    <row r="3752" spans="1:20" x14ac:dyDescent="0.25">
      <c r="A3752">
        <v>20150731</v>
      </c>
      <c r="B3752">
        <v>2015</v>
      </c>
      <c r="C3752">
        <v>7</v>
      </c>
      <c r="D3752">
        <v>1</v>
      </c>
      <c r="E3752">
        <v>10720</v>
      </c>
      <c r="F3752">
        <v>125000</v>
      </c>
      <c r="G3752">
        <v>77274.37</v>
      </c>
      <c r="H3752">
        <v>0</v>
      </c>
      <c r="I3752">
        <v>0</v>
      </c>
      <c r="J3752">
        <v>0</v>
      </c>
      <c r="K3752">
        <v>0</v>
      </c>
      <c r="L3752">
        <v>16672042.789999999</v>
      </c>
      <c r="M3752">
        <v>16754312.02</v>
      </c>
      <c r="N3752">
        <v>16672042.789999999</v>
      </c>
      <c r="O3752">
        <v>16754312.02</v>
      </c>
      <c r="P3752">
        <v>15659951.02</v>
      </c>
      <c r="Q3752">
        <v>15737225.390000001</v>
      </c>
      <c r="R3752" s="14">
        <f>_xlfn.XLOOKUP(Table2[[#This Row],[LoanID]],Table1[G-L ID],Table1[ManagerCode],-99)</f>
        <v>220</v>
      </c>
      <c r="T3752"/>
    </row>
    <row r="3753" spans="1:20" x14ac:dyDescent="0.25">
      <c r="A3753">
        <v>20150731</v>
      </c>
      <c r="B3753">
        <v>2015</v>
      </c>
      <c r="C3753">
        <v>7</v>
      </c>
      <c r="D3753">
        <v>1</v>
      </c>
      <c r="E3753">
        <v>10740</v>
      </c>
      <c r="F3753">
        <v>0</v>
      </c>
      <c r="G3753">
        <v>0</v>
      </c>
      <c r="H3753">
        <v>0</v>
      </c>
      <c r="I3753">
        <v>0</v>
      </c>
      <c r="J3753">
        <v>0</v>
      </c>
      <c r="K3753">
        <v>0</v>
      </c>
      <c r="L3753">
        <v>448674895.10000002</v>
      </c>
      <c r="M3753">
        <v>447583361.10000002</v>
      </c>
      <c r="N3753">
        <v>448674895.10000002</v>
      </c>
      <c r="O3753">
        <v>447583361.10000002</v>
      </c>
      <c r="P3753">
        <v>461801475</v>
      </c>
      <c r="Q3753">
        <v>461801475</v>
      </c>
      <c r="R3753" s="14">
        <f>_xlfn.XLOOKUP(Table2[[#This Row],[LoanID]],Table1[G-L ID],Table1[ManagerCode],-99)</f>
        <v>103</v>
      </c>
      <c r="T3753"/>
    </row>
    <row r="3754" spans="1:20" x14ac:dyDescent="0.25">
      <c r="A3754">
        <v>20150731</v>
      </c>
      <c r="B3754">
        <v>2015</v>
      </c>
      <c r="C3754">
        <v>7</v>
      </c>
      <c r="D3754">
        <v>1</v>
      </c>
      <c r="E3754">
        <v>10750</v>
      </c>
      <c r="F3754">
        <v>68110.559999999998</v>
      </c>
      <c r="G3754">
        <v>0</v>
      </c>
      <c r="H3754">
        <v>0</v>
      </c>
      <c r="I3754">
        <v>0</v>
      </c>
      <c r="J3754">
        <v>-229673.96</v>
      </c>
      <c r="K3754">
        <v>0</v>
      </c>
      <c r="L3754">
        <v>8750000</v>
      </c>
      <c r="M3754">
        <v>8979673.9600000009</v>
      </c>
      <c r="N3754">
        <v>8750000</v>
      </c>
      <c r="O3754">
        <v>8979673.9600000009</v>
      </c>
      <c r="P3754">
        <v>8750000</v>
      </c>
      <c r="Q3754">
        <v>8979673.9600000009</v>
      </c>
      <c r="R3754" s="14">
        <f>_xlfn.XLOOKUP(Table2[[#This Row],[LoanID]],Table1[G-L ID],Table1[ManagerCode],-99)</f>
        <v>119</v>
      </c>
      <c r="T3754"/>
    </row>
    <row r="3755" spans="1:20" x14ac:dyDescent="0.25">
      <c r="A3755">
        <v>20150731</v>
      </c>
      <c r="B3755">
        <v>2015</v>
      </c>
      <c r="C3755">
        <v>7</v>
      </c>
      <c r="D3755">
        <v>1</v>
      </c>
      <c r="E3755">
        <v>10780</v>
      </c>
      <c r="F3755">
        <v>302290</v>
      </c>
      <c r="G3755">
        <v>0</v>
      </c>
      <c r="H3755">
        <v>0</v>
      </c>
      <c r="I3755">
        <v>0</v>
      </c>
      <c r="J3755">
        <v>0</v>
      </c>
      <c r="K3755">
        <v>0</v>
      </c>
      <c r="L3755">
        <v>43000000</v>
      </c>
      <c r="M3755">
        <v>43000000</v>
      </c>
      <c r="N3755">
        <v>43000000</v>
      </c>
      <c r="O3755">
        <v>43000000</v>
      </c>
      <c r="P3755">
        <v>43000000</v>
      </c>
      <c r="Q3755">
        <v>43000000</v>
      </c>
      <c r="R3755" s="14">
        <f>_xlfn.XLOOKUP(Table2[[#This Row],[LoanID]],Table1[G-L ID],Table1[ManagerCode],-99)</f>
        <v>220</v>
      </c>
      <c r="T3755"/>
    </row>
    <row r="3756" spans="1:20" x14ac:dyDescent="0.25">
      <c r="A3756">
        <v>20150731</v>
      </c>
      <c r="B3756">
        <v>2015</v>
      </c>
      <c r="C3756">
        <v>7</v>
      </c>
      <c r="D3756">
        <v>1</v>
      </c>
      <c r="E3756">
        <v>10800</v>
      </c>
      <c r="F3756">
        <v>209863.33</v>
      </c>
      <c r="G3756">
        <v>0</v>
      </c>
      <c r="H3756">
        <v>0</v>
      </c>
      <c r="I3756">
        <v>0</v>
      </c>
      <c r="J3756">
        <v>0</v>
      </c>
      <c r="K3756">
        <v>0</v>
      </c>
      <c r="L3756">
        <v>26000000</v>
      </c>
      <c r="M3756">
        <v>26000000</v>
      </c>
      <c r="N3756">
        <v>26000000</v>
      </c>
      <c r="O3756">
        <v>26000000</v>
      </c>
      <c r="P3756">
        <v>26000000</v>
      </c>
      <c r="Q3756">
        <v>26000000</v>
      </c>
      <c r="R3756" s="14">
        <f>_xlfn.XLOOKUP(Table2[[#This Row],[LoanID]],Table1[G-L ID],Table1[ManagerCode],-99)</f>
        <v>220</v>
      </c>
      <c r="T3756"/>
    </row>
    <row r="3757" spans="1:20" x14ac:dyDescent="0.25">
      <c r="A3757">
        <v>20150731</v>
      </c>
      <c r="B3757">
        <v>2015</v>
      </c>
      <c r="C3757">
        <v>7</v>
      </c>
      <c r="D3757">
        <v>1</v>
      </c>
      <c r="E3757">
        <v>10820</v>
      </c>
      <c r="F3757">
        <v>179698.91</v>
      </c>
      <c r="G3757">
        <v>0</v>
      </c>
      <c r="H3757">
        <v>0</v>
      </c>
      <c r="I3757">
        <v>0</v>
      </c>
      <c r="J3757">
        <v>0</v>
      </c>
      <c r="K3757">
        <v>0</v>
      </c>
      <c r="L3757">
        <v>22993894.27</v>
      </c>
      <c r="M3757">
        <v>22993894.27</v>
      </c>
      <c r="N3757">
        <v>22993894.27</v>
      </c>
      <c r="O3757">
        <v>22993894.27</v>
      </c>
      <c r="P3757">
        <v>22698809.739999998</v>
      </c>
      <c r="Q3757">
        <v>22698809.739999998</v>
      </c>
      <c r="R3757" s="14">
        <f>_xlfn.XLOOKUP(Table2[[#This Row],[LoanID]],Table1[G-L ID],Table1[ManagerCode],-99)</f>
        <v>220</v>
      </c>
      <c r="T3757"/>
    </row>
    <row r="3758" spans="1:20" x14ac:dyDescent="0.25">
      <c r="A3758">
        <v>20150731</v>
      </c>
      <c r="B3758">
        <v>2015</v>
      </c>
      <c r="C3758">
        <v>7</v>
      </c>
      <c r="D3758">
        <v>1</v>
      </c>
      <c r="E3758">
        <v>10830</v>
      </c>
      <c r="F3758">
        <v>60898.92</v>
      </c>
      <c r="G3758">
        <v>0</v>
      </c>
      <c r="H3758">
        <v>0</v>
      </c>
      <c r="I3758">
        <v>0</v>
      </c>
      <c r="J3758">
        <v>0</v>
      </c>
      <c r="K3758">
        <v>0</v>
      </c>
      <c r="L3758">
        <v>7783125.2999999998</v>
      </c>
      <c r="M3758">
        <v>7783125.2999999998</v>
      </c>
      <c r="N3758">
        <v>7783125.2999999998</v>
      </c>
      <c r="O3758">
        <v>7783125.2999999998</v>
      </c>
      <c r="P3758">
        <v>7683243.1399999997</v>
      </c>
      <c r="Q3758">
        <v>7683243.1399999997</v>
      </c>
      <c r="R3758" s="14">
        <f>_xlfn.XLOOKUP(Table2[[#This Row],[LoanID]],Table1[G-L ID],Table1[ManagerCode],-99)</f>
        <v>220</v>
      </c>
      <c r="T3758"/>
    </row>
    <row r="3759" spans="1:20" x14ac:dyDescent="0.25">
      <c r="A3759">
        <v>20150731</v>
      </c>
      <c r="B3759">
        <v>2015</v>
      </c>
      <c r="C3759">
        <v>7</v>
      </c>
      <c r="D3759">
        <v>1</v>
      </c>
      <c r="E3759">
        <v>10840</v>
      </c>
      <c r="F3759">
        <v>100614.41</v>
      </c>
      <c r="G3759">
        <v>0</v>
      </c>
      <c r="H3759">
        <v>0</v>
      </c>
      <c r="I3759">
        <v>0</v>
      </c>
      <c r="J3759">
        <v>0</v>
      </c>
      <c r="K3759">
        <v>0</v>
      </c>
      <c r="L3759">
        <v>12874408.460000001</v>
      </c>
      <c r="M3759">
        <v>12874408.460000001</v>
      </c>
      <c r="N3759">
        <v>12874408.460000001</v>
      </c>
      <c r="O3759">
        <v>12874408.460000001</v>
      </c>
      <c r="P3759">
        <v>12709189</v>
      </c>
      <c r="Q3759">
        <v>12709189</v>
      </c>
      <c r="R3759" s="14">
        <f>_xlfn.XLOOKUP(Table2[[#This Row],[LoanID]],Table1[G-L ID],Table1[ManagerCode],-99)</f>
        <v>220</v>
      </c>
      <c r="T3759"/>
    </row>
    <row r="3760" spans="1:20" x14ac:dyDescent="0.25">
      <c r="A3760">
        <v>20150731</v>
      </c>
      <c r="B3760">
        <v>2015</v>
      </c>
      <c r="C3760">
        <v>7</v>
      </c>
      <c r="D3760">
        <v>1</v>
      </c>
      <c r="E3760">
        <v>10850</v>
      </c>
      <c r="F3760">
        <v>106969.15</v>
      </c>
      <c r="G3760">
        <v>0</v>
      </c>
      <c r="H3760">
        <v>0</v>
      </c>
      <c r="I3760">
        <v>0</v>
      </c>
      <c r="J3760">
        <v>0</v>
      </c>
      <c r="K3760">
        <v>0</v>
      </c>
      <c r="L3760">
        <v>13687546.6</v>
      </c>
      <c r="M3760">
        <v>13687546.6</v>
      </c>
      <c r="N3760">
        <v>13687546.6</v>
      </c>
      <c r="O3760">
        <v>13687546.6</v>
      </c>
      <c r="P3760">
        <v>13511892</v>
      </c>
      <c r="Q3760">
        <v>13511892</v>
      </c>
      <c r="R3760" s="14">
        <f>_xlfn.XLOOKUP(Table2[[#This Row],[LoanID]],Table1[G-L ID],Table1[ManagerCode],-99)</f>
        <v>220</v>
      </c>
      <c r="T3760"/>
    </row>
    <row r="3761" spans="1:20" x14ac:dyDescent="0.25">
      <c r="A3761">
        <v>20150731</v>
      </c>
      <c r="B3761">
        <v>2015</v>
      </c>
      <c r="C3761">
        <v>7</v>
      </c>
      <c r="D3761">
        <v>1</v>
      </c>
      <c r="E3761">
        <v>10860</v>
      </c>
      <c r="F3761">
        <v>114219.17</v>
      </c>
      <c r="G3761">
        <v>0</v>
      </c>
      <c r="H3761">
        <v>0</v>
      </c>
      <c r="I3761">
        <v>0</v>
      </c>
      <c r="J3761">
        <v>0</v>
      </c>
      <c r="K3761">
        <v>0</v>
      </c>
      <c r="L3761">
        <v>19475000</v>
      </c>
      <c r="M3761">
        <v>19475000</v>
      </c>
      <c r="N3761">
        <v>19475000</v>
      </c>
      <c r="O3761">
        <v>19475000</v>
      </c>
      <c r="P3761">
        <v>20500000</v>
      </c>
      <c r="Q3761">
        <v>20500000</v>
      </c>
      <c r="R3761" s="14">
        <f>_xlfn.XLOOKUP(Table2[[#This Row],[LoanID]],Table1[G-L ID],Table1[ManagerCode],-99)</f>
        <v>103</v>
      </c>
      <c r="T3761"/>
    </row>
    <row r="3762" spans="1:20" x14ac:dyDescent="0.25">
      <c r="A3762">
        <v>20150731</v>
      </c>
      <c r="B3762">
        <v>2015</v>
      </c>
      <c r="C3762">
        <v>7</v>
      </c>
      <c r="D3762">
        <v>1</v>
      </c>
      <c r="E3762">
        <v>10910</v>
      </c>
      <c r="F3762">
        <v>99776.39</v>
      </c>
      <c r="G3762">
        <v>0</v>
      </c>
      <c r="H3762">
        <v>0</v>
      </c>
      <c r="I3762">
        <v>0</v>
      </c>
      <c r="J3762">
        <v>0</v>
      </c>
      <c r="K3762">
        <v>0</v>
      </c>
      <c r="L3762">
        <v>22500000</v>
      </c>
      <c r="M3762">
        <v>22500000</v>
      </c>
      <c r="N3762">
        <v>22500000</v>
      </c>
      <c r="O3762">
        <v>22500000</v>
      </c>
      <c r="P3762">
        <v>22500000</v>
      </c>
      <c r="Q3762">
        <v>22500000</v>
      </c>
      <c r="R3762" s="14">
        <f>_xlfn.XLOOKUP(Table2[[#This Row],[LoanID]],Table1[G-L ID],Table1[ManagerCode],-99)</f>
        <v>119</v>
      </c>
      <c r="T3762"/>
    </row>
    <row r="3763" spans="1:20" x14ac:dyDescent="0.25">
      <c r="A3763">
        <v>20150731</v>
      </c>
      <c r="B3763">
        <v>2015</v>
      </c>
      <c r="C3763">
        <v>7</v>
      </c>
      <c r="D3763">
        <v>1</v>
      </c>
      <c r="E3763">
        <v>10930</v>
      </c>
      <c r="F3763">
        <v>0</v>
      </c>
      <c r="G3763">
        <v>152143.75</v>
      </c>
      <c r="H3763">
        <v>0</v>
      </c>
      <c r="I3763">
        <v>0</v>
      </c>
      <c r="J3763">
        <v>0</v>
      </c>
      <c r="K3763">
        <v>0</v>
      </c>
      <c r="L3763">
        <v>13779768.74</v>
      </c>
      <c r="M3763">
        <v>13931912.49</v>
      </c>
      <c r="N3763">
        <v>13779768.74</v>
      </c>
      <c r="O3763">
        <v>13931912.49</v>
      </c>
      <c r="P3763">
        <v>13779768.74</v>
      </c>
      <c r="Q3763">
        <v>13931912.49</v>
      </c>
      <c r="R3763" s="14">
        <f>_xlfn.XLOOKUP(Table2[[#This Row],[LoanID]],Table1[G-L ID],Table1[ManagerCode],-99)</f>
        <v>183</v>
      </c>
      <c r="T3763"/>
    </row>
    <row r="3764" spans="1:20" x14ac:dyDescent="0.25">
      <c r="A3764">
        <v>20150731</v>
      </c>
      <c r="B3764">
        <v>2015</v>
      </c>
      <c r="C3764">
        <v>7</v>
      </c>
      <c r="D3764">
        <v>1</v>
      </c>
      <c r="E3764">
        <v>10940</v>
      </c>
      <c r="F3764">
        <v>58988.89</v>
      </c>
      <c r="G3764">
        <v>79566.19</v>
      </c>
      <c r="H3764">
        <v>0</v>
      </c>
      <c r="I3764">
        <v>0</v>
      </c>
      <c r="J3764">
        <v>-58988.89</v>
      </c>
      <c r="K3764">
        <v>0</v>
      </c>
      <c r="L3764">
        <v>11917232.050000001</v>
      </c>
      <c r="M3764">
        <v>12055787.130000001</v>
      </c>
      <c r="N3764">
        <v>11917232.050000001</v>
      </c>
      <c r="O3764">
        <v>12055787.130000001</v>
      </c>
      <c r="P3764">
        <v>11917232.050000001</v>
      </c>
      <c r="Q3764">
        <v>12055787.130000001</v>
      </c>
      <c r="R3764" s="14">
        <f>_xlfn.XLOOKUP(Table2[[#This Row],[LoanID]],Table1[G-L ID],Table1[ManagerCode],-99)</f>
        <v>183</v>
      </c>
      <c r="T3764"/>
    </row>
    <row r="3765" spans="1:20" x14ac:dyDescent="0.25">
      <c r="A3765">
        <v>20150731</v>
      </c>
      <c r="B3765">
        <v>2015</v>
      </c>
      <c r="C3765">
        <v>7</v>
      </c>
      <c r="D3765">
        <v>1</v>
      </c>
      <c r="E3765">
        <v>10960</v>
      </c>
      <c r="F3765">
        <v>67459.86</v>
      </c>
      <c r="G3765">
        <v>0</v>
      </c>
      <c r="H3765">
        <v>0</v>
      </c>
      <c r="I3765">
        <v>0</v>
      </c>
      <c r="J3765">
        <v>0</v>
      </c>
      <c r="K3765">
        <v>0</v>
      </c>
      <c r="L3765">
        <v>6328375.2300000004</v>
      </c>
      <c r="M3765">
        <v>6328375.2300000004</v>
      </c>
      <c r="N3765">
        <v>6328375.2300000004</v>
      </c>
      <c r="O3765">
        <v>6328375.2300000004</v>
      </c>
      <c r="P3765">
        <v>6328375.2300000004</v>
      </c>
      <c r="Q3765">
        <v>6328375.2300000004</v>
      </c>
      <c r="R3765" s="14">
        <f>_xlfn.XLOOKUP(Table2[[#This Row],[LoanID]],Table1[G-L ID],Table1[ManagerCode],-99)</f>
        <v>119</v>
      </c>
      <c r="T3765"/>
    </row>
    <row r="3766" spans="1:20" x14ac:dyDescent="0.25">
      <c r="A3766">
        <v>20150731</v>
      </c>
      <c r="B3766">
        <v>2015</v>
      </c>
      <c r="C3766">
        <v>7</v>
      </c>
      <c r="D3766">
        <v>1</v>
      </c>
      <c r="E3766">
        <v>11010</v>
      </c>
      <c r="F3766">
        <v>202813.33</v>
      </c>
      <c r="G3766">
        <v>0</v>
      </c>
      <c r="H3766">
        <v>0</v>
      </c>
      <c r="I3766">
        <v>0</v>
      </c>
      <c r="J3766">
        <v>0</v>
      </c>
      <c r="K3766">
        <v>0</v>
      </c>
      <c r="L3766">
        <v>26500000</v>
      </c>
      <c r="M3766">
        <v>26500000</v>
      </c>
      <c r="N3766">
        <v>26500000</v>
      </c>
      <c r="O3766">
        <v>26500000</v>
      </c>
      <c r="P3766">
        <v>26500000</v>
      </c>
      <c r="Q3766">
        <v>26500000</v>
      </c>
      <c r="R3766" s="14">
        <f>_xlfn.XLOOKUP(Table2[[#This Row],[LoanID]],Table1[G-L ID],Table1[ManagerCode],-99)</f>
        <v>119</v>
      </c>
      <c r="T3766"/>
    </row>
    <row r="3767" spans="1:20" x14ac:dyDescent="0.25">
      <c r="A3767">
        <v>20150731</v>
      </c>
      <c r="B3767">
        <v>2015</v>
      </c>
      <c r="C3767">
        <v>7</v>
      </c>
      <c r="D3767">
        <v>1</v>
      </c>
      <c r="E3767">
        <v>11030</v>
      </c>
      <c r="F3767">
        <v>63226.67</v>
      </c>
      <c r="G3767">
        <v>0</v>
      </c>
      <c r="H3767">
        <v>0</v>
      </c>
      <c r="I3767">
        <v>0</v>
      </c>
      <c r="J3767">
        <v>0</v>
      </c>
      <c r="K3767">
        <v>0</v>
      </c>
      <c r="L3767">
        <v>8000000</v>
      </c>
      <c r="M3767">
        <v>8000000</v>
      </c>
      <c r="N3767">
        <v>8000000</v>
      </c>
      <c r="O3767">
        <v>8000000</v>
      </c>
      <c r="P3767">
        <v>8000000</v>
      </c>
      <c r="Q3767">
        <v>8000000</v>
      </c>
      <c r="R3767" s="14">
        <f>_xlfn.XLOOKUP(Table2[[#This Row],[LoanID]],Table1[G-L ID],Table1[ManagerCode],-99)</f>
        <v>119</v>
      </c>
      <c r="T3767"/>
    </row>
    <row r="3768" spans="1:20" x14ac:dyDescent="0.25">
      <c r="A3768">
        <v>20150731</v>
      </c>
      <c r="B3768">
        <v>2015</v>
      </c>
      <c r="C3768">
        <v>7</v>
      </c>
      <c r="D3768">
        <v>1</v>
      </c>
      <c r="E3768">
        <v>11040</v>
      </c>
      <c r="F3768">
        <v>507750</v>
      </c>
      <c r="G3768">
        <v>0</v>
      </c>
      <c r="H3768">
        <v>0</v>
      </c>
      <c r="I3768">
        <v>0</v>
      </c>
      <c r="J3768">
        <v>0</v>
      </c>
      <c r="K3768">
        <v>0</v>
      </c>
      <c r="L3768">
        <v>51000000</v>
      </c>
      <c r="M3768">
        <v>51000000</v>
      </c>
      <c r="N3768">
        <v>51000000</v>
      </c>
      <c r="O3768">
        <v>51000000</v>
      </c>
      <c r="P3768">
        <v>50000000</v>
      </c>
      <c r="Q3768">
        <v>50000000</v>
      </c>
      <c r="R3768" s="14">
        <f>_xlfn.XLOOKUP(Table2[[#This Row],[LoanID]],Table1[G-L ID],Table1[ManagerCode],-99)</f>
        <v>220</v>
      </c>
      <c r="T3768"/>
    </row>
    <row r="3769" spans="1:20" x14ac:dyDescent="0.25">
      <c r="A3769">
        <v>20150731</v>
      </c>
      <c r="B3769">
        <v>2015</v>
      </c>
      <c r="C3769">
        <v>7</v>
      </c>
      <c r="D3769">
        <v>1</v>
      </c>
      <c r="E3769">
        <v>11050</v>
      </c>
      <c r="F3769">
        <v>591573</v>
      </c>
      <c r="G3769">
        <v>0</v>
      </c>
      <c r="H3769">
        <v>0</v>
      </c>
      <c r="I3769">
        <v>0</v>
      </c>
      <c r="J3769">
        <v>0</v>
      </c>
      <c r="K3769">
        <v>0</v>
      </c>
      <c r="L3769">
        <v>29300000</v>
      </c>
      <c r="M3769">
        <v>29300000</v>
      </c>
      <c r="N3769">
        <v>29300000</v>
      </c>
      <c r="O3769">
        <v>29300000</v>
      </c>
      <c r="P3769">
        <v>28500000</v>
      </c>
      <c r="Q3769">
        <v>28500000</v>
      </c>
      <c r="R3769" s="14">
        <f>_xlfn.XLOOKUP(Table2[[#This Row],[LoanID]],Table1[G-L ID],Table1[ManagerCode],-99)</f>
        <v>220</v>
      </c>
      <c r="T3769"/>
    </row>
    <row r="3770" spans="1:20" x14ac:dyDescent="0.25">
      <c r="A3770">
        <v>20150731</v>
      </c>
      <c r="B3770">
        <v>2015</v>
      </c>
      <c r="C3770">
        <v>7</v>
      </c>
      <c r="D3770">
        <v>1</v>
      </c>
      <c r="E3770">
        <v>11100</v>
      </c>
      <c r="F3770">
        <v>203241.31</v>
      </c>
      <c r="G3770">
        <v>0</v>
      </c>
      <c r="H3770">
        <v>0</v>
      </c>
      <c r="I3770">
        <v>0</v>
      </c>
      <c r="J3770">
        <v>-168654.93</v>
      </c>
      <c r="K3770">
        <v>0</v>
      </c>
      <c r="L3770">
        <v>53464410.149999999</v>
      </c>
      <c r="M3770">
        <v>53631378.530000001</v>
      </c>
      <c r="N3770">
        <v>53464410.149999999</v>
      </c>
      <c r="O3770">
        <v>53631378.530000001</v>
      </c>
      <c r="P3770">
        <v>54004454.700000003</v>
      </c>
      <c r="Q3770">
        <v>54173109.630000003</v>
      </c>
      <c r="R3770" s="14">
        <f>_xlfn.XLOOKUP(Table2[[#This Row],[LoanID]],Table1[G-L ID],Table1[ManagerCode],-99)</f>
        <v>103</v>
      </c>
      <c r="T3770"/>
    </row>
    <row r="3771" spans="1:20" x14ac:dyDescent="0.25">
      <c r="A3771">
        <v>20150731</v>
      </c>
      <c r="B3771">
        <v>2015</v>
      </c>
      <c r="C3771">
        <v>7</v>
      </c>
      <c r="D3771">
        <v>1</v>
      </c>
      <c r="E3771">
        <v>11130</v>
      </c>
      <c r="F3771">
        <v>1855141.92</v>
      </c>
      <c r="G3771">
        <v>0</v>
      </c>
      <c r="H3771">
        <v>0</v>
      </c>
      <c r="I3771">
        <v>0</v>
      </c>
      <c r="J3771">
        <v>0</v>
      </c>
      <c r="K3771">
        <v>0</v>
      </c>
      <c r="L3771">
        <v>168150000</v>
      </c>
      <c r="M3771">
        <v>168150000</v>
      </c>
      <c r="N3771">
        <v>168150000</v>
      </c>
      <c r="O3771">
        <v>168150000</v>
      </c>
      <c r="P3771">
        <v>177000000</v>
      </c>
      <c r="Q3771">
        <v>177000000</v>
      </c>
      <c r="R3771" s="14">
        <f>_xlfn.XLOOKUP(Table2[[#This Row],[LoanID]],Table1[G-L ID],Table1[ManagerCode],-99)</f>
        <v>103</v>
      </c>
      <c r="T3771"/>
    </row>
    <row r="3772" spans="1:20" x14ac:dyDescent="0.25">
      <c r="A3772">
        <v>20150731</v>
      </c>
      <c r="B3772">
        <v>2015</v>
      </c>
      <c r="C3772">
        <v>7</v>
      </c>
      <c r="D3772">
        <v>1</v>
      </c>
      <c r="E3772">
        <v>11160</v>
      </c>
      <c r="F3772">
        <v>100999.33</v>
      </c>
      <c r="G3772">
        <v>126637.4</v>
      </c>
      <c r="H3772">
        <v>0</v>
      </c>
      <c r="I3772">
        <v>0</v>
      </c>
      <c r="J3772">
        <v>-693807.06</v>
      </c>
      <c r="K3772">
        <v>0</v>
      </c>
      <c r="L3772">
        <v>21255280.469999999</v>
      </c>
      <c r="M3772">
        <v>22075724.93</v>
      </c>
      <c r="N3772">
        <v>21255280.469999999</v>
      </c>
      <c r="O3772">
        <v>22075724.93</v>
      </c>
      <c r="P3772">
        <v>21255280.469999999</v>
      </c>
      <c r="Q3772">
        <v>22075724.93</v>
      </c>
      <c r="R3772" s="14">
        <f>_xlfn.XLOOKUP(Table2[[#This Row],[LoanID]],Table1[G-L ID],Table1[ManagerCode],-99)</f>
        <v>183</v>
      </c>
      <c r="T3772"/>
    </row>
    <row r="3773" spans="1:20" x14ac:dyDescent="0.25">
      <c r="A3773">
        <v>20150731</v>
      </c>
      <c r="B3773">
        <v>2015</v>
      </c>
      <c r="C3773">
        <v>7</v>
      </c>
      <c r="D3773">
        <v>1</v>
      </c>
      <c r="E3773">
        <v>11170</v>
      </c>
      <c r="F3773">
        <v>683666.67</v>
      </c>
      <c r="G3773">
        <v>0</v>
      </c>
      <c r="H3773">
        <v>0</v>
      </c>
      <c r="I3773">
        <v>0.03</v>
      </c>
      <c r="J3773">
        <v>0</v>
      </c>
      <c r="K3773">
        <v>0</v>
      </c>
      <c r="L3773">
        <v>173249826.80000001</v>
      </c>
      <c r="M3773">
        <v>173249826.80000001</v>
      </c>
      <c r="N3773">
        <v>173249826.80000001</v>
      </c>
      <c r="O3773">
        <v>173249826.80000001</v>
      </c>
      <c r="P3773">
        <v>175000000</v>
      </c>
      <c r="Q3773">
        <v>175000000</v>
      </c>
      <c r="R3773" s="14">
        <f>_xlfn.XLOOKUP(Table2[[#This Row],[LoanID]],Table1[G-L ID],Table1[ManagerCode],-99)</f>
        <v>103</v>
      </c>
      <c r="T3773"/>
    </row>
    <row r="3774" spans="1:20" x14ac:dyDescent="0.25">
      <c r="A3774">
        <v>20150731</v>
      </c>
      <c r="B3774">
        <v>2015</v>
      </c>
      <c r="C3774">
        <v>7</v>
      </c>
      <c r="D3774">
        <v>1</v>
      </c>
      <c r="E3774">
        <v>11250</v>
      </c>
      <c r="F3774">
        <v>72909.600000000006</v>
      </c>
      <c r="G3774">
        <v>122058.89</v>
      </c>
      <c r="H3774">
        <v>0</v>
      </c>
      <c r="I3774">
        <v>0</v>
      </c>
      <c r="J3774">
        <v>-72909.600000000006</v>
      </c>
      <c r="K3774">
        <v>0</v>
      </c>
      <c r="L3774">
        <v>16256292.060000001</v>
      </c>
      <c r="M3774">
        <v>16451260.550000001</v>
      </c>
      <c r="N3774">
        <v>16256292.060000001</v>
      </c>
      <c r="O3774">
        <v>16451260.550000001</v>
      </c>
      <c r="P3774">
        <v>16256292.060000001</v>
      </c>
      <c r="Q3774">
        <v>16451260.550000001</v>
      </c>
      <c r="R3774" s="14">
        <f>_xlfn.XLOOKUP(Table2[[#This Row],[LoanID]],Table1[G-L ID],Table1[ManagerCode],-99)</f>
        <v>183</v>
      </c>
      <c r="T3774"/>
    </row>
    <row r="3775" spans="1:20" x14ac:dyDescent="0.25">
      <c r="A3775">
        <v>20150731</v>
      </c>
      <c r="B3775">
        <v>2015</v>
      </c>
      <c r="C3775">
        <v>7</v>
      </c>
      <c r="D3775">
        <v>1</v>
      </c>
      <c r="E3775">
        <v>11320</v>
      </c>
      <c r="F3775">
        <v>177873.22</v>
      </c>
      <c r="G3775">
        <v>0</v>
      </c>
      <c r="H3775">
        <v>0</v>
      </c>
      <c r="I3775">
        <v>0</v>
      </c>
      <c r="J3775">
        <v>0</v>
      </c>
      <c r="K3775">
        <v>11820000</v>
      </c>
      <c r="L3775">
        <v>11820000</v>
      </c>
      <c r="M3775">
        <v>0</v>
      </c>
      <c r="N3775">
        <v>11820000</v>
      </c>
      <c r="O3775">
        <v>0</v>
      </c>
      <c r="P3775">
        <v>11820000</v>
      </c>
      <c r="Q3775">
        <v>0</v>
      </c>
      <c r="R3775" s="14">
        <f>_xlfn.XLOOKUP(Table2[[#This Row],[LoanID]],Table1[G-L ID],Table1[ManagerCode],-99)</f>
        <v>119</v>
      </c>
      <c r="T3775"/>
    </row>
    <row r="3776" spans="1:20" x14ac:dyDescent="0.25">
      <c r="A3776">
        <v>20150731</v>
      </c>
      <c r="B3776">
        <v>2015</v>
      </c>
      <c r="C3776">
        <v>7</v>
      </c>
      <c r="D3776">
        <v>1</v>
      </c>
      <c r="E3776">
        <v>11330</v>
      </c>
      <c r="F3776">
        <v>66022.14</v>
      </c>
      <c r="G3776">
        <v>0</v>
      </c>
      <c r="H3776">
        <v>0</v>
      </c>
      <c r="I3776">
        <v>0</v>
      </c>
      <c r="J3776">
        <v>0</v>
      </c>
      <c r="K3776">
        <v>0</v>
      </c>
      <c r="L3776">
        <v>6370000</v>
      </c>
      <c r="M3776">
        <v>6370000</v>
      </c>
      <c r="N3776">
        <v>6370000</v>
      </c>
      <c r="O3776">
        <v>6370000</v>
      </c>
      <c r="P3776">
        <v>6370000</v>
      </c>
      <c r="Q3776">
        <v>6370000</v>
      </c>
      <c r="R3776" s="14">
        <f>_xlfn.XLOOKUP(Table2[[#This Row],[LoanID]],Table1[G-L ID],Table1[ManagerCode],-99)</f>
        <v>119</v>
      </c>
      <c r="T3776"/>
    </row>
    <row r="3777" spans="1:20" x14ac:dyDescent="0.25">
      <c r="A3777">
        <v>20150731</v>
      </c>
      <c r="B3777">
        <v>2015</v>
      </c>
      <c r="C3777">
        <v>7</v>
      </c>
      <c r="D3777">
        <v>1</v>
      </c>
      <c r="E3777">
        <v>11340</v>
      </c>
      <c r="F3777">
        <v>291666.67</v>
      </c>
      <c r="G3777">
        <v>0</v>
      </c>
      <c r="H3777">
        <v>0</v>
      </c>
      <c r="I3777">
        <v>0</v>
      </c>
      <c r="J3777">
        <v>0</v>
      </c>
      <c r="K3777">
        <v>0</v>
      </c>
      <c r="L3777">
        <v>49500000</v>
      </c>
      <c r="M3777">
        <v>49500000</v>
      </c>
      <c r="N3777">
        <v>49500000</v>
      </c>
      <c r="O3777">
        <v>49500000</v>
      </c>
      <c r="P3777">
        <v>50000000</v>
      </c>
      <c r="Q3777">
        <v>50000000</v>
      </c>
      <c r="R3777" s="14">
        <f>_xlfn.XLOOKUP(Table2[[#This Row],[LoanID]],Table1[G-L ID],Table1[ManagerCode],-99)</f>
        <v>103</v>
      </c>
      <c r="T3777"/>
    </row>
    <row r="3778" spans="1:20" x14ac:dyDescent="0.25">
      <c r="A3778">
        <v>20150731</v>
      </c>
      <c r="B3778">
        <v>2015</v>
      </c>
      <c r="C3778">
        <v>7</v>
      </c>
      <c r="D3778">
        <v>1</v>
      </c>
      <c r="E3778">
        <v>11350</v>
      </c>
      <c r="F3778">
        <v>320833.33</v>
      </c>
      <c r="G3778">
        <v>0</v>
      </c>
      <c r="H3778">
        <v>0</v>
      </c>
      <c r="I3778">
        <v>0</v>
      </c>
      <c r="J3778">
        <v>0</v>
      </c>
      <c r="K3778">
        <v>0</v>
      </c>
      <c r="L3778">
        <v>54449945.549999997</v>
      </c>
      <c r="M3778">
        <v>54449945.549999997</v>
      </c>
      <c r="N3778">
        <v>54449945.549999997</v>
      </c>
      <c r="O3778">
        <v>54449945.549999997</v>
      </c>
      <c r="P3778">
        <v>55000000</v>
      </c>
      <c r="Q3778">
        <v>55000000</v>
      </c>
      <c r="R3778" s="14">
        <f>_xlfn.XLOOKUP(Table2[[#This Row],[LoanID]],Table1[G-L ID],Table1[ManagerCode],-99)</f>
        <v>103</v>
      </c>
      <c r="T3778"/>
    </row>
    <row r="3779" spans="1:20" x14ac:dyDescent="0.25">
      <c r="A3779">
        <v>20150731</v>
      </c>
      <c r="B3779">
        <v>2015</v>
      </c>
      <c r="C3779">
        <v>7</v>
      </c>
      <c r="D3779">
        <v>1</v>
      </c>
      <c r="E3779">
        <v>11370</v>
      </c>
      <c r="F3779">
        <v>52428.52</v>
      </c>
      <c r="G3779">
        <v>0</v>
      </c>
      <c r="H3779">
        <v>0</v>
      </c>
      <c r="I3779">
        <v>0</v>
      </c>
      <c r="J3779">
        <v>0</v>
      </c>
      <c r="K3779">
        <v>0</v>
      </c>
      <c r="L3779">
        <v>5868410.46</v>
      </c>
      <c r="M3779">
        <v>5868410.46</v>
      </c>
      <c r="N3779">
        <v>5868410.46</v>
      </c>
      <c r="O3779">
        <v>5868410.46</v>
      </c>
      <c r="P3779">
        <v>5868410.46</v>
      </c>
      <c r="Q3779">
        <v>5868410.46</v>
      </c>
      <c r="R3779" s="14">
        <f>_xlfn.XLOOKUP(Table2[[#This Row],[LoanID]],Table1[G-L ID],Table1[ManagerCode],-99)</f>
        <v>119</v>
      </c>
      <c r="T3779"/>
    </row>
    <row r="3780" spans="1:20" x14ac:dyDescent="0.25">
      <c r="A3780">
        <v>20150731</v>
      </c>
      <c r="B3780">
        <v>2015</v>
      </c>
      <c r="C3780">
        <v>7</v>
      </c>
      <c r="D3780">
        <v>1</v>
      </c>
      <c r="E3780">
        <v>11480</v>
      </c>
      <c r="F3780">
        <v>346266.67</v>
      </c>
      <c r="G3780">
        <v>0</v>
      </c>
      <c r="H3780">
        <v>0</v>
      </c>
      <c r="I3780">
        <v>0</v>
      </c>
      <c r="J3780">
        <v>0</v>
      </c>
      <c r="K3780">
        <v>0</v>
      </c>
      <c r="L3780">
        <v>66500000</v>
      </c>
      <c r="M3780">
        <v>66500000</v>
      </c>
      <c r="N3780">
        <v>66500000</v>
      </c>
      <c r="O3780">
        <v>66500000</v>
      </c>
      <c r="P3780">
        <v>70000000</v>
      </c>
      <c r="Q3780">
        <v>70000000</v>
      </c>
      <c r="R3780" s="14">
        <f>_xlfn.XLOOKUP(Table2[[#This Row],[LoanID]],Table1[G-L ID],Table1[ManagerCode],-99)</f>
        <v>103</v>
      </c>
      <c r="T3780"/>
    </row>
    <row r="3781" spans="1:20" x14ac:dyDescent="0.25">
      <c r="A3781">
        <v>20150731</v>
      </c>
      <c r="B3781">
        <v>2015</v>
      </c>
      <c r="C3781">
        <v>7</v>
      </c>
      <c r="D3781">
        <v>1</v>
      </c>
      <c r="E3781">
        <v>11490</v>
      </c>
      <c r="F3781">
        <v>329358.33</v>
      </c>
      <c r="G3781">
        <v>0</v>
      </c>
      <c r="H3781">
        <v>0</v>
      </c>
      <c r="I3781">
        <v>0</v>
      </c>
      <c r="J3781">
        <v>0</v>
      </c>
      <c r="K3781">
        <v>0</v>
      </c>
      <c r="L3781">
        <v>49500000</v>
      </c>
      <c r="M3781">
        <v>49500000</v>
      </c>
      <c r="N3781">
        <v>49500000</v>
      </c>
      <c r="O3781">
        <v>49500000</v>
      </c>
      <c r="P3781">
        <v>55000000</v>
      </c>
      <c r="Q3781">
        <v>55000000</v>
      </c>
      <c r="R3781" s="14">
        <f>_xlfn.XLOOKUP(Table2[[#This Row],[LoanID]],Table1[G-L ID],Table1[ManagerCode],-99)</f>
        <v>103</v>
      </c>
      <c r="T3781"/>
    </row>
    <row r="3782" spans="1:20" x14ac:dyDescent="0.25">
      <c r="A3782">
        <v>20150731</v>
      </c>
      <c r="B3782">
        <v>2015</v>
      </c>
      <c r="C3782">
        <v>7</v>
      </c>
      <c r="D3782">
        <v>1</v>
      </c>
      <c r="E3782">
        <v>11560</v>
      </c>
      <c r="F3782">
        <v>4611.43</v>
      </c>
      <c r="G3782">
        <v>171123.29</v>
      </c>
      <c r="H3782">
        <v>0</v>
      </c>
      <c r="I3782">
        <v>0</v>
      </c>
      <c r="J3782">
        <v>0</v>
      </c>
      <c r="K3782">
        <v>0</v>
      </c>
      <c r="L3782">
        <v>15210958.689999999</v>
      </c>
      <c r="M3782">
        <v>15382081.98</v>
      </c>
      <c r="N3782">
        <v>15210958.689999999</v>
      </c>
      <c r="O3782">
        <v>15382081.98</v>
      </c>
      <c r="P3782">
        <v>15210958.689999999</v>
      </c>
      <c r="Q3782">
        <v>15382081.98</v>
      </c>
      <c r="R3782" s="14">
        <f>_xlfn.XLOOKUP(Table2[[#This Row],[LoanID]],Table1[G-L ID],Table1[ManagerCode],-99)</f>
        <v>183</v>
      </c>
      <c r="T3782"/>
    </row>
    <row r="3783" spans="1:20" x14ac:dyDescent="0.25">
      <c r="A3783">
        <v>20150731</v>
      </c>
      <c r="B3783">
        <v>2015</v>
      </c>
      <c r="C3783">
        <v>7</v>
      </c>
      <c r="D3783">
        <v>1</v>
      </c>
      <c r="E3783">
        <v>11580</v>
      </c>
      <c r="F3783">
        <v>111800</v>
      </c>
      <c r="G3783">
        <v>0</v>
      </c>
      <c r="H3783">
        <v>0</v>
      </c>
      <c r="I3783">
        <v>0</v>
      </c>
      <c r="J3783">
        <v>0</v>
      </c>
      <c r="K3783">
        <v>0</v>
      </c>
      <c r="L3783">
        <v>15000000</v>
      </c>
      <c r="M3783">
        <v>15000000</v>
      </c>
      <c r="N3783">
        <v>15000000</v>
      </c>
      <c r="O3783">
        <v>15000000</v>
      </c>
      <c r="P3783">
        <v>15000000</v>
      </c>
      <c r="Q3783">
        <v>15000000</v>
      </c>
      <c r="R3783" s="14">
        <f>_xlfn.XLOOKUP(Table2[[#This Row],[LoanID]],Table1[G-L ID],Table1[ManagerCode],-99)</f>
        <v>119</v>
      </c>
      <c r="T3783"/>
    </row>
    <row r="3784" spans="1:20" x14ac:dyDescent="0.25">
      <c r="A3784">
        <v>20150731</v>
      </c>
      <c r="B3784">
        <v>2015</v>
      </c>
      <c r="C3784">
        <v>7</v>
      </c>
      <c r="D3784">
        <v>1</v>
      </c>
      <c r="E3784">
        <v>11590</v>
      </c>
      <c r="F3784">
        <v>22650.82</v>
      </c>
      <c r="G3784">
        <v>0</v>
      </c>
      <c r="H3784">
        <v>0</v>
      </c>
      <c r="I3784">
        <v>0</v>
      </c>
      <c r="J3784">
        <v>0</v>
      </c>
      <c r="K3784">
        <v>0</v>
      </c>
      <c r="L3784">
        <v>3507224.44</v>
      </c>
      <c r="M3784">
        <v>3507224.44</v>
      </c>
      <c r="N3784">
        <v>3507224.44</v>
      </c>
      <c r="O3784">
        <v>3507224.44</v>
      </c>
      <c r="P3784">
        <v>3507224.44</v>
      </c>
      <c r="Q3784">
        <v>3507224.44</v>
      </c>
      <c r="R3784" s="14">
        <f>_xlfn.XLOOKUP(Table2[[#This Row],[LoanID]],Table1[G-L ID],Table1[ManagerCode],-99)</f>
        <v>119</v>
      </c>
      <c r="T3784"/>
    </row>
    <row r="3785" spans="1:20" x14ac:dyDescent="0.25">
      <c r="A3785">
        <v>20150731</v>
      </c>
      <c r="B3785">
        <v>2015</v>
      </c>
      <c r="C3785">
        <v>7</v>
      </c>
      <c r="D3785">
        <v>1</v>
      </c>
      <c r="E3785">
        <v>11650</v>
      </c>
      <c r="F3785">
        <v>75000</v>
      </c>
      <c r="G3785">
        <v>0</v>
      </c>
      <c r="H3785">
        <v>0</v>
      </c>
      <c r="I3785">
        <v>0</v>
      </c>
      <c r="J3785">
        <v>0</v>
      </c>
      <c r="K3785">
        <v>0</v>
      </c>
      <c r="L3785">
        <v>9600000</v>
      </c>
      <c r="M3785">
        <v>9600000</v>
      </c>
      <c r="N3785">
        <v>9600000</v>
      </c>
      <c r="O3785">
        <v>9600000</v>
      </c>
      <c r="P3785">
        <v>12000000</v>
      </c>
      <c r="Q3785">
        <v>12000000</v>
      </c>
      <c r="R3785" s="14">
        <f>_xlfn.XLOOKUP(Table2[[#This Row],[LoanID]],Table1[G-L ID],Table1[ManagerCode],-99)</f>
        <v>103</v>
      </c>
      <c r="T3785"/>
    </row>
    <row r="3786" spans="1:20" x14ac:dyDescent="0.25">
      <c r="A3786">
        <v>20150731</v>
      </c>
      <c r="B3786">
        <v>2015</v>
      </c>
      <c r="C3786">
        <v>7</v>
      </c>
      <c r="D3786">
        <v>1</v>
      </c>
      <c r="E3786">
        <v>11660</v>
      </c>
      <c r="F3786">
        <v>0</v>
      </c>
      <c r="G3786">
        <v>0</v>
      </c>
      <c r="H3786">
        <v>0</v>
      </c>
      <c r="I3786">
        <v>0</v>
      </c>
      <c r="J3786">
        <v>0</v>
      </c>
      <c r="K3786">
        <v>0</v>
      </c>
      <c r="L3786">
        <v>27647178</v>
      </c>
      <c r="M3786">
        <v>27647178</v>
      </c>
      <c r="N3786">
        <v>27647178</v>
      </c>
      <c r="O3786">
        <v>27647178</v>
      </c>
      <c r="P3786">
        <v>27647178</v>
      </c>
      <c r="Q3786">
        <v>27647178</v>
      </c>
      <c r="R3786" s="14">
        <f>_xlfn.XLOOKUP(Table2[[#This Row],[LoanID]],Table1[G-L ID],Table1[ManagerCode],-99)</f>
        <v>183</v>
      </c>
      <c r="T3786"/>
    </row>
    <row r="3787" spans="1:20" x14ac:dyDescent="0.25">
      <c r="A3787">
        <v>20150731</v>
      </c>
      <c r="B3787">
        <v>2015</v>
      </c>
      <c r="C3787">
        <v>7</v>
      </c>
      <c r="D3787">
        <v>1</v>
      </c>
      <c r="E3787">
        <v>11680</v>
      </c>
      <c r="F3787">
        <v>57126.559999999998</v>
      </c>
      <c r="G3787">
        <v>0</v>
      </c>
      <c r="H3787">
        <v>0</v>
      </c>
      <c r="I3787">
        <v>0</v>
      </c>
      <c r="J3787">
        <v>0</v>
      </c>
      <c r="K3787">
        <v>0</v>
      </c>
      <c r="L3787">
        <v>6600000</v>
      </c>
      <c r="M3787">
        <v>6600000</v>
      </c>
      <c r="N3787">
        <v>6600000</v>
      </c>
      <c r="O3787">
        <v>6600000</v>
      </c>
      <c r="P3787">
        <v>6600000</v>
      </c>
      <c r="Q3787">
        <v>6600000</v>
      </c>
      <c r="R3787" s="14">
        <f>_xlfn.XLOOKUP(Table2[[#This Row],[LoanID]],Table1[G-L ID],Table1[ManagerCode],-99)</f>
        <v>183</v>
      </c>
      <c r="T3787"/>
    </row>
    <row r="3788" spans="1:20" x14ac:dyDescent="0.25">
      <c r="A3788">
        <v>20150731</v>
      </c>
      <c r="B3788">
        <v>2015</v>
      </c>
      <c r="C3788">
        <v>7</v>
      </c>
      <c r="D3788">
        <v>1</v>
      </c>
      <c r="E3788">
        <v>11710</v>
      </c>
      <c r="F3788">
        <v>122925</v>
      </c>
      <c r="G3788">
        <v>0</v>
      </c>
      <c r="H3788">
        <v>0</v>
      </c>
      <c r="I3788">
        <v>0</v>
      </c>
      <c r="J3788">
        <v>0</v>
      </c>
      <c r="K3788">
        <v>0</v>
      </c>
      <c r="L3788">
        <v>15000000</v>
      </c>
      <c r="M3788">
        <v>15000000</v>
      </c>
      <c r="N3788">
        <v>15000000</v>
      </c>
      <c r="O3788">
        <v>15000000</v>
      </c>
      <c r="P3788">
        <v>15000000</v>
      </c>
      <c r="Q3788">
        <v>15000000</v>
      </c>
      <c r="R3788" s="14">
        <f>_xlfn.XLOOKUP(Table2[[#This Row],[LoanID]],Table1[G-L ID],Table1[ManagerCode],-99)</f>
        <v>119</v>
      </c>
      <c r="T3788"/>
    </row>
    <row r="3789" spans="1:20" x14ac:dyDescent="0.25">
      <c r="A3789">
        <v>20150731</v>
      </c>
      <c r="B3789">
        <v>2015</v>
      </c>
      <c r="C3789">
        <v>7</v>
      </c>
      <c r="D3789">
        <v>1</v>
      </c>
      <c r="E3789">
        <v>11720</v>
      </c>
      <c r="F3789">
        <v>125000</v>
      </c>
      <c r="G3789">
        <v>0</v>
      </c>
      <c r="H3789">
        <v>0</v>
      </c>
      <c r="I3789">
        <v>0</v>
      </c>
      <c r="J3789">
        <v>0</v>
      </c>
      <c r="K3789">
        <v>0</v>
      </c>
      <c r="L3789">
        <v>19800000</v>
      </c>
      <c r="M3789">
        <v>19800000</v>
      </c>
      <c r="N3789">
        <v>19800000</v>
      </c>
      <c r="O3789">
        <v>19800000</v>
      </c>
      <c r="P3789">
        <v>20000000</v>
      </c>
      <c r="Q3789">
        <v>20000000</v>
      </c>
      <c r="R3789" s="14">
        <f>_xlfn.XLOOKUP(Table2[[#This Row],[LoanID]],Table1[G-L ID],Table1[ManagerCode],-99)</f>
        <v>103</v>
      </c>
      <c r="T3789"/>
    </row>
    <row r="3790" spans="1:20" x14ac:dyDescent="0.25">
      <c r="A3790">
        <v>20150731</v>
      </c>
      <c r="B3790">
        <v>2015</v>
      </c>
      <c r="C3790">
        <v>7</v>
      </c>
      <c r="D3790">
        <v>1</v>
      </c>
      <c r="E3790">
        <v>11730</v>
      </c>
      <c r="F3790">
        <v>45469.38</v>
      </c>
      <c r="G3790">
        <v>0</v>
      </c>
      <c r="H3790">
        <v>0</v>
      </c>
      <c r="I3790">
        <v>0</v>
      </c>
      <c r="J3790">
        <v>0</v>
      </c>
      <c r="K3790">
        <v>0</v>
      </c>
      <c r="L3790">
        <v>4750000</v>
      </c>
      <c r="M3790">
        <v>4750000</v>
      </c>
      <c r="N3790">
        <v>4750000</v>
      </c>
      <c r="O3790">
        <v>4750000</v>
      </c>
      <c r="P3790">
        <v>4750000</v>
      </c>
      <c r="Q3790">
        <v>4750000</v>
      </c>
      <c r="R3790" s="14">
        <f>_xlfn.XLOOKUP(Table2[[#This Row],[LoanID]],Table1[G-L ID],Table1[ManagerCode],-99)</f>
        <v>119</v>
      </c>
      <c r="T3790"/>
    </row>
    <row r="3791" spans="1:20" x14ac:dyDescent="0.25">
      <c r="A3791">
        <v>20150731</v>
      </c>
      <c r="B3791">
        <v>2015</v>
      </c>
      <c r="C3791">
        <v>7</v>
      </c>
      <c r="D3791">
        <v>1</v>
      </c>
      <c r="E3791">
        <v>11740</v>
      </c>
      <c r="F3791">
        <v>191100</v>
      </c>
      <c r="G3791">
        <v>0</v>
      </c>
      <c r="H3791">
        <v>0</v>
      </c>
      <c r="I3791">
        <v>0</v>
      </c>
      <c r="J3791">
        <v>0</v>
      </c>
      <c r="K3791">
        <v>0</v>
      </c>
      <c r="L3791">
        <v>19110000</v>
      </c>
      <c r="M3791">
        <v>19110000</v>
      </c>
      <c r="N3791">
        <v>19110000</v>
      </c>
      <c r="O3791">
        <v>19110000</v>
      </c>
      <c r="P3791">
        <v>19110000</v>
      </c>
      <c r="Q3791">
        <v>19110000</v>
      </c>
      <c r="R3791" s="14">
        <f>_xlfn.XLOOKUP(Table2[[#This Row],[LoanID]],Table1[G-L ID],Table1[ManagerCode],-99)</f>
        <v>183</v>
      </c>
      <c r="T3791"/>
    </row>
    <row r="3792" spans="1:20" x14ac:dyDescent="0.25">
      <c r="A3792">
        <v>20150731</v>
      </c>
      <c r="B3792">
        <v>2015</v>
      </c>
      <c r="C3792">
        <v>7</v>
      </c>
      <c r="D3792">
        <v>1</v>
      </c>
      <c r="E3792">
        <v>11810</v>
      </c>
      <c r="F3792">
        <v>49152.4</v>
      </c>
      <c r="G3792">
        <v>0</v>
      </c>
      <c r="H3792">
        <v>0</v>
      </c>
      <c r="I3792">
        <v>0</v>
      </c>
      <c r="J3792">
        <v>0</v>
      </c>
      <c r="K3792">
        <v>11705.69</v>
      </c>
      <c r="L3792">
        <v>9510268.4399999995</v>
      </c>
      <c r="M3792">
        <v>9498679.8000000007</v>
      </c>
      <c r="N3792">
        <v>9510268.4399999995</v>
      </c>
      <c r="O3792">
        <v>9498679.8000000007</v>
      </c>
      <c r="P3792">
        <v>9606331.75</v>
      </c>
      <c r="Q3792">
        <v>9594626.0600000005</v>
      </c>
      <c r="R3792" s="14">
        <f>_xlfn.XLOOKUP(Table2[[#This Row],[LoanID]],Table1[G-L ID],Table1[ManagerCode],-99)</f>
        <v>103</v>
      </c>
      <c r="T3792"/>
    </row>
    <row r="3793" spans="1:20" x14ac:dyDescent="0.25">
      <c r="A3793">
        <v>20150731</v>
      </c>
      <c r="B3793">
        <v>2015</v>
      </c>
      <c r="C3793">
        <v>7</v>
      </c>
      <c r="D3793">
        <v>1</v>
      </c>
      <c r="E3793">
        <v>11880</v>
      </c>
      <c r="F3793">
        <v>290538.08</v>
      </c>
      <c r="G3793">
        <v>137835.9</v>
      </c>
      <c r="H3793">
        <v>0</v>
      </c>
      <c r="I3793">
        <v>0</v>
      </c>
      <c r="J3793">
        <v>-2000000</v>
      </c>
      <c r="K3793">
        <v>0</v>
      </c>
      <c r="L3793">
        <v>63228334.5</v>
      </c>
      <c r="M3793">
        <v>65366170.399999999</v>
      </c>
      <c r="N3793">
        <v>63228334.5</v>
      </c>
      <c r="O3793">
        <v>65366170.399999999</v>
      </c>
      <c r="P3793">
        <v>63228334.5</v>
      </c>
      <c r="Q3793">
        <v>65366170.399999999</v>
      </c>
      <c r="R3793" s="14">
        <f>_xlfn.XLOOKUP(Table2[[#This Row],[LoanID]],Table1[G-L ID],Table1[ManagerCode],-99)</f>
        <v>183</v>
      </c>
      <c r="T3793"/>
    </row>
    <row r="3794" spans="1:20" x14ac:dyDescent="0.25">
      <c r="A3794">
        <v>20150731</v>
      </c>
      <c r="B3794">
        <v>2015</v>
      </c>
      <c r="C3794">
        <v>7</v>
      </c>
      <c r="D3794">
        <v>1</v>
      </c>
      <c r="E3794">
        <v>11990</v>
      </c>
      <c r="F3794">
        <v>97287.5</v>
      </c>
      <c r="G3794">
        <v>0</v>
      </c>
      <c r="H3794">
        <v>0</v>
      </c>
      <c r="I3794">
        <v>0</v>
      </c>
      <c r="J3794">
        <v>0</v>
      </c>
      <c r="K3794">
        <v>0</v>
      </c>
      <c r="L3794">
        <v>15000000</v>
      </c>
      <c r="M3794">
        <v>15000000</v>
      </c>
      <c r="N3794">
        <v>15000000</v>
      </c>
      <c r="O3794">
        <v>15000000</v>
      </c>
      <c r="P3794">
        <v>15000000</v>
      </c>
      <c r="Q3794">
        <v>15000000</v>
      </c>
      <c r="R3794" s="14">
        <f>_xlfn.XLOOKUP(Table2[[#This Row],[LoanID]],Table1[G-L ID],Table1[ManagerCode],-99)</f>
        <v>220</v>
      </c>
      <c r="T3794"/>
    </row>
    <row r="3795" spans="1:20" x14ac:dyDescent="0.25">
      <c r="A3795">
        <v>20150731</v>
      </c>
      <c r="B3795">
        <v>2015</v>
      </c>
      <c r="C3795">
        <v>7</v>
      </c>
      <c r="D3795">
        <v>1</v>
      </c>
      <c r="E3795">
        <v>12080</v>
      </c>
      <c r="F3795">
        <v>289411.33</v>
      </c>
      <c r="G3795">
        <v>0</v>
      </c>
      <c r="H3795">
        <v>0</v>
      </c>
      <c r="I3795">
        <v>0</v>
      </c>
      <c r="J3795">
        <v>0</v>
      </c>
      <c r="K3795">
        <v>35678405.18</v>
      </c>
      <c r="L3795">
        <v>35678405.18</v>
      </c>
      <c r="M3795">
        <v>0</v>
      </c>
      <c r="N3795">
        <v>35678405.18</v>
      </c>
      <c r="O3795">
        <v>0</v>
      </c>
      <c r="P3795">
        <v>35678405.18</v>
      </c>
      <c r="Q3795">
        <v>0</v>
      </c>
      <c r="R3795" s="14">
        <f>_xlfn.XLOOKUP(Table2[[#This Row],[LoanID]],Table1[G-L ID],Table1[ManagerCode],-99)</f>
        <v>119</v>
      </c>
      <c r="T3795"/>
    </row>
    <row r="3796" spans="1:20" x14ac:dyDescent="0.25">
      <c r="A3796">
        <v>20150731</v>
      </c>
      <c r="B3796">
        <v>2015</v>
      </c>
      <c r="C3796">
        <v>7</v>
      </c>
      <c r="D3796">
        <v>1</v>
      </c>
      <c r="E3796">
        <v>12160</v>
      </c>
      <c r="F3796">
        <v>77991.28</v>
      </c>
      <c r="G3796">
        <v>95276.51</v>
      </c>
      <c r="H3796">
        <v>0</v>
      </c>
      <c r="I3796">
        <v>0</v>
      </c>
      <c r="J3796">
        <v>-77991.28</v>
      </c>
      <c r="K3796">
        <v>0</v>
      </c>
      <c r="L3796">
        <v>15743583.779999999</v>
      </c>
      <c r="M3796">
        <v>15916851.57</v>
      </c>
      <c r="N3796">
        <v>15743583.779999999</v>
      </c>
      <c r="O3796">
        <v>15916851.57</v>
      </c>
      <c r="P3796">
        <v>15743583.779999999</v>
      </c>
      <c r="Q3796">
        <v>15916851.57</v>
      </c>
      <c r="R3796" s="14">
        <f>_xlfn.XLOOKUP(Table2[[#This Row],[LoanID]],Table1[G-L ID],Table1[ManagerCode],-99)</f>
        <v>183</v>
      </c>
      <c r="T3796"/>
    </row>
    <row r="3797" spans="1:20" x14ac:dyDescent="0.25">
      <c r="A3797">
        <v>20150731</v>
      </c>
      <c r="B3797">
        <v>2015</v>
      </c>
      <c r="C3797">
        <v>7</v>
      </c>
      <c r="D3797">
        <v>1</v>
      </c>
      <c r="E3797">
        <v>12180</v>
      </c>
      <c r="F3797">
        <v>226041.67</v>
      </c>
      <c r="G3797">
        <v>0</v>
      </c>
      <c r="H3797">
        <v>0</v>
      </c>
      <c r="I3797">
        <v>0</v>
      </c>
      <c r="J3797">
        <v>0</v>
      </c>
      <c r="K3797">
        <v>0</v>
      </c>
      <c r="L3797">
        <v>35000000</v>
      </c>
      <c r="M3797">
        <v>35000000</v>
      </c>
      <c r="N3797">
        <v>35000000</v>
      </c>
      <c r="O3797">
        <v>35000000</v>
      </c>
      <c r="P3797">
        <v>35000000</v>
      </c>
      <c r="Q3797">
        <v>35000000</v>
      </c>
      <c r="R3797" s="14">
        <f>_xlfn.XLOOKUP(Table2[[#This Row],[LoanID]],Table1[G-L ID],Table1[ManagerCode],-99)</f>
        <v>220</v>
      </c>
      <c r="T3797"/>
    </row>
    <row r="3798" spans="1:20" x14ac:dyDescent="0.25">
      <c r="A3798">
        <v>20150731</v>
      </c>
      <c r="B3798">
        <v>2015</v>
      </c>
      <c r="C3798">
        <v>7</v>
      </c>
      <c r="D3798">
        <v>1</v>
      </c>
      <c r="E3798">
        <v>12190</v>
      </c>
      <c r="F3798">
        <v>274687.5</v>
      </c>
      <c r="G3798">
        <v>0</v>
      </c>
      <c r="H3798">
        <v>0</v>
      </c>
      <c r="I3798">
        <v>0</v>
      </c>
      <c r="J3798">
        <v>0</v>
      </c>
      <c r="K3798">
        <v>0</v>
      </c>
      <c r="L3798">
        <v>37500000</v>
      </c>
      <c r="M3798">
        <v>37500000</v>
      </c>
      <c r="N3798">
        <v>37500000</v>
      </c>
      <c r="O3798">
        <v>37500000</v>
      </c>
      <c r="P3798">
        <v>37500000</v>
      </c>
      <c r="Q3798">
        <v>37500000</v>
      </c>
      <c r="R3798" s="14">
        <f>_xlfn.XLOOKUP(Table2[[#This Row],[LoanID]],Table1[G-L ID],Table1[ManagerCode],-99)</f>
        <v>220</v>
      </c>
      <c r="T3798"/>
    </row>
    <row r="3799" spans="1:20" x14ac:dyDescent="0.25">
      <c r="A3799">
        <v>20150731</v>
      </c>
      <c r="B3799">
        <v>2015</v>
      </c>
      <c r="C3799">
        <v>7</v>
      </c>
      <c r="D3799">
        <v>1</v>
      </c>
      <c r="E3799">
        <v>12210</v>
      </c>
      <c r="F3799">
        <v>667624.84</v>
      </c>
      <c r="G3799">
        <v>0</v>
      </c>
      <c r="H3799">
        <v>0</v>
      </c>
      <c r="I3799">
        <v>0</v>
      </c>
      <c r="J3799">
        <v>0</v>
      </c>
      <c r="K3799">
        <v>229376.3</v>
      </c>
      <c r="L3799">
        <v>120307023.8</v>
      </c>
      <c r="M3799">
        <v>119524967.59999999</v>
      </c>
      <c r="N3799">
        <v>120307023.8</v>
      </c>
      <c r="O3799">
        <v>119524967.59999999</v>
      </c>
      <c r="P3799">
        <v>108022776.2</v>
      </c>
      <c r="Q3799">
        <v>107793399.90000001</v>
      </c>
      <c r="R3799" s="14">
        <f>_xlfn.XLOOKUP(Table2[[#This Row],[LoanID]],Table1[G-L ID],Table1[ManagerCode],-99)</f>
        <v>103</v>
      </c>
      <c r="T3799"/>
    </row>
    <row r="3800" spans="1:20" x14ac:dyDescent="0.25">
      <c r="A3800">
        <v>20150731</v>
      </c>
      <c r="B3800">
        <v>2015</v>
      </c>
      <c r="C3800">
        <v>7</v>
      </c>
      <c r="D3800">
        <v>1</v>
      </c>
      <c r="E3800">
        <v>12230</v>
      </c>
      <c r="F3800">
        <v>102269.07</v>
      </c>
      <c r="G3800">
        <v>0</v>
      </c>
      <c r="H3800">
        <v>0</v>
      </c>
      <c r="I3800">
        <v>0</v>
      </c>
      <c r="J3800">
        <v>0</v>
      </c>
      <c r="K3800">
        <v>0</v>
      </c>
      <c r="L3800">
        <v>19548312.32</v>
      </c>
      <c r="M3800">
        <v>19548312.32</v>
      </c>
      <c r="N3800">
        <v>13032859.82</v>
      </c>
      <c r="O3800">
        <v>13032859.82</v>
      </c>
      <c r="P3800">
        <v>19548312.32</v>
      </c>
      <c r="Q3800">
        <v>19548312.32</v>
      </c>
      <c r="R3800" s="14">
        <f>_xlfn.XLOOKUP(Table2[[#This Row],[LoanID]],Table1[G-L ID],Table1[ManagerCode],-99)</f>
        <v>183</v>
      </c>
      <c r="T3800"/>
    </row>
    <row r="3801" spans="1:20" x14ac:dyDescent="0.25">
      <c r="A3801">
        <v>20150731</v>
      </c>
      <c r="B3801">
        <v>2015</v>
      </c>
      <c r="C3801">
        <v>7</v>
      </c>
      <c r="D3801">
        <v>1</v>
      </c>
      <c r="E3801">
        <v>12240</v>
      </c>
      <c r="F3801">
        <v>0</v>
      </c>
      <c r="G3801">
        <v>1362667.13</v>
      </c>
      <c r="H3801">
        <v>0</v>
      </c>
      <c r="I3801">
        <v>0</v>
      </c>
      <c r="J3801">
        <v>-5483469.8799999999</v>
      </c>
      <c r="K3801">
        <v>0</v>
      </c>
      <c r="L3801">
        <v>101360188.8</v>
      </c>
      <c r="M3801">
        <v>108206325.8</v>
      </c>
      <c r="N3801">
        <v>101360188.8</v>
      </c>
      <c r="O3801">
        <v>108206325.8</v>
      </c>
      <c r="P3801">
        <v>101360188.8</v>
      </c>
      <c r="Q3801">
        <v>108206325.8</v>
      </c>
      <c r="R3801" s="14">
        <f>_xlfn.XLOOKUP(Table2[[#This Row],[LoanID]],Table1[G-L ID],Table1[ManagerCode],-99)</f>
        <v>183</v>
      </c>
      <c r="T3801"/>
    </row>
    <row r="3802" spans="1:20" x14ac:dyDescent="0.25">
      <c r="A3802">
        <v>20150731</v>
      </c>
      <c r="B3802">
        <v>2015</v>
      </c>
      <c r="C3802">
        <v>7</v>
      </c>
      <c r="D3802">
        <v>1</v>
      </c>
      <c r="E3802">
        <v>13630</v>
      </c>
      <c r="F3802">
        <v>211458.33</v>
      </c>
      <c r="G3802">
        <v>0</v>
      </c>
      <c r="H3802">
        <v>0</v>
      </c>
      <c r="I3802">
        <v>0</v>
      </c>
      <c r="J3802">
        <v>0</v>
      </c>
      <c r="K3802">
        <v>0</v>
      </c>
      <c r="L3802">
        <v>35000000</v>
      </c>
      <c r="M3802">
        <v>35000000</v>
      </c>
      <c r="N3802">
        <v>35000000</v>
      </c>
      <c r="O3802">
        <v>35000000</v>
      </c>
      <c r="P3802">
        <v>35000000</v>
      </c>
      <c r="Q3802">
        <v>35000000</v>
      </c>
      <c r="R3802" s="14">
        <f>_xlfn.XLOOKUP(Table2[[#This Row],[LoanID]],Table1[G-L ID],Table1[ManagerCode],-99)</f>
        <v>298</v>
      </c>
      <c r="T3802"/>
    </row>
    <row r="3803" spans="1:20" x14ac:dyDescent="0.25">
      <c r="A3803">
        <v>20150731</v>
      </c>
      <c r="B3803">
        <v>2015</v>
      </c>
      <c r="C3803">
        <v>7</v>
      </c>
      <c r="D3803">
        <v>1</v>
      </c>
      <c r="E3803">
        <v>13670</v>
      </c>
      <c r="F3803">
        <v>271437.5</v>
      </c>
      <c r="G3803">
        <v>0</v>
      </c>
      <c r="H3803">
        <v>0</v>
      </c>
      <c r="I3803">
        <v>0</v>
      </c>
      <c r="J3803">
        <v>0</v>
      </c>
      <c r="K3803">
        <v>0</v>
      </c>
      <c r="L3803">
        <v>37500000</v>
      </c>
      <c r="M3803">
        <v>37500000</v>
      </c>
      <c r="N3803">
        <v>37500000</v>
      </c>
      <c r="O3803">
        <v>37500000</v>
      </c>
      <c r="P3803">
        <v>37500000</v>
      </c>
      <c r="Q3803">
        <v>37500000</v>
      </c>
      <c r="R3803" s="14">
        <f>_xlfn.XLOOKUP(Table2[[#This Row],[LoanID]],Table1[G-L ID],Table1[ManagerCode],-99)</f>
        <v>298</v>
      </c>
      <c r="T3803"/>
    </row>
    <row r="3804" spans="1:20" x14ac:dyDescent="0.25">
      <c r="A3804">
        <v>20150731</v>
      </c>
      <c r="B3804">
        <v>2015</v>
      </c>
      <c r="C3804">
        <v>7</v>
      </c>
      <c r="D3804">
        <v>1</v>
      </c>
      <c r="E3804">
        <v>13680</v>
      </c>
      <c r="F3804">
        <v>135937.5</v>
      </c>
      <c r="G3804">
        <v>0</v>
      </c>
      <c r="H3804">
        <v>0</v>
      </c>
      <c r="I3804">
        <v>0</v>
      </c>
      <c r="J3804">
        <v>0</v>
      </c>
      <c r="K3804">
        <v>0</v>
      </c>
      <c r="L3804">
        <v>18000000</v>
      </c>
      <c r="M3804">
        <v>18000000</v>
      </c>
      <c r="N3804">
        <v>18000000</v>
      </c>
      <c r="O3804">
        <v>18000000</v>
      </c>
      <c r="P3804">
        <v>18000000</v>
      </c>
      <c r="Q3804">
        <v>18000000</v>
      </c>
      <c r="R3804" s="14">
        <f>_xlfn.XLOOKUP(Table2[[#This Row],[LoanID]],Table1[G-L ID],Table1[ManagerCode],-99)</f>
        <v>298</v>
      </c>
      <c r="T3804"/>
    </row>
    <row r="3805" spans="1:20" x14ac:dyDescent="0.25">
      <c r="A3805">
        <v>20150731</v>
      </c>
      <c r="B3805">
        <v>2015</v>
      </c>
      <c r="C3805">
        <v>7</v>
      </c>
      <c r="D3805">
        <v>1</v>
      </c>
      <c r="E3805">
        <v>13690</v>
      </c>
      <c r="F3805">
        <v>129166.67</v>
      </c>
      <c r="G3805">
        <v>0</v>
      </c>
      <c r="H3805">
        <v>0</v>
      </c>
      <c r="I3805">
        <v>0</v>
      </c>
      <c r="J3805">
        <v>0</v>
      </c>
      <c r="K3805">
        <v>0</v>
      </c>
      <c r="L3805">
        <v>20000000</v>
      </c>
      <c r="M3805">
        <v>20000000</v>
      </c>
      <c r="N3805">
        <v>20000000</v>
      </c>
      <c r="O3805">
        <v>20000000</v>
      </c>
      <c r="P3805">
        <v>20000000</v>
      </c>
      <c r="Q3805">
        <v>20000000</v>
      </c>
      <c r="R3805" s="14">
        <f>_xlfn.XLOOKUP(Table2[[#This Row],[LoanID]],Table1[G-L ID],Table1[ManagerCode],-99)</f>
        <v>298</v>
      </c>
      <c r="T3805"/>
    </row>
    <row r="3806" spans="1:20" x14ac:dyDescent="0.25">
      <c r="A3806">
        <v>20150731</v>
      </c>
      <c r="B3806">
        <v>2015</v>
      </c>
      <c r="C3806">
        <v>7</v>
      </c>
      <c r="D3806">
        <v>1</v>
      </c>
      <c r="E3806">
        <v>15580</v>
      </c>
      <c r="F3806">
        <v>114448.26</v>
      </c>
      <c r="G3806">
        <v>3743.63</v>
      </c>
      <c r="H3806">
        <v>0</v>
      </c>
      <c r="I3806">
        <v>0</v>
      </c>
      <c r="J3806">
        <v>0</v>
      </c>
      <c r="K3806">
        <v>8953.0499999999993</v>
      </c>
      <c r="L3806">
        <v>14961790.220000001</v>
      </c>
      <c r="M3806">
        <v>14956580.800000001</v>
      </c>
      <c r="N3806">
        <v>14961790.220000001</v>
      </c>
      <c r="O3806">
        <v>14956580.800000001</v>
      </c>
      <c r="P3806">
        <v>14961790.220000001</v>
      </c>
      <c r="Q3806">
        <v>14956580.800000001</v>
      </c>
      <c r="R3806" s="14">
        <f>_xlfn.XLOOKUP(Table2[[#This Row],[LoanID]],Table1[G-L ID],Table1[ManagerCode],-99)</f>
        <v>212</v>
      </c>
      <c r="T3806"/>
    </row>
    <row r="3807" spans="1:20" x14ac:dyDescent="0.25">
      <c r="A3807">
        <v>20150831</v>
      </c>
      <c r="B3807">
        <v>2015</v>
      </c>
      <c r="C3807">
        <v>8</v>
      </c>
      <c r="D3807">
        <v>1</v>
      </c>
      <c r="E3807">
        <v>10010</v>
      </c>
      <c r="F3807">
        <v>155910.63</v>
      </c>
      <c r="G3807">
        <v>0</v>
      </c>
      <c r="H3807">
        <v>0</v>
      </c>
      <c r="I3807">
        <v>0</v>
      </c>
      <c r="J3807">
        <v>0</v>
      </c>
      <c r="K3807">
        <v>0</v>
      </c>
      <c r="L3807">
        <v>16250000</v>
      </c>
      <c r="M3807">
        <v>16250000</v>
      </c>
      <c r="N3807">
        <v>16250000</v>
      </c>
      <c r="O3807">
        <v>16250000</v>
      </c>
      <c r="P3807">
        <v>16250000</v>
      </c>
      <c r="Q3807">
        <v>16250000</v>
      </c>
      <c r="R3807" s="14">
        <f>_xlfn.XLOOKUP(Table2[[#This Row],[LoanID]],Table1[G-L ID],Table1[ManagerCode],-99)</f>
        <v>119</v>
      </c>
      <c r="T3807"/>
    </row>
    <row r="3808" spans="1:20" x14ac:dyDescent="0.25">
      <c r="A3808">
        <v>20150831</v>
      </c>
      <c r="B3808">
        <v>2015</v>
      </c>
      <c r="C3808">
        <v>8</v>
      </c>
      <c r="D3808">
        <v>1</v>
      </c>
      <c r="E3808">
        <v>10050</v>
      </c>
      <c r="F3808">
        <v>153981.01999999999</v>
      </c>
      <c r="G3808">
        <v>0</v>
      </c>
      <c r="H3808">
        <v>0</v>
      </c>
      <c r="I3808">
        <v>0</v>
      </c>
      <c r="J3808">
        <v>0</v>
      </c>
      <c r="K3808">
        <v>0</v>
      </c>
      <c r="L3808">
        <v>37649946.770000003</v>
      </c>
      <c r="M3808">
        <v>37680218.700000003</v>
      </c>
      <c r="N3808">
        <v>37649946.770000003</v>
      </c>
      <c r="O3808">
        <v>37680218.700000003</v>
      </c>
      <c r="P3808">
        <v>33333334</v>
      </c>
      <c r="Q3808">
        <v>33333334</v>
      </c>
      <c r="R3808" s="14">
        <f>_xlfn.XLOOKUP(Table2[[#This Row],[LoanID]],Table1[G-L ID],Table1[ManagerCode],-99)</f>
        <v>103</v>
      </c>
      <c r="T3808"/>
    </row>
    <row r="3809" spans="1:20" x14ac:dyDescent="0.25">
      <c r="A3809">
        <v>20150831</v>
      </c>
      <c r="B3809">
        <v>2015</v>
      </c>
      <c r="C3809">
        <v>8</v>
      </c>
      <c r="D3809">
        <v>1</v>
      </c>
      <c r="E3809">
        <v>10090</v>
      </c>
      <c r="F3809">
        <v>188152.78</v>
      </c>
      <c r="G3809">
        <v>0</v>
      </c>
      <c r="H3809">
        <v>0</v>
      </c>
      <c r="I3809">
        <v>0</v>
      </c>
      <c r="J3809">
        <v>0</v>
      </c>
      <c r="K3809">
        <v>0</v>
      </c>
      <c r="L3809">
        <v>23000000</v>
      </c>
      <c r="M3809">
        <v>23000000</v>
      </c>
      <c r="N3809">
        <v>23000000</v>
      </c>
      <c r="O3809">
        <v>23000000</v>
      </c>
      <c r="P3809">
        <v>23000000</v>
      </c>
      <c r="Q3809">
        <v>23000000</v>
      </c>
      <c r="R3809" s="14">
        <f>_xlfn.XLOOKUP(Table2[[#This Row],[LoanID]],Table1[G-L ID],Table1[ManagerCode],-99)</f>
        <v>119</v>
      </c>
      <c r="T3809"/>
    </row>
    <row r="3810" spans="1:20" x14ac:dyDescent="0.25">
      <c r="A3810">
        <v>20150831</v>
      </c>
      <c r="B3810">
        <v>2015</v>
      </c>
      <c r="C3810">
        <v>8</v>
      </c>
      <c r="D3810">
        <v>1</v>
      </c>
      <c r="E3810">
        <v>10100</v>
      </c>
      <c r="F3810">
        <v>204655</v>
      </c>
      <c r="G3810">
        <v>0</v>
      </c>
      <c r="H3810">
        <v>0</v>
      </c>
      <c r="I3810">
        <v>0</v>
      </c>
      <c r="J3810">
        <v>0</v>
      </c>
      <c r="K3810">
        <v>0</v>
      </c>
      <c r="L3810">
        <v>30500000</v>
      </c>
      <c r="M3810">
        <v>30500000</v>
      </c>
      <c r="N3810">
        <v>30500000</v>
      </c>
      <c r="O3810">
        <v>30500000</v>
      </c>
      <c r="P3810">
        <v>30500000</v>
      </c>
      <c r="Q3810">
        <v>30500000</v>
      </c>
      <c r="R3810" s="14">
        <f>_xlfn.XLOOKUP(Table2[[#This Row],[LoanID]],Table1[G-L ID],Table1[ManagerCode],-99)</f>
        <v>220</v>
      </c>
      <c r="T3810"/>
    </row>
    <row r="3811" spans="1:20" x14ac:dyDescent="0.25">
      <c r="A3811">
        <v>20150831</v>
      </c>
      <c r="B3811">
        <v>2015</v>
      </c>
      <c r="C3811">
        <v>8</v>
      </c>
      <c r="D3811">
        <v>1</v>
      </c>
      <c r="E3811">
        <v>10120</v>
      </c>
      <c r="F3811">
        <v>31113.919999999998</v>
      </c>
      <c r="G3811">
        <v>35142.15</v>
      </c>
      <c r="H3811">
        <v>0</v>
      </c>
      <c r="I3811">
        <v>0</v>
      </c>
      <c r="J3811">
        <v>-31113.919999999998</v>
      </c>
      <c r="K3811">
        <v>0</v>
      </c>
      <c r="L3811">
        <v>6476113.3600000003</v>
      </c>
      <c r="M3811">
        <v>6542369.4299999997</v>
      </c>
      <c r="N3811">
        <v>6476113.3600000003</v>
      </c>
      <c r="O3811">
        <v>6542369.4299999997</v>
      </c>
      <c r="P3811">
        <v>6476113.3600000003</v>
      </c>
      <c r="Q3811">
        <v>6542369.4299999997</v>
      </c>
      <c r="R3811" s="14">
        <f>_xlfn.XLOOKUP(Table2[[#This Row],[LoanID]],Table1[G-L ID],Table1[ManagerCode],-99)</f>
        <v>183</v>
      </c>
      <c r="T3811"/>
    </row>
    <row r="3812" spans="1:20" x14ac:dyDescent="0.25">
      <c r="A3812">
        <v>20150831</v>
      </c>
      <c r="B3812">
        <v>2015</v>
      </c>
      <c r="C3812">
        <v>8</v>
      </c>
      <c r="D3812">
        <v>1</v>
      </c>
      <c r="E3812">
        <v>10160</v>
      </c>
      <c r="F3812">
        <v>111198.21</v>
      </c>
      <c r="G3812">
        <v>0</v>
      </c>
      <c r="H3812">
        <v>0</v>
      </c>
      <c r="I3812">
        <v>0</v>
      </c>
      <c r="J3812">
        <v>0</v>
      </c>
      <c r="K3812">
        <v>0</v>
      </c>
      <c r="L3812">
        <v>14051513.300000001</v>
      </c>
      <c r="M3812">
        <v>14051513.300000001</v>
      </c>
      <c r="N3812">
        <v>14051513.300000001</v>
      </c>
      <c r="O3812">
        <v>14051513.300000001</v>
      </c>
      <c r="P3812">
        <v>14051513.300000001</v>
      </c>
      <c r="Q3812">
        <v>14051513.300000001</v>
      </c>
      <c r="R3812" s="14">
        <f>_xlfn.XLOOKUP(Table2[[#This Row],[LoanID]],Table1[G-L ID],Table1[ManagerCode],-99)</f>
        <v>119</v>
      </c>
      <c r="T3812"/>
    </row>
    <row r="3813" spans="1:20" x14ac:dyDescent="0.25">
      <c r="A3813">
        <v>20150831</v>
      </c>
      <c r="B3813">
        <v>2015</v>
      </c>
      <c r="C3813">
        <v>8</v>
      </c>
      <c r="D3813">
        <v>1</v>
      </c>
      <c r="E3813">
        <v>10220</v>
      </c>
      <c r="F3813">
        <v>0</v>
      </c>
      <c r="G3813">
        <v>0</v>
      </c>
      <c r="H3813">
        <v>0</v>
      </c>
      <c r="I3813">
        <v>0</v>
      </c>
      <c r="J3813">
        <v>0</v>
      </c>
      <c r="K3813">
        <v>0</v>
      </c>
      <c r="L3813">
        <v>115476894.09999999</v>
      </c>
      <c r="M3813">
        <v>115444452.3</v>
      </c>
      <c r="N3813">
        <v>115476894.09999999</v>
      </c>
      <c r="O3813">
        <v>115444452.3</v>
      </c>
      <c r="P3813">
        <v>100000000</v>
      </c>
      <c r="Q3813">
        <v>100000000</v>
      </c>
      <c r="R3813" s="14">
        <f>_xlfn.XLOOKUP(Table2[[#This Row],[LoanID]],Table1[G-L ID],Table1[ManagerCode],-99)</f>
        <v>103</v>
      </c>
      <c r="T3813"/>
    </row>
    <row r="3814" spans="1:20" x14ac:dyDescent="0.25">
      <c r="A3814">
        <v>20150831</v>
      </c>
      <c r="B3814">
        <v>2015</v>
      </c>
      <c r="C3814">
        <v>8</v>
      </c>
      <c r="D3814">
        <v>1</v>
      </c>
      <c r="E3814">
        <v>10240</v>
      </c>
      <c r="F3814">
        <v>73646.820000000007</v>
      </c>
      <c r="G3814">
        <v>0</v>
      </c>
      <c r="H3814">
        <v>0</v>
      </c>
      <c r="I3814">
        <v>0</v>
      </c>
      <c r="J3814">
        <v>-82230.210000000006</v>
      </c>
      <c r="K3814">
        <v>0</v>
      </c>
      <c r="L3814">
        <v>10445205</v>
      </c>
      <c r="M3814">
        <v>10527435.210000001</v>
      </c>
      <c r="N3814">
        <v>10445205</v>
      </c>
      <c r="O3814">
        <v>10527435.210000001</v>
      </c>
      <c r="P3814">
        <v>10445205</v>
      </c>
      <c r="Q3814">
        <v>10527435.210000001</v>
      </c>
      <c r="R3814" s="14">
        <f>_xlfn.XLOOKUP(Table2[[#This Row],[LoanID]],Table1[G-L ID],Table1[ManagerCode],-99)</f>
        <v>220</v>
      </c>
      <c r="T3814"/>
    </row>
    <row r="3815" spans="1:20" x14ac:dyDescent="0.25">
      <c r="A3815">
        <v>20150831</v>
      </c>
      <c r="B3815">
        <v>2015</v>
      </c>
      <c r="C3815">
        <v>8</v>
      </c>
      <c r="D3815">
        <v>1</v>
      </c>
      <c r="E3815">
        <v>10250</v>
      </c>
      <c r="F3815">
        <v>49643.06</v>
      </c>
      <c r="G3815">
        <v>0</v>
      </c>
      <c r="H3815">
        <v>0</v>
      </c>
      <c r="I3815">
        <v>0</v>
      </c>
      <c r="J3815">
        <v>0</v>
      </c>
      <c r="K3815">
        <v>0</v>
      </c>
      <c r="L3815">
        <v>5000000</v>
      </c>
      <c r="M3815">
        <v>5000000</v>
      </c>
      <c r="N3815">
        <v>5000000</v>
      </c>
      <c r="O3815">
        <v>5000000</v>
      </c>
      <c r="P3815">
        <v>5000000</v>
      </c>
      <c r="Q3815">
        <v>5000000</v>
      </c>
      <c r="R3815" s="14">
        <f>_xlfn.XLOOKUP(Table2[[#This Row],[LoanID]],Table1[G-L ID],Table1[ManagerCode],-99)</f>
        <v>119</v>
      </c>
      <c r="T3815"/>
    </row>
    <row r="3816" spans="1:20" x14ac:dyDescent="0.25">
      <c r="A3816">
        <v>20150831</v>
      </c>
      <c r="B3816">
        <v>2015</v>
      </c>
      <c r="C3816">
        <v>8</v>
      </c>
      <c r="D3816">
        <v>1</v>
      </c>
      <c r="E3816">
        <v>10260</v>
      </c>
      <c r="F3816">
        <v>106240.75</v>
      </c>
      <c r="G3816">
        <v>0</v>
      </c>
      <c r="H3816">
        <v>0</v>
      </c>
      <c r="I3816">
        <v>0</v>
      </c>
      <c r="J3816">
        <v>0</v>
      </c>
      <c r="K3816">
        <v>0</v>
      </c>
      <c r="L3816">
        <v>15000000</v>
      </c>
      <c r="M3816">
        <v>15000000</v>
      </c>
      <c r="N3816">
        <v>15000000</v>
      </c>
      <c r="O3816">
        <v>15000000</v>
      </c>
      <c r="P3816">
        <v>15000000</v>
      </c>
      <c r="Q3816">
        <v>15000000</v>
      </c>
      <c r="R3816" s="14">
        <f>_xlfn.XLOOKUP(Table2[[#This Row],[LoanID]],Table1[G-L ID],Table1[ManagerCode],-99)</f>
        <v>220</v>
      </c>
      <c r="T3816"/>
    </row>
    <row r="3817" spans="1:20" x14ac:dyDescent="0.25">
      <c r="A3817">
        <v>20150831</v>
      </c>
      <c r="B3817">
        <v>2015</v>
      </c>
      <c r="C3817">
        <v>8</v>
      </c>
      <c r="D3817">
        <v>1</v>
      </c>
      <c r="E3817">
        <v>10270</v>
      </c>
      <c r="F3817">
        <v>44171.9</v>
      </c>
      <c r="G3817">
        <v>0</v>
      </c>
      <c r="H3817">
        <v>0</v>
      </c>
      <c r="I3817">
        <v>0</v>
      </c>
      <c r="J3817">
        <v>0</v>
      </c>
      <c r="K3817">
        <v>0</v>
      </c>
      <c r="L3817">
        <v>5400000</v>
      </c>
      <c r="M3817">
        <v>5400000</v>
      </c>
      <c r="N3817">
        <v>5400000</v>
      </c>
      <c r="O3817">
        <v>5400000</v>
      </c>
      <c r="P3817">
        <v>5400000</v>
      </c>
      <c r="Q3817">
        <v>5400000</v>
      </c>
      <c r="R3817" s="14">
        <f>_xlfn.XLOOKUP(Table2[[#This Row],[LoanID]],Table1[G-L ID],Table1[ManagerCode],-99)</f>
        <v>119</v>
      </c>
      <c r="T3817"/>
    </row>
    <row r="3818" spans="1:20" x14ac:dyDescent="0.25">
      <c r="A3818">
        <v>20150831</v>
      </c>
      <c r="B3818">
        <v>2015</v>
      </c>
      <c r="C3818">
        <v>8</v>
      </c>
      <c r="D3818">
        <v>1</v>
      </c>
      <c r="E3818">
        <v>10350</v>
      </c>
      <c r="F3818">
        <v>198916.67</v>
      </c>
      <c r="G3818">
        <v>0</v>
      </c>
      <c r="H3818">
        <v>0</v>
      </c>
      <c r="I3818">
        <v>0</v>
      </c>
      <c r="J3818">
        <v>0</v>
      </c>
      <c r="K3818">
        <v>0</v>
      </c>
      <c r="L3818">
        <v>24800000</v>
      </c>
      <c r="M3818">
        <v>24800000</v>
      </c>
      <c r="N3818">
        <v>24800000</v>
      </c>
      <c r="O3818">
        <v>24800000</v>
      </c>
      <c r="P3818">
        <v>24800000</v>
      </c>
      <c r="Q3818">
        <v>24800000</v>
      </c>
      <c r="R3818" s="14">
        <f>_xlfn.XLOOKUP(Table2[[#This Row],[LoanID]],Table1[G-L ID],Table1[ManagerCode],-99)</f>
        <v>220</v>
      </c>
      <c r="T3818"/>
    </row>
    <row r="3819" spans="1:20" x14ac:dyDescent="0.25">
      <c r="A3819">
        <v>20150831</v>
      </c>
      <c r="B3819">
        <v>2015</v>
      </c>
      <c r="C3819">
        <v>8</v>
      </c>
      <c r="D3819">
        <v>1</v>
      </c>
      <c r="E3819">
        <v>10430</v>
      </c>
      <c r="F3819">
        <v>90231.81</v>
      </c>
      <c r="G3819">
        <v>0</v>
      </c>
      <c r="H3819">
        <v>0</v>
      </c>
      <c r="I3819">
        <v>0</v>
      </c>
      <c r="J3819">
        <v>0</v>
      </c>
      <c r="K3819">
        <v>23400</v>
      </c>
      <c r="L3819">
        <v>10812800</v>
      </c>
      <c r="M3819">
        <v>10789400</v>
      </c>
      <c r="N3819">
        <v>10812800</v>
      </c>
      <c r="O3819">
        <v>10789400</v>
      </c>
      <c r="P3819">
        <v>10812800</v>
      </c>
      <c r="Q3819">
        <v>10789400</v>
      </c>
      <c r="R3819" s="14">
        <f>_xlfn.XLOOKUP(Table2[[#This Row],[LoanID]],Table1[G-L ID],Table1[ManagerCode],-99)</f>
        <v>119</v>
      </c>
      <c r="T3819"/>
    </row>
    <row r="3820" spans="1:20" x14ac:dyDescent="0.25">
      <c r="A3820">
        <v>20150831</v>
      </c>
      <c r="B3820">
        <v>2015</v>
      </c>
      <c r="C3820">
        <v>8</v>
      </c>
      <c r="D3820">
        <v>1</v>
      </c>
      <c r="E3820">
        <v>10460</v>
      </c>
      <c r="F3820">
        <v>0</v>
      </c>
      <c r="G3820">
        <v>0</v>
      </c>
      <c r="H3820">
        <v>0</v>
      </c>
      <c r="I3820">
        <v>0</v>
      </c>
      <c r="J3820">
        <v>0</v>
      </c>
      <c r="K3820">
        <v>0</v>
      </c>
      <c r="L3820">
        <v>59799562.409999996</v>
      </c>
      <c r="M3820">
        <v>59808715.490000002</v>
      </c>
      <c r="N3820">
        <v>59799562.409999996</v>
      </c>
      <c r="O3820">
        <v>59808715.490000002</v>
      </c>
      <c r="P3820">
        <v>60000000</v>
      </c>
      <c r="Q3820">
        <v>60000000</v>
      </c>
      <c r="R3820" s="14">
        <f>_xlfn.XLOOKUP(Table2[[#This Row],[LoanID]],Table1[G-L ID],Table1[ManagerCode],-99)</f>
        <v>103</v>
      </c>
      <c r="T3820"/>
    </row>
    <row r="3821" spans="1:20" x14ac:dyDescent="0.25">
      <c r="A3821">
        <v>20150831</v>
      </c>
      <c r="B3821">
        <v>2015</v>
      </c>
      <c r="C3821">
        <v>8</v>
      </c>
      <c r="D3821">
        <v>1</v>
      </c>
      <c r="E3821">
        <v>10470</v>
      </c>
      <c r="F3821">
        <v>31757.02</v>
      </c>
      <c r="G3821">
        <v>0</v>
      </c>
      <c r="H3821">
        <v>62500</v>
      </c>
      <c r="I3821">
        <v>0</v>
      </c>
      <c r="J3821">
        <v>0</v>
      </c>
      <c r="K3821">
        <v>25000000</v>
      </c>
      <c r="L3821">
        <v>25000000</v>
      </c>
      <c r="M3821">
        <v>0</v>
      </c>
      <c r="N3821">
        <v>25000000</v>
      </c>
      <c r="O3821">
        <v>0</v>
      </c>
      <c r="P3821">
        <v>25000000</v>
      </c>
      <c r="Q3821">
        <v>0</v>
      </c>
      <c r="R3821" s="14">
        <f>_xlfn.XLOOKUP(Table2[[#This Row],[LoanID]],Table1[G-L ID],Table1[ManagerCode],-99)</f>
        <v>103</v>
      </c>
      <c r="T3821"/>
    </row>
    <row r="3822" spans="1:20" x14ac:dyDescent="0.25">
      <c r="A3822">
        <v>20150831</v>
      </c>
      <c r="B3822">
        <v>2015</v>
      </c>
      <c r="C3822">
        <v>8</v>
      </c>
      <c r="D3822">
        <v>1</v>
      </c>
      <c r="E3822">
        <v>10480</v>
      </c>
      <c r="F3822">
        <v>156354.19</v>
      </c>
      <c r="G3822">
        <v>0</v>
      </c>
      <c r="H3822">
        <v>0</v>
      </c>
      <c r="I3822">
        <v>0</v>
      </c>
      <c r="J3822">
        <v>0</v>
      </c>
      <c r="K3822">
        <v>0</v>
      </c>
      <c r="L3822">
        <v>21350000</v>
      </c>
      <c r="M3822">
        <v>21350000</v>
      </c>
      <c r="N3822">
        <v>21350000</v>
      </c>
      <c r="O3822">
        <v>21350000</v>
      </c>
      <c r="P3822">
        <v>21350000</v>
      </c>
      <c r="Q3822">
        <v>21350000</v>
      </c>
      <c r="R3822" s="14">
        <f>_xlfn.XLOOKUP(Table2[[#This Row],[LoanID]],Table1[G-L ID],Table1[ManagerCode],-99)</f>
        <v>119</v>
      </c>
      <c r="T3822"/>
    </row>
    <row r="3823" spans="1:20" x14ac:dyDescent="0.25">
      <c r="A3823">
        <v>20150831</v>
      </c>
      <c r="B3823">
        <v>2015</v>
      </c>
      <c r="C3823">
        <v>8</v>
      </c>
      <c r="D3823">
        <v>1</v>
      </c>
      <c r="E3823">
        <v>10570</v>
      </c>
      <c r="F3823">
        <v>799358.35</v>
      </c>
      <c r="G3823">
        <v>0</v>
      </c>
      <c r="H3823">
        <v>0</v>
      </c>
      <c r="I3823">
        <v>0.01</v>
      </c>
      <c r="J3823">
        <v>0</v>
      </c>
      <c r="K3823">
        <v>0</v>
      </c>
      <c r="L3823">
        <v>156356260.69999999</v>
      </c>
      <c r="M3823">
        <v>156356260.69999999</v>
      </c>
      <c r="N3823">
        <v>156356260.69999999</v>
      </c>
      <c r="O3823">
        <v>156356260.69999999</v>
      </c>
      <c r="P3823">
        <v>156356260.69999999</v>
      </c>
      <c r="Q3823">
        <v>156356260.69999999</v>
      </c>
      <c r="R3823" s="14">
        <f>_xlfn.XLOOKUP(Table2[[#This Row],[LoanID]],Table1[G-L ID],Table1[ManagerCode],-99)</f>
        <v>103</v>
      </c>
      <c r="T3823"/>
    </row>
    <row r="3824" spans="1:20" x14ac:dyDescent="0.25">
      <c r="A3824">
        <v>20150831</v>
      </c>
      <c r="B3824">
        <v>2015</v>
      </c>
      <c r="C3824">
        <v>8</v>
      </c>
      <c r="D3824">
        <v>1</v>
      </c>
      <c r="E3824">
        <v>10591</v>
      </c>
      <c r="F3824">
        <v>215698.6</v>
      </c>
      <c r="G3824">
        <v>0</v>
      </c>
      <c r="H3824">
        <v>0</v>
      </c>
      <c r="I3824">
        <v>0</v>
      </c>
      <c r="J3824">
        <v>0</v>
      </c>
      <c r="K3824">
        <v>68083.62</v>
      </c>
      <c r="L3824">
        <v>24543120.399999999</v>
      </c>
      <c r="M3824">
        <v>24475036.780000001</v>
      </c>
      <c r="N3824">
        <v>24543120.399999999</v>
      </c>
      <c r="O3824">
        <v>24475036.780000001</v>
      </c>
      <c r="P3824">
        <v>24543120.399999999</v>
      </c>
      <c r="Q3824">
        <v>24475036.780000001</v>
      </c>
      <c r="R3824" s="14">
        <f>_xlfn.XLOOKUP(Table2[[#This Row],[LoanID]],Table1[G-L ID],Table1[ManagerCode],-99)</f>
        <v>220</v>
      </c>
      <c r="T3824"/>
    </row>
    <row r="3825" spans="1:20" x14ac:dyDescent="0.25">
      <c r="A3825">
        <v>20150831</v>
      </c>
      <c r="B3825">
        <v>2015</v>
      </c>
      <c r="C3825">
        <v>8</v>
      </c>
      <c r="D3825">
        <v>1</v>
      </c>
      <c r="E3825">
        <v>10592</v>
      </c>
      <c r="F3825">
        <v>357798.35</v>
      </c>
      <c r="G3825">
        <v>0</v>
      </c>
      <c r="H3825">
        <v>0</v>
      </c>
      <c r="I3825">
        <v>0</v>
      </c>
      <c r="J3825">
        <v>0</v>
      </c>
      <c r="K3825">
        <v>100504.38</v>
      </c>
      <c r="L3825">
        <v>36427780.770000003</v>
      </c>
      <c r="M3825">
        <v>36326728.630000003</v>
      </c>
      <c r="N3825">
        <v>36427780.770000003</v>
      </c>
      <c r="O3825">
        <v>36326728.630000003</v>
      </c>
      <c r="P3825">
        <v>36230320.600000001</v>
      </c>
      <c r="Q3825">
        <v>36129816.219999999</v>
      </c>
      <c r="R3825" s="14">
        <f>_xlfn.XLOOKUP(Table2[[#This Row],[LoanID]],Table1[G-L ID],Table1[ManagerCode],-99)</f>
        <v>220</v>
      </c>
      <c r="T3825"/>
    </row>
    <row r="3826" spans="1:20" x14ac:dyDescent="0.25">
      <c r="A3826">
        <v>20150831</v>
      </c>
      <c r="B3826">
        <v>2015</v>
      </c>
      <c r="C3826">
        <v>8</v>
      </c>
      <c r="D3826">
        <v>1</v>
      </c>
      <c r="E3826">
        <v>10640</v>
      </c>
      <c r="F3826">
        <v>77164.820000000007</v>
      </c>
      <c r="G3826">
        <v>0</v>
      </c>
      <c r="H3826">
        <v>0</v>
      </c>
      <c r="I3826">
        <v>0</v>
      </c>
      <c r="J3826">
        <v>-156943.28</v>
      </c>
      <c r="K3826">
        <v>0</v>
      </c>
      <c r="L3826">
        <v>9048195.0899999999</v>
      </c>
      <c r="M3826">
        <v>9206462.6099999994</v>
      </c>
      <c r="N3826">
        <v>9048195.0899999999</v>
      </c>
      <c r="O3826">
        <v>9206462.6099999994</v>
      </c>
      <c r="P3826">
        <v>8972472</v>
      </c>
      <c r="Q3826">
        <v>9129415</v>
      </c>
      <c r="R3826" s="14">
        <f>_xlfn.XLOOKUP(Table2[[#This Row],[LoanID]],Table1[G-L ID],Table1[ManagerCode],-99)</f>
        <v>220</v>
      </c>
      <c r="T3826"/>
    </row>
    <row r="3827" spans="1:20" x14ac:dyDescent="0.25">
      <c r="A3827">
        <v>20150831</v>
      </c>
      <c r="B3827">
        <v>2015</v>
      </c>
      <c r="C3827">
        <v>8</v>
      </c>
      <c r="D3827">
        <v>1</v>
      </c>
      <c r="E3827">
        <v>10680</v>
      </c>
      <c r="F3827">
        <v>58112.11</v>
      </c>
      <c r="G3827">
        <v>0</v>
      </c>
      <c r="H3827">
        <v>0</v>
      </c>
      <c r="I3827">
        <v>0</v>
      </c>
      <c r="J3827">
        <v>-294400</v>
      </c>
      <c r="K3827">
        <v>0</v>
      </c>
      <c r="L3827">
        <v>6964400</v>
      </c>
      <c r="M3827">
        <v>7258800</v>
      </c>
      <c r="N3827">
        <v>6964400</v>
      </c>
      <c r="O3827">
        <v>7258800</v>
      </c>
      <c r="P3827">
        <v>6964400</v>
      </c>
      <c r="Q3827">
        <v>7258800</v>
      </c>
      <c r="R3827" s="14">
        <f>_xlfn.XLOOKUP(Table2[[#This Row],[LoanID]],Table1[G-L ID],Table1[ManagerCode],-99)</f>
        <v>119</v>
      </c>
      <c r="T3827"/>
    </row>
    <row r="3828" spans="1:20" x14ac:dyDescent="0.25">
      <c r="A3828">
        <v>20150831</v>
      </c>
      <c r="B3828">
        <v>2015</v>
      </c>
      <c r="C3828">
        <v>8</v>
      </c>
      <c r="D3828">
        <v>1</v>
      </c>
      <c r="E3828">
        <v>10720</v>
      </c>
      <c r="F3828">
        <v>125000</v>
      </c>
      <c r="G3828">
        <v>78272.5</v>
      </c>
      <c r="H3828">
        <v>0</v>
      </c>
      <c r="I3828">
        <v>0</v>
      </c>
      <c r="J3828">
        <v>0</v>
      </c>
      <c r="K3828">
        <v>0</v>
      </c>
      <c r="L3828">
        <v>16754312.02</v>
      </c>
      <c r="M3828">
        <v>16837642.690000001</v>
      </c>
      <c r="N3828">
        <v>16754312.02</v>
      </c>
      <c r="O3828">
        <v>16837642.690000001</v>
      </c>
      <c r="P3828">
        <v>15737225.390000001</v>
      </c>
      <c r="Q3828">
        <v>15815497.890000001</v>
      </c>
      <c r="R3828" s="14">
        <f>_xlfn.XLOOKUP(Table2[[#This Row],[LoanID]],Table1[G-L ID],Table1[ManagerCode],-99)</f>
        <v>220</v>
      </c>
      <c r="T3828"/>
    </row>
    <row r="3829" spans="1:20" x14ac:dyDescent="0.25">
      <c r="A3829">
        <v>20150831</v>
      </c>
      <c r="B3829">
        <v>2015</v>
      </c>
      <c r="C3829">
        <v>8</v>
      </c>
      <c r="D3829">
        <v>1</v>
      </c>
      <c r="E3829">
        <v>10740</v>
      </c>
      <c r="F3829">
        <v>0</v>
      </c>
      <c r="G3829">
        <v>0</v>
      </c>
      <c r="H3829">
        <v>0</v>
      </c>
      <c r="I3829">
        <v>0</v>
      </c>
      <c r="J3829">
        <v>0</v>
      </c>
      <c r="K3829">
        <v>0</v>
      </c>
      <c r="L3829">
        <v>447583361.10000002</v>
      </c>
      <c r="M3829">
        <v>443440746.60000002</v>
      </c>
      <c r="N3829">
        <v>447583361.10000002</v>
      </c>
      <c r="O3829">
        <v>443440746.60000002</v>
      </c>
      <c r="P3829">
        <v>461801475</v>
      </c>
      <c r="Q3829">
        <v>461801475</v>
      </c>
      <c r="R3829" s="14">
        <f>_xlfn.XLOOKUP(Table2[[#This Row],[LoanID]],Table1[G-L ID],Table1[ManagerCode],-99)</f>
        <v>103</v>
      </c>
      <c r="T3829"/>
    </row>
    <row r="3830" spans="1:20" x14ac:dyDescent="0.25">
      <c r="A3830">
        <v>20150831</v>
      </c>
      <c r="B3830">
        <v>2015</v>
      </c>
      <c r="C3830">
        <v>8</v>
      </c>
      <c r="D3830">
        <v>1</v>
      </c>
      <c r="E3830">
        <v>10750</v>
      </c>
      <c r="F3830">
        <v>71449.98</v>
      </c>
      <c r="G3830">
        <v>0</v>
      </c>
      <c r="H3830">
        <v>0</v>
      </c>
      <c r="I3830">
        <v>0</v>
      </c>
      <c r="J3830">
        <v>-331097.59000000003</v>
      </c>
      <c r="K3830">
        <v>0</v>
      </c>
      <c r="L3830">
        <v>8979673.9600000009</v>
      </c>
      <c r="M3830">
        <v>9310771.5500000007</v>
      </c>
      <c r="N3830">
        <v>8979673.9600000009</v>
      </c>
      <c r="O3830">
        <v>9310771.5500000007</v>
      </c>
      <c r="P3830">
        <v>8979673.9600000009</v>
      </c>
      <c r="Q3830">
        <v>9310771.5500000007</v>
      </c>
      <c r="R3830" s="14">
        <f>_xlfn.XLOOKUP(Table2[[#This Row],[LoanID]],Table1[G-L ID],Table1[ManagerCode],-99)</f>
        <v>119</v>
      </c>
      <c r="T3830"/>
    </row>
    <row r="3831" spans="1:20" x14ac:dyDescent="0.25">
      <c r="A3831">
        <v>20150831</v>
      </c>
      <c r="B3831">
        <v>2015</v>
      </c>
      <c r="C3831">
        <v>8</v>
      </c>
      <c r="D3831">
        <v>1</v>
      </c>
      <c r="E3831">
        <v>10780</v>
      </c>
      <c r="F3831">
        <v>312440.39</v>
      </c>
      <c r="G3831">
        <v>0</v>
      </c>
      <c r="H3831">
        <v>0</v>
      </c>
      <c r="I3831">
        <v>0</v>
      </c>
      <c r="J3831">
        <v>0</v>
      </c>
      <c r="K3831">
        <v>0</v>
      </c>
      <c r="L3831">
        <v>43000000</v>
      </c>
      <c r="M3831">
        <v>43000000</v>
      </c>
      <c r="N3831">
        <v>43000000</v>
      </c>
      <c r="O3831">
        <v>43000000</v>
      </c>
      <c r="P3831">
        <v>43000000</v>
      </c>
      <c r="Q3831">
        <v>43000000</v>
      </c>
      <c r="R3831" s="14">
        <f>_xlfn.XLOOKUP(Table2[[#This Row],[LoanID]],Table1[G-L ID],Table1[ManagerCode],-99)</f>
        <v>220</v>
      </c>
      <c r="T3831"/>
    </row>
    <row r="3832" spans="1:20" x14ac:dyDescent="0.25">
      <c r="A3832">
        <v>20150831</v>
      </c>
      <c r="B3832">
        <v>2015</v>
      </c>
      <c r="C3832">
        <v>8</v>
      </c>
      <c r="D3832">
        <v>1</v>
      </c>
      <c r="E3832">
        <v>10800</v>
      </c>
      <c r="F3832">
        <v>216903.56</v>
      </c>
      <c r="G3832">
        <v>0</v>
      </c>
      <c r="H3832">
        <v>0</v>
      </c>
      <c r="I3832">
        <v>0</v>
      </c>
      <c r="J3832">
        <v>0</v>
      </c>
      <c r="K3832">
        <v>0</v>
      </c>
      <c r="L3832">
        <v>26000000</v>
      </c>
      <c r="M3832">
        <v>26000000</v>
      </c>
      <c r="N3832">
        <v>26000000</v>
      </c>
      <c r="O3832">
        <v>26000000</v>
      </c>
      <c r="P3832">
        <v>26000000</v>
      </c>
      <c r="Q3832">
        <v>26000000</v>
      </c>
      <c r="R3832" s="14">
        <f>_xlfn.XLOOKUP(Table2[[#This Row],[LoanID]],Table1[G-L ID],Table1[ManagerCode],-99)</f>
        <v>220</v>
      </c>
      <c r="T3832"/>
    </row>
    <row r="3833" spans="1:20" x14ac:dyDescent="0.25">
      <c r="A3833">
        <v>20150831</v>
      </c>
      <c r="B3833">
        <v>2015</v>
      </c>
      <c r="C3833">
        <v>8</v>
      </c>
      <c r="D3833">
        <v>1</v>
      </c>
      <c r="E3833">
        <v>10820</v>
      </c>
      <c r="F3833">
        <v>185688.87</v>
      </c>
      <c r="G3833">
        <v>0</v>
      </c>
      <c r="H3833">
        <v>0</v>
      </c>
      <c r="I3833">
        <v>0</v>
      </c>
      <c r="J3833">
        <v>-440600</v>
      </c>
      <c r="K3833">
        <v>0</v>
      </c>
      <c r="L3833">
        <v>22993894.27</v>
      </c>
      <c r="M3833">
        <v>23440222.07</v>
      </c>
      <c r="N3833">
        <v>22993894.27</v>
      </c>
      <c r="O3833">
        <v>23440222.07</v>
      </c>
      <c r="P3833">
        <v>22698809.739999998</v>
      </c>
      <c r="Q3833">
        <v>23139409.739999998</v>
      </c>
      <c r="R3833" s="14">
        <f>_xlfn.XLOOKUP(Table2[[#This Row],[LoanID]],Table1[G-L ID],Table1[ManagerCode],-99)</f>
        <v>220</v>
      </c>
      <c r="T3833"/>
    </row>
    <row r="3834" spans="1:20" x14ac:dyDescent="0.25">
      <c r="A3834">
        <v>20150831</v>
      </c>
      <c r="B3834">
        <v>2015</v>
      </c>
      <c r="C3834">
        <v>8</v>
      </c>
      <c r="D3834">
        <v>1</v>
      </c>
      <c r="E3834">
        <v>10830</v>
      </c>
      <c r="F3834">
        <v>62853.2</v>
      </c>
      <c r="G3834">
        <v>0</v>
      </c>
      <c r="H3834">
        <v>0</v>
      </c>
      <c r="I3834">
        <v>0</v>
      </c>
      <c r="J3834">
        <v>0</v>
      </c>
      <c r="K3834">
        <v>0</v>
      </c>
      <c r="L3834">
        <v>7783125.2999999998</v>
      </c>
      <c r="M3834">
        <v>7783125.2999999998</v>
      </c>
      <c r="N3834">
        <v>7783125.2999999998</v>
      </c>
      <c r="O3834">
        <v>7783125.2999999998</v>
      </c>
      <c r="P3834">
        <v>7683243.1399999997</v>
      </c>
      <c r="Q3834">
        <v>7683243.1399999997</v>
      </c>
      <c r="R3834" s="14">
        <f>_xlfn.XLOOKUP(Table2[[#This Row],[LoanID]],Table1[G-L ID],Table1[ManagerCode],-99)</f>
        <v>220</v>
      </c>
      <c r="T3834"/>
    </row>
    <row r="3835" spans="1:20" x14ac:dyDescent="0.25">
      <c r="A3835">
        <v>20150831</v>
      </c>
      <c r="B3835">
        <v>2015</v>
      </c>
      <c r="C3835">
        <v>8</v>
      </c>
      <c r="D3835">
        <v>1</v>
      </c>
      <c r="E3835">
        <v>10840</v>
      </c>
      <c r="F3835">
        <v>103968.23</v>
      </c>
      <c r="G3835">
        <v>0</v>
      </c>
      <c r="H3835">
        <v>0</v>
      </c>
      <c r="I3835">
        <v>0</v>
      </c>
      <c r="J3835">
        <v>0</v>
      </c>
      <c r="K3835">
        <v>0</v>
      </c>
      <c r="L3835">
        <v>12874408.460000001</v>
      </c>
      <c r="M3835">
        <v>12874408.460000001</v>
      </c>
      <c r="N3835">
        <v>12874408.460000001</v>
      </c>
      <c r="O3835">
        <v>12874408.460000001</v>
      </c>
      <c r="P3835">
        <v>12709189</v>
      </c>
      <c r="Q3835">
        <v>12709189</v>
      </c>
      <c r="R3835" s="14">
        <f>_xlfn.XLOOKUP(Table2[[#This Row],[LoanID]],Table1[G-L ID],Table1[ManagerCode],-99)</f>
        <v>220</v>
      </c>
      <c r="T3835"/>
    </row>
    <row r="3836" spans="1:20" x14ac:dyDescent="0.25">
      <c r="A3836">
        <v>20150831</v>
      </c>
      <c r="B3836">
        <v>2015</v>
      </c>
      <c r="C3836">
        <v>8</v>
      </c>
      <c r="D3836">
        <v>1</v>
      </c>
      <c r="E3836">
        <v>10850</v>
      </c>
      <c r="F3836">
        <v>110534.78</v>
      </c>
      <c r="G3836">
        <v>0</v>
      </c>
      <c r="H3836">
        <v>0</v>
      </c>
      <c r="I3836">
        <v>0</v>
      </c>
      <c r="J3836">
        <v>0</v>
      </c>
      <c r="K3836">
        <v>0</v>
      </c>
      <c r="L3836">
        <v>13687546.6</v>
      </c>
      <c r="M3836">
        <v>13687546.6</v>
      </c>
      <c r="N3836">
        <v>13687546.6</v>
      </c>
      <c r="O3836">
        <v>13687546.6</v>
      </c>
      <c r="P3836">
        <v>13511892</v>
      </c>
      <c r="Q3836">
        <v>13511892</v>
      </c>
      <c r="R3836" s="14">
        <f>_xlfn.XLOOKUP(Table2[[#This Row],[LoanID]],Table1[G-L ID],Table1[ManagerCode],-99)</f>
        <v>220</v>
      </c>
      <c r="T3836"/>
    </row>
    <row r="3837" spans="1:20" x14ac:dyDescent="0.25">
      <c r="A3837">
        <v>20150831</v>
      </c>
      <c r="B3837">
        <v>2015</v>
      </c>
      <c r="C3837">
        <v>8</v>
      </c>
      <c r="D3837">
        <v>1</v>
      </c>
      <c r="E3837">
        <v>10860</v>
      </c>
      <c r="F3837">
        <v>118061.77</v>
      </c>
      <c r="G3837">
        <v>0</v>
      </c>
      <c r="H3837">
        <v>0</v>
      </c>
      <c r="I3837">
        <v>0</v>
      </c>
      <c r="J3837">
        <v>0</v>
      </c>
      <c r="K3837">
        <v>0</v>
      </c>
      <c r="L3837">
        <v>19475000</v>
      </c>
      <c r="M3837">
        <v>19475000</v>
      </c>
      <c r="N3837">
        <v>19475000</v>
      </c>
      <c r="O3837">
        <v>19475000</v>
      </c>
      <c r="P3837">
        <v>20500000</v>
      </c>
      <c r="Q3837">
        <v>20500000</v>
      </c>
      <c r="R3837" s="14">
        <f>_xlfn.XLOOKUP(Table2[[#This Row],[LoanID]],Table1[G-L ID],Table1[ManagerCode],-99)</f>
        <v>103</v>
      </c>
      <c r="T3837"/>
    </row>
    <row r="3838" spans="1:20" x14ac:dyDescent="0.25">
      <c r="A3838">
        <v>20150831</v>
      </c>
      <c r="B3838">
        <v>2015</v>
      </c>
      <c r="C3838">
        <v>8</v>
      </c>
      <c r="D3838">
        <v>1</v>
      </c>
      <c r="E3838">
        <v>10910</v>
      </c>
      <c r="F3838">
        <v>202800.28</v>
      </c>
      <c r="G3838">
        <v>0</v>
      </c>
      <c r="H3838">
        <v>0</v>
      </c>
      <c r="I3838">
        <v>0</v>
      </c>
      <c r="J3838">
        <v>0</v>
      </c>
      <c r="K3838">
        <v>0</v>
      </c>
      <c r="L3838">
        <v>22500000</v>
      </c>
      <c r="M3838">
        <v>22500000</v>
      </c>
      <c r="N3838">
        <v>22500000</v>
      </c>
      <c r="O3838">
        <v>22500000</v>
      </c>
      <c r="P3838">
        <v>22500000</v>
      </c>
      <c r="Q3838">
        <v>22500000</v>
      </c>
      <c r="R3838" s="14">
        <f>_xlfn.XLOOKUP(Table2[[#This Row],[LoanID]],Table1[G-L ID],Table1[ManagerCode],-99)</f>
        <v>119</v>
      </c>
      <c r="T3838"/>
    </row>
    <row r="3839" spans="1:20" x14ac:dyDescent="0.25">
      <c r="A3839">
        <v>20150831</v>
      </c>
      <c r="B3839">
        <v>2015</v>
      </c>
      <c r="C3839">
        <v>8</v>
      </c>
      <c r="D3839">
        <v>1</v>
      </c>
      <c r="E3839">
        <v>10930</v>
      </c>
      <c r="F3839">
        <v>0</v>
      </c>
      <c r="G3839">
        <v>153823.57999999999</v>
      </c>
      <c r="H3839">
        <v>0</v>
      </c>
      <c r="I3839">
        <v>0</v>
      </c>
      <c r="J3839">
        <v>0</v>
      </c>
      <c r="K3839">
        <v>0</v>
      </c>
      <c r="L3839">
        <v>13931912.49</v>
      </c>
      <c r="M3839">
        <v>14085736.07</v>
      </c>
      <c r="N3839">
        <v>13931912.49</v>
      </c>
      <c r="O3839">
        <v>14085736.07</v>
      </c>
      <c r="P3839">
        <v>13931912.49</v>
      </c>
      <c r="Q3839">
        <v>14085736.07</v>
      </c>
      <c r="R3839" s="14">
        <f>_xlfn.XLOOKUP(Table2[[#This Row],[LoanID]],Table1[G-L ID],Table1[ManagerCode],-99)</f>
        <v>183</v>
      </c>
      <c r="T3839"/>
    </row>
    <row r="3840" spans="1:20" x14ac:dyDescent="0.25">
      <c r="A3840">
        <v>20150831</v>
      </c>
      <c r="B3840">
        <v>2015</v>
      </c>
      <c r="C3840">
        <v>8</v>
      </c>
      <c r="D3840">
        <v>1</v>
      </c>
      <c r="E3840">
        <v>10940</v>
      </c>
      <c r="F3840">
        <v>59674.64</v>
      </c>
      <c r="G3840">
        <v>80460.320000000007</v>
      </c>
      <c r="H3840">
        <v>0</v>
      </c>
      <c r="I3840">
        <v>0</v>
      </c>
      <c r="J3840">
        <v>-59674.64</v>
      </c>
      <c r="K3840">
        <v>0</v>
      </c>
      <c r="L3840">
        <v>12055787.130000001</v>
      </c>
      <c r="M3840">
        <v>12195922.09</v>
      </c>
      <c r="N3840">
        <v>12055787.130000001</v>
      </c>
      <c r="O3840">
        <v>12195922.09</v>
      </c>
      <c r="P3840">
        <v>12055787.130000001</v>
      </c>
      <c r="Q3840">
        <v>12195922.09</v>
      </c>
      <c r="R3840" s="14">
        <f>_xlfn.XLOOKUP(Table2[[#This Row],[LoanID]],Table1[G-L ID],Table1[ManagerCode],-99)</f>
        <v>183</v>
      </c>
      <c r="T3840"/>
    </row>
    <row r="3841" spans="1:20" x14ac:dyDescent="0.25">
      <c r="A3841">
        <v>20150831</v>
      </c>
      <c r="B3841">
        <v>2015</v>
      </c>
      <c r="C3841">
        <v>8</v>
      </c>
      <c r="D3841">
        <v>1</v>
      </c>
      <c r="E3841">
        <v>10960</v>
      </c>
      <c r="F3841">
        <v>69703.72</v>
      </c>
      <c r="G3841">
        <v>0</v>
      </c>
      <c r="H3841">
        <v>0</v>
      </c>
      <c r="I3841">
        <v>0</v>
      </c>
      <c r="J3841">
        <v>-96267.04</v>
      </c>
      <c r="K3841">
        <v>0</v>
      </c>
      <c r="L3841">
        <v>6328375.2300000004</v>
      </c>
      <c r="M3841">
        <v>6424642.2699999996</v>
      </c>
      <c r="N3841">
        <v>6328375.2300000004</v>
      </c>
      <c r="O3841">
        <v>6424642.2699999996</v>
      </c>
      <c r="P3841">
        <v>6328375.2300000004</v>
      </c>
      <c r="Q3841">
        <v>6424642.2699999996</v>
      </c>
      <c r="R3841" s="14">
        <f>_xlfn.XLOOKUP(Table2[[#This Row],[LoanID]],Table1[G-L ID],Table1[ManagerCode],-99)</f>
        <v>119</v>
      </c>
      <c r="T3841"/>
    </row>
    <row r="3842" spans="1:20" x14ac:dyDescent="0.25">
      <c r="A3842">
        <v>20150831</v>
      </c>
      <c r="B3842">
        <v>2015</v>
      </c>
      <c r="C3842">
        <v>8</v>
      </c>
      <c r="D3842">
        <v>1</v>
      </c>
      <c r="E3842">
        <v>11010</v>
      </c>
      <c r="F3842">
        <v>209633.11</v>
      </c>
      <c r="G3842">
        <v>0</v>
      </c>
      <c r="H3842">
        <v>0</v>
      </c>
      <c r="I3842">
        <v>0</v>
      </c>
      <c r="J3842">
        <v>0</v>
      </c>
      <c r="K3842">
        <v>0</v>
      </c>
      <c r="L3842">
        <v>26500000</v>
      </c>
      <c r="M3842">
        <v>26500000</v>
      </c>
      <c r="N3842">
        <v>26500000</v>
      </c>
      <c r="O3842">
        <v>26500000</v>
      </c>
      <c r="P3842">
        <v>26500000</v>
      </c>
      <c r="Q3842">
        <v>26500000</v>
      </c>
      <c r="R3842" s="14">
        <f>_xlfn.XLOOKUP(Table2[[#This Row],[LoanID]],Table1[G-L ID],Table1[ManagerCode],-99)</f>
        <v>119</v>
      </c>
      <c r="T3842"/>
    </row>
    <row r="3843" spans="1:20" x14ac:dyDescent="0.25">
      <c r="A3843">
        <v>20150831</v>
      </c>
      <c r="B3843">
        <v>2015</v>
      </c>
      <c r="C3843">
        <v>8</v>
      </c>
      <c r="D3843">
        <v>1</v>
      </c>
      <c r="E3843">
        <v>11030</v>
      </c>
      <c r="F3843">
        <v>69568.399999999994</v>
      </c>
      <c r="G3843">
        <v>0</v>
      </c>
      <c r="H3843">
        <v>0</v>
      </c>
      <c r="I3843">
        <v>0</v>
      </c>
      <c r="J3843">
        <v>0</v>
      </c>
      <c r="K3843">
        <v>9777.7800000000007</v>
      </c>
      <c r="L3843">
        <v>8000000</v>
      </c>
      <c r="M3843">
        <v>7990222.2199999997</v>
      </c>
      <c r="N3843">
        <v>8000000</v>
      </c>
      <c r="O3843">
        <v>7990222.2199999997</v>
      </c>
      <c r="P3843">
        <v>8000000</v>
      </c>
      <c r="Q3843">
        <v>7990222.2199999997</v>
      </c>
      <c r="R3843" s="14">
        <f>_xlfn.XLOOKUP(Table2[[#This Row],[LoanID]],Table1[G-L ID],Table1[ManagerCode],-99)</f>
        <v>119</v>
      </c>
      <c r="T3843"/>
    </row>
    <row r="3844" spans="1:20" x14ac:dyDescent="0.25">
      <c r="A3844">
        <v>20150831</v>
      </c>
      <c r="B3844">
        <v>2015</v>
      </c>
      <c r="C3844">
        <v>8</v>
      </c>
      <c r="D3844">
        <v>1</v>
      </c>
      <c r="E3844">
        <v>11040</v>
      </c>
      <c r="F3844">
        <v>524761.12</v>
      </c>
      <c r="G3844">
        <v>0</v>
      </c>
      <c r="H3844">
        <v>0</v>
      </c>
      <c r="I3844">
        <v>0</v>
      </c>
      <c r="J3844">
        <v>0</v>
      </c>
      <c r="K3844">
        <v>0</v>
      </c>
      <c r="L3844">
        <v>51000000</v>
      </c>
      <c r="M3844">
        <v>51000000</v>
      </c>
      <c r="N3844">
        <v>51000000</v>
      </c>
      <c r="O3844">
        <v>51000000</v>
      </c>
      <c r="P3844">
        <v>50000000</v>
      </c>
      <c r="Q3844">
        <v>50000000</v>
      </c>
      <c r="R3844" s="14">
        <f>_xlfn.XLOOKUP(Table2[[#This Row],[LoanID]],Table1[G-L ID],Table1[ManagerCode],-99)</f>
        <v>220</v>
      </c>
      <c r="T3844"/>
    </row>
    <row r="3845" spans="1:20" x14ac:dyDescent="0.25">
      <c r="A3845">
        <v>20150831</v>
      </c>
      <c r="B3845">
        <v>2015</v>
      </c>
      <c r="C3845">
        <v>8</v>
      </c>
      <c r="D3845">
        <v>1</v>
      </c>
      <c r="E3845">
        <v>11050</v>
      </c>
      <c r="F3845">
        <v>0</v>
      </c>
      <c r="G3845">
        <v>0</v>
      </c>
      <c r="H3845">
        <v>0</v>
      </c>
      <c r="I3845">
        <v>0</v>
      </c>
      <c r="J3845">
        <v>0</v>
      </c>
      <c r="K3845">
        <v>0</v>
      </c>
      <c r="L3845">
        <v>29300000</v>
      </c>
      <c r="M3845">
        <v>29300000</v>
      </c>
      <c r="N3845">
        <v>29300000</v>
      </c>
      <c r="O3845">
        <v>29300000</v>
      </c>
      <c r="P3845">
        <v>28500000</v>
      </c>
      <c r="Q3845">
        <v>28500000</v>
      </c>
      <c r="R3845" s="14">
        <f>_xlfn.XLOOKUP(Table2[[#This Row],[LoanID]],Table1[G-L ID],Table1[ManagerCode],-99)</f>
        <v>220</v>
      </c>
      <c r="T3845"/>
    </row>
    <row r="3846" spans="1:20" x14ac:dyDescent="0.25">
      <c r="A3846">
        <v>20150831</v>
      </c>
      <c r="B3846">
        <v>2015</v>
      </c>
      <c r="C3846">
        <v>8</v>
      </c>
      <c r="D3846">
        <v>1</v>
      </c>
      <c r="E3846">
        <v>11090</v>
      </c>
      <c r="F3846">
        <v>0</v>
      </c>
      <c r="G3846">
        <v>0</v>
      </c>
      <c r="H3846">
        <v>105800</v>
      </c>
      <c r="I3846">
        <v>0</v>
      </c>
      <c r="J3846">
        <v>-11000000</v>
      </c>
      <c r="K3846">
        <v>0</v>
      </c>
      <c r="L3846">
        <v>0</v>
      </c>
      <c r="M3846">
        <v>11000000</v>
      </c>
      <c r="N3846">
        <v>0</v>
      </c>
      <c r="O3846">
        <v>11000000</v>
      </c>
      <c r="P3846">
        <v>0</v>
      </c>
      <c r="Q3846">
        <v>11000000</v>
      </c>
      <c r="R3846" s="14">
        <f>_xlfn.XLOOKUP(Table2[[#This Row],[LoanID]],Table1[G-L ID],Table1[ManagerCode],-99)</f>
        <v>119</v>
      </c>
      <c r="T3846"/>
    </row>
    <row r="3847" spans="1:20" x14ac:dyDescent="0.25">
      <c r="A3847">
        <v>20150831</v>
      </c>
      <c r="B3847">
        <v>2015</v>
      </c>
      <c r="C3847">
        <v>8</v>
      </c>
      <c r="D3847">
        <v>1</v>
      </c>
      <c r="E3847">
        <v>11100</v>
      </c>
      <c r="F3847">
        <v>198203.26</v>
      </c>
      <c r="G3847">
        <v>0</v>
      </c>
      <c r="H3847">
        <v>0</v>
      </c>
      <c r="I3847">
        <v>0</v>
      </c>
      <c r="J3847">
        <v>-826890.37</v>
      </c>
      <c r="K3847">
        <v>0</v>
      </c>
      <c r="L3847">
        <v>53631378.530000001</v>
      </c>
      <c r="M3847">
        <v>54450000</v>
      </c>
      <c r="N3847">
        <v>53631378.530000001</v>
      </c>
      <c r="O3847">
        <v>54450000</v>
      </c>
      <c r="P3847">
        <v>54173109.630000003</v>
      </c>
      <c r="Q3847">
        <v>55000000</v>
      </c>
      <c r="R3847" s="14">
        <f>_xlfn.XLOOKUP(Table2[[#This Row],[LoanID]],Table1[G-L ID],Table1[ManagerCode],-99)</f>
        <v>103</v>
      </c>
      <c r="T3847"/>
    </row>
    <row r="3848" spans="1:20" x14ac:dyDescent="0.25">
      <c r="A3848">
        <v>20150831</v>
      </c>
      <c r="B3848">
        <v>2015</v>
      </c>
      <c r="C3848">
        <v>8</v>
      </c>
      <c r="D3848">
        <v>1</v>
      </c>
      <c r="E3848">
        <v>11130</v>
      </c>
      <c r="F3848">
        <v>943306.75</v>
      </c>
      <c r="G3848">
        <v>0</v>
      </c>
      <c r="H3848">
        <v>0</v>
      </c>
      <c r="I3848">
        <v>0</v>
      </c>
      <c r="J3848">
        <v>0</v>
      </c>
      <c r="K3848">
        <v>0</v>
      </c>
      <c r="L3848">
        <v>168150000</v>
      </c>
      <c r="M3848">
        <v>168150000</v>
      </c>
      <c r="N3848">
        <v>168150000</v>
      </c>
      <c r="O3848">
        <v>168150000</v>
      </c>
      <c r="P3848">
        <v>177000000</v>
      </c>
      <c r="Q3848">
        <v>177000000</v>
      </c>
      <c r="R3848" s="14">
        <f>_xlfn.XLOOKUP(Table2[[#This Row],[LoanID]],Table1[G-L ID],Table1[ManagerCode],-99)</f>
        <v>103</v>
      </c>
      <c r="T3848"/>
    </row>
    <row r="3849" spans="1:20" x14ac:dyDescent="0.25">
      <c r="A3849">
        <v>20150831</v>
      </c>
      <c r="B3849">
        <v>2015</v>
      </c>
      <c r="C3849">
        <v>8</v>
      </c>
      <c r="D3849">
        <v>1</v>
      </c>
      <c r="E3849">
        <v>11160</v>
      </c>
      <c r="F3849">
        <v>108546.35</v>
      </c>
      <c r="G3849">
        <v>131514.03</v>
      </c>
      <c r="H3849">
        <v>0</v>
      </c>
      <c r="I3849">
        <v>0</v>
      </c>
      <c r="J3849">
        <v>-773846.51</v>
      </c>
      <c r="K3849">
        <v>0</v>
      </c>
      <c r="L3849">
        <v>22075724.93</v>
      </c>
      <c r="M3849">
        <v>22981085.469999999</v>
      </c>
      <c r="N3849">
        <v>22075724.93</v>
      </c>
      <c r="O3849">
        <v>22981085.469999999</v>
      </c>
      <c r="P3849">
        <v>22075724.93</v>
      </c>
      <c r="Q3849">
        <v>22981085.469999999</v>
      </c>
      <c r="R3849" s="14">
        <f>_xlfn.XLOOKUP(Table2[[#This Row],[LoanID]],Table1[G-L ID],Table1[ManagerCode],-99)</f>
        <v>183</v>
      </c>
      <c r="T3849"/>
    </row>
    <row r="3850" spans="1:20" x14ac:dyDescent="0.25">
      <c r="A3850">
        <v>20150831</v>
      </c>
      <c r="B3850">
        <v>2015</v>
      </c>
      <c r="C3850">
        <v>8</v>
      </c>
      <c r="D3850">
        <v>1</v>
      </c>
      <c r="E3850">
        <v>11170</v>
      </c>
      <c r="F3850">
        <v>706304.86</v>
      </c>
      <c r="G3850">
        <v>0</v>
      </c>
      <c r="H3850">
        <v>0</v>
      </c>
      <c r="I3850">
        <v>0</v>
      </c>
      <c r="J3850">
        <v>0</v>
      </c>
      <c r="K3850">
        <v>0</v>
      </c>
      <c r="L3850">
        <v>173249826.80000001</v>
      </c>
      <c r="M3850">
        <v>173249826.80000001</v>
      </c>
      <c r="N3850">
        <v>173249826.80000001</v>
      </c>
      <c r="O3850">
        <v>173249826.80000001</v>
      </c>
      <c r="P3850">
        <v>175000000</v>
      </c>
      <c r="Q3850">
        <v>175000000</v>
      </c>
      <c r="R3850" s="14">
        <f>_xlfn.XLOOKUP(Table2[[#This Row],[LoanID]],Table1[G-L ID],Table1[ManagerCode],-99)</f>
        <v>103</v>
      </c>
      <c r="T3850"/>
    </row>
    <row r="3851" spans="1:20" x14ac:dyDescent="0.25">
      <c r="A3851">
        <v>20150831</v>
      </c>
      <c r="B3851">
        <v>2015</v>
      </c>
      <c r="C3851">
        <v>8</v>
      </c>
      <c r="D3851">
        <v>1</v>
      </c>
      <c r="E3851">
        <v>11250</v>
      </c>
      <c r="F3851">
        <v>81372.600000000006</v>
      </c>
      <c r="G3851">
        <v>123486.17</v>
      </c>
      <c r="H3851">
        <v>0</v>
      </c>
      <c r="I3851">
        <v>0</v>
      </c>
      <c r="J3851">
        <v>-81372.600000000006</v>
      </c>
      <c r="K3851">
        <v>0</v>
      </c>
      <c r="L3851">
        <v>16451260.550000001</v>
      </c>
      <c r="M3851">
        <v>16656119.32</v>
      </c>
      <c r="N3851">
        <v>16451260.550000001</v>
      </c>
      <c r="O3851">
        <v>16656119.32</v>
      </c>
      <c r="P3851">
        <v>16451260.550000001</v>
      </c>
      <c r="Q3851">
        <v>16656119.32</v>
      </c>
      <c r="R3851" s="14">
        <f>_xlfn.XLOOKUP(Table2[[#This Row],[LoanID]],Table1[G-L ID],Table1[ManagerCode],-99)</f>
        <v>183</v>
      </c>
      <c r="T3851"/>
    </row>
    <row r="3852" spans="1:20" x14ac:dyDescent="0.25">
      <c r="A3852">
        <v>20150831</v>
      </c>
      <c r="B3852">
        <v>2015</v>
      </c>
      <c r="C3852">
        <v>8</v>
      </c>
      <c r="D3852">
        <v>1</v>
      </c>
      <c r="E3852">
        <v>11330</v>
      </c>
      <c r="F3852">
        <v>66852.639999999999</v>
      </c>
      <c r="G3852">
        <v>0</v>
      </c>
      <c r="H3852">
        <v>0</v>
      </c>
      <c r="I3852">
        <v>0</v>
      </c>
      <c r="J3852">
        <v>0</v>
      </c>
      <c r="K3852">
        <v>0</v>
      </c>
      <c r="L3852">
        <v>6370000</v>
      </c>
      <c r="M3852">
        <v>6370000</v>
      </c>
      <c r="N3852">
        <v>6370000</v>
      </c>
      <c r="O3852">
        <v>6370000</v>
      </c>
      <c r="P3852">
        <v>6370000</v>
      </c>
      <c r="Q3852">
        <v>6370000</v>
      </c>
      <c r="R3852" s="14">
        <f>_xlfn.XLOOKUP(Table2[[#This Row],[LoanID]],Table1[G-L ID],Table1[ManagerCode],-99)</f>
        <v>119</v>
      </c>
      <c r="T3852"/>
    </row>
    <row r="3853" spans="1:20" x14ac:dyDescent="0.25">
      <c r="A3853">
        <v>20150831</v>
      </c>
      <c r="B3853">
        <v>2015</v>
      </c>
      <c r="C3853">
        <v>8</v>
      </c>
      <c r="D3853">
        <v>1</v>
      </c>
      <c r="E3853">
        <v>11340</v>
      </c>
      <c r="F3853">
        <v>301388.89</v>
      </c>
      <c r="G3853">
        <v>0</v>
      </c>
      <c r="H3853">
        <v>0</v>
      </c>
      <c r="I3853">
        <v>0</v>
      </c>
      <c r="J3853">
        <v>0</v>
      </c>
      <c r="K3853">
        <v>0</v>
      </c>
      <c r="L3853">
        <v>49500000</v>
      </c>
      <c r="M3853">
        <v>49500000</v>
      </c>
      <c r="N3853">
        <v>49500000</v>
      </c>
      <c r="O3853">
        <v>49500000</v>
      </c>
      <c r="P3853">
        <v>50000000</v>
      </c>
      <c r="Q3853">
        <v>50000000</v>
      </c>
      <c r="R3853" s="14">
        <f>_xlfn.XLOOKUP(Table2[[#This Row],[LoanID]],Table1[G-L ID],Table1[ManagerCode],-99)</f>
        <v>103</v>
      </c>
      <c r="T3853"/>
    </row>
    <row r="3854" spans="1:20" x14ac:dyDescent="0.25">
      <c r="A3854">
        <v>20150831</v>
      </c>
      <c r="B3854">
        <v>2015</v>
      </c>
      <c r="C3854">
        <v>8</v>
      </c>
      <c r="D3854">
        <v>1</v>
      </c>
      <c r="E3854">
        <v>11350</v>
      </c>
      <c r="F3854">
        <v>331527.78000000003</v>
      </c>
      <c r="G3854">
        <v>0</v>
      </c>
      <c r="H3854">
        <v>0</v>
      </c>
      <c r="I3854">
        <v>0</v>
      </c>
      <c r="J3854">
        <v>0</v>
      </c>
      <c r="K3854">
        <v>0</v>
      </c>
      <c r="L3854">
        <v>54449945.549999997</v>
      </c>
      <c r="M3854">
        <v>54449945.549999997</v>
      </c>
      <c r="N3854">
        <v>54449945.549999997</v>
      </c>
      <c r="O3854">
        <v>54449945.549999997</v>
      </c>
      <c r="P3854">
        <v>55000000</v>
      </c>
      <c r="Q3854">
        <v>55000000</v>
      </c>
      <c r="R3854" s="14">
        <f>_xlfn.XLOOKUP(Table2[[#This Row],[LoanID]],Table1[G-L ID],Table1[ManagerCode],-99)</f>
        <v>103</v>
      </c>
      <c r="T3854"/>
    </row>
    <row r="3855" spans="1:20" x14ac:dyDescent="0.25">
      <c r="A3855">
        <v>20150831</v>
      </c>
      <c r="B3855">
        <v>2015</v>
      </c>
      <c r="C3855">
        <v>8</v>
      </c>
      <c r="D3855">
        <v>1</v>
      </c>
      <c r="E3855">
        <v>11370</v>
      </c>
      <c r="F3855">
        <v>54980.49</v>
      </c>
      <c r="G3855">
        <v>0</v>
      </c>
      <c r="H3855">
        <v>0</v>
      </c>
      <c r="I3855">
        <v>0</v>
      </c>
      <c r="J3855">
        <v>0</v>
      </c>
      <c r="K3855">
        <v>0</v>
      </c>
      <c r="L3855">
        <v>5868410.46</v>
      </c>
      <c r="M3855">
        <v>5868410.46</v>
      </c>
      <c r="N3855">
        <v>5868410.46</v>
      </c>
      <c r="O3855">
        <v>5868410.46</v>
      </c>
      <c r="P3855">
        <v>5868410.46</v>
      </c>
      <c r="Q3855">
        <v>5868410.46</v>
      </c>
      <c r="R3855" s="14">
        <f>_xlfn.XLOOKUP(Table2[[#This Row],[LoanID]],Table1[G-L ID],Table1[ManagerCode],-99)</f>
        <v>119</v>
      </c>
      <c r="T3855"/>
    </row>
    <row r="3856" spans="1:20" x14ac:dyDescent="0.25">
      <c r="A3856">
        <v>20150831</v>
      </c>
      <c r="B3856">
        <v>2015</v>
      </c>
      <c r="C3856">
        <v>8</v>
      </c>
      <c r="D3856">
        <v>1</v>
      </c>
      <c r="E3856">
        <v>11480</v>
      </c>
      <c r="F3856">
        <v>357929.44</v>
      </c>
      <c r="G3856">
        <v>0</v>
      </c>
      <c r="H3856">
        <v>0</v>
      </c>
      <c r="I3856">
        <v>0</v>
      </c>
      <c r="J3856">
        <v>0</v>
      </c>
      <c r="K3856">
        <v>0</v>
      </c>
      <c r="L3856">
        <v>66500000</v>
      </c>
      <c r="M3856">
        <v>66500000</v>
      </c>
      <c r="N3856">
        <v>66500000</v>
      </c>
      <c r="O3856">
        <v>66500000</v>
      </c>
      <c r="P3856">
        <v>70000000</v>
      </c>
      <c r="Q3856">
        <v>70000000</v>
      </c>
      <c r="R3856" s="14">
        <f>_xlfn.XLOOKUP(Table2[[#This Row],[LoanID]],Table1[G-L ID],Table1[ManagerCode],-99)</f>
        <v>103</v>
      </c>
      <c r="T3856"/>
    </row>
    <row r="3857" spans="1:20" x14ac:dyDescent="0.25">
      <c r="A3857">
        <v>20150831</v>
      </c>
      <c r="B3857">
        <v>2015</v>
      </c>
      <c r="C3857">
        <v>8</v>
      </c>
      <c r="D3857">
        <v>1</v>
      </c>
      <c r="E3857">
        <v>11490</v>
      </c>
      <c r="F3857">
        <v>340431.67</v>
      </c>
      <c r="G3857">
        <v>0</v>
      </c>
      <c r="H3857">
        <v>0</v>
      </c>
      <c r="I3857">
        <v>0</v>
      </c>
      <c r="J3857">
        <v>0</v>
      </c>
      <c r="K3857">
        <v>0</v>
      </c>
      <c r="L3857">
        <v>49500000</v>
      </c>
      <c r="M3857">
        <v>49500000</v>
      </c>
      <c r="N3857">
        <v>49500000</v>
      </c>
      <c r="O3857">
        <v>49500000</v>
      </c>
      <c r="P3857">
        <v>55000000</v>
      </c>
      <c r="Q3857">
        <v>55000000</v>
      </c>
      <c r="R3857" s="14">
        <f>_xlfn.XLOOKUP(Table2[[#This Row],[LoanID]],Table1[G-L ID],Table1[ManagerCode],-99)</f>
        <v>103</v>
      </c>
      <c r="T3857"/>
    </row>
    <row r="3858" spans="1:20" x14ac:dyDescent="0.25">
      <c r="A3858">
        <v>20150831</v>
      </c>
      <c r="B3858">
        <v>2015</v>
      </c>
      <c r="C3858">
        <v>8</v>
      </c>
      <c r="D3858">
        <v>1</v>
      </c>
      <c r="E3858">
        <v>11560</v>
      </c>
      <c r="F3858">
        <v>0</v>
      </c>
      <c r="G3858">
        <v>173048.42</v>
      </c>
      <c r="H3858">
        <v>0</v>
      </c>
      <c r="I3858">
        <v>0</v>
      </c>
      <c r="J3858">
        <v>0</v>
      </c>
      <c r="K3858">
        <v>0</v>
      </c>
      <c r="L3858">
        <v>15382081.98</v>
      </c>
      <c r="M3858">
        <v>15555130.4</v>
      </c>
      <c r="N3858">
        <v>15382081.98</v>
      </c>
      <c r="O3858">
        <v>15555130.4</v>
      </c>
      <c r="P3858">
        <v>15382081.98</v>
      </c>
      <c r="Q3858">
        <v>15555130.4</v>
      </c>
      <c r="R3858" s="14">
        <f>_xlfn.XLOOKUP(Table2[[#This Row],[LoanID]],Table1[G-L ID],Table1[ManagerCode],-99)</f>
        <v>183</v>
      </c>
      <c r="T3858"/>
    </row>
    <row r="3859" spans="1:20" x14ac:dyDescent="0.25">
      <c r="A3859">
        <v>20150831</v>
      </c>
      <c r="B3859">
        <v>2015</v>
      </c>
      <c r="C3859">
        <v>8</v>
      </c>
      <c r="D3859">
        <v>1</v>
      </c>
      <c r="E3859">
        <v>11580</v>
      </c>
      <c r="F3859">
        <v>382343.75</v>
      </c>
      <c r="G3859">
        <v>0</v>
      </c>
      <c r="H3859">
        <v>0</v>
      </c>
      <c r="I3859">
        <v>0</v>
      </c>
      <c r="J3859">
        <v>0</v>
      </c>
      <c r="K3859">
        <v>15000000</v>
      </c>
      <c r="L3859">
        <v>15000000</v>
      </c>
      <c r="M3859">
        <v>0</v>
      </c>
      <c r="N3859">
        <v>15000000</v>
      </c>
      <c r="O3859">
        <v>0</v>
      </c>
      <c r="P3859">
        <v>15000000</v>
      </c>
      <c r="Q3859">
        <v>0</v>
      </c>
      <c r="R3859" s="14">
        <f>_xlfn.XLOOKUP(Table2[[#This Row],[LoanID]],Table1[G-L ID],Table1[ManagerCode],-99)</f>
        <v>119</v>
      </c>
      <c r="T3859"/>
    </row>
    <row r="3860" spans="1:20" x14ac:dyDescent="0.25">
      <c r="A3860">
        <v>20150831</v>
      </c>
      <c r="B3860">
        <v>2015</v>
      </c>
      <c r="C3860">
        <v>8</v>
      </c>
      <c r="D3860">
        <v>1</v>
      </c>
      <c r="E3860">
        <v>11590</v>
      </c>
      <c r="F3860">
        <v>23405.85</v>
      </c>
      <c r="G3860">
        <v>0</v>
      </c>
      <c r="H3860">
        <v>0</v>
      </c>
      <c r="I3860">
        <v>0</v>
      </c>
      <c r="J3860">
        <v>0</v>
      </c>
      <c r="K3860">
        <v>0</v>
      </c>
      <c r="L3860">
        <v>3507224.44</v>
      </c>
      <c r="M3860">
        <v>3507224.44</v>
      </c>
      <c r="N3860">
        <v>3507224.44</v>
      </c>
      <c r="O3860">
        <v>3507224.44</v>
      </c>
      <c r="P3860">
        <v>3507224.44</v>
      </c>
      <c r="Q3860">
        <v>3507224.44</v>
      </c>
      <c r="R3860" s="14">
        <f>_xlfn.XLOOKUP(Table2[[#This Row],[LoanID]],Table1[G-L ID],Table1[ManagerCode],-99)</f>
        <v>119</v>
      </c>
      <c r="T3860"/>
    </row>
    <row r="3861" spans="1:20" x14ac:dyDescent="0.25">
      <c r="A3861">
        <v>20150831</v>
      </c>
      <c r="B3861">
        <v>2015</v>
      </c>
      <c r="C3861">
        <v>8</v>
      </c>
      <c r="D3861">
        <v>1</v>
      </c>
      <c r="E3861">
        <v>11650</v>
      </c>
      <c r="F3861">
        <v>75000</v>
      </c>
      <c r="G3861">
        <v>0</v>
      </c>
      <c r="H3861">
        <v>0</v>
      </c>
      <c r="I3861">
        <v>0</v>
      </c>
      <c r="J3861">
        <v>0</v>
      </c>
      <c r="K3861">
        <v>0</v>
      </c>
      <c r="L3861">
        <v>9600000</v>
      </c>
      <c r="M3861">
        <v>9600000</v>
      </c>
      <c r="N3861">
        <v>9600000</v>
      </c>
      <c r="O3861">
        <v>9600000</v>
      </c>
      <c r="P3861">
        <v>12000000</v>
      </c>
      <c r="Q3861">
        <v>12000000</v>
      </c>
      <c r="R3861" s="14">
        <f>_xlfn.XLOOKUP(Table2[[#This Row],[LoanID]],Table1[G-L ID],Table1[ManagerCode],-99)</f>
        <v>103</v>
      </c>
      <c r="T3861"/>
    </row>
    <row r="3862" spans="1:20" x14ac:dyDescent="0.25">
      <c r="A3862">
        <v>20150831</v>
      </c>
      <c r="B3862">
        <v>2015</v>
      </c>
      <c r="C3862">
        <v>8</v>
      </c>
      <c r="D3862">
        <v>1</v>
      </c>
      <c r="E3862">
        <v>11660</v>
      </c>
      <c r="F3862">
        <v>0</v>
      </c>
      <c r="G3862">
        <v>0</v>
      </c>
      <c r="H3862">
        <v>0</v>
      </c>
      <c r="I3862">
        <v>0</v>
      </c>
      <c r="J3862">
        <v>0</v>
      </c>
      <c r="K3862">
        <v>0</v>
      </c>
      <c r="L3862">
        <v>27647178</v>
      </c>
      <c r="M3862">
        <v>27647178</v>
      </c>
      <c r="N3862">
        <v>27647178</v>
      </c>
      <c r="O3862">
        <v>27647178</v>
      </c>
      <c r="P3862">
        <v>27647178</v>
      </c>
      <c r="Q3862">
        <v>27647178</v>
      </c>
      <c r="R3862" s="14">
        <f>_xlfn.XLOOKUP(Table2[[#This Row],[LoanID]],Table1[G-L ID],Table1[ManagerCode],-99)</f>
        <v>183</v>
      </c>
      <c r="T3862"/>
    </row>
    <row r="3863" spans="1:20" x14ac:dyDescent="0.25">
      <c r="A3863">
        <v>20150831</v>
      </c>
      <c r="B3863">
        <v>2015</v>
      </c>
      <c r="C3863">
        <v>8</v>
      </c>
      <c r="D3863">
        <v>1</v>
      </c>
      <c r="E3863">
        <v>11680</v>
      </c>
      <c r="F3863">
        <v>57126.559999999998</v>
      </c>
      <c r="G3863">
        <v>0</v>
      </c>
      <c r="H3863">
        <v>0</v>
      </c>
      <c r="I3863">
        <v>0</v>
      </c>
      <c r="J3863">
        <v>0</v>
      </c>
      <c r="K3863">
        <v>0</v>
      </c>
      <c r="L3863">
        <v>6600000</v>
      </c>
      <c r="M3863">
        <v>6600000</v>
      </c>
      <c r="N3863">
        <v>6600000</v>
      </c>
      <c r="O3863">
        <v>6600000</v>
      </c>
      <c r="P3863">
        <v>6600000</v>
      </c>
      <c r="Q3863">
        <v>6600000</v>
      </c>
      <c r="R3863" s="14">
        <f>_xlfn.XLOOKUP(Table2[[#This Row],[LoanID]],Table1[G-L ID],Table1[ManagerCode],-99)</f>
        <v>183</v>
      </c>
      <c r="T3863"/>
    </row>
    <row r="3864" spans="1:20" x14ac:dyDescent="0.25">
      <c r="A3864">
        <v>20150831</v>
      </c>
      <c r="B3864">
        <v>2015</v>
      </c>
      <c r="C3864">
        <v>8</v>
      </c>
      <c r="D3864">
        <v>1</v>
      </c>
      <c r="E3864">
        <v>11710</v>
      </c>
      <c r="F3864">
        <v>135253.25</v>
      </c>
      <c r="G3864">
        <v>0</v>
      </c>
      <c r="H3864">
        <v>0</v>
      </c>
      <c r="I3864">
        <v>0</v>
      </c>
      <c r="J3864">
        <v>0</v>
      </c>
      <c r="K3864">
        <v>0</v>
      </c>
      <c r="L3864">
        <v>15000000</v>
      </c>
      <c r="M3864">
        <v>15000000</v>
      </c>
      <c r="N3864">
        <v>15000000</v>
      </c>
      <c r="O3864">
        <v>15000000</v>
      </c>
      <c r="P3864">
        <v>15000000</v>
      </c>
      <c r="Q3864">
        <v>15000000</v>
      </c>
      <c r="R3864" s="14">
        <f>_xlfn.XLOOKUP(Table2[[#This Row],[LoanID]],Table1[G-L ID],Table1[ManagerCode],-99)</f>
        <v>119</v>
      </c>
      <c r="T3864"/>
    </row>
    <row r="3865" spans="1:20" x14ac:dyDescent="0.25">
      <c r="A3865">
        <v>20150831</v>
      </c>
      <c r="B3865">
        <v>2015</v>
      </c>
      <c r="C3865">
        <v>8</v>
      </c>
      <c r="D3865">
        <v>1</v>
      </c>
      <c r="E3865">
        <v>11720</v>
      </c>
      <c r="F3865">
        <v>129166.67</v>
      </c>
      <c r="G3865">
        <v>0</v>
      </c>
      <c r="H3865">
        <v>0</v>
      </c>
      <c r="I3865">
        <v>0</v>
      </c>
      <c r="J3865">
        <v>0</v>
      </c>
      <c r="K3865">
        <v>0</v>
      </c>
      <c r="L3865">
        <v>19800000</v>
      </c>
      <c r="M3865">
        <v>19800000</v>
      </c>
      <c r="N3865">
        <v>19800000</v>
      </c>
      <c r="O3865">
        <v>19800000</v>
      </c>
      <c r="P3865">
        <v>20000000</v>
      </c>
      <c r="Q3865">
        <v>20000000</v>
      </c>
      <c r="R3865" s="14">
        <f>_xlfn.XLOOKUP(Table2[[#This Row],[LoanID]],Table1[G-L ID],Table1[ManagerCode],-99)</f>
        <v>103</v>
      </c>
      <c r="T3865"/>
    </row>
    <row r="3866" spans="1:20" x14ac:dyDescent="0.25">
      <c r="A3866">
        <v>20150831</v>
      </c>
      <c r="B3866">
        <v>2015</v>
      </c>
      <c r="C3866">
        <v>8</v>
      </c>
      <c r="D3866">
        <v>1</v>
      </c>
      <c r="E3866">
        <v>11730</v>
      </c>
      <c r="F3866">
        <v>46997.3</v>
      </c>
      <c r="G3866">
        <v>0</v>
      </c>
      <c r="H3866">
        <v>0</v>
      </c>
      <c r="I3866">
        <v>0</v>
      </c>
      <c r="J3866">
        <v>0</v>
      </c>
      <c r="K3866">
        <v>0</v>
      </c>
      <c r="L3866">
        <v>4750000</v>
      </c>
      <c r="M3866">
        <v>4750000</v>
      </c>
      <c r="N3866">
        <v>4750000</v>
      </c>
      <c r="O3866">
        <v>4750000</v>
      </c>
      <c r="P3866">
        <v>4750000</v>
      </c>
      <c r="Q3866">
        <v>4750000</v>
      </c>
      <c r="R3866" s="14">
        <f>_xlfn.XLOOKUP(Table2[[#This Row],[LoanID]],Table1[G-L ID],Table1[ManagerCode],-99)</f>
        <v>119</v>
      </c>
      <c r="T3866"/>
    </row>
    <row r="3867" spans="1:20" x14ac:dyDescent="0.25">
      <c r="A3867">
        <v>20150831</v>
      </c>
      <c r="B3867">
        <v>2015</v>
      </c>
      <c r="C3867">
        <v>8</v>
      </c>
      <c r="D3867">
        <v>1</v>
      </c>
      <c r="E3867">
        <v>11740</v>
      </c>
      <c r="F3867">
        <v>191100</v>
      </c>
      <c r="G3867">
        <v>0</v>
      </c>
      <c r="H3867">
        <v>0</v>
      </c>
      <c r="I3867">
        <v>0</v>
      </c>
      <c r="J3867">
        <v>0</v>
      </c>
      <c r="K3867">
        <v>0</v>
      </c>
      <c r="L3867">
        <v>19110000</v>
      </c>
      <c r="M3867">
        <v>19110000</v>
      </c>
      <c r="N3867">
        <v>19110000</v>
      </c>
      <c r="O3867">
        <v>19110000</v>
      </c>
      <c r="P3867">
        <v>19110000</v>
      </c>
      <c r="Q3867">
        <v>19110000</v>
      </c>
      <c r="R3867" s="14">
        <f>_xlfn.XLOOKUP(Table2[[#This Row],[LoanID]],Table1[G-L ID],Table1[ManagerCode],-99)</f>
        <v>183</v>
      </c>
      <c r="T3867"/>
    </row>
    <row r="3868" spans="1:20" x14ac:dyDescent="0.25">
      <c r="A3868">
        <v>20150831</v>
      </c>
      <c r="B3868">
        <v>2015</v>
      </c>
      <c r="C3868">
        <v>8</v>
      </c>
      <c r="D3868">
        <v>1</v>
      </c>
      <c r="E3868">
        <v>11810</v>
      </c>
      <c r="F3868">
        <v>49092.5</v>
      </c>
      <c r="G3868">
        <v>0</v>
      </c>
      <c r="H3868">
        <v>0</v>
      </c>
      <c r="I3868">
        <v>0</v>
      </c>
      <c r="J3868">
        <v>0</v>
      </c>
      <c r="K3868">
        <v>11765.59</v>
      </c>
      <c r="L3868">
        <v>9498679.8000000007</v>
      </c>
      <c r="M3868">
        <v>9487031.8800000008</v>
      </c>
      <c r="N3868">
        <v>9498679.8000000007</v>
      </c>
      <c r="O3868">
        <v>9487031.8800000008</v>
      </c>
      <c r="P3868">
        <v>9594626.0600000005</v>
      </c>
      <c r="Q3868">
        <v>9582860.4700000007</v>
      </c>
      <c r="R3868" s="14">
        <f>_xlfn.XLOOKUP(Table2[[#This Row],[LoanID]],Table1[G-L ID],Table1[ManagerCode],-99)</f>
        <v>103</v>
      </c>
      <c r="T3868"/>
    </row>
    <row r="3869" spans="1:20" x14ac:dyDescent="0.25">
      <c r="A3869">
        <v>20150831</v>
      </c>
      <c r="B3869">
        <v>2015</v>
      </c>
      <c r="C3869">
        <v>8</v>
      </c>
      <c r="D3869">
        <v>1</v>
      </c>
      <c r="E3869">
        <v>11880</v>
      </c>
      <c r="F3869">
        <v>300209.12</v>
      </c>
      <c r="G3869">
        <v>139443.98000000001</v>
      </c>
      <c r="H3869">
        <v>0</v>
      </c>
      <c r="I3869">
        <v>0</v>
      </c>
      <c r="J3869">
        <v>-505966.83</v>
      </c>
      <c r="K3869">
        <v>0</v>
      </c>
      <c r="L3869">
        <v>65366170.399999999</v>
      </c>
      <c r="M3869">
        <v>66011581.210000001</v>
      </c>
      <c r="N3869">
        <v>65366170.399999999</v>
      </c>
      <c r="O3869">
        <v>66011581.210000001</v>
      </c>
      <c r="P3869">
        <v>65366170.399999999</v>
      </c>
      <c r="Q3869">
        <v>66011581.210000001</v>
      </c>
      <c r="R3869" s="14">
        <f>_xlfn.XLOOKUP(Table2[[#This Row],[LoanID]],Table1[G-L ID],Table1[ManagerCode],-99)</f>
        <v>183</v>
      </c>
      <c r="T3869"/>
    </row>
    <row r="3870" spans="1:20" x14ac:dyDescent="0.25">
      <c r="A3870">
        <v>20150831</v>
      </c>
      <c r="B3870">
        <v>2015</v>
      </c>
      <c r="C3870">
        <v>8</v>
      </c>
      <c r="D3870">
        <v>1</v>
      </c>
      <c r="E3870">
        <v>11990</v>
      </c>
      <c r="F3870">
        <v>100620.83</v>
      </c>
      <c r="G3870">
        <v>0</v>
      </c>
      <c r="H3870">
        <v>0</v>
      </c>
      <c r="I3870">
        <v>0</v>
      </c>
      <c r="J3870">
        <v>0</v>
      </c>
      <c r="K3870">
        <v>0</v>
      </c>
      <c r="L3870">
        <v>15000000</v>
      </c>
      <c r="M3870">
        <v>15000000</v>
      </c>
      <c r="N3870">
        <v>15000000</v>
      </c>
      <c r="O3870">
        <v>15000000</v>
      </c>
      <c r="P3870">
        <v>15000000</v>
      </c>
      <c r="Q3870">
        <v>15000000</v>
      </c>
      <c r="R3870" s="14">
        <f>_xlfn.XLOOKUP(Table2[[#This Row],[LoanID]],Table1[G-L ID],Table1[ManagerCode],-99)</f>
        <v>220</v>
      </c>
      <c r="T3870"/>
    </row>
    <row r="3871" spans="1:20" x14ac:dyDescent="0.25">
      <c r="A3871">
        <v>20150831</v>
      </c>
      <c r="B3871">
        <v>2015</v>
      </c>
      <c r="C3871">
        <v>8</v>
      </c>
      <c r="D3871">
        <v>1</v>
      </c>
      <c r="E3871">
        <v>12160</v>
      </c>
      <c r="F3871">
        <v>78849.53</v>
      </c>
      <c r="G3871">
        <v>96290.02</v>
      </c>
      <c r="H3871">
        <v>0</v>
      </c>
      <c r="I3871">
        <v>0</v>
      </c>
      <c r="J3871">
        <v>-78849.53</v>
      </c>
      <c r="K3871">
        <v>0</v>
      </c>
      <c r="L3871">
        <v>15916851.57</v>
      </c>
      <c r="M3871">
        <v>16091991.119999999</v>
      </c>
      <c r="N3871">
        <v>15916851.57</v>
      </c>
      <c r="O3871">
        <v>16091991.119999999</v>
      </c>
      <c r="P3871">
        <v>15916851.57</v>
      </c>
      <c r="Q3871">
        <v>16091991.119999999</v>
      </c>
      <c r="R3871" s="14">
        <f>_xlfn.XLOOKUP(Table2[[#This Row],[LoanID]],Table1[G-L ID],Table1[ManagerCode],-99)</f>
        <v>183</v>
      </c>
      <c r="T3871"/>
    </row>
    <row r="3872" spans="1:20" x14ac:dyDescent="0.25">
      <c r="A3872">
        <v>20150831</v>
      </c>
      <c r="B3872">
        <v>2015</v>
      </c>
      <c r="C3872">
        <v>8</v>
      </c>
      <c r="D3872">
        <v>1</v>
      </c>
      <c r="E3872">
        <v>12180</v>
      </c>
      <c r="F3872">
        <v>233576.39</v>
      </c>
      <c r="G3872">
        <v>0</v>
      </c>
      <c r="H3872">
        <v>0</v>
      </c>
      <c r="I3872">
        <v>0</v>
      </c>
      <c r="J3872">
        <v>0</v>
      </c>
      <c r="K3872">
        <v>0</v>
      </c>
      <c r="L3872">
        <v>35000000</v>
      </c>
      <c r="M3872">
        <v>35000000</v>
      </c>
      <c r="N3872">
        <v>35000000</v>
      </c>
      <c r="O3872">
        <v>35000000</v>
      </c>
      <c r="P3872">
        <v>35000000</v>
      </c>
      <c r="Q3872">
        <v>35000000</v>
      </c>
      <c r="R3872" s="14">
        <f>_xlfn.XLOOKUP(Table2[[#This Row],[LoanID]],Table1[G-L ID],Table1[ManagerCode],-99)</f>
        <v>220</v>
      </c>
      <c r="T3872"/>
    </row>
    <row r="3873" spans="1:20" x14ac:dyDescent="0.25">
      <c r="A3873">
        <v>20150831</v>
      </c>
      <c r="B3873">
        <v>2015</v>
      </c>
      <c r="C3873">
        <v>8</v>
      </c>
      <c r="D3873">
        <v>1</v>
      </c>
      <c r="E3873">
        <v>12190</v>
      </c>
      <c r="F3873">
        <v>283843.75</v>
      </c>
      <c r="G3873">
        <v>0</v>
      </c>
      <c r="H3873">
        <v>0</v>
      </c>
      <c r="I3873">
        <v>0</v>
      </c>
      <c r="J3873">
        <v>0</v>
      </c>
      <c r="K3873">
        <v>3116883</v>
      </c>
      <c r="L3873">
        <v>37500000</v>
      </c>
      <c r="M3873">
        <v>34383117</v>
      </c>
      <c r="N3873">
        <v>37500000</v>
      </c>
      <c r="O3873">
        <v>34383117</v>
      </c>
      <c r="P3873">
        <v>37500000</v>
      </c>
      <c r="Q3873">
        <v>34383117</v>
      </c>
      <c r="R3873" s="14">
        <f>_xlfn.XLOOKUP(Table2[[#This Row],[LoanID]],Table1[G-L ID],Table1[ManagerCode],-99)</f>
        <v>220</v>
      </c>
      <c r="T3873"/>
    </row>
    <row r="3874" spans="1:20" x14ac:dyDescent="0.25">
      <c r="A3874">
        <v>20150831</v>
      </c>
      <c r="B3874">
        <v>2015</v>
      </c>
      <c r="C3874">
        <v>8</v>
      </c>
      <c r="D3874">
        <v>1</v>
      </c>
      <c r="E3874">
        <v>12210</v>
      </c>
      <c r="F3874">
        <v>666207.19999999995</v>
      </c>
      <c r="G3874">
        <v>0</v>
      </c>
      <c r="H3874">
        <v>0</v>
      </c>
      <c r="I3874">
        <v>0</v>
      </c>
      <c r="J3874">
        <v>0</v>
      </c>
      <c r="K3874">
        <v>230624.49</v>
      </c>
      <c r="L3874">
        <v>119524967.59999999</v>
      </c>
      <c r="M3874">
        <v>118758381</v>
      </c>
      <c r="N3874">
        <v>119524967.59999999</v>
      </c>
      <c r="O3874">
        <v>118758381</v>
      </c>
      <c r="P3874">
        <v>107793399.90000001</v>
      </c>
      <c r="Q3874">
        <v>107562775.40000001</v>
      </c>
      <c r="R3874" s="14">
        <f>_xlfn.XLOOKUP(Table2[[#This Row],[LoanID]],Table1[G-L ID],Table1[ManagerCode],-99)</f>
        <v>103</v>
      </c>
      <c r="T3874"/>
    </row>
    <row r="3875" spans="1:20" x14ac:dyDescent="0.25">
      <c r="A3875">
        <v>20150831</v>
      </c>
      <c r="B3875">
        <v>2015</v>
      </c>
      <c r="C3875">
        <v>8</v>
      </c>
      <c r="D3875">
        <v>1</v>
      </c>
      <c r="E3875">
        <v>12230</v>
      </c>
      <c r="F3875">
        <v>101721.29</v>
      </c>
      <c r="G3875">
        <v>0</v>
      </c>
      <c r="H3875">
        <v>0</v>
      </c>
      <c r="I3875">
        <v>0</v>
      </c>
      <c r="J3875">
        <v>0</v>
      </c>
      <c r="K3875">
        <v>0</v>
      </c>
      <c r="L3875">
        <v>19548312.32</v>
      </c>
      <c r="M3875">
        <v>19548312.32</v>
      </c>
      <c r="N3875">
        <v>13032859.82</v>
      </c>
      <c r="O3875">
        <v>13032859.82</v>
      </c>
      <c r="P3875">
        <v>19548312.32</v>
      </c>
      <c r="Q3875">
        <v>19548312.32</v>
      </c>
      <c r="R3875" s="14">
        <f>_xlfn.XLOOKUP(Table2[[#This Row],[LoanID]],Table1[G-L ID],Table1[ManagerCode],-99)</f>
        <v>183</v>
      </c>
      <c r="T3875"/>
    </row>
    <row r="3876" spans="1:20" x14ac:dyDescent="0.25">
      <c r="A3876">
        <v>20150831</v>
      </c>
      <c r="B3876">
        <v>2015</v>
      </c>
      <c r="C3876">
        <v>8</v>
      </c>
      <c r="D3876">
        <v>1</v>
      </c>
      <c r="E3876">
        <v>12240</v>
      </c>
      <c r="F3876">
        <v>0</v>
      </c>
      <c r="G3876">
        <v>1377826.8</v>
      </c>
      <c r="H3876">
        <v>0</v>
      </c>
      <c r="I3876">
        <v>0</v>
      </c>
      <c r="J3876">
        <v>-5194023.09</v>
      </c>
      <c r="K3876">
        <v>0</v>
      </c>
      <c r="L3876">
        <v>108206325.8</v>
      </c>
      <c r="M3876">
        <v>114778175.7</v>
      </c>
      <c r="N3876">
        <v>108206325.8</v>
      </c>
      <c r="O3876">
        <v>114778175.7</v>
      </c>
      <c r="P3876">
        <v>108206325.8</v>
      </c>
      <c r="Q3876">
        <v>114778175.7</v>
      </c>
      <c r="R3876" s="14">
        <f>_xlfn.XLOOKUP(Table2[[#This Row],[LoanID]],Table1[G-L ID],Table1[ManagerCode],-99)</f>
        <v>183</v>
      </c>
      <c r="T3876"/>
    </row>
    <row r="3877" spans="1:20" x14ac:dyDescent="0.25">
      <c r="A3877">
        <v>20150831</v>
      </c>
      <c r="B3877">
        <v>2015</v>
      </c>
      <c r="C3877">
        <v>8</v>
      </c>
      <c r="D3877">
        <v>1</v>
      </c>
      <c r="E3877">
        <v>13630</v>
      </c>
      <c r="F3877">
        <v>218506.94</v>
      </c>
      <c r="G3877">
        <v>0</v>
      </c>
      <c r="H3877">
        <v>0</v>
      </c>
      <c r="I3877">
        <v>0</v>
      </c>
      <c r="J3877">
        <v>0</v>
      </c>
      <c r="K3877">
        <v>0</v>
      </c>
      <c r="L3877">
        <v>35000000</v>
      </c>
      <c r="M3877">
        <v>35000000</v>
      </c>
      <c r="N3877">
        <v>35000000</v>
      </c>
      <c r="O3877">
        <v>35000000</v>
      </c>
      <c r="P3877">
        <v>35000000</v>
      </c>
      <c r="Q3877">
        <v>35000000</v>
      </c>
      <c r="R3877" s="14">
        <f>_xlfn.XLOOKUP(Table2[[#This Row],[LoanID]],Table1[G-L ID],Table1[ManagerCode],-99)</f>
        <v>298</v>
      </c>
      <c r="T3877"/>
    </row>
    <row r="3878" spans="1:20" x14ac:dyDescent="0.25">
      <c r="A3878">
        <v>20150831</v>
      </c>
      <c r="B3878">
        <v>2015</v>
      </c>
      <c r="C3878">
        <v>8</v>
      </c>
      <c r="D3878">
        <v>1</v>
      </c>
      <c r="E3878">
        <v>13670</v>
      </c>
      <c r="F3878">
        <v>280550</v>
      </c>
      <c r="G3878">
        <v>0</v>
      </c>
      <c r="H3878">
        <v>0</v>
      </c>
      <c r="I3878">
        <v>0</v>
      </c>
      <c r="J3878">
        <v>0</v>
      </c>
      <c r="K3878">
        <v>0</v>
      </c>
      <c r="L3878">
        <v>37500000</v>
      </c>
      <c r="M3878">
        <v>37500000</v>
      </c>
      <c r="N3878">
        <v>37500000</v>
      </c>
      <c r="O3878">
        <v>37500000</v>
      </c>
      <c r="P3878">
        <v>37500000</v>
      </c>
      <c r="Q3878">
        <v>37500000</v>
      </c>
      <c r="R3878" s="14">
        <f>_xlfn.XLOOKUP(Table2[[#This Row],[LoanID]],Table1[G-L ID],Table1[ManagerCode],-99)</f>
        <v>298</v>
      </c>
      <c r="T3878"/>
    </row>
    <row r="3879" spans="1:20" x14ac:dyDescent="0.25">
      <c r="A3879">
        <v>20150831</v>
      </c>
      <c r="B3879">
        <v>2015</v>
      </c>
      <c r="C3879">
        <v>8</v>
      </c>
      <c r="D3879">
        <v>1</v>
      </c>
      <c r="E3879">
        <v>13680</v>
      </c>
      <c r="F3879">
        <v>149531.25</v>
      </c>
      <c r="G3879">
        <v>0</v>
      </c>
      <c r="H3879">
        <v>0</v>
      </c>
      <c r="I3879">
        <v>0</v>
      </c>
      <c r="J3879">
        <v>0</v>
      </c>
      <c r="K3879">
        <v>0</v>
      </c>
      <c r="L3879">
        <v>18000000</v>
      </c>
      <c r="M3879">
        <v>18000000</v>
      </c>
      <c r="N3879">
        <v>18000000</v>
      </c>
      <c r="O3879">
        <v>18000000</v>
      </c>
      <c r="P3879">
        <v>18000000</v>
      </c>
      <c r="Q3879">
        <v>18000000</v>
      </c>
      <c r="R3879" s="14">
        <f>_xlfn.XLOOKUP(Table2[[#This Row],[LoanID]],Table1[G-L ID],Table1[ManagerCode],-99)</f>
        <v>298</v>
      </c>
      <c r="T3879"/>
    </row>
    <row r="3880" spans="1:20" x14ac:dyDescent="0.25">
      <c r="A3880">
        <v>20150831</v>
      </c>
      <c r="B3880">
        <v>2015</v>
      </c>
      <c r="C3880">
        <v>8</v>
      </c>
      <c r="D3880">
        <v>1</v>
      </c>
      <c r="E3880">
        <v>13690</v>
      </c>
      <c r="F3880">
        <v>133472.22</v>
      </c>
      <c r="G3880">
        <v>0</v>
      </c>
      <c r="H3880">
        <v>0</v>
      </c>
      <c r="I3880">
        <v>0</v>
      </c>
      <c r="J3880">
        <v>0</v>
      </c>
      <c r="K3880">
        <v>0</v>
      </c>
      <c r="L3880">
        <v>20000000</v>
      </c>
      <c r="M3880">
        <v>20000000</v>
      </c>
      <c r="N3880">
        <v>20000000</v>
      </c>
      <c r="O3880">
        <v>20000000</v>
      </c>
      <c r="P3880">
        <v>20000000</v>
      </c>
      <c r="Q3880">
        <v>20000000</v>
      </c>
      <c r="R3880" s="14">
        <f>_xlfn.XLOOKUP(Table2[[#This Row],[LoanID]],Table1[G-L ID],Table1[ManagerCode],-99)</f>
        <v>298</v>
      </c>
      <c r="T3880"/>
    </row>
    <row r="3881" spans="1:20" x14ac:dyDescent="0.25">
      <c r="A3881">
        <v>20150831</v>
      </c>
      <c r="B3881">
        <v>2015</v>
      </c>
      <c r="C3881">
        <v>8</v>
      </c>
      <c r="D3881">
        <v>1</v>
      </c>
      <c r="E3881">
        <v>15580</v>
      </c>
      <c r="F3881">
        <v>118191.89</v>
      </c>
      <c r="G3881">
        <v>-41.5</v>
      </c>
      <c r="H3881">
        <v>0</v>
      </c>
      <c r="I3881">
        <v>0</v>
      </c>
      <c r="J3881">
        <v>0</v>
      </c>
      <c r="K3881">
        <v>5209.42</v>
      </c>
      <c r="L3881">
        <v>14956580.800000001</v>
      </c>
      <c r="M3881">
        <v>14951329.880000001</v>
      </c>
      <c r="N3881">
        <v>14956580.800000001</v>
      </c>
      <c r="O3881">
        <v>14951329.880000001</v>
      </c>
      <c r="P3881">
        <v>14956580.800000001</v>
      </c>
      <c r="Q3881">
        <v>14951329.880000001</v>
      </c>
      <c r="R3881" s="14">
        <f>_xlfn.XLOOKUP(Table2[[#This Row],[LoanID]],Table1[G-L ID],Table1[ManagerCode],-99)</f>
        <v>212</v>
      </c>
      <c r="T3881"/>
    </row>
    <row r="3882" spans="1:20" x14ac:dyDescent="0.25">
      <c r="A3882">
        <v>20150930</v>
      </c>
      <c r="B3882">
        <v>2015</v>
      </c>
      <c r="C3882">
        <v>9</v>
      </c>
      <c r="D3882">
        <v>1</v>
      </c>
      <c r="E3882">
        <v>10010</v>
      </c>
      <c r="F3882">
        <v>155488.13</v>
      </c>
      <c r="G3882">
        <v>0</v>
      </c>
      <c r="H3882">
        <v>0</v>
      </c>
      <c r="I3882">
        <v>0</v>
      </c>
      <c r="J3882">
        <v>0</v>
      </c>
      <c r="K3882">
        <v>0</v>
      </c>
      <c r="L3882">
        <v>16250000</v>
      </c>
      <c r="M3882">
        <v>16250000</v>
      </c>
      <c r="N3882">
        <v>16250000</v>
      </c>
      <c r="O3882">
        <v>16250000</v>
      </c>
      <c r="P3882">
        <v>16250000</v>
      </c>
      <c r="Q3882">
        <v>16250000</v>
      </c>
      <c r="R3882" s="14">
        <f>_xlfn.XLOOKUP(Table2[[#This Row],[LoanID]],Table1[G-L ID],Table1[ManagerCode],-99)</f>
        <v>119</v>
      </c>
      <c r="T3882"/>
    </row>
    <row r="3883" spans="1:20" x14ac:dyDescent="0.25">
      <c r="A3883">
        <v>20150930</v>
      </c>
      <c r="B3883">
        <v>2015</v>
      </c>
      <c r="C3883">
        <v>9</v>
      </c>
      <c r="D3883">
        <v>1</v>
      </c>
      <c r="E3883">
        <v>10040</v>
      </c>
      <c r="F3883">
        <v>0</v>
      </c>
      <c r="G3883">
        <v>0</v>
      </c>
      <c r="H3883">
        <v>50000</v>
      </c>
      <c r="I3883">
        <v>0</v>
      </c>
      <c r="J3883">
        <v>-5000000</v>
      </c>
      <c r="K3883">
        <v>0</v>
      </c>
      <c r="L3883">
        <v>0</v>
      </c>
      <c r="M3883">
        <v>5000000</v>
      </c>
      <c r="N3883">
        <v>0</v>
      </c>
      <c r="O3883">
        <v>5000000</v>
      </c>
      <c r="P3883">
        <v>0</v>
      </c>
      <c r="Q3883">
        <v>5000000</v>
      </c>
      <c r="R3883" s="14">
        <f>_xlfn.XLOOKUP(Table2[[#This Row],[LoanID]],Table1[G-L ID],Table1[ManagerCode],-99)</f>
        <v>119</v>
      </c>
      <c r="T3883"/>
    </row>
    <row r="3884" spans="1:20" x14ac:dyDescent="0.25">
      <c r="A3884">
        <v>20150930</v>
      </c>
      <c r="B3884">
        <v>2015</v>
      </c>
      <c r="C3884">
        <v>9</v>
      </c>
      <c r="D3884">
        <v>1</v>
      </c>
      <c r="E3884">
        <v>10050</v>
      </c>
      <c r="F3884">
        <v>153981.01999999999</v>
      </c>
      <c r="G3884">
        <v>0</v>
      </c>
      <c r="H3884">
        <v>0</v>
      </c>
      <c r="I3884">
        <v>0</v>
      </c>
      <c r="J3884">
        <v>0</v>
      </c>
      <c r="K3884">
        <v>0</v>
      </c>
      <c r="L3884">
        <v>37680218.700000003</v>
      </c>
      <c r="M3884">
        <v>37771574.369999997</v>
      </c>
      <c r="N3884">
        <v>37680218.700000003</v>
      </c>
      <c r="O3884">
        <v>37771574.369999997</v>
      </c>
      <c r="P3884">
        <v>33333334</v>
      </c>
      <c r="Q3884">
        <v>33333334</v>
      </c>
      <c r="R3884" s="14">
        <f>_xlfn.XLOOKUP(Table2[[#This Row],[LoanID]],Table1[G-L ID],Table1[ManagerCode],-99)</f>
        <v>103</v>
      </c>
      <c r="T3884"/>
    </row>
    <row r="3885" spans="1:20" x14ac:dyDescent="0.25">
      <c r="A3885">
        <v>20150930</v>
      </c>
      <c r="B3885">
        <v>2015</v>
      </c>
      <c r="C3885">
        <v>9</v>
      </c>
      <c r="D3885">
        <v>1</v>
      </c>
      <c r="E3885">
        <v>10090</v>
      </c>
      <c r="F3885">
        <v>188152.78</v>
      </c>
      <c r="G3885">
        <v>0</v>
      </c>
      <c r="H3885">
        <v>0</v>
      </c>
      <c r="I3885">
        <v>0</v>
      </c>
      <c r="J3885">
        <v>0</v>
      </c>
      <c r="K3885">
        <v>0</v>
      </c>
      <c r="L3885">
        <v>23000000</v>
      </c>
      <c r="M3885">
        <v>23000000</v>
      </c>
      <c r="N3885">
        <v>23000000</v>
      </c>
      <c r="O3885">
        <v>23000000</v>
      </c>
      <c r="P3885">
        <v>23000000</v>
      </c>
      <c r="Q3885">
        <v>23000000</v>
      </c>
      <c r="R3885" s="14">
        <f>_xlfn.XLOOKUP(Table2[[#This Row],[LoanID]],Table1[G-L ID],Table1[ManagerCode],-99)</f>
        <v>119</v>
      </c>
      <c r="T3885"/>
    </row>
    <row r="3886" spans="1:20" x14ac:dyDescent="0.25">
      <c r="A3886">
        <v>20150930</v>
      </c>
      <c r="B3886">
        <v>2015</v>
      </c>
      <c r="C3886">
        <v>9</v>
      </c>
      <c r="D3886">
        <v>1</v>
      </c>
      <c r="E3886">
        <v>10100</v>
      </c>
      <c r="F3886">
        <v>179848.33</v>
      </c>
      <c r="G3886">
        <v>0</v>
      </c>
      <c r="H3886">
        <v>0</v>
      </c>
      <c r="I3886">
        <v>0</v>
      </c>
      <c r="J3886">
        <v>0</v>
      </c>
      <c r="K3886">
        <v>0</v>
      </c>
      <c r="L3886">
        <v>30500000</v>
      </c>
      <c r="M3886">
        <v>30500000</v>
      </c>
      <c r="N3886">
        <v>30500000</v>
      </c>
      <c r="O3886">
        <v>30500000</v>
      </c>
      <c r="P3886">
        <v>30500000</v>
      </c>
      <c r="Q3886">
        <v>30500000</v>
      </c>
      <c r="R3886" s="14">
        <f>_xlfn.XLOOKUP(Table2[[#This Row],[LoanID]],Table1[G-L ID],Table1[ManagerCode],-99)</f>
        <v>220</v>
      </c>
      <c r="T3886"/>
    </row>
    <row r="3887" spans="1:20" x14ac:dyDescent="0.25">
      <c r="A3887">
        <v>20150930</v>
      </c>
      <c r="B3887">
        <v>2015</v>
      </c>
      <c r="C3887">
        <v>9</v>
      </c>
      <c r="D3887">
        <v>1</v>
      </c>
      <c r="E3887">
        <v>10120</v>
      </c>
      <c r="F3887">
        <v>32438.9</v>
      </c>
      <c r="G3887">
        <v>41205.410000000003</v>
      </c>
      <c r="H3887">
        <v>0</v>
      </c>
      <c r="I3887">
        <v>0</v>
      </c>
      <c r="J3887">
        <v>-1647404.78</v>
      </c>
      <c r="K3887">
        <v>0</v>
      </c>
      <c r="L3887">
        <v>6542369.4299999997</v>
      </c>
      <c r="M3887">
        <v>8230979.6200000001</v>
      </c>
      <c r="N3887">
        <v>6542369.4299999997</v>
      </c>
      <c r="O3887">
        <v>8230979.6200000001</v>
      </c>
      <c r="P3887">
        <v>6542369.4299999997</v>
      </c>
      <c r="Q3887">
        <v>8230979.6200000001</v>
      </c>
      <c r="R3887" s="14">
        <f>_xlfn.XLOOKUP(Table2[[#This Row],[LoanID]],Table1[G-L ID],Table1[ManagerCode],-99)</f>
        <v>183</v>
      </c>
      <c r="T3887"/>
    </row>
    <row r="3888" spans="1:20" x14ac:dyDescent="0.25">
      <c r="A3888">
        <v>20150930</v>
      </c>
      <c r="B3888">
        <v>2015</v>
      </c>
      <c r="C3888">
        <v>9</v>
      </c>
      <c r="D3888">
        <v>1</v>
      </c>
      <c r="E3888">
        <v>10160</v>
      </c>
      <c r="F3888">
        <v>111319.21</v>
      </c>
      <c r="G3888">
        <v>0</v>
      </c>
      <c r="H3888">
        <v>0</v>
      </c>
      <c r="I3888">
        <v>0</v>
      </c>
      <c r="J3888">
        <v>0</v>
      </c>
      <c r="K3888">
        <v>0</v>
      </c>
      <c r="L3888">
        <v>14051513.300000001</v>
      </c>
      <c r="M3888">
        <v>14051513.300000001</v>
      </c>
      <c r="N3888">
        <v>14051513.300000001</v>
      </c>
      <c r="O3888">
        <v>14051513.300000001</v>
      </c>
      <c r="P3888">
        <v>14051513.300000001</v>
      </c>
      <c r="Q3888">
        <v>14051513.300000001</v>
      </c>
      <c r="R3888" s="14">
        <f>_xlfn.XLOOKUP(Table2[[#This Row],[LoanID]],Table1[G-L ID],Table1[ManagerCode],-99)</f>
        <v>119</v>
      </c>
      <c r="T3888"/>
    </row>
    <row r="3889" spans="1:20" x14ac:dyDescent="0.25">
      <c r="A3889">
        <v>20150930</v>
      </c>
      <c r="B3889">
        <v>2015</v>
      </c>
      <c r="C3889">
        <v>9</v>
      </c>
      <c r="D3889">
        <v>1</v>
      </c>
      <c r="E3889">
        <v>10220</v>
      </c>
      <c r="F3889">
        <v>559722.22</v>
      </c>
      <c r="G3889">
        <v>0</v>
      </c>
      <c r="H3889">
        <v>0</v>
      </c>
      <c r="I3889">
        <v>0</v>
      </c>
      <c r="J3889">
        <v>0</v>
      </c>
      <c r="K3889">
        <v>0</v>
      </c>
      <c r="L3889">
        <v>115444452.3</v>
      </c>
      <c r="M3889">
        <v>115729530.59999999</v>
      </c>
      <c r="N3889">
        <v>115444452.3</v>
      </c>
      <c r="O3889">
        <v>115729530.59999999</v>
      </c>
      <c r="P3889">
        <v>100000000</v>
      </c>
      <c r="Q3889">
        <v>100000000</v>
      </c>
      <c r="R3889" s="14">
        <f>_xlfn.XLOOKUP(Table2[[#This Row],[LoanID]],Table1[G-L ID],Table1[ManagerCode],-99)</f>
        <v>103</v>
      </c>
      <c r="T3889"/>
    </row>
    <row r="3890" spans="1:20" x14ac:dyDescent="0.25">
      <c r="A3890">
        <v>20150930</v>
      </c>
      <c r="B3890">
        <v>2015</v>
      </c>
      <c r="C3890">
        <v>9</v>
      </c>
      <c r="D3890">
        <v>1</v>
      </c>
      <c r="E3890">
        <v>10240</v>
      </c>
      <c r="F3890">
        <v>75027.789999999994</v>
      </c>
      <c r="G3890">
        <v>0</v>
      </c>
      <c r="H3890">
        <v>0</v>
      </c>
      <c r="I3890">
        <v>0</v>
      </c>
      <c r="J3890">
        <v>-106804.04</v>
      </c>
      <c r="K3890">
        <v>0</v>
      </c>
      <c r="L3890">
        <v>10527435.210000001</v>
      </c>
      <c r="M3890">
        <v>10634239.25</v>
      </c>
      <c r="N3890">
        <v>10527435.210000001</v>
      </c>
      <c r="O3890">
        <v>10634239.25</v>
      </c>
      <c r="P3890">
        <v>10527435.210000001</v>
      </c>
      <c r="Q3890">
        <v>10634239.25</v>
      </c>
      <c r="R3890" s="14">
        <f>_xlfn.XLOOKUP(Table2[[#This Row],[LoanID]],Table1[G-L ID],Table1[ManagerCode],-99)</f>
        <v>220</v>
      </c>
      <c r="T3890"/>
    </row>
    <row r="3891" spans="1:20" x14ac:dyDescent="0.25">
      <c r="A3891">
        <v>20150930</v>
      </c>
      <c r="B3891">
        <v>2015</v>
      </c>
      <c r="C3891">
        <v>9</v>
      </c>
      <c r="D3891">
        <v>1</v>
      </c>
      <c r="E3891">
        <v>10250</v>
      </c>
      <c r="F3891">
        <v>49643.06</v>
      </c>
      <c r="G3891">
        <v>0</v>
      </c>
      <c r="H3891">
        <v>0</v>
      </c>
      <c r="I3891">
        <v>0</v>
      </c>
      <c r="J3891">
        <v>0</v>
      </c>
      <c r="K3891">
        <v>0</v>
      </c>
      <c r="L3891">
        <v>5000000</v>
      </c>
      <c r="M3891">
        <v>5000000</v>
      </c>
      <c r="N3891">
        <v>5000000</v>
      </c>
      <c r="O3891">
        <v>5000000</v>
      </c>
      <c r="P3891">
        <v>5000000</v>
      </c>
      <c r="Q3891">
        <v>5000000</v>
      </c>
      <c r="R3891" s="14">
        <f>_xlfn.XLOOKUP(Table2[[#This Row],[LoanID]],Table1[G-L ID],Table1[ManagerCode],-99)</f>
        <v>119</v>
      </c>
      <c r="T3891"/>
    </row>
    <row r="3892" spans="1:20" x14ac:dyDescent="0.25">
      <c r="A3892">
        <v>20150930</v>
      </c>
      <c r="B3892">
        <v>2015</v>
      </c>
      <c r="C3892">
        <v>9</v>
      </c>
      <c r="D3892">
        <v>1</v>
      </c>
      <c r="E3892">
        <v>10260</v>
      </c>
      <c r="F3892">
        <v>93386.04</v>
      </c>
      <c r="G3892">
        <v>0</v>
      </c>
      <c r="H3892">
        <v>0</v>
      </c>
      <c r="I3892">
        <v>0</v>
      </c>
      <c r="J3892">
        <v>0</v>
      </c>
      <c r="K3892">
        <v>0</v>
      </c>
      <c r="L3892">
        <v>15000000</v>
      </c>
      <c r="M3892">
        <v>15000000</v>
      </c>
      <c r="N3892">
        <v>15000000</v>
      </c>
      <c r="O3892">
        <v>15000000</v>
      </c>
      <c r="P3892">
        <v>15000000</v>
      </c>
      <c r="Q3892">
        <v>15000000</v>
      </c>
      <c r="R3892" s="14">
        <f>_xlfn.XLOOKUP(Table2[[#This Row],[LoanID]],Table1[G-L ID],Table1[ManagerCode],-99)</f>
        <v>220</v>
      </c>
      <c r="T3892"/>
    </row>
    <row r="3893" spans="1:20" x14ac:dyDescent="0.25">
      <c r="A3893">
        <v>20150930</v>
      </c>
      <c r="B3893">
        <v>2015</v>
      </c>
      <c r="C3893">
        <v>9</v>
      </c>
      <c r="D3893">
        <v>1</v>
      </c>
      <c r="E3893">
        <v>10270</v>
      </c>
      <c r="F3893">
        <v>44062.7</v>
      </c>
      <c r="G3893">
        <v>0</v>
      </c>
      <c r="H3893">
        <v>0</v>
      </c>
      <c r="I3893">
        <v>0</v>
      </c>
      <c r="J3893">
        <v>0</v>
      </c>
      <c r="K3893">
        <v>0</v>
      </c>
      <c r="L3893">
        <v>5400000</v>
      </c>
      <c r="M3893">
        <v>5400000</v>
      </c>
      <c r="N3893">
        <v>5400000</v>
      </c>
      <c r="O3893">
        <v>5400000</v>
      </c>
      <c r="P3893">
        <v>5400000</v>
      </c>
      <c r="Q3893">
        <v>5400000</v>
      </c>
      <c r="R3893" s="14">
        <f>_xlfn.XLOOKUP(Table2[[#This Row],[LoanID]],Table1[G-L ID],Table1[ManagerCode],-99)</f>
        <v>119</v>
      </c>
      <c r="T3893"/>
    </row>
    <row r="3894" spans="1:20" x14ac:dyDescent="0.25">
      <c r="A3894">
        <v>20150930</v>
      </c>
      <c r="B3894">
        <v>2015</v>
      </c>
      <c r="C3894">
        <v>9</v>
      </c>
      <c r="D3894">
        <v>1</v>
      </c>
      <c r="E3894">
        <v>10350</v>
      </c>
      <c r="F3894">
        <v>174805.56</v>
      </c>
      <c r="G3894">
        <v>0</v>
      </c>
      <c r="H3894">
        <v>0</v>
      </c>
      <c r="I3894">
        <v>0</v>
      </c>
      <c r="J3894">
        <v>0</v>
      </c>
      <c r="K3894">
        <v>0</v>
      </c>
      <c r="L3894">
        <v>24800000</v>
      </c>
      <c r="M3894">
        <v>24800000</v>
      </c>
      <c r="N3894">
        <v>24800000</v>
      </c>
      <c r="O3894">
        <v>24800000</v>
      </c>
      <c r="P3894">
        <v>24800000</v>
      </c>
      <c r="Q3894">
        <v>24800000</v>
      </c>
      <c r="R3894" s="14">
        <f>_xlfn.XLOOKUP(Table2[[#This Row],[LoanID]],Table1[G-L ID],Table1[ManagerCode],-99)</f>
        <v>220</v>
      </c>
      <c r="T3894"/>
    </row>
    <row r="3895" spans="1:20" x14ac:dyDescent="0.25">
      <c r="A3895">
        <v>20150930</v>
      </c>
      <c r="B3895">
        <v>2015</v>
      </c>
      <c r="C3895">
        <v>9</v>
      </c>
      <c r="D3895">
        <v>1</v>
      </c>
      <c r="E3895">
        <v>10430</v>
      </c>
      <c r="F3895">
        <v>90090.09</v>
      </c>
      <c r="G3895">
        <v>0</v>
      </c>
      <c r="H3895">
        <v>0</v>
      </c>
      <c r="I3895">
        <v>0</v>
      </c>
      <c r="J3895">
        <v>0</v>
      </c>
      <c r="K3895">
        <v>23400</v>
      </c>
      <c r="L3895">
        <v>10789400</v>
      </c>
      <c r="M3895">
        <v>10766000</v>
      </c>
      <c r="N3895">
        <v>10789400</v>
      </c>
      <c r="O3895">
        <v>10766000</v>
      </c>
      <c r="P3895">
        <v>10789400</v>
      </c>
      <c r="Q3895">
        <v>10766000</v>
      </c>
      <c r="R3895" s="14">
        <f>_xlfn.XLOOKUP(Table2[[#This Row],[LoanID]],Table1[G-L ID],Table1[ManagerCode],-99)</f>
        <v>119</v>
      </c>
      <c r="T3895"/>
    </row>
    <row r="3896" spans="1:20" x14ac:dyDescent="0.25">
      <c r="A3896">
        <v>20150930</v>
      </c>
      <c r="B3896">
        <v>2015</v>
      </c>
      <c r="C3896">
        <v>9</v>
      </c>
      <c r="D3896">
        <v>1</v>
      </c>
      <c r="E3896">
        <v>10460</v>
      </c>
      <c r="F3896">
        <v>248566.67</v>
      </c>
      <c r="G3896">
        <v>0</v>
      </c>
      <c r="H3896">
        <v>0</v>
      </c>
      <c r="I3896">
        <v>0</v>
      </c>
      <c r="J3896">
        <v>0</v>
      </c>
      <c r="K3896">
        <v>0</v>
      </c>
      <c r="L3896">
        <v>59808715.490000002</v>
      </c>
      <c r="M3896">
        <v>59817863.920000002</v>
      </c>
      <c r="N3896">
        <v>59808715.490000002</v>
      </c>
      <c r="O3896">
        <v>59817863.920000002</v>
      </c>
      <c r="P3896">
        <v>60000000</v>
      </c>
      <c r="Q3896">
        <v>60000000</v>
      </c>
      <c r="R3896" s="14">
        <f>_xlfn.XLOOKUP(Table2[[#This Row],[LoanID]],Table1[G-L ID],Table1[ManagerCode],-99)</f>
        <v>103</v>
      </c>
      <c r="T3896"/>
    </row>
    <row r="3897" spans="1:20" x14ac:dyDescent="0.25">
      <c r="A3897">
        <v>20150930</v>
      </c>
      <c r="B3897">
        <v>2015</v>
      </c>
      <c r="C3897">
        <v>9</v>
      </c>
      <c r="D3897">
        <v>1</v>
      </c>
      <c r="E3897">
        <v>10480</v>
      </c>
      <c r="F3897">
        <v>156010.54999999999</v>
      </c>
      <c r="G3897">
        <v>0</v>
      </c>
      <c r="H3897">
        <v>0</v>
      </c>
      <c r="I3897">
        <v>0</v>
      </c>
      <c r="J3897">
        <v>-2504892</v>
      </c>
      <c r="K3897">
        <v>0</v>
      </c>
      <c r="L3897">
        <v>21350000</v>
      </c>
      <c r="M3897">
        <v>23854892</v>
      </c>
      <c r="N3897">
        <v>21350000</v>
      </c>
      <c r="O3897">
        <v>23854892</v>
      </c>
      <c r="P3897">
        <v>21350000</v>
      </c>
      <c r="Q3897">
        <v>23854892</v>
      </c>
      <c r="R3897" s="14">
        <f>_xlfn.XLOOKUP(Table2[[#This Row],[LoanID]],Table1[G-L ID],Table1[ManagerCode],-99)</f>
        <v>119</v>
      </c>
      <c r="T3897"/>
    </row>
    <row r="3898" spans="1:20" x14ac:dyDescent="0.25">
      <c r="A3898">
        <v>20150930</v>
      </c>
      <c r="B3898">
        <v>2015</v>
      </c>
      <c r="C3898">
        <v>9</v>
      </c>
      <c r="D3898">
        <v>1</v>
      </c>
      <c r="E3898">
        <v>10570</v>
      </c>
      <c r="F3898">
        <v>800839.4</v>
      </c>
      <c r="G3898">
        <v>0</v>
      </c>
      <c r="H3898">
        <v>0</v>
      </c>
      <c r="I3898">
        <v>-0.01</v>
      </c>
      <c r="J3898">
        <v>0</v>
      </c>
      <c r="K3898">
        <v>0</v>
      </c>
      <c r="L3898">
        <v>156356260.69999999</v>
      </c>
      <c r="M3898">
        <v>156356260.69999999</v>
      </c>
      <c r="N3898">
        <v>156356260.69999999</v>
      </c>
      <c r="O3898">
        <v>156356260.69999999</v>
      </c>
      <c r="P3898">
        <v>156356260.69999999</v>
      </c>
      <c r="Q3898">
        <v>156356260.69999999</v>
      </c>
      <c r="R3898" s="14">
        <f>_xlfn.XLOOKUP(Table2[[#This Row],[LoanID]],Table1[G-L ID],Table1[ManagerCode],-99)</f>
        <v>103</v>
      </c>
      <c r="T3898"/>
    </row>
    <row r="3899" spans="1:20" x14ac:dyDescent="0.25">
      <c r="A3899">
        <v>20150930</v>
      </c>
      <c r="B3899">
        <v>2015</v>
      </c>
      <c r="C3899">
        <v>9</v>
      </c>
      <c r="D3899">
        <v>1</v>
      </c>
      <c r="E3899">
        <v>10591</v>
      </c>
      <c r="F3899">
        <v>214823.34</v>
      </c>
      <c r="G3899">
        <v>0</v>
      </c>
      <c r="H3899">
        <v>0</v>
      </c>
      <c r="I3899">
        <v>0</v>
      </c>
      <c r="J3899">
        <v>0</v>
      </c>
      <c r="K3899">
        <v>0</v>
      </c>
      <c r="L3899">
        <v>24475036.780000001</v>
      </c>
      <c r="M3899">
        <v>24475036.780000001</v>
      </c>
      <c r="N3899">
        <v>24475036.780000001</v>
      </c>
      <c r="O3899">
        <v>24475036.780000001</v>
      </c>
      <c r="P3899">
        <v>24475036.780000001</v>
      </c>
      <c r="Q3899">
        <v>24475036.780000001</v>
      </c>
      <c r="R3899" s="14">
        <f>_xlfn.XLOOKUP(Table2[[#This Row],[LoanID]],Table1[G-L ID],Table1[ManagerCode],-99)</f>
        <v>220</v>
      </c>
      <c r="T3899"/>
    </row>
    <row r="3900" spans="1:20" x14ac:dyDescent="0.25">
      <c r="A3900">
        <v>20150930</v>
      </c>
      <c r="B3900">
        <v>2015</v>
      </c>
      <c r="C3900">
        <v>9</v>
      </c>
      <c r="D3900">
        <v>1</v>
      </c>
      <c r="E3900">
        <v>10592</v>
      </c>
      <c r="F3900">
        <v>356310.47</v>
      </c>
      <c r="G3900">
        <v>0</v>
      </c>
      <c r="H3900">
        <v>0</v>
      </c>
      <c r="I3900">
        <v>0</v>
      </c>
      <c r="J3900">
        <v>0</v>
      </c>
      <c r="K3900">
        <v>0</v>
      </c>
      <c r="L3900">
        <v>36326728.630000003</v>
      </c>
      <c r="M3900">
        <v>36326728.630000003</v>
      </c>
      <c r="N3900">
        <v>36326728.630000003</v>
      </c>
      <c r="O3900">
        <v>36326728.630000003</v>
      </c>
      <c r="P3900">
        <v>36129816.219999999</v>
      </c>
      <c r="Q3900">
        <v>36129816.219999999</v>
      </c>
      <c r="R3900" s="14">
        <f>_xlfn.XLOOKUP(Table2[[#This Row],[LoanID]],Table1[G-L ID],Table1[ManagerCode],-99)</f>
        <v>220</v>
      </c>
      <c r="T3900"/>
    </row>
    <row r="3901" spans="1:20" x14ac:dyDescent="0.25">
      <c r="A3901">
        <v>20150930</v>
      </c>
      <c r="B3901">
        <v>2015</v>
      </c>
      <c r="C3901">
        <v>9</v>
      </c>
      <c r="D3901">
        <v>1</v>
      </c>
      <c r="E3901">
        <v>10640</v>
      </c>
      <c r="F3901">
        <v>77244.41</v>
      </c>
      <c r="G3901">
        <v>0</v>
      </c>
      <c r="H3901">
        <v>0</v>
      </c>
      <c r="I3901">
        <v>0</v>
      </c>
      <c r="J3901">
        <v>-1419944.78</v>
      </c>
      <c r="K3901">
        <v>2464866</v>
      </c>
      <c r="L3901">
        <v>9206462.6099999994</v>
      </c>
      <c r="M3901">
        <v>8084494</v>
      </c>
      <c r="N3901">
        <v>9206462.6099999994</v>
      </c>
      <c r="O3901">
        <v>8084494</v>
      </c>
      <c r="P3901">
        <v>9129415</v>
      </c>
      <c r="Q3901">
        <v>8084494</v>
      </c>
      <c r="R3901" s="14">
        <f>_xlfn.XLOOKUP(Table2[[#This Row],[LoanID]],Table1[G-L ID],Table1[ManagerCode],-99)</f>
        <v>220</v>
      </c>
      <c r="T3901"/>
    </row>
    <row r="3902" spans="1:20" x14ac:dyDescent="0.25">
      <c r="A3902">
        <v>20150930</v>
      </c>
      <c r="B3902">
        <v>2015</v>
      </c>
      <c r="C3902">
        <v>9</v>
      </c>
      <c r="D3902">
        <v>1</v>
      </c>
      <c r="E3902">
        <v>10680</v>
      </c>
      <c r="F3902">
        <v>58112.11</v>
      </c>
      <c r="G3902">
        <v>0</v>
      </c>
      <c r="H3902">
        <v>0</v>
      </c>
      <c r="I3902">
        <v>0</v>
      </c>
      <c r="J3902">
        <v>0</v>
      </c>
      <c r="K3902">
        <v>0</v>
      </c>
      <c r="L3902">
        <v>7258800</v>
      </c>
      <c r="M3902">
        <v>7258800</v>
      </c>
      <c r="N3902">
        <v>7258800</v>
      </c>
      <c r="O3902">
        <v>7258800</v>
      </c>
      <c r="P3902">
        <v>7258800</v>
      </c>
      <c r="Q3902">
        <v>7258800</v>
      </c>
      <c r="R3902" s="14">
        <f>_xlfn.XLOOKUP(Table2[[#This Row],[LoanID]],Table1[G-L ID],Table1[ManagerCode],-99)</f>
        <v>119</v>
      </c>
      <c r="T3902"/>
    </row>
    <row r="3903" spans="1:20" x14ac:dyDescent="0.25">
      <c r="A3903">
        <v>20150930</v>
      </c>
      <c r="B3903">
        <v>2015</v>
      </c>
      <c r="C3903">
        <v>9</v>
      </c>
      <c r="D3903">
        <v>1</v>
      </c>
      <c r="E3903">
        <v>10720</v>
      </c>
      <c r="F3903">
        <v>125000</v>
      </c>
      <c r="G3903">
        <v>79283.520000000004</v>
      </c>
      <c r="H3903">
        <v>0</v>
      </c>
      <c r="I3903">
        <v>0</v>
      </c>
      <c r="J3903">
        <v>0</v>
      </c>
      <c r="K3903">
        <v>267734</v>
      </c>
      <c r="L3903">
        <v>16837642.690000001</v>
      </c>
      <c r="M3903">
        <v>16637013.300000001</v>
      </c>
      <c r="N3903">
        <v>16837642.690000001</v>
      </c>
      <c r="O3903">
        <v>16637013.300000001</v>
      </c>
      <c r="P3903">
        <v>15815497.890000001</v>
      </c>
      <c r="Q3903">
        <v>15627047.4</v>
      </c>
      <c r="R3903" s="14">
        <f>_xlfn.XLOOKUP(Table2[[#This Row],[LoanID]],Table1[G-L ID],Table1[ManagerCode],-99)</f>
        <v>220</v>
      </c>
      <c r="T3903"/>
    </row>
    <row r="3904" spans="1:20" x14ac:dyDescent="0.25">
      <c r="A3904">
        <v>20150930</v>
      </c>
      <c r="B3904">
        <v>2015</v>
      </c>
      <c r="C3904">
        <v>9</v>
      </c>
      <c r="D3904">
        <v>1</v>
      </c>
      <c r="E3904">
        <v>10740</v>
      </c>
      <c r="F3904">
        <v>3540477.98</v>
      </c>
      <c r="G3904">
        <v>0</v>
      </c>
      <c r="H3904">
        <v>0</v>
      </c>
      <c r="I3904">
        <v>0</v>
      </c>
      <c r="J3904">
        <v>0</v>
      </c>
      <c r="K3904">
        <v>0</v>
      </c>
      <c r="L3904">
        <v>443440746.60000002</v>
      </c>
      <c r="M3904">
        <v>440527683.89999998</v>
      </c>
      <c r="N3904">
        <v>443440746.60000002</v>
      </c>
      <c r="O3904">
        <v>440527683.89999998</v>
      </c>
      <c r="P3904">
        <v>461801475</v>
      </c>
      <c r="Q3904">
        <v>461801475</v>
      </c>
      <c r="R3904" s="14">
        <f>_xlfn.XLOOKUP(Table2[[#This Row],[LoanID]],Table1[G-L ID],Table1[ManagerCode],-99)</f>
        <v>103</v>
      </c>
      <c r="T3904"/>
    </row>
    <row r="3905" spans="1:20" x14ac:dyDescent="0.25">
      <c r="A3905">
        <v>20150930</v>
      </c>
      <c r="B3905">
        <v>2015</v>
      </c>
      <c r="C3905">
        <v>9</v>
      </c>
      <c r="D3905">
        <v>1</v>
      </c>
      <c r="E3905">
        <v>10750</v>
      </c>
      <c r="F3905">
        <v>72307.039999999994</v>
      </c>
      <c r="G3905">
        <v>0</v>
      </c>
      <c r="H3905">
        <v>0</v>
      </c>
      <c r="I3905">
        <v>0</v>
      </c>
      <c r="J3905">
        <v>262659.81</v>
      </c>
      <c r="K3905">
        <v>0</v>
      </c>
      <c r="L3905">
        <v>9310771.5500000007</v>
      </c>
      <c r="M3905">
        <v>9048111.7400000002</v>
      </c>
      <c r="N3905">
        <v>9310771.5500000007</v>
      </c>
      <c r="O3905">
        <v>9048111.7400000002</v>
      </c>
      <c r="P3905">
        <v>9310771.5500000007</v>
      </c>
      <c r="Q3905">
        <v>9048111.7400000002</v>
      </c>
      <c r="R3905" s="14">
        <f>_xlfn.XLOOKUP(Table2[[#This Row],[LoanID]],Table1[G-L ID],Table1[ManagerCode],-99)</f>
        <v>119</v>
      </c>
      <c r="T3905"/>
    </row>
    <row r="3906" spans="1:20" x14ac:dyDescent="0.25">
      <c r="A3906">
        <v>20150930</v>
      </c>
      <c r="B3906">
        <v>2015</v>
      </c>
      <c r="C3906">
        <v>9</v>
      </c>
      <c r="D3906">
        <v>1</v>
      </c>
      <c r="E3906">
        <v>10780</v>
      </c>
      <c r="F3906">
        <v>312810.67</v>
      </c>
      <c r="G3906">
        <v>0</v>
      </c>
      <c r="H3906">
        <v>0</v>
      </c>
      <c r="I3906">
        <v>0</v>
      </c>
      <c r="J3906">
        <v>0</v>
      </c>
      <c r="K3906">
        <v>0</v>
      </c>
      <c r="L3906">
        <v>43000000</v>
      </c>
      <c r="M3906">
        <v>43000000</v>
      </c>
      <c r="N3906">
        <v>43000000</v>
      </c>
      <c r="O3906">
        <v>43000000</v>
      </c>
      <c r="P3906">
        <v>43000000</v>
      </c>
      <c r="Q3906">
        <v>43000000</v>
      </c>
      <c r="R3906" s="14">
        <f>_xlfn.XLOOKUP(Table2[[#This Row],[LoanID]],Table1[G-L ID],Table1[ManagerCode],-99)</f>
        <v>220</v>
      </c>
      <c r="T3906"/>
    </row>
    <row r="3907" spans="1:20" x14ac:dyDescent="0.25">
      <c r="A3907">
        <v>20150930</v>
      </c>
      <c r="B3907">
        <v>2015</v>
      </c>
      <c r="C3907">
        <v>9</v>
      </c>
      <c r="D3907">
        <v>1</v>
      </c>
      <c r="E3907">
        <v>10800</v>
      </c>
      <c r="F3907">
        <v>217127.44</v>
      </c>
      <c r="G3907">
        <v>0</v>
      </c>
      <c r="H3907">
        <v>0</v>
      </c>
      <c r="I3907">
        <v>0</v>
      </c>
      <c r="J3907">
        <v>0</v>
      </c>
      <c r="K3907">
        <v>0</v>
      </c>
      <c r="L3907">
        <v>26000000</v>
      </c>
      <c r="M3907">
        <v>26000000</v>
      </c>
      <c r="N3907">
        <v>26000000</v>
      </c>
      <c r="O3907">
        <v>26000000</v>
      </c>
      <c r="P3907">
        <v>26000000</v>
      </c>
      <c r="Q3907">
        <v>26000000</v>
      </c>
      <c r="R3907" s="14">
        <f>_xlfn.XLOOKUP(Table2[[#This Row],[LoanID]],Table1[G-L ID],Table1[ManagerCode],-99)</f>
        <v>220</v>
      </c>
      <c r="T3907"/>
    </row>
    <row r="3908" spans="1:20" x14ac:dyDescent="0.25">
      <c r="A3908">
        <v>20150930</v>
      </c>
      <c r="B3908">
        <v>2015</v>
      </c>
      <c r="C3908">
        <v>9</v>
      </c>
      <c r="D3908">
        <v>1</v>
      </c>
      <c r="E3908">
        <v>10820</v>
      </c>
      <c r="F3908">
        <v>187897.99</v>
      </c>
      <c r="G3908">
        <v>0</v>
      </c>
      <c r="H3908">
        <v>0</v>
      </c>
      <c r="I3908">
        <v>0</v>
      </c>
      <c r="J3908">
        <v>-593798</v>
      </c>
      <c r="K3908">
        <v>0</v>
      </c>
      <c r="L3908">
        <v>23440222.07</v>
      </c>
      <c r="M3908">
        <v>24041739.440000001</v>
      </c>
      <c r="N3908">
        <v>23440222.07</v>
      </c>
      <c r="O3908">
        <v>24041739.440000001</v>
      </c>
      <c r="P3908">
        <v>23139409.739999998</v>
      </c>
      <c r="Q3908">
        <v>23733207.739999998</v>
      </c>
      <c r="R3908" s="14">
        <f>_xlfn.XLOOKUP(Table2[[#This Row],[LoanID]],Table1[G-L ID],Table1[ManagerCode],-99)</f>
        <v>220</v>
      </c>
      <c r="T3908"/>
    </row>
    <row r="3909" spans="1:20" x14ac:dyDescent="0.25">
      <c r="A3909">
        <v>20150930</v>
      </c>
      <c r="B3909">
        <v>2015</v>
      </c>
      <c r="C3909">
        <v>9</v>
      </c>
      <c r="D3909">
        <v>1</v>
      </c>
      <c r="E3909">
        <v>10830</v>
      </c>
      <c r="F3909">
        <v>62853.2</v>
      </c>
      <c r="G3909">
        <v>0</v>
      </c>
      <c r="H3909">
        <v>0</v>
      </c>
      <c r="I3909">
        <v>0</v>
      </c>
      <c r="J3909">
        <v>0</v>
      </c>
      <c r="K3909">
        <v>0</v>
      </c>
      <c r="L3909">
        <v>7783125.2999999998</v>
      </c>
      <c r="M3909">
        <v>7783125.2999999998</v>
      </c>
      <c r="N3909">
        <v>7783125.2999999998</v>
      </c>
      <c r="O3909">
        <v>7783125.2999999998</v>
      </c>
      <c r="P3909">
        <v>7683243.1399999997</v>
      </c>
      <c r="Q3909">
        <v>7683243.1399999997</v>
      </c>
      <c r="R3909" s="14">
        <f>_xlfn.XLOOKUP(Table2[[#This Row],[LoanID]],Table1[G-L ID],Table1[ManagerCode],-99)</f>
        <v>220</v>
      </c>
      <c r="T3909"/>
    </row>
    <row r="3910" spans="1:20" x14ac:dyDescent="0.25">
      <c r="A3910">
        <v>20150930</v>
      </c>
      <c r="B3910">
        <v>2015</v>
      </c>
      <c r="C3910">
        <v>9</v>
      </c>
      <c r="D3910">
        <v>1</v>
      </c>
      <c r="E3910">
        <v>10840</v>
      </c>
      <c r="F3910">
        <v>103968.23</v>
      </c>
      <c r="G3910">
        <v>0</v>
      </c>
      <c r="H3910">
        <v>0</v>
      </c>
      <c r="I3910">
        <v>0</v>
      </c>
      <c r="J3910">
        <v>0</v>
      </c>
      <c r="K3910">
        <v>0</v>
      </c>
      <c r="L3910">
        <v>12874408.460000001</v>
      </c>
      <c r="M3910">
        <v>12874408.460000001</v>
      </c>
      <c r="N3910">
        <v>12874408.460000001</v>
      </c>
      <c r="O3910">
        <v>12874408.460000001</v>
      </c>
      <c r="P3910">
        <v>12709189</v>
      </c>
      <c r="Q3910">
        <v>12709189</v>
      </c>
      <c r="R3910" s="14">
        <f>_xlfn.XLOOKUP(Table2[[#This Row],[LoanID]],Table1[G-L ID],Table1[ManagerCode],-99)</f>
        <v>220</v>
      </c>
      <c r="T3910"/>
    </row>
    <row r="3911" spans="1:20" x14ac:dyDescent="0.25">
      <c r="A3911">
        <v>20150930</v>
      </c>
      <c r="B3911">
        <v>2015</v>
      </c>
      <c r="C3911">
        <v>9</v>
      </c>
      <c r="D3911">
        <v>1</v>
      </c>
      <c r="E3911">
        <v>10850</v>
      </c>
      <c r="F3911">
        <v>110534.78</v>
      </c>
      <c r="G3911">
        <v>0</v>
      </c>
      <c r="H3911">
        <v>0</v>
      </c>
      <c r="I3911">
        <v>0</v>
      </c>
      <c r="J3911">
        <v>0</v>
      </c>
      <c r="K3911">
        <v>0</v>
      </c>
      <c r="L3911">
        <v>13687546.6</v>
      </c>
      <c r="M3911">
        <v>13687546.6</v>
      </c>
      <c r="N3911">
        <v>13687546.6</v>
      </c>
      <c r="O3911">
        <v>13687546.6</v>
      </c>
      <c r="P3911">
        <v>13511892</v>
      </c>
      <c r="Q3911">
        <v>13511892</v>
      </c>
      <c r="R3911" s="14">
        <f>_xlfn.XLOOKUP(Table2[[#This Row],[LoanID]],Table1[G-L ID],Table1[ManagerCode],-99)</f>
        <v>220</v>
      </c>
      <c r="T3911"/>
    </row>
    <row r="3912" spans="1:20" x14ac:dyDescent="0.25">
      <c r="A3912">
        <v>20150930</v>
      </c>
      <c r="B3912">
        <v>2015</v>
      </c>
      <c r="C3912">
        <v>9</v>
      </c>
      <c r="D3912">
        <v>1</v>
      </c>
      <c r="E3912">
        <v>10860</v>
      </c>
      <c r="F3912">
        <v>118238.3</v>
      </c>
      <c r="G3912">
        <v>0</v>
      </c>
      <c r="H3912">
        <v>0</v>
      </c>
      <c r="I3912">
        <v>0</v>
      </c>
      <c r="J3912">
        <v>0</v>
      </c>
      <c r="K3912">
        <v>0</v>
      </c>
      <c r="L3912">
        <v>19475000</v>
      </c>
      <c r="M3912">
        <v>19475000</v>
      </c>
      <c r="N3912">
        <v>19475000</v>
      </c>
      <c r="O3912">
        <v>19475000</v>
      </c>
      <c r="P3912">
        <v>20500000</v>
      </c>
      <c r="Q3912">
        <v>20500000</v>
      </c>
      <c r="R3912" s="14">
        <f>_xlfn.XLOOKUP(Table2[[#This Row],[LoanID]],Table1[G-L ID],Table1[ManagerCode],-99)</f>
        <v>103</v>
      </c>
      <c r="T3912"/>
    </row>
    <row r="3913" spans="1:20" x14ac:dyDescent="0.25">
      <c r="A3913">
        <v>20150930</v>
      </c>
      <c r="B3913">
        <v>2015</v>
      </c>
      <c r="C3913">
        <v>9</v>
      </c>
      <c r="D3913">
        <v>1</v>
      </c>
      <c r="E3913">
        <v>10910</v>
      </c>
      <c r="F3913">
        <v>202860.55</v>
      </c>
      <c r="G3913">
        <v>0</v>
      </c>
      <c r="H3913">
        <v>0</v>
      </c>
      <c r="I3913">
        <v>0</v>
      </c>
      <c r="J3913">
        <v>0</v>
      </c>
      <c r="K3913">
        <v>0</v>
      </c>
      <c r="L3913">
        <v>22500000</v>
      </c>
      <c r="M3913">
        <v>22500000</v>
      </c>
      <c r="N3913">
        <v>22500000</v>
      </c>
      <c r="O3913">
        <v>22500000</v>
      </c>
      <c r="P3913">
        <v>22500000</v>
      </c>
      <c r="Q3913">
        <v>22500000</v>
      </c>
      <c r="R3913" s="14">
        <f>_xlfn.XLOOKUP(Table2[[#This Row],[LoanID]],Table1[G-L ID],Table1[ManagerCode],-99)</f>
        <v>119</v>
      </c>
      <c r="T3913"/>
    </row>
    <row r="3914" spans="1:20" x14ac:dyDescent="0.25">
      <c r="A3914">
        <v>20150930</v>
      </c>
      <c r="B3914">
        <v>2015</v>
      </c>
      <c r="C3914">
        <v>9</v>
      </c>
      <c r="D3914">
        <v>1</v>
      </c>
      <c r="E3914">
        <v>10930</v>
      </c>
      <c r="F3914">
        <v>0</v>
      </c>
      <c r="G3914">
        <v>150505.13</v>
      </c>
      <c r="H3914">
        <v>0</v>
      </c>
      <c r="I3914">
        <v>0</v>
      </c>
      <c r="J3914">
        <v>0</v>
      </c>
      <c r="K3914">
        <v>0</v>
      </c>
      <c r="L3914">
        <v>14085736.07</v>
      </c>
      <c r="M3914">
        <v>14236241.199999999</v>
      </c>
      <c r="N3914">
        <v>14085736.07</v>
      </c>
      <c r="O3914">
        <v>14236241.199999999</v>
      </c>
      <c r="P3914">
        <v>14085736.07</v>
      </c>
      <c r="Q3914">
        <v>14236241.199999999</v>
      </c>
      <c r="R3914" s="14">
        <f>_xlfn.XLOOKUP(Table2[[#This Row],[LoanID]],Table1[G-L ID],Table1[ManagerCode],-99)</f>
        <v>183</v>
      </c>
      <c r="T3914"/>
    </row>
    <row r="3915" spans="1:20" x14ac:dyDescent="0.25">
      <c r="A3915">
        <v>20150930</v>
      </c>
      <c r="B3915">
        <v>2015</v>
      </c>
      <c r="C3915">
        <v>9</v>
      </c>
      <c r="D3915">
        <v>1</v>
      </c>
      <c r="E3915">
        <v>10940</v>
      </c>
      <c r="F3915">
        <v>60345.24</v>
      </c>
      <c r="G3915">
        <v>81426.84</v>
      </c>
      <c r="H3915">
        <v>0</v>
      </c>
      <c r="I3915">
        <v>0</v>
      </c>
      <c r="J3915">
        <v>-60345.24</v>
      </c>
      <c r="K3915">
        <v>0</v>
      </c>
      <c r="L3915">
        <v>12195922.09</v>
      </c>
      <c r="M3915">
        <v>12337694.17</v>
      </c>
      <c r="N3915">
        <v>12195922.09</v>
      </c>
      <c r="O3915">
        <v>12337694.17</v>
      </c>
      <c r="P3915">
        <v>12195922.09</v>
      </c>
      <c r="Q3915">
        <v>12337694.17</v>
      </c>
      <c r="R3915" s="14">
        <f>_xlfn.XLOOKUP(Table2[[#This Row],[LoanID]],Table1[G-L ID],Table1[ManagerCode],-99)</f>
        <v>183</v>
      </c>
      <c r="T3915"/>
    </row>
    <row r="3916" spans="1:20" x14ac:dyDescent="0.25">
      <c r="A3916">
        <v>20150930</v>
      </c>
      <c r="B3916">
        <v>2015</v>
      </c>
      <c r="C3916">
        <v>9</v>
      </c>
      <c r="D3916">
        <v>1</v>
      </c>
      <c r="E3916">
        <v>10960</v>
      </c>
      <c r="F3916">
        <v>70000.539999999994</v>
      </c>
      <c r="G3916">
        <v>0</v>
      </c>
      <c r="H3916">
        <v>0</v>
      </c>
      <c r="I3916">
        <v>0</v>
      </c>
      <c r="J3916">
        <v>-91497.73</v>
      </c>
      <c r="K3916">
        <v>0</v>
      </c>
      <c r="L3916">
        <v>6424642.2699999996</v>
      </c>
      <c r="M3916">
        <v>6516140</v>
      </c>
      <c r="N3916">
        <v>6424642.2699999996</v>
      </c>
      <c r="O3916">
        <v>6516140</v>
      </c>
      <c r="P3916">
        <v>6424642.2699999996</v>
      </c>
      <c r="Q3916">
        <v>6516140</v>
      </c>
      <c r="R3916" s="14">
        <f>_xlfn.XLOOKUP(Table2[[#This Row],[LoanID]],Table1[G-L ID],Table1[ManagerCode],-99)</f>
        <v>119</v>
      </c>
      <c r="T3916"/>
    </row>
    <row r="3917" spans="1:20" x14ac:dyDescent="0.25">
      <c r="A3917">
        <v>20150930</v>
      </c>
      <c r="B3917">
        <v>2015</v>
      </c>
      <c r="C3917">
        <v>9</v>
      </c>
      <c r="D3917">
        <v>1</v>
      </c>
      <c r="E3917">
        <v>11010</v>
      </c>
      <c r="F3917">
        <v>209676.47</v>
      </c>
      <c r="G3917">
        <v>0</v>
      </c>
      <c r="H3917">
        <v>0</v>
      </c>
      <c r="I3917">
        <v>0</v>
      </c>
      <c r="J3917">
        <v>0</v>
      </c>
      <c r="K3917">
        <v>0</v>
      </c>
      <c r="L3917">
        <v>26500000</v>
      </c>
      <c r="M3917">
        <v>26500000</v>
      </c>
      <c r="N3917">
        <v>26500000</v>
      </c>
      <c r="O3917">
        <v>26500000</v>
      </c>
      <c r="P3917">
        <v>26500000</v>
      </c>
      <c r="Q3917">
        <v>26500000</v>
      </c>
      <c r="R3917" s="14">
        <f>_xlfn.XLOOKUP(Table2[[#This Row],[LoanID]],Table1[G-L ID],Table1[ManagerCode],-99)</f>
        <v>119</v>
      </c>
      <c r="T3917"/>
    </row>
    <row r="3918" spans="1:20" x14ac:dyDescent="0.25">
      <c r="A3918">
        <v>20150930</v>
      </c>
      <c r="B3918">
        <v>2015</v>
      </c>
      <c r="C3918">
        <v>9</v>
      </c>
      <c r="D3918">
        <v>1</v>
      </c>
      <c r="E3918">
        <v>11030</v>
      </c>
      <c r="F3918">
        <v>61073.37</v>
      </c>
      <c r="G3918">
        <v>0</v>
      </c>
      <c r="H3918">
        <v>0</v>
      </c>
      <c r="I3918">
        <v>0</v>
      </c>
      <c r="J3918">
        <v>0</v>
      </c>
      <c r="K3918">
        <v>9777.7800000000007</v>
      </c>
      <c r="L3918">
        <v>7990222.2199999997</v>
      </c>
      <c r="M3918">
        <v>7980444.4400000004</v>
      </c>
      <c r="N3918">
        <v>7990222.2199999997</v>
      </c>
      <c r="O3918">
        <v>7980444.4400000004</v>
      </c>
      <c r="P3918">
        <v>7990222.2199999997</v>
      </c>
      <c r="Q3918">
        <v>7980444.4400000004</v>
      </c>
      <c r="R3918" s="14">
        <f>_xlfn.XLOOKUP(Table2[[#This Row],[LoanID]],Table1[G-L ID],Table1[ManagerCode],-99)</f>
        <v>119</v>
      </c>
      <c r="T3918"/>
    </row>
    <row r="3919" spans="1:20" x14ac:dyDescent="0.25">
      <c r="A3919">
        <v>20150930</v>
      </c>
      <c r="B3919">
        <v>2015</v>
      </c>
      <c r="C3919">
        <v>9</v>
      </c>
      <c r="D3919">
        <v>1</v>
      </c>
      <c r="E3919">
        <v>11040</v>
      </c>
      <c r="F3919">
        <v>525191.66</v>
      </c>
      <c r="G3919">
        <v>0</v>
      </c>
      <c r="H3919">
        <v>0</v>
      </c>
      <c r="I3919">
        <v>0</v>
      </c>
      <c r="J3919">
        <v>0</v>
      </c>
      <c r="K3919">
        <v>0</v>
      </c>
      <c r="L3919">
        <v>51000000</v>
      </c>
      <c r="M3919">
        <v>51000000</v>
      </c>
      <c r="N3919">
        <v>51000000</v>
      </c>
      <c r="O3919">
        <v>51000000</v>
      </c>
      <c r="P3919">
        <v>50000000</v>
      </c>
      <c r="Q3919">
        <v>50000000</v>
      </c>
      <c r="R3919" s="14">
        <f>_xlfn.XLOOKUP(Table2[[#This Row],[LoanID]],Table1[G-L ID],Table1[ManagerCode],-99)</f>
        <v>220</v>
      </c>
      <c r="T3919"/>
    </row>
    <row r="3920" spans="1:20" x14ac:dyDescent="0.25">
      <c r="A3920">
        <v>20150930</v>
      </c>
      <c r="B3920">
        <v>2015</v>
      </c>
      <c r="C3920">
        <v>9</v>
      </c>
      <c r="D3920">
        <v>1</v>
      </c>
      <c r="E3920">
        <v>11050</v>
      </c>
      <c r="F3920">
        <v>300635</v>
      </c>
      <c r="G3920">
        <v>0</v>
      </c>
      <c r="H3920">
        <v>0</v>
      </c>
      <c r="I3920">
        <v>0</v>
      </c>
      <c r="J3920">
        <v>0</v>
      </c>
      <c r="K3920">
        <v>0</v>
      </c>
      <c r="L3920">
        <v>29300000</v>
      </c>
      <c r="M3920">
        <v>29300000</v>
      </c>
      <c r="N3920">
        <v>29300000</v>
      </c>
      <c r="O3920">
        <v>29300000</v>
      </c>
      <c r="P3920">
        <v>28500000</v>
      </c>
      <c r="Q3920">
        <v>28500000</v>
      </c>
      <c r="R3920" s="14">
        <f>_xlfn.XLOOKUP(Table2[[#This Row],[LoanID]],Table1[G-L ID],Table1[ManagerCode],-99)</f>
        <v>220</v>
      </c>
      <c r="T3920"/>
    </row>
    <row r="3921" spans="1:20" x14ac:dyDescent="0.25">
      <c r="A3921">
        <v>20150930</v>
      </c>
      <c r="B3921">
        <v>2015</v>
      </c>
      <c r="C3921">
        <v>9</v>
      </c>
      <c r="D3921">
        <v>1</v>
      </c>
      <c r="E3921">
        <v>11090</v>
      </c>
      <c r="F3921">
        <v>91814.25</v>
      </c>
      <c r="G3921">
        <v>0</v>
      </c>
      <c r="H3921">
        <v>0</v>
      </c>
      <c r="I3921">
        <v>0</v>
      </c>
      <c r="J3921">
        <v>0</v>
      </c>
      <c r="K3921">
        <v>0</v>
      </c>
      <c r="L3921">
        <v>11000000</v>
      </c>
      <c r="M3921">
        <v>11000000</v>
      </c>
      <c r="N3921">
        <v>11000000</v>
      </c>
      <c r="O3921">
        <v>11000000</v>
      </c>
      <c r="P3921">
        <v>11000000</v>
      </c>
      <c r="Q3921">
        <v>11000000</v>
      </c>
      <c r="R3921" s="14">
        <f>_xlfn.XLOOKUP(Table2[[#This Row],[LoanID]],Table1[G-L ID],Table1[ManagerCode],-99)</f>
        <v>119</v>
      </c>
      <c r="T3921"/>
    </row>
    <row r="3922" spans="1:20" x14ac:dyDescent="0.25">
      <c r="A3922">
        <v>20150930</v>
      </c>
      <c r="B3922">
        <v>2015</v>
      </c>
      <c r="C3922">
        <v>9</v>
      </c>
      <c r="D3922">
        <v>1</v>
      </c>
      <c r="E3922">
        <v>11100</v>
      </c>
      <c r="F3922">
        <v>192362.5</v>
      </c>
      <c r="G3922">
        <v>0</v>
      </c>
      <c r="H3922">
        <v>0</v>
      </c>
      <c r="I3922">
        <v>0</v>
      </c>
      <c r="J3922">
        <v>0</v>
      </c>
      <c r="K3922">
        <v>0</v>
      </c>
      <c r="L3922">
        <v>54450000</v>
      </c>
      <c r="M3922">
        <v>54450000</v>
      </c>
      <c r="N3922">
        <v>54450000</v>
      </c>
      <c r="O3922">
        <v>54450000</v>
      </c>
      <c r="P3922">
        <v>55000000</v>
      </c>
      <c r="Q3922">
        <v>55000000</v>
      </c>
      <c r="R3922" s="14">
        <f>_xlfn.XLOOKUP(Table2[[#This Row],[LoanID]],Table1[G-L ID],Table1[ManagerCode],-99)</f>
        <v>103</v>
      </c>
      <c r="T3922"/>
    </row>
    <row r="3923" spans="1:20" x14ac:dyDescent="0.25">
      <c r="A3923">
        <v>20150930</v>
      </c>
      <c r="B3923">
        <v>2015</v>
      </c>
      <c r="C3923">
        <v>9</v>
      </c>
      <c r="D3923">
        <v>1</v>
      </c>
      <c r="E3923">
        <v>11130</v>
      </c>
      <c r="F3923">
        <v>914057.5</v>
      </c>
      <c r="G3923">
        <v>0</v>
      </c>
      <c r="H3923">
        <v>0</v>
      </c>
      <c r="I3923">
        <v>-0.01</v>
      </c>
      <c r="J3923">
        <v>0</v>
      </c>
      <c r="K3923">
        <v>0</v>
      </c>
      <c r="L3923">
        <v>168150000</v>
      </c>
      <c r="M3923">
        <v>168150000</v>
      </c>
      <c r="N3923">
        <v>168150000</v>
      </c>
      <c r="O3923">
        <v>168150000</v>
      </c>
      <c r="P3923">
        <v>177000000</v>
      </c>
      <c r="Q3923">
        <v>177000000</v>
      </c>
      <c r="R3923" s="14">
        <f>_xlfn.XLOOKUP(Table2[[#This Row],[LoanID]],Table1[G-L ID],Table1[ManagerCode],-99)</f>
        <v>103</v>
      </c>
      <c r="T3923"/>
    </row>
    <row r="3924" spans="1:20" x14ac:dyDescent="0.25">
      <c r="A3924">
        <v>20150930</v>
      </c>
      <c r="B3924">
        <v>2015</v>
      </c>
      <c r="C3924">
        <v>9</v>
      </c>
      <c r="D3924">
        <v>1</v>
      </c>
      <c r="E3924">
        <v>11160</v>
      </c>
      <c r="F3924">
        <v>112726.32</v>
      </c>
      <c r="G3924">
        <v>136395.26999999999</v>
      </c>
      <c r="H3924">
        <v>0</v>
      </c>
      <c r="I3924">
        <v>0</v>
      </c>
      <c r="J3924">
        <v>-701684.76</v>
      </c>
      <c r="K3924">
        <v>0</v>
      </c>
      <c r="L3924">
        <v>22981085.469999999</v>
      </c>
      <c r="M3924">
        <v>23819165.5</v>
      </c>
      <c r="N3924">
        <v>22981085.469999999</v>
      </c>
      <c r="O3924">
        <v>23819165.5</v>
      </c>
      <c r="P3924">
        <v>22981085.469999999</v>
      </c>
      <c r="Q3924">
        <v>23819165.5</v>
      </c>
      <c r="R3924" s="14">
        <f>_xlfn.XLOOKUP(Table2[[#This Row],[LoanID]],Table1[G-L ID],Table1[ManagerCode],-99)</f>
        <v>183</v>
      </c>
      <c r="T3924"/>
    </row>
    <row r="3925" spans="1:20" x14ac:dyDescent="0.25">
      <c r="A3925">
        <v>20150930</v>
      </c>
      <c r="B3925">
        <v>2015</v>
      </c>
      <c r="C3925">
        <v>9</v>
      </c>
      <c r="D3925">
        <v>1</v>
      </c>
      <c r="E3925">
        <v>11170</v>
      </c>
      <c r="F3925">
        <v>707058.33</v>
      </c>
      <c r="G3925">
        <v>0</v>
      </c>
      <c r="H3925">
        <v>0</v>
      </c>
      <c r="I3925">
        <v>0</v>
      </c>
      <c r="J3925">
        <v>0</v>
      </c>
      <c r="K3925">
        <v>0</v>
      </c>
      <c r="L3925">
        <v>173249826.80000001</v>
      </c>
      <c r="M3925">
        <v>173249826.80000001</v>
      </c>
      <c r="N3925">
        <v>173249826.80000001</v>
      </c>
      <c r="O3925">
        <v>173249826.80000001</v>
      </c>
      <c r="P3925">
        <v>175000000</v>
      </c>
      <c r="Q3925">
        <v>175000000</v>
      </c>
      <c r="R3925" s="14">
        <f>_xlfn.XLOOKUP(Table2[[#This Row],[LoanID]],Table1[G-L ID],Table1[ManagerCode],-99)</f>
        <v>103</v>
      </c>
      <c r="T3925"/>
    </row>
    <row r="3926" spans="1:20" x14ac:dyDescent="0.25">
      <c r="A3926">
        <v>20150930</v>
      </c>
      <c r="B3926">
        <v>2015</v>
      </c>
      <c r="C3926">
        <v>9</v>
      </c>
      <c r="D3926">
        <v>1</v>
      </c>
      <c r="E3926">
        <v>11250</v>
      </c>
      <c r="F3926">
        <v>82324.11</v>
      </c>
      <c r="G3926">
        <v>125075.25</v>
      </c>
      <c r="H3926">
        <v>0</v>
      </c>
      <c r="I3926">
        <v>0</v>
      </c>
      <c r="J3926">
        <v>-82324.11</v>
      </c>
      <c r="K3926">
        <v>0</v>
      </c>
      <c r="L3926">
        <v>16656119.32</v>
      </c>
      <c r="M3926">
        <v>16863518.68</v>
      </c>
      <c r="N3926">
        <v>16656119.32</v>
      </c>
      <c r="O3926">
        <v>16863518.68</v>
      </c>
      <c r="P3926">
        <v>16656119.32</v>
      </c>
      <c r="Q3926">
        <v>16863518.68</v>
      </c>
      <c r="R3926" s="14">
        <f>_xlfn.XLOOKUP(Table2[[#This Row],[LoanID]],Table1[G-L ID],Table1[ManagerCode],-99)</f>
        <v>183</v>
      </c>
      <c r="T3926"/>
    </row>
    <row r="3927" spans="1:20" x14ac:dyDescent="0.25">
      <c r="A3927">
        <v>20150930</v>
      </c>
      <c r="B3927">
        <v>2015</v>
      </c>
      <c r="C3927">
        <v>9</v>
      </c>
      <c r="D3927">
        <v>1</v>
      </c>
      <c r="E3927">
        <v>11330</v>
      </c>
      <c r="F3927">
        <v>66629.13</v>
      </c>
      <c r="G3927">
        <v>0</v>
      </c>
      <c r="H3927">
        <v>0</v>
      </c>
      <c r="I3927">
        <v>0</v>
      </c>
      <c r="J3927">
        <v>0</v>
      </c>
      <c r="K3927">
        <v>0</v>
      </c>
      <c r="L3927">
        <v>6370000</v>
      </c>
      <c r="M3927">
        <v>6370000</v>
      </c>
      <c r="N3927">
        <v>6370000</v>
      </c>
      <c r="O3927">
        <v>6370000</v>
      </c>
      <c r="P3927">
        <v>6370000</v>
      </c>
      <c r="Q3927">
        <v>6370000</v>
      </c>
      <c r="R3927" s="14">
        <f>_xlfn.XLOOKUP(Table2[[#This Row],[LoanID]],Table1[G-L ID],Table1[ManagerCode],-99)</f>
        <v>119</v>
      </c>
      <c r="T3927"/>
    </row>
    <row r="3928" spans="1:20" x14ac:dyDescent="0.25">
      <c r="A3928">
        <v>20150930</v>
      </c>
      <c r="B3928">
        <v>2015</v>
      </c>
      <c r="C3928">
        <v>9</v>
      </c>
      <c r="D3928">
        <v>1</v>
      </c>
      <c r="E3928">
        <v>11340</v>
      </c>
      <c r="F3928">
        <v>301388.89</v>
      </c>
      <c r="G3928">
        <v>0</v>
      </c>
      <c r="H3928">
        <v>0</v>
      </c>
      <c r="I3928">
        <v>0</v>
      </c>
      <c r="J3928">
        <v>0</v>
      </c>
      <c r="K3928">
        <v>0</v>
      </c>
      <c r="L3928">
        <v>49500000</v>
      </c>
      <c r="M3928">
        <v>49500000</v>
      </c>
      <c r="N3928">
        <v>49500000</v>
      </c>
      <c r="O3928">
        <v>49500000</v>
      </c>
      <c r="P3928">
        <v>50000000</v>
      </c>
      <c r="Q3928">
        <v>50000000</v>
      </c>
      <c r="R3928" s="14">
        <f>_xlfn.XLOOKUP(Table2[[#This Row],[LoanID]],Table1[G-L ID],Table1[ManagerCode],-99)</f>
        <v>103</v>
      </c>
      <c r="T3928"/>
    </row>
    <row r="3929" spans="1:20" x14ac:dyDescent="0.25">
      <c r="A3929">
        <v>20150930</v>
      </c>
      <c r="B3929">
        <v>2015</v>
      </c>
      <c r="C3929">
        <v>9</v>
      </c>
      <c r="D3929">
        <v>1</v>
      </c>
      <c r="E3929">
        <v>11350</v>
      </c>
      <c r="F3929">
        <v>331527.78000000003</v>
      </c>
      <c r="G3929">
        <v>0</v>
      </c>
      <c r="H3929">
        <v>0</v>
      </c>
      <c r="I3929">
        <v>0</v>
      </c>
      <c r="J3929">
        <v>0</v>
      </c>
      <c r="K3929">
        <v>0</v>
      </c>
      <c r="L3929">
        <v>54449945.549999997</v>
      </c>
      <c r="M3929">
        <v>54449945.549999997</v>
      </c>
      <c r="N3929">
        <v>54449945.549999997</v>
      </c>
      <c r="O3929">
        <v>54449945.549999997</v>
      </c>
      <c r="P3929">
        <v>55000000</v>
      </c>
      <c r="Q3929">
        <v>55000000</v>
      </c>
      <c r="R3929" s="14">
        <f>_xlfn.XLOOKUP(Table2[[#This Row],[LoanID]],Table1[G-L ID],Table1[ManagerCode],-99)</f>
        <v>103</v>
      </c>
      <c r="T3929"/>
    </row>
    <row r="3930" spans="1:20" x14ac:dyDescent="0.25">
      <c r="A3930">
        <v>20150930</v>
      </c>
      <c r="B3930">
        <v>2015</v>
      </c>
      <c r="C3930">
        <v>9</v>
      </c>
      <c r="D3930">
        <v>1</v>
      </c>
      <c r="E3930">
        <v>11370</v>
      </c>
      <c r="F3930">
        <v>54980.49</v>
      </c>
      <c r="G3930">
        <v>0</v>
      </c>
      <c r="H3930">
        <v>0</v>
      </c>
      <c r="I3930">
        <v>0</v>
      </c>
      <c r="J3930">
        <v>0</v>
      </c>
      <c r="K3930">
        <v>0</v>
      </c>
      <c r="L3930">
        <v>5868410.46</v>
      </c>
      <c r="M3930">
        <v>5868410.46</v>
      </c>
      <c r="N3930">
        <v>5868410.46</v>
      </c>
      <c r="O3930">
        <v>5868410.46</v>
      </c>
      <c r="P3930">
        <v>5868410.46</v>
      </c>
      <c r="Q3930">
        <v>5868410.46</v>
      </c>
      <c r="R3930" s="14">
        <f>_xlfn.XLOOKUP(Table2[[#This Row],[LoanID]],Table1[G-L ID],Table1[ManagerCode],-99)</f>
        <v>119</v>
      </c>
      <c r="T3930"/>
    </row>
    <row r="3931" spans="1:20" x14ac:dyDescent="0.25">
      <c r="A3931">
        <v>20150930</v>
      </c>
      <c r="B3931">
        <v>2015</v>
      </c>
      <c r="C3931">
        <v>9</v>
      </c>
      <c r="D3931">
        <v>1</v>
      </c>
      <c r="E3931">
        <v>11480</v>
      </c>
      <c r="F3931">
        <v>358532.22</v>
      </c>
      <c r="G3931">
        <v>0</v>
      </c>
      <c r="H3931">
        <v>0</v>
      </c>
      <c r="I3931">
        <v>0</v>
      </c>
      <c r="J3931">
        <v>0</v>
      </c>
      <c r="K3931">
        <v>0</v>
      </c>
      <c r="L3931">
        <v>66500000</v>
      </c>
      <c r="M3931">
        <v>66500000</v>
      </c>
      <c r="N3931">
        <v>66500000</v>
      </c>
      <c r="O3931">
        <v>66500000</v>
      </c>
      <c r="P3931">
        <v>70000000</v>
      </c>
      <c r="Q3931">
        <v>70000000</v>
      </c>
      <c r="R3931" s="14">
        <f>_xlfn.XLOOKUP(Table2[[#This Row],[LoanID]],Table1[G-L ID],Table1[ManagerCode],-99)</f>
        <v>103</v>
      </c>
      <c r="T3931"/>
    </row>
    <row r="3932" spans="1:20" x14ac:dyDescent="0.25">
      <c r="A3932">
        <v>20150930</v>
      </c>
      <c r="B3932">
        <v>2015</v>
      </c>
      <c r="C3932">
        <v>9</v>
      </c>
      <c r="D3932">
        <v>1</v>
      </c>
      <c r="E3932">
        <v>11490</v>
      </c>
      <c r="F3932">
        <v>340905.28</v>
      </c>
      <c r="G3932">
        <v>0</v>
      </c>
      <c r="H3932">
        <v>0</v>
      </c>
      <c r="I3932">
        <v>0</v>
      </c>
      <c r="J3932">
        <v>0</v>
      </c>
      <c r="K3932">
        <v>0</v>
      </c>
      <c r="L3932">
        <v>49500000</v>
      </c>
      <c r="M3932">
        <v>49500000</v>
      </c>
      <c r="N3932">
        <v>49500000</v>
      </c>
      <c r="O3932">
        <v>49500000</v>
      </c>
      <c r="P3932">
        <v>55000000</v>
      </c>
      <c r="Q3932">
        <v>55000000</v>
      </c>
      <c r="R3932" s="14">
        <f>_xlfn.XLOOKUP(Table2[[#This Row],[LoanID]],Table1[G-L ID],Table1[ManagerCode],-99)</f>
        <v>103</v>
      </c>
      <c r="T3932"/>
    </row>
    <row r="3933" spans="1:20" x14ac:dyDescent="0.25">
      <c r="A3933">
        <v>20150930</v>
      </c>
      <c r="B3933">
        <v>2015</v>
      </c>
      <c r="C3933">
        <v>9</v>
      </c>
      <c r="D3933">
        <v>1</v>
      </c>
      <c r="E3933">
        <v>11530</v>
      </c>
      <c r="F3933">
        <v>61875</v>
      </c>
      <c r="G3933">
        <v>0</v>
      </c>
      <c r="H3933">
        <v>580000</v>
      </c>
      <c r="I3933">
        <v>0</v>
      </c>
      <c r="J3933">
        <v>-45000000</v>
      </c>
      <c r="K3933">
        <v>0</v>
      </c>
      <c r="L3933">
        <v>0</v>
      </c>
      <c r="M3933">
        <v>45000000</v>
      </c>
      <c r="N3933">
        <v>0</v>
      </c>
      <c r="O3933">
        <v>45000000</v>
      </c>
      <c r="P3933">
        <v>0</v>
      </c>
      <c r="Q3933">
        <v>45000000</v>
      </c>
      <c r="R3933" s="14">
        <f>_xlfn.XLOOKUP(Table2[[#This Row],[LoanID]],Table1[G-L ID],Table1[ManagerCode],-99)</f>
        <v>119</v>
      </c>
      <c r="T3933"/>
    </row>
    <row r="3934" spans="1:20" x14ac:dyDescent="0.25">
      <c r="A3934">
        <v>20150930</v>
      </c>
      <c r="B3934">
        <v>2015</v>
      </c>
      <c r="C3934">
        <v>9</v>
      </c>
      <c r="D3934">
        <v>1</v>
      </c>
      <c r="E3934">
        <v>11560</v>
      </c>
      <c r="F3934">
        <v>0</v>
      </c>
      <c r="G3934">
        <v>98250.93</v>
      </c>
      <c r="H3934">
        <v>0</v>
      </c>
      <c r="I3934">
        <v>0</v>
      </c>
      <c r="J3934">
        <v>0</v>
      </c>
      <c r="K3934">
        <v>0</v>
      </c>
      <c r="L3934">
        <v>15555130.4</v>
      </c>
      <c r="M3934">
        <v>15653381.33</v>
      </c>
      <c r="N3934">
        <v>15555130.4</v>
      </c>
      <c r="O3934">
        <v>15653381.33</v>
      </c>
      <c r="P3934">
        <v>15555130.4</v>
      </c>
      <c r="Q3934">
        <v>15653381.33</v>
      </c>
      <c r="R3934" s="14">
        <f>_xlfn.XLOOKUP(Table2[[#This Row],[LoanID]],Table1[G-L ID],Table1[ManagerCode],-99)</f>
        <v>183</v>
      </c>
      <c r="T3934"/>
    </row>
    <row r="3935" spans="1:20" x14ac:dyDescent="0.25">
      <c r="A3935">
        <v>20150930</v>
      </c>
      <c r="B3935">
        <v>2015</v>
      </c>
      <c r="C3935">
        <v>9</v>
      </c>
      <c r="D3935">
        <v>1</v>
      </c>
      <c r="E3935">
        <v>11590</v>
      </c>
      <c r="F3935">
        <v>23405.85</v>
      </c>
      <c r="G3935">
        <v>0</v>
      </c>
      <c r="H3935">
        <v>0</v>
      </c>
      <c r="I3935">
        <v>0</v>
      </c>
      <c r="J3935">
        <v>0</v>
      </c>
      <c r="K3935">
        <v>0</v>
      </c>
      <c r="L3935">
        <v>3507224.44</v>
      </c>
      <c r="M3935">
        <v>3507224.44</v>
      </c>
      <c r="N3935">
        <v>3507224.44</v>
      </c>
      <c r="O3935">
        <v>3507224.44</v>
      </c>
      <c r="P3935">
        <v>3507224.44</v>
      </c>
      <c r="Q3935">
        <v>3507224.44</v>
      </c>
      <c r="R3935" s="14">
        <f>_xlfn.XLOOKUP(Table2[[#This Row],[LoanID]],Table1[G-L ID],Table1[ManagerCode],-99)</f>
        <v>119</v>
      </c>
      <c r="T3935"/>
    </row>
    <row r="3936" spans="1:20" x14ac:dyDescent="0.25">
      <c r="A3936">
        <v>20150930</v>
      </c>
      <c r="B3936">
        <v>2015</v>
      </c>
      <c r="C3936">
        <v>9</v>
      </c>
      <c r="D3936">
        <v>1</v>
      </c>
      <c r="E3936">
        <v>11650</v>
      </c>
      <c r="F3936">
        <v>75000</v>
      </c>
      <c r="G3936">
        <v>0</v>
      </c>
      <c r="H3936">
        <v>0</v>
      </c>
      <c r="I3936">
        <v>0</v>
      </c>
      <c r="J3936">
        <v>0</v>
      </c>
      <c r="K3936">
        <v>0</v>
      </c>
      <c r="L3936">
        <v>9600000</v>
      </c>
      <c r="M3936">
        <v>9600000</v>
      </c>
      <c r="N3936">
        <v>9600000</v>
      </c>
      <c r="O3936">
        <v>9600000</v>
      </c>
      <c r="P3936">
        <v>12000000</v>
      </c>
      <c r="Q3936">
        <v>12000000</v>
      </c>
      <c r="R3936" s="14">
        <f>_xlfn.XLOOKUP(Table2[[#This Row],[LoanID]],Table1[G-L ID],Table1[ManagerCode],-99)</f>
        <v>103</v>
      </c>
      <c r="T3936"/>
    </row>
    <row r="3937" spans="1:20" x14ac:dyDescent="0.25">
      <c r="A3937">
        <v>20150930</v>
      </c>
      <c r="B3937">
        <v>2015</v>
      </c>
      <c r="C3937">
        <v>9</v>
      </c>
      <c r="D3937">
        <v>1</v>
      </c>
      <c r="E3937">
        <v>11660</v>
      </c>
      <c r="F3937">
        <v>0</v>
      </c>
      <c r="G3937">
        <v>0</v>
      </c>
      <c r="H3937">
        <v>0</v>
      </c>
      <c r="I3937">
        <v>0</v>
      </c>
      <c r="J3937">
        <v>0</v>
      </c>
      <c r="K3937">
        <v>0</v>
      </c>
      <c r="L3937">
        <v>27647178</v>
      </c>
      <c r="M3937">
        <v>27647178</v>
      </c>
      <c r="N3937">
        <v>27647178</v>
      </c>
      <c r="O3937">
        <v>27647178</v>
      </c>
      <c r="P3937">
        <v>27647178</v>
      </c>
      <c r="Q3937">
        <v>27647178</v>
      </c>
      <c r="R3937" s="14">
        <f>_xlfn.XLOOKUP(Table2[[#This Row],[LoanID]],Table1[G-L ID],Table1[ManagerCode],-99)</f>
        <v>183</v>
      </c>
      <c r="T3937"/>
    </row>
    <row r="3938" spans="1:20" x14ac:dyDescent="0.25">
      <c r="A3938">
        <v>20150930</v>
      </c>
      <c r="B3938">
        <v>2015</v>
      </c>
      <c r="C3938">
        <v>9</v>
      </c>
      <c r="D3938">
        <v>1</v>
      </c>
      <c r="E3938">
        <v>11680</v>
      </c>
      <c r="F3938">
        <v>57126.559999999998</v>
      </c>
      <c r="G3938">
        <v>0</v>
      </c>
      <c r="H3938">
        <v>0</v>
      </c>
      <c r="I3938">
        <v>0</v>
      </c>
      <c r="J3938">
        <v>0</v>
      </c>
      <c r="K3938">
        <v>0</v>
      </c>
      <c r="L3938">
        <v>6600000</v>
      </c>
      <c r="M3938">
        <v>6600000</v>
      </c>
      <c r="N3938">
        <v>6600000</v>
      </c>
      <c r="O3938">
        <v>6600000</v>
      </c>
      <c r="P3938">
        <v>6600000</v>
      </c>
      <c r="Q3938">
        <v>6600000</v>
      </c>
      <c r="R3938" s="14">
        <f>_xlfn.XLOOKUP(Table2[[#This Row],[LoanID]],Table1[G-L ID],Table1[ManagerCode],-99)</f>
        <v>183</v>
      </c>
      <c r="T3938"/>
    </row>
    <row r="3939" spans="1:20" x14ac:dyDescent="0.25">
      <c r="A3939">
        <v>20150930</v>
      </c>
      <c r="B3939">
        <v>2015</v>
      </c>
      <c r="C3939">
        <v>9</v>
      </c>
      <c r="D3939">
        <v>1</v>
      </c>
      <c r="E3939">
        <v>11710</v>
      </c>
      <c r="F3939">
        <v>118881.88</v>
      </c>
      <c r="G3939">
        <v>0</v>
      </c>
      <c r="H3939">
        <v>0</v>
      </c>
      <c r="I3939">
        <v>0</v>
      </c>
      <c r="J3939">
        <v>0</v>
      </c>
      <c r="K3939">
        <v>0</v>
      </c>
      <c r="L3939">
        <v>15000000</v>
      </c>
      <c r="M3939">
        <v>15000000</v>
      </c>
      <c r="N3939">
        <v>15000000</v>
      </c>
      <c r="O3939">
        <v>15000000</v>
      </c>
      <c r="P3939">
        <v>15000000</v>
      </c>
      <c r="Q3939">
        <v>15000000</v>
      </c>
      <c r="R3939" s="14">
        <f>_xlfn.XLOOKUP(Table2[[#This Row],[LoanID]],Table1[G-L ID],Table1[ManagerCode],-99)</f>
        <v>119</v>
      </c>
      <c r="T3939"/>
    </row>
    <row r="3940" spans="1:20" x14ac:dyDescent="0.25">
      <c r="A3940">
        <v>20150930</v>
      </c>
      <c r="B3940">
        <v>2015</v>
      </c>
      <c r="C3940">
        <v>9</v>
      </c>
      <c r="D3940">
        <v>1</v>
      </c>
      <c r="E3940">
        <v>11720</v>
      </c>
      <c r="F3940">
        <v>129166.67</v>
      </c>
      <c r="G3940">
        <v>0</v>
      </c>
      <c r="H3940">
        <v>0</v>
      </c>
      <c r="I3940">
        <v>0</v>
      </c>
      <c r="J3940">
        <v>0</v>
      </c>
      <c r="K3940">
        <v>0</v>
      </c>
      <c r="L3940">
        <v>19800000</v>
      </c>
      <c r="M3940">
        <v>19800000</v>
      </c>
      <c r="N3940">
        <v>19800000</v>
      </c>
      <c r="O3940">
        <v>19800000</v>
      </c>
      <c r="P3940">
        <v>20000000</v>
      </c>
      <c r="Q3940">
        <v>20000000</v>
      </c>
      <c r="R3940" s="14">
        <f>_xlfn.XLOOKUP(Table2[[#This Row],[LoanID]],Table1[G-L ID],Table1[ManagerCode],-99)</f>
        <v>103</v>
      </c>
      <c r="T3940"/>
    </row>
    <row r="3941" spans="1:20" x14ac:dyDescent="0.25">
      <c r="A3941">
        <v>20150930</v>
      </c>
      <c r="B3941">
        <v>2015</v>
      </c>
      <c r="C3941">
        <v>9</v>
      </c>
      <c r="D3941">
        <v>1</v>
      </c>
      <c r="E3941">
        <v>11730</v>
      </c>
      <c r="F3941">
        <v>46984.23</v>
      </c>
      <c r="G3941">
        <v>0</v>
      </c>
      <c r="H3941">
        <v>0</v>
      </c>
      <c r="I3941">
        <v>0</v>
      </c>
      <c r="J3941">
        <v>0</v>
      </c>
      <c r="K3941">
        <v>0</v>
      </c>
      <c r="L3941">
        <v>4750000</v>
      </c>
      <c r="M3941">
        <v>4750000</v>
      </c>
      <c r="N3941">
        <v>4750000</v>
      </c>
      <c r="O3941">
        <v>4750000</v>
      </c>
      <c r="P3941">
        <v>4750000</v>
      </c>
      <c r="Q3941">
        <v>4750000</v>
      </c>
      <c r="R3941" s="14">
        <f>_xlfn.XLOOKUP(Table2[[#This Row],[LoanID]],Table1[G-L ID],Table1[ManagerCode],-99)</f>
        <v>119</v>
      </c>
      <c r="T3941"/>
    </row>
    <row r="3942" spans="1:20" x14ac:dyDescent="0.25">
      <c r="A3942">
        <v>20150930</v>
      </c>
      <c r="B3942">
        <v>2015</v>
      </c>
      <c r="C3942">
        <v>9</v>
      </c>
      <c r="D3942">
        <v>1</v>
      </c>
      <c r="E3942">
        <v>11740</v>
      </c>
      <c r="F3942">
        <v>191100</v>
      </c>
      <c r="G3942">
        <v>0</v>
      </c>
      <c r="H3942">
        <v>0</v>
      </c>
      <c r="I3942">
        <v>0</v>
      </c>
      <c r="J3942">
        <v>0</v>
      </c>
      <c r="K3942">
        <v>0</v>
      </c>
      <c r="L3942">
        <v>19110000</v>
      </c>
      <c r="M3942">
        <v>19110000</v>
      </c>
      <c r="N3942">
        <v>19110000</v>
      </c>
      <c r="O3942">
        <v>19110000</v>
      </c>
      <c r="P3942">
        <v>19110000</v>
      </c>
      <c r="Q3942">
        <v>19110000</v>
      </c>
      <c r="R3942" s="14">
        <f>_xlfn.XLOOKUP(Table2[[#This Row],[LoanID]],Table1[G-L ID],Table1[ManagerCode],-99)</f>
        <v>183</v>
      </c>
      <c r="T3942"/>
    </row>
    <row r="3943" spans="1:20" x14ac:dyDescent="0.25">
      <c r="A3943">
        <v>20150930</v>
      </c>
      <c r="B3943">
        <v>2015</v>
      </c>
      <c r="C3943">
        <v>9</v>
      </c>
      <c r="D3943">
        <v>1</v>
      </c>
      <c r="E3943">
        <v>11810</v>
      </c>
      <c r="F3943">
        <v>49032.3</v>
      </c>
      <c r="G3943">
        <v>0</v>
      </c>
      <c r="H3943">
        <v>0</v>
      </c>
      <c r="I3943">
        <v>0</v>
      </c>
      <c r="J3943">
        <v>0</v>
      </c>
      <c r="K3943">
        <v>11825.79</v>
      </c>
      <c r="L3943">
        <v>9487031.8800000008</v>
      </c>
      <c r="M3943">
        <v>9475324.3399999999</v>
      </c>
      <c r="N3943">
        <v>9487031.8800000008</v>
      </c>
      <c r="O3943">
        <v>9475324.3399999999</v>
      </c>
      <c r="P3943">
        <v>9582860.4700000007</v>
      </c>
      <c r="Q3943">
        <v>9571034.6799999997</v>
      </c>
      <c r="R3943" s="14">
        <f>_xlfn.XLOOKUP(Table2[[#This Row],[LoanID]],Table1[G-L ID],Table1[ManagerCode],-99)</f>
        <v>103</v>
      </c>
      <c r="T3943"/>
    </row>
    <row r="3944" spans="1:20" x14ac:dyDescent="0.25">
      <c r="A3944">
        <v>20150930</v>
      </c>
      <c r="B3944">
        <v>2015</v>
      </c>
      <c r="C3944">
        <v>9</v>
      </c>
      <c r="D3944">
        <v>1</v>
      </c>
      <c r="E3944">
        <v>11880</v>
      </c>
      <c r="F3944">
        <v>304404.63</v>
      </c>
      <c r="G3944">
        <v>141070.82999999999</v>
      </c>
      <c r="H3944">
        <v>0</v>
      </c>
      <c r="I3944">
        <v>0</v>
      </c>
      <c r="J3944">
        <v>-304404.63</v>
      </c>
      <c r="K3944">
        <v>0</v>
      </c>
      <c r="L3944">
        <v>66011581.210000001</v>
      </c>
      <c r="M3944">
        <v>66457056.670000002</v>
      </c>
      <c r="N3944">
        <v>66011581.210000001</v>
      </c>
      <c r="O3944">
        <v>66457056.670000002</v>
      </c>
      <c r="P3944">
        <v>66011581.210000001</v>
      </c>
      <c r="Q3944">
        <v>66457056.670000002</v>
      </c>
      <c r="R3944" s="14">
        <f>_xlfn.XLOOKUP(Table2[[#This Row],[LoanID]],Table1[G-L ID],Table1[ManagerCode],-99)</f>
        <v>183</v>
      </c>
      <c r="T3944"/>
    </row>
    <row r="3945" spans="1:20" x14ac:dyDescent="0.25">
      <c r="A3945">
        <v>20150930</v>
      </c>
      <c r="B3945">
        <v>2015</v>
      </c>
      <c r="C3945">
        <v>9</v>
      </c>
      <c r="D3945">
        <v>1</v>
      </c>
      <c r="E3945">
        <v>11980</v>
      </c>
      <c r="F3945">
        <v>19184.03</v>
      </c>
      <c r="G3945">
        <v>0</v>
      </c>
      <c r="H3945">
        <v>308750</v>
      </c>
      <c r="I3945">
        <v>0</v>
      </c>
      <c r="J3945">
        <v>-32500000</v>
      </c>
      <c r="K3945">
        <v>0</v>
      </c>
      <c r="L3945">
        <v>0</v>
      </c>
      <c r="M3945">
        <v>32500000</v>
      </c>
      <c r="N3945">
        <v>0</v>
      </c>
      <c r="O3945">
        <v>32500000</v>
      </c>
      <c r="P3945">
        <v>0</v>
      </c>
      <c r="Q3945">
        <v>32500000</v>
      </c>
      <c r="R3945" s="14">
        <f>_xlfn.XLOOKUP(Table2[[#This Row],[LoanID]],Table1[G-L ID],Table1[ManagerCode],-99)</f>
        <v>119</v>
      </c>
      <c r="T3945"/>
    </row>
    <row r="3946" spans="1:20" x14ac:dyDescent="0.25">
      <c r="A3946">
        <v>20150930</v>
      </c>
      <c r="B3946">
        <v>2015</v>
      </c>
      <c r="C3946">
        <v>9</v>
      </c>
      <c r="D3946">
        <v>1</v>
      </c>
      <c r="E3946">
        <v>11990</v>
      </c>
      <c r="F3946">
        <v>100646.67</v>
      </c>
      <c r="G3946">
        <v>0</v>
      </c>
      <c r="H3946">
        <v>0</v>
      </c>
      <c r="I3946">
        <v>0</v>
      </c>
      <c r="J3946">
        <v>0</v>
      </c>
      <c r="K3946">
        <v>0</v>
      </c>
      <c r="L3946">
        <v>15000000</v>
      </c>
      <c r="M3946">
        <v>15000000</v>
      </c>
      <c r="N3946">
        <v>15000000</v>
      </c>
      <c r="O3946">
        <v>15000000</v>
      </c>
      <c r="P3946">
        <v>15000000</v>
      </c>
      <c r="Q3946">
        <v>15000000</v>
      </c>
      <c r="R3946" s="14">
        <f>_xlfn.XLOOKUP(Table2[[#This Row],[LoanID]],Table1[G-L ID],Table1[ManagerCode],-99)</f>
        <v>220</v>
      </c>
      <c r="T3946"/>
    </row>
    <row r="3947" spans="1:20" x14ac:dyDescent="0.25">
      <c r="A3947">
        <v>20150930</v>
      </c>
      <c r="B3947">
        <v>2015</v>
      </c>
      <c r="C3947">
        <v>9</v>
      </c>
      <c r="D3947">
        <v>1</v>
      </c>
      <c r="E3947">
        <v>12160</v>
      </c>
      <c r="F3947">
        <v>79688.3</v>
      </c>
      <c r="G3947">
        <v>97384.94</v>
      </c>
      <c r="H3947">
        <v>0</v>
      </c>
      <c r="I3947">
        <v>0</v>
      </c>
      <c r="J3947">
        <v>-79688.3</v>
      </c>
      <c r="K3947">
        <v>0</v>
      </c>
      <c r="L3947">
        <v>16091991.119999999</v>
      </c>
      <c r="M3947">
        <v>16269064.359999999</v>
      </c>
      <c r="N3947">
        <v>16091991.119999999</v>
      </c>
      <c r="O3947">
        <v>16269064.359999999</v>
      </c>
      <c r="P3947">
        <v>16091991.119999999</v>
      </c>
      <c r="Q3947">
        <v>16269064.359999999</v>
      </c>
      <c r="R3947" s="14">
        <f>_xlfn.XLOOKUP(Table2[[#This Row],[LoanID]],Table1[G-L ID],Table1[ManagerCode],-99)</f>
        <v>183</v>
      </c>
      <c r="T3947"/>
    </row>
    <row r="3948" spans="1:20" x14ac:dyDescent="0.25">
      <c r="A3948">
        <v>20150930</v>
      </c>
      <c r="B3948">
        <v>2015</v>
      </c>
      <c r="C3948">
        <v>9</v>
      </c>
      <c r="D3948">
        <v>1</v>
      </c>
      <c r="E3948">
        <v>12180</v>
      </c>
      <c r="F3948">
        <v>233576.39</v>
      </c>
      <c r="G3948">
        <v>0</v>
      </c>
      <c r="H3948">
        <v>0</v>
      </c>
      <c r="I3948">
        <v>0</v>
      </c>
      <c r="J3948">
        <v>0</v>
      </c>
      <c r="K3948">
        <v>0</v>
      </c>
      <c r="L3948">
        <v>35000000</v>
      </c>
      <c r="M3948">
        <v>35000000</v>
      </c>
      <c r="N3948">
        <v>35000000</v>
      </c>
      <c r="O3948">
        <v>35000000</v>
      </c>
      <c r="P3948">
        <v>35000000</v>
      </c>
      <c r="Q3948">
        <v>35000000</v>
      </c>
      <c r="R3948" s="14">
        <f>_xlfn.XLOOKUP(Table2[[#This Row],[LoanID]],Table1[G-L ID],Table1[ManagerCode],-99)</f>
        <v>220</v>
      </c>
      <c r="T3948"/>
    </row>
    <row r="3949" spans="1:20" x14ac:dyDescent="0.25">
      <c r="A3949">
        <v>20150930</v>
      </c>
      <c r="B3949">
        <v>2015</v>
      </c>
      <c r="C3949">
        <v>9</v>
      </c>
      <c r="D3949">
        <v>1</v>
      </c>
      <c r="E3949">
        <v>12190</v>
      </c>
      <c r="F3949">
        <v>254459.31</v>
      </c>
      <c r="G3949">
        <v>0</v>
      </c>
      <c r="H3949">
        <v>0</v>
      </c>
      <c r="I3949">
        <v>0</v>
      </c>
      <c r="J3949">
        <v>0</v>
      </c>
      <c r="K3949">
        <v>0</v>
      </c>
      <c r="L3949">
        <v>34383117</v>
      </c>
      <c r="M3949">
        <v>34383117</v>
      </c>
      <c r="N3949">
        <v>34383117</v>
      </c>
      <c r="O3949">
        <v>34383117</v>
      </c>
      <c r="P3949">
        <v>34383117</v>
      </c>
      <c r="Q3949">
        <v>34383117</v>
      </c>
      <c r="R3949" s="14">
        <f>_xlfn.XLOOKUP(Table2[[#This Row],[LoanID]],Table1[G-L ID],Table1[ManagerCode],-99)</f>
        <v>220</v>
      </c>
      <c r="T3949"/>
    </row>
    <row r="3950" spans="1:20" x14ac:dyDescent="0.25">
      <c r="A3950">
        <v>20150930</v>
      </c>
      <c r="B3950">
        <v>2015</v>
      </c>
      <c r="C3950">
        <v>9</v>
      </c>
      <c r="D3950">
        <v>1</v>
      </c>
      <c r="E3950">
        <v>12210</v>
      </c>
      <c r="F3950">
        <v>664781.84</v>
      </c>
      <c r="G3950">
        <v>0</v>
      </c>
      <c r="H3950">
        <v>0</v>
      </c>
      <c r="I3950">
        <v>0</v>
      </c>
      <c r="J3950">
        <v>0</v>
      </c>
      <c r="K3950">
        <v>231879.47</v>
      </c>
      <c r="L3950">
        <v>118758381</v>
      </c>
      <c r="M3950">
        <v>118129151.09999999</v>
      </c>
      <c r="N3950">
        <v>118758381</v>
      </c>
      <c r="O3950">
        <v>118129151.09999999</v>
      </c>
      <c r="P3950">
        <v>107562775.40000001</v>
      </c>
      <c r="Q3950">
        <v>107330895.90000001</v>
      </c>
      <c r="R3950" s="14">
        <f>_xlfn.XLOOKUP(Table2[[#This Row],[LoanID]],Table1[G-L ID],Table1[ManagerCode],-99)</f>
        <v>103</v>
      </c>
      <c r="T3950"/>
    </row>
    <row r="3951" spans="1:20" x14ac:dyDescent="0.25">
      <c r="A3951">
        <v>20150930</v>
      </c>
      <c r="B3951">
        <v>2015</v>
      </c>
      <c r="C3951">
        <v>9</v>
      </c>
      <c r="D3951">
        <v>1</v>
      </c>
      <c r="E3951">
        <v>12230</v>
      </c>
      <c r="F3951">
        <v>101592.22</v>
      </c>
      <c r="G3951">
        <v>0</v>
      </c>
      <c r="H3951">
        <v>0</v>
      </c>
      <c r="I3951">
        <v>0</v>
      </c>
      <c r="J3951">
        <v>0</v>
      </c>
      <c r="K3951">
        <v>0</v>
      </c>
      <c r="L3951">
        <v>19548312.32</v>
      </c>
      <c r="M3951">
        <v>19548312.32</v>
      </c>
      <c r="N3951">
        <v>13032859.82</v>
      </c>
      <c r="O3951">
        <v>13032859.82</v>
      </c>
      <c r="P3951">
        <v>19548312.32</v>
      </c>
      <c r="Q3951">
        <v>19548312.32</v>
      </c>
      <c r="R3951" s="14">
        <f>_xlfn.XLOOKUP(Table2[[#This Row],[LoanID]],Table1[G-L ID],Table1[ManagerCode],-99)</f>
        <v>183</v>
      </c>
      <c r="T3951"/>
    </row>
    <row r="3952" spans="1:20" x14ac:dyDescent="0.25">
      <c r="A3952">
        <v>20150930</v>
      </c>
      <c r="B3952">
        <v>2015</v>
      </c>
      <c r="C3952">
        <v>9</v>
      </c>
      <c r="D3952">
        <v>1</v>
      </c>
      <c r="E3952">
        <v>12240</v>
      </c>
      <c r="F3952">
        <v>0</v>
      </c>
      <c r="G3952">
        <v>1393155.12</v>
      </c>
      <c r="H3952">
        <v>0</v>
      </c>
      <c r="I3952">
        <v>0</v>
      </c>
      <c r="J3952">
        <v>-10046978.439999999</v>
      </c>
      <c r="K3952">
        <v>0</v>
      </c>
      <c r="L3952">
        <v>114778175.7</v>
      </c>
      <c r="M3952">
        <v>126218309.3</v>
      </c>
      <c r="N3952">
        <v>114778175.7</v>
      </c>
      <c r="O3952">
        <v>126218309.3</v>
      </c>
      <c r="P3952">
        <v>114778175.7</v>
      </c>
      <c r="Q3952">
        <v>126218309.3</v>
      </c>
      <c r="R3952" s="14">
        <f>_xlfn.XLOOKUP(Table2[[#This Row],[LoanID]],Table1[G-L ID],Table1[ManagerCode],-99)</f>
        <v>183</v>
      </c>
      <c r="T3952"/>
    </row>
    <row r="3953" spans="1:20" x14ac:dyDescent="0.25">
      <c r="A3953">
        <v>20150930</v>
      </c>
      <c r="B3953">
        <v>2015</v>
      </c>
      <c r="C3953">
        <v>9</v>
      </c>
      <c r="D3953">
        <v>1</v>
      </c>
      <c r="E3953">
        <v>13630</v>
      </c>
      <c r="F3953">
        <v>218506.94</v>
      </c>
      <c r="G3953">
        <v>0</v>
      </c>
      <c r="H3953">
        <v>0</v>
      </c>
      <c r="I3953">
        <v>0</v>
      </c>
      <c r="J3953">
        <v>0</v>
      </c>
      <c r="K3953">
        <v>0</v>
      </c>
      <c r="L3953">
        <v>35000000</v>
      </c>
      <c r="M3953">
        <v>35000000</v>
      </c>
      <c r="N3953">
        <v>35000000</v>
      </c>
      <c r="O3953">
        <v>35000000</v>
      </c>
      <c r="P3953">
        <v>35000000</v>
      </c>
      <c r="Q3953">
        <v>35000000</v>
      </c>
      <c r="R3953" s="14">
        <f>_xlfn.XLOOKUP(Table2[[#This Row],[LoanID]],Table1[G-L ID],Table1[ManagerCode],-99)</f>
        <v>298</v>
      </c>
      <c r="T3953"/>
    </row>
    <row r="3954" spans="1:20" x14ac:dyDescent="0.25">
      <c r="A3954">
        <v>20150930</v>
      </c>
      <c r="B3954">
        <v>2015</v>
      </c>
      <c r="C3954">
        <v>9</v>
      </c>
      <c r="D3954">
        <v>1</v>
      </c>
      <c r="E3954">
        <v>13670</v>
      </c>
      <c r="F3954">
        <v>280872.90999999997</v>
      </c>
      <c r="G3954">
        <v>0</v>
      </c>
      <c r="H3954">
        <v>0</v>
      </c>
      <c r="I3954">
        <v>0</v>
      </c>
      <c r="J3954">
        <v>0</v>
      </c>
      <c r="K3954">
        <v>0</v>
      </c>
      <c r="L3954">
        <v>37500000</v>
      </c>
      <c r="M3954">
        <v>37500000</v>
      </c>
      <c r="N3954">
        <v>37500000</v>
      </c>
      <c r="O3954">
        <v>37500000</v>
      </c>
      <c r="P3954">
        <v>37500000</v>
      </c>
      <c r="Q3954">
        <v>37500000</v>
      </c>
      <c r="R3954" s="14">
        <f>_xlfn.XLOOKUP(Table2[[#This Row],[LoanID]],Table1[G-L ID],Table1[ManagerCode],-99)</f>
        <v>298</v>
      </c>
      <c r="T3954"/>
    </row>
    <row r="3955" spans="1:20" x14ac:dyDescent="0.25">
      <c r="A3955">
        <v>20150930</v>
      </c>
      <c r="B3955">
        <v>2015</v>
      </c>
      <c r="C3955">
        <v>9</v>
      </c>
      <c r="D3955">
        <v>1</v>
      </c>
      <c r="E3955">
        <v>13680</v>
      </c>
      <c r="F3955">
        <v>131406.25</v>
      </c>
      <c r="G3955">
        <v>0</v>
      </c>
      <c r="H3955">
        <v>0</v>
      </c>
      <c r="I3955">
        <v>0</v>
      </c>
      <c r="J3955">
        <v>0</v>
      </c>
      <c r="K3955">
        <v>0</v>
      </c>
      <c r="L3955">
        <v>18000000</v>
      </c>
      <c r="M3955">
        <v>18000000</v>
      </c>
      <c r="N3955">
        <v>18000000</v>
      </c>
      <c r="O3955">
        <v>18000000</v>
      </c>
      <c r="P3955">
        <v>18000000</v>
      </c>
      <c r="Q3955">
        <v>18000000</v>
      </c>
      <c r="R3955" s="14">
        <f>_xlfn.XLOOKUP(Table2[[#This Row],[LoanID]],Table1[G-L ID],Table1[ManagerCode],-99)</f>
        <v>298</v>
      </c>
      <c r="T3955"/>
    </row>
    <row r="3956" spans="1:20" x14ac:dyDescent="0.25">
      <c r="A3956">
        <v>20150930</v>
      </c>
      <c r="B3956">
        <v>2015</v>
      </c>
      <c r="C3956">
        <v>9</v>
      </c>
      <c r="D3956">
        <v>1</v>
      </c>
      <c r="E3956">
        <v>13690</v>
      </c>
      <c r="F3956">
        <v>133472.22</v>
      </c>
      <c r="G3956">
        <v>0</v>
      </c>
      <c r="H3956">
        <v>0</v>
      </c>
      <c r="I3956">
        <v>0</v>
      </c>
      <c r="J3956">
        <v>0</v>
      </c>
      <c r="K3956">
        <v>0</v>
      </c>
      <c r="L3956">
        <v>20000000</v>
      </c>
      <c r="M3956">
        <v>20000000</v>
      </c>
      <c r="N3956">
        <v>20000000</v>
      </c>
      <c r="O3956">
        <v>20000000</v>
      </c>
      <c r="P3956">
        <v>20000000</v>
      </c>
      <c r="Q3956">
        <v>20000000</v>
      </c>
      <c r="R3956" s="14">
        <f>_xlfn.XLOOKUP(Table2[[#This Row],[LoanID]],Table1[G-L ID],Table1[ManagerCode],-99)</f>
        <v>298</v>
      </c>
      <c r="T3956"/>
    </row>
    <row r="3957" spans="1:20" x14ac:dyDescent="0.25">
      <c r="A3957">
        <v>20150930</v>
      </c>
      <c r="B3957">
        <v>2015</v>
      </c>
      <c r="C3957">
        <v>9</v>
      </c>
      <c r="D3957">
        <v>1</v>
      </c>
      <c r="E3957">
        <v>15580</v>
      </c>
      <c r="F3957">
        <v>118150.39</v>
      </c>
      <c r="G3957">
        <v>-3851.77</v>
      </c>
      <c r="H3957">
        <v>0</v>
      </c>
      <c r="I3957">
        <v>0</v>
      </c>
      <c r="J3957">
        <v>0</v>
      </c>
      <c r="K3957">
        <v>5250.92</v>
      </c>
      <c r="L3957">
        <v>14951329.880000001</v>
      </c>
      <c r="M3957">
        <v>14942227.189999999</v>
      </c>
      <c r="N3957">
        <v>14951329.880000001</v>
      </c>
      <c r="O3957">
        <v>14942227.189999999</v>
      </c>
      <c r="P3957">
        <v>14951329.880000001</v>
      </c>
      <c r="Q3957">
        <v>14942227.189999999</v>
      </c>
      <c r="R3957" s="14">
        <f>_xlfn.XLOOKUP(Table2[[#This Row],[LoanID]],Table1[G-L ID],Table1[ManagerCode],-99)</f>
        <v>212</v>
      </c>
      <c r="T3957"/>
    </row>
    <row r="3958" spans="1:20" x14ac:dyDescent="0.25">
      <c r="A3958">
        <v>20151031</v>
      </c>
      <c r="B3958">
        <v>2015</v>
      </c>
      <c r="C3958">
        <v>10</v>
      </c>
      <c r="D3958">
        <v>1</v>
      </c>
      <c r="E3958">
        <v>10010</v>
      </c>
      <c r="F3958">
        <v>149765.42000000001</v>
      </c>
      <c r="G3958">
        <v>0</v>
      </c>
      <c r="H3958">
        <v>0</v>
      </c>
      <c r="I3958">
        <v>0</v>
      </c>
      <c r="J3958">
        <v>-251119.51</v>
      </c>
      <c r="K3958">
        <v>0</v>
      </c>
      <c r="L3958">
        <v>16250000</v>
      </c>
      <c r="M3958">
        <v>16501119.51</v>
      </c>
      <c r="N3958">
        <v>16250000</v>
      </c>
      <c r="O3958">
        <v>16501119.51</v>
      </c>
      <c r="P3958">
        <v>16250000</v>
      </c>
      <c r="Q3958">
        <v>16501119.51</v>
      </c>
      <c r="R3958" s="14">
        <f>_xlfn.XLOOKUP(Table2[[#This Row],[LoanID]],Table1[G-L ID],Table1[ManagerCode],-99)</f>
        <v>119</v>
      </c>
      <c r="T3958"/>
    </row>
    <row r="3959" spans="1:20" x14ac:dyDescent="0.25">
      <c r="A3959">
        <v>20151031</v>
      </c>
      <c r="B3959">
        <v>2015</v>
      </c>
      <c r="C3959">
        <v>10</v>
      </c>
      <c r="D3959">
        <v>1</v>
      </c>
      <c r="E3959">
        <v>10040</v>
      </c>
      <c r="F3959">
        <v>42708.33</v>
      </c>
      <c r="G3959">
        <v>0</v>
      </c>
      <c r="H3959">
        <v>0</v>
      </c>
      <c r="I3959">
        <v>0</v>
      </c>
      <c r="J3959">
        <v>0</v>
      </c>
      <c r="K3959">
        <v>0</v>
      </c>
      <c r="L3959">
        <v>5000000</v>
      </c>
      <c r="M3959">
        <v>5000000</v>
      </c>
      <c r="N3959">
        <v>5000000</v>
      </c>
      <c r="O3959">
        <v>5000000</v>
      </c>
      <c r="P3959">
        <v>5000000</v>
      </c>
      <c r="Q3959">
        <v>5000000</v>
      </c>
      <c r="R3959" s="14">
        <f>_xlfn.XLOOKUP(Table2[[#This Row],[LoanID]],Table1[G-L ID],Table1[ManagerCode],-99)</f>
        <v>119</v>
      </c>
      <c r="T3959"/>
    </row>
    <row r="3960" spans="1:20" x14ac:dyDescent="0.25">
      <c r="A3960">
        <v>20151031</v>
      </c>
      <c r="B3960">
        <v>2015</v>
      </c>
      <c r="C3960">
        <v>10</v>
      </c>
      <c r="D3960">
        <v>1</v>
      </c>
      <c r="E3960">
        <v>10050</v>
      </c>
      <c r="F3960">
        <v>149013.89000000001</v>
      </c>
      <c r="G3960">
        <v>0</v>
      </c>
      <c r="H3960">
        <v>0</v>
      </c>
      <c r="I3960">
        <v>0</v>
      </c>
      <c r="J3960">
        <v>0</v>
      </c>
      <c r="K3960">
        <v>0</v>
      </c>
      <c r="L3960">
        <v>37771574.369999997</v>
      </c>
      <c r="M3960">
        <v>37532575.329999998</v>
      </c>
      <c r="N3960">
        <v>37771574.369999997</v>
      </c>
      <c r="O3960">
        <v>37532575.329999998</v>
      </c>
      <c r="P3960">
        <v>33333334</v>
      </c>
      <c r="Q3960">
        <v>33333334</v>
      </c>
      <c r="R3960" s="14">
        <f>_xlfn.XLOOKUP(Table2[[#This Row],[LoanID]],Table1[G-L ID],Table1[ManagerCode],-99)</f>
        <v>103</v>
      </c>
      <c r="T3960"/>
    </row>
    <row r="3961" spans="1:20" x14ac:dyDescent="0.25">
      <c r="A3961">
        <v>20151031</v>
      </c>
      <c r="B3961">
        <v>2015</v>
      </c>
      <c r="C3961">
        <v>10</v>
      </c>
      <c r="D3961">
        <v>1</v>
      </c>
      <c r="E3961">
        <v>10090</v>
      </c>
      <c r="F3961">
        <v>200291.67</v>
      </c>
      <c r="G3961">
        <v>0</v>
      </c>
      <c r="H3961">
        <v>0</v>
      </c>
      <c r="I3961">
        <v>0</v>
      </c>
      <c r="J3961">
        <v>0</v>
      </c>
      <c r="K3961">
        <v>0</v>
      </c>
      <c r="L3961">
        <v>23000000</v>
      </c>
      <c r="M3961">
        <v>23000000</v>
      </c>
      <c r="N3961">
        <v>23000000</v>
      </c>
      <c r="O3961">
        <v>23000000</v>
      </c>
      <c r="P3961">
        <v>23000000</v>
      </c>
      <c r="Q3961">
        <v>23000000</v>
      </c>
      <c r="R3961" s="14">
        <f>_xlfn.XLOOKUP(Table2[[#This Row],[LoanID]],Table1[G-L ID],Table1[ManagerCode],-99)</f>
        <v>119</v>
      </c>
      <c r="T3961"/>
    </row>
    <row r="3962" spans="1:20" x14ac:dyDescent="0.25">
      <c r="A3962">
        <v>20151031</v>
      </c>
      <c r="B3962">
        <v>2015</v>
      </c>
      <c r="C3962">
        <v>10</v>
      </c>
      <c r="D3962">
        <v>1</v>
      </c>
      <c r="E3962">
        <v>10100</v>
      </c>
      <c r="F3962">
        <v>186050</v>
      </c>
      <c r="G3962">
        <v>0</v>
      </c>
      <c r="H3962">
        <v>0</v>
      </c>
      <c r="I3962">
        <v>0</v>
      </c>
      <c r="J3962">
        <v>0</v>
      </c>
      <c r="K3962">
        <v>0</v>
      </c>
      <c r="L3962">
        <v>30500000</v>
      </c>
      <c r="M3962">
        <v>30500000</v>
      </c>
      <c r="N3962">
        <v>30500000</v>
      </c>
      <c r="O3962">
        <v>30500000</v>
      </c>
      <c r="P3962">
        <v>30500000</v>
      </c>
      <c r="Q3962">
        <v>30500000</v>
      </c>
      <c r="R3962" s="14">
        <f>_xlfn.XLOOKUP(Table2[[#This Row],[LoanID]],Table1[G-L ID],Table1[ManagerCode],-99)</f>
        <v>220</v>
      </c>
      <c r="T3962"/>
    </row>
    <row r="3963" spans="1:20" x14ac:dyDescent="0.25">
      <c r="A3963">
        <v>20151031</v>
      </c>
      <c r="B3963">
        <v>2015</v>
      </c>
      <c r="C3963">
        <v>10</v>
      </c>
      <c r="D3963">
        <v>1</v>
      </c>
      <c r="E3963">
        <v>10120</v>
      </c>
      <c r="F3963">
        <v>38035.769999999997</v>
      </c>
      <c r="G3963">
        <v>47217.64</v>
      </c>
      <c r="H3963">
        <v>0</v>
      </c>
      <c r="I3963">
        <v>0</v>
      </c>
      <c r="J3963">
        <v>-1217685.23</v>
      </c>
      <c r="K3963">
        <v>0</v>
      </c>
      <c r="L3963">
        <v>8230979.6200000001</v>
      </c>
      <c r="M3963">
        <v>9495882.4900000002</v>
      </c>
      <c r="N3963">
        <v>8230979.6200000001</v>
      </c>
      <c r="O3963">
        <v>9495882.4900000002</v>
      </c>
      <c r="P3963">
        <v>8230979.6200000001</v>
      </c>
      <c r="Q3963">
        <v>9495882.4900000002</v>
      </c>
      <c r="R3963" s="14">
        <f>_xlfn.XLOOKUP(Table2[[#This Row],[LoanID]],Table1[G-L ID],Table1[ManagerCode],-99)</f>
        <v>183</v>
      </c>
      <c r="T3963"/>
    </row>
    <row r="3964" spans="1:20" x14ac:dyDescent="0.25">
      <c r="A3964">
        <v>20151031</v>
      </c>
      <c r="B3964">
        <v>2015</v>
      </c>
      <c r="C3964">
        <v>10</v>
      </c>
      <c r="D3964">
        <v>1</v>
      </c>
      <c r="E3964">
        <v>10160</v>
      </c>
      <c r="F3964">
        <v>107845.36</v>
      </c>
      <c r="G3964">
        <v>0</v>
      </c>
      <c r="H3964">
        <v>0</v>
      </c>
      <c r="I3964">
        <v>0</v>
      </c>
      <c r="J3964">
        <v>0</v>
      </c>
      <c r="K3964">
        <v>0</v>
      </c>
      <c r="L3964">
        <v>14051513.300000001</v>
      </c>
      <c r="M3964">
        <v>14051513.300000001</v>
      </c>
      <c r="N3964">
        <v>14051513.300000001</v>
      </c>
      <c r="O3964">
        <v>14051513.300000001</v>
      </c>
      <c r="P3964">
        <v>14051513.300000001</v>
      </c>
      <c r="Q3964">
        <v>14051513.300000001</v>
      </c>
      <c r="R3964" s="14">
        <f>_xlfn.XLOOKUP(Table2[[#This Row],[LoanID]],Table1[G-L ID],Table1[ManagerCode],-99)</f>
        <v>119</v>
      </c>
      <c r="T3964"/>
    </row>
    <row r="3965" spans="1:20" x14ac:dyDescent="0.25">
      <c r="A3965">
        <v>20151031</v>
      </c>
      <c r="B3965">
        <v>2015</v>
      </c>
      <c r="C3965">
        <v>10</v>
      </c>
      <c r="D3965">
        <v>1</v>
      </c>
      <c r="E3965">
        <v>10220</v>
      </c>
      <c r="F3965">
        <v>1101388.8899999999</v>
      </c>
      <c r="G3965">
        <v>0</v>
      </c>
      <c r="H3965">
        <v>0</v>
      </c>
      <c r="I3965">
        <v>0</v>
      </c>
      <c r="J3965">
        <v>0</v>
      </c>
      <c r="K3965">
        <v>0</v>
      </c>
      <c r="L3965">
        <v>115729530.59999999</v>
      </c>
      <c r="M3965">
        <v>114769448.5</v>
      </c>
      <c r="N3965">
        <v>115729530.59999999</v>
      </c>
      <c r="O3965">
        <v>114769448.5</v>
      </c>
      <c r="P3965">
        <v>100000000</v>
      </c>
      <c r="Q3965">
        <v>100000000</v>
      </c>
      <c r="R3965" s="14">
        <f>_xlfn.XLOOKUP(Table2[[#This Row],[LoanID]],Table1[G-L ID],Table1[ManagerCode],-99)</f>
        <v>103</v>
      </c>
      <c r="T3965"/>
    </row>
    <row r="3966" spans="1:20" x14ac:dyDescent="0.25">
      <c r="A3966">
        <v>20151031</v>
      </c>
      <c r="B3966">
        <v>2015</v>
      </c>
      <c r="C3966">
        <v>10</v>
      </c>
      <c r="D3966">
        <v>1</v>
      </c>
      <c r="E3966">
        <v>10240</v>
      </c>
      <c r="F3966">
        <v>73021.179999999993</v>
      </c>
      <c r="G3966">
        <v>0</v>
      </c>
      <c r="H3966">
        <v>0</v>
      </c>
      <c r="I3966">
        <v>0</v>
      </c>
      <c r="J3966">
        <v>-149604.31</v>
      </c>
      <c r="K3966">
        <v>0</v>
      </c>
      <c r="L3966">
        <v>10634239.25</v>
      </c>
      <c r="M3966">
        <v>10634239.25</v>
      </c>
      <c r="N3966">
        <v>10634239.25</v>
      </c>
      <c r="O3966">
        <v>10634239.25</v>
      </c>
      <c r="P3966">
        <v>10634239.25</v>
      </c>
      <c r="Q3966">
        <v>10783843.560000001</v>
      </c>
      <c r="R3966" s="14">
        <f>_xlfn.XLOOKUP(Table2[[#This Row],[LoanID]],Table1[G-L ID],Table1[ManagerCode],-99)</f>
        <v>220</v>
      </c>
      <c r="T3966"/>
    </row>
    <row r="3967" spans="1:20" x14ac:dyDescent="0.25">
      <c r="A3967">
        <v>20151031</v>
      </c>
      <c r="B3967">
        <v>2015</v>
      </c>
      <c r="C3967">
        <v>10</v>
      </c>
      <c r="D3967">
        <v>1</v>
      </c>
      <c r="E3967">
        <v>10250</v>
      </c>
      <c r="F3967">
        <v>48041.67</v>
      </c>
      <c r="G3967">
        <v>0</v>
      </c>
      <c r="H3967">
        <v>0</v>
      </c>
      <c r="I3967">
        <v>0</v>
      </c>
      <c r="J3967">
        <v>0</v>
      </c>
      <c r="K3967">
        <v>0</v>
      </c>
      <c r="L3967">
        <v>5000000</v>
      </c>
      <c r="M3967">
        <v>5000000</v>
      </c>
      <c r="N3967">
        <v>5000000</v>
      </c>
      <c r="O3967">
        <v>5000000</v>
      </c>
      <c r="P3967">
        <v>5000000</v>
      </c>
      <c r="Q3967">
        <v>5000000</v>
      </c>
      <c r="R3967" s="14">
        <f>_xlfn.XLOOKUP(Table2[[#This Row],[LoanID]],Table1[G-L ID],Table1[ManagerCode],-99)</f>
        <v>119</v>
      </c>
      <c r="T3967"/>
    </row>
    <row r="3968" spans="1:20" x14ac:dyDescent="0.25">
      <c r="A3968">
        <v>20151031</v>
      </c>
      <c r="B3968">
        <v>2015</v>
      </c>
      <c r="C3968">
        <v>10</v>
      </c>
      <c r="D3968">
        <v>1</v>
      </c>
      <c r="E3968">
        <v>10260</v>
      </c>
      <c r="F3968">
        <v>96712.5</v>
      </c>
      <c r="G3968">
        <v>0</v>
      </c>
      <c r="H3968">
        <v>0</v>
      </c>
      <c r="I3968">
        <v>0</v>
      </c>
      <c r="J3968">
        <v>0</v>
      </c>
      <c r="K3968">
        <v>0</v>
      </c>
      <c r="L3968">
        <v>15000000</v>
      </c>
      <c r="M3968">
        <v>15000000</v>
      </c>
      <c r="N3968">
        <v>15000000</v>
      </c>
      <c r="O3968">
        <v>15000000</v>
      </c>
      <c r="P3968">
        <v>15000000</v>
      </c>
      <c r="Q3968">
        <v>15000000</v>
      </c>
      <c r="R3968" s="14">
        <f>_xlfn.XLOOKUP(Table2[[#This Row],[LoanID]],Table1[G-L ID],Table1[ManagerCode],-99)</f>
        <v>220</v>
      </c>
      <c r="T3968"/>
    </row>
    <row r="3969" spans="1:20" x14ac:dyDescent="0.25">
      <c r="A3969">
        <v>20151031</v>
      </c>
      <c r="B3969">
        <v>2015</v>
      </c>
      <c r="C3969">
        <v>10</v>
      </c>
      <c r="D3969">
        <v>1</v>
      </c>
      <c r="E3969">
        <v>10270</v>
      </c>
      <c r="F3969">
        <v>42533.5</v>
      </c>
      <c r="G3969">
        <v>0</v>
      </c>
      <c r="H3969">
        <v>0</v>
      </c>
      <c r="I3969">
        <v>0</v>
      </c>
      <c r="J3969">
        <v>0</v>
      </c>
      <c r="K3969">
        <v>0</v>
      </c>
      <c r="L3969">
        <v>5400000</v>
      </c>
      <c r="M3969">
        <v>5400000</v>
      </c>
      <c r="N3969">
        <v>5400000</v>
      </c>
      <c r="O3969">
        <v>5400000</v>
      </c>
      <c r="P3969">
        <v>5400000</v>
      </c>
      <c r="Q3969">
        <v>5400000</v>
      </c>
      <c r="R3969" s="14">
        <f>_xlfn.XLOOKUP(Table2[[#This Row],[LoanID]],Table1[G-L ID],Table1[ManagerCode],-99)</f>
        <v>119</v>
      </c>
      <c r="T3969"/>
    </row>
    <row r="3970" spans="1:20" x14ac:dyDescent="0.25">
      <c r="A3970">
        <v>20151031</v>
      </c>
      <c r="B3970">
        <v>2015</v>
      </c>
      <c r="C3970">
        <v>10</v>
      </c>
      <c r="D3970">
        <v>1</v>
      </c>
      <c r="E3970">
        <v>10350</v>
      </c>
      <c r="F3970">
        <v>180833.33</v>
      </c>
      <c r="G3970">
        <v>0</v>
      </c>
      <c r="H3970">
        <v>0</v>
      </c>
      <c r="I3970">
        <v>0</v>
      </c>
      <c r="J3970">
        <v>0</v>
      </c>
      <c r="K3970">
        <v>0</v>
      </c>
      <c r="L3970">
        <v>24800000</v>
      </c>
      <c r="M3970">
        <v>24800000</v>
      </c>
      <c r="N3970">
        <v>24800000</v>
      </c>
      <c r="O3970">
        <v>24800000</v>
      </c>
      <c r="P3970">
        <v>24800000</v>
      </c>
      <c r="Q3970">
        <v>24800000</v>
      </c>
      <c r="R3970" s="14">
        <f>_xlfn.XLOOKUP(Table2[[#This Row],[LoanID]],Table1[G-L ID],Table1[ManagerCode],-99)</f>
        <v>220</v>
      </c>
      <c r="T3970"/>
    </row>
    <row r="3971" spans="1:20" x14ac:dyDescent="0.25">
      <c r="A3971">
        <v>20151031</v>
      </c>
      <c r="B3971">
        <v>2015</v>
      </c>
      <c r="C3971">
        <v>10</v>
      </c>
      <c r="D3971">
        <v>1</v>
      </c>
      <c r="E3971">
        <v>10430</v>
      </c>
      <c r="F3971">
        <v>87030.16</v>
      </c>
      <c r="G3971">
        <v>0</v>
      </c>
      <c r="H3971">
        <v>0</v>
      </c>
      <c r="I3971">
        <v>0</v>
      </c>
      <c r="J3971">
        <v>0</v>
      </c>
      <c r="K3971">
        <v>23400</v>
      </c>
      <c r="L3971">
        <v>10766000</v>
      </c>
      <c r="M3971">
        <v>10742600</v>
      </c>
      <c r="N3971">
        <v>10766000</v>
      </c>
      <c r="O3971">
        <v>10742600</v>
      </c>
      <c r="P3971">
        <v>10766000</v>
      </c>
      <c r="Q3971">
        <v>10742600</v>
      </c>
      <c r="R3971" s="14">
        <f>_xlfn.XLOOKUP(Table2[[#This Row],[LoanID]],Table1[G-L ID],Table1[ManagerCode],-99)</f>
        <v>119</v>
      </c>
      <c r="T3971"/>
    </row>
    <row r="3972" spans="1:20" x14ac:dyDescent="0.25">
      <c r="A3972">
        <v>20151031</v>
      </c>
      <c r="B3972">
        <v>2015</v>
      </c>
      <c r="C3972">
        <v>10</v>
      </c>
      <c r="D3972">
        <v>1</v>
      </c>
      <c r="E3972">
        <v>10460</v>
      </c>
      <c r="F3972">
        <v>126583.33</v>
      </c>
      <c r="G3972">
        <v>0</v>
      </c>
      <c r="H3972">
        <v>0</v>
      </c>
      <c r="I3972">
        <v>0</v>
      </c>
      <c r="J3972">
        <v>0</v>
      </c>
      <c r="K3972">
        <v>0</v>
      </c>
      <c r="L3972">
        <v>59817863.920000002</v>
      </c>
      <c r="M3972">
        <v>59827009.100000001</v>
      </c>
      <c r="N3972">
        <v>59817863.920000002</v>
      </c>
      <c r="O3972">
        <v>59827009.100000001</v>
      </c>
      <c r="P3972">
        <v>60000000</v>
      </c>
      <c r="Q3972">
        <v>60000000</v>
      </c>
      <c r="R3972" s="14">
        <f>_xlfn.XLOOKUP(Table2[[#This Row],[LoanID]],Table1[G-L ID],Table1[ManagerCode],-99)</f>
        <v>103</v>
      </c>
      <c r="T3972"/>
    </row>
    <row r="3973" spans="1:20" x14ac:dyDescent="0.25">
      <c r="A3973">
        <v>20151031</v>
      </c>
      <c r="B3973">
        <v>2015</v>
      </c>
      <c r="C3973">
        <v>10</v>
      </c>
      <c r="D3973">
        <v>1</v>
      </c>
      <c r="E3973">
        <v>10480</v>
      </c>
      <c r="F3973">
        <v>156738.5</v>
      </c>
      <c r="G3973">
        <v>0</v>
      </c>
      <c r="H3973">
        <v>0</v>
      </c>
      <c r="I3973">
        <v>0</v>
      </c>
      <c r="J3973">
        <v>1628179.8</v>
      </c>
      <c r="K3973">
        <v>0</v>
      </c>
      <c r="L3973">
        <v>23854892</v>
      </c>
      <c r="M3973">
        <v>22226712.199999999</v>
      </c>
      <c r="N3973">
        <v>23854892</v>
      </c>
      <c r="O3973">
        <v>22226712.199999999</v>
      </c>
      <c r="P3973">
        <v>23854892</v>
      </c>
      <c r="Q3973">
        <v>22226712.199999999</v>
      </c>
      <c r="R3973" s="14">
        <f>_xlfn.XLOOKUP(Table2[[#This Row],[LoanID]],Table1[G-L ID],Table1[ManagerCode],-99)</f>
        <v>119</v>
      </c>
      <c r="T3973"/>
    </row>
    <row r="3974" spans="1:20" x14ac:dyDescent="0.25">
      <c r="A3974">
        <v>20151031</v>
      </c>
      <c r="B3974">
        <v>2015</v>
      </c>
      <c r="C3974">
        <v>10</v>
      </c>
      <c r="D3974">
        <v>1</v>
      </c>
      <c r="E3974">
        <v>10570</v>
      </c>
      <c r="F3974">
        <v>776178.53</v>
      </c>
      <c r="G3974">
        <v>0</v>
      </c>
      <c r="H3974">
        <v>0</v>
      </c>
      <c r="I3974">
        <v>0</v>
      </c>
      <c r="J3974">
        <v>0</v>
      </c>
      <c r="K3974">
        <v>0</v>
      </c>
      <c r="L3974">
        <v>156356260.69999999</v>
      </c>
      <c r="M3974">
        <v>156356260.69999999</v>
      </c>
      <c r="N3974">
        <v>156356260.69999999</v>
      </c>
      <c r="O3974">
        <v>156356260.69999999</v>
      </c>
      <c r="P3974">
        <v>156356260.69999999</v>
      </c>
      <c r="Q3974">
        <v>156356260.69999999</v>
      </c>
      <c r="R3974" s="14">
        <f>_xlfn.XLOOKUP(Table2[[#This Row],[LoanID]],Table1[G-L ID],Table1[ManagerCode],-99)</f>
        <v>103</v>
      </c>
      <c r="T3974"/>
    </row>
    <row r="3975" spans="1:20" x14ac:dyDescent="0.25">
      <c r="A3975">
        <v>20151031</v>
      </c>
      <c r="B3975">
        <v>2015</v>
      </c>
      <c r="C3975">
        <v>10</v>
      </c>
      <c r="D3975">
        <v>1</v>
      </c>
      <c r="E3975">
        <v>10591</v>
      </c>
      <c r="F3975">
        <v>208234.59</v>
      </c>
      <c r="G3975">
        <v>0</v>
      </c>
      <c r="H3975">
        <v>0</v>
      </c>
      <c r="I3975">
        <v>0</v>
      </c>
      <c r="J3975">
        <v>0</v>
      </c>
      <c r="K3975">
        <v>0</v>
      </c>
      <c r="L3975">
        <v>24475036.780000001</v>
      </c>
      <c r="M3975">
        <v>24475036.780000001</v>
      </c>
      <c r="N3975">
        <v>24475036.780000001</v>
      </c>
      <c r="O3975">
        <v>24475036.780000001</v>
      </c>
      <c r="P3975">
        <v>24475036.780000001</v>
      </c>
      <c r="Q3975">
        <v>24475036.780000001</v>
      </c>
      <c r="R3975" s="14">
        <f>_xlfn.XLOOKUP(Table2[[#This Row],[LoanID]],Table1[G-L ID],Table1[ManagerCode],-99)</f>
        <v>220</v>
      </c>
      <c r="T3975"/>
    </row>
    <row r="3976" spans="1:20" x14ac:dyDescent="0.25">
      <c r="A3976">
        <v>20151031</v>
      </c>
      <c r="B3976">
        <v>2015</v>
      </c>
      <c r="C3976">
        <v>10</v>
      </c>
      <c r="D3976">
        <v>1</v>
      </c>
      <c r="E3976">
        <v>10592</v>
      </c>
      <c r="F3976">
        <v>345330.22</v>
      </c>
      <c r="G3976">
        <v>0</v>
      </c>
      <c r="H3976">
        <v>0</v>
      </c>
      <c r="I3976">
        <v>0</v>
      </c>
      <c r="J3976">
        <v>0</v>
      </c>
      <c r="K3976">
        <v>0</v>
      </c>
      <c r="L3976">
        <v>36326728.630000003</v>
      </c>
      <c r="M3976">
        <v>36326728.630000003</v>
      </c>
      <c r="N3976">
        <v>36326728.630000003</v>
      </c>
      <c r="O3976">
        <v>36326728.630000003</v>
      </c>
      <c r="P3976">
        <v>36129816.219999999</v>
      </c>
      <c r="Q3976">
        <v>36129816.219999999</v>
      </c>
      <c r="R3976" s="14">
        <f>_xlfn.XLOOKUP(Table2[[#This Row],[LoanID]],Table1[G-L ID],Table1[ManagerCode],-99)</f>
        <v>220</v>
      </c>
      <c r="T3976"/>
    </row>
    <row r="3977" spans="1:20" x14ac:dyDescent="0.25">
      <c r="A3977">
        <v>20151031</v>
      </c>
      <c r="B3977">
        <v>2015</v>
      </c>
      <c r="C3977">
        <v>10</v>
      </c>
      <c r="D3977">
        <v>1</v>
      </c>
      <c r="E3977">
        <v>10640</v>
      </c>
      <c r="F3977">
        <v>63041.42</v>
      </c>
      <c r="G3977">
        <v>0</v>
      </c>
      <c r="H3977">
        <v>0</v>
      </c>
      <c r="I3977">
        <v>0</v>
      </c>
      <c r="J3977">
        <v>0</v>
      </c>
      <c r="K3977">
        <v>0</v>
      </c>
      <c r="L3977">
        <v>8084494</v>
      </c>
      <c r="M3977">
        <v>8084494</v>
      </c>
      <c r="N3977">
        <v>8084494</v>
      </c>
      <c r="O3977">
        <v>8084494</v>
      </c>
      <c r="P3977">
        <v>8084494</v>
      </c>
      <c r="Q3977">
        <v>8084494</v>
      </c>
      <c r="R3977" s="14">
        <f>_xlfn.XLOOKUP(Table2[[#This Row],[LoanID]],Table1[G-L ID],Table1[ManagerCode],-99)</f>
        <v>220</v>
      </c>
      <c r="T3977"/>
    </row>
    <row r="3978" spans="1:20" x14ac:dyDescent="0.25">
      <c r="A3978">
        <v>20151031</v>
      </c>
      <c r="B3978">
        <v>2015</v>
      </c>
      <c r="C3978">
        <v>10</v>
      </c>
      <c r="D3978">
        <v>1</v>
      </c>
      <c r="E3978">
        <v>10680</v>
      </c>
      <c r="F3978">
        <v>60278.91</v>
      </c>
      <c r="G3978">
        <v>0</v>
      </c>
      <c r="H3978">
        <v>0</v>
      </c>
      <c r="I3978">
        <v>0</v>
      </c>
      <c r="J3978">
        <v>-148223.09</v>
      </c>
      <c r="K3978">
        <v>0</v>
      </c>
      <c r="L3978">
        <v>7258800</v>
      </c>
      <c r="M3978">
        <v>7407023.0899999999</v>
      </c>
      <c r="N3978">
        <v>7258800</v>
      </c>
      <c r="O3978">
        <v>7407023.0899999999</v>
      </c>
      <c r="P3978">
        <v>7258800</v>
      </c>
      <c r="Q3978">
        <v>7407023.0899999999</v>
      </c>
      <c r="R3978" s="14">
        <f>_xlfn.XLOOKUP(Table2[[#This Row],[LoanID]],Table1[G-L ID],Table1[ManagerCode],-99)</f>
        <v>119</v>
      </c>
      <c r="T3978"/>
    </row>
    <row r="3979" spans="1:20" x14ac:dyDescent="0.25">
      <c r="A3979">
        <v>20151031</v>
      </c>
      <c r="B3979">
        <v>2015</v>
      </c>
      <c r="C3979">
        <v>10</v>
      </c>
      <c r="D3979">
        <v>1</v>
      </c>
      <c r="E3979">
        <v>10720</v>
      </c>
      <c r="F3979">
        <v>125000</v>
      </c>
      <c r="G3979">
        <v>76849.36</v>
      </c>
      <c r="H3979">
        <v>0</v>
      </c>
      <c r="I3979">
        <v>0</v>
      </c>
      <c r="J3979">
        <v>0</v>
      </c>
      <c r="K3979">
        <v>0</v>
      </c>
      <c r="L3979">
        <v>16637013.300000001</v>
      </c>
      <c r="M3979">
        <v>16718828.99</v>
      </c>
      <c r="N3979">
        <v>16637013.300000001</v>
      </c>
      <c r="O3979">
        <v>16718828.99</v>
      </c>
      <c r="P3979">
        <v>15627047.4</v>
      </c>
      <c r="Q3979">
        <v>15703896.77</v>
      </c>
      <c r="R3979" s="14">
        <f>_xlfn.XLOOKUP(Table2[[#This Row],[LoanID]],Table1[G-L ID],Table1[ManagerCode],-99)</f>
        <v>220</v>
      </c>
      <c r="T3979"/>
    </row>
    <row r="3980" spans="1:20" x14ac:dyDescent="0.25">
      <c r="A3980">
        <v>20151031</v>
      </c>
      <c r="B3980">
        <v>2015</v>
      </c>
      <c r="C3980">
        <v>10</v>
      </c>
      <c r="D3980">
        <v>1</v>
      </c>
      <c r="E3980">
        <v>10740</v>
      </c>
      <c r="F3980">
        <v>0</v>
      </c>
      <c r="G3980">
        <v>0</v>
      </c>
      <c r="H3980">
        <v>0</v>
      </c>
      <c r="I3980">
        <v>0</v>
      </c>
      <c r="J3980">
        <v>0</v>
      </c>
      <c r="K3980">
        <v>0</v>
      </c>
      <c r="L3980">
        <v>440527683.89999998</v>
      </c>
      <c r="M3980">
        <v>444106063.5</v>
      </c>
      <c r="N3980">
        <v>440527683.89999998</v>
      </c>
      <c r="O3980">
        <v>444106063.5</v>
      </c>
      <c r="P3980">
        <v>461801475</v>
      </c>
      <c r="Q3980">
        <v>461801475</v>
      </c>
      <c r="R3980" s="14">
        <f>_xlfn.XLOOKUP(Table2[[#This Row],[LoanID]],Table1[G-L ID],Table1[ManagerCode],-99)</f>
        <v>103</v>
      </c>
      <c r="T3980"/>
    </row>
    <row r="3981" spans="1:20" x14ac:dyDescent="0.25">
      <c r="A3981">
        <v>20151031</v>
      </c>
      <c r="B3981">
        <v>2015</v>
      </c>
      <c r="C3981">
        <v>10</v>
      </c>
      <c r="D3981">
        <v>1</v>
      </c>
      <c r="E3981">
        <v>10750</v>
      </c>
      <c r="F3981">
        <v>70423.360000000001</v>
      </c>
      <c r="G3981">
        <v>0</v>
      </c>
      <c r="H3981">
        <v>0</v>
      </c>
      <c r="I3981">
        <v>0</v>
      </c>
      <c r="J3981">
        <v>0</v>
      </c>
      <c r="K3981">
        <v>0</v>
      </c>
      <c r="L3981">
        <v>9048111.7400000002</v>
      </c>
      <c r="M3981">
        <v>9048111.7400000002</v>
      </c>
      <c r="N3981">
        <v>9048111.7400000002</v>
      </c>
      <c r="O3981">
        <v>9048111.7400000002</v>
      </c>
      <c r="P3981">
        <v>9048111.7400000002</v>
      </c>
      <c r="Q3981">
        <v>9048111.7400000002</v>
      </c>
      <c r="R3981" s="14">
        <f>_xlfn.XLOOKUP(Table2[[#This Row],[LoanID]],Table1[G-L ID],Table1[ManagerCode],-99)</f>
        <v>119</v>
      </c>
      <c r="T3981"/>
    </row>
    <row r="3982" spans="1:20" x14ac:dyDescent="0.25">
      <c r="A3982">
        <v>20151031</v>
      </c>
      <c r="B3982">
        <v>2015</v>
      </c>
      <c r="C3982">
        <v>10</v>
      </c>
      <c r="D3982">
        <v>1</v>
      </c>
      <c r="E3982">
        <v>10780</v>
      </c>
      <c r="F3982">
        <v>303042.5</v>
      </c>
      <c r="G3982">
        <v>0</v>
      </c>
      <c r="H3982">
        <v>0</v>
      </c>
      <c r="I3982">
        <v>0</v>
      </c>
      <c r="J3982">
        <v>0</v>
      </c>
      <c r="K3982">
        <v>0</v>
      </c>
      <c r="L3982">
        <v>43000000</v>
      </c>
      <c r="M3982">
        <v>43000000</v>
      </c>
      <c r="N3982">
        <v>43000000</v>
      </c>
      <c r="O3982">
        <v>43000000</v>
      </c>
      <c r="P3982">
        <v>43000000</v>
      </c>
      <c r="Q3982">
        <v>43000000</v>
      </c>
      <c r="R3982" s="14">
        <f>_xlfn.XLOOKUP(Table2[[#This Row],[LoanID]],Table1[G-L ID],Table1[ManagerCode],-99)</f>
        <v>220</v>
      </c>
      <c r="T3982"/>
    </row>
    <row r="3983" spans="1:20" x14ac:dyDescent="0.25">
      <c r="A3983">
        <v>20151031</v>
      </c>
      <c r="B3983">
        <v>2015</v>
      </c>
      <c r="C3983">
        <v>10</v>
      </c>
      <c r="D3983">
        <v>1</v>
      </c>
      <c r="E3983">
        <v>10800</v>
      </c>
      <c r="F3983">
        <v>210318.33</v>
      </c>
      <c r="G3983">
        <v>0</v>
      </c>
      <c r="H3983">
        <v>0</v>
      </c>
      <c r="I3983">
        <v>0</v>
      </c>
      <c r="J3983">
        <v>0</v>
      </c>
      <c r="K3983">
        <v>0</v>
      </c>
      <c r="L3983">
        <v>26000000</v>
      </c>
      <c r="M3983">
        <v>26000000</v>
      </c>
      <c r="N3983">
        <v>26000000</v>
      </c>
      <c r="O3983">
        <v>26000000</v>
      </c>
      <c r="P3983">
        <v>26000000</v>
      </c>
      <c r="Q3983">
        <v>26000000</v>
      </c>
      <c r="R3983" s="14">
        <f>_xlfn.XLOOKUP(Table2[[#This Row],[LoanID]],Table1[G-L ID],Table1[ManagerCode],-99)</f>
        <v>220</v>
      </c>
      <c r="T3983"/>
    </row>
    <row r="3984" spans="1:20" x14ac:dyDescent="0.25">
      <c r="A3984">
        <v>20151031</v>
      </c>
      <c r="B3984">
        <v>2015</v>
      </c>
      <c r="C3984">
        <v>10</v>
      </c>
      <c r="D3984">
        <v>1</v>
      </c>
      <c r="E3984">
        <v>10820</v>
      </c>
      <c r="F3984">
        <v>187417.8</v>
      </c>
      <c r="G3984">
        <v>0</v>
      </c>
      <c r="H3984">
        <v>0</v>
      </c>
      <c r="I3984">
        <v>0</v>
      </c>
      <c r="J3984">
        <v>0</v>
      </c>
      <c r="K3984">
        <v>0</v>
      </c>
      <c r="L3984">
        <v>24041739.440000001</v>
      </c>
      <c r="M3984">
        <v>24041739.440000001</v>
      </c>
      <c r="N3984">
        <v>24041739.440000001</v>
      </c>
      <c r="O3984">
        <v>24041739.440000001</v>
      </c>
      <c r="P3984">
        <v>23733207.739999998</v>
      </c>
      <c r="Q3984">
        <v>23733207.739999998</v>
      </c>
      <c r="R3984" s="14">
        <f>_xlfn.XLOOKUP(Table2[[#This Row],[LoanID]],Table1[G-L ID],Table1[ManagerCode],-99)</f>
        <v>220</v>
      </c>
      <c r="T3984"/>
    </row>
    <row r="3985" spans="1:20" x14ac:dyDescent="0.25">
      <c r="A3985">
        <v>20151031</v>
      </c>
      <c r="B3985">
        <v>2015</v>
      </c>
      <c r="C3985">
        <v>10</v>
      </c>
      <c r="D3985">
        <v>1</v>
      </c>
      <c r="E3985">
        <v>10830</v>
      </c>
      <c r="F3985">
        <v>60825.67</v>
      </c>
      <c r="G3985">
        <v>0</v>
      </c>
      <c r="H3985">
        <v>0</v>
      </c>
      <c r="I3985">
        <v>0</v>
      </c>
      <c r="J3985">
        <v>0</v>
      </c>
      <c r="K3985">
        <v>0</v>
      </c>
      <c r="L3985">
        <v>7783125.2999999998</v>
      </c>
      <c r="M3985">
        <v>7783125.2999999998</v>
      </c>
      <c r="N3985">
        <v>7783125.2999999998</v>
      </c>
      <c r="O3985">
        <v>7783125.2999999998</v>
      </c>
      <c r="P3985">
        <v>7683243.1399999997</v>
      </c>
      <c r="Q3985">
        <v>7683243.1399999997</v>
      </c>
      <c r="R3985" s="14">
        <f>_xlfn.XLOOKUP(Table2[[#This Row],[LoanID]],Table1[G-L ID],Table1[ManagerCode],-99)</f>
        <v>220</v>
      </c>
      <c r="T3985"/>
    </row>
    <row r="3986" spans="1:20" x14ac:dyDescent="0.25">
      <c r="A3986">
        <v>20151031</v>
      </c>
      <c r="B3986">
        <v>2015</v>
      </c>
      <c r="C3986">
        <v>10</v>
      </c>
      <c r="D3986">
        <v>1</v>
      </c>
      <c r="E3986">
        <v>10840</v>
      </c>
      <c r="F3986">
        <v>100614.41</v>
      </c>
      <c r="G3986">
        <v>0</v>
      </c>
      <c r="H3986">
        <v>0</v>
      </c>
      <c r="I3986">
        <v>0</v>
      </c>
      <c r="J3986">
        <v>0</v>
      </c>
      <c r="K3986">
        <v>0</v>
      </c>
      <c r="L3986">
        <v>12874408.460000001</v>
      </c>
      <c r="M3986">
        <v>12874408.460000001</v>
      </c>
      <c r="N3986">
        <v>12874408.460000001</v>
      </c>
      <c r="O3986">
        <v>12874408.460000001</v>
      </c>
      <c r="P3986">
        <v>12709189</v>
      </c>
      <c r="Q3986">
        <v>12709189</v>
      </c>
      <c r="R3986" s="14">
        <f>_xlfn.XLOOKUP(Table2[[#This Row],[LoanID]],Table1[G-L ID],Table1[ManagerCode],-99)</f>
        <v>220</v>
      </c>
      <c r="T3986"/>
    </row>
    <row r="3987" spans="1:20" x14ac:dyDescent="0.25">
      <c r="A3987">
        <v>20151031</v>
      </c>
      <c r="B3987">
        <v>2015</v>
      </c>
      <c r="C3987">
        <v>10</v>
      </c>
      <c r="D3987">
        <v>1</v>
      </c>
      <c r="E3987">
        <v>10850</v>
      </c>
      <c r="F3987">
        <v>106969.15</v>
      </c>
      <c r="G3987">
        <v>0</v>
      </c>
      <c r="H3987">
        <v>0</v>
      </c>
      <c r="I3987">
        <v>0</v>
      </c>
      <c r="J3987">
        <v>0</v>
      </c>
      <c r="K3987">
        <v>0</v>
      </c>
      <c r="L3987">
        <v>13687546.6</v>
      </c>
      <c r="M3987">
        <v>13687546.6</v>
      </c>
      <c r="N3987">
        <v>13687546.6</v>
      </c>
      <c r="O3987">
        <v>13687546.6</v>
      </c>
      <c r="P3987">
        <v>13511892</v>
      </c>
      <c r="Q3987">
        <v>13511892</v>
      </c>
      <c r="R3987" s="14">
        <f>_xlfn.XLOOKUP(Table2[[#This Row],[LoanID]],Table1[G-L ID],Table1[ManagerCode],-99)</f>
        <v>220</v>
      </c>
      <c r="T3987"/>
    </row>
    <row r="3988" spans="1:20" x14ac:dyDescent="0.25">
      <c r="A3988">
        <v>20151031</v>
      </c>
      <c r="B3988">
        <v>2015</v>
      </c>
      <c r="C3988">
        <v>10</v>
      </c>
      <c r="D3988">
        <v>1</v>
      </c>
      <c r="E3988">
        <v>10860</v>
      </c>
      <c r="F3988">
        <v>114577.92</v>
      </c>
      <c r="G3988">
        <v>0</v>
      </c>
      <c r="H3988">
        <v>0</v>
      </c>
      <c r="I3988">
        <v>0</v>
      </c>
      <c r="J3988">
        <v>0</v>
      </c>
      <c r="K3988">
        <v>0</v>
      </c>
      <c r="L3988">
        <v>19475000</v>
      </c>
      <c r="M3988">
        <v>19475000</v>
      </c>
      <c r="N3988">
        <v>19475000</v>
      </c>
      <c r="O3988">
        <v>19475000</v>
      </c>
      <c r="P3988">
        <v>20500000</v>
      </c>
      <c r="Q3988">
        <v>20500000</v>
      </c>
      <c r="R3988" s="14">
        <f>_xlfn.XLOOKUP(Table2[[#This Row],[LoanID]],Table1[G-L ID],Table1[ManagerCode],-99)</f>
        <v>103</v>
      </c>
      <c r="T3988"/>
    </row>
    <row r="3989" spans="1:20" x14ac:dyDescent="0.25">
      <c r="A3989">
        <v>20151031</v>
      </c>
      <c r="B3989">
        <v>2015</v>
      </c>
      <c r="C3989">
        <v>10</v>
      </c>
      <c r="D3989">
        <v>1</v>
      </c>
      <c r="E3989">
        <v>10910</v>
      </c>
      <c r="F3989">
        <v>186147.78</v>
      </c>
      <c r="G3989">
        <v>0</v>
      </c>
      <c r="H3989">
        <v>0</v>
      </c>
      <c r="I3989">
        <v>0</v>
      </c>
      <c r="J3989">
        <v>0</v>
      </c>
      <c r="K3989">
        <v>0</v>
      </c>
      <c r="L3989">
        <v>22500000</v>
      </c>
      <c r="M3989">
        <v>22500000</v>
      </c>
      <c r="N3989">
        <v>22500000</v>
      </c>
      <c r="O3989">
        <v>22500000</v>
      </c>
      <c r="P3989">
        <v>22500000</v>
      </c>
      <c r="Q3989">
        <v>22500000</v>
      </c>
      <c r="R3989" s="14">
        <f>_xlfn.XLOOKUP(Table2[[#This Row],[LoanID]],Table1[G-L ID],Table1[ManagerCode],-99)</f>
        <v>119</v>
      </c>
      <c r="T3989"/>
    </row>
    <row r="3990" spans="1:20" x14ac:dyDescent="0.25">
      <c r="A3990">
        <v>20151031</v>
      </c>
      <c r="B3990">
        <v>2015</v>
      </c>
      <c r="C3990">
        <v>10</v>
      </c>
      <c r="D3990">
        <v>1</v>
      </c>
      <c r="E3990">
        <v>10930</v>
      </c>
      <c r="F3990">
        <v>0</v>
      </c>
      <c r="G3990">
        <v>157183.70000000001</v>
      </c>
      <c r="H3990">
        <v>0</v>
      </c>
      <c r="I3990">
        <v>0</v>
      </c>
      <c r="J3990">
        <v>0</v>
      </c>
      <c r="K3990">
        <v>0</v>
      </c>
      <c r="L3990">
        <v>14236241.199999999</v>
      </c>
      <c r="M3990">
        <v>14393424.9</v>
      </c>
      <c r="N3990">
        <v>14236241.199999999</v>
      </c>
      <c r="O3990">
        <v>14393424.9</v>
      </c>
      <c r="P3990">
        <v>14236241.199999999</v>
      </c>
      <c r="Q3990">
        <v>14393424.9</v>
      </c>
      <c r="R3990" s="14">
        <f>_xlfn.XLOOKUP(Table2[[#This Row],[LoanID]],Table1[G-L ID],Table1[ManagerCode],-99)</f>
        <v>183</v>
      </c>
      <c r="T3990"/>
    </row>
    <row r="3991" spans="1:20" x14ac:dyDescent="0.25">
      <c r="A3991">
        <v>20151031</v>
      </c>
      <c r="B3991">
        <v>2015</v>
      </c>
      <c r="C3991">
        <v>10</v>
      </c>
      <c r="D3991">
        <v>1</v>
      </c>
      <c r="E3991">
        <v>10940</v>
      </c>
      <c r="F3991">
        <v>227442.76</v>
      </c>
      <c r="G3991">
        <v>0</v>
      </c>
      <c r="H3991">
        <v>810119.86</v>
      </c>
      <c r="I3991">
        <v>0</v>
      </c>
      <c r="J3991">
        <v>-61070.13</v>
      </c>
      <c r="K3991">
        <v>12398764.300000001</v>
      </c>
      <c r="L3991">
        <v>12337694.17</v>
      </c>
      <c r="M3991">
        <v>0</v>
      </c>
      <c r="N3991">
        <v>12337694.17</v>
      </c>
      <c r="O3991">
        <v>0</v>
      </c>
      <c r="P3991">
        <v>12337694.17</v>
      </c>
      <c r="Q3991">
        <v>0</v>
      </c>
      <c r="R3991" s="14">
        <f>_xlfn.XLOOKUP(Table2[[#This Row],[LoanID]],Table1[G-L ID],Table1[ManagerCode],-99)</f>
        <v>183</v>
      </c>
      <c r="T3991"/>
    </row>
    <row r="3992" spans="1:20" x14ac:dyDescent="0.25">
      <c r="A3992">
        <v>20151031</v>
      </c>
      <c r="B3992">
        <v>2015</v>
      </c>
      <c r="C3992">
        <v>10</v>
      </c>
      <c r="D3992">
        <v>1</v>
      </c>
      <c r="E3992">
        <v>10960</v>
      </c>
      <c r="F3992">
        <v>68066.94</v>
      </c>
      <c r="G3992">
        <v>0</v>
      </c>
      <c r="H3992">
        <v>0</v>
      </c>
      <c r="I3992">
        <v>0</v>
      </c>
      <c r="J3992">
        <v>-222567.16</v>
      </c>
      <c r="K3992">
        <v>0</v>
      </c>
      <c r="L3992">
        <v>6516140</v>
      </c>
      <c r="M3992">
        <v>6738707.1600000001</v>
      </c>
      <c r="N3992">
        <v>6516140</v>
      </c>
      <c r="O3992">
        <v>6738707.1600000001</v>
      </c>
      <c r="P3992">
        <v>6516140</v>
      </c>
      <c r="Q3992">
        <v>6738707.1600000001</v>
      </c>
      <c r="R3992" s="14">
        <f>_xlfn.XLOOKUP(Table2[[#This Row],[LoanID]],Table1[G-L ID],Table1[ManagerCode],-99)</f>
        <v>119</v>
      </c>
      <c r="T3992"/>
    </row>
    <row r="3993" spans="1:20" x14ac:dyDescent="0.25">
      <c r="A3993">
        <v>20151031</v>
      </c>
      <c r="B3993">
        <v>2015</v>
      </c>
      <c r="C3993">
        <v>10</v>
      </c>
      <c r="D3993">
        <v>1</v>
      </c>
      <c r="E3993">
        <v>11010</v>
      </c>
      <c r="F3993">
        <v>203100.42</v>
      </c>
      <c r="G3993">
        <v>0</v>
      </c>
      <c r="H3993">
        <v>0</v>
      </c>
      <c r="I3993">
        <v>0</v>
      </c>
      <c r="J3993">
        <v>0</v>
      </c>
      <c r="K3993">
        <v>0</v>
      </c>
      <c r="L3993">
        <v>26500000</v>
      </c>
      <c r="M3993">
        <v>26500000</v>
      </c>
      <c r="N3993">
        <v>26500000</v>
      </c>
      <c r="O3993">
        <v>26500000</v>
      </c>
      <c r="P3993">
        <v>26500000</v>
      </c>
      <c r="Q3993">
        <v>26500000</v>
      </c>
      <c r="R3993" s="14">
        <f>_xlfn.XLOOKUP(Table2[[#This Row],[LoanID]],Table1[G-L ID],Table1[ManagerCode],-99)</f>
        <v>119</v>
      </c>
      <c r="T3993"/>
    </row>
    <row r="3994" spans="1:20" x14ac:dyDescent="0.25">
      <c r="A3994">
        <v>20151031</v>
      </c>
      <c r="B3994">
        <v>2015</v>
      </c>
      <c r="C3994">
        <v>10</v>
      </c>
      <c r="D3994">
        <v>1</v>
      </c>
      <c r="E3994">
        <v>11030</v>
      </c>
      <c r="F3994">
        <v>63158.57</v>
      </c>
      <c r="G3994">
        <v>0</v>
      </c>
      <c r="H3994">
        <v>0</v>
      </c>
      <c r="I3994">
        <v>0</v>
      </c>
      <c r="J3994">
        <v>0</v>
      </c>
      <c r="K3994">
        <v>9777.7800000000007</v>
      </c>
      <c r="L3994">
        <v>7980444.4400000004</v>
      </c>
      <c r="M3994">
        <v>7970666.6600000001</v>
      </c>
      <c r="N3994">
        <v>7980444.4400000004</v>
      </c>
      <c r="O3994">
        <v>7970666.6600000001</v>
      </c>
      <c r="P3994">
        <v>7980444.4400000004</v>
      </c>
      <c r="Q3994">
        <v>7970666.6600000001</v>
      </c>
      <c r="R3994" s="14">
        <f>_xlfn.XLOOKUP(Table2[[#This Row],[LoanID]],Table1[G-L ID],Table1[ManagerCode],-99)</f>
        <v>119</v>
      </c>
      <c r="T3994"/>
    </row>
    <row r="3995" spans="1:20" x14ac:dyDescent="0.25">
      <c r="A3995">
        <v>20151031</v>
      </c>
      <c r="B3995">
        <v>2015</v>
      </c>
      <c r="C3995">
        <v>10</v>
      </c>
      <c r="D3995">
        <v>1</v>
      </c>
      <c r="E3995">
        <v>11040</v>
      </c>
      <c r="F3995">
        <v>508625</v>
      </c>
      <c r="G3995">
        <v>0</v>
      </c>
      <c r="H3995">
        <v>0</v>
      </c>
      <c r="I3995">
        <v>0</v>
      </c>
      <c r="J3995">
        <v>0</v>
      </c>
      <c r="K3995">
        <v>0</v>
      </c>
      <c r="L3995">
        <v>51000000</v>
      </c>
      <c r="M3995">
        <v>51000000</v>
      </c>
      <c r="N3995">
        <v>51000000</v>
      </c>
      <c r="O3995">
        <v>51000000</v>
      </c>
      <c r="P3995">
        <v>50000000</v>
      </c>
      <c r="Q3995">
        <v>50000000</v>
      </c>
      <c r="R3995" s="14">
        <f>_xlfn.XLOOKUP(Table2[[#This Row],[LoanID]],Table1[G-L ID],Table1[ManagerCode],-99)</f>
        <v>220</v>
      </c>
      <c r="T3995"/>
    </row>
    <row r="3996" spans="1:20" x14ac:dyDescent="0.25">
      <c r="A3996">
        <v>20151031</v>
      </c>
      <c r="B3996">
        <v>2015</v>
      </c>
      <c r="C3996">
        <v>10</v>
      </c>
      <c r="D3996">
        <v>1</v>
      </c>
      <c r="E3996">
        <v>11050</v>
      </c>
      <c r="F3996">
        <v>591573</v>
      </c>
      <c r="G3996">
        <v>0</v>
      </c>
      <c r="H3996">
        <v>0</v>
      </c>
      <c r="I3996">
        <v>0</v>
      </c>
      <c r="J3996">
        <v>0</v>
      </c>
      <c r="K3996">
        <v>0</v>
      </c>
      <c r="L3996">
        <v>29300000</v>
      </c>
      <c r="M3996">
        <v>29300000</v>
      </c>
      <c r="N3996">
        <v>29300000</v>
      </c>
      <c r="O3996">
        <v>29300000</v>
      </c>
      <c r="P3996">
        <v>28500000</v>
      </c>
      <c r="Q3996">
        <v>28500000</v>
      </c>
      <c r="R3996" s="14">
        <f>_xlfn.XLOOKUP(Table2[[#This Row],[LoanID]],Table1[G-L ID],Table1[ManagerCode],-99)</f>
        <v>220</v>
      </c>
      <c r="T3996"/>
    </row>
    <row r="3997" spans="1:20" x14ac:dyDescent="0.25">
      <c r="A3997">
        <v>20151031</v>
      </c>
      <c r="B3997">
        <v>2015</v>
      </c>
      <c r="C3997">
        <v>10</v>
      </c>
      <c r="D3997">
        <v>1</v>
      </c>
      <c r="E3997">
        <v>11090</v>
      </c>
      <c r="F3997">
        <v>106702.44</v>
      </c>
      <c r="G3997">
        <v>0</v>
      </c>
      <c r="H3997">
        <v>0</v>
      </c>
      <c r="I3997">
        <v>0</v>
      </c>
      <c r="J3997">
        <v>0</v>
      </c>
      <c r="K3997">
        <v>0</v>
      </c>
      <c r="L3997">
        <v>11000000</v>
      </c>
      <c r="M3997">
        <v>11000000</v>
      </c>
      <c r="N3997">
        <v>11000000</v>
      </c>
      <c r="O3997">
        <v>11000000</v>
      </c>
      <c r="P3997">
        <v>11000000</v>
      </c>
      <c r="Q3997">
        <v>11000000</v>
      </c>
      <c r="R3997" s="14">
        <f>_xlfn.XLOOKUP(Table2[[#This Row],[LoanID]],Table1[G-L ID],Table1[ManagerCode],-99)</f>
        <v>119</v>
      </c>
      <c r="T3997"/>
    </row>
    <row r="3998" spans="1:20" x14ac:dyDescent="0.25">
      <c r="A3998">
        <v>20151031</v>
      </c>
      <c r="B3998">
        <v>2015</v>
      </c>
      <c r="C3998">
        <v>10</v>
      </c>
      <c r="D3998">
        <v>1</v>
      </c>
      <c r="E3998">
        <v>11100</v>
      </c>
      <c r="F3998">
        <v>198585.14</v>
      </c>
      <c r="G3998">
        <v>0</v>
      </c>
      <c r="H3998">
        <v>0</v>
      </c>
      <c r="I3998">
        <v>0</v>
      </c>
      <c r="J3998">
        <v>0</v>
      </c>
      <c r="K3998">
        <v>0</v>
      </c>
      <c r="L3998">
        <v>54450000</v>
      </c>
      <c r="M3998">
        <v>54450000</v>
      </c>
      <c r="N3998">
        <v>54450000</v>
      </c>
      <c r="O3998">
        <v>54450000</v>
      </c>
      <c r="P3998">
        <v>55000000</v>
      </c>
      <c r="Q3998">
        <v>55000000</v>
      </c>
      <c r="R3998" s="14">
        <f>_xlfn.XLOOKUP(Table2[[#This Row],[LoanID]],Table1[G-L ID],Table1[ManagerCode],-99)</f>
        <v>103</v>
      </c>
      <c r="T3998"/>
    </row>
    <row r="3999" spans="1:20" x14ac:dyDescent="0.25">
      <c r="A3999">
        <v>20151031</v>
      </c>
      <c r="B3999">
        <v>2015</v>
      </c>
      <c r="C3999">
        <v>10</v>
      </c>
      <c r="D3999">
        <v>1</v>
      </c>
      <c r="E3999">
        <v>11130</v>
      </c>
      <c r="F3999">
        <v>943916.42</v>
      </c>
      <c r="G3999">
        <v>0</v>
      </c>
      <c r="H3999">
        <v>0</v>
      </c>
      <c r="I3999">
        <v>-0.01</v>
      </c>
      <c r="J3999">
        <v>0</v>
      </c>
      <c r="K3999">
        <v>0</v>
      </c>
      <c r="L3999">
        <v>168150000</v>
      </c>
      <c r="M3999">
        <v>168150000</v>
      </c>
      <c r="N3999">
        <v>168150000</v>
      </c>
      <c r="O3999">
        <v>168150000</v>
      </c>
      <c r="P3999">
        <v>177000000</v>
      </c>
      <c r="Q3999">
        <v>177000000</v>
      </c>
      <c r="R3999" s="14">
        <f>_xlfn.XLOOKUP(Table2[[#This Row],[LoanID]],Table1[G-L ID],Table1[ManagerCode],-99)</f>
        <v>103</v>
      </c>
      <c r="T3999"/>
    </row>
    <row r="4000" spans="1:20" x14ac:dyDescent="0.25">
      <c r="A4000">
        <v>20151031</v>
      </c>
      <c r="B4000">
        <v>2015</v>
      </c>
      <c r="C4000">
        <v>10</v>
      </c>
      <c r="D4000">
        <v>1</v>
      </c>
      <c r="E4000">
        <v>11160</v>
      </c>
      <c r="F4000">
        <v>117086.98</v>
      </c>
      <c r="G4000">
        <v>139439.56</v>
      </c>
      <c r="H4000">
        <v>0</v>
      </c>
      <c r="I4000">
        <v>0</v>
      </c>
      <c r="J4000">
        <v>-1023537.79</v>
      </c>
      <c r="K4000">
        <v>0</v>
      </c>
      <c r="L4000">
        <v>23819165.5</v>
      </c>
      <c r="M4000">
        <v>24982142.850000001</v>
      </c>
      <c r="N4000">
        <v>23819165.5</v>
      </c>
      <c r="O4000">
        <v>24982142.850000001</v>
      </c>
      <c r="P4000">
        <v>23819165.5</v>
      </c>
      <c r="Q4000">
        <v>24982142.850000001</v>
      </c>
      <c r="R4000" s="14">
        <f>_xlfn.XLOOKUP(Table2[[#This Row],[LoanID]],Table1[G-L ID],Table1[ManagerCode],-99)</f>
        <v>183</v>
      </c>
      <c r="T4000"/>
    </row>
    <row r="4001" spans="1:20" x14ac:dyDescent="0.25">
      <c r="A4001">
        <v>20151031</v>
      </c>
      <c r="B4001">
        <v>2015</v>
      </c>
      <c r="C4001">
        <v>10</v>
      </c>
      <c r="D4001">
        <v>1</v>
      </c>
      <c r="E4001">
        <v>11170</v>
      </c>
      <c r="F4001">
        <v>686000</v>
      </c>
      <c r="G4001">
        <v>0</v>
      </c>
      <c r="H4001">
        <v>0</v>
      </c>
      <c r="I4001">
        <v>0</v>
      </c>
      <c r="J4001">
        <v>0</v>
      </c>
      <c r="K4001">
        <v>0</v>
      </c>
      <c r="L4001">
        <v>173249826.80000001</v>
      </c>
      <c r="M4001">
        <v>173249826.80000001</v>
      </c>
      <c r="N4001">
        <v>173249826.80000001</v>
      </c>
      <c r="O4001">
        <v>173249826.80000001</v>
      </c>
      <c r="P4001">
        <v>175000000</v>
      </c>
      <c r="Q4001">
        <v>175000000</v>
      </c>
      <c r="R4001" s="14">
        <f>_xlfn.XLOOKUP(Table2[[#This Row],[LoanID]],Table1[G-L ID],Table1[ManagerCode],-99)</f>
        <v>103</v>
      </c>
      <c r="T4001"/>
    </row>
    <row r="4002" spans="1:20" x14ac:dyDescent="0.25">
      <c r="A4002">
        <v>20151031</v>
      </c>
      <c r="B4002">
        <v>2015</v>
      </c>
      <c r="C4002">
        <v>10</v>
      </c>
      <c r="D4002">
        <v>1</v>
      </c>
      <c r="E4002">
        <v>11250</v>
      </c>
      <c r="F4002">
        <v>83383.5</v>
      </c>
      <c r="G4002">
        <v>126684.85</v>
      </c>
      <c r="H4002">
        <v>0</v>
      </c>
      <c r="I4002">
        <v>0</v>
      </c>
      <c r="J4002">
        <v>-83383.5</v>
      </c>
      <c r="K4002">
        <v>0</v>
      </c>
      <c r="L4002">
        <v>16863518.68</v>
      </c>
      <c r="M4002">
        <v>17073587.030000001</v>
      </c>
      <c r="N4002">
        <v>16863518.68</v>
      </c>
      <c r="O4002">
        <v>17073587.030000001</v>
      </c>
      <c r="P4002">
        <v>16863518.68</v>
      </c>
      <c r="Q4002">
        <v>17073587.030000001</v>
      </c>
      <c r="R4002" s="14">
        <f>_xlfn.XLOOKUP(Table2[[#This Row],[LoanID]],Table1[G-L ID],Table1[ManagerCode],-99)</f>
        <v>183</v>
      </c>
      <c r="T4002"/>
    </row>
    <row r="4003" spans="1:20" x14ac:dyDescent="0.25">
      <c r="A4003">
        <v>20151031</v>
      </c>
      <c r="B4003">
        <v>2015</v>
      </c>
      <c r="C4003">
        <v>10</v>
      </c>
      <c r="D4003">
        <v>1</v>
      </c>
      <c r="E4003">
        <v>11330</v>
      </c>
      <c r="F4003">
        <v>61432.37</v>
      </c>
      <c r="G4003">
        <v>0</v>
      </c>
      <c r="H4003">
        <v>0</v>
      </c>
      <c r="I4003">
        <v>0</v>
      </c>
      <c r="J4003">
        <v>0</v>
      </c>
      <c r="K4003">
        <v>0</v>
      </c>
      <c r="L4003">
        <v>6370000</v>
      </c>
      <c r="M4003">
        <v>6370000</v>
      </c>
      <c r="N4003">
        <v>6370000</v>
      </c>
      <c r="O4003">
        <v>6370000</v>
      </c>
      <c r="P4003">
        <v>6370000</v>
      </c>
      <c r="Q4003">
        <v>6370000</v>
      </c>
      <c r="R4003" s="14">
        <f>_xlfn.XLOOKUP(Table2[[#This Row],[LoanID]],Table1[G-L ID],Table1[ManagerCode],-99)</f>
        <v>119</v>
      </c>
      <c r="T4003"/>
    </row>
    <row r="4004" spans="1:20" x14ac:dyDescent="0.25">
      <c r="A4004">
        <v>20151031</v>
      </c>
      <c r="B4004">
        <v>2015</v>
      </c>
      <c r="C4004">
        <v>10</v>
      </c>
      <c r="D4004">
        <v>1</v>
      </c>
      <c r="E4004">
        <v>11340</v>
      </c>
      <c r="F4004">
        <v>291666.67</v>
      </c>
      <c r="G4004">
        <v>0</v>
      </c>
      <c r="H4004">
        <v>50000</v>
      </c>
      <c r="I4004">
        <v>0</v>
      </c>
      <c r="J4004">
        <v>0</v>
      </c>
      <c r="K4004">
        <v>0</v>
      </c>
      <c r="L4004">
        <v>49500000</v>
      </c>
      <c r="M4004">
        <v>49500000</v>
      </c>
      <c r="N4004">
        <v>49500000</v>
      </c>
      <c r="O4004">
        <v>49500000</v>
      </c>
      <c r="P4004">
        <v>50000000</v>
      </c>
      <c r="Q4004">
        <v>50000000</v>
      </c>
      <c r="R4004" s="14">
        <f>_xlfn.XLOOKUP(Table2[[#This Row],[LoanID]],Table1[G-L ID],Table1[ManagerCode],-99)</f>
        <v>103</v>
      </c>
      <c r="T4004"/>
    </row>
    <row r="4005" spans="1:20" x14ac:dyDescent="0.25">
      <c r="A4005">
        <v>20151031</v>
      </c>
      <c r="B4005">
        <v>2015</v>
      </c>
      <c r="C4005">
        <v>10</v>
      </c>
      <c r="D4005">
        <v>1</v>
      </c>
      <c r="E4005">
        <v>11350</v>
      </c>
      <c r="F4005">
        <v>320833.33</v>
      </c>
      <c r="G4005">
        <v>0</v>
      </c>
      <c r="H4005">
        <v>0</v>
      </c>
      <c r="I4005">
        <v>0</v>
      </c>
      <c r="J4005">
        <v>0</v>
      </c>
      <c r="K4005">
        <v>0</v>
      </c>
      <c r="L4005">
        <v>54449945.549999997</v>
      </c>
      <c r="M4005">
        <v>54449945.549999997</v>
      </c>
      <c r="N4005">
        <v>54449945.549999997</v>
      </c>
      <c r="O4005">
        <v>54449945.549999997</v>
      </c>
      <c r="P4005">
        <v>55000000</v>
      </c>
      <c r="Q4005">
        <v>55000000</v>
      </c>
      <c r="R4005" s="14">
        <f>_xlfn.XLOOKUP(Table2[[#This Row],[LoanID]],Table1[G-L ID],Table1[ManagerCode],-99)</f>
        <v>103</v>
      </c>
      <c r="T4005"/>
    </row>
    <row r="4006" spans="1:20" x14ac:dyDescent="0.25">
      <c r="A4006">
        <v>20151031</v>
      </c>
      <c r="B4006">
        <v>2015</v>
      </c>
      <c r="C4006">
        <v>10</v>
      </c>
      <c r="D4006">
        <v>1</v>
      </c>
      <c r="E4006">
        <v>11370</v>
      </c>
      <c r="F4006">
        <v>53206.92</v>
      </c>
      <c r="G4006">
        <v>0</v>
      </c>
      <c r="H4006">
        <v>0</v>
      </c>
      <c r="I4006">
        <v>0</v>
      </c>
      <c r="J4006">
        <v>0</v>
      </c>
      <c r="K4006">
        <v>0</v>
      </c>
      <c r="L4006">
        <v>5868410.46</v>
      </c>
      <c r="M4006">
        <v>5868410.46</v>
      </c>
      <c r="N4006">
        <v>5868410.46</v>
      </c>
      <c r="O4006">
        <v>5868410.46</v>
      </c>
      <c r="P4006">
        <v>5868410.46</v>
      </c>
      <c r="Q4006">
        <v>5868410.46</v>
      </c>
      <c r="R4006" s="14">
        <f>_xlfn.XLOOKUP(Table2[[#This Row],[LoanID]],Table1[G-L ID],Table1[ManagerCode],-99)</f>
        <v>119</v>
      </c>
      <c r="T4006"/>
    </row>
    <row r="4007" spans="1:20" x14ac:dyDescent="0.25">
      <c r="A4007">
        <v>20151031</v>
      </c>
      <c r="B4007">
        <v>2015</v>
      </c>
      <c r="C4007">
        <v>10</v>
      </c>
      <c r="D4007">
        <v>1</v>
      </c>
      <c r="E4007">
        <v>11480</v>
      </c>
      <c r="F4007">
        <v>347491.67</v>
      </c>
      <c r="G4007">
        <v>0</v>
      </c>
      <c r="H4007">
        <v>0</v>
      </c>
      <c r="I4007">
        <v>0</v>
      </c>
      <c r="J4007">
        <v>0</v>
      </c>
      <c r="K4007">
        <v>0</v>
      </c>
      <c r="L4007">
        <v>66500000</v>
      </c>
      <c r="M4007">
        <v>66500000</v>
      </c>
      <c r="N4007">
        <v>66500000</v>
      </c>
      <c r="O4007">
        <v>66500000</v>
      </c>
      <c r="P4007">
        <v>70000000</v>
      </c>
      <c r="Q4007">
        <v>70000000</v>
      </c>
      <c r="R4007" s="14">
        <f>_xlfn.XLOOKUP(Table2[[#This Row],[LoanID]],Table1[G-L ID],Table1[ManagerCode],-99)</f>
        <v>103</v>
      </c>
      <c r="T4007"/>
    </row>
    <row r="4008" spans="1:20" x14ac:dyDescent="0.25">
      <c r="A4008">
        <v>20151031</v>
      </c>
      <c r="B4008">
        <v>2015</v>
      </c>
      <c r="C4008">
        <v>10</v>
      </c>
      <c r="D4008">
        <v>1</v>
      </c>
      <c r="E4008">
        <v>11490</v>
      </c>
      <c r="F4008">
        <v>330320.83</v>
      </c>
      <c r="G4008">
        <v>0</v>
      </c>
      <c r="H4008">
        <v>0</v>
      </c>
      <c r="I4008">
        <v>0</v>
      </c>
      <c r="J4008">
        <v>0</v>
      </c>
      <c r="K4008">
        <v>0</v>
      </c>
      <c r="L4008">
        <v>49500000</v>
      </c>
      <c r="M4008">
        <v>49500000</v>
      </c>
      <c r="N4008">
        <v>49500000</v>
      </c>
      <c r="O4008">
        <v>49500000</v>
      </c>
      <c r="P4008">
        <v>55000000</v>
      </c>
      <c r="Q4008">
        <v>55000000</v>
      </c>
      <c r="R4008" s="14">
        <f>_xlfn.XLOOKUP(Table2[[#This Row],[LoanID]],Table1[G-L ID],Table1[ManagerCode],-99)</f>
        <v>103</v>
      </c>
      <c r="T4008"/>
    </row>
    <row r="4009" spans="1:20" x14ac:dyDescent="0.25">
      <c r="A4009">
        <v>20151031</v>
      </c>
      <c r="B4009">
        <v>2015</v>
      </c>
      <c r="C4009">
        <v>10</v>
      </c>
      <c r="D4009">
        <v>1</v>
      </c>
      <c r="E4009">
        <v>11520</v>
      </c>
      <c r="F4009">
        <v>0</v>
      </c>
      <c r="G4009">
        <v>0</v>
      </c>
      <c r="H4009">
        <v>268430</v>
      </c>
      <c r="I4009">
        <v>0</v>
      </c>
      <c r="J4009">
        <v>-18100000</v>
      </c>
      <c r="K4009">
        <v>0</v>
      </c>
      <c r="L4009">
        <v>0</v>
      </c>
      <c r="M4009">
        <v>18100000</v>
      </c>
      <c r="N4009">
        <v>0</v>
      </c>
      <c r="O4009">
        <v>18100000</v>
      </c>
      <c r="P4009">
        <v>0</v>
      </c>
      <c r="Q4009">
        <v>18100000</v>
      </c>
      <c r="R4009" s="14">
        <f>_xlfn.XLOOKUP(Table2[[#This Row],[LoanID]],Table1[G-L ID],Table1[ManagerCode],-99)</f>
        <v>119</v>
      </c>
      <c r="T4009"/>
    </row>
    <row r="4010" spans="1:20" x14ac:dyDescent="0.25">
      <c r="A4010">
        <v>20151031</v>
      </c>
      <c r="B4010">
        <v>2015</v>
      </c>
      <c r="C4010">
        <v>10</v>
      </c>
      <c r="D4010">
        <v>1</v>
      </c>
      <c r="E4010">
        <v>11530</v>
      </c>
      <c r="F4010">
        <v>168750</v>
      </c>
      <c r="G4010">
        <v>0</v>
      </c>
      <c r="H4010">
        <v>-435000</v>
      </c>
      <c r="I4010">
        <v>0</v>
      </c>
      <c r="J4010">
        <v>33750000</v>
      </c>
      <c r="K4010">
        <v>0</v>
      </c>
      <c r="L4010">
        <v>45000000</v>
      </c>
      <c r="M4010">
        <v>11250000</v>
      </c>
      <c r="N4010">
        <v>45000000</v>
      </c>
      <c r="O4010">
        <v>11250000</v>
      </c>
      <c r="P4010">
        <v>45000000</v>
      </c>
      <c r="Q4010">
        <v>11250000</v>
      </c>
      <c r="R4010" s="14">
        <f>_xlfn.XLOOKUP(Table2[[#This Row],[LoanID]],Table1[G-L ID],Table1[ManagerCode],-99)</f>
        <v>119</v>
      </c>
      <c r="T4010"/>
    </row>
    <row r="4011" spans="1:20" x14ac:dyDescent="0.25">
      <c r="A4011">
        <v>20151031</v>
      </c>
      <c r="B4011">
        <v>2015</v>
      </c>
      <c r="C4011">
        <v>10</v>
      </c>
      <c r="D4011">
        <v>1</v>
      </c>
      <c r="E4011">
        <v>11560</v>
      </c>
      <c r="F4011">
        <v>76744.289999999994</v>
      </c>
      <c r="G4011">
        <v>161978.51</v>
      </c>
      <c r="H4011">
        <v>0</v>
      </c>
      <c r="I4011">
        <v>0</v>
      </c>
      <c r="J4011">
        <v>0</v>
      </c>
      <c r="K4011">
        <v>0</v>
      </c>
      <c r="L4011">
        <v>15653381.33</v>
      </c>
      <c r="M4011">
        <v>15815359.84</v>
      </c>
      <c r="N4011">
        <v>15653381.33</v>
      </c>
      <c r="O4011">
        <v>15815359.84</v>
      </c>
      <c r="P4011">
        <v>15653381.33</v>
      </c>
      <c r="Q4011">
        <v>15815359.84</v>
      </c>
      <c r="R4011" s="14">
        <f>_xlfn.XLOOKUP(Table2[[#This Row],[LoanID]],Table1[G-L ID],Table1[ManagerCode],-99)</f>
        <v>183</v>
      </c>
      <c r="T4011"/>
    </row>
    <row r="4012" spans="1:20" x14ac:dyDescent="0.25">
      <c r="A4012">
        <v>20151031</v>
      </c>
      <c r="B4012">
        <v>2015</v>
      </c>
      <c r="C4012">
        <v>10</v>
      </c>
      <c r="D4012">
        <v>1</v>
      </c>
      <c r="E4012">
        <v>11590</v>
      </c>
      <c r="F4012">
        <v>22650.82</v>
      </c>
      <c r="G4012">
        <v>0</v>
      </c>
      <c r="H4012">
        <v>0</v>
      </c>
      <c r="I4012">
        <v>0</v>
      </c>
      <c r="J4012">
        <v>0</v>
      </c>
      <c r="K4012">
        <v>0</v>
      </c>
      <c r="L4012">
        <v>3507224.44</v>
      </c>
      <c r="M4012">
        <v>3507224.44</v>
      </c>
      <c r="N4012">
        <v>3507224.44</v>
      </c>
      <c r="O4012">
        <v>3507224.44</v>
      </c>
      <c r="P4012">
        <v>3507224.44</v>
      </c>
      <c r="Q4012">
        <v>3507224.44</v>
      </c>
      <c r="R4012" s="14">
        <f>_xlfn.XLOOKUP(Table2[[#This Row],[LoanID]],Table1[G-L ID],Table1[ManagerCode],-99)</f>
        <v>119</v>
      </c>
      <c r="T4012"/>
    </row>
    <row r="4013" spans="1:20" x14ac:dyDescent="0.25">
      <c r="A4013">
        <v>20151031</v>
      </c>
      <c r="B4013">
        <v>2015</v>
      </c>
      <c r="C4013">
        <v>10</v>
      </c>
      <c r="D4013">
        <v>1</v>
      </c>
      <c r="E4013">
        <v>11650</v>
      </c>
      <c r="F4013">
        <v>75000</v>
      </c>
      <c r="G4013">
        <v>0</v>
      </c>
      <c r="H4013">
        <v>0</v>
      </c>
      <c r="I4013">
        <v>0</v>
      </c>
      <c r="J4013">
        <v>0</v>
      </c>
      <c r="K4013">
        <v>0</v>
      </c>
      <c r="L4013">
        <v>9600000</v>
      </c>
      <c r="M4013">
        <v>9600000</v>
      </c>
      <c r="N4013">
        <v>9600000</v>
      </c>
      <c r="O4013">
        <v>9600000</v>
      </c>
      <c r="P4013">
        <v>12000000</v>
      </c>
      <c r="Q4013">
        <v>12000000</v>
      </c>
      <c r="R4013" s="14">
        <f>_xlfn.XLOOKUP(Table2[[#This Row],[LoanID]],Table1[G-L ID],Table1[ManagerCode],-99)</f>
        <v>103</v>
      </c>
      <c r="T4013"/>
    </row>
    <row r="4014" spans="1:20" x14ac:dyDescent="0.25">
      <c r="A4014">
        <v>20151031</v>
      </c>
      <c r="B4014">
        <v>2015</v>
      </c>
      <c r="C4014">
        <v>10</v>
      </c>
      <c r="D4014">
        <v>1</v>
      </c>
      <c r="E4014">
        <v>11660</v>
      </c>
      <c r="F4014">
        <v>0</v>
      </c>
      <c r="G4014">
        <v>0</v>
      </c>
      <c r="H4014">
        <v>0</v>
      </c>
      <c r="I4014">
        <v>0</v>
      </c>
      <c r="J4014">
        <v>0</v>
      </c>
      <c r="K4014">
        <v>0</v>
      </c>
      <c r="L4014">
        <v>27647178</v>
      </c>
      <c r="M4014">
        <v>27647178</v>
      </c>
      <c r="N4014">
        <v>27647178</v>
      </c>
      <c r="O4014">
        <v>27647178</v>
      </c>
      <c r="P4014">
        <v>27647178</v>
      </c>
      <c r="Q4014">
        <v>27647178</v>
      </c>
      <c r="R4014" s="14">
        <f>_xlfn.XLOOKUP(Table2[[#This Row],[LoanID]],Table1[G-L ID],Table1[ManagerCode],-99)</f>
        <v>183</v>
      </c>
      <c r="T4014"/>
    </row>
    <row r="4015" spans="1:20" x14ac:dyDescent="0.25">
      <c r="A4015">
        <v>20151031</v>
      </c>
      <c r="B4015">
        <v>2015</v>
      </c>
      <c r="C4015">
        <v>10</v>
      </c>
      <c r="D4015">
        <v>1</v>
      </c>
      <c r="E4015">
        <v>11680</v>
      </c>
      <c r="F4015">
        <v>57126.559999999998</v>
      </c>
      <c r="G4015">
        <v>0</v>
      </c>
      <c r="H4015">
        <v>0</v>
      </c>
      <c r="I4015">
        <v>0</v>
      </c>
      <c r="J4015">
        <v>0</v>
      </c>
      <c r="K4015">
        <v>0</v>
      </c>
      <c r="L4015">
        <v>6600000</v>
      </c>
      <c r="M4015">
        <v>6600000</v>
      </c>
      <c r="N4015">
        <v>6600000</v>
      </c>
      <c r="O4015">
        <v>6600000</v>
      </c>
      <c r="P4015">
        <v>6600000</v>
      </c>
      <c r="Q4015">
        <v>6600000</v>
      </c>
      <c r="R4015" s="14">
        <f>_xlfn.XLOOKUP(Table2[[#This Row],[LoanID]],Table1[G-L ID],Table1[ManagerCode],-99)</f>
        <v>183</v>
      </c>
      <c r="T4015"/>
    </row>
    <row r="4016" spans="1:20" x14ac:dyDescent="0.25">
      <c r="A4016">
        <v>20151031</v>
      </c>
      <c r="B4016">
        <v>2015</v>
      </c>
      <c r="C4016">
        <v>10</v>
      </c>
      <c r="D4016">
        <v>1</v>
      </c>
      <c r="E4016">
        <v>11710</v>
      </c>
      <c r="F4016">
        <v>123087.5</v>
      </c>
      <c r="G4016">
        <v>0</v>
      </c>
      <c r="H4016">
        <v>0</v>
      </c>
      <c r="I4016">
        <v>0</v>
      </c>
      <c r="J4016">
        <v>0</v>
      </c>
      <c r="K4016">
        <v>0</v>
      </c>
      <c r="L4016">
        <v>15000000</v>
      </c>
      <c r="M4016">
        <v>15000000</v>
      </c>
      <c r="N4016">
        <v>15000000</v>
      </c>
      <c r="O4016">
        <v>15000000</v>
      </c>
      <c r="P4016">
        <v>15000000</v>
      </c>
      <c r="Q4016">
        <v>15000000</v>
      </c>
      <c r="R4016" s="14">
        <f>_xlfn.XLOOKUP(Table2[[#This Row],[LoanID]],Table1[G-L ID],Table1[ManagerCode],-99)</f>
        <v>119</v>
      </c>
      <c r="T4016"/>
    </row>
    <row r="4017" spans="1:20" x14ac:dyDescent="0.25">
      <c r="A4017">
        <v>20151031</v>
      </c>
      <c r="B4017">
        <v>2015</v>
      </c>
      <c r="C4017">
        <v>10</v>
      </c>
      <c r="D4017">
        <v>1</v>
      </c>
      <c r="E4017">
        <v>11720</v>
      </c>
      <c r="F4017">
        <v>125000</v>
      </c>
      <c r="G4017">
        <v>0</v>
      </c>
      <c r="H4017">
        <v>0</v>
      </c>
      <c r="I4017">
        <v>0</v>
      </c>
      <c r="J4017">
        <v>0</v>
      </c>
      <c r="K4017">
        <v>0</v>
      </c>
      <c r="L4017">
        <v>19800000</v>
      </c>
      <c r="M4017">
        <v>19800000</v>
      </c>
      <c r="N4017">
        <v>19800000</v>
      </c>
      <c r="O4017">
        <v>19800000</v>
      </c>
      <c r="P4017">
        <v>20000000</v>
      </c>
      <c r="Q4017">
        <v>20000000</v>
      </c>
      <c r="R4017" s="14">
        <f>_xlfn.XLOOKUP(Table2[[#This Row],[LoanID]],Table1[G-L ID],Table1[ManagerCode],-99)</f>
        <v>103</v>
      </c>
      <c r="T4017"/>
    </row>
    <row r="4018" spans="1:20" x14ac:dyDescent="0.25">
      <c r="A4018">
        <v>20151031</v>
      </c>
      <c r="B4018">
        <v>2015</v>
      </c>
      <c r="C4018">
        <v>10</v>
      </c>
      <c r="D4018">
        <v>1</v>
      </c>
      <c r="E4018">
        <v>11730</v>
      </c>
      <c r="F4018">
        <v>45552.49</v>
      </c>
      <c r="G4018">
        <v>0</v>
      </c>
      <c r="H4018">
        <v>0</v>
      </c>
      <c r="I4018">
        <v>0</v>
      </c>
      <c r="J4018">
        <v>0</v>
      </c>
      <c r="K4018">
        <v>0</v>
      </c>
      <c r="L4018">
        <v>4750000</v>
      </c>
      <c r="M4018">
        <v>4750000</v>
      </c>
      <c r="N4018">
        <v>4750000</v>
      </c>
      <c r="O4018">
        <v>4750000</v>
      </c>
      <c r="P4018">
        <v>4750000</v>
      </c>
      <c r="Q4018">
        <v>4750000</v>
      </c>
      <c r="R4018" s="14">
        <f>_xlfn.XLOOKUP(Table2[[#This Row],[LoanID]],Table1[G-L ID],Table1[ManagerCode],-99)</f>
        <v>119</v>
      </c>
      <c r="T4018"/>
    </row>
    <row r="4019" spans="1:20" x14ac:dyDescent="0.25">
      <c r="A4019">
        <v>20151031</v>
      </c>
      <c r="B4019">
        <v>2015</v>
      </c>
      <c r="C4019">
        <v>10</v>
      </c>
      <c r="D4019">
        <v>1</v>
      </c>
      <c r="E4019">
        <v>11740</v>
      </c>
      <c r="F4019">
        <v>191100</v>
      </c>
      <c r="G4019">
        <v>0</v>
      </c>
      <c r="H4019">
        <v>0</v>
      </c>
      <c r="I4019">
        <v>0</v>
      </c>
      <c r="J4019">
        <v>0</v>
      </c>
      <c r="K4019">
        <v>0</v>
      </c>
      <c r="L4019">
        <v>19110000</v>
      </c>
      <c r="M4019">
        <v>19110000</v>
      </c>
      <c r="N4019">
        <v>19110000</v>
      </c>
      <c r="O4019">
        <v>19110000</v>
      </c>
      <c r="P4019">
        <v>19110000</v>
      </c>
      <c r="Q4019">
        <v>19110000</v>
      </c>
      <c r="R4019" s="14">
        <f>_xlfn.XLOOKUP(Table2[[#This Row],[LoanID]],Table1[G-L ID],Table1[ManagerCode],-99)</f>
        <v>183</v>
      </c>
      <c r="T4019"/>
    </row>
    <row r="4020" spans="1:20" x14ac:dyDescent="0.25">
      <c r="A4020">
        <v>20151031</v>
      </c>
      <c r="B4020">
        <v>2015</v>
      </c>
      <c r="C4020">
        <v>10</v>
      </c>
      <c r="D4020">
        <v>1</v>
      </c>
      <c r="E4020">
        <v>11810</v>
      </c>
      <c r="F4020">
        <v>48971.79</v>
      </c>
      <c r="G4020">
        <v>0</v>
      </c>
      <c r="H4020">
        <v>0</v>
      </c>
      <c r="I4020">
        <v>0</v>
      </c>
      <c r="J4020">
        <v>0</v>
      </c>
      <c r="K4020">
        <v>11886.3</v>
      </c>
      <c r="L4020">
        <v>9475324.3399999999</v>
      </c>
      <c r="M4020">
        <v>9463556.9000000004</v>
      </c>
      <c r="N4020">
        <v>9475324.3399999999</v>
      </c>
      <c r="O4020">
        <v>9463556.9000000004</v>
      </c>
      <c r="P4020">
        <v>9571034.6799999997</v>
      </c>
      <c r="Q4020">
        <v>9559148.3800000008</v>
      </c>
      <c r="R4020" s="14">
        <f>_xlfn.XLOOKUP(Table2[[#This Row],[LoanID]],Table1[G-L ID],Table1[ManagerCode],-99)</f>
        <v>103</v>
      </c>
      <c r="T4020"/>
    </row>
    <row r="4021" spans="1:20" x14ac:dyDescent="0.25">
      <c r="A4021">
        <v>20151031</v>
      </c>
      <c r="B4021">
        <v>2015</v>
      </c>
      <c r="C4021">
        <v>10</v>
      </c>
      <c r="D4021">
        <v>1</v>
      </c>
      <c r="E4021">
        <v>11880</v>
      </c>
      <c r="F4021">
        <v>306529.57</v>
      </c>
      <c r="G4021">
        <v>142716.66</v>
      </c>
      <c r="H4021">
        <v>0</v>
      </c>
      <c r="I4021">
        <v>0</v>
      </c>
      <c r="J4021">
        <v>-632942.05000000005</v>
      </c>
      <c r="K4021">
        <v>0</v>
      </c>
      <c r="L4021">
        <v>66457056.670000002</v>
      </c>
      <c r="M4021">
        <v>67232715.379999995</v>
      </c>
      <c r="N4021">
        <v>66457056.670000002</v>
      </c>
      <c r="O4021">
        <v>67232715.379999995</v>
      </c>
      <c r="P4021">
        <v>66457056.670000002</v>
      </c>
      <c r="Q4021">
        <v>67232715.379999995</v>
      </c>
      <c r="R4021" s="14">
        <f>_xlfn.XLOOKUP(Table2[[#This Row],[LoanID]],Table1[G-L ID],Table1[ManagerCode],-99)</f>
        <v>183</v>
      </c>
      <c r="T4021"/>
    </row>
    <row r="4022" spans="1:20" x14ac:dyDescent="0.25">
      <c r="A4022">
        <v>20151031</v>
      </c>
      <c r="B4022">
        <v>2015</v>
      </c>
      <c r="C4022">
        <v>10</v>
      </c>
      <c r="D4022">
        <v>1</v>
      </c>
      <c r="E4022">
        <v>11980</v>
      </c>
      <c r="F4022">
        <v>115104.17</v>
      </c>
      <c r="G4022">
        <v>0</v>
      </c>
      <c r="H4022">
        <v>0</v>
      </c>
      <c r="I4022">
        <v>0</v>
      </c>
      <c r="J4022">
        <v>0</v>
      </c>
      <c r="K4022">
        <v>0</v>
      </c>
      <c r="L4022">
        <v>32500000</v>
      </c>
      <c r="M4022">
        <v>32500000</v>
      </c>
      <c r="N4022">
        <v>32500000</v>
      </c>
      <c r="O4022">
        <v>32500000</v>
      </c>
      <c r="P4022">
        <v>32500000</v>
      </c>
      <c r="Q4022">
        <v>32500000</v>
      </c>
      <c r="R4022" s="14">
        <f>_xlfn.XLOOKUP(Table2[[#This Row],[LoanID]],Table1[G-L ID],Table1[ManagerCode],-99)</f>
        <v>119</v>
      </c>
      <c r="T4022"/>
    </row>
    <row r="4023" spans="1:20" x14ac:dyDescent="0.25">
      <c r="A4023">
        <v>20151031</v>
      </c>
      <c r="B4023">
        <v>2015</v>
      </c>
      <c r="C4023">
        <v>10</v>
      </c>
      <c r="D4023">
        <v>1</v>
      </c>
      <c r="E4023">
        <v>11990</v>
      </c>
      <c r="F4023">
        <v>97537.5</v>
      </c>
      <c r="G4023">
        <v>0</v>
      </c>
      <c r="H4023">
        <v>0</v>
      </c>
      <c r="I4023">
        <v>0</v>
      </c>
      <c r="J4023">
        <v>0</v>
      </c>
      <c r="K4023">
        <v>0</v>
      </c>
      <c r="L4023">
        <v>15000000</v>
      </c>
      <c r="M4023">
        <v>15000000</v>
      </c>
      <c r="N4023">
        <v>15000000</v>
      </c>
      <c r="O4023">
        <v>15000000</v>
      </c>
      <c r="P4023">
        <v>15000000</v>
      </c>
      <c r="Q4023">
        <v>15000000</v>
      </c>
      <c r="R4023" s="14">
        <f>_xlfn.XLOOKUP(Table2[[#This Row],[LoanID]],Table1[G-L ID],Table1[ManagerCode],-99)</f>
        <v>220</v>
      </c>
      <c r="T4023"/>
    </row>
    <row r="4024" spans="1:20" x14ac:dyDescent="0.25">
      <c r="A4024">
        <v>20151031</v>
      </c>
      <c r="B4024">
        <v>2015</v>
      </c>
      <c r="C4024">
        <v>10</v>
      </c>
      <c r="D4024">
        <v>1</v>
      </c>
      <c r="E4024">
        <v>12160</v>
      </c>
      <c r="F4024">
        <v>80594.429999999993</v>
      </c>
      <c r="G4024">
        <v>98492.44</v>
      </c>
      <c r="H4024">
        <v>0</v>
      </c>
      <c r="I4024">
        <v>0</v>
      </c>
      <c r="J4024">
        <v>-80594.429999999993</v>
      </c>
      <c r="K4024">
        <v>0</v>
      </c>
      <c r="L4024">
        <v>16269064.359999999</v>
      </c>
      <c r="M4024">
        <v>16448151.23</v>
      </c>
      <c r="N4024">
        <v>16269064.359999999</v>
      </c>
      <c r="O4024">
        <v>16448151.23</v>
      </c>
      <c r="P4024">
        <v>16269064.359999999</v>
      </c>
      <c r="Q4024">
        <v>16448151.23</v>
      </c>
      <c r="R4024" s="14">
        <f>_xlfn.XLOOKUP(Table2[[#This Row],[LoanID]],Table1[G-L ID],Table1[ManagerCode],-99)</f>
        <v>183</v>
      </c>
      <c r="T4024"/>
    </row>
    <row r="4025" spans="1:20" x14ac:dyDescent="0.25">
      <c r="A4025">
        <v>20151031</v>
      </c>
      <c r="B4025">
        <v>2015</v>
      </c>
      <c r="C4025">
        <v>10</v>
      </c>
      <c r="D4025">
        <v>1</v>
      </c>
      <c r="E4025">
        <v>12180</v>
      </c>
      <c r="F4025">
        <v>226041.67</v>
      </c>
      <c r="G4025">
        <v>0</v>
      </c>
      <c r="H4025">
        <v>0</v>
      </c>
      <c r="I4025">
        <v>0</v>
      </c>
      <c r="J4025">
        <v>0</v>
      </c>
      <c r="K4025">
        <v>0</v>
      </c>
      <c r="L4025">
        <v>35000000</v>
      </c>
      <c r="M4025">
        <v>35000000</v>
      </c>
      <c r="N4025">
        <v>35000000</v>
      </c>
      <c r="O4025">
        <v>35000000</v>
      </c>
      <c r="P4025">
        <v>35000000</v>
      </c>
      <c r="Q4025">
        <v>35000000</v>
      </c>
      <c r="R4025" s="14">
        <f>_xlfn.XLOOKUP(Table2[[#This Row],[LoanID]],Table1[G-L ID],Table1[ManagerCode],-99)</f>
        <v>220</v>
      </c>
      <c r="T4025"/>
    </row>
    <row r="4026" spans="1:20" x14ac:dyDescent="0.25">
      <c r="A4026">
        <v>20151031</v>
      </c>
      <c r="B4026">
        <v>2015</v>
      </c>
      <c r="C4026">
        <v>10</v>
      </c>
      <c r="D4026">
        <v>1</v>
      </c>
      <c r="E4026">
        <v>12190</v>
      </c>
      <c r="F4026">
        <v>252429.38</v>
      </c>
      <c r="G4026">
        <v>0</v>
      </c>
      <c r="H4026">
        <v>0</v>
      </c>
      <c r="I4026">
        <v>0</v>
      </c>
      <c r="J4026">
        <v>0</v>
      </c>
      <c r="K4026">
        <v>0</v>
      </c>
      <c r="L4026">
        <v>34383117</v>
      </c>
      <c r="M4026">
        <v>34383117</v>
      </c>
      <c r="N4026">
        <v>34383117</v>
      </c>
      <c r="O4026">
        <v>34383117</v>
      </c>
      <c r="P4026">
        <v>34383117</v>
      </c>
      <c r="Q4026">
        <v>34383117</v>
      </c>
      <c r="R4026" s="14">
        <f>_xlfn.XLOOKUP(Table2[[#This Row],[LoanID]],Table1[G-L ID],Table1[ManagerCode],-99)</f>
        <v>220</v>
      </c>
      <c r="T4026"/>
    </row>
    <row r="4027" spans="1:20" x14ac:dyDescent="0.25">
      <c r="A4027">
        <v>20151031</v>
      </c>
      <c r="B4027">
        <v>2015</v>
      </c>
      <c r="C4027">
        <v>10</v>
      </c>
      <c r="D4027">
        <v>1</v>
      </c>
      <c r="E4027">
        <v>12210</v>
      </c>
      <c r="F4027">
        <v>663348.73</v>
      </c>
      <c r="G4027">
        <v>0</v>
      </c>
      <c r="H4027">
        <v>0</v>
      </c>
      <c r="I4027">
        <v>0</v>
      </c>
      <c r="J4027">
        <v>0</v>
      </c>
      <c r="K4027">
        <v>233141.28</v>
      </c>
      <c r="L4027">
        <v>118129151.09999999</v>
      </c>
      <c r="M4027">
        <v>117361965.59999999</v>
      </c>
      <c r="N4027">
        <v>118129151.09999999</v>
      </c>
      <c r="O4027">
        <v>117361965.59999999</v>
      </c>
      <c r="P4027">
        <v>107330895.90000001</v>
      </c>
      <c r="Q4027">
        <v>107097754.7</v>
      </c>
      <c r="R4027" s="14">
        <f>_xlfn.XLOOKUP(Table2[[#This Row],[LoanID]],Table1[G-L ID],Table1[ManagerCode],-99)</f>
        <v>103</v>
      </c>
      <c r="T4027"/>
    </row>
    <row r="4028" spans="1:20" x14ac:dyDescent="0.25">
      <c r="A4028">
        <v>20151031</v>
      </c>
      <c r="B4028">
        <v>2015</v>
      </c>
      <c r="C4028">
        <v>10</v>
      </c>
      <c r="D4028">
        <v>1</v>
      </c>
      <c r="E4028">
        <v>12230</v>
      </c>
      <c r="F4028">
        <v>102051.67</v>
      </c>
      <c r="G4028">
        <v>0</v>
      </c>
      <c r="H4028">
        <v>0</v>
      </c>
      <c r="I4028">
        <v>0</v>
      </c>
      <c r="J4028">
        <v>0</v>
      </c>
      <c r="K4028">
        <v>0</v>
      </c>
      <c r="L4028">
        <v>19548312.32</v>
      </c>
      <c r="M4028">
        <v>19548312.32</v>
      </c>
      <c r="N4028">
        <v>13032859.82</v>
      </c>
      <c r="O4028">
        <v>13032859.82</v>
      </c>
      <c r="P4028">
        <v>19548312.32</v>
      </c>
      <c r="Q4028">
        <v>19548312.32</v>
      </c>
      <c r="R4028" s="14">
        <f>_xlfn.XLOOKUP(Table2[[#This Row],[LoanID]],Table1[G-L ID],Table1[ManagerCode],-99)</f>
        <v>183</v>
      </c>
      <c r="T4028"/>
    </row>
    <row r="4029" spans="1:20" x14ac:dyDescent="0.25">
      <c r="A4029">
        <v>20151031</v>
      </c>
      <c r="B4029">
        <v>2015</v>
      </c>
      <c r="C4029">
        <v>10</v>
      </c>
      <c r="D4029">
        <v>1</v>
      </c>
      <c r="E4029">
        <v>12240</v>
      </c>
      <c r="F4029">
        <v>0</v>
      </c>
      <c r="G4029">
        <v>1408653.97</v>
      </c>
      <c r="H4029">
        <v>0</v>
      </c>
      <c r="I4029">
        <v>0</v>
      </c>
      <c r="J4029">
        <v>-402272.42</v>
      </c>
      <c r="K4029">
        <v>0</v>
      </c>
      <c r="L4029">
        <v>126218309.3</v>
      </c>
      <c r="M4029">
        <v>128029235.7</v>
      </c>
      <c r="N4029">
        <v>126218309.3</v>
      </c>
      <c r="O4029">
        <v>128029235.7</v>
      </c>
      <c r="P4029">
        <v>126218309.3</v>
      </c>
      <c r="Q4029">
        <v>128029235.7</v>
      </c>
      <c r="R4029" s="14">
        <f>_xlfn.XLOOKUP(Table2[[#This Row],[LoanID]],Table1[G-L ID],Table1[ManagerCode],-99)</f>
        <v>183</v>
      </c>
      <c r="T4029"/>
    </row>
    <row r="4030" spans="1:20" x14ac:dyDescent="0.25">
      <c r="A4030">
        <v>20151031</v>
      </c>
      <c r="B4030">
        <v>2015</v>
      </c>
      <c r="C4030">
        <v>10</v>
      </c>
      <c r="D4030">
        <v>1</v>
      </c>
      <c r="E4030">
        <v>13630</v>
      </c>
      <c r="F4030">
        <v>211458.33</v>
      </c>
      <c r="G4030">
        <v>0</v>
      </c>
      <c r="H4030">
        <v>0</v>
      </c>
      <c r="I4030">
        <v>0</v>
      </c>
      <c r="J4030">
        <v>0</v>
      </c>
      <c r="K4030">
        <v>0</v>
      </c>
      <c r="L4030">
        <v>35000000</v>
      </c>
      <c r="M4030">
        <v>35000000</v>
      </c>
      <c r="N4030">
        <v>35000000</v>
      </c>
      <c r="O4030">
        <v>35000000</v>
      </c>
      <c r="P4030">
        <v>35000000</v>
      </c>
      <c r="Q4030">
        <v>35000000</v>
      </c>
      <c r="R4030" s="14">
        <f>_xlfn.XLOOKUP(Table2[[#This Row],[LoanID]],Table1[G-L ID],Table1[ManagerCode],-99)</f>
        <v>298</v>
      </c>
      <c r="T4030"/>
    </row>
    <row r="4031" spans="1:20" x14ac:dyDescent="0.25">
      <c r="A4031">
        <v>20151031</v>
      </c>
      <c r="B4031">
        <v>2015</v>
      </c>
      <c r="C4031">
        <v>10</v>
      </c>
      <c r="D4031">
        <v>1</v>
      </c>
      <c r="E4031">
        <v>13670</v>
      </c>
      <c r="F4031">
        <v>272093.75</v>
      </c>
      <c r="G4031">
        <v>0</v>
      </c>
      <c r="H4031">
        <v>0</v>
      </c>
      <c r="I4031">
        <v>0</v>
      </c>
      <c r="J4031">
        <v>0</v>
      </c>
      <c r="K4031">
        <v>0</v>
      </c>
      <c r="L4031">
        <v>37500000</v>
      </c>
      <c r="M4031">
        <v>37500000</v>
      </c>
      <c r="N4031">
        <v>37500000</v>
      </c>
      <c r="O4031">
        <v>37500000</v>
      </c>
      <c r="P4031">
        <v>37500000</v>
      </c>
      <c r="Q4031">
        <v>37500000</v>
      </c>
      <c r="R4031" s="14">
        <f>_xlfn.XLOOKUP(Table2[[#This Row],[LoanID]],Table1[G-L ID],Table1[ManagerCode],-99)</f>
        <v>298</v>
      </c>
      <c r="T4031"/>
    </row>
    <row r="4032" spans="1:20" x14ac:dyDescent="0.25">
      <c r="A4032">
        <v>20151031</v>
      </c>
      <c r="B4032">
        <v>2015</v>
      </c>
      <c r="C4032">
        <v>10</v>
      </c>
      <c r="D4032">
        <v>1</v>
      </c>
      <c r="E4032">
        <v>13680</v>
      </c>
      <c r="F4032">
        <v>135937.5</v>
      </c>
      <c r="G4032">
        <v>0</v>
      </c>
      <c r="H4032">
        <v>0</v>
      </c>
      <c r="I4032">
        <v>0</v>
      </c>
      <c r="J4032">
        <v>0</v>
      </c>
      <c r="K4032">
        <v>0</v>
      </c>
      <c r="L4032">
        <v>18000000</v>
      </c>
      <c r="M4032">
        <v>18000000</v>
      </c>
      <c r="N4032">
        <v>18000000</v>
      </c>
      <c r="O4032">
        <v>18000000</v>
      </c>
      <c r="P4032">
        <v>18000000</v>
      </c>
      <c r="Q4032">
        <v>18000000</v>
      </c>
      <c r="R4032" s="14">
        <f>_xlfn.XLOOKUP(Table2[[#This Row],[LoanID]],Table1[G-L ID],Table1[ManagerCode],-99)</f>
        <v>298</v>
      </c>
      <c r="T4032"/>
    </row>
    <row r="4033" spans="1:20" x14ac:dyDescent="0.25">
      <c r="A4033">
        <v>20151031</v>
      </c>
      <c r="B4033">
        <v>2015</v>
      </c>
      <c r="C4033">
        <v>10</v>
      </c>
      <c r="D4033">
        <v>1</v>
      </c>
      <c r="E4033">
        <v>13690</v>
      </c>
      <c r="F4033">
        <v>129166.67</v>
      </c>
      <c r="G4033">
        <v>0</v>
      </c>
      <c r="H4033">
        <v>0</v>
      </c>
      <c r="I4033">
        <v>0</v>
      </c>
      <c r="J4033">
        <v>0</v>
      </c>
      <c r="K4033">
        <v>0</v>
      </c>
      <c r="L4033">
        <v>20000000</v>
      </c>
      <c r="M4033">
        <v>20000000</v>
      </c>
      <c r="N4033">
        <v>20000000</v>
      </c>
      <c r="O4033">
        <v>20000000</v>
      </c>
      <c r="P4033">
        <v>20000000</v>
      </c>
      <c r="Q4033">
        <v>20000000</v>
      </c>
      <c r="R4033" s="14">
        <f>_xlfn.XLOOKUP(Table2[[#This Row],[LoanID]],Table1[G-L ID],Table1[ManagerCode],-99)</f>
        <v>298</v>
      </c>
      <c r="T4033"/>
    </row>
    <row r="4034" spans="1:20" x14ac:dyDescent="0.25">
      <c r="A4034">
        <v>20151031</v>
      </c>
      <c r="B4034">
        <v>2015</v>
      </c>
      <c r="C4034">
        <v>10</v>
      </c>
      <c r="D4034">
        <v>1</v>
      </c>
      <c r="E4034">
        <v>15580</v>
      </c>
      <c r="F4034">
        <v>114298.62</v>
      </c>
      <c r="G4034">
        <v>3737.44</v>
      </c>
      <c r="H4034">
        <v>0</v>
      </c>
      <c r="I4034">
        <v>0</v>
      </c>
      <c r="J4034">
        <v>0</v>
      </c>
      <c r="K4034">
        <v>9102.69</v>
      </c>
      <c r="L4034">
        <v>14942227.189999999</v>
      </c>
      <c r="M4034">
        <v>14936861.939999999</v>
      </c>
      <c r="N4034">
        <v>14942227.189999999</v>
      </c>
      <c r="O4034">
        <v>14936861.939999999</v>
      </c>
      <c r="P4034">
        <v>14942227.189999999</v>
      </c>
      <c r="Q4034">
        <v>14936861.939999999</v>
      </c>
      <c r="R4034" s="14">
        <f>_xlfn.XLOOKUP(Table2[[#This Row],[LoanID]],Table1[G-L ID],Table1[ManagerCode],-99)</f>
        <v>212</v>
      </c>
      <c r="T4034"/>
    </row>
    <row r="4035" spans="1:20" x14ac:dyDescent="0.25">
      <c r="A4035">
        <v>20151130</v>
      </c>
      <c r="B4035">
        <v>2015</v>
      </c>
      <c r="C4035">
        <v>11</v>
      </c>
      <c r="D4035">
        <v>1</v>
      </c>
      <c r="E4035">
        <v>10010</v>
      </c>
      <c r="F4035">
        <v>159377.48000000001</v>
      </c>
      <c r="G4035">
        <v>0</v>
      </c>
      <c r="H4035">
        <v>0</v>
      </c>
      <c r="I4035">
        <v>0</v>
      </c>
      <c r="J4035">
        <v>0</v>
      </c>
      <c r="K4035">
        <v>0</v>
      </c>
      <c r="L4035">
        <v>16501119.51</v>
      </c>
      <c r="M4035">
        <v>16501119.51</v>
      </c>
      <c r="N4035">
        <v>16501119.51</v>
      </c>
      <c r="O4035">
        <v>16501119.51</v>
      </c>
      <c r="P4035">
        <v>16501119.51</v>
      </c>
      <c r="Q4035">
        <v>16501119.51</v>
      </c>
      <c r="R4035" s="14">
        <f>_xlfn.XLOOKUP(Table2[[#This Row],[LoanID]],Table1[G-L ID],Table1[ManagerCode],-99)</f>
        <v>119</v>
      </c>
      <c r="T4035"/>
    </row>
    <row r="4036" spans="1:20" x14ac:dyDescent="0.25">
      <c r="A4036">
        <v>20151130</v>
      </c>
      <c r="B4036">
        <v>2015</v>
      </c>
      <c r="C4036">
        <v>11</v>
      </c>
      <c r="D4036">
        <v>1</v>
      </c>
      <c r="E4036">
        <v>10030</v>
      </c>
      <c r="F4036">
        <v>65166.17</v>
      </c>
      <c r="G4036">
        <v>0</v>
      </c>
      <c r="H4036">
        <v>346750</v>
      </c>
      <c r="I4036">
        <v>0</v>
      </c>
      <c r="J4036">
        <v>-25375000</v>
      </c>
      <c r="K4036">
        <v>0</v>
      </c>
      <c r="L4036">
        <v>0</v>
      </c>
      <c r="M4036">
        <v>25375000</v>
      </c>
      <c r="N4036">
        <v>0</v>
      </c>
      <c r="O4036">
        <v>25375000</v>
      </c>
      <c r="P4036">
        <v>0</v>
      </c>
      <c r="Q4036">
        <v>25375000</v>
      </c>
      <c r="R4036" s="14">
        <f>_xlfn.XLOOKUP(Table2[[#This Row],[LoanID]],Table1[G-L ID],Table1[ManagerCode],-99)</f>
        <v>119</v>
      </c>
      <c r="T4036"/>
    </row>
    <row r="4037" spans="1:20" x14ac:dyDescent="0.25">
      <c r="A4037">
        <v>20151130</v>
      </c>
      <c r="B4037">
        <v>2015</v>
      </c>
      <c r="C4037">
        <v>11</v>
      </c>
      <c r="D4037">
        <v>1</v>
      </c>
      <c r="E4037">
        <v>10040</v>
      </c>
      <c r="F4037">
        <v>44131.94</v>
      </c>
      <c r="G4037">
        <v>0</v>
      </c>
      <c r="H4037">
        <v>0</v>
      </c>
      <c r="I4037">
        <v>0</v>
      </c>
      <c r="J4037">
        <v>0</v>
      </c>
      <c r="K4037">
        <v>0</v>
      </c>
      <c r="L4037">
        <v>5000000</v>
      </c>
      <c r="M4037">
        <v>5000000</v>
      </c>
      <c r="N4037">
        <v>5000000</v>
      </c>
      <c r="O4037">
        <v>5000000</v>
      </c>
      <c r="P4037">
        <v>5000000</v>
      </c>
      <c r="Q4037">
        <v>5000000</v>
      </c>
      <c r="R4037" s="14">
        <f>_xlfn.XLOOKUP(Table2[[#This Row],[LoanID]],Table1[G-L ID],Table1[ManagerCode],-99)</f>
        <v>119</v>
      </c>
      <c r="T4037"/>
    </row>
    <row r="4038" spans="1:20" x14ac:dyDescent="0.25">
      <c r="A4038">
        <v>20151130</v>
      </c>
      <c r="B4038">
        <v>2015</v>
      </c>
      <c r="C4038">
        <v>11</v>
      </c>
      <c r="D4038">
        <v>1</v>
      </c>
      <c r="E4038">
        <v>10050</v>
      </c>
      <c r="F4038">
        <v>153981.01999999999</v>
      </c>
      <c r="G4038">
        <v>0</v>
      </c>
      <c r="H4038">
        <v>0</v>
      </c>
      <c r="I4038">
        <v>0</v>
      </c>
      <c r="J4038">
        <v>0</v>
      </c>
      <c r="K4038">
        <v>0</v>
      </c>
      <c r="L4038">
        <v>37532575.329999998</v>
      </c>
      <c r="M4038">
        <v>37532575.329999998</v>
      </c>
      <c r="N4038">
        <v>37532575.329999998</v>
      </c>
      <c r="O4038">
        <v>37532575.329999998</v>
      </c>
      <c r="P4038">
        <v>33333334</v>
      </c>
      <c r="Q4038">
        <v>33333334</v>
      </c>
      <c r="R4038" s="14">
        <f>_xlfn.XLOOKUP(Table2[[#This Row],[LoanID]],Table1[G-L ID],Table1[ManagerCode],-99)</f>
        <v>103</v>
      </c>
      <c r="T4038"/>
    </row>
    <row r="4039" spans="1:20" x14ac:dyDescent="0.25">
      <c r="A4039">
        <v>20151130</v>
      </c>
      <c r="B4039">
        <v>2015</v>
      </c>
      <c r="C4039">
        <v>11</v>
      </c>
      <c r="D4039">
        <v>1</v>
      </c>
      <c r="E4039">
        <v>10090</v>
      </c>
      <c r="F4039">
        <v>352027.77</v>
      </c>
      <c r="G4039">
        <v>0</v>
      </c>
      <c r="H4039">
        <v>230000</v>
      </c>
      <c r="I4039">
        <v>0</v>
      </c>
      <c r="J4039">
        <v>0</v>
      </c>
      <c r="K4039">
        <v>23000000</v>
      </c>
      <c r="L4039">
        <v>23000000</v>
      </c>
      <c r="M4039">
        <v>0</v>
      </c>
      <c r="N4039">
        <v>23000000</v>
      </c>
      <c r="O4039">
        <v>0</v>
      </c>
      <c r="P4039">
        <v>23000000</v>
      </c>
      <c r="Q4039">
        <v>0</v>
      </c>
      <c r="R4039" s="14">
        <f>_xlfn.XLOOKUP(Table2[[#This Row],[LoanID]],Table1[G-L ID],Table1[ManagerCode],-99)</f>
        <v>119</v>
      </c>
      <c r="T4039"/>
    </row>
    <row r="4040" spans="1:20" x14ac:dyDescent="0.25">
      <c r="A4040">
        <v>20151130</v>
      </c>
      <c r="B4040">
        <v>2015</v>
      </c>
      <c r="C4040">
        <v>11</v>
      </c>
      <c r="D4040">
        <v>1</v>
      </c>
      <c r="E4040">
        <v>10100</v>
      </c>
      <c r="F4040">
        <v>198453.33</v>
      </c>
      <c r="G4040">
        <v>0</v>
      </c>
      <c r="H4040">
        <v>0</v>
      </c>
      <c r="I4040">
        <v>0</v>
      </c>
      <c r="J4040">
        <v>0</v>
      </c>
      <c r="K4040">
        <v>0</v>
      </c>
      <c r="L4040">
        <v>30500000</v>
      </c>
      <c r="M4040">
        <v>30500000</v>
      </c>
      <c r="N4040">
        <v>30500000</v>
      </c>
      <c r="O4040">
        <v>30500000</v>
      </c>
      <c r="P4040">
        <v>30500000</v>
      </c>
      <c r="Q4040">
        <v>30500000</v>
      </c>
      <c r="R4040" s="14">
        <f>_xlfn.XLOOKUP(Table2[[#This Row],[LoanID]],Table1[G-L ID],Table1[ManagerCode],-99)</f>
        <v>220</v>
      </c>
      <c r="T4040"/>
    </row>
    <row r="4041" spans="1:20" x14ac:dyDescent="0.25">
      <c r="A4041">
        <v>20151130</v>
      </c>
      <c r="B4041">
        <v>2015</v>
      </c>
      <c r="C4041">
        <v>11</v>
      </c>
      <c r="D4041">
        <v>1</v>
      </c>
      <c r="E4041">
        <v>10120</v>
      </c>
      <c r="F4041">
        <v>43585.51</v>
      </c>
      <c r="G4041">
        <v>51964.95</v>
      </c>
      <c r="H4041">
        <v>0</v>
      </c>
      <c r="I4041">
        <v>0</v>
      </c>
      <c r="J4041">
        <v>-392019.29</v>
      </c>
      <c r="K4041">
        <v>0</v>
      </c>
      <c r="L4041">
        <v>9495882.4900000002</v>
      </c>
      <c r="M4041">
        <v>9939866.7300000004</v>
      </c>
      <c r="N4041">
        <v>9495882.4900000002</v>
      </c>
      <c r="O4041">
        <v>9939866.7300000004</v>
      </c>
      <c r="P4041">
        <v>9495882.4900000002</v>
      </c>
      <c r="Q4041">
        <v>9939866.7300000004</v>
      </c>
      <c r="R4041" s="14">
        <f>_xlfn.XLOOKUP(Table2[[#This Row],[LoanID]],Table1[G-L ID],Table1[ManagerCode],-99)</f>
        <v>183</v>
      </c>
      <c r="T4041"/>
    </row>
    <row r="4042" spans="1:20" x14ac:dyDescent="0.25">
      <c r="A4042">
        <v>20151130</v>
      </c>
      <c r="B4042">
        <v>2015</v>
      </c>
      <c r="C4042">
        <v>11</v>
      </c>
      <c r="D4042">
        <v>1</v>
      </c>
      <c r="E4042">
        <v>10160</v>
      </c>
      <c r="F4042">
        <v>111319.21</v>
      </c>
      <c r="G4042">
        <v>0</v>
      </c>
      <c r="H4042">
        <v>0</v>
      </c>
      <c r="I4042">
        <v>0</v>
      </c>
      <c r="J4042">
        <v>0</v>
      </c>
      <c r="K4042">
        <v>0</v>
      </c>
      <c r="L4042">
        <v>14051513.300000001</v>
      </c>
      <c r="M4042">
        <v>14051513.300000001</v>
      </c>
      <c r="N4042">
        <v>14051513.300000001</v>
      </c>
      <c r="O4042">
        <v>14051513.300000001</v>
      </c>
      <c r="P4042">
        <v>14051513.300000001</v>
      </c>
      <c r="Q4042">
        <v>14051513.300000001</v>
      </c>
      <c r="R4042" s="14">
        <f>_xlfn.XLOOKUP(Table2[[#This Row],[LoanID]],Table1[G-L ID],Table1[ManagerCode],-99)</f>
        <v>119</v>
      </c>
      <c r="T4042"/>
    </row>
    <row r="4043" spans="1:20" x14ac:dyDescent="0.25">
      <c r="A4043">
        <v>20151130</v>
      </c>
      <c r="B4043">
        <v>2015</v>
      </c>
      <c r="C4043">
        <v>11</v>
      </c>
      <c r="D4043">
        <v>1</v>
      </c>
      <c r="E4043">
        <v>10220</v>
      </c>
      <c r="F4043">
        <v>0</v>
      </c>
      <c r="G4043">
        <v>0</v>
      </c>
      <c r="H4043">
        <v>0</v>
      </c>
      <c r="I4043">
        <v>0</v>
      </c>
      <c r="J4043">
        <v>0</v>
      </c>
      <c r="K4043">
        <v>0</v>
      </c>
      <c r="L4043">
        <v>114769448.5</v>
      </c>
      <c r="M4043">
        <v>114324997</v>
      </c>
      <c r="N4043">
        <v>114769448.5</v>
      </c>
      <c r="O4043">
        <v>114324997</v>
      </c>
      <c r="P4043">
        <v>100000000</v>
      </c>
      <c r="Q4043">
        <v>100000000</v>
      </c>
      <c r="R4043" s="14">
        <f>_xlfn.XLOOKUP(Table2[[#This Row],[LoanID]],Table1[G-L ID],Table1[ManagerCode],-99)</f>
        <v>103</v>
      </c>
      <c r="T4043"/>
    </row>
    <row r="4044" spans="1:20" x14ac:dyDescent="0.25">
      <c r="A4044">
        <v>20151130</v>
      </c>
      <c r="B4044">
        <v>2015</v>
      </c>
      <c r="C4044">
        <v>11</v>
      </c>
      <c r="D4044">
        <v>1</v>
      </c>
      <c r="E4044">
        <v>10240</v>
      </c>
      <c r="F4044">
        <v>75870.350000000006</v>
      </c>
      <c r="G4044">
        <v>0</v>
      </c>
      <c r="H4044">
        <v>0</v>
      </c>
      <c r="I4044">
        <v>0</v>
      </c>
      <c r="J4044">
        <v>0</v>
      </c>
      <c r="K4044">
        <v>0</v>
      </c>
      <c r="L4044">
        <v>10634239.25</v>
      </c>
      <c r="M4044">
        <v>10783843.560000001</v>
      </c>
      <c r="N4044">
        <v>10634239.25</v>
      </c>
      <c r="O4044">
        <v>10783843.560000001</v>
      </c>
      <c r="P4044">
        <v>10783843.560000001</v>
      </c>
      <c r="Q4044">
        <v>10783843.560000001</v>
      </c>
      <c r="R4044" s="14">
        <f>_xlfn.XLOOKUP(Table2[[#This Row],[LoanID]],Table1[G-L ID],Table1[ManagerCode],-99)</f>
        <v>220</v>
      </c>
      <c r="T4044"/>
    </row>
    <row r="4045" spans="1:20" x14ac:dyDescent="0.25">
      <c r="A4045">
        <v>20151130</v>
      </c>
      <c r="B4045">
        <v>2015</v>
      </c>
      <c r="C4045">
        <v>11</v>
      </c>
      <c r="D4045">
        <v>1</v>
      </c>
      <c r="E4045">
        <v>10250</v>
      </c>
      <c r="F4045">
        <v>49643.06</v>
      </c>
      <c r="G4045">
        <v>0</v>
      </c>
      <c r="H4045">
        <v>0</v>
      </c>
      <c r="I4045">
        <v>0</v>
      </c>
      <c r="J4045">
        <v>0</v>
      </c>
      <c r="K4045">
        <v>0</v>
      </c>
      <c r="L4045">
        <v>5000000</v>
      </c>
      <c r="M4045">
        <v>5000000</v>
      </c>
      <c r="N4045">
        <v>5000000</v>
      </c>
      <c r="O4045">
        <v>5000000</v>
      </c>
      <c r="P4045">
        <v>5000000</v>
      </c>
      <c r="Q4045">
        <v>5000000</v>
      </c>
      <c r="R4045" s="14">
        <f>_xlfn.XLOOKUP(Table2[[#This Row],[LoanID]],Table1[G-L ID],Table1[ManagerCode],-99)</f>
        <v>119</v>
      </c>
      <c r="T4045"/>
    </row>
    <row r="4046" spans="1:20" x14ac:dyDescent="0.25">
      <c r="A4046">
        <v>20151130</v>
      </c>
      <c r="B4046">
        <v>2015</v>
      </c>
      <c r="C4046">
        <v>11</v>
      </c>
      <c r="D4046">
        <v>1</v>
      </c>
      <c r="E4046">
        <v>10260</v>
      </c>
      <c r="F4046">
        <v>103106.67</v>
      </c>
      <c r="G4046">
        <v>0</v>
      </c>
      <c r="H4046">
        <v>0</v>
      </c>
      <c r="I4046">
        <v>0</v>
      </c>
      <c r="J4046">
        <v>0</v>
      </c>
      <c r="K4046">
        <v>0</v>
      </c>
      <c r="L4046">
        <v>15000000</v>
      </c>
      <c r="M4046">
        <v>15000000</v>
      </c>
      <c r="N4046">
        <v>15000000</v>
      </c>
      <c r="O4046">
        <v>15000000</v>
      </c>
      <c r="P4046">
        <v>15000000</v>
      </c>
      <c r="Q4046">
        <v>15000000</v>
      </c>
      <c r="R4046" s="14">
        <f>_xlfn.XLOOKUP(Table2[[#This Row],[LoanID]],Table1[G-L ID],Table1[ManagerCode],-99)</f>
        <v>220</v>
      </c>
      <c r="T4046"/>
    </row>
    <row r="4047" spans="1:20" x14ac:dyDescent="0.25">
      <c r="A4047">
        <v>20151130</v>
      </c>
      <c r="B4047">
        <v>2015</v>
      </c>
      <c r="C4047">
        <v>11</v>
      </c>
      <c r="D4047">
        <v>1</v>
      </c>
      <c r="E4047">
        <v>10270</v>
      </c>
      <c r="F4047">
        <v>44025.599999999999</v>
      </c>
      <c r="G4047">
        <v>0</v>
      </c>
      <c r="H4047">
        <v>0</v>
      </c>
      <c r="I4047">
        <v>0</v>
      </c>
      <c r="J4047">
        <v>0</v>
      </c>
      <c r="K4047">
        <v>0</v>
      </c>
      <c r="L4047">
        <v>5400000</v>
      </c>
      <c r="M4047">
        <v>5400000</v>
      </c>
      <c r="N4047">
        <v>5400000</v>
      </c>
      <c r="O4047">
        <v>5400000</v>
      </c>
      <c r="P4047">
        <v>5400000</v>
      </c>
      <c r="Q4047">
        <v>5400000</v>
      </c>
      <c r="R4047" s="14">
        <f>_xlfn.XLOOKUP(Table2[[#This Row],[LoanID]],Table1[G-L ID],Table1[ManagerCode],-99)</f>
        <v>119</v>
      </c>
      <c r="T4047"/>
    </row>
    <row r="4048" spans="1:20" x14ac:dyDescent="0.25">
      <c r="A4048">
        <v>20151130</v>
      </c>
      <c r="B4048">
        <v>2015</v>
      </c>
      <c r="C4048">
        <v>11</v>
      </c>
      <c r="D4048">
        <v>1</v>
      </c>
      <c r="E4048">
        <v>10350</v>
      </c>
      <c r="F4048">
        <v>192888.89</v>
      </c>
      <c r="G4048">
        <v>0</v>
      </c>
      <c r="H4048">
        <v>0</v>
      </c>
      <c r="I4048">
        <v>0</v>
      </c>
      <c r="J4048">
        <v>0</v>
      </c>
      <c r="K4048">
        <v>0</v>
      </c>
      <c r="L4048">
        <v>24800000</v>
      </c>
      <c r="M4048">
        <v>24800000</v>
      </c>
      <c r="N4048">
        <v>24800000</v>
      </c>
      <c r="O4048">
        <v>24800000</v>
      </c>
      <c r="P4048">
        <v>24800000</v>
      </c>
      <c r="Q4048">
        <v>24800000</v>
      </c>
      <c r="R4048" s="14">
        <f>_xlfn.XLOOKUP(Table2[[#This Row],[LoanID]],Table1[G-L ID],Table1[ManagerCode],-99)</f>
        <v>220</v>
      </c>
      <c r="T4048"/>
    </row>
    <row r="4049" spans="1:20" x14ac:dyDescent="0.25">
      <c r="A4049">
        <v>20151130</v>
      </c>
      <c r="B4049">
        <v>2015</v>
      </c>
      <c r="C4049">
        <v>11</v>
      </c>
      <c r="D4049">
        <v>1</v>
      </c>
      <c r="E4049">
        <v>10360</v>
      </c>
      <c r="F4049">
        <v>0</v>
      </c>
      <c r="G4049">
        <v>0</v>
      </c>
      <c r="H4049">
        <v>59090</v>
      </c>
      <c r="I4049">
        <v>0</v>
      </c>
      <c r="J4049">
        <v>-5909000</v>
      </c>
      <c r="K4049">
        <v>0</v>
      </c>
      <c r="L4049">
        <v>0</v>
      </c>
      <c r="M4049">
        <v>5909000</v>
      </c>
      <c r="N4049">
        <v>0</v>
      </c>
      <c r="O4049">
        <v>5909000</v>
      </c>
      <c r="P4049">
        <v>0</v>
      </c>
      <c r="Q4049">
        <v>5909000</v>
      </c>
      <c r="R4049" s="14">
        <f>_xlfn.XLOOKUP(Table2[[#This Row],[LoanID]],Table1[G-L ID],Table1[ManagerCode],-99)</f>
        <v>183</v>
      </c>
      <c r="T4049"/>
    </row>
    <row r="4050" spans="1:20" x14ac:dyDescent="0.25">
      <c r="A4050">
        <v>20151130</v>
      </c>
      <c r="B4050">
        <v>2015</v>
      </c>
      <c r="C4050">
        <v>11</v>
      </c>
      <c r="D4050">
        <v>1</v>
      </c>
      <c r="E4050">
        <v>10430</v>
      </c>
      <c r="F4050">
        <v>89680.01</v>
      </c>
      <c r="G4050">
        <v>0</v>
      </c>
      <c r="H4050">
        <v>0</v>
      </c>
      <c r="I4050">
        <v>0</v>
      </c>
      <c r="J4050">
        <v>0</v>
      </c>
      <c r="K4050">
        <v>23400</v>
      </c>
      <c r="L4050">
        <v>10742600</v>
      </c>
      <c r="M4050">
        <v>10719200</v>
      </c>
      <c r="N4050">
        <v>10742600</v>
      </c>
      <c r="O4050">
        <v>10719200</v>
      </c>
      <c r="P4050">
        <v>10742600</v>
      </c>
      <c r="Q4050">
        <v>10719200</v>
      </c>
      <c r="R4050" s="14">
        <f>_xlfn.XLOOKUP(Table2[[#This Row],[LoanID]],Table1[G-L ID],Table1[ManagerCode],-99)</f>
        <v>119</v>
      </c>
      <c r="T4050"/>
    </row>
    <row r="4051" spans="1:20" x14ac:dyDescent="0.25">
      <c r="A4051">
        <v>20151130</v>
      </c>
      <c r="B4051">
        <v>2015</v>
      </c>
      <c r="C4051">
        <v>11</v>
      </c>
      <c r="D4051">
        <v>1</v>
      </c>
      <c r="E4051">
        <v>10460</v>
      </c>
      <c r="F4051">
        <v>0</v>
      </c>
      <c r="G4051">
        <v>0</v>
      </c>
      <c r="H4051">
        <v>0</v>
      </c>
      <c r="I4051">
        <v>0</v>
      </c>
      <c r="J4051">
        <v>0</v>
      </c>
      <c r="K4051">
        <v>0</v>
      </c>
      <c r="L4051">
        <v>59827009.100000001</v>
      </c>
      <c r="M4051">
        <v>59836150.369999997</v>
      </c>
      <c r="N4051">
        <v>59827009.100000001</v>
      </c>
      <c r="O4051">
        <v>59836150.369999997</v>
      </c>
      <c r="P4051">
        <v>60000000</v>
      </c>
      <c r="Q4051">
        <v>60000000</v>
      </c>
      <c r="R4051" s="14">
        <f>_xlfn.XLOOKUP(Table2[[#This Row],[LoanID]],Table1[G-L ID],Table1[ManagerCode],-99)</f>
        <v>103</v>
      </c>
      <c r="T4051"/>
    </row>
    <row r="4052" spans="1:20" x14ac:dyDescent="0.25">
      <c r="A4052">
        <v>20151130</v>
      </c>
      <c r="B4052">
        <v>2015</v>
      </c>
      <c r="C4052">
        <v>11</v>
      </c>
      <c r="D4052">
        <v>1</v>
      </c>
      <c r="E4052">
        <v>10480</v>
      </c>
      <c r="F4052">
        <v>162295.39000000001</v>
      </c>
      <c r="G4052">
        <v>0</v>
      </c>
      <c r="H4052">
        <v>0</v>
      </c>
      <c r="I4052">
        <v>0</v>
      </c>
      <c r="J4052">
        <v>0</v>
      </c>
      <c r="K4052">
        <v>0</v>
      </c>
      <c r="L4052">
        <v>22226712.199999999</v>
      </c>
      <c r="M4052">
        <v>22226712.199999999</v>
      </c>
      <c r="N4052">
        <v>22226712.199999999</v>
      </c>
      <c r="O4052">
        <v>22226712.199999999</v>
      </c>
      <c r="P4052">
        <v>22226712.199999999</v>
      </c>
      <c r="Q4052">
        <v>22226712.199999999</v>
      </c>
      <c r="R4052" s="14">
        <f>_xlfn.XLOOKUP(Table2[[#This Row],[LoanID]],Table1[G-L ID],Table1[ManagerCode],-99)</f>
        <v>119</v>
      </c>
      <c r="T4052"/>
    </row>
    <row r="4053" spans="1:20" x14ac:dyDescent="0.25">
      <c r="A4053">
        <v>20151130</v>
      </c>
      <c r="B4053">
        <v>2015</v>
      </c>
      <c r="C4053">
        <v>11</v>
      </c>
      <c r="D4053">
        <v>1</v>
      </c>
      <c r="E4053">
        <v>10570</v>
      </c>
      <c r="F4053">
        <v>800570.12</v>
      </c>
      <c r="G4053">
        <v>0</v>
      </c>
      <c r="H4053">
        <v>0</v>
      </c>
      <c r="I4053">
        <v>0</v>
      </c>
      <c r="J4053">
        <v>0</v>
      </c>
      <c r="K4053">
        <v>0</v>
      </c>
      <c r="L4053">
        <v>156356260.69999999</v>
      </c>
      <c r="M4053">
        <v>156356260.69999999</v>
      </c>
      <c r="N4053">
        <v>156356260.69999999</v>
      </c>
      <c r="O4053">
        <v>156356260.69999999</v>
      </c>
      <c r="P4053">
        <v>156356260.69999999</v>
      </c>
      <c r="Q4053">
        <v>156356260.69999999</v>
      </c>
      <c r="R4053" s="14">
        <f>_xlfn.XLOOKUP(Table2[[#This Row],[LoanID]],Table1[G-L ID],Table1[ManagerCode],-99)</f>
        <v>103</v>
      </c>
      <c r="T4053"/>
    </row>
    <row r="4054" spans="1:20" x14ac:dyDescent="0.25">
      <c r="A4054">
        <v>20151130</v>
      </c>
      <c r="B4054">
        <v>2015</v>
      </c>
      <c r="C4054">
        <v>11</v>
      </c>
      <c r="D4054">
        <v>1</v>
      </c>
      <c r="E4054">
        <v>10591</v>
      </c>
      <c r="F4054">
        <v>214788.09</v>
      </c>
      <c r="G4054">
        <v>0</v>
      </c>
      <c r="H4054">
        <v>0</v>
      </c>
      <c r="I4054">
        <v>0</v>
      </c>
      <c r="J4054">
        <v>0</v>
      </c>
      <c r="K4054">
        <v>0</v>
      </c>
      <c r="L4054">
        <v>24475036.780000001</v>
      </c>
      <c r="M4054">
        <v>24475036.780000001</v>
      </c>
      <c r="N4054">
        <v>24475036.780000001</v>
      </c>
      <c r="O4054">
        <v>24475036.780000001</v>
      </c>
      <c r="P4054">
        <v>24475036.780000001</v>
      </c>
      <c r="Q4054">
        <v>24475036.780000001</v>
      </c>
      <c r="R4054" s="14">
        <f>_xlfn.XLOOKUP(Table2[[#This Row],[LoanID]],Table1[G-L ID],Table1[ManagerCode],-99)</f>
        <v>220</v>
      </c>
      <c r="T4054"/>
    </row>
    <row r="4055" spans="1:20" x14ac:dyDescent="0.25">
      <c r="A4055">
        <v>20151130</v>
      </c>
      <c r="B4055">
        <v>2015</v>
      </c>
      <c r="C4055">
        <v>11</v>
      </c>
      <c r="D4055">
        <v>1</v>
      </c>
      <c r="E4055">
        <v>10592</v>
      </c>
      <c r="F4055">
        <v>356271.57</v>
      </c>
      <c r="G4055">
        <v>0</v>
      </c>
      <c r="H4055">
        <v>0</v>
      </c>
      <c r="I4055">
        <v>0</v>
      </c>
      <c r="J4055">
        <v>0</v>
      </c>
      <c r="K4055">
        <v>0</v>
      </c>
      <c r="L4055">
        <v>36326728.630000003</v>
      </c>
      <c r="M4055">
        <v>36326728.630000003</v>
      </c>
      <c r="N4055">
        <v>36326728.630000003</v>
      </c>
      <c r="O4055">
        <v>36326728.630000003</v>
      </c>
      <c r="P4055">
        <v>36129816.219999999</v>
      </c>
      <c r="Q4055">
        <v>36129816.219999999</v>
      </c>
      <c r="R4055" s="14">
        <f>_xlfn.XLOOKUP(Table2[[#This Row],[LoanID]],Table1[G-L ID],Table1[ManagerCode],-99)</f>
        <v>220</v>
      </c>
      <c r="T4055"/>
    </row>
    <row r="4056" spans="1:20" x14ac:dyDescent="0.25">
      <c r="A4056">
        <v>20151130</v>
      </c>
      <c r="B4056">
        <v>2015</v>
      </c>
      <c r="C4056">
        <v>11</v>
      </c>
      <c r="D4056">
        <v>1</v>
      </c>
      <c r="E4056">
        <v>10640</v>
      </c>
      <c r="F4056">
        <v>69586.89</v>
      </c>
      <c r="G4056">
        <v>0</v>
      </c>
      <c r="H4056">
        <v>0</v>
      </c>
      <c r="I4056">
        <v>0</v>
      </c>
      <c r="J4056">
        <v>0</v>
      </c>
      <c r="K4056">
        <v>0</v>
      </c>
      <c r="L4056">
        <v>8084494</v>
      </c>
      <c r="M4056">
        <v>8084494</v>
      </c>
      <c r="N4056">
        <v>8084494</v>
      </c>
      <c r="O4056">
        <v>8084494</v>
      </c>
      <c r="P4056">
        <v>8084494</v>
      </c>
      <c r="Q4056">
        <v>8084494</v>
      </c>
      <c r="R4056" s="14">
        <f>_xlfn.XLOOKUP(Table2[[#This Row],[LoanID]],Table1[G-L ID],Table1[ManagerCode],-99)</f>
        <v>220</v>
      </c>
      <c r="T4056"/>
    </row>
    <row r="4057" spans="1:20" x14ac:dyDescent="0.25">
      <c r="A4057">
        <v>20151130</v>
      </c>
      <c r="B4057">
        <v>2015</v>
      </c>
      <c r="C4057">
        <v>11</v>
      </c>
      <c r="D4057">
        <v>1</v>
      </c>
      <c r="E4057">
        <v>10680</v>
      </c>
      <c r="F4057">
        <v>61653.39</v>
      </c>
      <c r="G4057">
        <v>0</v>
      </c>
      <c r="H4057">
        <v>0</v>
      </c>
      <c r="I4057">
        <v>0</v>
      </c>
      <c r="J4057">
        <v>-1214913.1399999999</v>
      </c>
      <c r="K4057">
        <v>0</v>
      </c>
      <c r="L4057">
        <v>7407023.0899999999</v>
      </c>
      <c r="M4057">
        <v>8621936.2300000004</v>
      </c>
      <c r="N4057">
        <v>7407023.0899999999</v>
      </c>
      <c r="O4057">
        <v>8621936.2300000004</v>
      </c>
      <c r="P4057">
        <v>7407023.0899999999</v>
      </c>
      <c r="Q4057">
        <v>8621936.2300000004</v>
      </c>
      <c r="R4057" s="14">
        <f>_xlfn.XLOOKUP(Table2[[#This Row],[LoanID]],Table1[G-L ID],Table1[ManagerCode],-99)</f>
        <v>119</v>
      </c>
      <c r="T4057"/>
    </row>
    <row r="4058" spans="1:20" x14ac:dyDescent="0.25">
      <c r="A4058">
        <v>20151130</v>
      </c>
      <c r="B4058">
        <v>2015</v>
      </c>
      <c r="C4058">
        <v>11</v>
      </c>
      <c r="D4058">
        <v>1</v>
      </c>
      <c r="E4058">
        <v>10720</v>
      </c>
      <c r="F4058">
        <v>125000</v>
      </c>
      <c r="G4058">
        <v>77842</v>
      </c>
      <c r="H4058">
        <v>0</v>
      </c>
      <c r="I4058">
        <v>0</v>
      </c>
      <c r="J4058">
        <v>0</v>
      </c>
      <c r="K4058">
        <v>0</v>
      </c>
      <c r="L4058">
        <v>16718828.99</v>
      </c>
      <c r="M4058">
        <v>16801701.870000001</v>
      </c>
      <c r="N4058">
        <v>16718828.99</v>
      </c>
      <c r="O4058">
        <v>16801701.870000001</v>
      </c>
      <c r="P4058">
        <v>15703896.77</v>
      </c>
      <c r="Q4058">
        <v>15781738.77</v>
      </c>
      <c r="R4058" s="14">
        <f>_xlfn.XLOOKUP(Table2[[#This Row],[LoanID]],Table1[G-L ID],Table1[ManagerCode],-99)</f>
        <v>220</v>
      </c>
      <c r="T4058"/>
    </row>
    <row r="4059" spans="1:20" x14ac:dyDescent="0.25">
      <c r="A4059">
        <v>20151130</v>
      </c>
      <c r="B4059">
        <v>2015</v>
      </c>
      <c r="C4059">
        <v>11</v>
      </c>
      <c r="D4059">
        <v>1</v>
      </c>
      <c r="E4059">
        <v>10740</v>
      </c>
      <c r="F4059">
        <v>0</v>
      </c>
      <c r="G4059">
        <v>0</v>
      </c>
      <c r="H4059">
        <v>0</v>
      </c>
      <c r="I4059">
        <v>0</v>
      </c>
      <c r="J4059">
        <v>0</v>
      </c>
      <c r="K4059">
        <v>0</v>
      </c>
      <c r="L4059">
        <v>444106063.5</v>
      </c>
      <c r="M4059">
        <v>444242107.5</v>
      </c>
      <c r="N4059">
        <v>444106063.5</v>
      </c>
      <c r="O4059">
        <v>444242107.5</v>
      </c>
      <c r="P4059">
        <v>461801475</v>
      </c>
      <c r="Q4059">
        <v>461801475</v>
      </c>
      <c r="R4059" s="14">
        <f>_xlfn.XLOOKUP(Table2[[#This Row],[LoanID]],Table1[G-L ID],Table1[ManagerCode],-99)</f>
        <v>103</v>
      </c>
      <c r="T4059"/>
    </row>
    <row r="4060" spans="1:20" x14ac:dyDescent="0.25">
      <c r="A4060">
        <v>20151130</v>
      </c>
      <c r="B4060">
        <v>2015</v>
      </c>
      <c r="C4060">
        <v>11</v>
      </c>
      <c r="D4060">
        <v>1</v>
      </c>
      <c r="E4060">
        <v>10750</v>
      </c>
      <c r="F4060">
        <v>72578.87</v>
      </c>
      <c r="G4060">
        <v>0</v>
      </c>
      <c r="H4060">
        <v>0</v>
      </c>
      <c r="I4060">
        <v>0</v>
      </c>
      <c r="J4060">
        <v>-263794.89</v>
      </c>
      <c r="K4060">
        <v>0</v>
      </c>
      <c r="L4060">
        <v>9048111.7400000002</v>
      </c>
      <c r="M4060">
        <v>9311906.6300000008</v>
      </c>
      <c r="N4060">
        <v>9048111.7400000002</v>
      </c>
      <c r="O4060">
        <v>9311906.6300000008</v>
      </c>
      <c r="P4060">
        <v>9048111.7400000002</v>
      </c>
      <c r="Q4060">
        <v>9311906.6300000008</v>
      </c>
      <c r="R4060" s="14">
        <f>_xlfn.XLOOKUP(Table2[[#This Row],[LoanID]],Table1[G-L ID],Table1[ManagerCode],-99)</f>
        <v>119</v>
      </c>
      <c r="T4060"/>
    </row>
    <row r="4061" spans="1:20" x14ac:dyDescent="0.25">
      <c r="A4061">
        <v>20151130</v>
      </c>
      <c r="B4061">
        <v>2015</v>
      </c>
      <c r="C4061">
        <v>11</v>
      </c>
      <c r="D4061">
        <v>1</v>
      </c>
      <c r="E4061">
        <v>10780</v>
      </c>
      <c r="F4061">
        <v>312736.61</v>
      </c>
      <c r="G4061">
        <v>0</v>
      </c>
      <c r="H4061">
        <v>0</v>
      </c>
      <c r="I4061">
        <v>0</v>
      </c>
      <c r="J4061">
        <v>0</v>
      </c>
      <c r="K4061">
        <v>0</v>
      </c>
      <c r="L4061">
        <v>43000000</v>
      </c>
      <c r="M4061">
        <v>43000000</v>
      </c>
      <c r="N4061">
        <v>43000000</v>
      </c>
      <c r="O4061">
        <v>43000000</v>
      </c>
      <c r="P4061">
        <v>43000000</v>
      </c>
      <c r="Q4061">
        <v>43000000</v>
      </c>
      <c r="R4061" s="14">
        <f>_xlfn.XLOOKUP(Table2[[#This Row],[LoanID]],Table1[G-L ID],Table1[ManagerCode],-99)</f>
        <v>220</v>
      </c>
      <c r="T4061"/>
    </row>
    <row r="4062" spans="1:20" x14ac:dyDescent="0.25">
      <c r="A4062">
        <v>20151130</v>
      </c>
      <c r="B4062">
        <v>2015</v>
      </c>
      <c r="C4062">
        <v>11</v>
      </c>
      <c r="D4062">
        <v>1</v>
      </c>
      <c r="E4062">
        <v>10800</v>
      </c>
      <c r="F4062">
        <v>217082.67</v>
      </c>
      <c r="G4062">
        <v>0</v>
      </c>
      <c r="H4062">
        <v>0</v>
      </c>
      <c r="I4062">
        <v>0</v>
      </c>
      <c r="J4062">
        <v>0</v>
      </c>
      <c r="K4062">
        <v>0</v>
      </c>
      <c r="L4062">
        <v>26000000</v>
      </c>
      <c r="M4062">
        <v>26000000</v>
      </c>
      <c r="N4062">
        <v>26000000</v>
      </c>
      <c r="O4062">
        <v>26000000</v>
      </c>
      <c r="P4062">
        <v>26000000</v>
      </c>
      <c r="Q4062">
        <v>26000000</v>
      </c>
      <c r="R4062" s="14">
        <f>_xlfn.XLOOKUP(Table2[[#This Row],[LoanID]],Table1[G-L ID],Table1[ManagerCode],-99)</f>
        <v>220</v>
      </c>
      <c r="T4062"/>
    </row>
    <row r="4063" spans="1:20" x14ac:dyDescent="0.25">
      <c r="A4063">
        <v>20151130</v>
      </c>
      <c r="B4063">
        <v>2015</v>
      </c>
      <c r="C4063">
        <v>11</v>
      </c>
      <c r="D4063">
        <v>1</v>
      </c>
      <c r="E4063">
        <v>10820</v>
      </c>
      <c r="F4063">
        <v>196099.51</v>
      </c>
      <c r="G4063">
        <v>0</v>
      </c>
      <c r="H4063">
        <v>0</v>
      </c>
      <c r="I4063">
        <v>0</v>
      </c>
      <c r="J4063">
        <v>0</v>
      </c>
      <c r="K4063">
        <v>0</v>
      </c>
      <c r="L4063">
        <v>24041739.440000001</v>
      </c>
      <c r="M4063">
        <v>24041739.440000001</v>
      </c>
      <c r="N4063">
        <v>24041739.440000001</v>
      </c>
      <c r="O4063">
        <v>24041739.440000001</v>
      </c>
      <c r="P4063">
        <v>23733207.739999998</v>
      </c>
      <c r="Q4063">
        <v>23733207.739999998</v>
      </c>
      <c r="R4063" s="14">
        <f>_xlfn.XLOOKUP(Table2[[#This Row],[LoanID]],Table1[G-L ID],Table1[ManagerCode],-99)</f>
        <v>220</v>
      </c>
      <c r="T4063"/>
    </row>
    <row r="4064" spans="1:20" x14ac:dyDescent="0.25">
      <c r="A4064">
        <v>20151130</v>
      </c>
      <c r="B4064">
        <v>2015</v>
      </c>
      <c r="C4064">
        <v>11</v>
      </c>
      <c r="D4064">
        <v>1</v>
      </c>
      <c r="E4064">
        <v>10830</v>
      </c>
      <c r="F4064">
        <v>62853.2</v>
      </c>
      <c r="G4064">
        <v>0</v>
      </c>
      <c r="H4064">
        <v>0</v>
      </c>
      <c r="I4064">
        <v>0</v>
      </c>
      <c r="J4064">
        <v>0</v>
      </c>
      <c r="K4064">
        <v>0</v>
      </c>
      <c r="L4064">
        <v>7783125.2999999998</v>
      </c>
      <c r="M4064">
        <v>7783125.2999999998</v>
      </c>
      <c r="N4064">
        <v>7783125.2999999998</v>
      </c>
      <c r="O4064">
        <v>7783125.2999999998</v>
      </c>
      <c r="P4064">
        <v>7683243.1399999997</v>
      </c>
      <c r="Q4064">
        <v>7683243.1399999997</v>
      </c>
      <c r="R4064" s="14">
        <f>_xlfn.XLOOKUP(Table2[[#This Row],[LoanID]],Table1[G-L ID],Table1[ManagerCode],-99)</f>
        <v>220</v>
      </c>
      <c r="T4064"/>
    </row>
    <row r="4065" spans="1:20" x14ac:dyDescent="0.25">
      <c r="A4065">
        <v>20151130</v>
      </c>
      <c r="B4065">
        <v>2015</v>
      </c>
      <c r="C4065">
        <v>11</v>
      </c>
      <c r="D4065">
        <v>1</v>
      </c>
      <c r="E4065">
        <v>10840</v>
      </c>
      <c r="F4065">
        <v>103968.23</v>
      </c>
      <c r="G4065">
        <v>0</v>
      </c>
      <c r="H4065">
        <v>0</v>
      </c>
      <c r="I4065">
        <v>0</v>
      </c>
      <c r="J4065">
        <v>0</v>
      </c>
      <c r="K4065">
        <v>0</v>
      </c>
      <c r="L4065">
        <v>12874408.460000001</v>
      </c>
      <c r="M4065">
        <v>12874408.460000001</v>
      </c>
      <c r="N4065">
        <v>12874408.460000001</v>
      </c>
      <c r="O4065">
        <v>12874408.460000001</v>
      </c>
      <c r="P4065">
        <v>12709189</v>
      </c>
      <c r="Q4065">
        <v>12709189</v>
      </c>
      <c r="R4065" s="14">
        <f>_xlfn.XLOOKUP(Table2[[#This Row],[LoanID]],Table1[G-L ID],Table1[ManagerCode],-99)</f>
        <v>220</v>
      </c>
      <c r="T4065"/>
    </row>
    <row r="4066" spans="1:20" x14ac:dyDescent="0.25">
      <c r="A4066">
        <v>20151130</v>
      </c>
      <c r="B4066">
        <v>2015</v>
      </c>
      <c r="C4066">
        <v>11</v>
      </c>
      <c r="D4066">
        <v>1</v>
      </c>
      <c r="E4066">
        <v>10850</v>
      </c>
      <c r="F4066">
        <v>110534.78</v>
      </c>
      <c r="G4066">
        <v>0</v>
      </c>
      <c r="H4066">
        <v>0</v>
      </c>
      <c r="I4066">
        <v>0</v>
      </c>
      <c r="J4066">
        <v>0</v>
      </c>
      <c r="K4066">
        <v>0</v>
      </c>
      <c r="L4066">
        <v>13687546.6</v>
      </c>
      <c r="M4066">
        <v>13687546.6</v>
      </c>
      <c r="N4066">
        <v>13687546.6</v>
      </c>
      <c r="O4066">
        <v>13687546.6</v>
      </c>
      <c r="P4066">
        <v>13511892</v>
      </c>
      <c r="Q4066">
        <v>13511892</v>
      </c>
      <c r="R4066" s="14">
        <f>_xlfn.XLOOKUP(Table2[[#This Row],[LoanID]],Table1[G-L ID],Table1[ManagerCode],-99)</f>
        <v>220</v>
      </c>
      <c r="T4066"/>
    </row>
    <row r="4067" spans="1:20" x14ac:dyDescent="0.25">
      <c r="A4067">
        <v>20151130</v>
      </c>
      <c r="B4067">
        <v>2015</v>
      </c>
      <c r="C4067">
        <v>11</v>
      </c>
      <c r="D4067">
        <v>1</v>
      </c>
      <c r="E4067">
        <v>10860</v>
      </c>
      <c r="F4067">
        <v>118203</v>
      </c>
      <c r="G4067">
        <v>0</v>
      </c>
      <c r="H4067">
        <v>0</v>
      </c>
      <c r="I4067">
        <v>0</v>
      </c>
      <c r="J4067">
        <v>0</v>
      </c>
      <c r="K4067">
        <v>0</v>
      </c>
      <c r="L4067">
        <v>19475000</v>
      </c>
      <c r="M4067">
        <v>19475000</v>
      </c>
      <c r="N4067">
        <v>19475000</v>
      </c>
      <c r="O4067">
        <v>19475000</v>
      </c>
      <c r="P4067">
        <v>20500000</v>
      </c>
      <c r="Q4067">
        <v>20500000</v>
      </c>
      <c r="R4067" s="14">
        <f>_xlfn.XLOOKUP(Table2[[#This Row],[LoanID]],Table1[G-L ID],Table1[ManagerCode],-99)</f>
        <v>103</v>
      </c>
      <c r="T4067"/>
    </row>
    <row r="4068" spans="1:20" x14ac:dyDescent="0.25">
      <c r="A4068">
        <v>20151130</v>
      </c>
      <c r="B4068">
        <v>2015</v>
      </c>
      <c r="C4068">
        <v>11</v>
      </c>
      <c r="D4068">
        <v>1</v>
      </c>
      <c r="E4068">
        <v>10890</v>
      </c>
      <c r="F4068">
        <v>0</v>
      </c>
      <c r="G4068">
        <v>41284.720000000001</v>
      </c>
      <c r="H4068">
        <v>108500</v>
      </c>
      <c r="I4068">
        <v>0</v>
      </c>
      <c r="J4068">
        <v>-10250000</v>
      </c>
      <c r="K4068">
        <v>0</v>
      </c>
      <c r="L4068">
        <v>0</v>
      </c>
      <c r="M4068">
        <v>10291284.720000001</v>
      </c>
      <c r="N4068">
        <v>0</v>
      </c>
      <c r="O4068">
        <v>10291284.720000001</v>
      </c>
      <c r="P4068">
        <v>0</v>
      </c>
      <c r="Q4068">
        <v>10291284.720000001</v>
      </c>
      <c r="R4068" s="14">
        <f>_xlfn.XLOOKUP(Table2[[#This Row],[LoanID]],Table1[G-L ID],Table1[ManagerCode],-99)</f>
        <v>183</v>
      </c>
      <c r="T4068"/>
    </row>
    <row r="4069" spans="1:20" x14ac:dyDescent="0.25">
      <c r="A4069">
        <v>20151130</v>
      </c>
      <c r="B4069">
        <v>2015</v>
      </c>
      <c r="C4069">
        <v>11</v>
      </c>
      <c r="D4069">
        <v>1</v>
      </c>
      <c r="E4069">
        <v>10910</v>
      </c>
      <c r="F4069">
        <v>212492.08</v>
      </c>
      <c r="G4069">
        <v>0</v>
      </c>
      <c r="H4069">
        <v>0</v>
      </c>
      <c r="I4069">
        <v>0</v>
      </c>
      <c r="J4069">
        <v>0</v>
      </c>
      <c r="K4069">
        <v>0</v>
      </c>
      <c r="L4069">
        <v>22500000</v>
      </c>
      <c r="M4069">
        <v>22500000</v>
      </c>
      <c r="N4069">
        <v>22500000</v>
      </c>
      <c r="O4069">
        <v>22500000</v>
      </c>
      <c r="P4069">
        <v>22500000</v>
      </c>
      <c r="Q4069">
        <v>22500000</v>
      </c>
      <c r="R4069" s="14">
        <f>_xlfn.XLOOKUP(Table2[[#This Row],[LoanID]],Table1[G-L ID],Table1[ManagerCode],-99)</f>
        <v>119</v>
      </c>
      <c r="T4069"/>
    </row>
    <row r="4070" spans="1:20" x14ac:dyDescent="0.25">
      <c r="A4070">
        <v>20151130</v>
      </c>
      <c r="B4070">
        <v>2015</v>
      </c>
      <c r="C4070">
        <v>11</v>
      </c>
      <c r="D4070">
        <v>1</v>
      </c>
      <c r="E4070">
        <v>10930</v>
      </c>
      <c r="F4070">
        <v>0</v>
      </c>
      <c r="G4070">
        <v>153792.76</v>
      </c>
      <c r="H4070">
        <v>0</v>
      </c>
      <c r="I4070">
        <v>0</v>
      </c>
      <c r="J4070">
        <v>0</v>
      </c>
      <c r="K4070">
        <v>0</v>
      </c>
      <c r="L4070">
        <v>14393424.9</v>
      </c>
      <c r="M4070">
        <v>14547217.66</v>
      </c>
      <c r="N4070">
        <v>14393424.9</v>
      </c>
      <c r="O4070">
        <v>14547217.66</v>
      </c>
      <c r="P4070">
        <v>14393424.9</v>
      </c>
      <c r="Q4070">
        <v>14547217.66</v>
      </c>
      <c r="R4070" s="14">
        <f>_xlfn.XLOOKUP(Table2[[#This Row],[LoanID]],Table1[G-L ID],Table1[ManagerCode],-99)</f>
        <v>183</v>
      </c>
      <c r="T4070"/>
    </row>
    <row r="4071" spans="1:20" x14ac:dyDescent="0.25">
      <c r="A4071">
        <v>20151130</v>
      </c>
      <c r="B4071">
        <v>2015</v>
      </c>
      <c r="C4071">
        <v>11</v>
      </c>
      <c r="D4071">
        <v>1</v>
      </c>
      <c r="E4071">
        <v>10960</v>
      </c>
      <c r="F4071">
        <v>71272.490000000005</v>
      </c>
      <c r="G4071">
        <v>0</v>
      </c>
      <c r="H4071">
        <v>0</v>
      </c>
      <c r="I4071">
        <v>0</v>
      </c>
      <c r="J4071">
        <v>0</v>
      </c>
      <c r="K4071">
        <v>0</v>
      </c>
      <c r="L4071">
        <v>6738707.1600000001</v>
      </c>
      <c r="M4071">
        <v>6738707.1600000001</v>
      </c>
      <c r="N4071">
        <v>6738707.1600000001</v>
      </c>
      <c r="O4071">
        <v>6738707.1600000001</v>
      </c>
      <c r="P4071">
        <v>6738707.1600000001</v>
      </c>
      <c r="Q4071">
        <v>6738707.1600000001</v>
      </c>
      <c r="R4071" s="14">
        <f>_xlfn.XLOOKUP(Table2[[#This Row],[LoanID]],Table1[G-L ID],Table1[ManagerCode],-99)</f>
        <v>119</v>
      </c>
      <c r="T4071"/>
    </row>
    <row r="4072" spans="1:20" x14ac:dyDescent="0.25">
      <c r="A4072">
        <v>20151130</v>
      </c>
      <c r="B4072">
        <v>2015</v>
      </c>
      <c r="C4072">
        <v>11</v>
      </c>
      <c r="D4072">
        <v>1</v>
      </c>
      <c r="E4072">
        <v>11010</v>
      </c>
      <c r="F4072">
        <v>209779.15</v>
      </c>
      <c r="G4072">
        <v>0</v>
      </c>
      <c r="H4072">
        <v>0</v>
      </c>
      <c r="I4072">
        <v>0</v>
      </c>
      <c r="J4072">
        <v>0</v>
      </c>
      <c r="K4072">
        <v>0</v>
      </c>
      <c r="L4072">
        <v>26500000</v>
      </c>
      <c r="M4072">
        <v>26500000</v>
      </c>
      <c r="N4072">
        <v>26500000</v>
      </c>
      <c r="O4072">
        <v>26500000</v>
      </c>
      <c r="P4072">
        <v>26500000</v>
      </c>
      <c r="Q4072">
        <v>26500000</v>
      </c>
      <c r="R4072" s="14">
        <f>_xlfn.XLOOKUP(Table2[[#This Row],[LoanID]],Table1[G-L ID],Table1[ManagerCode],-99)</f>
        <v>119</v>
      </c>
      <c r="T4072"/>
    </row>
    <row r="4073" spans="1:20" x14ac:dyDescent="0.25">
      <c r="A4073">
        <v>20151130</v>
      </c>
      <c r="B4073">
        <v>2015</v>
      </c>
      <c r="C4073">
        <v>11</v>
      </c>
      <c r="D4073">
        <v>1</v>
      </c>
      <c r="E4073">
        <v>11030</v>
      </c>
      <c r="F4073">
        <v>67258.259999999995</v>
      </c>
      <c r="G4073">
        <v>0</v>
      </c>
      <c r="H4073">
        <v>0</v>
      </c>
      <c r="I4073">
        <v>0</v>
      </c>
      <c r="J4073">
        <v>0</v>
      </c>
      <c r="K4073">
        <v>9777.7800000000007</v>
      </c>
      <c r="L4073">
        <v>7970666.6600000001</v>
      </c>
      <c r="M4073">
        <v>7960888.8799999999</v>
      </c>
      <c r="N4073">
        <v>7970666.6600000001</v>
      </c>
      <c r="O4073">
        <v>7960888.8799999999</v>
      </c>
      <c r="P4073">
        <v>7970666.6600000001</v>
      </c>
      <c r="Q4073">
        <v>7960888.8799999999</v>
      </c>
      <c r="R4073" s="14">
        <f>_xlfn.XLOOKUP(Table2[[#This Row],[LoanID]],Table1[G-L ID],Table1[ManagerCode],-99)</f>
        <v>119</v>
      </c>
      <c r="T4073"/>
    </row>
    <row r="4074" spans="1:20" x14ac:dyDescent="0.25">
      <c r="A4074">
        <v>20151130</v>
      </c>
      <c r="B4074">
        <v>2015</v>
      </c>
      <c r="C4074">
        <v>11</v>
      </c>
      <c r="D4074">
        <v>1</v>
      </c>
      <c r="E4074">
        <v>11040</v>
      </c>
      <c r="F4074">
        <v>525105.56000000006</v>
      </c>
      <c r="G4074">
        <v>0</v>
      </c>
      <c r="H4074">
        <v>0</v>
      </c>
      <c r="I4074">
        <v>0</v>
      </c>
      <c r="J4074">
        <v>0</v>
      </c>
      <c r="K4074">
        <v>0</v>
      </c>
      <c r="L4074">
        <v>51000000</v>
      </c>
      <c r="M4074">
        <v>51000000</v>
      </c>
      <c r="N4074">
        <v>51000000</v>
      </c>
      <c r="O4074">
        <v>51000000</v>
      </c>
      <c r="P4074">
        <v>50000000</v>
      </c>
      <c r="Q4074">
        <v>50000000</v>
      </c>
      <c r="R4074" s="14">
        <f>_xlfn.XLOOKUP(Table2[[#This Row],[LoanID]],Table1[G-L ID],Table1[ManagerCode],-99)</f>
        <v>220</v>
      </c>
      <c r="T4074"/>
    </row>
    <row r="4075" spans="1:20" x14ac:dyDescent="0.25">
      <c r="A4075">
        <v>20151130</v>
      </c>
      <c r="B4075">
        <v>2015</v>
      </c>
      <c r="C4075">
        <v>11</v>
      </c>
      <c r="D4075">
        <v>1</v>
      </c>
      <c r="E4075">
        <v>11050</v>
      </c>
      <c r="F4075">
        <v>0</v>
      </c>
      <c r="G4075">
        <v>0</v>
      </c>
      <c r="H4075">
        <v>0</v>
      </c>
      <c r="I4075">
        <v>0</v>
      </c>
      <c r="J4075">
        <v>0</v>
      </c>
      <c r="K4075">
        <v>0</v>
      </c>
      <c r="L4075">
        <v>29300000</v>
      </c>
      <c r="M4075">
        <v>29300000</v>
      </c>
      <c r="N4075">
        <v>29300000</v>
      </c>
      <c r="O4075">
        <v>29300000</v>
      </c>
      <c r="P4075">
        <v>28500000</v>
      </c>
      <c r="Q4075">
        <v>28500000</v>
      </c>
      <c r="R4075" s="14">
        <f>_xlfn.XLOOKUP(Table2[[#This Row],[LoanID]],Table1[G-L ID],Table1[ManagerCode],-99)</f>
        <v>220</v>
      </c>
      <c r="T4075"/>
    </row>
    <row r="4076" spans="1:20" x14ac:dyDescent="0.25">
      <c r="A4076">
        <v>20151130</v>
      </c>
      <c r="B4076">
        <v>2015</v>
      </c>
      <c r="C4076">
        <v>11</v>
      </c>
      <c r="D4076">
        <v>1</v>
      </c>
      <c r="E4076">
        <v>11090</v>
      </c>
      <c r="F4076">
        <v>91831.039999999994</v>
      </c>
      <c r="G4076">
        <v>0</v>
      </c>
      <c r="H4076">
        <v>0</v>
      </c>
      <c r="I4076">
        <v>0</v>
      </c>
      <c r="J4076">
        <v>0</v>
      </c>
      <c r="K4076">
        <v>0</v>
      </c>
      <c r="L4076">
        <v>11000000</v>
      </c>
      <c r="M4076">
        <v>11000000</v>
      </c>
      <c r="N4076">
        <v>11000000</v>
      </c>
      <c r="O4076">
        <v>11000000</v>
      </c>
      <c r="P4076">
        <v>11000000</v>
      </c>
      <c r="Q4076">
        <v>11000000</v>
      </c>
      <c r="R4076" s="14">
        <f>_xlfn.XLOOKUP(Table2[[#This Row],[LoanID]],Table1[G-L ID],Table1[ManagerCode],-99)</f>
        <v>119</v>
      </c>
      <c r="T4076"/>
    </row>
    <row r="4077" spans="1:20" x14ac:dyDescent="0.25">
      <c r="A4077">
        <v>20151130</v>
      </c>
      <c r="B4077">
        <v>2015</v>
      </c>
      <c r="C4077">
        <v>11</v>
      </c>
      <c r="D4077">
        <v>1</v>
      </c>
      <c r="E4077">
        <v>11100</v>
      </c>
      <c r="F4077">
        <v>192179.17</v>
      </c>
      <c r="G4077">
        <v>0</v>
      </c>
      <c r="H4077">
        <v>0</v>
      </c>
      <c r="I4077">
        <v>0</v>
      </c>
      <c r="J4077">
        <v>0</v>
      </c>
      <c r="K4077">
        <v>0</v>
      </c>
      <c r="L4077">
        <v>54450000</v>
      </c>
      <c r="M4077">
        <v>54450000</v>
      </c>
      <c r="N4077">
        <v>54450000</v>
      </c>
      <c r="O4077">
        <v>54450000</v>
      </c>
      <c r="P4077">
        <v>55000000</v>
      </c>
      <c r="Q4077">
        <v>55000000</v>
      </c>
      <c r="R4077" s="14">
        <f>_xlfn.XLOOKUP(Table2[[#This Row],[LoanID]],Table1[G-L ID],Table1[ManagerCode],-99)</f>
        <v>103</v>
      </c>
      <c r="T4077"/>
    </row>
    <row r="4078" spans="1:20" x14ac:dyDescent="0.25">
      <c r="A4078">
        <v>20151130</v>
      </c>
      <c r="B4078">
        <v>2015</v>
      </c>
      <c r="C4078">
        <v>11</v>
      </c>
      <c r="D4078">
        <v>1</v>
      </c>
      <c r="E4078">
        <v>11130</v>
      </c>
      <c r="F4078">
        <v>913467.5</v>
      </c>
      <c r="G4078">
        <v>0</v>
      </c>
      <c r="H4078">
        <v>0</v>
      </c>
      <c r="I4078">
        <v>0</v>
      </c>
      <c r="J4078">
        <v>0</v>
      </c>
      <c r="K4078">
        <v>0</v>
      </c>
      <c r="L4078">
        <v>168150000</v>
      </c>
      <c r="M4078">
        <v>168150000</v>
      </c>
      <c r="N4078">
        <v>168150000</v>
      </c>
      <c r="O4078">
        <v>168150000</v>
      </c>
      <c r="P4078">
        <v>177000000</v>
      </c>
      <c r="Q4078">
        <v>177000000</v>
      </c>
      <c r="R4078" s="14">
        <f>_xlfn.XLOOKUP(Table2[[#This Row],[LoanID]],Table1[G-L ID],Table1[ManagerCode],-99)</f>
        <v>103</v>
      </c>
      <c r="T4078"/>
    </row>
    <row r="4079" spans="1:20" x14ac:dyDescent="0.25">
      <c r="A4079">
        <v>20151130</v>
      </c>
      <c r="B4079">
        <v>2015</v>
      </c>
      <c r="C4079">
        <v>11</v>
      </c>
      <c r="D4079">
        <v>1</v>
      </c>
      <c r="E4079">
        <v>11160</v>
      </c>
      <c r="F4079">
        <v>121604.15</v>
      </c>
      <c r="G4079">
        <v>140891</v>
      </c>
      <c r="H4079">
        <v>0</v>
      </c>
      <c r="I4079">
        <v>0</v>
      </c>
      <c r="J4079">
        <v>-1601434.21</v>
      </c>
      <c r="K4079">
        <v>0</v>
      </c>
      <c r="L4079">
        <v>24982142.850000001</v>
      </c>
      <c r="M4079">
        <v>26724468.059999999</v>
      </c>
      <c r="N4079">
        <v>24982142.850000001</v>
      </c>
      <c r="O4079">
        <v>26724468.059999999</v>
      </c>
      <c r="P4079">
        <v>24982142.850000001</v>
      </c>
      <c r="Q4079">
        <v>26724468.059999999</v>
      </c>
      <c r="R4079" s="14">
        <f>_xlfn.XLOOKUP(Table2[[#This Row],[LoanID]],Table1[G-L ID],Table1[ManagerCode],-99)</f>
        <v>183</v>
      </c>
      <c r="T4079"/>
    </row>
    <row r="4080" spans="1:20" x14ac:dyDescent="0.25">
      <c r="A4080">
        <v>20151130</v>
      </c>
      <c r="B4080">
        <v>2015</v>
      </c>
      <c r="C4080">
        <v>11</v>
      </c>
      <c r="D4080">
        <v>1</v>
      </c>
      <c r="E4080">
        <v>11170</v>
      </c>
      <c r="F4080">
        <v>707661.11</v>
      </c>
      <c r="G4080">
        <v>0</v>
      </c>
      <c r="H4080">
        <v>0</v>
      </c>
      <c r="I4080">
        <v>0</v>
      </c>
      <c r="J4080">
        <v>0</v>
      </c>
      <c r="K4080">
        <v>0</v>
      </c>
      <c r="L4080">
        <v>173249826.80000001</v>
      </c>
      <c r="M4080">
        <v>173249826.80000001</v>
      </c>
      <c r="N4080">
        <v>173249826.80000001</v>
      </c>
      <c r="O4080">
        <v>173249826.80000001</v>
      </c>
      <c r="P4080">
        <v>175000000</v>
      </c>
      <c r="Q4080">
        <v>175000000</v>
      </c>
      <c r="R4080" s="14">
        <f>_xlfn.XLOOKUP(Table2[[#This Row],[LoanID]],Table1[G-L ID],Table1[ManagerCode],-99)</f>
        <v>103</v>
      </c>
      <c r="T4080"/>
    </row>
    <row r="4081" spans="1:20" x14ac:dyDescent="0.25">
      <c r="A4081">
        <v>20151130</v>
      </c>
      <c r="B4081">
        <v>2015</v>
      </c>
      <c r="C4081">
        <v>11</v>
      </c>
      <c r="D4081">
        <v>1</v>
      </c>
      <c r="E4081">
        <v>11250</v>
      </c>
      <c r="F4081">
        <v>84456.56</v>
      </c>
      <c r="G4081">
        <v>128210.26</v>
      </c>
      <c r="H4081">
        <v>0</v>
      </c>
      <c r="I4081">
        <v>0</v>
      </c>
      <c r="J4081">
        <v>-84456.56</v>
      </c>
      <c r="K4081">
        <v>0</v>
      </c>
      <c r="L4081">
        <v>17073587.030000001</v>
      </c>
      <c r="M4081">
        <v>17286253.850000001</v>
      </c>
      <c r="N4081">
        <v>17073587.030000001</v>
      </c>
      <c r="O4081">
        <v>17286253.850000001</v>
      </c>
      <c r="P4081">
        <v>17073587.030000001</v>
      </c>
      <c r="Q4081">
        <v>17286253.850000001</v>
      </c>
      <c r="R4081" s="14">
        <f>_xlfn.XLOOKUP(Table2[[#This Row],[LoanID]],Table1[G-L ID],Table1[ManagerCode],-99)</f>
        <v>183</v>
      </c>
      <c r="T4081"/>
    </row>
    <row r="4082" spans="1:20" x14ac:dyDescent="0.25">
      <c r="A4082">
        <v>20151130</v>
      </c>
      <c r="B4082">
        <v>2015</v>
      </c>
      <c r="C4082">
        <v>11</v>
      </c>
      <c r="D4082">
        <v>1</v>
      </c>
      <c r="E4082">
        <v>11330</v>
      </c>
      <c r="F4082">
        <v>69365.320000000007</v>
      </c>
      <c r="G4082">
        <v>0</v>
      </c>
      <c r="H4082">
        <v>0</v>
      </c>
      <c r="I4082">
        <v>0</v>
      </c>
      <c r="J4082">
        <v>0</v>
      </c>
      <c r="K4082">
        <v>0</v>
      </c>
      <c r="L4082">
        <v>6370000</v>
      </c>
      <c r="M4082">
        <v>6370000</v>
      </c>
      <c r="N4082">
        <v>6370000</v>
      </c>
      <c r="O4082">
        <v>6370000</v>
      </c>
      <c r="P4082">
        <v>6370000</v>
      </c>
      <c r="Q4082">
        <v>6370000</v>
      </c>
      <c r="R4082" s="14">
        <f>_xlfn.XLOOKUP(Table2[[#This Row],[LoanID]],Table1[G-L ID],Table1[ManagerCode],-99)</f>
        <v>119</v>
      </c>
      <c r="T4082"/>
    </row>
    <row r="4083" spans="1:20" x14ac:dyDescent="0.25">
      <c r="A4083">
        <v>20151130</v>
      </c>
      <c r="B4083">
        <v>2015</v>
      </c>
      <c r="C4083">
        <v>11</v>
      </c>
      <c r="D4083">
        <v>1</v>
      </c>
      <c r="E4083">
        <v>11340</v>
      </c>
      <c r="F4083">
        <v>301388.89</v>
      </c>
      <c r="G4083">
        <v>0</v>
      </c>
      <c r="H4083">
        <v>0</v>
      </c>
      <c r="I4083">
        <v>0</v>
      </c>
      <c r="J4083">
        <v>0</v>
      </c>
      <c r="K4083">
        <v>0</v>
      </c>
      <c r="L4083">
        <v>49500000</v>
      </c>
      <c r="M4083">
        <v>49500000</v>
      </c>
      <c r="N4083">
        <v>49500000</v>
      </c>
      <c r="O4083">
        <v>49500000</v>
      </c>
      <c r="P4083">
        <v>50000000</v>
      </c>
      <c r="Q4083">
        <v>50000000</v>
      </c>
      <c r="R4083" s="14">
        <f>_xlfn.XLOOKUP(Table2[[#This Row],[LoanID]],Table1[G-L ID],Table1[ManagerCode],-99)</f>
        <v>103</v>
      </c>
      <c r="T4083"/>
    </row>
    <row r="4084" spans="1:20" x14ac:dyDescent="0.25">
      <c r="A4084">
        <v>20151130</v>
      </c>
      <c r="B4084">
        <v>2015</v>
      </c>
      <c r="C4084">
        <v>11</v>
      </c>
      <c r="D4084">
        <v>1</v>
      </c>
      <c r="E4084">
        <v>11350</v>
      </c>
      <c r="F4084">
        <v>331527.78000000003</v>
      </c>
      <c r="G4084">
        <v>0</v>
      </c>
      <c r="H4084">
        <v>0</v>
      </c>
      <c r="I4084">
        <v>0</v>
      </c>
      <c r="J4084">
        <v>0</v>
      </c>
      <c r="K4084">
        <v>0</v>
      </c>
      <c r="L4084">
        <v>54449945.549999997</v>
      </c>
      <c r="M4084">
        <v>54449945.549999997</v>
      </c>
      <c r="N4084">
        <v>54449945.549999997</v>
      </c>
      <c r="O4084">
        <v>54449945.549999997</v>
      </c>
      <c r="P4084">
        <v>55000000</v>
      </c>
      <c r="Q4084">
        <v>55000000</v>
      </c>
      <c r="R4084" s="14">
        <f>_xlfn.XLOOKUP(Table2[[#This Row],[LoanID]],Table1[G-L ID],Table1[ManagerCode],-99)</f>
        <v>103</v>
      </c>
      <c r="T4084"/>
    </row>
    <row r="4085" spans="1:20" x14ac:dyDescent="0.25">
      <c r="A4085">
        <v>20151130</v>
      </c>
      <c r="B4085">
        <v>2015</v>
      </c>
      <c r="C4085">
        <v>11</v>
      </c>
      <c r="D4085">
        <v>1</v>
      </c>
      <c r="E4085">
        <v>11370</v>
      </c>
      <c r="F4085">
        <v>61375.13</v>
      </c>
      <c r="G4085">
        <v>0</v>
      </c>
      <c r="H4085">
        <v>0</v>
      </c>
      <c r="I4085">
        <v>0</v>
      </c>
      <c r="J4085">
        <v>-777439.28</v>
      </c>
      <c r="K4085">
        <v>0</v>
      </c>
      <c r="L4085">
        <v>5868410.46</v>
      </c>
      <c r="M4085">
        <v>6645849.7400000002</v>
      </c>
      <c r="N4085">
        <v>5868410.46</v>
      </c>
      <c r="O4085">
        <v>6645849.7400000002</v>
      </c>
      <c r="P4085">
        <v>5868410.46</v>
      </c>
      <c r="Q4085">
        <v>6645849.7400000002</v>
      </c>
      <c r="R4085" s="14">
        <f>_xlfn.XLOOKUP(Table2[[#This Row],[LoanID]],Table1[G-L ID],Table1[ManagerCode],-99)</f>
        <v>119</v>
      </c>
      <c r="T4085"/>
    </row>
    <row r="4086" spans="1:20" x14ac:dyDescent="0.25">
      <c r="A4086">
        <v>20151130</v>
      </c>
      <c r="B4086">
        <v>2015</v>
      </c>
      <c r="C4086">
        <v>11</v>
      </c>
      <c r="D4086">
        <v>1</v>
      </c>
      <c r="E4086">
        <v>11480</v>
      </c>
      <c r="F4086">
        <v>358411.67</v>
      </c>
      <c r="G4086">
        <v>0</v>
      </c>
      <c r="H4086">
        <v>0</v>
      </c>
      <c r="I4086">
        <v>0</v>
      </c>
      <c r="J4086">
        <v>0</v>
      </c>
      <c r="K4086">
        <v>0</v>
      </c>
      <c r="L4086">
        <v>66500000</v>
      </c>
      <c r="M4086">
        <v>66500000</v>
      </c>
      <c r="N4086">
        <v>66500000</v>
      </c>
      <c r="O4086">
        <v>66500000</v>
      </c>
      <c r="P4086">
        <v>70000000</v>
      </c>
      <c r="Q4086">
        <v>70000000</v>
      </c>
      <c r="R4086" s="14">
        <f>_xlfn.XLOOKUP(Table2[[#This Row],[LoanID]],Table1[G-L ID],Table1[ManagerCode],-99)</f>
        <v>103</v>
      </c>
      <c r="T4086"/>
    </row>
    <row r="4087" spans="1:20" x14ac:dyDescent="0.25">
      <c r="A4087">
        <v>20151130</v>
      </c>
      <c r="B4087">
        <v>2015</v>
      </c>
      <c r="C4087">
        <v>11</v>
      </c>
      <c r="D4087">
        <v>1</v>
      </c>
      <c r="E4087">
        <v>11490</v>
      </c>
      <c r="F4087">
        <v>0</v>
      </c>
      <c r="G4087">
        <v>0</v>
      </c>
      <c r="H4087">
        <v>0</v>
      </c>
      <c r="I4087">
        <v>0</v>
      </c>
      <c r="J4087">
        <v>0</v>
      </c>
      <c r="K4087">
        <v>0</v>
      </c>
      <c r="L4087">
        <v>49500000</v>
      </c>
      <c r="M4087">
        <v>49500000</v>
      </c>
      <c r="N4087">
        <v>49500000</v>
      </c>
      <c r="O4087">
        <v>49500000</v>
      </c>
      <c r="P4087">
        <v>55000000</v>
      </c>
      <c r="Q4087">
        <v>55000000</v>
      </c>
      <c r="R4087" s="14">
        <f>_xlfn.XLOOKUP(Table2[[#This Row],[LoanID]],Table1[G-L ID],Table1[ManagerCode],-99)</f>
        <v>103</v>
      </c>
      <c r="T4087"/>
    </row>
    <row r="4088" spans="1:20" x14ac:dyDescent="0.25">
      <c r="A4088">
        <v>20151130</v>
      </c>
      <c r="B4088">
        <v>2015</v>
      </c>
      <c r="C4088">
        <v>11</v>
      </c>
      <c r="D4088">
        <v>1</v>
      </c>
      <c r="E4088">
        <v>11520</v>
      </c>
      <c r="F4088">
        <v>0</v>
      </c>
      <c r="G4088">
        <v>0</v>
      </c>
      <c r="H4088">
        <v>0</v>
      </c>
      <c r="I4088">
        <v>0</v>
      </c>
      <c r="J4088">
        <v>0</v>
      </c>
      <c r="K4088">
        <v>0</v>
      </c>
      <c r="L4088">
        <v>18100000</v>
      </c>
      <c r="M4088">
        <v>18100000</v>
      </c>
      <c r="N4088">
        <v>18100000</v>
      </c>
      <c r="O4088">
        <v>18100000</v>
      </c>
      <c r="P4088">
        <v>18100000</v>
      </c>
      <c r="Q4088">
        <v>18100000</v>
      </c>
      <c r="R4088" s="14">
        <f>_xlfn.XLOOKUP(Table2[[#This Row],[LoanID]],Table1[G-L ID],Table1[ManagerCode],-99)</f>
        <v>119</v>
      </c>
      <c r="T4088"/>
    </row>
    <row r="4089" spans="1:20" x14ac:dyDescent="0.25">
      <c r="A4089">
        <v>20151130</v>
      </c>
      <c r="B4089">
        <v>2015</v>
      </c>
      <c r="C4089">
        <v>11</v>
      </c>
      <c r="D4089">
        <v>1</v>
      </c>
      <c r="E4089">
        <v>11530</v>
      </c>
      <c r="F4089">
        <v>116226.56</v>
      </c>
      <c r="G4089">
        <v>0</v>
      </c>
      <c r="H4089">
        <v>0</v>
      </c>
      <c r="I4089">
        <v>0</v>
      </c>
      <c r="J4089">
        <v>0</v>
      </c>
      <c r="K4089">
        <v>0</v>
      </c>
      <c r="L4089">
        <v>11250000</v>
      </c>
      <c r="M4089">
        <v>11250000</v>
      </c>
      <c r="N4089">
        <v>11250000</v>
      </c>
      <c r="O4089">
        <v>11250000</v>
      </c>
      <c r="P4089">
        <v>11250000</v>
      </c>
      <c r="Q4089">
        <v>11250000</v>
      </c>
      <c r="R4089" s="14">
        <f>_xlfn.XLOOKUP(Table2[[#This Row],[LoanID]],Table1[G-L ID],Table1[ManagerCode],-99)</f>
        <v>119</v>
      </c>
      <c r="T4089"/>
    </row>
    <row r="4090" spans="1:20" x14ac:dyDescent="0.25">
      <c r="A4090">
        <v>20151130</v>
      </c>
      <c r="B4090">
        <v>2015</v>
      </c>
      <c r="C4090">
        <v>11</v>
      </c>
      <c r="D4090">
        <v>1</v>
      </c>
      <c r="E4090">
        <v>11560</v>
      </c>
      <c r="F4090">
        <v>14122.03</v>
      </c>
      <c r="G4090">
        <v>89201.31</v>
      </c>
      <c r="H4090">
        <v>0</v>
      </c>
      <c r="I4090">
        <v>0</v>
      </c>
      <c r="J4090">
        <v>-394989.31</v>
      </c>
      <c r="K4090">
        <v>0</v>
      </c>
      <c r="L4090">
        <v>15815359.84</v>
      </c>
      <c r="M4090">
        <v>16299550.460000001</v>
      </c>
      <c r="N4090">
        <v>15815359.84</v>
      </c>
      <c r="O4090">
        <v>16299550.460000001</v>
      </c>
      <c r="P4090">
        <v>15815359.84</v>
      </c>
      <c r="Q4090">
        <v>16299550.460000001</v>
      </c>
      <c r="R4090" s="14">
        <f>_xlfn.XLOOKUP(Table2[[#This Row],[LoanID]],Table1[G-L ID],Table1[ManagerCode],-99)</f>
        <v>183</v>
      </c>
      <c r="T4090"/>
    </row>
    <row r="4091" spans="1:20" x14ac:dyDescent="0.25">
      <c r="A4091">
        <v>20151130</v>
      </c>
      <c r="B4091">
        <v>2015</v>
      </c>
      <c r="C4091">
        <v>11</v>
      </c>
      <c r="D4091">
        <v>1</v>
      </c>
      <c r="E4091">
        <v>11590</v>
      </c>
      <c r="F4091">
        <v>23405.85</v>
      </c>
      <c r="G4091">
        <v>0</v>
      </c>
      <c r="H4091">
        <v>0</v>
      </c>
      <c r="I4091">
        <v>0</v>
      </c>
      <c r="J4091">
        <v>0</v>
      </c>
      <c r="K4091">
        <v>0</v>
      </c>
      <c r="L4091">
        <v>3507224.44</v>
      </c>
      <c r="M4091">
        <v>3507224.44</v>
      </c>
      <c r="N4091">
        <v>3507224.44</v>
      </c>
      <c r="O4091">
        <v>3507224.44</v>
      </c>
      <c r="P4091">
        <v>3507224.44</v>
      </c>
      <c r="Q4091">
        <v>3507224.44</v>
      </c>
      <c r="R4091" s="14">
        <f>_xlfn.XLOOKUP(Table2[[#This Row],[LoanID]],Table1[G-L ID],Table1[ManagerCode],-99)</f>
        <v>119</v>
      </c>
      <c r="T4091"/>
    </row>
    <row r="4092" spans="1:20" x14ac:dyDescent="0.25">
      <c r="A4092">
        <v>20151130</v>
      </c>
      <c r="B4092">
        <v>2015</v>
      </c>
      <c r="C4092">
        <v>11</v>
      </c>
      <c r="D4092">
        <v>1</v>
      </c>
      <c r="E4092">
        <v>11650</v>
      </c>
      <c r="F4092">
        <v>75000</v>
      </c>
      <c r="G4092">
        <v>0</v>
      </c>
      <c r="H4092">
        <v>0</v>
      </c>
      <c r="I4092">
        <v>0</v>
      </c>
      <c r="J4092">
        <v>0</v>
      </c>
      <c r="K4092">
        <v>0</v>
      </c>
      <c r="L4092">
        <v>9600000</v>
      </c>
      <c r="M4092">
        <v>9600000</v>
      </c>
      <c r="N4092">
        <v>9600000</v>
      </c>
      <c r="O4092">
        <v>9600000</v>
      </c>
      <c r="P4092">
        <v>12000000</v>
      </c>
      <c r="Q4092">
        <v>12000000</v>
      </c>
      <c r="R4092" s="14">
        <f>_xlfn.XLOOKUP(Table2[[#This Row],[LoanID]],Table1[G-L ID],Table1[ManagerCode],-99)</f>
        <v>103</v>
      </c>
      <c r="T4092"/>
    </row>
    <row r="4093" spans="1:20" x14ac:dyDescent="0.25">
      <c r="A4093">
        <v>20151130</v>
      </c>
      <c r="B4093">
        <v>2015</v>
      </c>
      <c r="C4093">
        <v>11</v>
      </c>
      <c r="D4093">
        <v>1</v>
      </c>
      <c r="E4093">
        <v>11660</v>
      </c>
      <c r="F4093">
        <v>0</v>
      </c>
      <c r="G4093">
        <v>0</v>
      </c>
      <c r="H4093">
        <v>0</v>
      </c>
      <c r="I4093">
        <v>0</v>
      </c>
      <c r="J4093">
        <v>0</v>
      </c>
      <c r="K4093">
        <v>0</v>
      </c>
      <c r="L4093">
        <v>27647178</v>
      </c>
      <c r="M4093">
        <v>27647178</v>
      </c>
      <c r="N4093">
        <v>27647178</v>
      </c>
      <c r="O4093">
        <v>27647178</v>
      </c>
      <c r="P4093">
        <v>27647178</v>
      </c>
      <c r="Q4093">
        <v>27647178</v>
      </c>
      <c r="R4093" s="14">
        <f>_xlfn.XLOOKUP(Table2[[#This Row],[LoanID]],Table1[G-L ID],Table1[ManagerCode],-99)</f>
        <v>183</v>
      </c>
      <c r="T4093"/>
    </row>
    <row r="4094" spans="1:20" x14ac:dyDescent="0.25">
      <c r="A4094">
        <v>20151130</v>
      </c>
      <c r="B4094">
        <v>2015</v>
      </c>
      <c r="C4094">
        <v>11</v>
      </c>
      <c r="D4094">
        <v>1</v>
      </c>
      <c r="E4094">
        <v>11680</v>
      </c>
      <c r="F4094">
        <v>57126.559999999998</v>
      </c>
      <c r="G4094">
        <v>0</v>
      </c>
      <c r="H4094">
        <v>0</v>
      </c>
      <c r="I4094">
        <v>0</v>
      </c>
      <c r="J4094">
        <v>0</v>
      </c>
      <c r="K4094">
        <v>0</v>
      </c>
      <c r="L4094">
        <v>6600000</v>
      </c>
      <c r="M4094">
        <v>6600000</v>
      </c>
      <c r="N4094">
        <v>6600000</v>
      </c>
      <c r="O4094">
        <v>6600000</v>
      </c>
      <c r="P4094">
        <v>6600000</v>
      </c>
      <c r="Q4094">
        <v>6600000</v>
      </c>
      <c r="R4094" s="14">
        <f>_xlfn.XLOOKUP(Table2[[#This Row],[LoanID]],Table1[G-L ID],Table1[ManagerCode],-99)</f>
        <v>183</v>
      </c>
      <c r="T4094"/>
    </row>
    <row r="4095" spans="1:20" x14ac:dyDescent="0.25">
      <c r="A4095">
        <v>20151130</v>
      </c>
      <c r="B4095">
        <v>2015</v>
      </c>
      <c r="C4095">
        <v>11</v>
      </c>
      <c r="D4095">
        <v>1</v>
      </c>
      <c r="E4095">
        <v>11710</v>
      </c>
      <c r="F4095">
        <v>131240</v>
      </c>
      <c r="G4095">
        <v>0</v>
      </c>
      <c r="H4095">
        <v>0</v>
      </c>
      <c r="I4095">
        <v>0</v>
      </c>
      <c r="J4095">
        <v>0</v>
      </c>
      <c r="K4095">
        <v>0</v>
      </c>
      <c r="L4095">
        <v>15000000</v>
      </c>
      <c r="M4095">
        <v>15000000</v>
      </c>
      <c r="N4095">
        <v>15000000</v>
      </c>
      <c r="O4095">
        <v>15000000</v>
      </c>
      <c r="P4095">
        <v>15000000</v>
      </c>
      <c r="Q4095">
        <v>15000000</v>
      </c>
      <c r="R4095" s="14">
        <f>_xlfn.XLOOKUP(Table2[[#This Row],[LoanID]],Table1[G-L ID],Table1[ManagerCode],-99)</f>
        <v>119</v>
      </c>
      <c r="T4095"/>
    </row>
    <row r="4096" spans="1:20" x14ac:dyDescent="0.25">
      <c r="A4096">
        <v>20151130</v>
      </c>
      <c r="B4096">
        <v>2015</v>
      </c>
      <c r="C4096">
        <v>11</v>
      </c>
      <c r="D4096">
        <v>1</v>
      </c>
      <c r="E4096">
        <v>11720</v>
      </c>
      <c r="F4096">
        <v>129166.67</v>
      </c>
      <c r="G4096">
        <v>0</v>
      </c>
      <c r="H4096">
        <v>0</v>
      </c>
      <c r="I4096">
        <v>0</v>
      </c>
      <c r="J4096">
        <v>0</v>
      </c>
      <c r="K4096">
        <v>0</v>
      </c>
      <c r="L4096">
        <v>19800000</v>
      </c>
      <c r="M4096">
        <v>19800000</v>
      </c>
      <c r="N4096">
        <v>19800000</v>
      </c>
      <c r="O4096">
        <v>19800000</v>
      </c>
      <c r="P4096">
        <v>20000000</v>
      </c>
      <c r="Q4096">
        <v>20000000</v>
      </c>
      <c r="R4096" s="14">
        <f>_xlfn.XLOOKUP(Table2[[#This Row],[LoanID]],Table1[G-L ID],Table1[ManagerCode],-99)</f>
        <v>103</v>
      </c>
      <c r="T4096"/>
    </row>
    <row r="4097" spans="1:20" x14ac:dyDescent="0.25">
      <c r="A4097">
        <v>20151130</v>
      </c>
      <c r="B4097">
        <v>2015</v>
      </c>
      <c r="C4097">
        <v>11</v>
      </c>
      <c r="D4097">
        <v>1</v>
      </c>
      <c r="E4097">
        <v>11730</v>
      </c>
      <c r="F4097">
        <v>46995.44</v>
      </c>
      <c r="G4097">
        <v>0</v>
      </c>
      <c r="H4097">
        <v>0</v>
      </c>
      <c r="I4097">
        <v>0</v>
      </c>
      <c r="J4097">
        <v>0</v>
      </c>
      <c r="K4097">
        <v>0</v>
      </c>
      <c r="L4097">
        <v>4750000</v>
      </c>
      <c r="M4097">
        <v>4750000</v>
      </c>
      <c r="N4097">
        <v>4750000</v>
      </c>
      <c r="O4097">
        <v>4750000</v>
      </c>
      <c r="P4097">
        <v>4750000</v>
      </c>
      <c r="Q4097">
        <v>4750000</v>
      </c>
      <c r="R4097" s="14">
        <f>_xlfn.XLOOKUP(Table2[[#This Row],[LoanID]],Table1[G-L ID],Table1[ManagerCode],-99)</f>
        <v>119</v>
      </c>
      <c r="T4097"/>
    </row>
    <row r="4098" spans="1:20" x14ac:dyDescent="0.25">
      <c r="A4098">
        <v>20151130</v>
      </c>
      <c r="B4098">
        <v>2015</v>
      </c>
      <c r="C4098">
        <v>11</v>
      </c>
      <c r="D4098">
        <v>1</v>
      </c>
      <c r="E4098">
        <v>11740</v>
      </c>
      <c r="F4098">
        <v>0</v>
      </c>
      <c r="G4098">
        <v>0</v>
      </c>
      <c r="H4098">
        <v>0</v>
      </c>
      <c r="I4098">
        <v>0</v>
      </c>
      <c r="J4098">
        <v>0</v>
      </c>
      <c r="K4098">
        <v>19110000</v>
      </c>
      <c r="L4098">
        <v>19110000</v>
      </c>
      <c r="M4098">
        <v>0</v>
      </c>
      <c r="N4098">
        <v>19110000</v>
      </c>
      <c r="O4098">
        <v>0</v>
      </c>
      <c r="P4098">
        <v>19110000</v>
      </c>
      <c r="Q4098">
        <v>0</v>
      </c>
      <c r="R4098" s="14">
        <f>_xlfn.XLOOKUP(Table2[[#This Row],[LoanID]],Table1[G-L ID],Table1[ManagerCode],-99)</f>
        <v>183</v>
      </c>
      <c r="T4098"/>
    </row>
    <row r="4099" spans="1:20" x14ac:dyDescent="0.25">
      <c r="A4099">
        <v>20151130</v>
      </c>
      <c r="B4099">
        <v>2015</v>
      </c>
      <c r="C4099">
        <v>11</v>
      </c>
      <c r="D4099">
        <v>1</v>
      </c>
      <c r="E4099">
        <v>11750</v>
      </c>
      <c r="F4099">
        <v>0</v>
      </c>
      <c r="G4099">
        <v>37321.11</v>
      </c>
      <c r="H4099">
        <v>542066.28</v>
      </c>
      <c r="I4099">
        <v>0</v>
      </c>
      <c r="J4099">
        <v>-10663173.289999999</v>
      </c>
      <c r="K4099">
        <v>0</v>
      </c>
      <c r="L4099">
        <v>0</v>
      </c>
      <c r="M4099">
        <v>10700494.4</v>
      </c>
      <c r="N4099">
        <v>0</v>
      </c>
      <c r="O4099">
        <v>10700494.4</v>
      </c>
      <c r="P4099">
        <v>0</v>
      </c>
      <c r="Q4099">
        <v>10700494.4</v>
      </c>
      <c r="R4099" s="14">
        <f>_xlfn.XLOOKUP(Table2[[#This Row],[LoanID]],Table1[G-L ID],Table1[ManagerCode],-99)</f>
        <v>183</v>
      </c>
      <c r="T4099"/>
    </row>
    <row r="4100" spans="1:20" x14ac:dyDescent="0.25">
      <c r="A4100">
        <v>20151130</v>
      </c>
      <c r="B4100">
        <v>2015</v>
      </c>
      <c r="C4100">
        <v>11</v>
      </c>
      <c r="D4100">
        <v>1</v>
      </c>
      <c r="E4100">
        <v>11810</v>
      </c>
      <c r="F4100">
        <v>48910.98</v>
      </c>
      <c r="G4100">
        <v>0</v>
      </c>
      <c r="H4100">
        <v>0</v>
      </c>
      <c r="I4100">
        <v>0</v>
      </c>
      <c r="J4100">
        <v>0</v>
      </c>
      <c r="K4100">
        <v>11947.11</v>
      </c>
      <c r="L4100">
        <v>9463556.9000000004</v>
      </c>
      <c r="M4100">
        <v>9451729.2599999998</v>
      </c>
      <c r="N4100">
        <v>9463556.9000000004</v>
      </c>
      <c r="O4100">
        <v>9451729.2599999998</v>
      </c>
      <c r="P4100">
        <v>9559148.3800000008</v>
      </c>
      <c r="Q4100">
        <v>9547201.2699999996</v>
      </c>
      <c r="R4100" s="14">
        <f>_xlfn.XLOOKUP(Table2[[#This Row],[LoanID]],Table1[G-L ID],Table1[ManagerCode],-99)</f>
        <v>103</v>
      </c>
      <c r="T4100"/>
    </row>
    <row r="4101" spans="1:20" x14ac:dyDescent="0.25">
      <c r="A4101">
        <v>20151130</v>
      </c>
      <c r="B4101">
        <v>2015</v>
      </c>
      <c r="C4101">
        <v>11</v>
      </c>
      <c r="D4101">
        <v>1</v>
      </c>
      <c r="E4101">
        <v>11880</v>
      </c>
      <c r="F4101">
        <v>308982.7</v>
      </c>
      <c r="G4101">
        <v>160270.56</v>
      </c>
      <c r="H4101">
        <v>0</v>
      </c>
      <c r="I4101">
        <v>0</v>
      </c>
      <c r="J4101">
        <v>-11000000</v>
      </c>
      <c r="K4101">
        <v>0</v>
      </c>
      <c r="L4101">
        <v>67232715.379999995</v>
      </c>
      <c r="M4101">
        <v>78392985.939999998</v>
      </c>
      <c r="N4101">
        <v>67232715.379999995</v>
      </c>
      <c r="O4101">
        <v>78392985.939999998</v>
      </c>
      <c r="P4101">
        <v>67232715.379999995</v>
      </c>
      <c r="Q4101">
        <v>78392985.939999998</v>
      </c>
      <c r="R4101" s="14">
        <f>_xlfn.XLOOKUP(Table2[[#This Row],[LoanID]],Table1[G-L ID],Table1[ManagerCode],-99)</f>
        <v>183</v>
      </c>
      <c r="T4101"/>
    </row>
    <row r="4102" spans="1:20" x14ac:dyDescent="0.25">
      <c r="A4102">
        <v>20151130</v>
      </c>
      <c r="B4102">
        <v>2015</v>
      </c>
      <c r="C4102">
        <v>11</v>
      </c>
      <c r="D4102">
        <v>1</v>
      </c>
      <c r="E4102">
        <v>11980</v>
      </c>
      <c r="F4102">
        <v>98601.61</v>
      </c>
      <c r="G4102">
        <v>0</v>
      </c>
      <c r="H4102">
        <v>-238450</v>
      </c>
      <c r="I4102">
        <v>0</v>
      </c>
      <c r="J4102">
        <v>25100000</v>
      </c>
      <c r="K4102">
        <v>0</v>
      </c>
      <c r="L4102">
        <v>32500000</v>
      </c>
      <c r="M4102">
        <v>7400000</v>
      </c>
      <c r="N4102">
        <v>32500000</v>
      </c>
      <c r="O4102">
        <v>7400000</v>
      </c>
      <c r="P4102">
        <v>32500000</v>
      </c>
      <c r="Q4102">
        <v>7400000</v>
      </c>
      <c r="R4102" s="14">
        <f>_xlfn.XLOOKUP(Table2[[#This Row],[LoanID]],Table1[G-L ID],Table1[ManagerCode],-99)</f>
        <v>119</v>
      </c>
      <c r="T4102"/>
    </row>
    <row r="4103" spans="1:20" x14ac:dyDescent="0.25">
      <c r="A4103">
        <v>20151130</v>
      </c>
      <c r="B4103">
        <v>2015</v>
      </c>
      <c r="C4103">
        <v>11</v>
      </c>
      <c r="D4103">
        <v>1</v>
      </c>
      <c r="E4103">
        <v>11990</v>
      </c>
      <c r="F4103">
        <v>100711.25</v>
      </c>
      <c r="G4103">
        <v>0</v>
      </c>
      <c r="H4103">
        <v>0</v>
      </c>
      <c r="I4103">
        <v>0</v>
      </c>
      <c r="J4103">
        <v>0</v>
      </c>
      <c r="K4103">
        <v>0</v>
      </c>
      <c r="L4103">
        <v>15000000</v>
      </c>
      <c r="M4103">
        <v>15000000</v>
      </c>
      <c r="N4103">
        <v>15000000</v>
      </c>
      <c r="O4103">
        <v>15000000</v>
      </c>
      <c r="P4103">
        <v>15000000</v>
      </c>
      <c r="Q4103">
        <v>15000000</v>
      </c>
      <c r="R4103" s="14">
        <f>_xlfn.XLOOKUP(Table2[[#This Row],[LoanID]],Table1[G-L ID],Table1[ManagerCode],-99)</f>
        <v>220</v>
      </c>
      <c r="T4103"/>
    </row>
    <row r="4104" spans="1:20" x14ac:dyDescent="0.25">
      <c r="A4104">
        <v>20151130</v>
      </c>
      <c r="B4104">
        <v>2015</v>
      </c>
      <c r="C4104">
        <v>11</v>
      </c>
      <c r="D4104">
        <v>1</v>
      </c>
      <c r="E4104">
        <v>12010</v>
      </c>
      <c r="F4104">
        <v>81992.69</v>
      </c>
      <c r="G4104">
        <v>0</v>
      </c>
      <c r="H4104">
        <v>650000</v>
      </c>
      <c r="I4104">
        <v>0</v>
      </c>
      <c r="J4104">
        <v>-58450232</v>
      </c>
      <c r="K4104">
        <v>0</v>
      </c>
      <c r="L4104">
        <v>0</v>
      </c>
      <c r="M4104">
        <v>58450232</v>
      </c>
      <c r="N4104">
        <v>0</v>
      </c>
      <c r="O4104">
        <v>58450232</v>
      </c>
      <c r="P4104">
        <v>0</v>
      </c>
      <c r="Q4104">
        <v>58450232</v>
      </c>
      <c r="R4104" s="14">
        <f>_xlfn.XLOOKUP(Table2[[#This Row],[LoanID]],Table1[G-L ID],Table1[ManagerCode],-99)</f>
        <v>119</v>
      </c>
      <c r="T4104"/>
    </row>
    <row r="4105" spans="1:20" x14ac:dyDescent="0.25">
      <c r="A4105">
        <v>20151130</v>
      </c>
      <c r="B4105">
        <v>2015</v>
      </c>
      <c r="C4105">
        <v>11</v>
      </c>
      <c r="D4105">
        <v>1</v>
      </c>
      <c r="E4105">
        <v>12160</v>
      </c>
      <c r="F4105">
        <v>81510.990000000005</v>
      </c>
      <c r="G4105">
        <v>99540.45</v>
      </c>
      <c r="H4105">
        <v>0</v>
      </c>
      <c r="I4105">
        <v>0</v>
      </c>
      <c r="J4105">
        <v>-81510.990000000005</v>
      </c>
      <c r="K4105">
        <v>0</v>
      </c>
      <c r="L4105">
        <v>16448151.23</v>
      </c>
      <c r="M4105">
        <v>16629202.67</v>
      </c>
      <c r="N4105">
        <v>16448151.23</v>
      </c>
      <c r="O4105">
        <v>16629202.67</v>
      </c>
      <c r="P4105">
        <v>16448151.23</v>
      </c>
      <c r="Q4105">
        <v>16629202.67</v>
      </c>
      <c r="R4105" s="14">
        <f>_xlfn.XLOOKUP(Table2[[#This Row],[LoanID]],Table1[G-L ID],Table1[ManagerCode],-99)</f>
        <v>183</v>
      </c>
      <c r="T4105"/>
    </row>
    <row r="4106" spans="1:20" x14ac:dyDescent="0.25">
      <c r="A4106">
        <v>20151130</v>
      </c>
      <c r="B4106">
        <v>2015</v>
      </c>
      <c r="C4106">
        <v>11</v>
      </c>
      <c r="D4106">
        <v>1</v>
      </c>
      <c r="E4106">
        <v>12180</v>
      </c>
      <c r="F4106">
        <v>233576.39</v>
      </c>
      <c r="G4106">
        <v>0</v>
      </c>
      <c r="H4106">
        <v>0</v>
      </c>
      <c r="I4106">
        <v>0</v>
      </c>
      <c r="J4106">
        <v>0</v>
      </c>
      <c r="K4106">
        <v>0</v>
      </c>
      <c r="L4106">
        <v>35000000</v>
      </c>
      <c r="M4106">
        <v>35000000</v>
      </c>
      <c r="N4106">
        <v>35000000</v>
      </c>
      <c r="O4106">
        <v>35000000</v>
      </c>
      <c r="P4106">
        <v>35000000</v>
      </c>
      <c r="Q4106">
        <v>35000000</v>
      </c>
      <c r="R4106" s="14">
        <f>_xlfn.XLOOKUP(Table2[[#This Row],[LoanID]],Table1[G-L ID],Table1[ManagerCode],-99)</f>
        <v>220</v>
      </c>
      <c r="T4106"/>
    </row>
    <row r="4107" spans="1:20" x14ac:dyDescent="0.25">
      <c r="A4107">
        <v>20151130</v>
      </c>
      <c r="B4107">
        <v>2015</v>
      </c>
      <c r="C4107">
        <v>11</v>
      </c>
      <c r="D4107">
        <v>1</v>
      </c>
      <c r="E4107">
        <v>12190</v>
      </c>
      <c r="F4107">
        <v>260547.62</v>
      </c>
      <c r="G4107">
        <v>0</v>
      </c>
      <c r="H4107">
        <v>0</v>
      </c>
      <c r="I4107">
        <v>0</v>
      </c>
      <c r="J4107">
        <v>0</v>
      </c>
      <c r="K4107">
        <v>0</v>
      </c>
      <c r="L4107">
        <v>34383117</v>
      </c>
      <c r="M4107">
        <v>34383117</v>
      </c>
      <c r="N4107">
        <v>34383117</v>
      </c>
      <c r="O4107">
        <v>34383117</v>
      </c>
      <c r="P4107">
        <v>34383117</v>
      </c>
      <c r="Q4107">
        <v>34383117</v>
      </c>
      <c r="R4107" s="14">
        <f>_xlfn.XLOOKUP(Table2[[#This Row],[LoanID]],Table1[G-L ID],Table1[ManagerCode],-99)</f>
        <v>220</v>
      </c>
      <c r="T4107"/>
    </row>
    <row r="4108" spans="1:20" x14ac:dyDescent="0.25">
      <c r="A4108">
        <v>20151130</v>
      </c>
      <c r="B4108">
        <v>2015</v>
      </c>
      <c r="C4108">
        <v>11</v>
      </c>
      <c r="D4108">
        <v>1</v>
      </c>
      <c r="E4108">
        <v>12210</v>
      </c>
      <c r="F4108">
        <v>661907.82999999996</v>
      </c>
      <c r="G4108">
        <v>0</v>
      </c>
      <c r="H4108">
        <v>0</v>
      </c>
      <c r="I4108">
        <v>0</v>
      </c>
      <c r="J4108">
        <v>0</v>
      </c>
      <c r="K4108">
        <v>234409.96</v>
      </c>
      <c r="L4108">
        <v>117361965.59999999</v>
      </c>
      <c r="M4108">
        <v>116476445.8</v>
      </c>
      <c r="N4108">
        <v>117361965.59999999</v>
      </c>
      <c r="O4108">
        <v>116476445.8</v>
      </c>
      <c r="P4108">
        <v>107097754.7</v>
      </c>
      <c r="Q4108">
        <v>106863344.7</v>
      </c>
      <c r="R4108" s="14">
        <f>_xlfn.XLOOKUP(Table2[[#This Row],[LoanID]],Table1[G-L ID],Table1[ManagerCode],-99)</f>
        <v>103</v>
      </c>
      <c r="T4108"/>
    </row>
    <row r="4109" spans="1:20" x14ac:dyDescent="0.25">
      <c r="A4109">
        <v>20151130</v>
      </c>
      <c r="B4109">
        <v>2015</v>
      </c>
      <c r="C4109">
        <v>11</v>
      </c>
      <c r="D4109">
        <v>1</v>
      </c>
      <c r="E4109">
        <v>12230</v>
      </c>
      <c r="F4109">
        <v>101577.18</v>
      </c>
      <c r="G4109">
        <v>0</v>
      </c>
      <c r="H4109">
        <v>0</v>
      </c>
      <c r="I4109">
        <v>0</v>
      </c>
      <c r="J4109">
        <v>-720501.62</v>
      </c>
      <c r="K4109">
        <v>0</v>
      </c>
      <c r="L4109">
        <v>19548312.32</v>
      </c>
      <c r="M4109">
        <v>20268813.940000001</v>
      </c>
      <c r="N4109">
        <v>13032859.82</v>
      </c>
      <c r="O4109">
        <v>13753361.439999999</v>
      </c>
      <c r="P4109">
        <v>19548312.32</v>
      </c>
      <c r="Q4109">
        <v>20268813.940000001</v>
      </c>
      <c r="R4109" s="14">
        <f>_xlfn.XLOOKUP(Table2[[#This Row],[LoanID]],Table1[G-L ID],Table1[ManagerCode],-99)</f>
        <v>183</v>
      </c>
      <c r="T4109"/>
    </row>
    <row r="4110" spans="1:20" x14ac:dyDescent="0.25">
      <c r="A4110">
        <v>20151130</v>
      </c>
      <c r="B4110">
        <v>2015</v>
      </c>
      <c r="C4110">
        <v>11</v>
      </c>
      <c r="D4110">
        <v>1</v>
      </c>
      <c r="E4110">
        <v>12240</v>
      </c>
      <c r="F4110">
        <v>0</v>
      </c>
      <c r="G4110">
        <v>1424325.25</v>
      </c>
      <c r="H4110">
        <v>0</v>
      </c>
      <c r="I4110">
        <v>0</v>
      </c>
      <c r="J4110">
        <v>0</v>
      </c>
      <c r="K4110">
        <v>0</v>
      </c>
      <c r="L4110">
        <v>128029235.7</v>
      </c>
      <c r="M4110">
        <v>129453560.90000001</v>
      </c>
      <c r="N4110">
        <v>128029235.7</v>
      </c>
      <c r="O4110">
        <v>129453560.90000001</v>
      </c>
      <c r="P4110">
        <v>128029235.7</v>
      </c>
      <c r="Q4110">
        <v>129453560.90000001</v>
      </c>
      <c r="R4110" s="14">
        <f>_xlfn.XLOOKUP(Table2[[#This Row],[LoanID]],Table1[G-L ID],Table1[ManagerCode],-99)</f>
        <v>183</v>
      </c>
      <c r="T4110"/>
    </row>
    <row r="4111" spans="1:20" x14ac:dyDescent="0.25">
      <c r="A4111">
        <v>20151130</v>
      </c>
      <c r="B4111">
        <v>2015</v>
      </c>
      <c r="C4111">
        <v>11</v>
      </c>
      <c r="D4111">
        <v>1</v>
      </c>
      <c r="E4111">
        <v>13630</v>
      </c>
      <c r="F4111">
        <v>218506.94</v>
      </c>
      <c r="G4111">
        <v>0</v>
      </c>
      <c r="H4111">
        <v>0</v>
      </c>
      <c r="I4111">
        <v>0</v>
      </c>
      <c r="J4111">
        <v>0</v>
      </c>
      <c r="K4111">
        <v>0</v>
      </c>
      <c r="L4111">
        <v>35000000</v>
      </c>
      <c r="M4111">
        <v>35000000</v>
      </c>
      <c r="N4111">
        <v>35000000</v>
      </c>
      <c r="O4111">
        <v>35000000</v>
      </c>
      <c r="P4111">
        <v>35000000</v>
      </c>
      <c r="Q4111">
        <v>35000000</v>
      </c>
      <c r="R4111" s="14">
        <f>_xlfn.XLOOKUP(Table2[[#This Row],[LoanID]],Table1[G-L ID],Table1[ManagerCode],-99)</f>
        <v>298</v>
      </c>
      <c r="T4111"/>
    </row>
    <row r="4112" spans="1:20" x14ac:dyDescent="0.25">
      <c r="A4112">
        <v>20151130</v>
      </c>
      <c r="B4112">
        <v>2015</v>
      </c>
      <c r="C4112">
        <v>11</v>
      </c>
      <c r="D4112">
        <v>1</v>
      </c>
      <c r="E4112">
        <v>13670</v>
      </c>
      <c r="F4112">
        <v>280808.34000000003</v>
      </c>
      <c r="G4112">
        <v>0</v>
      </c>
      <c r="H4112">
        <v>0</v>
      </c>
      <c r="I4112">
        <v>0</v>
      </c>
      <c r="J4112">
        <v>0</v>
      </c>
      <c r="K4112">
        <v>0</v>
      </c>
      <c r="L4112">
        <v>37500000</v>
      </c>
      <c r="M4112">
        <v>37500000</v>
      </c>
      <c r="N4112">
        <v>37500000</v>
      </c>
      <c r="O4112">
        <v>37500000</v>
      </c>
      <c r="P4112">
        <v>37500000</v>
      </c>
      <c r="Q4112">
        <v>37500000</v>
      </c>
      <c r="R4112" s="14">
        <f>_xlfn.XLOOKUP(Table2[[#This Row],[LoanID]],Table1[G-L ID],Table1[ManagerCode],-99)</f>
        <v>298</v>
      </c>
      <c r="T4112"/>
    </row>
    <row r="4113" spans="1:20" x14ac:dyDescent="0.25">
      <c r="A4113">
        <v>20151130</v>
      </c>
      <c r="B4113">
        <v>2015</v>
      </c>
      <c r="C4113">
        <v>11</v>
      </c>
      <c r="D4113">
        <v>1</v>
      </c>
      <c r="E4113">
        <v>13680</v>
      </c>
      <c r="F4113">
        <v>145000</v>
      </c>
      <c r="G4113">
        <v>0</v>
      </c>
      <c r="H4113">
        <v>0</v>
      </c>
      <c r="I4113">
        <v>0</v>
      </c>
      <c r="J4113">
        <v>0</v>
      </c>
      <c r="K4113">
        <v>0</v>
      </c>
      <c r="L4113">
        <v>18000000</v>
      </c>
      <c r="M4113">
        <v>18000000</v>
      </c>
      <c r="N4113">
        <v>18000000</v>
      </c>
      <c r="O4113">
        <v>18000000</v>
      </c>
      <c r="P4113">
        <v>18000000</v>
      </c>
      <c r="Q4113">
        <v>18000000</v>
      </c>
      <c r="R4113" s="14">
        <f>_xlfn.XLOOKUP(Table2[[#This Row],[LoanID]],Table1[G-L ID],Table1[ManagerCode],-99)</f>
        <v>298</v>
      </c>
      <c r="T4113"/>
    </row>
    <row r="4114" spans="1:20" x14ac:dyDescent="0.25">
      <c r="A4114">
        <v>20151130</v>
      </c>
      <c r="B4114">
        <v>2015</v>
      </c>
      <c r="C4114">
        <v>11</v>
      </c>
      <c r="D4114">
        <v>1</v>
      </c>
      <c r="E4114">
        <v>13690</v>
      </c>
      <c r="F4114">
        <v>133472.22</v>
      </c>
      <c r="G4114">
        <v>0</v>
      </c>
      <c r="H4114">
        <v>0</v>
      </c>
      <c r="I4114">
        <v>0</v>
      </c>
      <c r="J4114">
        <v>0</v>
      </c>
      <c r="K4114">
        <v>0</v>
      </c>
      <c r="L4114">
        <v>20000000</v>
      </c>
      <c r="M4114">
        <v>20000000</v>
      </c>
      <c r="N4114">
        <v>20000000</v>
      </c>
      <c r="O4114">
        <v>20000000</v>
      </c>
      <c r="P4114">
        <v>20000000</v>
      </c>
      <c r="Q4114">
        <v>20000000</v>
      </c>
      <c r="R4114" s="14">
        <f>_xlfn.XLOOKUP(Table2[[#This Row],[LoanID]],Table1[G-L ID],Table1[ManagerCode],-99)</f>
        <v>298</v>
      </c>
      <c r="T4114"/>
    </row>
    <row r="4115" spans="1:20" x14ac:dyDescent="0.25">
      <c r="A4115">
        <v>20151130</v>
      </c>
      <c r="B4115">
        <v>2015</v>
      </c>
      <c r="C4115">
        <v>11</v>
      </c>
      <c r="D4115">
        <v>1</v>
      </c>
      <c r="E4115">
        <v>15580</v>
      </c>
      <c r="F4115">
        <v>118036.06</v>
      </c>
      <c r="G4115">
        <v>-3848.97</v>
      </c>
      <c r="H4115">
        <v>0</v>
      </c>
      <c r="I4115">
        <v>0</v>
      </c>
      <c r="J4115">
        <v>0</v>
      </c>
      <c r="K4115">
        <v>5365.25</v>
      </c>
      <c r="L4115">
        <v>14936861.939999999</v>
      </c>
      <c r="M4115">
        <v>14927647.720000001</v>
      </c>
      <c r="N4115">
        <v>14936861.939999999</v>
      </c>
      <c r="O4115">
        <v>14927647.720000001</v>
      </c>
      <c r="P4115">
        <v>14936861.939999999</v>
      </c>
      <c r="Q4115">
        <v>14927647.720000001</v>
      </c>
      <c r="R4115" s="14">
        <f>_xlfn.XLOOKUP(Table2[[#This Row],[LoanID]],Table1[G-L ID],Table1[ManagerCode],-99)</f>
        <v>212</v>
      </c>
      <c r="T4115"/>
    </row>
    <row r="4116" spans="1:20" x14ac:dyDescent="0.25">
      <c r="A4116">
        <v>20151231</v>
      </c>
      <c r="B4116">
        <v>2015</v>
      </c>
      <c r="C4116">
        <v>12</v>
      </c>
      <c r="D4116">
        <v>1</v>
      </c>
      <c r="E4116">
        <v>10010</v>
      </c>
      <c r="F4116">
        <v>152724.74</v>
      </c>
      <c r="G4116">
        <v>0</v>
      </c>
      <c r="H4116">
        <v>0</v>
      </c>
      <c r="I4116">
        <v>0</v>
      </c>
      <c r="J4116">
        <v>-2102542.4900000002</v>
      </c>
      <c r="K4116">
        <v>0</v>
      </c>
      <c r="L4116">
        <v>16501119.51</v>
      </c>
      <c r="M4116">
        <v>18603662</v>
      </c>
      <c r="N4116">
        <v>16501119.51</v>
      </c>
      <c r="O4116">
        <v>18603662</v>
      </c>
      <c r="P4116">
        <v>16501119.51</v>
      </c>
      <c r="Q4116">
        <v>18603662</v>
      </c>
      <c r="R4116" s="14">
        <f>_xlfn.XLOOKUP(Table2[[#This Row],[LoanID]],Table1[G-L ID],Table1[ManagerCode],-99)</f>
        <v>119</v>
      </c>
      <c r="T4116"/>
    </row>
    <row r="4117" spans="1:20" x14ac:dyDescent="0.25">
      <c r="A4117">
        <v>20151231</v>
      </c>
      <c r="B4117">
        <v>2015</v>
      </c>
      <c r="C4117">
        <v>12</v>
      </c>
      <c r="D4117">
        <v>1</v>
      </c>
      <c r="E4117">
        <v>10030</v>
      </c>
      <c r="F4117">
        <v>0</v>
      </c>
      <c r="G4117">
        <v>0</v>
      </c>
      <c r="H4117">
        <v>0</v>
      </c>
      <c r="I4117">
        <v>0</v>
      </c>
      <c r="J4117">
        <v>0</v>
      </c>
      <c r="K4117">
        <v>0</v>
      </c>
      <c r="L4117">
        <v>25375000</v>
      </c>
      <c r="M4117">
        <v>25375000</v>
      </c>
      <c r="N4117">
        <v>25375000</v>
      </c>
      <c r="O4117">
        <v>25375000</v>
      </c>
      <c r="P4117">
        <v>25375000</v>
      </c>
      <c r="Q4117">
        <v>25375000</v>
      </c>
      <c r="R4117" s="14">
        <f>_xlfn.XLOOKUP(Table2[[#This Row],[LoanID]],Table1[G-L ID],Table1[ManagerCode],-99)</f>
        <v>119</v>
      </c>
      <c r="T4117"/>
    </row>
    <row r="4118" spans="1:20" x14ac:dyDescent="0.25">
      <c r="A4118">
        <v>20151231</v>
      </c>
      <c r="B4118">
        <v>2015</v>
      </c>
      <c r="C4118">
        <v>12</v>
      </c>
      <c r="D4118">
        <v>1</v>
      </c>
      <c r="E4118">
        <v>10040</v>
      </c>
      <c r="F4118">
        <v>42708.33</v>
      </c>
      <c r="G4118">
        <v>0</v>
      </c>
      <c r="H4118">
        <v>0</v>
      </c>
      <c r="I4118">
        <v>0</v>
      </c>
      <c r="J4118">
        <v>0</v>
      </c>
      <c r="K4118">
        <v>0</v>
      </c>
      <c r="L4118">
        <v>5000000</v>
      </c>
      <c r="M4118">
        <v>5000000</v>
      </c>
      <c r="N4118">
        <v>5000000</v>
      </c>
      <c r="O4118">
        <v>5000000</v>
      </c>
      <c r="P4118">
        <v>5000000</v>
      </c>
      <c r="Q4118">
        <v>5000000</v>
      </c>
      <c r="R4118" s="14">
        <f>_xlfn.XLOOKUP(Table2[[#This Row],[LoanID]],Table1[G-L ID],Table1[ManagerCode],-99)</f>
        <v>119</v>
      </c>
      <c r="T4118"/>
    </row>
    <row r="4119" spans="1:20" x14ac:dyDescent="0.25">
      <c r="A4119">
        <v>20151231</v>
      </c>
      <c r="B4119">
        <v>2015</v>
      </c>
      <c r="C4119">
        <v>12</v>
      </c>
      <c r="D4119">
        <v>1</v>
      </c>
      <c r="E4119">
        <v>10050</v>
      </c>
      <c r="F4119">
        <v>149013.89000000001</v>
      </c>
      <c r="G4119">
        <v>0</v>
      </c>
      <c r="H4119">
        <v>0</v>
      </c>
      <c r="I4119">
        <v>0</v>
      </c>
      <c r="J4119">
        <v>0</v>
      </c>
      <c r="K4119">
        <v>0</v>
      </c>
      <c r="L4119">
        <v>37532575.329999998</v>
      </c>
      <c r="M4119">
        <v>37305939.100000001</v>
      </c>
      <c r="N4119">
        <v>37532575.329999998</v>
      </c>
      <c r="O4119">
        <v>37305939.100000001</v>
      </c>
      <c r="P4119">
        <v>33333334</v>
      </c>
      <c r="Q4119">
        <v>33333334</v>
      </c>
      <c r="R4119" s="14">
        <f>_xlfn.XLOOKUP(Table2[[#This Row],[LoanID]],Table1[G-L ID],Table1[ManagerCode],-99)</f>
        <v>103</v>
      </c>
      <c r="T4119"/>
    </row>
    <row r="4120" spans="1:20" x14ac:dyDescent="0.25">
      <c r="A4120">
        <v>20151231</v>
      </c>
      <c r="B4120">
        <v>2015</v>
      </c>
      <c r="C4120">
        <v>12</v>
      </c>
      <c r="D4120">
        <v>1</v>
      </c>
      <c r="E4120">
        <v>10100</v>
      </c>
      <c r="F4120">
        <v>181322.5</v>
      </c>
      <c r="G4120">
        <v>0</v>
      </c>
      <c r="H4120">
        <v>0</v>
      </c>
      <c r="I4120">
        <v>0</v>
      </c>
      <c r="J4120">
        <v>0</v>
      </c>
      <c r="K4120">
        <v>0</v>
      </c>
      <c r="L4120">
        <v>30500000</v>
      </c>
      <c r="M4120">
        <v>30500000</v>
      </c>
      <c r="N4120">
        <v>30500000</v>
      </c>
      <c r="O4120">
        <v>30500000</v>
      </c>
      <c r="P4120">
        <v>30500000</v>
      </c>
      <c r="Q4120">
        <v>30500000</v>
      </c>
      <c r="R4120" s="14">
        <f>_xlfn.XLOOKUP(Table2[[#This Row],[LoanID]],Table1[G-L ID],Table1[ManagerCode],-99)</f>
        <v>220</v>
      </c>
      <c r="T4120"/>
    </row>
    <row r="4121" spans="1:20" x14ac:dyDescent="0.25">
      <c r="A4121">
        <v>20151231</v>
      </c>
      <c r="B4121">
        <v>2015</v>
      </c>
      <c r="C4121">
        <v>12</v>
      </c>
      <c r="D4121">
        <v>1</v>
      </c>
      <c r="E4121">
        <v>10120</v>
      </c>
      <c r="F4121">
        <v>47967.64</v>
      </c>
      <c r="G4121">
        <v>53938.38</v>
      </c>
      <c r="H4121">
        <v>0</v>
      </c>
      <c r="I4121">
        <v>0</v>
      </c>
      <c r="J4121">
        <v>-47967.64</v>
      </c>
      <c r="K4121">
        <v>0</v>
      </c>
      <c r="L4121">
        <v>9939866.7300000004</v>
      </c>
      <c r="M4121">
        <v>10041772.75</v>
      </c>
      <c r="N4121">
        <v>9939866.7300000004</v>
      </c>
      <c r="O4121">
        <v>10041772.75</v>
      </c>
      <c r="P4121">
        <v>9939866.7300000004</v>
      </c>
      <c r="Q4121">
        <v>10041772.75</v>
      </c>
      <c r="R4121" s="14">
        <f>_xlfn.XLOOKUP(Table2[[#This Row],[LoanID]],Table1[G-L ID],Table1[ManagerCode],-99)</f>
        <v>183</v>
      </c>
      <c r="T4121"/>
    </row>
    <row r="4122" spans="1:20" x14ac:dyDescent="0.25">
      <c r="A4122">
        <v>20151231</v>
      </c>
      <c r="B4122">
        <v>2015</v>
      </c>
      <c r="C4122">
        <v>12</v>
      </c>
      <c r="D4122">
        <v>1</v>
      </c>
      <c r="E4122">
        <v>10160</v>
      </c>
      <c r="F4122">
        <v>107728.27</v>
      </c>
      <c r="G4122">
        <v>0</v>
      </c>
      <c r="H4122">
        <v>0</v>
      </c>
      <c r="I4122">
        <v>0</v>
      </c>
      <c r="J4122">
        <v>0</v>
      </c>
      <c r="K4122">
        <v>0</v>
      </c>
      <c r="L4122">
        <v>14051513.300000001</v>
      </c>
      <c r="M4122">
        <v>14051513.300000001</v>
      </c>
      <c r="N4122">
        <v>14051513.300000001</v>
      </c>
      <c r="O4122">
        <v>14051513.300000001</v>
      </c>
      <c r="P4122">
        <v>14051513.300000001</v>
      </c>
      <c r="Q4122">
        <v>14051513.300000001</v>
      </c>
      <c r="R4122" s="14">
        <f>_xlfn.XLOOKUP(Table2[[#This Row],[LoanID]],Table1[G-L ID],Table1[ManagerCode],-99)</f>
        <v>119</v>
      </c>
      <c r="T4122"/>
    </row>
    <row r="4123" spans="1:20" x14ac:dyDescent="0.25">
      <c r="A4123">
        <v>20151231</v>
      </c>
      <c r="B4123">
        <v>2015</v>
      </c>
      <c r="C4123">
        <v>12</v>
      </c>
      <c r="D4123">
        <v>1</v>
      </c>
      <c r="E4123">
        <v>10220</v>
      </c>
      <c r="F4123">
        <v>541666.67000000004</v>
      </c>
      <c r="G4123">
        <v>0</v>
      </c>
      <c r="H4123">
        <v>0</v>
      </c>
      <c r="I4123">
        <v>0</v>
      </c>
      <c r="J4123">
        <v>0</v>
      </c>
      <c r="K4123">
        <v>0</v>
      </c>
      <c r="L4123">
        <v>114324997</v>
      </c>
      <c r="M4123">
        <v>113666250.5</v>
      </c>
      <c r="N4123">
        <v>114324997</v>
      </c>
      <c r="O4123">
        <v>113666250.5</v>
      </c>
      <c r="P4123">
        <v>100000000</v>
      </c>
      <c r="Q4123">
        <v>100000000</v>
      </c>
      <c r="R4123" s="14">
        <f>_xlfn.XLOOKUP(Table2[[#This Row],[LoanID]],Table1[G-L ID],Table1[ManagerCode],-99)</f>
        <v>103</v>
      </c>
      <c r="T4123"/>
    </row>
    <row r="4124" spans="1:20" x14ac:dyDescent="0.25">
      <c r="A4124">
        <v>20151231</v>
      </c>
      <c r="B4124">
        <v>2015</v>
      </c>
      <c r="C4124">
        <v>12</v>
      </c>
      <c r="D4124">
        <v>1</v>
      </c>
      <c r="E4124">
        <v>10240</v>
      </c>
      <c r="F4124">
        <v>73662.64</v>
      </c>
      <c r="G4124">
        <v>0</v>
      </c>
      <c r="H4124">
        <v>0</v>
      </c>
      <c r="I4124">
        <v>0</v>
      </c>
      <c r="J4124">
        <v>-1716156.44</v>
      </c>
      <c r="K4124">
        <v>0</v>
      </c>
      <c r="L4124">
        <v>10783843.560000001</v>
      </c>
      <c r="M4124">
        <v>12500000</v>
      </c>
      <c r="N4124">
        <v>10783843.560000001</v>
      </c>
      <c r="O4124">
        <v>12500000</v>
      </c>
      <c r="P4124">
        <v>10783843.560000001</v>
      </c>
      <c r="Q4124">
        <v>12500000</v>
      </c>
      <c r="R4124" s="14">
        <f>_xlfn.XLOOKUP(Table2[[#This Row],[LoanID]],Table1[G-L ID],Table1[ManagerCode],-99)</f>
        <v>220</v>
      </c>
      <c r="T4124"/>
    </row>
    <row r="4125" spans="1:20" x14ac:dyDescent="0.25">
      <c r="A4125">
        <v>20151231</v>
      </c>
      <c r="B4125">
        <v>2015</v>
      </c>
      <c r="C4125">
        <v>12</v>
      </c>
      <c r="D4125">
        <v>1</v>
      </c>
      <c r="E4125">
        <v>10250</v>
      </c>
      <c r="F4125">
        <v>48041.67</v>
      </c>
      <c r="G4125">
        <v>0</v>
      </c>
      <c r="H4125">
        <v>0</v>
      </c>
      <c r="I4125">
        <v>0</v>
      </c>
      <c r="J4125">
        <v>0</v>
      </c>
      <c r="K4125">
        <v>0</v>
      </c>
      <c r="L4125">
        <v>5000000</v>
      </c>
      <c r="M4125">
        <v>5000000</v>
      </c>
      <c r="N4125">
        <v>5000000</v>
      </c>
      <c r="O4125">
        <v>5000000</v>
      </c>
      <c r="P4125">
        <v>5000000</v>
      </c>
      <c r="Q4125">
        <v>5000000</v>
      </c>
      <c r="R4125" s="14">
        <f>_xlfn.XLOOKUP(Table2[[#This Row],[LoanID]],Table1[G-L ID],Table1[ManagerCode],-99)</f>
        <v>119</v>
      </c>
      <c r="T4125"/>
    </row>
    <row r="4126" spans="1:20" x14ac:dyDescent="0.25">
      <c r="A4126">
        <v>20151231</v>
      </c>
      <c r="B4126">
        <v>2015</v>
      </c>
      <c r="C4126">
        <v>12</v>
      </c>
      <c r="D4126">
        <v>1</v>
      </c>
      <c r="E4126">
        <v>10260</v>
      </c>
      <c r="F4126">
        <v>93440.42</v>
      </c>
      <c r="G4126">
        <v>0</v>
      </c>
      <c r="H4126">
        <v>0</v>
      </c>
      <c r="I4126">
        <v>0</v>
      </c>
      <c r="J4126">
        <v>0</v>
      </c>
      <c r="K4126">
        <v>0</v>
      </c>
      <c r="L4126">
        <v>15000000</v>
      </c>
      <c r="M4126">
        <v>15000000</v>
      </c>
      <c r="N4126">
        <v>15000000</v>
      </c>
      <c r="O4126">
        <v>15000000</v>
      </c>
      <c r="P4126">
        <v>15000000</v>
      </c>
      <c r="Q4126">
        <v>15000000</v>
      </c>
      <c r="R4126" s="14">
        <f>_xlfn.XLOOKUP(Table2[[#This Row],[LoanID]],Table1[G-L ID],Table1[ManagerCode],-99)</f>
        <v>220</v>
      </c>
      <c r="T4126"/>
    </row>
    <row r="4127" spans="1:20" x14ac:dyDescent="0.25">
      <c r="A4127">
        <v>20151231</v>
      </c>
      <c r="B4127">
        <v>2015</v>
      </c>
      <c r="C4127">
        <v>12</v>
      </c>
      <c r="D4127">
        <v>1</v>
      </c>
      <c r="E4127">
        <v>10270</v>
      </c>
      <c r="F4127">
        <v>42622.75</v>
      </c>
      <c r="G4127">
        <v>0</v>
      </c>
      <c r="H4127">
        <v>0</v>
      </c>
      <c r="I4127">
        <v>0</v>
      </c>
      <c r="J4127">
        <v>0</v>
      </c>
      <c r="K4127">
        <v>0</v>
      </c>
      <c r="L4127">
        <v>5400000</v>
      </c>
      <c r="M4127">
        <v>5400000</v>
      </c>
      <c r="N4127">
        <v>5400000</v>
      </c>
      <c r="O4127">
        <v>5400000</v>
      </c>
      <c r="P4127">
        <v>5400000</v>
      </c>
      <c r="Q4127">
        <v>5400000</v>
      </c>
      <c r="R4127" s="14">
        <f>_xlfn.XLOOKUP(Table2[[#This Row],[LoanID]],Table1[G-L ID],Table1[ManagerCode],-99)</f>
        <v>119</v>
      </c>
      <c r="T4127"/>
    </row>
    <row r="4128" spans="1:20" x14ac:dyDescent="0.25">
      <c r="A4128">
        <v>20151231</v>
      </c>
      <c r="B4128">
        <v>2015</v>
      </c>
      <c r="C4128">
        <v>12</v>
      </c>
      <c r="D4128">
        <v>1</v>
      </c>
      <c r="E4128">
        <v>10350</v>
      </c>
      <c r="F4128">
        <v>174805.56</v>
      </c>
      <c r="G4128">
        <v>0</v>
      </c>
      <c r="H4128">
        <v>0</v>
      </c>
      <c r="I4128">
        <v>0</v>
      </c>
      <c r="J4128">
        <v>0</v>
      </c>
      <c r="K4128">
        <v>0</v>
      </c>
      <c r="L4128">
        <v>24800000</v>
      </c>
      <c r="M4128">
        <v>24800000</v>
      </c>
      <c r="N4128">
        <v>24800000</v>
      </c>
      <c r="O4128">
        <v>24800000</v>
      </c>
      <c r="P4128">
        <v>24800000</v>
      </c>
      <c r="Q4128">
        <v>24800000</v>
      </c>
      <c r="R4128" s="14">
        <f>_xlfn.XLOOKUP(Table2[[#This Row],[LoanID]],Table1[G-L ID],Table1[ManagerCode],-99)</f>
        <v>220</v>
      </c>
      <c r="T4128"/>
    </row>
    <row r="4129" spans="1:20" x14ac:dyDescent="0.25">
      <c r="A4129">
        <v>20151231</v>
      </c>
      <c r="B4129">
        <v>2015</v>
      </c>
      <c r="C4129">
        <v>12</v>
      </c>
      <c r="D4129">
        <v>1</v>
      </c>
      <c r="E4129">
        <v>10360</v>
      </c>
      <c r="F4129">
        <v>52073.06</v>
      </c>
      <c r="G4129">
        <v>0</v>
      </c>
      <c r="H4129">
        <v>0</v>
      </c>
      <c r="I4129">
        <v>0</v>
      </c>
      <c r="J4129">
        <v>0</v>
      </c>
      <c r="K4129">
        <v>0</v>
      </c>
      <c r="L4129">
        <v>5909000</v>
      </c>
      <c r="M4129">
        <v>5909000</v>
      </c>
      <c r="N4129">
        <v>5909000</v>
      </c>
      <c r="O4129">
        <v>5909000</v>
      </c>
      <c r="P4129">
        <v>5909000</v>
      </c>
      <c r="Q4129">
        <v>5909000</v>
      </c>
      <c r="R4129" s="14">
        <f>_xlfn.XLOOKUP(Table2[[#This Row],[LoanID]],Table1[G-L ID],Table1[ManagerCode],-99)</f>
        <v>183</v>
      </c>
      <c r="T4129"/>
    </row>
    <row r="4130" spans="1:20" x14ac:dyDescent="0.25">
      <c r="A4130">
        <v>20151231</v>
      </c>
      <c r="B4130">
        <v>2015</v>
      </c>
      <c r="C4130">
        <v>12</v>
      </c>
      <c r="D4130">
        <v>1</v>
      </c>
      <c r="E4130">
        <v>10430</v>
      </c>
      <c r="F4130">
        <v>86667.39</v>
      </c>
      <c r="G4130">
        <v>0</v>
      </c>
      <c r="H4130">
        <v>0</v>
      </c>
      <c r="I4130">
        <v>0</v>
      </c>
      <c r="J4130">
        <v>0</v>
      </c>
      <c r="K4130">
        <v>23400</v>
      </c>
      <c r="L4130">
        <v>10719200</v>
      </c>
      <c r="M4130">
        <v>10695800</v>
      </c>
      <c r="N4130">
        <v>10719200</v>
      </c>
      <c r="O4130">
        <v>10695800</v>
      </c>
      <c r="P4130">
        <v>10719200</v>
      </c>
      <c r="Q4130">
        <v>10695800</v>
      </c>
      <c r="R4130" s="14">
        <f>_xlfn.XLOOKUP(Table2[[#This Row],[LoanID]],Table1[G-L ID],Table1[ManagerCode],-99)</f>
        <v>119</v>
      </c>
      <c r="T4130"/>
    </row>
    <row r="4131" spans="1:20" x14ac:dyDescent="0.25">
      <c r="A4131">
        <v>20151231</v>
      </c>
      <c r="B4131">
        <v>2015</v>
      </c>
      <c r="C4131">
        <v>12</v>
      </c>
      <c r="D4131">
        <v>1</v>
      </c>
      <c r="E4131">
        <v>10460</v>
      </c>
      <c r="F4131">
        <v>122500</v>
      </c>
      <c r="G4131">
        <v>0</v>
      </c>
      <c r="H4131">
        <v>0</v>
      </c>
      <c r="I4131">
        <v>0</v>
      </c>
      <c r="J4131">
        <v>0</v>
      </c>
      <c r="K4131">
        <v>60000000</v>
      </c>
      <c r="L4131">
        <v>59836150.369999997</v>
      </c>
      <c r="M4131">
        <v>0</v>
      </c>
      <c r="N4131">
        <v>59836150.369999997</v>
      </c>
      <c r="O4131">
        <v>0</v>
      </c>
      <c r="P4131">
        <v>60000000</v>
      </c>
      <c r="Q4131">
        <v>0</v>
      </c>
      <c r="R4131" s="14">
        <f>_xlfn.XLOOKUP(Table2[[#This Row],[LoanID]],Table1[G-L ID],Table1[ManagerCode],-99)</f>
        <v>103</v>
      </c>
      <c r="T4131"/>
    </row>
    <row r="4132" spans="1:20" x14ac:dyDescent="0.25">
      <c r="A4132">
        <v>20151231</v>
      </c>
      <c r="B4132">
        <v>2015</v>
      </c>
      <c r="C4132">
        <v>12</v>
      </c>
      <c r="D4132">
        <v>1</v>
      </c>
      <c r="E4132">
        <v>10480</v>
      </c>
      <c r="F4132">
        <v>157116.84</v>
      </c>
      <c r="G4132">
        <v>0</v>
      </c>
      <c r="H4132">
        <v>0</v>
      </c>
      <c r="I4132">
        <v>0</v>
      </c>
      <c r="J4132">
        <v>-546243.56999999995</v>
      </c>
      <c r="K4132">
        <v>0</v>
      </c>
      <c r="L4132">
        <v>22226712.199999999</v>
      </c>
      <c r="M4132">
        <v>22772955.77</v>
      </c>
      <c r="N4132">
        <v>22226712.199999999</v>
      </c>
      <c r="O4132">
        <v>22772955.77</v>
      </c>
      <c r="P4132">
        <v>22226712.199999999</v>
      </c>
      <c r="Q4132">
        <v>22772955.77</v>
      </c>
      <c r="R4132" s="14">
        <f>_xlfn.XLOOKUP(Table2[[#This Row],[LoanID]],Table1[G-L ID],Table1[ManagerCode],-99)</f>
        <v>119</v>
      </c>
      <c r="T4132"/>
    </row>
    <row r="4133" spans="1:20" x14ac:dyDescent="0.25">
      <c r="A4133">
        <v>20151231</v>
      </c>
      <c r="B4133">
        <v>2015</v>
      </c>
      <c r="C4133">
        <v>12</v>
      </c>
      <c r="D4133">
        <v>1</v>
      </c>
      <c r="E4133">
        <v>10570</v>
      </c>
      <c r="F4133">
        <v>774875.57</v>
      </c>
      <c r="G4133">
        <v>0</v>
      </c>
      <c r="H4133">
        <v>0</v>
      </c>
      <c r="I4133">
        <v>0</v>
      </c>
      <c r="J4133">
        <v>0</v>
      </c>
      <c r="K4133">
        <v>0</v>
      </c>
      <c r="L4133">
        <v>156356260.69999999</v>
      </c>
      <c r="M4133">
        <v>156356260.69999999</v>
      </c>
      <c r="N4133">
        <v>156356260.69999999</v>
      </c>
      <c r="O4133">
        <v>156356260.69999999</v>
      </c>
      <c r="P4133">
        <v>156356260.69999999</v>
      </c>
      <c r="Q4133">
        <v>156356260.69999999</v>
      </c>
      <c r="R4133" s="14">
        <f>_xlfn.XLOOKUP(Table2[[#This Row],[LoanID]],Table1[G-L ID],Table1[ManagerCode],-99)</f>
        <v>103</v>
      </c>
      <c r="T4133"/>
    </row>
    <row r="4134" spans="1:20" x14ac:dyDescent="0.25">
      <c r="A4134">
        <v>20151231</v>
      </c>
      <c r="B4134">
        <v>2015</v>
      </c>
      <c r="C4134">
        <v>12</v>
      </c>
      <c r="D4134">
        <v>1</v>
      </c>
      <c r="E4134">
        <v>10591</v>
      </c>
      <c r="F4134">
        <v>207895.96</v>
      </c>
      <c r="G4134">
        <v>0</v>
      </c>
      <c r="H4134">
        <v>0</v>
      </c>
      <c r="I4134">
        <v>0</v>
      </c>
      <c r="J4134">
        <v>0</v>
      </c>
      <c r="K4134">
        <v>0</v>
      </c>
      <c r="L4134">
        <v>24475036.780000001</v>
      </c>
      <c r="M4134">
        <v>24475036.780000001</v>
      </c>
      <c r="N4134">
        <v>24475036.780000001</v>
      </c>
      <c r="O4134">
        <v>24475036.780000001</v>
      </c>
      <c r="P4134">
        <v>24475036.780000001</v>
      </c>
      <c r="Q4134">
        <v>24475036.780000001</v>
      </c>
      <c r="R4134" s="14">
        <f>_xlfn.XLOOKUP(Table2[[#This Row],[LoanID]],Table1[G-L ID],Table1[ManagerCode],-99)</f>
        <v>220</v>
      </c>
      <c r="T4134"/>
    </row>
    <row r="4135" spans="1:20" x14ac:dyDescent="0.25">
      <c r="A4135">
        <v>20151231</v>
      </c>
      <c r="B4135">
        <v>2015</v>
      </c>
      <c r="C4135">
        <v>12</v>
      </c>
      <c r="D4135">
        <v>1</v>
      </c>
      <c r="E4135">
        <v>10592</v>
      </c>
      <c r="F4135">
        <v>344830.35</v>
      </c>
      <c r="G4135">
        <v>0</v>
      </c>
      <c r="H4135">
        <v>0</v>
      </c>
      <c r="I4135">
        <v>0</v>
      </c>
      <c r="J4135">
        <v>0</v>
      </c>
      <c r="K4135">
        <v>0</v>
      </c>
      <c r="L4135">
        <v>36326728.630000003</v>
      </c>
      <c r="M4135">
        <v>36326728.630000003</v>
      </c>
      <c r="N4135">
        <v>36326728.630000003</v>
      </c>
      <c r="O4135">
        <v>36326728.630000003</v>
      </c>
      <c r="P4135">
        <v>36129816.219999999</v>
      </c>
      <c r="Q4135">
        <v>36129816.219999999</v>
      </c>
      <c r="R4135" s="14">
        <f>_xlfn.XLOOKUP(Table2[[#This Row],[LoanID]],Table1[G-L ID],Table1[ManagerCode],-99)</f>
        <v>220</v>
      </c>
      <c r="T4135"/>
    </row>
    <row r="4136" spans="1:20" x14ac:dyDescent="0.25">
      <c r="A4136">
        <v>20151231</v>
      </c>
      <c r="B4136">
        <v>2015</v>
      </c>
      <c r="C4136">
        <v>12</v>
      </c>
      <c r="D4136">
        <v>1</v>
      </c>
      <c r="E4136">
        <v>10640</v>
      </c>
      <c r="F4136">
        <v>67352.259999999995</v>
      </c>
      <c r="G4136">
        <v>0</v>
      </c>
      <c r="H4136">
        <v>0</v>
      </c>
      <c r="I4136">
        <v>0</v>
      </c>
      <c r="J4136">
        <v>0</v>
      </c>
      <c r="K4136">
        <v>0</v>
      </c>
      <c r="L4136">
        <v>8084494</v>
      </c>
      <c r="M4136">
        <v>8084494</v>
      </c>
      <c r="N4136">
        <v>8084494</v>
      </c>
      <c r="O4136">
        <v>8084494</v>
      </c>
      <c r="P4136">
        <v>8084494</v>
      </c>
      <c r="Q4136">
        <v>8084494</v>
      </c>
      <c r="R4136" s="14">
        <f>_xlfn.XLOOKUP(Table2[[#This Row],[LoanID]],Table1[G-L ID],Table1[ManagerCode],-99)</f>
        <v>220</v>
      </c>
      <c r="T4136"/>
    </row>
    <row r="4137" spans="1:20" x14ac:dyDescent="0.25">
      <c r="A4137">
        <v>20151231</v>
      </c>
      <c r="B4137">
        <v>2015</v>
      </c>
      <c r="C4137">
        <v>12</v>
      </c>
      <c r="D4137">
        <v>1</v>
      </c>
      <c r="E4137">
        <v>10680</v>
      </c>
      <c r="F4137">
        <v>59811.71</v>
      </c>
      <c r="G4137">
        <v>0</v>
      </c>
      <c r="H4137">
        <v>0</v>
      </c>
      <c r="I4137">
        <v>0</v>
      </c>
      <c r="J4137">
        <v>-339246.4</v>
      </c>
      <c r="K4137">
        <v>0</v>
      </c>
      <c r="L4137">
        <v>8621936.2300000004</v>
      </c>
      <c r="M4137">
        <v>8961182.6300000008</v>
      </c>
      <c r="N4137">
        <v>8621936.2300000004</v>
      </c>
      <c r="O4137">
        <v>8961182.6300000008</v>
      </c>
      <c r="P4137">
        <v>8621936.2300000004</v>
      </c>
      <c r="Q4137">
        <v>8961182.6300000008</v>
      </c>
      <c r="R4137" s="14">
        <f>_xlfn.XLOOKUP(Table2[[#This Row],[LoanID]],Table1[G-L ID],Table1[ManagerCode],-99)</f>
        <v>119</v>
      </c>
      <c r="T4137"/>
    </row>
    <row r="4138" spans="1:20" x14ac:dyDescent="0.25">
      <c r="A4138">
        <v>20151231</v>
      </c>
      <c r="B4138">
        <v>2015</v>
      </c>
      <c r="C4138">
        <v>12</v>
      </c>
      <c r="D4138">
        <v>1</v>
      </c>
      <c r="E4138">
        <v>10720</v>
      </c>
      <c r="F4138">
        <v>125000</v>
      </c>
      <c r="G4138">
        <v>78847.460000000006</v>
      </c>
      <c r="H4138">
        <v>0</v>
      </c>
      <c r="I4138">
        <v>0</v>
      </c>
      <c r="J4138">
        <v>0</v>
      </c>
      <c r="K4138">
        <v>0</v>
      </c>
      <c r="L4138">
        <v>16801701.870000001</v>
      </c>
      <c r="M4138">
        <v>15860586</v>
      </c>
      <c r="N4138">
        <v>16801701.870000001</v>
      </c>
      <c r="O4138">
        <v>15860586</v>
      </c>
      <c r="P4138">
        <v>15781738.77</v>
      </c>
      <c r="Q4138">
        <v>15860586.23</v>
      </c>
      <c r="R4138" s="14">
        <f>_xlfn.XLOOKUP(Table2[[#This Row],[LoanID]],Table1[G-L ID],Table1[ManagerCode],-99)</f>
        <v>220</v>
      </c>
      <c r="T4138"/>
    </row>
    <row r="4139" spans="1:20" x14ac:dyDescent="0.25">
      <c r="A4139">
        <v>20151231</v>
      </c>
      <c r="B4139">
        <v>2015</v>
      </c>
      <c r="C4139">
        <v>12</v>
      </c>
      <c r="D4139">
        <v>1</v>
      </c>
      <c r="E4139">
        <v>10740</v>
      </c>
      <c r="F4139">
        <v>0</v>
      </c>
      <c r="G4139">
        <v>0</v>
      </c>
      <c r="H4139">
        <v>0</v>
      </c>
      <c r="I4139">
        <v>0</v>
      </c>
      <c r="J4139">
        <v>0</v>
      </c>
      <c r="K4139">
        <v>0</v>
      </c>
      <c r="L4139">
        <v>444242107.5</v>
      </c>
      <c r="M4139">
        <v>438711401.30000001</v>
      </c>
      <c r="N4139">
        <v>444242107.5</v>
      </c>
      <c r="O4139">
        <v>438711401.30000001</v>
      </c>
      <c r="P4139">
        <v>461801475</v>
      </c>
      <c r="Q4139">
        <v>461801475</v>
      </c>
      <c r="R4139" s="14">
        <f>_xlfn.XLOOKUP(Table2[[#This Row],[LoanID]],Table1[G-L ID],Table1[ManagerCode],-99)</f>
        <v>103</v>
      </c>
      <c r="T4139"/>
    </row>
    <row r="4140" spans="1:20" x14ac:dyDescent="0.25">
      <c r="A4140">
        <v>20151231</v>
      </c>
      <c r="B4140">
        <v>2015</v>
      </c>
      <c r="C4140">
        <v>12</v>
      </c>
      <c r="D4140">
        <v>1</v>
      </c>
      <c r="E4140">
        <v>10750</v>
      </c>
      <c r="F4140">
        <v>70260.72</v>
      </c>
      <c r="G4140">
        <v>0</v>
      </c>
      <c r="H4140">
        <v>0</v>
      </c>
      <c r="I4140">
        <v>0</v>
      </c>
      <c r="J4140">
        <v>-500658.85</v>
      </c>
      <c r="K4140">
        <v>0</v>
      </c>
      <c r="L4140">
        <v>9311906.6300000008</v>
      </c>
      <c r="M4140">
        <v>9812565.4800000004</v>
      </c>
      <c r="N4140">
        <v>9311906.6300000008</v>
      </c>
      <c r="O4140">
        <v>9812565.4800000004</v>
      </c>
      <c r="P4140">
        <v>9311906.6300000008</v>
      </c>
      <c r="Q4140">
        <v>9812565.4800000004</v>
      </c>
      <c r="R4140" s="14">
        <f>_xlfn.XLOOKUP(Table2[[#This Row],[LoanID]],Table1[G-L ID],Table1[ManagerCode],-99)</f>
        <v>119</v>
      </c>
      <c r="T4140"/>
    </row>
    <row r="4141" spans="1:20" x14ac:dyDescent="0.25">
      <c r="A4141">
        <v>20151231</v>
      </c>
      <c r="B4141">
        <v>2015</v>
      </c>
      <c r="C4141">
        <v>12</v>
      </c>
      <c r="D4141">
        <v>1</v>
      </c>
      <c r="E4141">
        <v>10780</v>
      </c>
      <c r="F4141">
        <v>302684.17</v>
      </c>
      <c r="G4141">
        <v>0</v>
      </c>
      <c r="H4141">
        <v>0</v>
      </c>
      <c r="I4141">
        <v>0</v>
      </c>
      <c r="J4141">
        <v>0</v>
      </c>
      <c r="K4141">
        <v>0</v>
      </c>
      <c r="L4141">
        <v>43000000</v>
      </c>
      <c r="M4141">
        <v>43000000</v>
      </c>
      <c r="N4141">
        <v>43000000</v>
      </c>
      <c r="O4141">
        <v>43000000</v>
      </c>
      <c r="P4141">
        <v>43000000</v>
      </c>
      <c r="Q4141">
        <v>43000000</v>
      </c>
      <c r="R4141" s="14">
        <f>_xlfn.XLOOKUP(Table2[[#This Row],[LoanID]],Table1[G-L ID],Table1[ManagerCode],-99)</f>
        <v>220</v>
      </c>
      <c r="T4141"/>
    </row>
    <row r="4142" spans="1:20" x14ac:dyDescent="0.25">
      <c r="A4142">
        <v>20151231</v>
      </c>
      <c r="B4142">
        <v>2015</v>
      </c>
      <c r="C4142">
        <v>12</v>
      </c>
      <c r="D4142">
        <v>1</v>
      </c>
      <c r="E4142">
        <v>10800</v>
      </c>
      <c r="F4142">
        <v>210101.67</v>
      </c>
      <c r="G4142">
        <v>0</v>
      </c>
      <c r="H4142">
        <v>0</v>
      </c>
      <c r="I4142">
        <v>0</v>
      </c>
      <c r="J4142">
        <v>0</v>
      </c>
      <c r="K4142">
        <v>0</v>
      </c>
      <c r="L4142">
        <v>26000000</v>
      </c>
      <c r="M4142">
        <v>26000000</v>
      </c>
      <c r="N4142">
        <v>26000000</v>
      </c>
      <c r="O4142">
        <v>26000000</v>
      </c>
      <c r="P4142">
        <v>26000000</v>
      </c>
      <c r="Q4142">
        <v>26000000</v>
      </c>
      <c r="R4142" s="14">
        <f>_xlfn.XLOOKUP(Table2[[#This Row],[LoanID]],Table1[G-L ID],Table1[ManagerCode],-99)</f>
        <v>220</v>
      </c>
      <c r="T4142"/>
    </row>
    <row r="4143" spans="1:20" x14ac:dyDescent="0.25">
      <c r="A4143">
        <v>20151231</v>
      </c>
      <c r="B4143">
        <v>2015</v>
      </c>
      <c r="C4143">
        <v>12</v>
      </c>
      <c r="D4143">
        <v>1</v>
      </c>
      <c r="E4143">
        <v>10820</v>
      </c>
      <c r="F4143">
        <v>189187.02</v>
      </c>
      <c r="G4143">
        <v>0</v>
      </c>
      <c r="H4143">
        <v>0</v>
      </c>
      <c r="I4143">
        <v>0</v>
      </c>
      <c r="J4143">
        <v>-394130</v>
      </c>
      <c r="K4143">
        <v>0</v>
      </c>
      <c r="L4143">
        <v>24041739.440000001</v>
      </c>
      <c r="M4143">
        <v>24344483.780000001</v>
      </c>
      <c r="N4143">
        <v>24041739.440000001</v>
      </c>
      <c r="O4143">
        <v>24344483.780000001</v>
      </c>
      <c r="P4143">
        <v>23733207.739999998</v>
      </c>
      <c r="Q4143">
        <v>24127337.739999998</v>
      </c>
      <c r="R4143" s="14">
        <f>_xlfn.XLOOKUP(Table2[[#This Row],[LoanID]],Table1[G-L ID],Table1[ManagerCode],-99)</f>
        <v>220</v>
      </c>
      <c r="T4143"/>
    </row>
    <row r="4144" spans="1:20" x14ac:dyDescent="0.25">
      <c r="A4144">
        <v>20151231</v>
      </c>
      <c r="B4144">
        <v>2015</v>
      </c>
      <c r="C4144">
        <v>12</v>
      </c>
      <c r="D4144">
        <v>1</v>
      </c>
      <c r="E4144">
        <v>10830</v>
      </c>
      <c r="F4144">
        <v>60825.67</v>
      </c>
      <c r="G4144">
        <v>0</v>
      </c>
      <c r="H4144">
        <v>0</v>
      </c>
      <c r="I4144">
        <v>0</v>
      </c>
      <c r="J4144">
        <v>0</v>
      </c>
      <c r="K4144">
        <v>0</v>
      </c>
      <c r="L4144">
        <v>7783125.2999999998</v>
      </c>
      <c r="M4144">
        <v>7752392.3300000001</v>
      </c>
      <c r="N4144">
        <v>7783125.2999999998</v>
      </c>
      <c r="O4144">
        <v>7752392.3300000001</v>
      </c>
      <c r="P4144">
        <v>7683243.1399999997</v>
      </c>
      <c r="Q4144">
        <v>7683243.1399999997</v>
      </c>
      <c r="R4144" s="14">
        <f>_xlfn.XLOOKUP(Table2[[#This Row],[LoanID]],Table1[G-L ID],Table1[ManagerCode],-99)</f>
        <v>220</v>
      </c>
      <c r="T4144"/>
    </row>
    <row r="4145" spans="1:20" x14ac:dyDescent="0.25">
      <c r="A4145">
        <v>20151231</v>
      </c>
      <c r="B4145">
        <v>2015</v>
      </c>
      <c r="C4145">
        <v>12</v>
      </c>
      <c r="D4145">
        <v>1</v>
      </c>
      <c r="E4145">
        <v>10840</v>
      </c>
      <c r="F4145">
        <v>100614.41</v>
      </c>
      <c r="G4145">
        <v>0</v>
      </c>
      <c r="H4145">
        <v>0</v>
      </c>
      <c r="I4145">
        <v>0</v>
      </c>
      <c r="J4145">
        <v>0</v>
      </c>
      <c r="K4145">
        <v>0</v>
      </c>
      <c r="L4145">
        <v>12874408.460000001</v>
      </c>
      <c r="M4145">
        <v>12823571.699999999</v>
      </c>
      <c r="N4145">
        <v>12874408.460000001</v>
      </c>
      <c r="O4145">
        <v>12823571.699999999</v>
      </c>
      <c r="P4145">
        <v>12709189</v>
      </c>
      <c r="Q4145">
        <v>12709189</v>
      </c>
      <c r="R4145" s="14">
        <f>_xlfn.XLOOKUP(Table2[[#This Row],[LoanID]],Table1[G-L ID],Table1[ManagerCode],-99)</f>
        <v>220</v>
      </c>
      <c r="T4145"/>
    </row>
    <row r="4146" spans="1:20" x14ac:dyDescent="0.25">
      <c r="A4146">
        <v>20151231</v>
      </c>
      <c r="B4146">
        <v>2015</v>
      </c>
      <c r="C4146">
        <v>12</v>
      </c>
      <c r="D4146">
        <v>1</v>
      </c>
      <c r="E4146">
        <v>10850</v>
      </c>
      <c r="F4146">
        <v>106969.15</v>
      </c>
      <c r="G4146">
        <v>0</v>
      </c>
      <c r="H4146">
        <v>0</v>
      </c>
      <c r="I4146">
        <v>0</v>
      </c>
      <c r="J4146">
        <v>0</v>
      </c>
      <c r="K4146">
        <v>0</v>
      </c>
      <c r="L4146">
        <v>13687546.6</v>
      </c>
      <c r="M4146">
        <v>13633499.029999999</v>
      </c>
      <c r="N4146">
        <v>13687546.6</v>
      </c>
      <c r="O4146">
        <v>13633499.029999999</v>
      </c>
      <c r="P4146">
        <v>13511892</v>
      </c>
      <c r="Q4146">
        <v>13511892</v>
      </c>
      <c r="R4146" s="14">
        <f>_xlfn.XLOOKUP(Table2[[#This Row],[LoanID]],Table1[G-L ID],Table1[ManagerCode],-99)</f>
        <v>220</v>
      </c>
      <c r="T4146"/>
    </row>
    <row r="4147" spans="1:20" x14ac:dyDescent="0.25">
      <c r="A4147">
        <v>20151231</v>
      </c>
      <c r="B4147">
        <v>2015</v>
      </c>
      <c r="C4147">
        <v>12</v>
      </c>
      <c r="D4147">
        <v>1</v>
      </c>
      <c r="E4147">
        <v>10860</v>
      </c>
      <c r="F4147">
        <v>114407.09</v>
      </c>
      <c r="G4147">
        <v>0</v>
      </c>
      <c r="H4147">
        <v>0</v>
      </c>
      <c r="I4147">
        <v>0</v>
      </c>
      <c r="J4147">
        <v>0</v>
      </c>
      <c r="K4147">
        <v>0</v>
      </c>
      <c r="L4147">
        <v>19475000</v>
      </c>
      <c r="M4147">
        <v>19475000</v>
      </c>
      <c r="N4147">
        <v>19475000</v>
      </c>
      <c r="O4147">
        <v>19475000</v>
      </c>
      <c r="P4147">
        <v>20500000</v>
      </c>
      <c r="Q4147">
        <v>20500000</v>
      </c>
      <c r="R4147" s="14">
        <f>_xlfn.XLOOKUP(Table2[[#This Row],[LoanID]],Table1[G-L ID],Table1[ManagerCode],-99)</f>
        <v>103</v>
      </c>
      <c r="T4147"/>
    </row>
    <row r="4148" spans="1:20" x14ac:dyDescent="0.25">
      <c r="A4148">
        <v>20151231</v>
      </c>
      <c r="B4148">
        <v>2015</v>
      </c>
      <c r="C4148">
        <v>12</v>
      </c>
      <c r="D4148">
        <v>1</v>
      </c>
      <c r="E4148">
        <v>10890</v>
      </c>
      <c r="F4148">
        <v>49541.67</v>
      </c>
      <c r="G4148">
        <v>43488.47</v>
      </c>
      <c r="H4148">
        <v>0</v>
      </c>
      <c r="I4148">
        <v>0</v>
      </c>
      <c r="J4148">
        <v>-2941767.49</v>
      </c>
      <c r="K4148">
        <v>0</v>
      </c>
      <c r="L4148">
        <v>10291284.720000001</v>
      </c>
      <c r="M4148">
        <v>13276540.68</v>
      </c>
      <c r="N4148">
        <v>10291284.720000001</v>
      </c>
      <c r="O4148">
        <v>13276540.68</v>
      </c>
      <c r="P4148">
        <v>10291284.720000001</v>
      </c>
      <c r="Q4148">
        <v>13276540.68</v>
      </c>
      <c r="R4148" s="14">
        <f>_xlfn.XLOOKUP(Table2[[#This Row],[LoanID]],Table1[G-L ID],Table1[ManagerCode],-99)</f>
        <v>183</v>
      </c>
      <c r="T4148"/>
    </row>
    <row r="4149" spans="1:20" x14ac:dyDescent="0.25">
      <c r="A4149">
        <v>20151231</v>
      </c>
      <c r="B4149">
        <v>2015</v>
      </c>
      <c r="C4149">
        <v>12</v>
      </c>
      <c r="D4149">
        <v>1</v>
      </c>
      <c r="E4149">
        <v>10910</v>
      </c>
      <c r="F4149">
        <v>195910.42</v>
      </c>
      <c r="G4149">
        <v>0</v>
      </c>
      <c r="H4149">
        <v>0</v>
      </c>
      <c r="I4149">
        <v>0</v>
      </c>
      <c r="J4149">
        <v>0</v>
      </c>
      <c r="K4149">
        <v>0</v>
      </c>
      <c r="L4149">
        <v>22500000</v>
      </c>
      <c r="M4149">
        <v>22500000</v>
      </c>
      <c r="N4149">
        <v>22500000</v>
      </c>
      <c r="O4149">
        <v>22500000</v>
      </c>
      <c r="P4149">
        <v>22500000</v>
      </c>
      <c r="Q4149">
        <v>22500000</v>
      </c>
      <c r="R4149" s="14">
        <f>_xlfn.XLOOKUP(Table2[[#This Row],[LoanID]],Table1[G-L ID],Table1[ManagerCode],-99)</f>
        <v>119</v>
      </c>
      <c r="T4149"/>
    </row>
    <row r="4150" spans="1:20" x14ac:dyDescent="0.25">
      <c r="A4150">
        <v>20151231</v>
      </c>
      <c r="B4150">
        <v>2015</v>
      </c>
      <c r="C4150">
        <v>12</v>
      </c>
      <c r="D4150">
        <v>1</v>
      </c>
      <c r="E4150">
        <v>10930</v>
      </c>
      <c r="F4150">
        <v>0</v>
      </c>
      <c r="G4150">
        <v>160617.23000000001</v>
      </c>
      <c r="H4150">
        <v>0</v>
      </c>
      <c r="I4150">
        <v>0</v>
      </c>
      <c r="J4150">
        <v>0</v>
      </c>
      <c r="K4150">
        <v>0</v>
      </c>
      <c r="L4150">
        <v>14547217.66</v>
      </c>
      <c r="M4150">
        <v>14707834.890000001</v>
      </c>
      <c r="N4150">
        <v>14547217.66</v>
      </c>
      <c r="O4150">
        <v>14707834.890000001</v>
      </c>
      <c r="P4150">
        <v>14547217.66</v>
      </c>
      <c r="Q4150">
        <v>14707834.890000001</v>
      </c>
      <c r="R4150" s="14">
        <f>_xlfn.XLOOKUP(Table2[[#This Row],[LoanID]],Table1[G-L ID],Table1[ManagerCode],-99)</f>
        <v>183</v>
      </c>
      <c r="T4150"/>
    </row>
    <row r="4151" spans="1:20" x14ac:dyDescent="0.25">
      <c r="A4151">
        <v>20151231</v>
      </c>
      <c r="B4151">
        <v>2015</v>
      </c>
      <c r="C4151">
        <v>12</v>
      </c>
      <c r="D4151">
        <v>1</v>
      </c>
      <c r="E4151">
        <v>10960</v>
      </c>
      <c r="F4151">
        <v>69386.080000000002</v>
      </c>
      <c r="G4151">
        <v>0</v>
      </c>
      <c r="H4151">
        <v>0</v>
      </c>
      <c r="I4151">
        <v>0</v>
      </c>
      <c r="J4151">
        <v>-95116.12</v>
      </c>
      <c r="K4151">
        <v>0</v>
      </c>
      <c r="L4151">
        <v>6738707.1600000001</v>
      </c>
      <c r="M4151">
        <v>6833823.2800000003</v>
      </c>
      <c r="N4151">
        <v>6738707.1600000001</v>
      </c>
      <c r="O4151">
        <v>6833823.2800000003</v>
      </c>
      <c r="P4151">
        <v>6738707.1600000001</v>
      </c>
      <c r="Q4151">
        <v>6833823.2800000003</v>
      </c>
      <c r="R4151" s="14">
        <f>_xlfn.XLOOKUP(Table2[[#This Row],[LoanID]],Table1[G-L ID],Table1[ManagerCode],-99)</f>
        <v>119</v>
      </c>
      <c r="T4151"/>
    </row>
    <row r="4152" spans="1:20" x14ac:dyDescent="0.25">
      <c r="A4152">
        <v>20151231</v>
      </c>
      <c r="B4152">
        <v>2015</v>
      </c>
      <c r="C4152">
        <v>12</v>
      </c>
      <c r="D4152">
        <v>1</v>
      </c>
      <c r="E4152">
        <v>11010</v>
      </c>
      <c r="F4152">
        <v>203012.08</v>
      </c>
      <c r="G4152">
        <v>0</v>
      </c>
      <c r="H4152">
        <v>0</v>
      </c>
      <c r="I4152">
        <v>0</v>
      </c>
      <c r="J4152">
        <v>0</v>
      </c>
      <c r="K4152">
        <v>0</v>
      </c>
      <c r="L4152">
        <v>26500000</v>
      </c>
      <c r="M4152">
        <v>26500000</v>
      </c>
      <c r="N4152">
        <v>26500000</v>
      </c>
      <c r="O4152">
        <v>26500000</v>
      </c>
      <c r="P4152">
        <v>26500000</v>
      </c>
      <c r="Q4152">
        <v>26500000</v>
      </c>
      <c r="R4152" s="14">
        <f>_xlfn.XLOOKUP(Table2[[#This Row],[LoanID]],Table1[G-L ID],Table1[ManagerCode],-99)</f>
        <v>119</v>
      </c>
      <c r="T4152"/>
    </row>
    <row r="4153" spans="1:20" x14ac:dyDescent="0.25">
      <c r="A4153">
        <v>20151231</v>
      </c>
      <c r="B4153">
        <v>2015</v>
      </c>
      <c r="C4153">
        <v>12</v>
      </c>
      <c r="D4153">
        <v>1</v>
      </c>
      <c r="E4153">
        <v>11030</v>
      </c>
      <c r="F4153">
        <v>60878.02</v>
      </c>
      <c r="G4153">
        <v>0</v>
      </c>
      <c r="H4153">
        <v>0</v>
      </c>
      <c r="I4153">
        <v>0</v>
      </c>
      <c r="J4153">
        <v>0</v>
      </c>
      <c r="K4153">
        <v>9777.7800000000007</v>
      </c>
      <c r="L4153">
        <v>7960888.8799999999</v>
      </c>
      <c r="M4153">
        <v>7951111.0999999996</v>
      </c>
      <c r="N4153">
        <v>7960888.8799999999</v>
      </c>
      <c r="O4153">
        <v>7951111.0999999996</v>
      </c>
      <c r="P4153">
        <v>7960888.8799999999</v>
      </c>
      <c r="Q4153">
        <v>7951111.0999999996</v>
      </c>
      <c r="R4153" s="14">
        <f>_xlfn.XLOOKUP(Table2[[#This Row],[LoanID]],Table1[G-L ID],Table1[ManagerCode],-99)</f>
        <v>119</v>
      </c>
      <c r="T4153"/>
    </row>
    <row r="4154" spans="1:20" x14ac:dyDescent="0.25">
      <c r="A4154">
        <v>20151231</v>
      </c>
      <c r="B4154">
        <v>2015</v>
      </c>
      <c r="C4154">
        <v>12</v>
      </c>
      <c r="D4154">
        <v>1</v>
      </c>
      <c r="E4154">
        <v>11040</v>
      </c>
      <c r="F4154">
        <v>508208.34</v>
      </c>
      <c r="G4154">
        <v>0</v>
      </c>
      <c r="H4154">
        <v>0</v>
      </c>
      <c r="I4154">
        <v>0</v>
      </c>
      <c r="J4154">
        <v>0</v>
      </c>
      <c r="K4154">
        <v>0</v>
      </c>
      <c r="L4154">
        <v>51000000</v>
      </c>
      <c r="M4154">
        <v>51000000</v>
      </c>
      <c r="N4154">
        <v>51000000</v>
      </c>
      <c r="O4154">
        <v>51000000</v>
      </c>
      <c r="P4154">
        <v>50000000</v>
      </c>
      <c r="Q4154">
        <v>50000000</v>
      </c>
      <c r="R4154" s="14">
        <f>_xlfn.XLOOKUP(Table2[[#This Row],[LoanID]],Table1[G-L ID],Table1[ManagerCode],-99)</f>
        <v>220</v>
      </c>
      <c r="T4154"/>
    </row>
    <row r="4155" spans="1:20" x14ac:dyDescent="0.25">
      <c r="A4155">
        <v>20151231</v>
      </c>
      <c r="B4155">
        <v>2015</v>
      </c>
      <c r="C4155">
        <v>12</v>
      </c>
      <c r="D4155">
        <v>1</v>
      </c>
      <c r="E4155">
        <v>11050</v>
      </c>
      <c r="F4155">
        <v>591573</v>
      </c>
      <c r="G4155">
        <v>0</v>
      </c>
      <c r="H4155">
        <v>71250</v>
      </c>
      <c r="I4155">
        <v>0</v>
      </c>
      <c r="J4155">
        <v>0</v>
      </c>
      <c r="K4155">
        <v>0</v>
      </c>
      <c r="L4155">
        <v>29300000</v>
      </c>
      <c r="M4155">
        <v>28500000</v>
      </c>
      <c r="N4155">
        <v>29300000</v>
      </c>
      <c r="O4155">
        <v>28500000</v>
      </c>
      <c r="P4155">
        <v>28500000</v>
      </c>
      <c r="Q4155">
        <v>28500000</v>
      </c>
      <c r="R4155" s="14">
        <f>_xlfn.XLOOKUP(Table2[[#This Row],[LoanID]],Table1[G-L ID],Table1[ManagerCode],-99)</f>
        <v>220</v>
      </c>
      <c r="T4155"/>
    </row>
    <row r="4156" spans="1:20" x14ac:dyDescent="0.25">
      <c r="A4156">
        <v>20151231</v>
      </c>
      <c r="B4156">
        <v>2015</v>
      </c>
      <c r="C4156">
        <v>12</v>
      </c>
      <c r="D4156">
        <v>1</v>
      </c>
      <c r="E4156">
        <v>11090</v>
      </c>
      <c r="F4156">
        <v>88966.63</v>
      </c>
      <c r="G4156">
        <v>0</v>
      </c>
      <c r="H4156">
        <v>0</v>
      </c>
      <c r="I4156">
        <v>0</v>
      </c>
      <c r="J4156">
        <v>0</v>
      </c>
      <c r="K4156">
        <v>0</v>
      </c>
      <c r="L4156">
        <v>11000000</v>
      </c>
      <c r="M4156">
        <v>11000000</v>
      </c>
      <c r="N4156">
        <v>11000000</v>
      </c>
      <c r="O4156">
        <v>11000000</v>
      </c>
      <c r="P4156">
        <v>11000000</v>
      </c>
      <c r="Q4156">
        <v>11000000</v>
      </c>
      <c r="R4156" s="14">
        <f>_xlfn.XLOOKUP(Table2[[#This Row],[LoanID]],Table1[G-L ID],Table1[ManagerCode],-99)</f>
        <v>119</v>
      </c>
      <c r="T4156"/>
    </row>
    <row r="4157" spans="1:20" x14ac:dyDescent="0.25">
      <c r="A4157">
        <v>20151231</v>
      </c>
      <c r="B4157">
        <v>2015</v>
      </c>
      <c r="C4157">
        <v>12</v>
      </c>
      <c r="D4157">
        <v>1</v>
      </c>
      <c r="E4157">
        <v>11100</v>
      </c>
      <c r="F4157">
        <v>0</v>
      </c>
      <c r="G4157">
        <v>0</v>
      </c>
      <c r="H4157">
        <v>0</v>
      </c>
      <c r="I4157">
        <v>0</v>
      </c>
      <c r="J4157">
        <v>0</v>
      </c>
      <c r="K4157">
        <v>0</v>
      </c>
      <c r="L4157">
        <v>54450000</v>
      </c>
      <c r="M4157">
        <v>54450000</v>
      </c>
      <c r="N4157">
        <v>54450000</v>
      </c>
      <c r="O4157">
        <v>54450000</v>
      </c>
      <c r="P4157">
        <v>55000000</v>
      </c>
      <c r="Q4157">
        <v>55000000</v>
      </c>
      <c r="R4157" s="14">
        <f>_xlfn.XLOOKUP(Table2[[#This Row],[LoanID]],Table1[G-L ID],Table1[ManagerCode],-99)</f>
        <v>103</v>
      </c>
      <c r="T4157"/>
    </row>
    <row r="4158" spans="1:20" x14ac:dyDescent="0.25">
      <c r="A4158">
        <v>20151231</v>
      </c>
      <c r="B4158">
        <v>2015</v>
      </c>
      <c r="C4158">
        <v>12</v>
      </c>
      <c r="D4158">
        <v>1</v>
      </c>
      <c r="E4158">
        <v>11130</v>
      </c>
      <c r="F4158">
        <v>0</v>
      </c>
      <c r="G4158">
        <v>0</v>
      </c>
      <c r="H4158">
        <v>0</v>
      </c>
      <c r="I4158">
        <v>-0.01</v>
      </c>
      <c r="J4158">
        <v>0</v>
      </c>
      <c r="K4158">
        <v>0</v>
      </c>
      <c r="L4158">
        <v>168150000</v>
      </c>
      <c r="M4158">
        <v>150450000</v>
      </c>
      <c r="N4158">
        <v>168150000</v>
      </c>
      <c r="O4158">
        <v>150450000</v>
      </c>
      <c r="P4158">
        <v>177000000</v>
      </c>
      <c r="Q4158">
        <v>177000000</v>
      </c>
      <c r="R4158" s="14">
        <f>_xlfn.XLOOKUP(Table2[[#This Row],[LoanID]],Table1[G-L ID],Table1[ManagerCode],-99)</f>
        <v>103</v>
      </c>
      <c r="T4158"/>
    </row>
    <row r="4159" spans="1:20" x14ac:dyDescent="0.25">
      <c r="A4159">
        <v>20151231</v>
      </c>
      <c r="B4159">
        <v>2015</v>
      </c>
      <c r="C4159">
        <v>12</v>
      </c>
      <c r="D4159">
        <v>1</v>
      </c>
      <c r="E4159">
        <v>11160</v>
      </c>
      <c r="F4159">
        <v>127151.45</v>
      </c>
      <c r="G4159">
        <v>142412.6</v>
      </c>
      <c r="H4159">
        <v>0</v>
      </c>
      <c r="I4159">
        <v>0</v>
      </c>
      <c r="J4159">
        <v>-1565806.21</v>
      </c>
      <c r="K4159">
        <v>0</v>
      </c>
      <c r="L4159">
        <v>26724468.059999999</v>
      </c>
      <c r="M4159">
        <v>28432686.870000001</v>
      </c>
      <c r="N4159">
        <v>26724468.059999999</v>
      </c>
      <c r="O4159">
        <v>28432686.870000001</v>
      </c>
      <c r="P4159">
        <v>26724468.059999999</v>
      </c>
      <c r="Q4159">
        <v>28432686.870000001</v>
      </c>
      <c r="R4159" s="14">
        <f>_xlfn.XLOOKUP(Table2[[#This Row],[LoanID]],Table1[G-L ID],Table1[ManagerCode],-99)</f>
        <v>183</v>
      </c>
      <c r="T4159"/>
    </row>
    <row r="4160" spans="1:20" x14ac:dyDescent="0.25">
      <c r="A4160">
        <v>20151231</v>
      </c>
      <c r="B4160">
        <v>2015</v>
      </c>
      <c r="C4160">
        <v>12</v>
      </c>
      <c r="D4160">
        <v>1</v>
      </c>
      <c r="E4160">
        <v>11170</v>
      </c>
      <c r="F4160">
        <v>684979.17</v>
      </c>
      <c r="G4160">
        <v>0</v>
      </c>
      <c r="H4160">
        <v>0</v>
      </c>
      <c r="I4160">
        <v>0</v>
      </c>
      <c r="J4160">
        <v>0</v>
      </c>
      <c r="K4160">
        <v>0</v>
      </c>
      <c r="L4160">
        <v>173249826.80000001</v>
      </c>
      <c r="M4160">
        <v>173249826.80000001</v>
      </c>
      <c r="N4160">
        <v>173249826.80000001</v>
      </c>
      <c r="O4160">
        <v>173249826.80000001</v>
      </c>
      <c r="P4160">
        <v>175000000</v>
      </c>
      <c r="Q4160">
        <v>175000000</v>
      </c>
      <c r="R4160" s="14">
        <f>_xlfn.XLOOKUP(Table2[[#This Row],[LoanID]],Table1[G-L ID],Table1[ManagerCode],-99)</f>
        <v>103</v>
      </c>
      <c r="T4160"/>
    </row>
    <row r="4161" spans="1:20" x14ac:dyDescent="0.25">
      <c r="A4161">
        <v>20151231</v>
      </c>
      <c r="B4161">
        <v>2015</v>
      </c>
      <c r="C4161">
        <v>12</v>
      </c>
      <c r="D4161">
        <v>1</v>
      </c>
      <c r="E4161">
        <v>11250</v>
      </c>
      <c r="F4161">
        <v>85473.5</v>
      </c>
      <c r="G4161">
        <v>129807.17</v>
      </c>
      <c r="H4161">
        <v>0</v>
      </c>
      <c r="I4161">
        <v>0</v>
      </c>
      <c r="J4161">
        <v>-85473.5</v>
      </c>
      <c r="K4161">
        <v>0</v>
      </c>
      <c r="L4161">
        <v>17286253.850000001</v>
      </c>
      <c r="M4161">
        <v>18430860</v>
      </c>
      <c r="N4161">
        <v>17286253.850000001</v>
      </c>
      <c r="O4161">
        <v>18430860</v>
      </c>
      <c r="P4161">
        <v>17286253.850000001</v>
      </c>
      <c r="Q4161">
        <v>17501534.52</v>
      </c>
      <c r="R4161" s="14">
        <f>_xlfn.XLOOKUP(Table2[[#This Row],[LoanID]],Table1[G-L ID],Table1[ManagerCode],-99)</f>
        <v>183</v>
      </c>
      <c r="T4161"/>
    </row>
    <row r="4162" spans="1:20" x14ac:dyDescent="0.25">
      <c r="A4162">
        <v>20151231</v>
      </c>
      <c r="B4162">
        <v>2015</v>
      </c>
      <c r="C4162">
        <v>12</v>
      </c>
      <c r="D4162">
        <v>1</v>
      </c>
      <c r="E4162">
        <v>11330</v>
      </c>
      <c r="F4162">
        <v>64389.67</v>
      </c>
      <c r="G4162">
        <v>0</v>
      </c>
      <c r="H4162">
        <v>0</v>
      </c>
      <c r="I4162">
        <v>0</v>
      </c>
      <c r="J4162">
        <v>-330130.34000000003</v>
      </c>
      <c r="K4162">
        <v>0</v>
      </c>
      <c r="L4162">
        <v>6370000</v>
      </c>
      <c r="M4162">
        <v>6700130.3399999999</v>
      </c>
      <c r="N4162">
        <v>6370000</v>
      </c>
      <c r="O4162">
        <v>6700130.3399999999</v>
      </c>
      <c r="P4162">
        <v>6370000</v>
      </c>
      <c r="Q4162">
        <v>6700130.3399999999</v>
      </c>
      <c r="R4162" s="14">
        <f>_xlfn.XLOOKUP(Table2[[#This Row],[LoanID]],Table1[G-L ID],Table1[ManagerCode],-99)</f>
        <v>119</v>
      </c>
      <c r="T4162"/>
    </row>
    <row r="4163" spans="1:20" x14ac:dyDescent="0.25">
      <c r="A4163">
        <v>20151231</v>
      </c>
      <c r="B4163">
        <v>2015</v>
      </c>
      <c r="C4163">
        <v>12</v>
      </c>
      <c r="D4163">
        <v>1</v>
      </c>
      <c r="E4163">
        <v>11340</v>
      </c>
      <c r="F4163">
        <v>291666.67</v>
      </c>
      <c r="G4163">
        <v>0</v>
      </c>
      <c r="H4163">
        <v>0</v>
      </c>
      <c r="I4163">
        <v>0</v>
      </c>
      <c r="J4163">
        <v>0</v>
      </c>
      <c r="K4163">
        <v>0</v>
      </c>
      <c r="L4163">
        <v>49500000</v>
      </c>
      <c r="M4163">
        <v>49500000</v>
      </c>
      <c r="N4163">
        <v>49500000</v>
      </c>
      <c r="O4163">
        <v>49500000</v>
      </c>
      <c r="P4163">
        <v>50000000</v>
      </c>
      <c r="Q4163">
        <v>50000000</v>
      </c>
      <c r="R4163" s="14">
        <f>_xlfn.XLOOKUP(Table2[[#This Row],[LoanID]],Table1[G-L ID],Table1[ManagerCode],-99)</f>
        <v>103</v>
      </c>
      <c r="T4163"/>
    </row>
    <row r="4164" spans="1:20" x14ac:dyDescent="0.25">
      <c r="A4164">
        <v>20151231</v>
      </c>
      <c r="B4164">
        <v>2015</v>
      </c>
      <c r="C4164">
        <v>12</v>
      </c>
      <c r="D4164">
        <v>1</v>
      </c>
      <c r="E4164">
        <v>11350</v>
      </c>
      <c r="F4164">
        <v>320833.33</v>
      </c>
      <c r="G4164">
        <v>0</v>
      </c>
      <c r="H4164">
        <v>0</v>
      </c>
      <c r="I4164">
        <v>0</v>
      </c>
      <c r="J4164">
        <v>0</v>
      </c>
      <c r="K4164">
        <v>0</v>
      </c>
      <c r="L4164">
        <v>54449945.549999997</v>
      </c>
      <c r="M4164">
        <v>54449945.549999997</v>
      </c>
      <c r="N4164">
        <v>54449945.549999997</v>
      </c>
      <c r="O4164">
        <v>54449945.549999997</v>
      </c>
      <c r="P4164">
        <v>55000000</v>
      </c>
      <c r="Q4164">
        <v>55000000</v>
      </c>
      <c r="R4164" s="14">
        <f>_xlfn.XLOOKUP(Table2[[#This Row],[LoanID]],Table1[G-L ID],Table1[ManagerCode],-99)</f>
        <v>103</v>
      </c>
      <c r="T4164"/>
    </row>
    <row r="4165" spans="1:20" x14ac:dyDescent="0.25">
      <c r="A4165">
        <v>20151231</v>
      </c>
      <c r="B4165">
        <v>2015</v>
      </c>
      <c r="C4165">
        <v>12</v>
      </c>
      <c r="D4165">
        <v>1</v>
      </c>
      <c r="E4165">
        <v>11370</v>
      </c>
      <c r="F4165">
        <v>59958.99</v>
      </c>
      <c r="G4165">
        <v>0</v>
      </c>
      <c r="H4165">
        <v>0</v>
      </c>
      <c r="I4165">
        <v>0</v>
      </c>
      <c r="J4165">
        <v>0</v>
      </c>
      <c r="K4165">
        <v>0</v>
      </c>
      <c r="L4165">
        <v>6645849.7400000002</v>
      </c>
      <c r="M4165">
        <v>6645849.7400000002</v>
      </c>
      <c r="N4165">
        <v>6645849.7400000002</v>
      </c>
      <c r="O4165">
        <v>6645849.7400000002</v>
      </c>
      <c r="P4165">
        <v>6645849.7400000002</v>
      </c>
      <c r="Q4165">
        <v>6645849.7400000002</v>
      </c>
      <c r="R4165" s="14">
        <f>_xlfn.XLOOKUP(Table2[[#This Row],[LoanID]],Table1[G-L ID],Table1[ManagerCode],-99)</f>
        <v>119</v>
      </c>
      <c r="T4165"/>
    </row>
    <row r="4166" spans="1:20" x14ac:dyDescent="0.25">
      <c r="A4166">
        <v>20151231</v>
      </c>
      <c r="B4166">
        <v>2015</v>
      </c>
      <c r="C4166">
        <v>12</v>
      </c>
      <c r="D4166">
        <v>1</v>
      </c>
      <c r="E4166">
        <v>11480</v>
      </c>
      <c r="F4166">
        <v>346908.33</v>
      </c>
      <c r="G4166">
        <v>0</v>
      </c>
      <c r="H4166">
        <v>0</v>
      </c>
      <c r="I4166">
        <v>0</v>
      </c>
      <c r="J4166">
        <v>0</v>
      </c>
      <c r="K4166">
        <v>0</v>
      </c>
      <c r="L4166">
        <v>66500000</v>
      </c>
      <c r="M4166">
        <v>66500000</v>
      </c>
      <c r="N4166">
        <v>66500000</v>
      </c>
      <c r="O4166">
        <v>66500000</v>
      </c>
      <c r="P4166">
        <v>70000000</v>
      </c>
      <c r="Q4166">
        <v>70000000</v>
      </c>
      <c r="R4166" s="14">
        <f>_xlfn.XLOOKUP(Table2[[#This Row],[LoanID]],Table1[G-L ID],Table1[ManagerCode],-99)</f>
        <v>103</v>
      </c>
      <c r="T4166"/>
    </row>
    <row r="4167" spans="1:20" x14ac:dyDescent="0.25">
      <c r="A4167">
        <v>20151231</v>
      </c>
      <c r="B4167">
        <v>2015</v>
      </c>
      <c r="C4167">
        <v>12</v>
      </c>
      <c r="D4167">
        <v>1</v>
      </c>
      <c r="E4167">
        <v>11490</v>
      </c>
      <c r="F4167">
        <v>329862.5</v>
      </c>
      <c r="G4167">
        <v>0</v>
      </c>
      <c r="H4167">
        <v>0</v>
      </c>
      <c r="I4167">
        <v>0</v>
      </c>
      <c r="J4167">
        <v>0</v>
      </c>
      <c r="K4167">
        <v>0</v>
      </c>
      <c r="L4167">
        <v>49500000</v>
      </c>
      <c r="M4167">
        <v>49500000</v>
      </c>
      <c r="N4167">
        <v>49500000</v>
      </c>
      <c r="O4167">
        <v>49500000</v>
      </c>
      <c r="P4167">
        <v>55000000</v>
      </c>
      <c r="Q4167">
        <v>55000000</v>
      </c>
      <c r="R4167" s="14">
        <f>_xlfn.XLOOKUP(Table2[[#This Row],[LoanID]],Table1[G-L ID],Table1[ManagerCode],-99)</f>
        <v>103</v>
      </c>
      <c r="T4167"/>
    </row>
    <row r="4168" spans="1:20" x14ac:dyDescent="0.25">
      <c r="A4168">
        <v>20151231</v>
      </c>
      <c r="B4168">
        <v>2015</v>
      </c>
      <c r="C4168">
        <v>12</v>
      </c>
      <c r="D4168">
        <v>1</v>
      </c>
      <c r="E4168">
        <v>11520</v>
      </c>
      <c r="F4168">
        <v>56694.5</v>
      </c>
      <c r="G4168">
        <v>0</v>
      </c>
      <c r="H4168">
        <v>-206691.1</v>
      </c>
      <c r="I4168">
        <v>0</v>
      </c>
      <c r="J4168">
        <v>13937000</v>
      </c>
      <c r="K4168">
        <v>0</v>
      </c>
      <c r="L4168">
        <v>18100000</v>
      </c>
      <c r="M4168">
        <v>4163000</v>
      </c>
      <c r="N4168">
        <v>18100000</v>
      </c>
      <c r="O4168">
        <v>4163000</v>
      </c>
      <c r="P4168">
        <v>18100000</v>
      </c>
      <c r="Q4168">
        <v>4163000</v>
      </c>
      <c r="R4168" s="14">
        <f>_xlfn.XLOOKUP(Table2[[#This Row],[LoanID]],Table1[G-L ID],Table1[ManagerCode],-99)</f>
        <v>119</v>
      </c>
      <c r="T4168"/>
    </row>
    <row r="4169" spans="1:20" x14ac:dyDescent="0.25">
      <c r="A4169">
        <v>20151231</v>
      </c>
      <c r="B4169">
        <v>2015</v>
      </c>
      <c r="C4169">
        <v>12</v>
      </c>
      <c r="D4169">
        <v>1</v>
      </c>
      <c r="E4169">
        <v>11530</v>
      </c>
      <c r="F4169">
        <v>104123.44</v>
      </c>
      <c r="G4169">
        <v>0</v>
      </c>
      <c r="H4169">
        <v>0</v>
      </c>
      <c r="I4169">
        <v>0</v>
      </c>
      <c r="J4169">
        <v>0</v>
      </c>
      <c r="K4169">
        <v>0</v>
      </c>
      <c r="L4169">
        <v>11250000</v>
      </c>
      <c r="M4169">
        <v>11250000</v>
      </c>
      <c r="N4169">
        <v>11250000</v>
      </c>
      <c r="O4169">
        <v>11250000</v>
      </c>
      <c r="P4169">
        <v>11250000</v>
      </c>
      <c r="Q4169">
        <v>11250000</v>
      </c>
      <c r="R4169" s="14">
        <f>_xlfn.XLOOKUP(Table2[[#This Row],[LoanID]],Table1[G-L ID],Table1[ManagerCode],-99)</f>
        <v>119</v>
      </c>
      <c r="T4169"/>
    </row>
    <row r="4170" spans="1:20" x14ac:dyDescent="0.25">
      <c r="A4170">
        <v>20151231</v>
      </c>
      <c r="B4170">
        <v>2015</v>
      </c>
      <c r="C4170">
        <v>12</v>
      </c>
      <c r="D4170">
        <v>1</v>
      </c>
      <c r="E4170">
        <v>11560</v>
      </c>
      <c r="F4170">
        <v>89906.46</v>
      </c>
      <c r="G4170">
        <v>183369.94</v>
      </c>
      <c r="H4170">
        <v>0</v>
      </c>
      <c r="I4170">
        <v>0</v>
      </c>
      <c r="J4170">
        <v>0</v>
      </c>
      <c r="K4170">
        <v>0</v>
      </c>
      <c r="L4170">
        <v>16299550.460000001</v>
      </c>
      <c r="M4170">
        <v>16482920.4</v>
      </c>
      <c r="N4170">
        <v>16299550.460000001</v>
      </c>
      <c r="O4170">
        <v>16482920.4</v>
      </c>
      <c r="P4170">
        <v>16299550.460000001</v>
      </c>
      <c r="Q4170">
        <v>16482920.4</v>
      </c>
      <c r="R4170" s="14">
        <f>_xlfn.XLOOKUP(Table2[[#This Row],[LoanID]],Table1[G-L ID],Table1[ManagerCode],-99)</f>
        <v>183</v>
      </c>
      <c r="T4170"/>
    </row>
    <row r="4171" spans="1:20" x14ac:dyDescent="0.25">
      <c r="A4171">
        <v>20151231</v>
      </c>
      <c r="B4171">
        <v>2015</v>
      </c>
      <c r="C4171">
        <v>12</v>
      </c>
      <c r="D4171">
        <v>1</v>
      </c>
      <c r="E4171">
        <v>11590</v>
      </c>
      <c r="F4171">
        <v>22650.82</v>
      </c>
      <c r="G4171">
        <v>0</v>
      </c>
      <c r="H4171">
        <v>0</v>
      </c>
      <c r="I4171">
        <v>0</v>
      </c>
      <c r="J4171">
        <v>0</v>
      </c>
      <c r="K4171">
        <v>0</v>
      </c>
      <c r="L4171">
        <v>3507224.44</v>
      </c>
      <c r="M4171">
        <v>3507224.44</v>
      </c>
      <c r="N4171">
        <v>3507224.44</v>
      </c>
      <c r="O4171">
        <v>3507224.44</v>
      </c>
      <c r="P4171">
        <v>3507224.44</v>
      </c>
      <c r="Q4171">
        <v>3507224.44</v>
      </c>
      <c r="R4171" s="14">
        <f>_xlfn.XLOOKUP(Table2[[#This Row],[LoanID]],Table1[G-L ID],Table1[ManagerCode],-99)</f>
        <v>119</v>
      </c>
      <c r="T4171"/>
    </row>
    <row r="4172" spans="1:20" x14ac:dyDescent="0.25">
      <c r="A4172">
        <v>20151231</v>
      </c>
      <c r="B4172">
        <v>2015</v>
      </c>
      <c r="C4172">
        <v>12</v>
      </c>
      <c r="D4172">
        <v>1</v>
      </c>
      <c r="E4172">
        <v>11650</v>
      </c>
      <c r="F4172">
        <v>75000</v>
      </c>
      <c r="G4172">
        <v>0</v>
      </c>
      <c r="H4172">
        <v>0</v>
      </c>
      <c r="I4172">
        <v>0</v>
      </c>
      <c r="J4172">
        <v>0</v>
      </c>
      <c r="K4172">
        <v>0</v>
      </c>
      <c r="L4172">
        <v>9600000</v>
      </c>
      <c r="M4172">
        <v>9600000</v>
      </c>
      <c r="N4172">
        <v>9600000</v>
      </c>
      <c r="O4172">
        <v>9600000</v>
      </c>
      <c r="P4172">
        <v>12000000</v>
      </c>
      <c r="Q4172">
        <v>12000000</v>
      </c>
      <c r="R4172" s="14">
        <f>_xlfn.XLOOKUP(Table2[[#This Row],[LoanID]],Table1[G-L ID],Table1[ManagerCode],-99)</f>
        <v>103</v>
      </c>
      <c r="T4172"/>
    </row>
    <row r="4173" spans="1:20" x14ac:dyDescent="0.25">
      <c r="A4173">
        <v>20151231</v>
      </c>
      <c r="B4173">
        <v>2015</v>
      </c>
      <c r="C4173">
        <v>12</v>
      </c>
      <c r="D4173">
        <v>1</v>
      </c>
      <c r="E4173">
        <v>11660</v>
      </c>
      <c r="F4173">
        <v>0</v>
      </c>
      <c r="G4173">
        <v>0</v>
      </c>
      <c r="H4173">
        <v>0</v>
      </c>
      <c r="I4173">
        <v>0</v>
      </c>
      <c r="J4173">
        <v>0</v>
      </c>
      <c r="K4173">
        <v>27647178</v>
      </c>
      <c r="L4173">
        <v>27647178</v>
      </c>
      <c r="M4173">
        <v>0</v>
      </c>
      <c r="N4173">
        <v>27647178</v>
      </c>
      <c r="O4173">
        <v>0</v>
      </c>
      <c r="P4173">
        <v>27647178</v>
      </c>
      <c r="Q4173">
        <v>0</v>
      </c>
      <c r="R4173" s="14">
        <f>_xlfn.XLOOKUP(Table2[[#This Row],[LoanID]],Table1[G-L ID],Table1[ManagerCode],-99)</f>
        <v>183</v>
      </c>
      <c r="T4173"/>
    </row>
    <row r="4174" spans="1:20" x14ac:dyDescent="0.25">
      <c r="A4174">
        <v>20151231</v>
      </c>
      <c r="B4174">
        <v>2015</v>
      </c>
      <c r="C4174">
        <v>12</v>
      </c>
      <c r="D4174">
        <v>1</v>
      </c>
      <c r="E4174">
        <v>11680</v>
      </c>
      <c r="F4174">
        <v>57126.559999999998</v>
      </c>
      <c r="G4174">
        <v>0</v>
      </c>
      <c r="H4174">
        <v>0</v>
      </c>
      <c r="I4174">
        <v>0</v>
      </c>
      <c r="J4174">
        <v>0</v>
      </c>
      <c r="K4174">
        <v>0</v>
      </c>
      <c r="L4174">
        <v>6600000</v>
      </c>
      <c r="M4174">
        <v>6600000</v>
      </c>
      <c r="N4174">
        <v>6600000</v>
      </c>
      <c r="O4174">
        <v>6600000</v>
      </c>
      <c r="P4174">
        <v>6600000</v>
      </c>
      <c r="Q4174">
        <v>6600000</v>
      </c>
      <c r="R4174" s="14">
        <f>_xlfn.XLOOKUP(Table2[[#This Row],[LoanID]],Table1[G-L ID],Table1[ManagerCode],-99)</f>
        <v>183</v>
      </c>
      <c r="T4174"/>
    </row>
    <row r="4175" spans="1:20" x14ac:dyDescent="0.25">
      <c r="A4175">
        <v>20151231</v>
      </c>
      <c r="B4175">
        <v>2015</v>
      </c>
      <c r="C4175">
        <v>12</v>
      </c>
      <c r="D4175">
        <v>1</v>
      </c>
      <c r="E4175">
        <v>11710</v>
      </c>
      <c r="F4175">
        <v>118936.25</v>
      </c>
      <c r="G4175">
        <v>0</v>
      </c>
      <c r="H4175">
        <v>0</v>
      </c>
      <c r="I4175">
        <v>0</v>
      </c>
      <c r="J4175">
        <v>0</v>
      </c>
      <c r="K4175">
        <v>0</v>
      </c>
      <c r="L4175">
        <v>15000000</v>
      </c>
      <c r="M4175">
        <v>15000000</v>
      </c>
      <c r="N4175">
        <v>15000000</v>
      </c>
      <c r="O4175">
        <v>15000000</v>
      </c>
      <c r="P4175">
        <v>15000000</v>
      </c>
      <c r="Q4175">
        <v>15000000</v>
      </c>
      <c r="R4175" s="14">
        <f>_xlfn.XLOOKUP(Table2[[#This Row],[LoanID]],Table1[G-L ID],Table1[ManagerCode],-99)</f>
        <v>119</v>
      </c>
      <c r="T4175"/>
    </row>
    <row r="4176" spans="1:20" x14ac:dyDescent="0.25">
      <c r="A4176">
        <v>20151231</v>
      </c>
      <c r="B4176">
        <v>2015</v>
      </c>
      <c r="C4176">
        <v>12</v>
      </c>
      <c r="D4176">
        <v>1</v>
      </c>
      <c r="E4176">
        <v>11720</v>
      </c>
      <c r="F4176">
        <v>125000</v>
      </c>
      <c r="G4176">
        <v>0</v>
      </c>
      <c r="H4176">
        <v>0</v>
      </c>
      <c r="I4176">
        <v>0</v>
      </c>
      <c r="J4176">
        <v>0</v>
      </c>
      <c r="K4176">
        <v>0</v>
      </c>
      <c r="L4176">
        <v>19800000</v>
      </c>
      <c r="M4176">
        <v>19800000</v>
      </c>
      <c r="N4176">
        <v>19800000</v>
      </c>
      <c r="O4176">
        <v>19800000</v>
      </c>
      <c r="P4176">
        <v>20000000</v>
      </c>
      <c r="Q4176">
        <v>20000000</v>
      </c>
      <c r="R4176" s="14">
        <f>_xlfn.XLOOKUP(Table2[[#This Row],[LoanID]],Table1[G-L ID],Table1[ManagerCode],-99)</f>
        <v>103</v>
      </c>
      <c r="T4176"/>
    </row>
    <row r="4177" spans="1:20" x14ac:dyDescent="0.25">
      <c r="A4177">
        <v>20151231</v>
      </c>
      <c r="B4177">
        <v>2015</v>
      </c>
      <c r="C4177">
        <v>12</v>
      </c>
      <c r="D4177">
        <v>1</v>
      </c>
      <c r="E4177">
        <v>11730</v>
      </c>
      <c r="F4177">
        <v>45483.23</v>
      </c>
      <c r="G4177">
        <v>0</v>
      </c>
      <c r="H4177">
        <v>0</v>
      </c>
      <c r="I4177">
        <v>0</v>
      </c>
      <c r="J4177">
        <v>0</v>
      </c>
      <c r="K4177">
        <v>0</v>
      </c>
      <c r="L4177">
        <v>4750000</v>
      </c>
      <c r="M4177">
        <v>4750000</v>
      </c>
      <c r="N4177">
        <v>4750000</v>
      </c>
      <c r="O4177">
        <v>4750000</v>
      </c>
      <c r="P4177">
        <v>4750000</v>
      </c>
      <c r="Q4177">
        <v>4750000</v>
      </c>
      <c r="R4177" s="14">
        <f>_xlfn.XLOOKUP(Table2[[#This Row],[LoanID]],Table1[G-L ID],Table1[ManagerCode],-99)</f>
        <v>119</v>
      </c>
      <c r="T4177"/>
    </row>
    <row r="4178" spans="1:20" x14ac:dyDescent="0.25">
      <c r="A4178">
        <v>20151231</v>
      </c>
      <c r="B4178">
        <v>2015</v>
      </c>
      <c r="C4178">
        <v>12</v>
      </c>
      <c r="D4178">
        <v>1</v>
      </c>
      <c r="E4178">
        <v>11750</v>
      </c>
      <c r="F4178">
        <v>31989.52</v>
      </c>
      <c r="G4178">
        <v>65133.56</v>
      </c>
      <c r="H4178">
        <v>0</v>
      </c>
      <c r="I4178">
        <v>0</v>
      </c>
      <c r="J4178">
        <v>-1734724.77</v>
      </c>
      <c r="K4178">
        <v>0</v>
      </c>
      <c r="L4178">
        <v>10700494.4</v>
      </c>
      <c r="M4178">
        <v>12500352.73</v>
      </c>
      <c r="N4178">
        <v>10700494.4</v>
      </c>
      <c r="O4178">
        <v>12500352.73</v>
      </c>
      <c r="P4178">
        <v>10700494.4</v>
      </c>
      <c r="Q4178">
        <v>12500352.73</v>
      </c>
      <c r="R4178" s="14">
        <f>_xlfn.XLOOKUP(Table2[[#This Row],[LoanID]],Table1[G-L ID],Table1[ManagerCode],-99)</f>
        <v>183</v>
      </c>
      <c r="T4178"/>
    </row>
    <row r="4179" spans="1:20" x14ac:dyDescent="0.25">
      <c r="A4179">
        <v>20151231</v>
      </c>
      <c r="B4179">
        <v>2015</v>
      </c>
      <c r="C4179">
        <v>12</v>
      </c>
      <c r="D4179">
        <v>1</v>
      </c>
      <c r="E4179">
        <v>11810</v>
      </c>
      <c r="F4179">
        <v>48849.85</v>
      </c>
      <c r="G4179">
        <v>0</v>
      </c>
      <c r="H4179">
        <v>0</v>
      </c>
      <c r="I4179">
        <v>0</v>
      </c>
      <c r="J4179">
        <v>0</v>
      </c>
      <c r="K4179">
        <v>12008.24</v>
      </c>
      <c r="L4179">
        <v>9451729.2599999998</v>
      </c>
      <c r="M4179">
        <v>9439841.0999999996</v>
      </c>
      <c r="N4179">
        <v>9451729.2599999998</v>
      </c>
      <c r="O4179">
        <v>9439841.0999999996</v>
      </c>
      <c r="P4179">
        <v>9547201.2699999996</v>
      </c>
      <c r="Q4179">
        <v>9535193.0299999993</v>
      </c>
      <c r="R4179" s="14">
        <f>_xlfn.XLOOKUP(Table2[[#This Row],[LoanID]],Table1[G-L ID],Table1[ManagerCode],-99)</f>
        <v>103</v>
      </c>
      <c r="T4179"/>
    </row>
    <row r="4180" spans="1:20" x14ac:dyDescent="0.25">
      <c r="A4180">
        <v>20151231</v>
      </c>
      <c r="B4180">
        <v>2015</v>
      </c>
      <c r="C4180">
        <v>12</v>
      </c>
      <c r="D4180">
        <v>1</v>
      </c>
      <c r="E4180">
        <v>11880</v>
      </c>
      <c r="F4180">
        <v>356177.09</v>
      </c>
      <c r="G4180">
        <v>164584.84</v>
      </c>
      <c r="H4180">
        <v>0</v>
      </c>
      <c r="I4180">
        <v>0</v>
      </c>
      <c r="J4180">
        <v>0</v>
      </c>
      <c r="K4180">
        <v>0</v>
      </c>
      <c r="L4180">
        <v>78392985.939999998</v>
      </c>
      <c r="M4180">
        <v>78557570.780000001</v>
      </c>
      <c r="N4180">
        <v>78392985.939999998</v>
      </c>
      <c r="O4180">
        <v>78557570.780000001</v>
      </c>
      <c r="P4180">
        <v>78392985.939999998</v>
      </c>
      <c r="Q4180">
        <v>78557570.780000001</v>
      </c>
      <c r="R4180" s="14">
        <f>_xlfn.XLOOKUP(Table2[[#This Row],[LoanID]],Table1[G-L ID],Table1[ManagerCode],-99)</f>
        <v>183</v>
      </c>
      <c r="T4180"/>
    </row>
    <row r="4181" spans="1:20" x14ac:dyDescent="0.25">
      <c r="A4181">
        <v>20151231</v>
      </c>
      <c r="B4181">
        <v>2015</v>
      </c>
      <c r="C4181">
        <v>12</v>
      </c>
      <c r="D4181">
        <v>1</v>
      </c>
      <c r="E4181">
        <v>11980</v>
      </c>
      <c r="F4181">
        <v>67978.91</v>
      </c>
      <c r="G4181">
        <v>0</v>
      </c>
      <c r="H4181">
        <v>0</v>
      </c>
      <c r="I4181">
        <v>0</v>
      </c>
      <c r="J4181">
        <v>0</v>
      </c>
      <c r="K4181">
        <v>0</v>
      </c>
      <c r="L4181">
        <v>7400000</v>
      </c>
      <c r="M4181">
        <v>7400000</v>
      </c>
      <c r="N4181">
        <v>7400000</v>
      </c>
      <c r="O4181">
        <v>7400000</v>
      </c>
      <c r="P4181">
        <v>7400000</v>
      </c>
      <c r="Q4181">
        <v>7400000</v>
      </c>
      <c r="R4181" s="14">
        <f>_xlfn.XLOOKUP(Table2[[#This Row],[LoanID]],Table1[G-L ID],Table1[ManagerCode],-99)</f>
        <v>119</v>
      </c>
      <c r="T4181"/>
    </row>
    <row r="4182" spans="1:20" x14ac:dyDescent="0.25">
      <c r="A4182">
        <v>20151231</v>
      </c>
      <c r="B4182">
        <v>2015</v>
      </c>
      <c r="C4182">
        <v>12</v>
      </c>
      <c r="D4182">
        <v>1</v>
      </c>
      <c r="E4182">
        <v>11990</v>
      </c>
      <c r="F4182">
        <v>97437.5</v>
      </c>
      <c r="G4182">
        <v>0</v>
      </c>
      <c r="H4182">
        <v>0</v>
      </c>
      <c r="I4182">
        <v>0</v>
      </c>
      <c r="J4182">
        <v>0</v>
      </c>
      <c r="K4182">
        <v>0</v>
      </c>
      <c r="L4182">
        <v>15000000</v>
      </c>
      <c r="M4182">
        <v>14700000</v>
      </c>
      <c r="N4182">
        <v>15000000</v>
      </c>
      <c r="O4182">
        <v>14700000</v>
      </c>
      <c r="P4182">
        <v>15000000</v>
      </c>
      <c r="Q4182">
        <v>15000000</v>
      </c>
      <c r="R4182" s="14">
        <f>_xlfn.XLOOKUP(Table2[[#This Row],[LoanID]],Table1[G-L ID],Table1[ManagerCode],-99)</f>
        <v>220</v>
      </c>
      <c r="T4182"/>
    </row>
    <row r="4183" spans="1:20" x14ac:dyDescent="0.25">
      <c r="A4183">
        <v>20151231</v>
      </c>
      <c r="B4183">
        <v>2015</v>
      </c>
      <c r="C4183">
        <v>12</v>
      </c>
      <c r="D4183">
        <v>1</v>
      </c>
      <c r="E4183">
        <v>12010</v>
      </c>
      <c r="F4183">
        <v>245980.55</v>
      </c>
      <c r="G4183">
        <v>0</v>
      </c>
      <c r="H4183">
        <v>-455000</v>
      </c>
      <c r="I4183">
        <v>0</v>
      </c>
      <c r="J4183">
        <v>40915161</v>
      </c>
      <c r="K4183">
        <v>0</v>
      </c>
      <c r="L4183">
        <v>58450232</v>
      </c>
      <c r="M4183">
        <v>17535071</v>
      </c>
      <c r="N4183">
        <v>58450232</v>
      </c>
      <c r="O4183">
        <v>17535071</v>
      </c>
      <c r="P4183">
        <v>58450232</v>
      </c>
      <c r="Q4183">
        <v>17535071</v>
      </c>
      <c r="R4183" s="14">
        <f>_xlfn.XLOOKUP(Table2[[#This Row],[LoanID]],Table1[G-L ID],Table1[ManagerCode],-99)</f>
        <v>119</v>
      </c>
      <c r="T4183"/>
    </row>
    <row r="4184" spans="1:20" x14ac:dyDescent="0.25">
      <c r="A4184">
        <v>20151231</v>
      </c>
      <c r="B4184">
        <v>2015</v>
      </c>
      <c r="C4184">
        <v>12</v>
      </c>
      <c r="D4184">
        <v>1</v>
      </c>
      <c r="E4184">
        <v>12160</v>
      </c>
      <c r="F4184">
        <v>82378.31</v>
      </c>
      <c r="G4184">
        <v>100636.07</v>
      </c>
      <c r="H4184">
        <v>0</v>
      </c>
      <c r="I4184">
        <v>0</v>
      </c>
      <c r="J4184">
        <v>-82378.31</v>
      </c>
      <c r="K4184">
        <v>0</v>
      </c>
      <c r="L4184">
        <v>16629202.67</v>
      </c>
      <c r="M4184">
        <v>16812217.050000001</v>
      </c>
      <c r="N4184">
        <v>16629202.67</v>
      </c>
      <c r="O4184">
        <v>16812217.050000001</v>
      </c>
      <c r="P4184">
        <v>16629202.67</v>
      </c>
      <c r="Q4184">
        <v>16812217.050000001</v>
      </c>
      <c r="R4184" s="14">
        <f>_xlfn.XLOOKUP(Table2[[#This Row],[LoanID]],Table1[G-L ID],Table1[ManagerCode],-99)</f>
        <v>183</v>
      </c>
      <c r="T4184"/>
    </row>
    <row r="4185" spans="1:20" x14ac:dyDescent="0.25">
      <c r="A4185">
        <v>20151231</v>
      </c>
      <c r="B4185">
        <v>2015</v>
      </c>
      <c r="C4185">
        <v>12</v>
      </c>
      <c r="D4185">
        <v>1</v>
      </c>
      <c r="E4185">
        <v>12180</v>
      </c>
      <c r="F4185">
        <v>226041.67</v>
      </c>
      <c r="G4185">
        <v>0</v>
      </c>
      <c r="H4185">
        <v>0</v>
      </c>
      <c r="I4185">
        <v>0</v>
      </c>
      <c r="J4185">
        <v>0</v>
      </c>
      <c r="K4185">
        <v>0</v>
      </c>
      <c r="L4185">
        <v>35000000</v>
      </c>
      <c r="M4185">
        <v>35000000</v>
      </c>
      <c r="N4185">
        <v>35000000</v>
      </c>
      <c r="O4185">
        <v>35000000</v>
      </c>
      <c r="P4185">
        <v>35000000</v>
      </c>
      <c r="Q4185">
        <v>35000000</v>
      </c>
      <c r="R4185" s="14">
        <f>_xlfn.XLOOKUP(Table2[[#This Row],[LoanID]],Table1[G-L ID],Table1[ManagerCode],-99)</f>
        <v>220</v>
      </c>
      <c r="T4185"/>
    </row>
    <row r="4186" spans="1:20" x14ac:dyDescent="0.25">
      <c r="A4186">
        <v>20151231</v>
      </c>
      <c r="B4186">
        <v>2015</v>
      </c>
      <c r="C4186">
        <v>12</v>
      </c>
      <c r="D4186">
        <v>1</v>
      </c>
      <c r="E4186">
        <v>12190</v>
      </c>
      <c r="F4186">
        <v>252142.86</v>
      </c>
      <c r="G4186">
        <v>0</v>
      </c>
      <c r="H4186">
        <v>0</v>
      </c>
      <c r="I4186">
        <v>0</v>
      </c>
      <c r="J4186">
        <v>0</v>
      </c>
      <c r="K4186">
        <v>0</v>
      </c>
      <c r="L4186">
        <v>34383117</v>
      </c>
      <c r="M4186">
        <v>34383117</v>
      </c>
      <c r="N4186">
        <v>34383117</v>
      </c>
      <c r="O4186">
        <v>34383117</v>
      </c>
      <c r="P4186">
        <v>34383117</v>
      </c>
      <c r="Q4186">
        <v>34383117</v>
      </c>
      <c r="R4186" s="14">
        <f>_xlfn.XLOOKUP(Table2[[#This Row],[LoanID]],Table1[G-L ID],Table1[ManagerCode],-99)</f>
        <v>220</v>
      </c>
      <c r="T4186"/>
    </row>
    <row r="4187" spans="1:20" x14ac:dyDescent="0.25">
      <c r="A4187">
        <v>20151231</v>
      </c>
      <c r="B4187">
        <v>2015</v>
      </c>
      <c r="C4187">
        <v>12</v>
      </c>
      <c r="D4187">
        <v>1</v>
      </c>
      <c r="E4187">
        <v>12210</v>
      </c>
      <c r="F4187">
        <v>660459.09</v>
      </c>
      <c r="G4187">
        <v>0</v>
      </c>
      <c r="H4187">
        <v>0</v>
      </c>
      <c r="I4187">
        <v>0</v>
      </c>
      <c r="J4187">
        <v>0</v>
      </c>
      <c r="K4187">
        <v>235685.53</v>
      </c>
      <c r="L4187">
        <v>116476445.8</v>
      </c>
      <c r="M4187">
        <v>115660615.59999999</v>
      </c>
      <c r="N4187">
        <v>116476445.8</v>
      </c>
      <c r="O4187">
        <v>115660615.59999999</v>
      </c>
      <c r="P4187">
        <v>106863344.7</v>
      </c>
      <c r="Q4187">
        <v>106627659.2</v>
      </c>
      <c r="R4187" s="14">
        <f>_xlfn.XLOOKUP(Table2[[#This Row],[LoanID]],Table1[G-L ID],Table1[ManagerCode],-99)</f>
        <v>103</v>
      </c>
      <c r="T4187"/>
    </row>
    <row r="4188" spans="1:20" x14ac:dyDescent="0.25">
      <c r="A4188">
        <v>20151231</v>
      </c>
      <c r="B4188">
        <v>2015</v>
      </c>
      <c r="C4188">
        <v>12</v>
      </c>
      <c r="D4188">
        <v>1</v>
      </c>
      <c r="E4188">
        <v>12230</v>
      </c>
      <c r="F4188">
        <v>105150.64</v>
      </c>
      <c r="G4188">
        <v>0</v>
      </c>
      <c r="H4188">
        <v>0</v>
      </c>
      <c r="I4188">
        <v>0</v>
      </c>
      <c r="J4188">
        <v>0</v>
      </c>
      <c r="K4188">
        <v>0</v>
      </c>
      <c r="L4188">
        <v>20268813.940000001</v>
      </c>
      <c r="M4188">
        <v>20268813.940000001</v>
      </c>
      <c r="N4188">
        <v>13753361.439999999</v>
      </c>
      <c r="O4188">
        <v>13753361.439999999</v>
      </c>
      <c r="P4188">
        <v>20268813.940000001</v>
      </c>
      <c r="Q4188">
        <v>20268813.940000001</v>
      </c>
      <c r="R4188" s="14">
        <f>_xlfn.XLOOKUP(Table2[[#This Row],[LoanID]],Table1[G-L ID],Table1[ManagerCode],-99)</f>
        <v>183</v>
      </c>
      <c r="T4188"/>
    </row>
    <row r="4189" spans="1:20" x14ac:dyDescent="0.25">
      <c r="A4189">
        <v>20151231</v>
      </c>
      <c r="B4189">
        <v>2015</v>
      </c>
      <c r="C4189">
        <v>12</v>
      </c>
      <c r="D4189">
        <v>1</v>
      </c>
      <c r="E4189">
        <v>12240</v>
      </c>
      <c r="F4189">
        <v>0</v>
      </c>
      <c r="G4189">
        <v>1440170.87</v>
      </c>
      <c r="H4189">
        <v>0</v>
      </c>
      <c r="I4189">
        <v>0</v>
      </c>
      <c r="J4189">
        <v>0</v>
      </c>
      <c r="K4189">
        <v>0</v>
      </c>
      <c r="L4189">
        <v>129453560.90000001</v>
      </c>
      <c r="M4189">
        <v>130893731.8</v>
      </c>
      <c r="N4189">
        <v>129453560.90000001</v>
      </c>
      <c r="O4189">
        <v>130893731.8</v>
      </c>
      <c r="P4189">
        <v>129453560.90000001</v>
      </c>
      <c r="Q4189">
        <v>130893731.8</v>
      </c>
      <c r="R4189" s="14">
        <f>_xlfn.XLOOKUP(Table2[[#This Row],[LoanID]],Table1[G-L ID],Table1[ManagerCode],-99)</f>
        <v>183</v>
      </c>
      <c r="T4189"/>
    </row>
    <row r="4190" spans="1:20" x14ac:dyDescent="0.25">
      <c r="A4190">
        <v>20151231</v>
      </c>
      <c r="B4190">
        <v>2015</v>
      </c>
      <c r="C4190">
        <v>12</v>
      </c>
      <c r="D4190">
        <v>1</v>
      </c>
      <c r="E4190">
        <v>13630</v>
      </c>
      <c r="F4190">
        <v>211458.33</v>
      </c>
      <c r="G4190">
        <v>0</v>
      </c>
      <c r="H4190">
        <v>0</v>
      </c>
      <c r="I4190">
        <v>0</v>
      </c>
      <c r="J4190">
        <v>0</v>
      </c>
      <c r="K4190">
        <v>0</v>
      </c>
      <c r="L4190">
        <v>35000000</v>
      </c>
      <c r="M4190">
        <v>33468087</v>
      </c>
      <c r="N4190">
        <v>35000000</v>
      </c>
      <c r="O4190">
        <v>33468087</v>
      </c>
      <c r="P4190">
        <v>35000000</v>
      </c>
      <c r="Q4190">
        <v>35000000</v>
      </c>
      <c r="R4190" s="14">
        <f>_xlfn.XLOOKUP(Table2[[#This Row],[LoanID]],Table1[G-L ID],Table1[ManagerCode],-99)</f>
        <v>298</v>
      </c>
      <c r="T4190"/>
    </row>
    <row r="4191" spans="1:20" x14ac:dyDescent="0.25">
      <c r="A4191">
        <v>20151231</v>
      </c>
      <c r="B4191">
        <v>2015</v>
      </c>
      <c r="C4191">
        <v>12</v>
      </c>
      <c r="D4191">
        <v>1</v>
      </c>
      <c r="E4191">
        <v>13670</v>
      </c>
      <c r="F4191">
        <v>271781.25</v>
      </c>
      <c r="G4191">
        <v>0</v>
      </c>
      <c r="H4191">
        <v>0</v>
      </c>
      <c r="I4191">
        <v>0</v>
      </c>
      <c r="J4191">
        <v>0</v>
      </c>
      <c r="K4191">
        <v>0</v>
      </c>
      <c r="L4191">
        <v>37500000</v>
      </c>
      <c r="M4191">
        <v>37369414</v>
      </c>
      <c r="N4191">
        <v>37500000</v>
      </c>
      <c r="O4191">
        <v>37369414</v>
      </c>
      <c r="P4191">
        <v>37500000</v>
      </c>
      <c r="Q4191">
        <v>37500000</v>
      </c>
      <c r="R4191" s="14">
        <f>_xlfn.XLOOKUP(Table2[[#This Row],[LoanID]],Table1[G-L ID],Table1[ManagerCode],-99)</f>
        <v>298</v>
      </c>
      <c r="T4191"/>
    </row>
    <row r="4192" spans="1:20" x14ac:dyDescent="0.25">
      <c r="A4192">
        <v>20151231</v>
      </c>
      <c r="B4192">
        <v>2015</v>
      </c>
      <c r="C4192">
        <v>12</v>
      </c>
      <c r="D4192">
        <v>1</v>
      </c>
      <c r="E4192">
        <v>13680</v>
      </c>
      <c r="F4192">
        <v>132312.5</v>
      </c>
      <c r="G4192">
        <v>0</v>
      </c>
      <c r="H4192">
        <v>0</v>
      </c>
      <c r="I4192">
        <v>0</v>
      </c>
      <c r="J4192">
        <v>0</v>
      </c>
      <c r="K4192">
        <v>0</v>
      </c>
      <c r="L4192">
        <v>18000000</v>
      </c>
      <c r="M4192">
        <v>18283364</v>
      </c>
      <c r="N4192">
        <v>18000000</v>
      </c>
      <c r="O4192">
        <v>18283364</v>
      </c>
      <c r="P4192">
        <v>18000000</v>
      </c>
      <c r="Q4192">
        <v>18000000</v>
      </c>
      <c r="R4192" s="14">
        <f>_xlfn.XLOOKUP(Table2[[#This Row],[LoanID]],Table1[G-L ID],Table1[ManagerCode],-99)</f>
        <v>298</v>
      </c>
      <c r="T4192"/>
    </row>
    <row r="4193" spans="1:20" x14ac:dyDescent="0.25">
      <c r="A4193">
        <v>20151231</v>
      </c>
      <c r="B4193">
        <v>2015</v>
      </c>
      <c r="C4193">
        <v>12</v>
      </c>
      <c r="D4193">
        <v>1</v>
      </c>
      <c r="E4193">
        <v>13690</v>
      </c>
      <c r="F4193">
        <v>129166.67</v>
      </c>
      <c r="G4193">
        <v>0</v>
      </c>
      <c r="H4193">
        <v>0</v>
      </c>
      <c r="I4193">
        <v>0</v>
      </c>
      <c r="J4193">
        <v>0</v>
      </c>
      <c r="K4193">
        <v>0</v>
      </c>
      <c r="L4193">
        <v>20000000</v>
      </c>
      <c r="M4193">
        <v>19169472</v>
      </c>
      <c r="N4193">
        <v>20000000</v>
      </c>
      <c r="O4193">
        <v>19169472</v>
      </c>
      <c r="P4193">
        <v>20000000</v>
      </c>
      <c r="Q4193">
        <v>20000000</v>
      </c>
      <c r="R4193" s="14">
        <f>_xlfn.XLOOKUP(Table2[[#This Row],[LoanID]],Table1[G-L ID],Table1[ManagerCode],-99)</f>
        <v>298</v>
      </c>
      <c r="T4193"/>
    </row>
    <row r="4194" spans="1:20" x14ac:dyDescent="0.25">
      <c r="A4194">
        <v>20151231</v>
      </c>
      <c r="B4194">
        <v>2015</v>
      </c>
      <c r="C4194">
        <v>12</v>
      </c>
      <c r="D4194">
        <v>1</v>
      </c>
      <c r="E4194">
        <v>15580</v>
      </c>
      <c r="F4194">
        <v>114187.09</v>
      </c>
      <c r="G4194">
        <v>3732.85</v>
      </c>
      <c r="H4194">
        <v>0</v>
      </c>
      <c r="I4194">
        <v>0</v>
      </c>
      <c r="J4194">
        <v>0</v>
      </c>
      <c r="K4194">
        <v>9214.2199999999993</v>
      </c>
      <c r="L4194">
        <v>14927647.720000001</v>
      </c>
      <c r="M4194">
        <v>14922166.35</v>
      </c>
      <c r="N4194">
        <v>14927647.720000001</v>
      </c>
      <c r="O4194">
        <v>14922166.35</v>
      </c>
      <c r="P4194">
        <v>14927647.720000001</v>
      </c>
      <c r="Q4194">
        <v>14922166.35</v>
      </c>
      <c r="R4194" s="14">
        <f>_xlfn.XLOOKUP(Table2[[#This Row],[LoanID]],Table1[G-L ID],Table1[ManagerCode],-99)</f>
        <v>212</v>
      </c>
      <c r="T4194"/>
    </row>
    <row r="4195" spans="1:20" x14ac:dyDescent="0.25">
      <c r="A4195">
        <v>20160131</v>
      </c>
      <c r="B4195">
        <v>2016</v>
      </c>
      <c r="C4195">
        <v>1</v>
      </c>
      <c r="D4195">
        <v>1</v>
      </c>
      <c r="E4195">
        <v>10010</v>
      </c>
      <c r="F4195">
        <v>107874.14</v>
      </c>
      <c r="G4195">
        <v>0</v>
      </c>
      <c r="H4195">
        <v>0</v>
      </c>
      <c r="I4195">
        <v>0</v>
      </c>
      <c r="J4195">
        <v>0</v>
      </c>
      <c r="K4195">
        <v>0</v>
      </c>
      <c r="L4195">
        <v>18603662</v>
      </c>
      <c r="M4195">
        <v>18603662</v>
      </c>
      <c r="N4195">
        <v>18603662</v>
      </c>
      <c r="O4195">
        <v>18603662</v>
      </c>
      <c r="P4195">
        <v>18603662</v>
      </c>
      <c r="Q4195">
        <v>18603662</v>
      </c>
      <c r="R4195" s="14">
        <f>_xlfn.XLOOKUP(Table2[[#This Row],[LoanID]],Table1[G-L ID],Table1[ManagerCode],-99)</f>
        <v>119</v>
      </c>
      <c r="T4195"/>
    </row>
    <row r="4196" spans="1:20" x14ac:dyDescent="0.25">
      <c r="A4196">
        <v>20160131</v>
      </c>
      <c r="B4196">
        <v>2016</v>
      </c>
      <c r="C4196">
        <v>1</v>
      </c>
      <c r="D4196">
        <v>1</v>
      </c>
      <c r="E4196">
        <v>10030</v>
      </c>
      <c r="F4196">
        <v>99005.72</v>
      </c>
      <c r="G4196">
        <v>0</v>
      </c>
      <c r="H4196">
        <v>-238672.36</v>
      </c>
      <c r="I4196">
        <v>0</v>
      </c>
      <c r="J4196">
        <v>17465930</v>
      </c>
      <c r="K4196">
        <v>0</v>
      </c>
      <c r="L4196">
        <v>25375000</v>
      </c>
      <c r="M4196">
        <v>7909070</v>
      </c>
      <c r="N4196">
        <v>25375000</v>
      </c>
      <c r="O4196">
        <v>7909070</v>
      </c>
      <c r="P4196">
        <v>25375000</v>
      </c>
      <c r="Q4196">
        <v>7909070</v>
      </c>
      <c r="R4196" s="14">
        <f>_xlfn.XLOOKUP(Table2[[#This Row],[LoanID]],Table1[G-L ID],Table1[ManagerCode],-99)</f>
        <v>119</v>
      </c>
      <c r="T4196"/>
    </row>
    <row r="4197" spans="1:20" x14ac:dyDescent="0.25">
      <c r="A4197">
        <v>20160131</v>
      </c>
      <c r="B4197">
        <v>2016</v>
      </c>
      <c r="C4197">
        <v>1</v>
      </c>
      <c r="D4197">
        <v>1</v>
      </c>
      <c r="E4197">
        <v>10040</v>
      </c>
      <c r="F4197">
        <v>44321.39</v>
      </c>
      <c r="G4197">
        <v>0</v>
      </c>
      <c r="H4197">
        <v>0</v>
      </c>
      <c r="I4197">
        <v>0</v>
      </c>
      <c r="J4197">
        <v>0</v>
      </c>
      <c r="K4197">
        <v>0</v>
      </c>
      <c r="L4197">
        <v>5000000</v>
      </c>
      <c r="M4197">
        <v>5000000</v>
      </c>
      <c r="N4197">
        <v>5000000</v>
      </c>
      <c r="O4197">
        <v>5000000</v>
      </c>
      <c r="P4197">
        <v>5000000</v>
      </c>
      <c r="Q4197">
        <v>5000000</v>
      </c>
      <c r="R4197" s="14">
        <f>_xlfn.XLOOKUP(Table2[[#This Row],[LoanID]],Table1[G-L ID],Table1[ManagerCode],-99)</f>
        <v>119</v>
      </c>
      <c r="T4197"/>
    </row>
    <row r="4198" spans="1:20" x14ac:dyDescent="0.25">
      <c r="A4198">
        <v>20160131</v>
      </c>
      <c r="B4198">
        <v>2016</v>
      </c>
      <c r="C4198">
        <v>1</v>
      </c>
      <c r="D4198">
        <v>1</v>
      </c>
      <c r="E4198">
        <v>10050</v>
      </c>
      <c r="F4198">
        <v>-153981.01999999999</v>
      </c>
      <c r="G4198">
        <v>0</v>
      </c>
      <c r="H4198">
        <v>0</v>
      </c>
      <c r="I4198">
        <v>0</v>
      </c>
      <c r="J4198">
        <v>0</v>
      </c>
      <c r="K4198">
        <v>0</v>
      </c>
      <c r="L4198">
        <v>37305939.100000001</v>
      </c>
      <c r="M4198">
        <v>38129024.509999998</v>
      </c>
      <c r="N4198">
        <v>37305939.100000001</v>
      </c>
      <c r="O4198">
        <v>38129024.509999998</v>
      </c>
      <c r="P4198">
        <v>33333334</v>
      </c>
      <c r="Q4198">
        <v>33333334</v>
      </c>
      <c r="R4198" s="14">
        <f>_xlfn.XLOOKUP(Table2[[#This Row],[LoanID]],Table1[G-L ID],Table1[ManagerCode],-99)</f>
        <v>103</v>
      </c>
      <c r="T4198"/>
    </row>
    <row r="4199" spans="1:20" x14ac:dyDescent="0.25">
      <c r="A4199">
        <v>20160131</v>
      </c>
      <c r="B4199">
        <v>2016</v>
      </c>
      <c r="C4199">
        <v>1</v>
      </c>
      <c r="D4199">
        <v>1</v>
      </c>
      <c r="E4199">
        <v>10100</v>
      </c>
      <c r="F4199">
        <v>212585</v>
      </c>
      <c r="G4199">
        <v>0</v>
      </c>
      <c r="H4199">
        <v>0</v>
      </c>
      <c r="I4199">
        <v>0</v>
      </c>
      <c r="J4199">
        <v>0</v>
      </c>
      <c r="K4199">
        <v>0</v>
      </c>
      <c r="L4199">
        <v>30500000</v>
      </c>
      <c r="M4199">
        <v>30500000</v>
      </c>
      <c r="N4199">
        <v>30500000</v>
      </c>
      <c r="O4199">
        <v>30500000</v>
      </c>
      <c r="P4199">
        <v>30500000</v>
      </c>
      <c r="Q4199">
        <v>30500000</v>
      </c>
      <c r="R4199" s="14">
        <f>_xlfn.XLOOKUP(Table2[[#This Row],[LoanID]],Table1[G-L ID],Table1[ManagerCode],-99)</f>
        <v>220</v>
      </c>
      <c r="T4199"/>
    </row>
    <row r="4200" spans="1:20" x14ac:dyDescent="0.25">
      <c r="A4200">
        <v>20160131</v>
      </c>
      <c r="B4200">
        <v>2016</v>
      </c>
      <c r="C4200">
        <v>1</v>
      </c>
      <c r="D4200">
        <v>1</v>
      </c>
      <c r="E4200">
        <v>10120</v>
      </c>
      <c r="F4200">
        <v>49789.27</v>
      </c>
      <c r="G4200">
        <v>54494.07</v>
      </c>
      <c r="H4200">
        <v>0</v>
      </c>
      <c r="I4200">
        <v>0</v>
      </c>
      <c r="J4200">
        <v>-49789.27</v>
      </c>
      <c r="K4200">
        <v>0</v>
      </c>
      <c r="L4200">
        <v>10041772.75</v>
      </c>
      <c r="M4200">
        <v>10146056.09</v>
      </c>
      <c r="N4200">
        <v>10041772.75</v>
      </c>
      <c r="O4200">
        <v>10146056.09</v>
      </c>
      <c r="P4200">
        <v>10041772.75</v>
      </c>
      <c r="Q4200">
        <v>10146056.09</v>
      </c>
      <c r="R4200" s="14">
        <f>_xlfn.XLOOKUP(Table2[[#This Row],[LoanID]],Table1[G-L ID],Table1[ManagerCode],-99)</f>
        <v>183</v>
      </c>
      <c r="T4200"/>
    </row>
    <row r="4201" spans="1:20" x14ac:dyDescent="0.25">
      <c r="A4201">
        <v>20160131</v>
      </c>
      <c r="B4201">
        <v>2016</v>
      </c>
      <c r="C4201">
        <v>1</v>
      </c>
      <c r="D4201">
        <v>1</v>
      </c>
      <c r="E4201">
        <v>10160</v>
      </c>
      <c r="F4201">
        <v>112650.2</v>
      </c>
      <c r="G4201">
        <v>0</v>
      </c>
      <c r="H4201">
        <v>0</v>
      </c>
      <c r="I4201">
        <v>0</v>
      </c>
      <c r="J4201">
        <v>0</v>
      </c>
      <c r="K4201">
        <v>0</v>
      </c>
      <c r="L4201">
        <v>14051513.300000001</v>
      </c>
      <c r="M4201">
        <v>14051513.300000001</v>
      </c>
      <c r="N4201">
        <v>14051513.300000001</v>
      </c>
      <c r="O4201">
        <v>14051513.300000001</v>
      </c>
      <c r="P4201">
        <v>14051513.300000001</v>
      </c>
      <c r="Q4201">
        <v>14051513.300000001</v>
      </c>
      <c r="R4201" s="14">
        <f>_xlfn.XLOOKUP(Table2[[#This Row],[LoanID]],Table1[G-L ID],Table1[ManagerCode],-99)</f>
        <v>119</v>
      </c>
      <c r="T4201"/>
    </row>
    <row r="4202" spans="1:20" x14ac:dyDescent="0.25">
      <c r="A4202">
        <v>20160131</v>
      </c>
      <c r="B4202">
        <v>2016</v>
      </c>
      <c r="C4202">
        <v>1</v>
      </c>
      <c r="D4202">
        <v>1</v>
      </c>
      <c r="E4202">
        <v>10220</v>
      </c>
      <c r="F4202">
        <v>559722.22</v>
      </c>
      <c r="G4202">
        <v>0</v>
      </c>
      <c r="H4202">
        <v>0</v>
      </c>
      <c r="I4202">
        <v>0</v>
      </c>
      <c r="J4202">
        <v>0</v>
      </c>
      <c r="K4202">
        <v>0</v>
      </c>
      <c r="L4202">
        <v>113666250.5</v>
      </c>
      <c r="M4202">
        <v>115744785.90000001</v>
      </c>
      <c r="N4202">
        <v>113666250.5</v>
      </c>
      <c r="O4202">
        <v>115744785.90000001</v>
      </c>
      <c r="P4202">
        <v>100000000</v>
      </c>
      <c r="Q4202">
        <v>100000000</v>
      </c>
      <c r="R4202" s="14">
        <f>_xlfn.XLOOKUP(Table2[[#This Row],[LoanID]],Table1[G-L ID],Table1[ManagerCode],-99)</f>
        <v>103</v>
      </c>
      <c r="T4202"/>
    </row>
    <row r="4203" spans="1:20" x14ac:dyDescent="0.25">
      <c r="A4203">
        <v>20160131</v>
      </c>
      <c r="B4203">
        <v>2016</v>
      </c>
      <c r="C4203">
        <v>1</v>
      </c>
      <c r="D4203">
        <v>1</v>
      </c>
      <c r="E4203">
        <v>10240</v>
      </c>
      <c r="F4203">
        <v>89673.96</v>
      </c>
      <c r="G4203">
        <v>0</v>
      </c>
      <c r="H4203">
        <v>0</v>
      </c>
      <c r="I4203">
        <v>0</v>
      </c>
      <c r="J4203">
        <v>0</v>
      </c>
      <c r="K4203">
        <v>0</v>
      </c>
      <c r="L4203">
        <v>12500000</v>
      </c>
      <c r="M4203">
        <v>12500000</v>
      </c>
      <c r="N4203">
        <v>12500000</v>
      </c>
      <c r="O4203">
        <v>12500000</v>
      </c>
      <c r="P4203">
        <v>12500000</v>
      </c>
      <c r="Q4203">
        <v>12500000</v>
      </c>
      <c r="R4203" s="14">
        <f>_xlfn.XLOOKUP(Table2[[#This Row],[LoanID]],Table1[G-L ID],Table1[ManagerCode],-99)</f>
        <v>220</v>
      </c>
      <c r="T4203"/>
    </row>
    <row r="4204" spans="1:20" x14ac:dyDescent="0.25">
      <c r="A4204">
        <v>20160131</v>
      </c>
      <c r="B4204">
        <v>2016</v>
      </c>
      <c r="C4204">
        <v>1</v>
      </c>
      <c r="D4204">
        <v>1</v>
      </c>
      <c r="E4204">
        <v>10250</v>
      </c>
      <c r="F4204">
        <v>49991.81</v>
      </c>
      <c r="G4204">
        <v>0</v>
      </c>
      <c r="H4204">
        <v>0</v>
      </c>
      <c r="I4204">
        <v>0</v>
      </c>
      <c r="J4204">
        <v>0</v>
      </c>
      <c r="K4204">
        <v>0</v>
      </c>
      <c r="L4204">
        <v>5000000</v>
      </c>
      <c r="M4204">
        <v>5000000</v>
      </c>
      <c r="N4204">
        <v>5000000</v>
      </c>
      <c r="O4204">
        <v>5000000</v>
      </c>
      <c r="P4204">
        <v>5000000</v>
      </c>
      <c r="Q4204">
        <v>5000000</v>
      </c>
      <c r="R4204" s="14">
        <f>_xlfn.XLOOKUP(Table2[[#This Row],[LoanID]],Table1[G-L ID],Table1[ManagerCode],-99)</f>
        <v>119</v>
      </c>
      <c r="T4204"/>
    </row>
    <row r="4205" spans="1:20" x14ac:dyDescent="0.25">
      <c r="A4205">
        <v>20160131</v>
      </c>
      <c r="B4205">
        <v>2016</v>
      </c>
      <c r="C4205">
        <v>1</v>
      </c>
      <c r="D4205">
        <v>1</v>
      </c>
      <c r="E4205">
        <v>10260</v>
      </c>
      <c r="F4205">
        <v>110269.79</v>
      </c>
      <c r="G4205">
        <v>0</v>
      </c>
      <c r="H4205">
        <v>0</v>
      </c>
      <c r="I4205">
        <v>0</v>
      </c>
      <c r="J4205">
        <v>0</v>
      </c>
      <c r="K4205">
        <v>0</v>
      </c>
      <c r="L4205">
        <v>15000000</v>
      </c>
      <c r="M4205">
        <v>15000000</v>
      </c>
      <c r="N4205">
        <v>15000000</v>
      </c>
      <c r="O4205">
        <v>15000000</v>
      </c>
      <c r="P4205">
        <v>15000000</v>
      </c>
      <c r="Q4205">
        <v>15000000</v>
      </c>
      <c r="R4205" s="14">
        <f>_xlfn.XLOOKUP(Table2[[#This Row],[LoanID]],Table1[G-L ID],Table1[ManagerCode],-99)</f>
        <v>220</v>
      </c>
      <c r="T4205"/>
    </row>
    <row r="4206" spans="1:20" x14ac:dyDescent="0.25">
      <c r="A4206">
        <v>20160131</v>
      </c>
      <c r="B4206">
        <v>2016</v>
      </c>
      <c r="C4206">
        <v>1</v>
      </c>
      <c r="D4206">
        <v>1</v>
      </c>
      <c r="E4206">
        <v>10270</v>
      </c>
      <c r="F4206">
        <v>43904.9</v>
      </c>
      <c r="G4206">
        <v>0</v>
      </c>
      <c r="H4206">
        <v>0</v>
      </c>
      <c r="I4206">
        <v>0</v>
      </c>
      <c r="J4206">
        <v>0</v>
      </c>
      <c r="K4206">
        <v>0</v>
      </c>
      <c r="L4206">
        <v>5400000</v>
      </c>
      <c r="M4206">
        <v>5400000</v>
      </c>
      <c r="N4206">
        <v>5400000</v>
      </c>
      <c r="O4206">
        <v>5400000</v>
      </c>
      <c r="P4206">
        <v>5400000</v>
      </c>
      <c r="Q4206">
        <v>5400000</v>
      </c>
      <c r="R4206" s="14">
        <f>_xlfn.XLOOKUP(Table2[[#This Row],[LoanID]],Table1[G-L ID],Table1[ManagerCode],-99)</f>
        <v>119</v>
      </c>
      <c r="T4206"/>
    </row>
    <row r="4207" spans="1:20" x14ac:dyDescent="0.25">
      <c r="A4207">
        <v>20160131</v>
      </c>
      <c r="B4207">
        <v>2016</v>
      </c>
      <c r="C4207">
        <v>1</v>
      </c>
      <c r="D4207">
        <v>1</v>
      </c>
      <c r="E4207">
        <v>10350</v>
      </c>
      <c r="F4207">
        <v>204944.44</v>
      </c>
      <c r="G4207">
        <v>0</v>
      </c>
      <c r="H4207">
        <v>0</v>
      </c>
      <c r="I4207">
        <v>0</v>
      </c>
      <c r="J4207">
        <v>0</v>
      </c>
      <c r="K4207">
        <v>0</v>
      </c>
      <c r="L4207">
        <v>24800000</v>
      </c>
      <c r="M4207">
        <v>24800000</v>
      </c>
      <c r="N4207">
        <v>24800000</v>
      </c>
      <c r="O4207">
        <v>24800000</v>
      </c>
      <c r="P4207">
        <v>24800000</v>
      </c>
      <c r="Q4207">
        <v>24800000</v>
      </c>
      <c r="R4207" s="14">
        <f>_xlfn.XLOOKUP(Table2[[#This Row],[LoanID]],Table1[G-L ID],Table1[ManagerCode],-99)</f>
        <v>220</v>
      </c>
      <c r="T4207"/>
    </row>
    <row r="4208" spans="1:20" x14ac:dyDescent="0.25">
      <c r="A4208">
        <v>20160131</v>
      </c>
      <c r="B4208">
        <v>2016</v>
      </c>
      <c r="C4208">
        <v>1</v>
      </c>
      <c r="D4208">
        <v>1</v>
      </c>
      <c r="E4208">
        <v>10360</v>
      </c>
      <c r="F4208">
        <v>57858.96</v>
      </c>
      <c r="G4208">
        <v>0</v>
      </c>
      <c r="H4208">
        <v>0</v>
      </c>
      <c r="I4208">
        <v>0</v>
      </c>
      <c r="J4208">
        <v>0</v>
      </c>
      <c r="K4208">
        <v>0</v>
      </c>
      <c r="L4208">
        <v>5909000</v>
      </c>
      <c r="M4208">
        <v>5909000</v>
      </c>
      <c r="N4208">
        <v>5909000</v>
      </c>
      <c r="O4208">
        <v>5909000</v>
      </c>
      <c r="P4208">
        <v>5909000</v>
      </c>
      <c r="Q4208">
        <v>5909000</v>
      </c>
      <c r="R4208" s="14">
        <f>_xlfn.XLOOKUP(Table2[[#This Row],[LoanID]],Table1[G-L ID],Table1[ManagerCode],-99)</f>
        <v>183</v>
      </c>
      <c r="T4208"/>
    </row>
    <row r="4209" spans="1:20" x14ac:dyDescent="0.25">
      <c r="A4209">
        <v>20160131</v>
      </c>
      <c r="B4209">
        <v>2016</v>
      </c>
      <c r="C4209">
        <v>1</v>
      </c>
      <c r="D4209">
        <v>1</v>
      </c>
      <c r="E4209">
        <v>10430</v>
      </c>
      <c r="F4209">
        <v>90786.41</v>
      </c>
      <c r="G4209">
        <v>0</v>
      </c>
      <c r="H4209">
        <v>0</v>
      </c>
      <c r="I4209">
        <v>0</v>
      </c>
      <c r="J4209">
        <v>0</v>
      </c>
      <c r="K4209">
        <v>23400</v>
      </c>
      <c r="L4209">
        <v>10695800</v>
      </c>
      <c r="M4209">
        <v>10672400</v>
      </c>
      <c r="N4209">
        <v>10695800</v>
      </c>
      <c r="O4209">
        <v>10672400</v>
      </c>
      <c r="P4209">
        <v>10695800</v>
      </c>
      <c r="Q4209">
        <v>10672400</v>
      </c>
      <c r="R4209" s="14">
        <f>_xlfn.XLOOKUP(Table2[[#This Row],[LoanID]],Table1[G-L ID],Table1[ManagerCode],-99)</f>
        <v>119</v>
      </c>
      <c r="T4209"/>
    </row>
    <row r="4210" spans="1:20" x14ac:dyDescent="0.25">
      <c r="A4210">
        <v>20160131</v>
      </c>
      <c r="B4210">
        <v>2016</v>
      </c>
      <c r="C4210">
        <v>1</v>
      </c>
      <c r="D4210">
        <v>1</v>
      </c>
      <c r="E4210">
        <v>10480</v>
      </c>
      <c r="F4210">
        <v>165502.49</v>
      </c>
      <c r="G4210">
        <v>0</v>
      </c>
      <c r="H4210">
        <v>0</v>
      </c>
      <c r="I4210">
        <v>0</v>
      </c>
      <c r="J4210">
        <v>-997830.65</v>
      </c>
      <c r="K4210">
        <v>0</v>
      </c>
      <c r="L4210">
        <v>22772955.77</v>
      </c>
      <c r="M4210">
        <v>23770786.420000002</v>
      </c>
      <c r="N4210">
        <v>22772955.77</v>
      </c>
      <c r="O4210">
        <v>23770786.420000002</v>
      </c>
      <c r="P4210">
        <v>22772955.77</v>
      </c>
      <c r="Q4210">
        <v>23770786.420000002</v>
      </c>
      <c r="R4210" s="14">
        <f>_xlfn.XLOOKUP(Table2[[#This Row],[LoanID]],Table1[G-L ID],Table1[ManagerCode],-99)</f>
        <v>119</v>
      </c>
      <c r="T4210"/>
    </row>
    <row r="4211" spans="1:20" x14ac:dyDescent="0.25">
      <c r="A4211">
        <v>20160131</v>
      </c>
      <c r="B4211">
        <v>2016</v>
      </c>
      <c r="C4211">
        <v>1</v>
      </c>
      <c r="D4211">
        <v>1</v>
      </c>
      <c r="E4211">
        <v>10570</v>
      </c>
      <c r="F4211">
        <v>818746.53</v>
      </c>
      <c r="G4211">
        <v>0</v>
      </c>
      <c r="H4211">
        <v>0</v>
      </c>
      <c r="I4211">
        <v>0</v>
      </c>
      <c r="J4211">
        <v>0</v>
      </c>
      <c r="K4211">
        <v>0</v>
      </c>
      <c r="L4211">
        <v>156356260.69999999</v>
      </c>
      <c r="M4211">
        <v>156356260.69999999</v>
      </c>
      <c r="N4211">
        <v>156356260.69999999</v>
      </c>
      <c r="O4211">
        <v>156356260.69999999</v>
      </c>
      <c r="P4211">
        <v>156356260.69999999</v>
      </c>
      <c r="Q4211">
        <v>156356260.69999999</v>
      </c>
      <c r="R4211" s="14">
        <f>_xlfn.XLOOKUP(Table2[[#This Row],[LoanID]],Table1[G-L ID],Table1[ManagerCode],-99)</f>
        <v>103</v>
      </c>
      <c r="T4211"/>
    </row>
    <row r="4212" spans="1:20" x14ac:dyDescent="0.25">
      <c r="A4212">
        <v>20160131</v>
      </c>
      <c r="B4212">
        <v>2016</v>
      </c>
      <c r="C4212">
        <v>1</v>
      </c>
      <c r="D4212">
        <v>1</v>
      </c>
      <c r="E4212">
        <v>10591</v>
      </c>
      <c r="F4212">
        <v>218047.44</v>
      </c>
      <c r="G4212">
        <v>0</v>
      </c>
      <c r="H4212">
        <v>0</v>
      </c>
      <c r="I4212">
        <v>0</v>
      </c>
      <c r="J4212">
        <v>0</v>
      </c>
      <c r="K4212">
        <v>0</v>
      </c>
      <c r="L4212">
        <v>24475036.780000001</v>
      </c>
      <c r="M4212">
        <v>24475036.780000001</v>
      </c>
      <c r="N4212">
        <v>24475036.780000001</v>
      </c>
      <c r="O4212">
        <v>24475036.780000001</v>
      </c>
      <c r="P4212">
        <v>24475036.780000001</v>
      </c>
      <c r="Q4212">
        <v>24475036.780000001</v>
      </c>
      <c r="R4212" s="14">
        <f>_xlfn.XLOOKUP(Table2[[#This Row],[LoanID]],Table1[G-L ID],Table1[ManagerCode],-99)</f>
        <v>220</v>
      </c>
      <c r="T4212"/>
    </row>
    <row r="4213" spans="1:20" x14ac:dyDescent="0.25">
      <c r="A4213">
        <v>20160131</v>
      </c>
      <c r="B4213">
        <v>2016</v>
      </c>
      <c r="C4213">
        <v>1</v>
      </c>
      <c r="D4213">
        <v>1</v>
      </c>
      <c r="E4213">
        <v>10592</v>
      </c>
      <c r="F4213">
        <v>361080.41</v>
      </c>
      <c r="G4213">
        <v>0</v>
      </c>
      <c r="H4213">
        <v>0</v>
      </c>
      <c r="I4213">
        <v>0</v>
      </c>
      <c r="J4213">
        <v>0</v>
      </c>
      <c r="K4213">
        <v>0</v>
      </c>
      <c r="L4213">
        <v>36326728.630000003</v>
      </c>
      <c r="M4213">
        <v>36326728.630000003</v>
      </c>
      <c r="N4213">
        <v>36326728.630000003</v>
      </c>
      <c r="O4213">
        <v>36326728.630000003</v>
      </c>
      <c r="P4213">
        <v>36129816.219999999</v>
      </c>
      <c r="Q4213">
        <v>36129816.219999999</v>
      </c>
      <c r="R4213" s="14">
        <f>_xlfn.XLOOKUP(Table2[[#This Row],[LoanID]],Table1[G-L ID],Table1[ManagerCode],-99)</f>
        <v>220</v>
      </c>
      <c r="T4213"/>
    </row>
    <row r="4214" spans="1:20" x14ac:dyDescent="0.25">
      <c r="A4214">
        <v>20160131</v>
      </c>
      <c r="B4214">
        <v>2016</v>
      </c>
      <c r="C4214">
        <v>1</v>
      </c>
      <c r="D4214">
        <v>1</v>
      </c>
      <c r="E4214">
        <v>10640</v>
      </c>
      <c r="F4214">
        <v>70524.97</v>
      </c>
      <c r="G4214">
        <v>0</v>
      </c>
      <c r="H4214">
        <v>0</v>
      </c>
      <c r="I4214">
        <v>0</v>
      </c>
      <c r="J4214">
        <v>0</v>
      </c>
      <c r="K4214">
        <v>0</v>
      </c>
      <c r="L4214">
        <v>8084494</v>
      </c>
      <c r="M4214">
        <v>8084494</v>
      </c>
      <c r="N4214">
        <v>8084494</v>
      </c>
      <c r="O4214">
        <v>8084494</v>
      </c>
      <c r="P4214">
        <v>8084494</v>
      </c>
      <c r="Q4214">
        <v>8084494</v>
      </c>
      <c r="R4214" s="14">
        <f>_xlfn.XLOOKUP(Table2[[#This Row],[LoanID]],Table1[G-L ID],Table1[ManagerCode],-99)</f>
        <v>220</v>
      </c>
      <c r="T4214"/>
    </row>
    <row r="4215" spans="1:20" x14ac:dyDescent="0.25">
      <c r="A4215">
        <v>20160131</v>
      </c>
      <c r="B4215">
        <v>2016</v>
      </c>
      <c r="C4215">
        <v>1</v>
      </c>
      <c r="D4215">
        <v>1</v>
      </c>
      <c r="E4215">
        <v>10680</v>
      </c>
      <c r="F4215">
        <v>76956.92</v>
      </c>
      <c r="G4215">
        <v>0</v>
      </c>
      <c r="H4215">
        <v>0</v>
      </c>
      <c r="I4215">
        <v>0</v>
      </c>
      <c r="J4215">
        <v>-746319.16</v>
      </c>
      <c r="K4215">
        <v>0</v>
      </c>
      <c r="L4215">
        <v>8961182.6300000008</v>
      </c>
      <c r="M4215">
        <v>9707501.7899999991</v>
      </c>
      <c r="N4215">
        <v>8961182.6300000008</v>
      </c>
      <c r="O4215">
        <v>9707501.7899999991</v>
      </c>
      <c r="P4215">
        <v>8961182.6300000008</v>
      </c>
      <c r="Q4215">
        <v>9707501.7899999991</v>
      </c>
      <c r="R4215" s="14">
        <f>_xlfn.XLOOKUP(Table2[[#This Row],[LoanID]],Table1[G-L ID],Table1[ManagerCode],-99)</f>
        <v>119</v>
      </c>
      <c r="T4215"/>
    </row>
    <row r="4216" spans="1:20" x14ac:dyDescent="0.25">
      <c r="A4216">
        <v>20160131</v>
      </c>
      <c r="B4216">
        <v>2016</v>
      </c>
      <c r="C4216">
        <v>1</v>
      </c>
      <c r="D4216">
        <v>1</v>
      </c>
      <c r="E4216">
        <v>10720</v>
      </c>
      <c r="F4216">
        <v>125000</v>
      </c>
      <c r="G4216">
        <v>79865.91</v>
      </c>
      <c r="H4216">
        <v>0</v>
      </c>
      <c r="I4216">
        <v>0</v>
      </c>
      <c r="J4216">
        <v>0</v>
      </c>
      <c r="K4216">
        <v>0</v>
      </c>
      <c r="L4216">
        <v>15860586</v>
      </c>
      <c r="M4216">
        <v>15940452</v>
      </c>
      <c r="N4216">
        <v>15860586</v>
      </c>
      <c r="O4216">
        <v>15940452</v>
      </c>
      <c r="P4216">
        <v>15860586.23</v>
      </c>
      <c r="Q4216">
        <v>15940452.140000001</v>
      </c>
      <c r="R4216" s="14">
        <f>_xlfn.XLOOKUP(Table2[[#This Row],[LoanID]],Table1[G-L ID],Table1[ManagerCode],-99)</f>
        <v>220</v>
      </c>
      <c r="T4216"/>
    </row>
    <row r="4217" spans="1:20" x14ac:dyDescent="0.25">
      <c r="A4217">
        <v>20160131</v>
      </c>
      <c r="B4217">
        <v>2016</v>
      </c>
      <c r="C4217">
        <v>1</v>
      </c>
      <c r="D4217">
        <v>1</v>
      </c>
      <c r="E4217">
        <v>10730</v>
      </c>
      <c r="F4217">
        <v>30596.33</v>
      </c>
      <c r="G4217">
        <v>0</v>
      </c>
      <c r="H4217">
        <v>380000</v>
      </c>
      <c r="I4217">
        <v>0</v>
      </c>
      <c r="J4217">
        <v>-38000000</v>
      </c>
      <c r="K4217">
        <v>0</v>
      </c>
      <c r="L4217">
        <v>0</v>
      </c>
      <c r="M4217">
        <v>38000000</v>
      </c>
      <c r="N4217">
        <v>0</v>
      </c>
      <c r="O4217">
        <v>38000000</v>
      </c>
      <c r="P4217">
        <v>0</v>
      </c>
      <c r="Q4217">
        <v>38000000</v>
      </c>
      <c r="R4217" s="14">
        <f>_xlfn.XLOOKUP(Table2[[#This Row],[LoanID]],Table1[G-L ID],Table1[ManagerCode],-99)</f>
        <v>119</v>
      </c>
      <c r="T4217"/>
    </row>
    <row r="4218" spans="1:20" x14ac:dyDescent="0.25">
      <c r="A4218">
        <v>20160131</v>
      </c>
      <c r="B4218">
        <v>2016</v>
      </c>
      <c r="C4218">
        <v>1</v>
      </c>
      <c r="D4218">
        <v>1</v>
      </c>
      <c r="E4218">
        <v>10740</v>
      </c>
      <c r="F4218">
        <v>17750854.920000002</v>
      </c>
      <c r="G4218">
        <v>0</v>
      </c>
      <c r="H4218">
        <v>0</v>
      </c>
      <c r="I4218">
        <v>0</v>
      </c>
      <c r="J4218">
        <v>0</v>
      </c>
      <c r="K4218">
        <v>0</v>
      </c>
      <c r="L4218">
        <v>438711401.30000001</v>
      </c>
      <c r="M4218">
        <v>438711401.30000001</v>
      </c>
      <c r="N4218">
        <v>438711401.30000001</v>
      </c>
      <c r="O4218">
        <v>438711401.30000001</v>
      </c>
      <c r="P4218">
        <v>461801475</v>
      </c>
      <c r="Q4218">
        <v>461801475</v>
      </c>
      <c r="R4218" s="14">
        <f>_xlfn.XLOOKUP(Table2[[#This Row],[LoanID]],Table1[G-L ID],Table1[ManagerCode],-99)</f>
        <v>103</v>
      </c>
      <c r="T4218"/>
    </row>
    <row r="4219" spans="1:20" x14ac:dyDescent="0.25">
      <c r="A4219">
        <v>20160131</v>
      </c>
      <c r="B4219">
        <v>2016</v>
      </c>
      <c r="C4219">
        <v>1</v>
      </c>
      <c r="D4219">
        <v>1</v>
      </c>
      <c r="E4219">
        <v>10750</v>
      </c>
      <c r="F4219">
        <v>73014.86</v>
      </c>
      <c r="G4219">
        <v>0</v>
      </c>
      <c r="H4219">
        <v>0</v>
      </c>
      <c r="I4219">
        <v>0</v>
      </c>
      <c r="J4219">
        <v>0</v>
      </c>
      <c r="K4219">
        <v>0</v>
      </c>
      <c r="L4219">
        <v>9812565.4800000004</v>
      </c>
      <c r="M4219">
        <v>9812565.4800000004</v>
      </c>
      <c r="N4219">
        <v>9812565.4800000004</v>
      </c>
      <c r="O4219">
        <v>9812565.4800000004</v>
      </c>
      <c r="P4219">
        <v>9812565.4800000004</v>
      </c>
      <c r="Q4219">
        <v>9812565.4800000004</v>
      </c>
      <c r="R4219" s="14">
        <f>_xlfn.XLOOKUP(Table2[[#This Row],[LoanID]],Table1[G-L ID],Table1[ManagerCode],-99)</f>
        <v>119</v>
      </c>
      <c r="T4219"/>
    </row>
    <row r="4220" spans="1:20" x14ac:dyDescent="0.25">
      <c r="A4220">
        <v>20160131</v>
      </c>
      <c r="B4220">
        <v>2016</v>
      </c>
      <c r="C4220">
        <v>1</v>
      </c>
      <c r="D4220">
        <v>1</v>
      </c>
      <c r="E4220">
        <v>10780</v>
      </c>
      <c r="F4220">
        <v>317735.36</v>
      </c>
      <c r="G4220">
        <v>0</v>
      </c>
      <c r="H4220">
        <v>0</v>
      </c>
      <c r="I4220">
        <v>0</v>
      </c>
      <c r="J4220">
        <v>0</v>
      </c>
      <c r="K4220">
        <v>0</v>
      </c>
      <c r="L4220">
        <v>43000000</v>
      </c>
      <c r="M4220">
        <v>43000000</v>
      </c>
      <c r="N4220">
        <v>43000000</v>
      </c>
      <c r="O4220">
        <v>43000000</v>
      </c>
      <c r="P4220">
        <v>43000000</v>
      </c>
      <c r="Q4220">
        <v>43000000</v>
      </c>
      <c r="R4220" s="14">
        <f>_xlfn.XLOOKUP(Table2[[#This Row],[LoanID]],Table1[G-L ID],Table1[ManagerCode],-99)</f>
        <v>220</v>
      </c>
      <c r="T4220"/>
    </row>
    <row r="4221" spans="1:20" x14ac:dyDescent="0.25">
      <c r="A4221">
        <v>20160131</v>
      </c>
      <c r="B4221">
        <v>2016</v>
      </c>
      <c r="C4221">
        <v>1</v>
      </c>
      <c r="D4221">
        <v>1</v>
      </c>
      <c r="E4221">
        <v>10800</v>
      </c>
      <c r="F4221">
        <v>220105.17</v>
      </c>
      <c r="G4221">
        <v>0</v>
      </c>
      <c r="H4221">
        <v>0</v>
      </c>
      <c r="I4221">
        <v>0</v>
      </c>
      <c r="J4221">
        <v>0</v>
      </c>
      <c r="K4221">
        <v>0</v>
      </c>
      <c r="L4221">
        <v>26000000</v>
      </c>
      <c r="M4221">
        <v>26000000</v>
      </c>
      <c r="N4221">
        <v>26000000</v>
      </c>
      <c r="O4221">
        <v>26000000</v>
      </c>
      <c r="P4221">
        <v>26000000</v>
      </c>
      <c r="Q4221">
        <v>26000000</v>
      </c>
      <c r="R4221" s="14">
        <f>_xlfn.XLOOKUP(Table2[[#This Row],[LoanID]],Table1[G-L ID],Table1[ManagerCode],-99)</f>
        <v>220</v>
      </c>
      <c r="T4221"/>
    </row>
    <row r="4222" spans="1:20" x14ac:dyDescent="0.25">
      <c r="A4222">
        <v>20160131</v>
      </c>
      <c r="B4222">
        <v>2016</v>
      </c>
      <c r="C4222">
        <v>1</v>
      </c>
      <c r="D4222">
        <v>1</v>
      </c>
      <c r="E4222">
        <v>10820</v>
      </c>
      <c r="F4222">
        <v>197132.22</v>
      </c>
      <c r="G4222">
        <v>0</v>
      </c>
      <c r="H4222">
        <v>0</v>
      </c>
      <c r="I4222">
        <v>0</v>
      </c>
      <c r="J4222">
        <v>0</v>
      </c>
      <c r="K4222">
        <v>0</v>
      </c>
      <c r="L4222">
        <v>24344483.780000001</v>
      </c>
      <c r="M4222">
        <v>24344483.780000001</v>
      </c>
      <c r="N4222">
        <v>24344483.780000001</v>
      </c>
      <c r="O4222">
        <v>24344483.780000001</v>
      </c>
      <c r="P4222">
        <v>24127337.739999998</v>
      </c>
      <c r="Q4222">
        <v>24127337.739999998</v>
      </c>
      <c r="R4222" s="14">
        <f>_xlfn.XLOOKUP(Table2[[#This Row],[LoanID]],Table1[G-L ID],Table1[ManagerCode],-99)</f>
        <v>220</v>
      </c>
      <c r="T4222"/>
    </row>
    <row r="4223" spans="1:20" x14ac:dyDescent="0.25">
      <c r="A4223">
        <v>20160131</v>
      </c>
      <c r="B4223">
        <v>2016</v>
      </c>
      <c r="C4223">
        <v>1</v>
      </c>
      <c r="D4223">
        <v>1</v>
      </c>
      <c r="E4223">
        <v>10830</v>
      </c>
      <c r="F4223">
        <v>62853.2</v>
      </c>
      <c r="G4223">
        <v>0</v>
      </c>
      <c r="H4223">
        <v>0</v>
      </c>
      <c r="I4223">
        <v>0</v>
      </c>
      <c r="J4223">
        <v>0</v>
      </c>
      <c r="K4223">
        <v>0</v>
      </c>
      <c r="L4223">
        <v>7752392.3300000001</v>
      </c>
      <c r="M4223">
        <v>7752392.3300000001</v>
      </c>
      <c r="N4223">
        <v>7752392.3300000001</v>
      </c>
      <c r="O4223">
        <v>7752392.3300000001</v>
      </c>
      <c r="P4223">
        <v>7683243.1399999997</v>
      </c>
      <c r="Q4223">
        <v>7683243.1399999997</v>
      </c>
      <c r="R4223" s="14">
        <f>_xlfn.XLOOKUP(Table2[[#This Row],[LoanID]],Table1[G-L ID],Table1[ManagerCode],-99)</f>
        <v>220</v>
      </c>
      <c r="T4223"/>
    </row>
    <row r="4224" spans="1:20" x14ac:dyDescent="0.25">
      <c r="A4224">
        <v>20160131</v>
      </c>
      <c r="B4224">
        <v>2016</v>
      </c>
      <c r="C4224">
        <v>1</v>
      </c>
      <c r="D4224">
        <v>1</v>
      </c>
      <c r="E4224">
        <v>10840</v>
      </c>
      <c r="F4224">
        <v>103968.23</v>
      </c>
      <c r="G4224">
        <v>0</v>
      </c>
      <c r="H4224">
        <v>0</v>
      </c>
      <c r="I4224">
        <v>0</v>
      </c>
      <c r="J4224">
        <v>0</v>
      </c>
      <c r="K4224">
        <v>0</v>
      </c>
      <c r="L4224">
        <v>12823571.699999999</v>
      </c>
      <c r="M4224">
        <v>12823571.699999999</v>
      </c>
      <c r="N4224">
        <v>12823571.699999999</v>
      </c>
      <c r="O4224">
        <v>12823571.699999999</v>
      </c>
      <c r="P4224">
        <v>12709189</v>
      </c>
      <c r="Q4224">
        <v>12709189</v>
      </c>
      <c r="R4224" s="14">
        <f>_xlfn.XLOOKUP(Table2[[#This Row],[LoanID]],Table1[G-L ID],Table1[ManagerCode],-99)</f>
        <v>220</v>
      </c>
      <c r="T4224"/>
    </row>
    <row r="4225" spans="1:20" x14ac:dyDescent="0.25">
      <c r="A4225">
        <v>20160131</v>
      </c>
      <c r="B4225">
        <v>2016</v>
      </c>
      <c r="C4225">
        <v>1</v>
      </c>
      <c r="D4225">
        <v>1</v>
      </c>
      <c r="E4225">
        <v>10850</v>
      </c>
      <c r="F4225">
        <v>110534.78</v>
      </c>
      <c r="G4225">
        <v>0</v>
      </c>
      <c r="H4225">
        <v>0</v>
      </c>
      <c r="I4225">
        <v>0</v>
      </c>
      <c r="J4225">
        <v>0</v>
      </c>
      <c r="K4225">
        <v>0</v>
      </c>
      <c r="L4225">
        <v>13633499.029999999</v>
      </c>
      <c r="M4225">
        <v>13633499.029999999</v>
      </c>
      <c r="N4225">
        <v>13633499.029999999</v>
      </c>
      <c r="O4225">
        <v>13633499.029999999</v>
      </c>
      <c r="P4225">
        <v>13511892</v>
      </c>
      <c r="Q4225">
        <v>13511892</v>
      </c>
      <c r="R4225" s="14">
        <f>_xlfn.XLOOKUP(Table2[[#This Row],[LoanID]],Table1[G-L ID],Table1[ManagerCode],-99)</f>
        <v>220</v>
      </c>
      <c r="T4225"/>
    </row>
    <row r="4226" spans="1:20" x14ac:dyDescent="0.25">
      <c r="A4226">
        <v>20160131</v>
      </c>
      <c r="B4226">
        <v>2016</v>
      </c>
      <c r="C4226">
        <v>1</v>
      </c>
      <c r="D4226">
        <v>1</v>
      </c>
      <c r="E4226">
        <v>10860</v>
      </c>
      <c r="F4226">
        <v>120586.12</v>
      </c>
      <c r="G4226">
        <v>0</v>
      </c>
      <c r="H4226">
        <v>0</v>
      </c>
      <c r="I4226">
        <v>0</v>
      </c>
      <c r="J4226">
        <v>0</v>
      </c>
      <c r="K4226">
        <v>0</v>
      </c>
      <c r="L4226">
        <v>19475000</v>
      </c>
      <c r="M4226">
        <v>19475000</v>
      </c>
      <c r="N4226">
        <v>19475000</v>
      </c>
      <c r="O4226">
        <v>19475000</v>
      </c>
      <c r="P4226">
        <v>20500000</v>
      </c>
      <c r="Q4226">
        <v>20500000</v>
      </c>
      <c r="R4226" s="14">
        <f>_xlfn.XLOOKUP(Table2[[#This Row],[LoanID]],Table1[G-L ID],Table1[ManagerCode],-99)</f>
        <v>103</v>
      </c>
      <c r="T4226"/>
    </row>
    <row r="4227" spans="1:20" x14ac:dyDescent="0.25">
      <c r="A4227">
        <v>20160131</v>
      </c>
      <c r="B4227">
        <v>2016</v>
      </c>
      <c r="C4227">
        <v>1</v>
      </c>
      <c r="D4227">
        <v>1</v>
      </c>
      <c r="E4227">
        <v>10890</v>
      </c>
      <c r="F4227">
        <v>52186.17</v>
      </c>
      <c r="G4227">
        <v>55536.36</v>
      </c>
      <c r="H4227">
        <v>0</v>
      </c>
      <c r="I4227">
        <v>0</v>
      </c>
      <c r="J4227">
        <v>-52186.17</v>
      </c>
      <c r="K4227">
        <v>0</v>
      </c>
      <c r="L4227">
        <v>13276540.68</v>
      </c>
      <c r="M4227">
        <v>13384263.210000001</v>
      </c>
      <c r="N4227">
        <v>13276540.68</v>
      </c>
      <c r="O4227">
        <v>13384263.210000001</v>
      </c>
      <c r="P4227">
        <v>13276540.68</v>
      </c>
      <c r="Q4227">
        <v>13384263.210000001</v>
      </c>
      <c r="R4227" s="14">
        <f>_xlfn.XLOOKUP(Table2[[#This Row],[LoanID]],Table1[G-L ID],Table1[ManagerCode],-99)</f>
        <v>183</v>
      </c>
      <c r="T4227"/>
    </row>
    <row r="4228" spans="1:20" x14ac:dyDescent="0.25">
      <c r="A4228">
        <v>20160131</v>
      </c>
      <c r="B4228">
        <v>2016</v>
      </c>
      <c r="C4228">
        <v>1</v>
      </c>
      <c r="D4228">
        <v>1</v>
      </c>
      <c r="E4228">
        <v>10910</v>
      </c>
      <c r="F4228">
        <v>190070.9</v>
      </c>
      <c r="G4228">
        <v>0</v>
      </c>
      <c r="H4228">
        <v>0</v>
      </c>
      <c r="I4228">
        <v>0</v>
      </c>
      <c r="J4228">
        <v>0</v>
      </c>
      <c r="K4228">
        <v>0</v>
      </c>
      <c r="L4228">
        <v>22500000</v>
      </c>
      <c r="M4228">
        <v>22500000</v>
      </c>
      <c r="N4228">
        <v>22500000</v>
      </c>
      <c r="O4228">
        <v>22500000</v>
      </c>
      <c r="P4228">
        <v>22500000</v>
      </c>
      <c r="Q4228">
        <v>22500000</v>
      </c>
      <c r="R4228" s="14">
        <f>_xlfn.XLOOKUP(Table2[[#This Row],[LoanID]],Table1[G-L ID],Table1[ManagerCode],-99)</f>
        <v>119</v>
      </c>
      <c r="T4228"/>
    </row>
    <row r="4229" spans="1:20" x14ac:dyDescent="0.25">
      <c r="A4229">
        <v>20160131</v>
      </c>
      <c r="B4229">
        <v>2016</v>
      </c>
      <c r="C4229">
        <v>1</v>
      </c>
      <c r="D4229">
        <v>1</v>
      </c>
      <c r="E4229">
        <v>10930</v>
      </c>
      <c r="F4229">
        <v>0</v>
      </c>
      <c r="G4229">
        <v>162390.62</v>
      </c>
      <c r="H4229">
        <v>0</v>
      </c>
      <c r="I4229">
        <v>0</v>
      </c>
      <c r="J4229">
        <v>0</v>
      </c>
      <c r="K4229">
        <v>0</v>
      </c>
      <c r="L4229">
        <v>14707834.890000001</v>
      </c>
      <c r="M4229">
        <v>14870225.51</v>
      </c>
      <c r="N4229">
        <v>14707834.890000001</v>
      </c>
      <c r="O4229">
        <v>14870225.51</v>
      </c>
      <c r="P4229">
        <v>14707834.890000001</v>
      </c>
      <c r="Q4229">
        <v>14870225.51</v>
      </c>
      <c r="R4229" s="14">
        <f>_xlfn.XLOOKUP(Table2[[#This Row],[LoanID]],Table1[G-L ID],Table1[ManagerCode],-99)</f>
        <v>183</v>
      </c>
      <c r="T4229"/>
    </row>
    <row r="4230" spans="1:20" x14ac:dyDescent="0.25">
      <c r="A4230">
        <v>20160131</v>
      </c>
      <c r="B4230">
        <v>2016</v>
      </c>
      <c r="C4230">
        <v>1</v>
      </c>
      <c r="D4230">
        <v>1</v>
      </c>
      <c r="E4230">
        <v>10960</v>
      </c>
      <c r="F4230">
        <v>71982.19</v>
      </c>
      <c r="G4230">
        <v>0</v>
      </c>
      <c r="H4230">
        <v>0</v>
      </c>
      <c r="I4230">
        <v>0</v>
      </c>
      <c r="J4230">
        <v>-108368.86</v>
      </c>
      <c r="K4230">
        <v>0</v>
      </c>
      <c r="L4230">
        <v>6833823.2800000003</v>
      </c>
      <c r="M4230">
        <v>6942192.1399999997</v>
      </c>
      <c r="N4230">
        <v>6833823.2800000003</v>
      </c>
      <c r="O4230">
        <v>6942192.1399999997</v>
      </c>
      <c r="P4230">
        <v>6833823.2800000003</v>
      </c>
      <c r="Q4230">
        <v>6942192.1399999997</v>
      </c>
      <c r="R4230" s="14">
        <f>_xlfn.XLOOKUP(Table2[[#This Row],[LoanID]],Table1[G-L ID],Table1[ManagerCode],-99)</f>
        <v>119</v>
      </c>
      <c r="T4230"/>
    </row>
    <row r="4231" spans="1:20" x14ac:dyDescent="0.25">
      <c r="A4231">
        <v>20160131</v>
      </c>
      <c r="B4231">
        <v>2016</v>
      </c>
      <c r="C4231">
        <v>1</v>
      </c>
      <c r="D4231">
        <v>1</v>
      </c>
      <c r="E4231">
        <v>11010</v>
      </c>
      <c r="F4231">
        <v>210937.24</v>
      </c>
      <c r="G4231">
        <v>0</v>
      </c>
      <c r="H4231">
        <v>0</v>
      </c>
      <c r="I4231">
        <v>0</v>
      </c>
      <c r="J4231">
        <v>0</v>
      </c>
      <c r="K4231">
        <v>0</v>
      </c>
      <c r="L4231">
        <v>26500000</v>
      </c>
      <c r="M4231">
        <v>26500000</v>
      </c>
      <c r="N4231">
        <v>26500000</v>
      </c>
      <c r="O4231">
        <v>26500000</v>
      </c>
      <c r="P4231">
        <v>26500000</v>
      </c>
      <c r="Q4231">
        <v>26500000</v>
      </c>
      <c r="R4231" s="14">
        <f>_xlfn.XLOOKUP(Table2[[#This Row],[LoanID]],Table1[G-L ID],Table1[ManagerCode],-99)</f>
        <v>119</v>
      </c>
      <c r="T4231"/>
    </row>
    <row r="4232" spans="1:20" x14ac:dyDescent="0.25">
      <c r="A4232">
        <v>20160131</v>
      </c>
      <c r="B4232">
        <v>2016</v>
      </c>
      <c r="C4232">
        <v>1</v>
      </c>
      <c r="D4232">
        <v>1</v>
      </c>
      <c r="E4232">
        <v>11030</v>
      </c>
      <c r="F4232">
        <v>71667.67</v>
      </c>
      <c r="G4232">
        <v>0</v>
      </c>
      <c r="H4232">
        <v>0</v>
      </c>
      <c r="I4232">
        <v>0</v>
      </c>
      <c r="J4232">
        <v>0</v>
      </c>
      <c r="K4232">
        <v>9777.7800000000007</v>
      </c>
      <c r="L4232">
        <v>7951111.0999999996</v>
      </c>
      <c r="M4232">
        <v>7941333.3200000003</v>
      </c>
      <c r="N4232">
        <v>7951111.0999999996</v>
      </c>
      <c r="O4232">
        <v>7941333.3200000003</v>
      </c>
      <c r="P4232">
        <v>7951111.0999999996</v>
      </c>
      <c r="Q4232">
        <v>7941333.3200000003</v>
      </c>
      <c r="R4232" s="14">
        <f>_xlfn.XLOOKUP(Table2[[#This Row],[LoanID]],Table1[G-L ID],Table1[ManagerCode],-99)</f>
        <v>119</v>
      </c>
      <c r="T4232"/>
    </row>
    <row r="4233" spans="1:20" x14ac:dyDescent="0.25">
      <c r="A4233">
        <v>20160131</v>
      </c>
      <c r="B4233">
        <v>2016</v>
      </c>
      <c r="C4233">
        <v>1</v>
      </c>
      <c r="D4233">
        <v>1</v>
      </c>
      <c r="E4233">
        <v>11040</v>
      </c>
      <c r="F4233">
        <v>530918.06000000006</v>
      </c>
      <c r="G4233">
        <v>0</v>
      </c>
      <c r="H4233">
        <v>0</v>
      </c>
      <c r="I4233">
        <v>0</v>
      </c>
      <c r="J4233">
        <v>0</v>
      </c>
      <c r="K4233">
        <v>0</v>
      </c>
      <c r="L4233">
        <v>51000000</v>
      </c>
      <c r="M4233">
        <v>51000000</v>
      </c>
      <c r="N4233">
        <v>51000000</v>
      </c>
      <c r="O4233">
        <v>51000000</v>
      </c>
      <c r="P4233">
        <v>50000000</v>
      </c>
      <c r="Q4233">
        <v>50000000</v>
      </c>
      <c r="R4233" s="14">
        <f>_xlfn.XLOOKUP(Table2[[#This Row],[LoanID]],Table1[G-L ID],Table1[ManagerCode],-99)</f>
        <v>220</v>
      </c>
      <c r="T4233"/>
    </row>
    <row r="4234" spans="1:20" x14ac:dyDescent="0.25">
      <c r="A4234">
        <v>20160131</v>
      </c>
      <c r="B4234">
        <v>2016</v>
      </c>
      <c r="C4234">
        <v>1</v>
      </c>
      <c r="D4234">
        <v>1</v>
      </c>
      <c r="E4234">
        <v>11050</v>
      </c>
      <c r="F4234">
        <v>0</v>
      </c>
      <c r="G4234">
        <v>0</v>
      </c>
      <c r="H4234">
        <v>0</v>
      </c>
      <c r="I4234">
        <v>0</v>
      </c>
      <c r="J4234">
        <v>0</v>
      </c>
      <c r="K4234">
        <v>0</v>
      </c>
      <c r="L4234">
        <v>28500000</v>
      </c>
      <c r="M4234">
        <v>28500000</v>
      </c>
      <c r="N4234">
        <v>28500000</v>
      </c>
      <c r="O4234">
        <v>28500000</v>
      </c>
      <c r="P4234">
        <v>28500000</v>
      </c>
      <c r="Q4234">
        <v>28500000</v>
      </c>
      <c r="R4234" s="14">
        <f>_xlfn.XLOOKUP(Table2[[#This Row],[LoanID]],Table1[G-L ID],Table1[ManagerCode],-99)</f>
        <v>220</v>
      </c>
      <c r="T4234"/>
    </row>
    <row r="4235" spans="1:20" x14ac:dyDescent="0.25">
      <c r="A4235">
        <v>20160131</v>
      </c>
      <c r="B4235">
        <v>2016</v>
      </c>
      <c r="C4235">
        <v>1</v>
      </c>
      <c r="D4235">
        <v>1</v>
      </c>
      <c r="E4235">
        <v>11090</v>
      </c>
      <c r="F4235">
        <v>92301.68</v>
      </c>
      <c r="G4235">
        <v>0</v>
      </c>
      <c r="H4235">
        <v>0</v>
      </c>
      <c r="I4235">
        <v>0</v>
      </c>
      <c r="J4235">
        <v>0</v>
      </c>
      <c r="K4235">
        <v>0</v>
      </c>
      <c r="L4235">
        <v>11000000</v>
      </c>
      <c r="M4235">
        <v>11000000</v>
      </c>
      <c r="N4235">
        <v>11000000</v>
      </c>
      <c r="O4235">
        <v>11000000</v>
      </c>
      <c r="P4235">
        <v>11000000</v>
      </c>
      <c r="Q4235">
        <v>11000000</v>
      </c>
      <c r="R4235" s="14">
        <f>_xlfn.XLOOKUP(Table2[[#This Row],[LoanID]],Table1[G-L ID],Table1[ManagerCode],-99)</f>
        <v>119</v>
      </c>
      <c r="T4235"/>
    </row>
    <row r="4236" spans="1:20" x14ac:dyDescent="0.25">
      <c r="A4236">
        <v>20160131</v>
      </c>
      <c r="B4236">
        <v>2016</v>
      </c>
      <c r="C4236">
        <v>1</v>
      </c>
      <c r="D4236">
        <v>1</v>
      </c>
      <c r="E4236">
        <v>11100</v>
      </c>
      <c r="F4236">
        <v>410715.56</v>
      </c>
      <c r="G4236">
        <v>0</v>
      </c>
      <c r="H4236">
        <v>0</v>
      </c>
      <c r="I4236">
        <v>0</v>
      </c>
      <c r="J4236">
        <v>0</v>
      </c>
      <c r="K4236">
        <v>0</v>
      </c>
      <c r="L4236">
        <v>54450000</v>
      </c>
      <c r="M4236">
        <v>54082853.789999999</v>
      </c>
      <c r="N4236">
        <v>54450000</v>
      </c>
      <c r="O4236">
        <v>54082853.789999999</v>
      </c>
      <c r="P4236">
        <v>55000000</v>
      </c>
      <c r="Q4236">
        <v>55000000</v>
      </c>
      <c r="R4236" s="14">
        <f>_xlfn.XLOOKUP(Table2[[#This Row],[LoanID]],Table1[G-L ID],Table1[ManagerCode],-99)</f>
        <v>103</v>
      </c>
      <c r="T4236"/>
    </row>
    <row r="4237" spans="1:20" x14ac:dyDescent="0.25">
      <c r="A4237">
        <v>20160131</v>
      </c>
      <c r="B4237">
        <v>2016</v>
      </c>
      <c r="C4237">
        <v>1</v>
      </c>
      <c r="D4237">
        <v>1</v>
      </c>
      <c r="E4237">
        <v>11130</v>
      </c>
      <c r="F4237">
        <v>951689.67</v>
      </c>
      <c r="G4237">
        <v>0</v>
      </c>
      <c r="H4237">
        <v>0</v>
      </c>
      <c r="I4237">
        <v>0</v>
      </c>
      <c r="J4237">
        <v>0</v>
      </c>
      <c r="K4237">
        <v>0</v>
      </c>
      <c r="L4237">
        <v>150450000</v>
      </c>
      <c r="M4237">
        <v>150450000</v>
      </c>
      <c r="N4237">
        <v>150450000</v>
      </c>
      <c r="O4237">
        <v>150450000</v>
      </c>
      <c r="P4237">
        <v>177000000</v>
      </c>
      <c r="Q4237">
        <v>177000000</v>
      </c>
      <c r="R4237" s="14">
        <f>_xlfn.XLOOKUP(Table2[[#This Row],[LoanID]],Table1[G-L ID],Table1[ManagerCode],-99)</f>
        <v>103</v>
      </c>
      <c r="T4237"/>
    </row>
    <row r="4238" spans="1:20" x14ac:dyDescent="0.25">
      <c r="A4238">
        <v>20160131</v>
      </c>
      <c r="B4238">
        <v>2016</v>
      </c>
      <c r="C4238">
        <v>1</v>
      </c>
      <c r="D4238">
        <v>1</v>
      </c>
      <c r="E4238">
        <v>11160</v>
      </c>
      <c r="F4238">
        <v>134137.69</v>
      </c>
      <c r="G4238">
        <v>143899.04</v>
      </c>
      <c r="H4238">
        <v>0</v>
      </c>
      <c r="I4238">
        <v>0</v>
      </c>
      <c r="J4238">
        <v>-1611516.79</v>
      </c>
      <c r="K4238">
        <v>0</v>
      </c>
      <c r="L4238">
        <v>28432686.870000001</v>
      </c>
      <c r="M4238">
        <v>30188102.699999999</v>
      </c>
      <c r="N4238">
        <v>28432686.870000001</v>
      </c>
      <c r="O4238">
        <v>30188102.699999999</v>
      </c>
      <c r="P4238">
        <v>28432686.870000001</v>
      </c>
      <c r="Q4238">
        <v>30188102.699999999</v>
      </c>
      <c r="R4238" s="14">
        <f>_xlfn.XLOOKUP(Table2[[#This Row],[LoanID]],Table1[G-L ID],Table1[ManagerCode],-99)</f>
        <v>183</v>
      </c>
      <c r="T4238"/>
    </row>
    <row r="4239" spans="1:20" x14ac:dyDescent="0.25">
      <c r="A4239">
        <v>20160131</v>
      </c>
      <c r="B4239">
        <v>2016</v>
      </c>
      <c r="C4239">
        <v>1</v>
      </c>
      <c r="D4239">
        <v>1</v>
      </c>
      <c r="E4239">
        <v>11170</v>
      </c>
      <c r="F4239">
        <v>723484.03</v>
      </c>
      <c r="G4239">
        <v>0</v>
      </c>
      <c r="H4239">
        <v>0</v>
      </c>
      <c r="I4239">
        <v>0</v>
      </c>
      <c r="J4239">
        <v>0</v>
      </c>
      <c r="K4239">
        <v>0</v>
      </c>
      <c r="L4239">
        <v>173249826.80000001</v>
      </c>
      <c r="M4239">
        <v>173249826.80000001</v>
      </c>
      <c r="N4239">
        <v>173249826.80000001</v>
      </c>
      <c r="O4239">
        <v>173249826.80000001</v>
      </c>
      <c r="P4239">
        <v>175000000</v>
      </c>
      <c r="Q4239">
        <v>175000000</v>
      </c>
      <c r="R4239" s="14">
        <f>_xlfn.XLOOKUP(Table2[[#This Row],[LoanID]],Table1[G-L ID],Table1[ManagerCode],-99)</f>
        <v>103</v>
      </c>
      <c r="T4239"/>
    </row>
    <row r="4240" spans="1:20" x14ac:dyDescent="0.25">
      <c r="A4240">
        <v>20160131</v>
      </c>
      <c r="B4240">
        <v>2016</v>
      </c>
      <c r="C4240">
        <v>1</v>
      </c>
      <c r="D4240">
        <v>1</v>
      </c>
      <c r="E4240">
        <v>11250</v>
      </c>
      <c r="F4240">
        <v>86538.11</v>
      </c>
      <c r="G4240">
        <v>131369.68</v>
      </c>
      <c r="H4240">
        <v>0</v>
      </c>
      <c r="I4240">
        <v>0</v>
      </c>
      <c r="J4240">
        <v>-86538.11</v>
      </c>
      <c r="K4240">
        <v>0</v>
      </c>
      <c r="L4240">
        <v>18430860</v>
      </c>
      <c r="M4240">
        <v>18648767.789999999</v>
      </c>
      <c r="N4240">
        <v>18430860</v>
      </c>
      <c r="O4240">
        <v>18648767.789999999</v>
      </c>
      <c r="P4240">
        <v>17501534.52</v>
      </c>
      <c r="Q4240">
        <v>17719442.309999999</v>
      </c>
      <c r="R4240" s="14">
        <f>_xlfn.XLOOKUP(Table2[[#This Row],[LoanID]],Table1[G-L ID],Table1[ManagerCode],-99)</f>
        <v>183</v>
      </c>
      <c r="T4240"/>
    </row>
    <row r="4241" spans="1:20" x14ac:dyDescent="0.25">
      <c r="A4241">
        <v>20160131</v>
      </c>
      <c r="B4241">
        <v>2016</v>
      </c>
      <c r="C4241">
        <v>1</v>
      </c>
      <c r="D4241">
        <v>1</v>
      </c>
      <c r="E4241">
        <v>11330</v>
      </c>
      <c r="F4241">
        <v>62866.36</v>
      </c>
      <c r="G4241">
        <v>0</v>
      </c>
      <c r="H4241">
        <v>0</v>
      </c>
      <c r="I4241">
        <v>0</v>
      </c>
      <c r="J4241">
        <v>0</v>
      </c>
      <c r="K4241">
        <v>0</v>
      </c>
      <c r="L4241">
        <v>6700130.3399999999</v>
      </c>
      <c r="M4241">
        <v>6700130.3399999999</v>
      </c>
      <c r="N4241">
        <v>6700130.3399999999</v>
      </c>
      <c r="O4241">
        <v>6700130.3399999999</v>
      </c>
      <c r="P4241">
        <v>6700130.3399999999</v>
      </c>
      <c r="Q4241">
        <v>6700130.3399999999</v>
      </c>
      <c r="R4241" s="14">
        <f>_xlfn.XLOOKUP(Table2[[#This Row],[LoanID]],Table1[G-L ID],Table1[ManagerCode],-99)</f>
        <v>119</v>
      </c>
      <c r="T4241"/>
    </row>
    <row r="4242" spans="1:20" x14ac:dyDescent="0.25">
      <c r="A4242">
        <v>20160131</v>
      </c>
      <c r="B4242">
        <v>2016</v>
      </c>
      <c r="C4242">
        <v>1</v>
      </c>
      <c r="D4242">
        <v>1</v>
      </c>
      <c r="E4242">
        <v>11340</v>
      </c>
      <c r="F4242">
        <v>301388.89</v>
      </c>
      <c r="G4242">
        <v>0</v>
      </c>
      <c r="H4242">
        <v>0</v>
      </c>
      <c r="I4242">
        <v>0</v>
      </c>
      <c r="J4242">
        <v>0</v>
      </c>
      <c r="K4242">
        <v>60936.01</v>
      </c>
      <c r="L4242">
        <v>49500000</v>
      </c>
      <c r="M4242">
        <v>49439673.380000003</v>
      </c>
      <c r="N4242">
        <v>49500000</v>
      </c>
      <c r="O4242">
        <v>49439673.380000003</v>
      </c>
      <c r="P4242">
        <v>50000000</v>
      </c>
      <c r="Q4242">
        <v>49939063.990000002</v>
      </c>
      <c r="R4242" s="14">
        <f>_xlfn.XLOOKUP(Table2[[#This Row],[LoanID]],Table1[G-L ID],Table1[ManagerCode],-99)</f>
        <v>103</v>
      </c>
      <c r="T4242"/>
    </row>
    <row r="4243" spans="1:20" x14ac:dyDescent="0.25">
      <c r="A4243">
        <v>20160131</v>
      </c>
      <c r="B4243">
        <v>2016</v>
      </c>
      <c r="C4243">
        <v>1</v>
      </c>
      <c r="D4243">
        <v>1</v>
      </c>
      <c r="E4243">
        <v>11350</v>
      </c>
      <c r="F4243">
        <v>331527.78000000003</v>
      </c>
      <c r="G4243">
        <v>0</v>
      </c>
      <c r="H4243">
        <v>0</v>
      </c>
      <c r="I4243">
        <v>0</v>
      </c>
      <c r="J4243">
        <v>0</v>
      </c>
      <c r="K4243">
        <v>0</v>
      </c>
      <c r="L4243">
        <v>54449945.549999997</v>
      </c>
      <c r="M4243">
        <v>54449945.549999997</v>
      </c>
      <c r="N4243">
        <v>54449945.549999997</v>
      </c>
      <c r="O4243">
        <v>54449945.549999997</v>
      </c>
      <c r="P4243">
        <v>55000000</v>
      </c>
      <c r="Q4243">
        <v>55000000</v>
      </c>
      <c r="R4243" s="14">
        <f>_xlfn.XLOOKUP(Table2[[#This Row],[LoanID]],Table1[G-L ID],Table1[ManagerCode],-99)</f>
        <v>103</v>
      </c>
      <c r="T4243"/>
    </row>
    <row r="4244" spans="1:20" x14ac:dyDescent="0.25">
      <c r="A4244">
        <v>20160131</v>
      </c>
      <c r="B4244">
        <v>2016</v>
      </c>
      <c r="C4244">
        <v>1</v>
      </c>
      <c r="D4244">
        <v>1</v>
      </c>
      <c r="E4244">
        <v>11370</v>
      </c>
      <c r="F4244">
        <v>62727.78</v>
      </c>
      <c r="G4244">
        <v>0</v>
      </c>
      <c r="H4244">
        <v>0</v>
      </c>
      <c r="I4244">
        <v>0</v>
      </c>
      <c r="J4244">
        <v>0</v>
      </c>
      <c r="K4244">
        <v>0</v>
      </c>
      <c r="L4244">
        <v>6645849.7400000002</v>
      </c>
      <c r="M4244">
        <v>6645849.7400000002</v>
      </c>
      <c r="N4244">
        <v>6645849.7400000002</v>
      </c>
      <c r="O4244">
        <v>6645849.7400000002</v>
      </c>
      <c r="P4244">
        <v>6645849.7400000002</v>
      </c>
      <c r="Q4244">
        <v>6645849.7400000002</v>
      </c>
      <c r="R4244" s="14">
        <f>_xlfn.XLOOKUP(Table2[[#This Row],[LoanID]],Table1[G-L ID],Table1[ManagerCode],-99)</f>
        <v>119</v>
      </c>
      <c r="T4244"/>
    </row>
    <row r="4245" spans="1:20" x14ac:dyDescent="0.25">
      <c r="A4245">
        <v>20160131</v>
      </c>
      <c r="B4245">
        <v>2016</v>
      </c>
      <c r="C4245">
        <v>1</v>
      </c>
      <c r="D4245">
        <v>1</v>
      </c>
      <c r="E4245">
        <v>11410</v>
      </c>
      <c r="F4245">
        <v>0</v>
      </c>
      <c r="G4245">
        <v>0</v>
      </c>
      <c r="H4245">
        <v>500000</v>
      </c>
      <c r="I4245">
        <v>0</v>
      </c>
      <c r="J4245">
        <v>-50000000</v>
      </c>
      <c r="K4245">
        <v>0</v>
      </c>
      <c r="L4245">
        <v>0</v>
      </c>
      <c r="M4245">
        <v>50000000</v>
      </c>
      <c r="N4245">
        <v>0</v>
      </c>
      <c r="O4245">
        <v>50000000</v>
      </c>
      <c r="P4245">
        <v>0</v>
      </c>
      <c r="Q4245">
        <v>50000000</v>
      </c>
      <c r="R4245" s="14">
        <f>_xlfn.XLOOKUP(Table2[[#This Row],[LoanID]],Table1[G-L ID],Table1[ManagerCode],-99)</f>
        <v>119</v>
      </c>
      <c r="T4245"/>
    </row>
    <row r="4246" spans="1:20" x14ac:dyDescent="0.25">
      <c r="A4246">
        <v>20160131</v>
      </c>
      <c r="B4246">
        <v>2016</v>
      </c>
      <c r="C4246">
        <v>1</v>
      </c>
      <c r="D4246">
        <v>1</v>
      </c>
      <c r="E4246">
        <v>11480</v>
      </c>
      <c r="F4246">
        <v>366549.17</v>
      </c>
      <c r="G4246">
        <v>0</v>
      </c>
      <c r="H4246">
        <v>0</v>
      </c>
      <c r="I4246">
        <v>0</v>
      </c>
      <c r="J4246">
        <v>0</v>
      </c>
      <c r="K4246">
        <v>0</v>
      </c>
      <c r="L4246">
        <v>66500000</v>
      </c>
      <c r="M4246">
        <v>66500000</v>
      </c>
      <c r="N4246">
        <v>66500000</v>
      </c>
      <c r="O4246">
        <v>66500000</v>
      </c>
      <c r="P4246">
        <v>70000000</v>
      </c>
      <c r="Q4246">
        <v>70000000</v>
      </c>
      <c r="R4246" s="14">
        <f>_xlfn.XLOOKUP(Table2[[#This Row],[LoanID]],Table1[G-L ID],Table1[ManagerCode],-99)</f>
        <v>103</v>
      </c>
      <c r="T4246"/>
    </row>
    <row r="4247" spans="1:20" x14ac:dyDescent="0.25">
      <c r="A4247">
        <v>20160131</v>
      </c>
      <c r="B4247">
        <v>2016</v>
      </c>
      <c r="C4247">
        <v>1</v>
      </c>
      <c r="D4247">
        <v>1</v>
      </c>
      <c r="E4247">
        <v>11490</v>
      </c>
      <c r="F4247">
        <v>347204.31</v>
      </c>
      <c r="G4247">
        <v>0</v>
      </c>
      <c r="H4247">
        <v>0</v>
      </c>
      <c r="I4247">
        <v>0</v>
      </c>
      <c r="J4247">
        <v>0</v>
      </c>
      <c r="K4247">
        <v>0</v>
      </c>
      <c r="L4247">
        <v>49500000</v>
      </c>
      <c r="M4247">
        <v>49500000</v>
      </c>
      <c r="N4247">
        <v>49500000</v>
      </c>
      <c r="O4247">
        <v>49500000</v>
      </c>
      <c r="P4247">
        <v>55000000</v>
      </c>
      <c r="Q4247">
        <v>55000000</v>
      </c>
      <c r="R4247" s="14">
        <f>_xlfn.XLOOKUP(Table2[[#This Row],[LoanID]],Table1[G-L ID],Table1[ManagerCode],-99)</f>
        <v>103</v>
      </c>
      <c r="T4247"/>
    </row>
    <row r="4248" spans="1:20" x14ac:dyDescent="0.25">
      <c r="A4248">
        <v>20160131</v>
      </c>
      <c r="B4248">
        <v>2016</v>
      </c>
      <c r="C4248">
        <v>1</v>
      </c>
      <c r="D4248">
        <v>1</v>
      </c>
      <c r="E4248">
        <v>11520</v>
      </c>
      <c r="F4248">
        <v>32268.41</v>
      </c>
      <c r="G4248">
        <v>0</v>
      </c>
      <c r="H4248">
        <v>0</v>
      </c>
      <c r="I4248">
        <v>0</v>
      </c>
      <c r="J4248">
        <v>0</v>
      </c>
      <c r="K4248">
        <v>0</v>
      </c>
      <c r="L4248">
        <v>4163000</v>
      </c>
      <c r="M4248">
        <v>4163000</v>
      </c>
      <c r="N4248">
        <v>4163000</v>
      </c>
      <c r="O4248">
        <v>4163000</v>
      </c>
      <c r="P4248">
        <v>4163000</v>
      </c>
      <c r="Q4248">
        <v>4163000</v>
      </c>
      <c r="R4248" s="14">
        <f>_xlfn.XLOOKUP(Table2[[#This Row],[LoanID]],Table1[G-L ID],Table1[ManagerCode],-99)</f>
        <v>119</v>
      </c>
      <c r="T4248"/>
    </row>
    <row r="4249" spans="1:20" x14ac:dyDescent="0.25">
      <c r="A4249">
        <v>20160131</v>
      </c>
      <c r="B4249">
        <v>2016</v>
      </c>
      <c r="C4249">
        <v>1</v>
      </c>
      <c r="D4249">
        <v>1</v>
      </c>
      <c r="E4249">
        <v>11530</v>
      </c>
      <c r="F4249">
        <v>106998.75</v>
      </c>
      <c r="G4249">
        <v>0</v>
      </c>
      <c r="H4249">
        <v>0</v>
      </c>
      <c r="I4249">
        <v>0</v>
      </c>
      <c r="J4249">
        <v>0</v>
      </c>
      <c r="K4249">
        <v>0</v>
      </c>
      <c r="L4249">
        <v>11250000</v>
      </c>
      <c r="M4249">
        <v>11250000</v>
      </c>
      <c r="N4249">
        <v>11250000</v>
      </c>
      <c r="O4249">
        <v>11250000</v>
      </c>
      <c r="P4249">
        <v>11250000</v>
      </c>
      <c r="Q4249">
        <v>11250000</v>
      </c>
      <c r="R4249" s="14">
        <f>_xlfn.XLOOKUP(Table2[[#This Row],[LoanID]],Table1[G-L ID],Table1[ManagerCode],-99)</f>
        <v>119</v>
      </c>
      <c r="T4249"/>
    </row>
    <row r="4250" spans="1:20" x14ac:dyDescent="0.25">
      <c r="A4250">
        <v>20160131</v>
      </c>
      <c r="B4250">
        <v>2016</v>
      </c>
      <c r="C4250">
        <v>1</v>
      </c>
      <c r="D4250">
        <v>1</v>
      </c>
      <c r="E4250">
        <v>11560</v>
      </c>
      <c r="F4250">
        <v>0</v>
      </c>
      <c r="G4250">
        <v>185432.85</v>
      </c>
      <c r="H4250">
        <v>0</v>
      </c>
      <c r="I4250">
        <v>0</v>
      </c>
      <c r="J4250">
        <v>0</v>
      </c>
      <c r="K4250">
        <v>0</v>
      </c>
      <c r="L4250">
        <v>16482920.4</v>
      </c>
      <c r="M4250">
        <v>16668353.25</v>
      </c>
      <c r="N4250">
        <v>16482920.4</v>
      </c>
      <c r="O4250">
        <v>16668353.25</v>
      </c>
      <c r="P4250">
        <v>16482920.4</v>
      </c>
      <c r="Q4250">
        <v>16668353.25</v>
      </c>
      <c r="R4250" s="14">
        <f>_xlfn.XLOOKUP(Table2[[#This Row],[LoanID]],Table1[G-L ID],Table1[ManagerCode],-99)</f>
        <v>183</v>
      </c>
      <c r="T4250"/>
    </row>
    <row r="4251" spans="1:20" x14ac:dyDescent="0.25">
      <c r="A4251">
        <v>20160131</v>
      </c>
      <c r="B4251">
        <v>2016</v>
      </c>
      <c r="C4251">
        <v>1</v>
      </c>
      <c r="D4251">
        <v>1</v>
      </c>
      <c r="E4251">
        <v>11590</v>
      </c>
      <c r="F4251">
        <v>23647.46</v>
      </c>
      <c r="G4251">
        <v>0</v>
      </c>
      <c r="H4251">
        <v>0</v>
      </c>
      <c r="I4251">
        <v>0</v>
      </c>
      <c r="J4251">
        <v>0</v>
      </c>
      <c r="K4251">
        <v>0</v>
      </c>
      <c r="L4251">
        <v>3507224.44</v>
      </c>
      <c r="M4251">
        <v>3507224.44</v>
      </c>
      <c r="N4251">
        <v>3507224.44</v>
      </c>
      <c r="O4251">
        <v>3507224.44</v>
      </c>
      <c r="P4251">
        <v>3507224.44</v>
      </c>
      <c r="Q4251">
        <v>3507224.44</v>
      </c>
      <c r="R4251" s="14">
        <f>_xlfn.XLOOKUP(Table2[[#This Row],[LoanID]],Table1[G-L ID],Table1[ManagerCode],-99)</f>
        <v>119</v>
      </c>
      <c r="T4251"/>
    </row>
    <row r="4252" spans="1:20" x14ac:dyDescent="0.25">
      <c r="A4252">
        <v>20160131</v>
      </c>
      <c r="B4252">
        <v>2016</v>
      </c>
      <c r="C4252">
        <v>1</v>
      </c>
      <c r="D4252">
        <v>1</v>
      </c>
      <c r="E4252">
        <v>11650</v>
      </c>
      <c r="F4252">
        <v>75000</v>
      </c>
      <c r="G4252">
        <v>0</v>
      </c>
      <c r="H4252">
        <v>0</v>
      </c>
      <c r="I4252">
        <v>0</v>
      </c>
      <c r="J4252">
        <v>0</v>
      </c>
      <c r="K4252">
        <v>0</v>
      </c>
      <c r="L4252">
        <v>9600000</v>
      </c>
      <c r="M4252">
        <v>9600000</v>
      </c>
      <c r="N4252">
        <v>9600000</v>
      </c>
      <c r="O4252">
        <v>9600000</v>
      </c>
      <c r="P4252">
        <v>12000000</v>
      </c>
      <c r="Q4252">
        <v>12000000</v>
      </c>
      <c r="R4252" s="14">
        <f>_xlfn.XLOOKUP(Table2[[#This Row],[LoanID]],Table1[G-L ID],Table1[ManagerCode],-99)</f>
        <v>103</v>
      </c>
      <c r="T4252"/>
    </row>
    <row r="4253" spans="1:20" x14ac:dyDescent="0.25">
      <c r="A4253">
        <v>20160131</v>
      </c>
      <c r="B4253">
        <v>2016</v>
      </c>
      <c r="C4253">
        <v>1</v>
      </c>
      <c r="D4253">
        <v>1</v>
      </c>
      <c r="E4253">
        <v>11680</v>
      </c>
      <c r="F4253">
        <v>57126.559999999998</v>
      </c>
      <c r="G4253">
        <v>0</v>
      </c>
      <c r="H4253">
        <v>0</v>
      </c>
      <c r="I4253">
        <v>0</v>
      </c>
      <c r="J4253">
        <v>0</v>
      </c>
      <c r="K4253">
        <v>0</v>
      </c>
      <c r="L4253">
        <v>6600000</v>
      </c>
      <c r="M4253">
        <v>6600000</v>
      </c>
      <c r="N4253">
        <v>6600000</v>
      </c>
      <c r="O4253">
        <v>6600000</v>
      </c>
      <c r="P4253">
        <v>6600000</v>
      </c>
      <c r="Q4253">
        <v>6600000</v>
      </c>
      <c r="R4253" s="14">
        <f>_xlfn.XLOOKUP(Table2[[#This Row],[LoanID]],Table1[G-L ID],Table1[ManagerCode],-99)</f>
        <v>183</v>
      </c>
      <c r="T4253"/>
    </row>
    <row r="4254" spans="1:20" x14ac:dyDescent="0.25">
      <c r="A4254">
        <v>20160131</v>
      </c>
      <c r="B4254">
        <v>2016</v>
      </c>
      <c r="C4254">
        <v>1</v>
      </c>
      <c r="D4254">
        <v>1</v>
      </c>
      <c r="E4254">
        <v>11710</v>
      </c>
      <c r="F4254">
        <v>131916.67000000001</v>
      </c>
      <c r="G4254">
        <v>0</v>
      </c>
      <c r="H4254">
        <v>0</v>
      </c>
      <c r="I4254">
        <v>0</v>
      </c>
      <c r="J4254">
        <v>0</v>
      </c>
      <c r="K4254">
        <v>15000</v>
      </c>
      <c r="L4254">
        <v>15000000</v>
      </c>
      <c r="M4254">
        <v>14985000</v>
      </c>
      <c r="N4254">
        <v>15000000</v>
      </c>
      <c r="O4254">
        <v>14985000</v>
      </c>
      <c r="P4254">
        <v>15000000</v>
      </c>
      <c r="Q4254">
        <v>14985000</v>
      </c>
      <c r="R4254" s="14">
        <f>_xlfn.XLOOKUP(Table2[[#This Row],[LoanID]],Table1[G-L ID],Table1[ManagerCode],-99)</f>
        <v>119</v>
      </c>
      <c r="T4254"/>
    </row>
    <row r="4255" spans="1:20" x14ac:dyDescent="0.25">
      <c r="A4255">
        <v>20160131</v>
      </c>
      <c r="B4255">
        <v>2016</v>
      </c>
      <c r="C4255">
        <v>1</v>
      </c>
      <c r="D4255">
        <v>1</v>
      </c>
      <c r="E4255">
        <v>11720</v>
      </c>
      <c r="F4255">
        <v>129166.67</v>
      </c>
      <c r="G4255">
        <v>0</v>
      </c>
      <c r="H4255">
        <v>0</v>
      </c>
      <c r="I4255">
        <v>0</v>
      </c>
      <c r="J4255">
        <v>0</v>
      </c>
      <c r="K4255">
        <v>0</v>
      </c>
      <c r="L4255">
        <v>19800000</v>
      </c>
      <c r="M4255">
        <v>19800000</v>
      </c>
      <c r="N4255">
        <v>19800000</v>
      </c>
      <c r="O4255">
        <v>19800000</v>
      </c>
      <c r="P4255">
        <v>20000000</v>
      </c>
      <c r="Q4255">
        <v>20000000</v>
      </c>
      <c r="R4255" s="14">
        <f>_xlfn.XLOOKUP(Table2[[#This Row],[LoanID]],Table1[G-L ID],Table1[ManagerCode],-99)</f>
        <v>103</v>
      </c>
      <c r="T4255"/>
    </row>
    <row r="4256" spans="1:20" x14ac:dyDescent="0.25">
      <c r="A4256">
        <v>20160131</v>
      </c>
      <c r="B4256">
        <v>2016</v>
      </c>
      <c r="C4256">
        <v>1</v>
      </c>
      <c r="D4256">
        <v>1</v>
      </c>
      <c r="E4256">
        <v>11730</v>
      </c>
      <c r="F4256">
        <v>47402.36</v>
      </c>
      <c r="G4256">
        <v>0</v>
      </c>
      <c r="H4256">
        <v>0</v>
      </c>
      <c r="I4256">
        <v>0</v>
      </c>
      <c r="J4256">
        <v>0</v>
      </c>
      <c r="K4256">
        <v>0</v>
      </c>
      <c r="L4256">
        <v>4750000</v>
      </c>
      <c r="M4256">
        <v>4750000</v>
      </c>
      <c r="N4256">
        <v>4750000</v>
      </c>
      <c r="O4256">
        <v>4750000</v>
      </c>
      <c r="P4256">
        <v>4750000</v>
      </c>
      <c r="Q4256">
        <v>4750000</v>
      </c>
      <c r="R4256" s="14">
        <f>_xlfn.XLOOKUP(Table2[[#This Row],[LoanID]],Table1[G-L ID],Table1[ManagerCode],-99)</f>
        <v>119</v>
      </c>
      <c r="T4256"/>
    </row>
    <row r="4257" spans="1:20" x14ac:dyDescent="0.25">
      <c r="A4257">
        <v>20160131</v>
      </c>
      <c r="B4257">
        <v>2016</v>
      </c>
      <c r="C4257">
        <v>1</v>
      </c>
      <c r="D4257">
        <v>1</v>
      </c>
      <c r="E4257">
        <v>11750</v>
      </c>
      <c r="F4257">
        <v>55828.77</v>
      </c>
      <c r="G4257">
        <v>72792.08</v>
      </c>
      <c r="H4257">
        <v>0</v>
      </c>
      <c r="I4257">
        <v>0</v>
      </c>
      <c r="J4257">
        <v>0</v>
      </c>
      <c r="K4257">
        <v>0</v>
      </c>
      <c r="L4257">
        <v>12500352.73</v>
      </c>
      <c r="M4257">
        <v>12573144.810000001</v>
      </c>
      <c r="N4257">
        <v>12500352.73</v>
      </c>
      <c r="O4257">
        <v>12573144.810000001</v>
      </c>
      <c r="P4257">
        <v>12500352.73</v>
      </c>
      <c r="Q4257">
        <v>12573144.810000001</v>
      </c>
      <c r="R4257" s="14">
        <f>_xlfn.XLOOKUP(Table2[[#This Row],[LoanID]],Table1[G-L ID],Table1[ManagerCode],-99)</f>
        <v>183</v>
      </c>
      <c r="T4257"/>
    </row>
    <row r="4258" spans="1:20" x14ac:dyDescent="0.25">
      <c r="A4258">
        <v>20160131</v>
      </c>
      <c r="B4258">
        <v>2016</v>
      </c>
      <c r="C4258">
        <v>1</v>
      </c>
      <c r="D4258">
        <v>1</v>
      </c>
      <c r="E4258">
        <v>11810</v>
      </c>
      <c r="F4258">
        <v>48788.4</v>
      </c>
      <c r="G4258">
        <v>0</v>
      </c>
      <c r="H4258">
        <v>0</v>
      </c>
      <c r="I4258">
        <v>0</v>
      </c>
      <c r="J4258">
        <v>0</v>
      </c>
      <c r="K4258">
        <v>12069.69</v>
      </c>
      <c r="L4258">
        <v>9439841.0999999996</v>
      </c>
      <c r="M4258">
        <v>9427892.1199999992</v>
      </c>
      <c r="N4258">
        <v>9439841.0999999996</v>
      </c>
      <c r="O4258">
        <v>9427892.1199999992</v>
      </c>
      <c r="P4258">
        <v>9535193.0299999993</v>
      </c>
      <c r="Q4258">
        <v>9427771.4100000001</v>
      </c>
      <c r="R4258" s="14">
        <f>_xlfn.XLOOKUP(Table2[[#This Row],[LoanID]],Table1[G-L ID],Table1[ManagerCode],-99)</f>
        <v>103</v>
      </c>
      <c r="T4258"/>
    </row>
    <row r="4259" spans="1:20" x14ac:dyDescent="0.25">
      <c r="A4259">
        <v>20160131</v>
      </c>
      <c r="B4259">
        <v>2016</v>
      </c>
      <c r="C4259">
        <v>1</v>
      </c>
      <c r="D4259">
        <v>1</v>
      </c>
      <c r="E4259">
        <v>11880</v>
      </c>
      <c r="F4259">
        <v>363281.25</v>
      </c>
      <c r="G4259">
        <v>166504.99</v>
      </c>
      <c r="H4259">
        <v>0</v>
      </c>
      <c r="I4259">
        <v>0</v>
      </c>
      <c r="J4259">
        <v>0</v>
      </c>
      <c r="K4259">
        <v>0</v>
      </c>
      <c r="L4259">
        <v>78557570.780000001</v>
      </c>
      <c r="M4259">
        <v>78724075.769999996</v>
      </c>
      <c r="N4259">
        <v>78557570.780000001</v>
      </c>
      <c r="O4259">
        <v>78724075.769999996</v>
      </c>
      <c r="P4259">
        <v>78557570.780000001</v>
      </c>
      <c r="Q4259">
        <v>78724075.769999996</v>
      </c>
      <c r="R4259" s="14">
        <f>_xlfn.XLOOKUP(Table2[[#This Row],[LoanID]],Table1[G-L ID],Table1[ManagerCode],-99)</f>
        <v>183</v>
      </c>
      <c r="T4259"/>
    </row>
    <row r="4260" spans="1:20" x14ac:dyDescent="0.25">
      <c r="A4260">
        <v>20160131</v>
      </c>
      <c r="B4260">
        <v>2016</v>
      </c>
      <c r="C4260">
        <v>1</v>
      </c>
      <c r="D4260">
        <v>1</v>
      </c>
      <c r="E4260">
        <v>11980</v>
      </c>
      <c r="F4260">
        <v>64768.41</v>
      </c>
      <c r="G4260">
        <v>0</v>
      </c>
      <c r="H4260">
        <v>0</v>
      </c>
      <c r="I4260">
        <v>0</v>
      </c>
      <c r="J4260">
        <v>0</v>
      </c>
      <c r="K4260">
        <v>0</v>
      </c>
      <c r="L4260">
        <v>7400000</v>
      </c>
      <c r="M4260">
        <v>7400000</v>
      </c>
      <c r="N4260">
        <v>7400000</v>
      </c>
      <c r="O4260">
        <v>7400000</v>
      </c>
      <c r="P4260">
        <v>7400000</v>
      </c>
      <c r="Q4260">
        <v>7400000</v>
      </c>
      <c r="R4260" s="14">
        <f>_xlfn.XLOOKUP(Table2[[#This Row],[LoanID]],Table1[G-L ID],Table1[ManagerCode],-99)</f>
        <v>119</v>
      </c>
      <c r="T4260"/>
    </row>
    <row r="4261" spans="1:20" x14ac:dyDescent="0.25">
      <c r="A4261">
        <v>20160131</v>
      </c>
      <c r="B4261">
        <v>2016</v>
      </c>
      <c r="C4261">
        <v>1</v>
      </c>
      <c r="D4261">
        <v>1</v>
      </c>
      <c r="E4261">
        <v>11990</v>
      </c>
      <c r="F4261">
        <v>101873.75</v>
      </c>
      <c r="G4261">
        <v>0</v>
      </c>
      <c r="H4261">
        <v>0</v>
      </c>
      <c r="I4261">
        <v>0</v>
      </c>
      <c r="J4261">
        <v>0</v>
      </c>
      <c r="K4261">
        <v>0</v>
      </c>
      <c r="L4261">
        <v>14700000</v>
      </c>
      <c r="M4261">
        <v>14700000</v>
      </c>
      <c r="N4261">
        <v>14700000</v>
      </c>
      <c r="O4261">
        <v>14700000</v>
      </c>
      <c r="P4261">
        <v>15000000</v>
      </c>
      <c r="Q4261">
        <v>15000000</v>
      </c>
      <c r="R4261" s="14">
        <f>_xlfn.XLOOKUP(Table2[[#This Row],[LoanID]],Table1[G-L ID],Table1[ManagerCode],-99)</f>
        <v>220</v>
      </c>
      <c r="T4261"/>
    </row>
    <row r="4262" spans="1:20" x14ac:dyDescent="0.25">
      <c r="A4262">
        <v>20160131</v>
      </c>
      <c r="B4262">
        <v>2016</v>
      </c>
      <c r="C4262">
        <v>1</v>
      </c>
      <c r="D4262">
        <v>1</v>
      </c>
      <c r="E4262">
        <v>12010</v>
      </c>
      <c r="F4262">
        <v>172515.04</v>
      </c>
      <c r="G4262">
        <v>0</v>
      </c>
      <c r="H4262">
        <v>0</v>
      </c>
      <c r="I4262">
        <v>0</v>
      </c>
      <c r="J4262">
        <v>0</v>
      </c>
      <c r="K4262">
        <v>0</v>
      </c>
      <c r="L4262">
        <v>17535071</v>
      </c>
      <c r="M4262">
        <v>17535071</v>
      </c>
      <c r="N4262">
        <v>17535071</v>
      </c>
      <c r="O4262">
        <v>17535071</v>
      </c>
      <c r="P4262">
        <v>17535071</v>
      </c>
      <c r="Q4262">
        <v>17535071</v>
      </c>
      <c r="R4262" s="14">
        <f>_xlfn.XLOOKUP(Table2[[#This Row],[LoanID]],Table1[G-L ID],Table1[ManagerCode],-99)</f>
        <v>119</v>
      </c>
      <c r="T4262"/>
    </row>
    <row r="4263" spans="1:20" x14ac:dyDescent="0.25">
      <c r="A4263">
        <v>20160131</v>
      </c>
      <c r="B4263">
        <v>2016</v>
      </c>
      <c r="C4263">
        <v>1</v>
      </c>
      <c r="D4263">
        <v>1</v>
      </c>
      <c r="E4263">
        <v>12160</v>
      </c>
      <c r="F4263">
        <v>83285.03</v>
      </c>
      <c r="G4263">
        <v>101706.59</v>
      </c>
      <c r="H4263">
        <v>0</v>
      </c>
      <c r="I4263">
        <v>0</v>
      </c>
      <c r="J4263">
        <v>-83285.03</v>
      </c>
      <c r="K4263">
        <v>0</v>
      </c>
      <c r="L4263">
        <v>16812217.050000001</v>
      </c>
      <c r="M4263">
        <v>16997208.670000002</v>
      </c>
      <c r="N4263">
        <v>16812217.050000001</v>
      </c>
      <c r="O4263">
        <v>16997208.670000002</v>
      </c>
      <c r="P4263">
        <v>16812217.050000001</v>
      </c>
      <c r="Q4263">
        <v>16997208.670000002</v>
      </c>
      <c r="R4263" s="14">
        <f>_xlfn.XLOOKUP(Table2[[#This Row],[LoanID]],Table1[G-L ID],Table1[ManagerCode],-99)</f>
        <v>183</v>
      </c>
      <c r="T4263"/>
    </row>
    <row r="4264" spans="1:20" x14ac:dyDescent="0.25">
      <c r="A4264">
        <v>20160131</v>
      </c>
      <c r="B4264">
        <v>2016</v>
      </c>
      <c r="C4264">
        <v>1</v>
      </c>
      <c r="D4264">
        <v>1</v>
      </c>
      <c r="E4264">
        <v>12180</v>
      </c>
      <c r="F4264">
        <v>236017.64</v>
      </c>
      <c r="G4264">
        <v>0</v>
      </c>
      <c r="H4264">
        <v>0</v>
      </c>
      <c r="I4264">
        <v>0</v>
      </c>
      <c r="J4264">
        <v>0</v>
      </c>
      <c r="K4264">
        <v>0</v>
      </c>
      <c r="L4264">
        <v>35000000</v>
      </c>
      <c r="M4264">
        <v>35000000</v>
      </c>
      <c r="N4264">
        <v>35000000</v>
      </c>
      <c r="O4264">
        <v>35000000</v>
      </c>
      <c r="P4264">
        <v>35000000</v>
      </c>
      <c r="Q4264">
        <v>35000000</v>
      </c>
      <c r="R4264" s="14">
        <f>_xlfn.XLOOKUP(Table2[[#This Row],[LoanID]],Table1[G-L ID],Table1[ManagerCode],-99)</f>
        <v>220</v>
      </c>
      <c r="T4264"/>
    </row>
    <row r="4265" spans="1:20" x14ac:dyDescent="0.25">
      <c r="A4265">
        <v>20160131</v>
      </c>
      <c r="B4265">
        <v>2016</v>
      </c>
      <c r="C4265">
        <v>1</v>
      </c>
      <c r="D4265">
        <v>1</v>
      </c>
      <c r="E4265">
        <v>12190</v>
      </c>
      <c r="F4265">
        <v>264692.7</v>
      </c>
      <c r="G4265">
        <v>0</v>
      </c>
      <c r="H4265">
        <v>0</v>
      </c>
      <c r="I4265">
        <v>0</v>
      </c>
      <c r="J4265">
        <v>0</v>
      </c>
      <c r="K4265">
        <v>0</v>
      </c>
      <c r="L4265">
        <v>34383117</v>
      </c>
      <c r="M4265">
        <v>34383117</v>
      </c>
      <c r="N4265">
        <v>34383117</v>
      </c>
      <c r="O4265">
        <v>34383117</v>
      </c>
      <c r="P4265">
        <v>34383117</v>
      </c>
      <c r="Q4265">
        <v>34383117</v>
      </c>
      <c r="R4265" s="14">
        <f>_xlfn.XLOOKUP(Table2[[#This Row],[LoanID]],Table1[G-L ID],Table1[ManagerCode],-99)</f>
        <v>220</v>
      </c>
      <c r="T4265"/>
    </row>
    <row r="4266" spans="1:20" x14ac:dyDescent="0.25">
      <c r="A4266">
        <v>20160131</v>
      </c>
      <c r="B4266">
        <v>2016</v>
      </c>
      <c r="C4266">
        <v>1</v>
      </c>
      <c r="D4266">
        <v>1</v>
      </c>
      <c r="E4266">
        <v>12210</v>
      </c>
      <c r="F4266">
        <v>659002.44999999995</v>
      </c>
      <c r="G4266">
        <v>0</v>
      </c>
      <c r="H4266">
        <v>0</v>
      </c>
      <c r="I4266">
        <v>0</v>
      </c>
      <c r="J4266">
        <v>0</v>
      </c>
      <c r="K4266">
        <v>236968.06</v>
      </c>
      <c r="L4266">
        <v>115660615.59999999</v>
      </c>
      <c r="M4266">
        <v>115465693.5</v>
      </c>
      <c r="N4266">
        <v>115660615.59999999</v>
      </c>
      <c r="O4266">
        <v>115465693.5</v>
      </c>
      <c r="P4266">
        <v>106627659.2</v>
      </c>
      <c r="Q4266">
        <v>106390691.09999999</v>
      </c>
      <c r="R4266" s="14">
        <f>_xlfn.XLOOKUP(Table2[[#This Row],[LoanID]],Table1[G-L ID],Table1[ManagerCode],-99)</f>
        <v>103</v>
      </c>
      <c r="T4266"/>
    </row>
    <row r="4267" spans="1:20" x14ac:dyDescent="0.25">
      <c r="A4267">
        <v>20160131</v>
      </c>
      <c r="B4267">
        <v>2016</v>
      </c>
      <c r="C4267">
        <v>1</v>
      </c>
      <c r="D4267">
        <v>1</v>
      </c>
      <c r="E4267">
        <v>12230</v>
      </c>
      <c r="F4267">
        <v>105174.19</v>
      </c>
      <c r="G4267">
        <v>0</v>
      </c>
      <c r="H4267">
        <v>0</v>
      </c>
      <c r="I4267">
        <v>0</v>
      </c>
      <c r="J4267">
        <v>0</v>
      </c>
      <c r="K4267">
        <v>0</v>
      </c>
      <c r="L4267">
        <v>20268813.940000001</v>
      </c>
      <c r="M4267">
        <v>20268813.940000001</v>
      </c>
      <c r="N4267">
        <v>13753361.439999999</v>
      </c>
      <c r="O4267">
        <v>13753361.439999999</v>
      </c>
      <c r="P4267">
        <v>20268813.940000001</v>
      </c>
      <c r="Q4267">
        <v>20268813.940000001</v>
      </c>
      <c r="R4267" s="14">
        <f>_xlfn.XLOOKUP(Table2[[#This Row],[LoanID]],Table1[G-L ID],Table1[ManagerCode],-99)</f>
        <v>183</v>
      </c>
      <c r="T4267"/>
    </row>
    <row r="4268" spans="1:20" x14ac:dyDescent="0.25">
      <c r="A4268">
        <v>20160131</v>
      </c>
      <c r="B4268">
        <v>2016</v>
      </c>
      <c r="C4268">
        <v>1</v>
      </c>
      <c r="D4268">
        <v>1</v>
      </c>
      <c r="E4268">
        <v>12240</v>
      </c>
      <c r="F4268">
        <v>0</v>
      </c>
      <c r="G4268">
        <v>1456192.77</v>
      </c>
      <c r="H4268">
        <v>0</v>
      </c>
      <c r="I4268">
        <v>0</v>
      </c>
      <c r="J4268">
        <v>0</v>
      </c>
      <c r="K4268">
        <v>0</v>
      </c>
      <c r="L4268">
        <v>130893731.8</v>
      </c>
      <c r="M4268">
        <v>132349924.59999999</v>
      </c>
      <c r="N4268">
        <v>130893731.8</v>
      </c>
      <c r="O4268">
        <v>132349924.59999999</v>
      </c>
      <c r="P4268">
        <v>130893731.8</v>
      </c>
      <c r="Q4268">
        <v>132349924.59999999</v>
      </c>
      <c r="R4268" s="14">
        <f>_xlfn.XLOOKUP(Table2[[#This Row],[LoanID]],Table1[G-L ID],Table1[ManagerCode],-99)</f>
        <v>183</v>
      </c>
      <c r="T4268"/>
    </row>
    <row r="4269" spans="1:20" x14ac:dyDescent="0.25">
      <c r="A4269">
        <v>20160131</v>
      </c>
      <c r="B4269">
        <v>2016</v>
      </c>
      <c r="C4269">
        <v>1</v>
      </c>
      <c r="D4269">
        <v>1</v>
      </c>
      <c r="E4269">
        <v>13630</v>
      </c>
      <c r="F4269">
        <v>218506.94</v>
      </c>
      <c r="G4269">
        <v>0</v>
      </c>
      <c r="H4269">
        <v>0</v>
      </c>
      <c r="I4269">
        <v>0</v>
      </c>
      <c r="J4269">
        <v>0</v>
      </c>
      <c r="K4269">
        <v>0</v>
      </c>
      <c r="L4269">
        <v>33468087</v>
      </c>
      <c r="M4269">
        <v>33468087</v>
      </c>
      <c r="N4269">
        <v>33468087</v>
      </c>
      <c r="O4269">
        <v>33468087</v>
      </c>
      <c r="P4269">
        <v>35000000</v>
      </c>
      <c r="Q4269">
        <v>35000000</v>
      </c>
      <c r="R4269" s="14">
        <f>_xlfn.XLOOKUP(Table2[[#This Row],[LoanID]],Table1[G-L ID],Table1[ManagerCode],-99)</f>
        <v>298</v>
      </c>
      <c r="T4269"/>
    </row>
    <row r="4270" spans="1:20" x14ac:dyDescent="0.25">
      <c r="A4270">
        <v>20160131</v>
      </c>
      <c r="B4270">
        <v>2016</v>
      </c>
      <c r="C4270">
        <v>1</v>
      </c>
      <c r="D4270">
        <v>1</v>
      </c>
      <c r="E4270">
        <v>13670</v>
      </c>
      <c r="F4270">
        <v>285167.71000000002</v>
      </c>
      <c r="G4270">
        <v>0</v>
      </c>
      <c r="H4270">
        <v>0</v>
      </c>
      <c r="I4270">
        <v>0</v>
      </c>
      <c r="J4270">
        <v>0</v>
      </c>
      <c r="K4270">
        <v>0</v>
      </c>
      <c r="L4270">
        <v>37369414</v>
      </c>
      <c r="M4270">
        <v>37369414</v>
      </c>
      <c r="N4270">
        <v>37369414</v>
      </c>
      <c r="O4270">
        <v>37369414</v>
      </c>
      <c r="P4270">
        <v>37500000</v>
      </c>
      <c r="Q4270">
        <v>37500000</v>
      </c>
      <c r="R4270" s="14">
        <f>_xlfn.XLOOKUP(Table2[[#This Row],[LoanID]],Table1[G-L ID],Table1[ManagerCode],-99)</f>
        <v>298</v>
      </c>
      <c r="T4270"/>
    </row>
    <row r="4271" spans="1:20" x14ac:dyDescent="0.25">
      <c r="A4271">
        <v>20160131</v>
      </c>
      <c r="B4271">
        <v>2016</v>
      </c>
      <c r="C4271">
        <v>1</v>
      </c>
      <c r="D4271">
        <v>1</v>
      </c>
      <c r="E4271">
        <v>13680</v>
      </c>
      <c r="F4271">
        <v>155125</v>
      </c>
      <c r="G4271">
        <v>0</v>
      </c>
      <c r="H4271">
        <v>0</v>
      </c>
      <c r="I4271">
        <v>0</v>
      </c>
      <c r="J4271">
        <v>0</v>
      </c>
      <c r="K4271">
        <v>0</v>
      </c>
      <c r="L4271">
        <v>18283364</v>
      </c>
      <c r="M4271">
        <v>18283364</v>
      </c>
      <c r="N4271">
        <v>18283364</v>
      </c>
      <c r="O4271">
        <v>18283364</v>
      </c>
      <c r="P4271">
        <v>18000000</v>
      </c>
      <c r="Q4271">
        <v>18000000</v>
      </c>
      <c r="R4271" s="14">
        <f>_xlfn.XLOOKUP(Table2[[#This Row],[LoanID]],Table1[G-L ID],Table1[ManagerCode],-99)</f>
        <v>298</v>
      </c>
      <c r="T4271"/>
    </row>
    <row r="4272" spans="1:20" x14ac:dyDescent="0.25">
      <c r="A4272">
        <v>20160131</v>
      </c>
      <c r="B4272">
        <v>2016</v>
      </c>
      <c r="C4272">
        <v>1</v>
      </c>
      <c r="D4272">
        <v>1</v>
      </c>
      <c r="E4272">
        <v>13690</v>
      </c>
      <c r="F4272">
        <v>133472.22</v>
      </c>
      <c r="G4272">
        <v>0</v>
      </c>
      <c r="H4272">
        <v>0</v>
      </c>
      <c r="I4272">
        <v>0</v>
      </c>
      <c r="J4272">
        <v>0</v>
      </c>
      <c r="K4272">
        <v>0</v>
      </c>
      <c r="L4272">
        <v>19169472</v>
      </c>
      <c r="M4272">
        <v>19169472</v>
      </c>
      <c r="N4272">
        <v>19169472</v>
      </c>
      <c r="O4272">
        <v>19169472</v>
      </c>
      <c r="P4272">
        <v>20000000</v>
      </c>
      <c r="Q4272">
        <v>20000000</v>
      </c>
      <c r="R4272" s="14">
        <f>_xlfn.XLOOKUP(Table2[[#This Row],[LoanID]],Table1[G-L ID],Table1[ManagerCode],-99)</f>
        <v>298</v>
      </c>
      <c r="T4272"/>
    </row>
    <row r="4273" spans="1:20" x14ac:dyDescent="0.25">
      <c r="A4273">
        <v>20160131</v>
      </c>
      <c r="B4273">
        <v>2016</v>
      </c>
      <c r="C4273">
        <v>1</v>
      </c>
      <c r="D4273">
        <v>1</v>
      </c>
      <c r="E4273">
        <v>15580</v>
      </c>
      <c r="F4273">
        <v>117919.94</v>
      </c>
      <c r="G4273">
        <v>-43.67</v>
      </c>
      <c r="H4273">
        <v>0</v>
      </c>
      <c r="I4273">
        <v>0</v>
      </c>
      <c r="J4273">
        <v>0</v>
      </c>
      <c r="K4273">
        <v>5481.37</v>
      </c>
      <c r="L4273">
        <v>14922166.35</v>
      </c>
      <c r="M4273">
        <v>14916641.310000001</v>
      </c>
      <c r="N4273">
        <v>14922166.35</v>
      </c>
      <c r="O4273">
        <v>14916641.310000001</v>
      </c>
      <c r="P4273">
        <v>14922166.35</v>
      </c>
      <c r="Q4273">
        <v>14916641.310000001</v>
      </c>
      <c r="R4273" s="14">
        <f>_xlfn.XLOOKUP(Table2[[#This Row],[LoanID]],Table1[G-L ID],Table1[ManagerCode],-99)</f>
        <v>212</v>
      </c>
      <c r="T4273"/>
    </row>
    <row r="4274" spans="1:20" x14ac:dyDescent="0.25">
      <c r="A4274">
        <v>20160229</v>
      </c>
      <c r="B4274">
        <v>2016</v>
      </c>
      <c r="C4274">
        <v>2</v>
      </c>
      <c r="D4274">
        <v>1</v>
      </c>
      <c r="E4274">
        <v>10010</v>
      </c>
      <c r="F4274">
        <v>169034.4</v>
      </c>
      <c r="G4274">
        <v>0</v>
      </c>
      <c r="H4274">
        <v>0</v>
      </c>
      <c r="I4274">
        <v>0</v>
      </c>
      <c r="J4274">
        <v>0</v>
      </c>
      <c r="K4274">
        <v>0</v>
      </c>
      <c r="L4274">
        <v>18603662</v>
      </c>
      <c r="M4274">
        <v>18603662</v>
      </c>
      <c r="N4274">
        <v>18603662</v>
      </c>
      <c r="O4274">
        <v>18603662</v>
      </c>
      <c r="P4274">
        <v>18603662</v>
      </c>
      <c r="Q4274">
        <v>18603662</v>
      </c>
      <c r="R4274" s="14">
        <f>_xlfn.XLOOKUP(Table2[[#This Row],[LoanID]],Table1[G-L ID],Table1[ManagerCode],-99)</f>
        <v>119</v>
      </c>
      <c r="T4274"/>
    </row>
    <row r="4275" spans="1:20" x14ac:dyDescent="0.25">
      <c r="A4275">
        <v>20160229</v>
      </c>
      <c r="B4275">
        <v>2016</v>
      </c>
      <c r="C4275">
        <v>2</v>
      </c>
      <c r="D4275">
        <v>1</v>
      </c>
      <c r="E4275">
        <v>10030</v>
      </c>
      <c r="F4275">
        <v>68774.97</v>
      </c>
      <c r="G4275">
        <v>0</v>
      </c>
      <c r="H4275">
        <v>0</v>
      </c>
      <c r="I4275">
        <v>0</v>
      </c>
      <c r="J4275">
        <v>0</v>
      </c>
      <c r="K4275">
        <v>0</v>
      </c>
      <c r="L4275">
        <v>7909070</v>
      </c>
      <c r="M4275">
        <v>7909070</v>
      </c>
      <c r="N4275">
        <v>7909070</v>
      </c>
      <c r="O4275">
        <v>7909070</v>
      </c>
      <c r="P4275">
        <v>7909070</v>
      </c>
      <c r="Q4275">
        <v>7909070</v>
      </c>
      <c r="R4275" s="14">
        <f>_xlfn.XLOOKUP(Table2[[#This Row],[LoanID]],Table1[G-L ID],Table1[ManagerCode],-99)</f>
        <v>119</v>
      </c>
      <c r="T4275"/>
    </row>
    <row r="4276" spans="1:20" x14ac:dyDescent="0.25">
      <c r="A4276">
        <v>20160229</v>
      </c>
      <c r="B4276">
        <v>2016</v>
      </c>
      <c r="C4276">
        <v>2</v>
      </c>
      <c r="D4276">
        <v>1</v>
      </c>
      <c r="E4276">
        <v>10040</v>
      </c>
      <c r="F4276">
        <v>44881.11</v>
      </c>
      <c r="G4276">
        <v>0</v>
      </c>
      <c r="H4276">
        <v>0</v>
      </c>
      <c r="I4276">
        <v>0</v>
      </c>
      <c r="J4276">
        <v>0</v>
      </c>
      <c r="K4276">
        <v>0</v>
      </c>
      <c r="L4276">
        <v>5000000</v>
      </c>
      <c r="M4276">
        <v>5000000</v>
      </c>
      <c r="N4276">
        <v>5000000</v>
      </c>
      <c r="O4276">
        <v>5000000</v>
      </c>
      <c r="P4276">
        <v>5000000</v>
      </c>
      <c r="Q4276">
        <v>5000000</v>
      </c>
      <c r="R4276" s="14">
        <f>_xlfn.XLOOKUP(Table2[[#This Row],[LoanID]],Table1[G-L ID],Table1[ManagerCode],-99)</f>
        <v>119</v>
      </c>
      <c r="T4276"/>
    </row>
    <row r="4277" spans="1:20" x14ac:dyDescent="0.25">
      <c r="A4277">
        <v>20160229</v>
      </c>
      <c r="B4277">
        <v>2016</v>
      </c>
      <c r="C4277">
        <v>2</v>
      </c>
      <c r="D4277">
        <v>1</v>
      </c>
      <c r="E4277">
        <v>10050</v>
      </c>
      <c r="F4277">
        <v>-153981.01999999999</v>
      </c>
      <c r="G4277">
        <v>0</v>
      </c>
      <c r="H4277">
        <v>0</v>
      </c>
      <c r="I4277">
        <v>0</v>
      </c>
      <c r="J4277">
        <v>0</v>
      </c>
      <c r="K4277">
        <v>0</v>
      </c>
      <c r="L4277">
        <v>38129024.509999998</v>
      </c>
      <c r="M4277">
        <v>37978023.100000001</v>
      </c>
      <c r="N4277">
        <v>38129024.509999998</v>
      </c>
      <c r="O4277">
        <v>37978023.100000001</v>
      </c>
      <c r="P4277">
        <v>33333334</v>
      </c>
      <c r="Q4277">
        <v>33333334</v>
      </c>
      <c r="R4277" s="14">
        <f>_xlfn.XLOOKUP(Table2[[#This Row],[LoanID]],Table1[G-L ID],Table1[ManagerCode],-99)</f>
        <v>103</v>
      </c>
      <c r="T4277"/>
    </row>
    <row r="4278" spans="1:20" x14ac:dyDescent="0.25">
      <c r="A4278">
        <v>20160229</v>
      </c>
      <c r="B4278">
        <v>2016</v>
      </c>
      <c r="C4278">
        <v>2</v>
      </c>
      <c r="D4278">
        <v>1</v>
      </c>
      <c r="E4278">
        <v>10100</v>
      </c>
      <c r="F4278">
        <v>175070</v>
      </c>
      <c r="G4278">
        <v>0</v>
      </c>
      <c r="H4278">
        <v>0</v>
      </c>
      <c r="I4278">
        <v>0</v>
      </c>
      <c r="J4278">
        <v>0</v>
      </c>
      <c r="K4278">
        <v>0</v>
      </c>
      <c r="L4278">
        <v>30500000</v>
      </c>
      <c r="M4278">
        <v>30500000</v>
      </c>
      <c r="N4278">
        <v>30500000</v>
      </c>
      <c r="O4278">
        <v>30500000</v>
      </c>
      <c r="P4278">
        <v>30500000</v>
      </c>
      <c r="Q4278">
        <v>30500000</v>
      </c>
      <c r="R4278" s="14">
        <f>_xlfn.XLOOKUP(Table2[[#This Row],[LoanID]],Table1[G-L ID],Table1[ManagerCode],-99)</f>
        <v>220</v>
      </c>
      <c r="T4278"/>
    </row>
    <row r="4279" spans="1:20" x14ac:dyDescent="0.25">
      <c r="A4279">
        <v>20160229</v>
      </c>
      <c r="B4279">
        <v>2016</v>
      </c>
      <c r="C4279">
        <v>2</v>
      </c>
      <c r="D4279">
        <v>1</v>
      </c>
      <c r="E4279">
        <v>10120</v>
      </c>
      <c r="F4279">
        <v>50302.22</v>
      </c>
      <c r="G4279">
        <v>55059.98</v>
      </c>
      <c r="H4279">
        <v>0</v>
      </c>
      <c r="I4279">
        <v>0</v>
      </c>
      <c r="J4279">
        <v>-50302.22</v>
      </c>
      <c r="K4279">
        <v>0</v>
      </c>
      <c r="L4279">
        <v>10146056.09</v>
      </c>
      <c r="M4279">
        <v>10251418.289999999</v>
      </c>
      <c r="N4279">
        <v>10146056.09</v>
      </c>
      <c r="O4279">
        <v>10251418.289999999</v>
      </c>
      <c r="P4279">
        <v>10146056.09</v>
      </c>
      <c r="Q4279">
        <v>10251418.289999999</v>
      </c>
      <c r="R4279" s="14">
        <f>_xlfn.XLOOKUP(Table2[[#This Row],[LoanID]],Table1[G-L ID],Table1[ManagerCode],-99)</f>
        <v>183</v>
      </c>
      <c r="T4279"/>
    </row>
    <row r="4280" spans="1:20" x14ac:dyDescent="0.25">
      <c r="A4280">
        <v>20160229</v>
      </c>
      <c r="B4280">
        <v>2016</v>
      </c>
      <c r="C4280">
        <v>2</v>
      </c>
      <c r="D4280">
        <v>1</v>
      </c>
      <c r="E4280">
        <v>10160</v>
      </c>
      <c r="F4280">
        <v>114102.19</v>
      </c>
      <c r="G4280">
        <v>0</v>
      </c>
      <c r="H4280">
        <v>0</v>
      </c>
      <c r="I4280">
        <v>0</v>
      </c>
      <c r="J4280">
        <v>0</v>
      </c>
      <c r="K4280">
        <v>0</v>
      </c>
      <c r="L4280">
        <v>14051513.300000001</v>
      </c>
      <c r="M4280">
        <v>14051513.300000001</v>
      </c>
      <c r="N4280">
        <v>14051513.300000001</v>
      </c>
      <c r="O4280">
        <v>14051513.300000001</v>
      </c>
      <c r="P4280">
        <v>14051513.300000001</v>
      </c>
      <c r="Q4280">
        <v>14051513.300000001</v>
      </c>
      <c r="R4280" s="14">
        <f>_xlfn.XLOOKUP(Table2[[#This Row],[LoanID]],Table1[G-L ID],Table1[ManagerCode],-99)</f>
        <v>119</v>
      </c>
      <c r="T4280"/>
    </row>
    <row r="4281" spans="1:20" x14ac:dyDescent="0.25">
      <c r="A4281">
        <v>20160229</v>
      </c>
      <c r="B4281">
        <v>2016</v>
      </c>
      <c r="C4281">
        <v>2</v>
      </c>
      <c r="D4281">
        <v>1</v>
      </c>
      <c r="E4281">
        <v>10220</v>
      </c>
      <c r="F4281">
        <v>559722.22</v>
      </c>
      <c r="G4281">
        <v>0</v>
      </c>
      <c r="H4281">
        <v>0</v>
      </c>
      <c r="I4281">
        <v>0</v>
      </c>
      <c r="J4281">
        <v>0</v>
      </c>
      <c r="K4281">
        <v>0</v>
      </c>
      <c r="L4281">
        <v>115744785.90000001</v>
      </c>
      <c r="M4281">
        <v>115195595.40000001</v>
      </c>
      <c r="N4281">
        <v>115744785.90000001</v>
      </c>
      <c r="O4281">
        <v>115195595.40000001</v>
      </c>
      <c r="P4281">
        <v>100000000</v>
      </c>
      <c r="Q4281">
        <v>100000000</v>
      </c>
      <c r="R4281" s="14">
        <f>_xlfn.XLOOKUP(Table2[[#This Row],[LoanID]],Table1[G-L ID],Table1[ManagerCode],-99)</f>
        <v>103</v>
      </c>
      <c r="T4281"/>
    </row>
    <row r="4282" spans="1:20" x14ac:dyDescent="0.25">
      <c r="A4282">
        <v>20160229</v>
      </c>
      <c r="B4282">
        <v>2016</v>
      </c>
      <c r="C4282">
        <v>2</v>
      </c>
      <c r="D4282">
        <v>1</v>
      </c>
      <c r="E4282">
        <v>10240</v>
      </c>
      <c r="F4282">
        <v>90696.53</v>
      </c>
      <c r="G4282">
        <v>0</v>
      </c>
      <c r="H4282">
        <v>0</v>
      </c>
      <c r="I4282">
        <v>0</v>
      </c>
      <c r="J4282">
        <v>0</v>
      </c>
      <c r="K4282">
        <v>0</v>
      </c>
      <c r="L4282">
        <v>12500000</v>
      </c>
      <c r="M4282">
        <v>12500000</v>
      </c>
      <c r="N4282">
        <v>12500000</v>
      </c>
      <c r="O4282">
        <v>12500000</v>
      </c>
      <c r="P4282">
        <v>12500000</v>
      </c>
      <c r="Q4282">
        <v>12500000</v>
      </c>
      <c r="R4282" s="14">
        <f>_xlfn.XLOOKUP(Table2[[#This Row],[LoanID]],Table1[G-L ID],Table1[ManagerCode],-99)</f>
        <v>220</v>
      </c>
      <c r="T4282"/>
    </row>
    <row r="4283" spans="1:20" x14ac:dyDescent="0.25">
      <c r="A4283">
        <v>20160229</v>
      </c>
      <c r="B4283">
        <v>2016</v>
      </c>
      <c r="C4283">
        <v>2</v>
      </c>
      <c r="D4283">
        <v>1</v>
      </c>
      <c r="E4283">
        <v>10250</v>
      </c>
      <c r="F4283">
        <v>50400.83</v>
      </c>
      <c r="G4283">
        <v>0</v>
      </c>
      <c r="H4283">
        <v>0</v>
      </c>
      <c r="I4283">
        <v>0</v>
      </c>
      <c r="J4283">
        <v>0</v>
      </c>
      <c r="K4283">
        <v>0</v>
      </c>
      <c r="L4283">
        <v>5000000</v>
      </c>
      <c r="M4283">
        <v>5000000</v>
      </c>
      <c r="N4283">
        <v>5000000</v>
      </c>
      <c r="O4283">
        <v>5000000</v>
      </c>
      <c r="P4283">
        <v>5000000</v>
      </c>
      <c r="Q4283">
        <v>5000000</v>
      </c>
      <c r="R4283" s="14">
        <f>_xlfn.XLOOKUP(Table2[[#This Row],[LoanID]],Table1[G-L ID],Table1[ManagerCode],-99)</f>
        <v>119</v>
      </c>
      <c r="T4283"/>
    </row>
    <row r="4284" spans="1:20" x14ac:dyDescent="0.25">
      <c r="A4284">
        <v>20160229</v>
      </c>
      <c r="B4284">
        <v>2016</v>
      </c>
      <c r="C4284">
        <v>2</v>
      </c>
      <c r="D4284">
        <v>1</v>
      </c>
      <c r="E4284">
        <v>10260</v>
      </c>
      <c r="F4284">
        <v>92954.17</v>
      </c>
      <c r="G4284">
        <v>0</v>
      </c>
      <c r="H4284">
        <v>0</v>
      </c>
      <c r="I4284">
        <v>0</v>
      </c>
      <c r="J4284">
        <v>0</v>
      </c>
      <c r="K4284">
        <v>0</v>
      </c>
      <c r="L4284">
        <v>15000000</v>
      </c>
      <c r="M4284">
        <v>15000000</v>
      </c>
      <c r="N4284">
        <v>15000000</v>
      </c>
      <c r="O4284">
        <v>15000000</v>
      </c>
      <c r="P4284">
        <v>15000000</v>
      </c>
      <c r="Q4284">
        <v>15000000</v>
      </c>
      <c r="R4284" s="14">
        <f>_xlfn.XLOOKUP(Table2[[#This Row],[LoanID]],Table1[G-L ID],Table1[ManagerCode],-99)</f>
        <v>220</v>
      </c>
      <c r="T4284"/>
    </row>
    <row r="4285" spans="1:20" x14ac:dyDescent="0.25">
      <c r="A4285">
        <v>20160229</v>
      </c>
      <c r="B4285">
        <v>2016</v>
      </c>
      <c r="C4285">
        <v>2</v>
      </c>
      <c r="D4285">
        <v>1</v>
      </c>
      <c r="E4285">
        <v>10270</v>
      </c>
      <c r="F4285">
        <v>44479.65</v>
      </c>
      <c r="G4285">
        <v>0</v>
      </c>
      <c r="H4285">
        <v>0</v>
      </c>
      <c r="I4285">
        <v>0</v>
      </c>
      <c r="J4285">
        <v>0</v>
      </c>
      <c r="K4285">
        <v>0</v>
      </c>
      <c r="L4285">
        <v>5400000</v>
      </c>
      <c r="M4285">
        <v>5400000</v>
      </c>
      <c r="N4285">
        <v>5400000</v>
      </c>
      <c r="O4285">
        <v>5400000</v>
      </c>
      <c r="P4285">
        <v>5400000</v>
      </c>
      <c r="Q4285">
        <v>5400000</v>
      </c>
      <c r="R4285" s="14">
        <f>_xlfn.XLOOKUP(Table2[[#This Row],[LoanID]],Table1[G-L ID],Table1[ManagerCode],-99)</f>
        <v>119</v>
      </c>
      <c r="T4285"/>
    </row>
    <row r="4286" spans="1:20" x14ac:dyDescent="0.25">
      <c r="A4286">
        <v>20160229</v>
      </c>
      <c r="B4286">
        <v>2016</v>
      </c>
      <c r="C4286">
        <v>2</v>
      </c>
      <c r="D4286">
        <v>1</v>
      </c>
      <c r="E4286">
        <v>10350</v>
      </c>
      <c r="F4286">
        <v>168777.78</v>
      </c>
      <c r="G4286">
        <v>0</v>
      </c>
      <c r="H4286">
        <v>0</v>
      </c>
      <c r="I4286">
        <v>0</v>
      </c>
      <c r="J4286">
        <v>0</v>
      </c>
      <c r="K4286">
        <v>0</v>
      </c>
      <c r="L4286">
        <v>24800000</v>
      </c>
      <c r="M4286">
        <v>24800000</v>
      </c>
      <c r="N4286">
        <v>24800000</v>
      </c>
      <c r="O4286">
        <v>24800000</v>
      </c>
      <c r="P4286">
        <v>24800000</v>
      </c>
      <c r="Q4286">
        <v>24800000</v>
      </c>
      <c r="R4286" s="14">
        <f>_xlfn.XLOOKUP(Table2[[#This Row],[LoanID]],Table1[G-L ID],Table1[ManagerCode],-99)</f>
        <v>220</v>
      </c>
      <c r="T4286"/>
    </row>
    <row r="4287" spans="1:20" x14ac:dyDescent="0.25">
      <c r="A4287">
        <v>20160229</v>
      </c>
      <c r="B4287">
        <v>2016</v>
      </c>
      <c r="C4287">
        <v>2</v>
      </c>
      <c r="D4287">
        <v>1</v>
      </c>
      <c r="E4287">
        <v>10360</v>
      </c>
      <c r="F4287">
        <v>57858.96</v>
      </c>
      <c r="G4287">
        <v>0</v>
      </c>
      <c r="H4287">
        <v>0</v>
      </c>
      <c r="I4287">
        <v>0</v>
      </c>
      <c r="J4287">
        <v>0</v>
      </c>
      <c r="K4287">
        <v>0</v>
      </c>
      <c r="L4287">
        <v>5909000</v>
      </c>
      <c r="M4287">
        <v>5909000</v>
      </c>
      <c r="N4287">
        <v>5909000</v>
      </c>
      <c r="O4287">
        <v>5909000</v>
      </c>
      <c r="P4287">
        <v>5909000</v>
      </c>
      <c r="Q4287">
        <v>5909000</v>
      </c>
      <c r="R4287" s="14">
        <f>_xlfn.XLOOKUP(Table2[[#This Row],[LoanID]],Table1[G-L ID],Table1[ManagerCode],-99)</f>
        <v>183</v>
      </c>
      <c r="T4287"/>
    </row>
    <row r="4288" spans="1:20" x14ac:dyDescent="0.25">
      <c r="A4288">
        <v>20160229</v>
      </c>
      <c r="B4288">
        <v>2016</v>
      </c>
      <c r="C4288">
        <v>2</v>
      </c>
      <c r="D4288">
        <v>1</v>
      </c>
      <c r="E4288">
        <v>10430</v>
      </c>
      <c r="F4288">
        <v>91231.18</v>
      </c>
      <c r="G4288">
        <v>0</v>
      </c>
      <c r="H4288">
        <v>0</v>
      </c>
      <c r="I4288">
        <v>0</v>
      </c>
      <c r="J4288">
        <v>0</v>
      </c>
      <c r="K4288">
        <v>23400</v>
      </c>
      <c r="L4288">
        <v>10672400</v>
      </c>
      <c r="M4288">
        <v>10649000</v>
      </c>
      <c r="N4288">
        <v>10672400</v>
      </c>
      <c r="O4288">
        <v>10649000</v>
      </c>
      <c r="P4288">
        <v>10672400</v>
      </c>
      <c r="Q4288">
        <v>10649000</v>
      </c>
      <c r="R4288" s="14">
        <f>_xlfn.XLOOKUP(Table2[[#This Row],[LoanID]],Table1[G-L ID],Table1[ManagerCode],-99)</f>
        <v>119</v>
      </c>
      <c r="T4288"/>
    </row>
    <row r="4289" spans="1:20" x14ac:dyDescent="0.25">
      <c r="A4289">
        <v>20160229</v>
      </c>
      <c r="B4289">
        <v>2016</v>
      </c>
      <c r="C4289">
        <v>2</v>
      </c>
      <c r="D4289">
        <v>1</v>
      </c>
      <c r="E4289">
        <v>10480</v>
      </c>
      <c r="F4289">
        <v>169345.5</v>
      </c>
      <c r="G4289">
        <v>0</v>
      </c>
      <c r="H4289">
        <v>0</v>
      </c>
      <c r="I4289">
        <v>0</v>
      </c>
      <c r="J4289">
        <v>0</v>
      </c>
      <c r="K4289">
        <v>0</v>
      </c>
      <c r="L4289">
        <v>23770786.420000002</v>
      </c>
      <c r="M4289">
        <v>23770786.420000002</v>
      </c>
      <c r="N4289">
        <v>23770786.420000002</v>
      </c>
      <c r="O4289">
        <v>23770786.420000002</v>
      </c>
      <c r="P4289">
        <v>23770786.420000002</v>
      </c>
      <c r="Q4289">
        <v>23770786.420000002</v>
      </c>
      <c r="R4289" s="14">
        <f>_xlfn.XLOOKUP(Table2[[#This Row],[LoanID]],Table1[G-L ID],Table1[ManagerCode],-99)</f>
        <v>119</v>
      </c>
      <c r="T4289"/>
    </row>
    <row r="4290" spans="1:20" x14ac:dyDescent="0.25">
      <c r="A4290">
        <v>20160229</v>
      </c>
      <c r="B4290">
        <v>2016</v>
      </c>
      <c r="C4290">
        <v>2</v>
      </c>
      <c r="D4290">
        <v>1</v>
      </c>
      <c r="E4290">
        <v>10570</v>
      </c>
      <c r="F4290">
        <v>831537.34</v>
      </c>
      <c r="G4290">
        <v>0</v>
      </c>
      <c r="H4290">
        <v>0</v>
      </c>
      <c r="I4290">
        <v>0</v>
      </c>
      <c r="J4290">
        <v>0</v>
      </c>
      <c r="K4290">
        <v>0</v>
      </c>
      <c r="L4290">
        <v>156356260.69999999</v>
      </c>
      <c r="M4290">
        <v>156356260.69999999</v>
      </c>
      <c r="N4290">
        <v>156356260.69999999</v>
      </c>
      <c r="O4290">
        <v>156356260.69999999</v>
      </c>
      <c r="P4290">
        <v>156356260.69999999</v>
      </c>
      <c r="Q4290">
        <v>156356260.69999999</v>
      </c>
      <c r="R4290" s="14">
        <f>_xlfn.XLOOKUP(Table2[[#This Row],[LoanID]],Table1[G-L ID],Table1[ManagerCode],-99)</f>
        <v>103</v>
      </c>
      <c r="T4290"/>
    </row>
    <row r="4291" spans="1:20" x14ac:dyDescent="0.25">
      <c r="A4291">
        <v>20160229</v>
      </c>
      <c r="B4291">
        <v>2016</v>
      </c>
      <c r="C4291">
        <v>2</v>
      </c>
      <c r="D4291">
        <v>1</v>
      </c>
      <c r="E4291">
        <v>10591</v>
      </c>
      <c r="F4291">
        <v>219752.11</v>
      </c>
      <c r="G4291">
        <v>0</v>
      </c>
      <c r="H4291">
        <v>0</v>
      </c>
      <c r="I4291">
        <v>0</v>
      </c>
      <c r="J4291">
        <v>0</v>
      </c>
      <c r="K4291">
        <v>0</v>
      </c>
      <c r="L4291">
        <v>24475036.780000001</v>
      </c>
      <c r="M4291">
        <v>24475036.780000001</v>
      </c>
      <c r="N4291">
        <v>24475036.780000001</v>
      </c>
      <c r="O4291">
        <v>24475036.780000001</v>
      </c>
      <c r="P4291">
        <v>24475036.780000001</v>
      </c>
      <c r="Q4291">
        <v>24475036.780000001</v>
      </c>
      <c r="R4291" s="14">
        <f>_xlfn.XLOOKUP(Table2[[#This Row],[LoanID]],Table1[G-L ID],Table1[ManagerCode],-99)</f>
        <v>220</v>
      </c>
      <c r="T4291"/>
    </row>
    <row r="4292" spans="1:20" x14ac:dyDescent="0.25">
      <c r="A4292">
        <v>20160229</v>
      </c>
      <c r="B4292">
        <v>2016</v>
      </c>
      <c r="C4292">
        <v>2</v>
      </c>
      <c r="D4292">
        <v>1</v>
      </c>
      <c r="E4292">
        <v>10592</v>
      </c>
      <c r="F4292">
        <v>363596.81</v>
      </c>
      <c r="G4292">
        <v>0</v>
      </c>
      <c r="H4292">
        <v>0</v>
      </c>
      <c r="I4292">
        <v>0</v>
      </c>
      <c r="J4292">
        <v>0</v>
      </c>
      <c r="K4292">
        <v>0</v>
      </c>
      <c r="L4292">
        <v>36326728.630000003</v>
      </c>
      <c r="M4292">
        <v>36326728.630000003</v>
      </c>
      <c r="N4292">
        <v>36326728.630000003</v>
      </c>
      <c r="O4292">
        <v>36326728.630000003</v>
      </c>
      <c r="P4292">
        <v>36129816.219999999</v>
      </c>
      <c r="Q4292">
        <v>36129816.219999999</v>
      </c>
      <c r="R4292" s="14">
        <f>_xlfn.XLOOKUP(Table2[[#This Row],[LoanID]],Table1[G-L ID],Table1[ManagerCode],-99)</f>
        <v>220</v>
      </c>
      <c r="T4292"/>
    </row>
    <row r="4293" spans="1:20" x14ac:dyDescent="0.25">
      <c r="A4293">
        <v>20160229</v>
      </c>
      <c r="B4293">
        <v>2016</v>
      </c>
      <c r="C4293">
        <v>2</v>
      </c>
      <c r="D4293">
        <v>1</v>
      </c>
      <c r="E4293">
        <v>10640</v>
      </c>
      <c r="F4293">
        <v>71186.33</v>
      </c>
      <c r="G4293">
        <v>0</v>
      </c>
      <c r="H4293">
        <v>0</v>
      </c>
      <c r="I4293">
        <v>0</v>
      </c>
      <c r="J4293">
        <v>0</v>
      </c>
      <c r="K4293">
        <v>0</v>
      </c>
      <c r="L4293">
        <v>8084494</v>
      </c>
      <c r="M4293">
        <v>8084494</v>
      </c>
      <c r="N4293">
        <v>8084494</v>
      </c>
      <c r="O4293">
        <v>8084494</v>
      </c>
      <c r="P4293">
        <v>8084494</v>
      </c>
      <c r="Q4293">
        <v>8084494</v>
      </c>
      <c r="R4293" s="14">
        <f>_xlfn.XLOOKUP(Table2[[#This Row],[LoanID]],Table1[G-L ID],Table1[ManagerCode],-99)</f>
        <v>220</v>
      </c>
      <c r="T4293"/>
    </row>
    <row r="4294" spans="1:20" x14ac:dyDescent="0.25">
      <c r="A4294">
        <v>20160229</v>
      </c>
      <c r="B4294">
        <v>2016</v>
      </c>
      <c r="C4294">
        <v>2</v>
      </c>
      <c r="D4294">
        <v>1</v>
      </c>
      <c r="E4294">
        <v>10680</v>
      </c>
      <c r="F4294">
        <v>82050.73</v>
      </c>
      <c r="G4294">
        <v>0</v>
      </c>
      <c r="H4294">
        <v>0</v>
      </c>
      <c r="I4294">
        <v>0</v>
      </c>
      <c r="J4294">
        <v>-1167752.8500000001</v>
      </c>
      <c r="K4294">
        <v>0</v>
      </c>
      <c r="L4294">
        <v>9707501.7899999991</v>
      </c>
      <c r="M4294">
        <v>10875254.640000001</v>
      </c>
      <c r="N4294">
        <v>9707501.7899999991</v>
      </c>
      <c r="O4294">
        <v>10875254.640000001</v>
      </c>
      <c r="P4294">
        <v>9707501.7899999991</v>
      </c>
      <c r="Q4294">
        <v>10875254.640000001</v>
      </c>
      <c r="R4294" s="14">
        <f>_xlfn.XLOOKUP(Table2[[#This Row],[LoanID]],Table1[G-L ID],Table1[ManagerCode],-99)</f>
        <v>119</v>
      </c>
      <c r="T4294"/>
    </row>
    <row r="4295" spans="1:20" x14ac:dyDescent="0.25">
      <c r="A4295">
        <v>20160229</v>
      </c>
      <c r="B4295">
        <v>2016</v>
      </c>
      <c r="C4295">
        <v>2</v>
      </c>
      <c r="D4295">
        <v>1</v>
      </c>
      <c r="E4295">
        <v>10720</v>
      </c>
      <c r="F4295">
        <v>125000</v>
      </c>
      <c r="G4295">
        <v>80897.509999999995</v>
      </c>
      <c r="H4295">
        <v>0</v>
      </c>
      <c r="I4295">
        <v>0</v>
      </c>
      <c r="J4295">
        <v>0</v>
      </c>
      <c r="K4295">
        <v>0</v>
      </c>
      <c r="L4295">
        <v>15940452</v>
      </c>
      <c r="M4295">
        <v>16021350</v>
      </c>
      <c r="N4295">
        <v>15940452</v>
      </c>
      <c r="O4295">
        <v>16021350</v>
      </c>
      <c r="P4295">
        <v>15940452.140000001</v>
      </c>
      <c r="Q4295">
        <v>16021349.65</v>
      </c>
      <c r="R4295" s="14">
        <f>_xlfn.XLOOKUP(Table2[[#This Row],[LoanID]],Table1[G-L ID],Table1[ManagerCode],-99)</f>
        <v>220</v>
      </c>
      <c r="T4295"/>
    </row>
    <row r="4296" spans="1:20" x14ac:dyDescent="0.25">
      <c r="A4296">
        <v>20160229</v>
      </c>
      <c r="B4296">
        <v>2016</v>
      </c>
      <c r="C4296">
        <v>2</v>
      </c>
      <c r="D4296">
        <v>1</v>
      </c>
      <c r="E4296">
        <v>10730</v>
      </c>
      <c r="F4296">
        <v>157081.44</v>
      </c>
      <c r="G4296">
        <v>0</v>
      </c>
      <c r="H4296">
        <v>-285000</v>
      </c>
      <c r="I4296">
        <v>0</v>
      </c>
      <c r="J4296">
        <v>26600000</v>
      </c>
      <c r="K4296">
        <v>0</v>
      </c>
      <c r="L4296">
        <v>38000000</v>
      </c>
      <c r="M4296">
        <v>11400000</v>
      </c>
      <c r="N4296">
        <v>38000000</v>
      </c>
      <c r="O4296">
        <v>11400000</v>
      </c>
      <c r="P4296">
        <v>38000000</v>
      </c>
      <c r="Q4296">
        <v>11400000</v>
      </c>
      <c r="R4296" s="14">
        <f>_xlfn.XLOOKUP(Table2[[#This Row],[LoanID]],Table1[G-L ID],Table1[ManagerCode],-99)</f>
        <v>119</v>
      </c>
      <c r="T4296"/>
    </row>
    <row r="4297" spans="1:20" x14ac:dyDescent="0.25">
      <c r="A4297">
        <v>20160229</v>
      </c>
      <c r="B4297">
        <v>2016</v>
      </c>
      <c r="C4297">
        <v>2</v>
      </c>
      <c r="D4297">
        <v>1</v>
      </c>
      <c r="E4297">
        <v>10740</v>
      </c>
      <c r="F4297">
        <v>3078676.5</v>
      </c>
      <c r="G4297">
        <v>0</v>
      </c>
      <c r="H4297">
        <v>0</v>
      </c>
      <c r="I4297">
        <v>0</v>
      </c>
      <c r="J4297">
        <v>0</v>
      </c>
      <c r="K4297">
        <v>0</v>
      </c>
      <c r="L4297">
        <v>438711401.30000001</v>
      </c>
      <c r="M4297">
        <v>438711401.30000001</v>
      </c>
      <c r="N4297">
        <v>438711401.30000001</v>
      </c>
      <c r="O4297">
        <v>438711401.30000001</v>
      </c>
      <c r="P4297">
        <v>461801475</v>
      </c>
      <c r="Q4297">
        <v>461801475</v>
      </c>
      <c r="R4297" s="14">
        <f>_xlfn.XLOOKUP(Table2[[#This Row],[LoanID]],Table1[G-L ID],Table1[ManagerCode],-99)</f>
        <v>103</v>
      </c>
      <c r="T4297"/>
    </row>
    <row r="4298" spans="1:20" x14ac:dyDescent="0.25">
      <c r="A4298">
        <v>20160229</v>
      </c>
      <c r="B4298">
        <v>2016</v>
      </c>
      <c r="C4298">
        <v>2</v>
      </c>
      <c r="D4298">
        <v>1</v>
      </c>
      <c r="E4298">
        <v>10750</v>
      </c>
      <c r="F4298">
        <v>76792.740000000005</v>
      </c>
      <c r="G4298">
        <v>0</v>
      </c>
      <c r="H4298">
        <v>0</v>
      </c>
      <c r="I4298">
        <v>0</v>
      </c>
      <c r="J4298">
        <v>-303680.65000000002</v>
      </c>
      <c r="K4298">
        <v>0</v>
      </c>
      <c r="L4298">
        <v>9812565.4800000004</v>
      </c>
      <c r="M4298">
        <v>10116246.130000001</v>
      </c>
      <c r="N4298">
        <v>9812565.4800000004</v>
      </c>
      <c r="O4298">
        <v>10116246.130000001</v>
      </c>
      <c r="P4298">
        <v>9812565.4800000004</v>
      </c>
      <c r="Q4298">
        <v>10116246.130000001</v>
      </c>
      <c r="R4298" s="14">
        <f>_xlfn.XLOOKUP(Table2[[#This Row],[LoanID]],Table1[G-L ID],Table1[ManagerCode],-99)</f>
        <v>119</v>
      </c>
      <c r="T4298"/>
    </row>
    <row r="4299" spans="1:20" x14ac:dyDescent="0.25">
      <c r="A4299">
        <v>20160229</v>
      </c>
      <c r="B4299">
        <v>2016</v>
      </c>
      <c r="C4299">
        <v>2</v>
      </c>
      <c r="D4299">
        <v>1</v>
      </c>
      <c r="E4299">
        <v>10780</v>
      </c>
      <c r="F4299">
        <v>321253</v>
      </c>
      <c r="G4299">
        <v>0</v>
      </c>
      <c r="H4299">
        <v>0</v>
      </c>
      <c r="I4299">
        <v>0</v>
      </c>
      <c r="J4299">
        <v>0</v>
      </c>
      <c r="K4299">
        <v>0</v>
      </c>
      <c r="L4299">
        <v>43000000</v>
      </c>
      <c r="M4299">
        <v>43000000</v>
      </c>
      <c r="N4299">
        <v>43000000</v>
      </c>
      <c r="O4299">
        <v>43000000</v>
      </c>
      <c r="P4299">
        <v>43000000</v>
      </c>
      <c r="Q4299">
        <v>43000000</v>
      </c>
      <c r="R4299" s="14">
        <f>_xlfn.XLOOKUP(Table2[[#This Row],[LoanID]],Table1[G-L ID],Table1[ManagerCode],-99)</f>
        <v>220</v>
      </c>
      <c r="T4299"/>
    </row>
    <row r="4300" spans="1:20" x14ac:dyDescent="0.25">
      <c r="A4300">
        <v>20160229</v>
      </c>
      <c r="B4300">
        <v>2016</v>
      </c>
      <c r="C4300">
        <v>2</v>
      </c>
      <c r="D4300">
        <v>1</v>
      </c>
      <c r="E4300">
        <v>10800</v>
      </c>
      <c r="F4300">
        <v>222232.11</v>
      </c>
      <c r="G4300">
        <v>0</v>
      </c>
      <c r="H4300">
        <v>0</v>
      </c>
      <c r="I4300">
        <v>0</v>
      </c>
      <c r="J4300">
        <v>0</v>
      </c>
      <c r="K4300">
        <v>0</v>
      </c>
      <c r="L4300">
        <v>26000000</v>
      </c>
      <c r="M4300">
        <v>26000000</v>
      </c>
      <c r="N4300">
        <v>26000000</v>
      </c>
      <c r="O4300">
        <v>26000000</v>
      </c>
      <c r="P4300">
        <v>26000000</v>
      </c>
      <c r="Q4300">
        <v>26000000</v>
      </c>
      <c r="R4300" s="14">
        <f>_xlfn.XLOOKUP(Table2[[#This Row],[LoanID]],Table1[G-L ID],Table1[ManagerCode],-99)</f>
        <v>220</v>
      </c>
      <c r="T4300"/>
    </row>
    <row r="4301" spans="1:20" x14ac:dyDescent="0.25">
      <c r="A4301">
        <v>20160229</v>
      </c>
      <c r="B4301">
        <v>2016</v>
      </c>
      <c r="C4301">
        <v>2</v>
      </c>
      <c r="D4301">
        <v>1</v>
      </c>
      <c r="E4301">
        <v>10810</v>
      </c>
      <c r="F4301">
        <v>39934.44</v>
      </c>
      <c r="G4301">
        <v>0</v>
      </c>
      <c r="H4301">
        <v>323000</v>
      </c>
      <c r="I4301">
        <v>0</v>
      </c>
      <c r="J4301">
        <v>-28300000</v>
      </c>
      <c r="K4301">
        <v>0</v>
      </c>
      <c r="L4301">
        <v>0</v>
      </c>
      <c r="M4301">
        <v>28300000</v>
      </c>
      <c r="N4301">
        <v>0</v>
      </c>
      <c r="O4301">
        <v>28300000</v>
      </c>
      <c r="P4301">
        <v>0</v>
      </c>
      <c r="Q4301">
        <v>28300000</v>
      </c>
      <c r="R4301" s="14">
        <f>_xlfn.XLOOKUP(Table2[[#This Row],[LoanID]],Table1[G-L ID],Table1[ManagerCode],-99)</f>
        <v>119</v>
      </c>
      <c r="T4301"/>
    </row>
    <row r="4302" spans="1:20" x14ac:dyDescent="0.25">
      <c r="A4302">
        <v>20160229</v>
      </c>
      <c r="B4302">
        <v>2016</v>
      </c>
      <c r="C4302">
        <v>2</v>
      </c>
      <c r="D4302">
        <v>1</v>
      </c>
      <c r="E4302">
        <v>10820</v>
      </c>
      <c r="F4302">
        <v>197375.03</v>
      </c>
      <c r="G4302">
        <v>0</v>
      </c>
      <c r="H4302">
        <v>0</v>
      </c>
      <c r="I4302">
        <v>0</v>
      </c>
      <c r="J4302">
        <v>0</v>
      </c>
      <c r="K4302">
        <v>0</v>
      </c>
      <c r="L4302">
        <v>24344483.780000001</v>
      </c>
      <c r="M4302">
        <v>24344483.780000001</v>
      </c>
      <c r="N4302">
        <v>24344483.780000001</v>
      </c>
      <c r="O4302">
        <v>24344483.780000001</v>
      </c>
      <c r="P4302">
        <v>24127337.739999998</v>
      </c>
      <c r="Q4302">
        <v>24127337.739999998</v>
      </c>
      <c r="R4302" s="14">
        <f>_xlfn.XLOOKUP(Table2[[#This Row],[LoanID]],Table1[G-L ID],Table1[ManagerCode],-99)</f>
        <v>220</v>
      </c>
      <c r="T4302"/>
    </row>
    <row r="4303" spans="1:20" x14ac:dyDescent="0.25">
      <c r="A4303">
        <v>20160229</v>
      </c>
      <c r="B4303">
        <v>2016</v>
      </c>
      <c r="C4303">
        <v>2</v>
      </c>
      <c r="D4303">
        <v>1</v>
      </c>
      <c r="E4303">
        <v>10830</v>
      </c>
      <c r="F4303">
        <v>62853.2</v>
      </c>
      <c r="G4303">
        <v>0</v>
      </c>
      <c r="H4303">
        <v>0</v>
      </c>
      <c r="I4303">
        <v>0</v>
      </c>
      <c r="J4303">
        <v>0</v>
      </c>
      <c r="K4303">
        <v>0</v>
      </c>
      <c r="L4303">
        <v>7752392.3300000001</v>
      </c>
      <c r="M4303">
        <v>7752392.3300000001</v>
      </c>
      <c r="N4303">
        <v>7752392.3300000001</v>
      </c>
      <c r="O4303">
        <v>7752392.3300000001</v>
      </c>
      <c r="P4303">
        <v>7683243.1399999997</v>
      </c>
      <c r="Q4303">
        <v>7683243.1399999997</v>
      </c>
      <c r="R4303" s="14">
        <f>_xlfn.XLOOKUP(Table2[[#This Row],[LoanID]],Table1[G-L ID],Table1[ManagerCode],-99)</f>
        <v>220</v>
      </c>
      <c r="T4303"/>
    </row>
    <row r="4304" spans="1:20" x14ac:dyDescent="0.25">
      <c r="A4304">
        <v>20160229</v>
      </c>
      <c r="B4304">
        <v>2016</v>
      </c>
      <c r="C4304">
        <v>2</v>
      </c>
      <c r="D4304">
        <v>1</v>
      </c>
      <c r="E4304">
        <v>10840</v>
      </c>
      <c r="F4304">
        <v>103968.23</v>
      </c>
      <c r="G4304">
        <v>0</v>
      </c>
      <c r="H4304">
        <v>0</v>
      </c>
      <c r="I4304">
        <v>0</v>
      </c>
      <c r="J4304">
        <v>0</v>
      </c>
      <c r="K4304">
        <v>0</v>
      </c>
      <c r="L4304">
        <v>12823571.699999999</v>
      </c>
      <c r="M4304">
        <v>12823571.699999999</v>
      </c>
      <c r="N4304">
        <v>12823571.699999999</v>
      </c>
      <c r="O4304">
        <v>12823571.699999999</v>
      </c>
      <c r="P4304">
        <v>12709189</v>
      </c>
      <c r="Q4304">
        <v>12709189</v>
      </c>
      <c r="R4304" s="14">
        <f>_xlfn.XLOOKUP(Table2[[#This Row],[LoanID]],Table1[G-L ID],Table1[ManagerCode],-99)</f>
        <v>220</v>
      </c>
      <c r="T4304"/>
    </row>
    <row r="4305" spans="1:20" x14ac:dyDescent="0.25">
      <c r="A4305">
        <v>20160229</v>
      </c>
      <c r="B4305">
        <v>2016</v>
      </c>
      <c r="C4305">
        <v>2</v>
      </c>
      <c r="D4305">
        <v>1</v>
      </c>
      <c r="E4305">
        <v>10850</v>
      </c>
      <c r="F4305">
        <v>110534.78</v>
      </c>
      <c r="G4305">
        <v>0</v>
      </c>
      <c r="H4305">
        <v>0</v>
      </c>
      <c r="I4305">
        <v>0</v>
      </c>
      <c r="J4305">
        <v>0</v>
      </c>
      <c r="K4305">
        <v>0</v>
      </c>
      <c r="L4305">
        <v>13633499.029999999</v>
      </c>
      <c r="M4305">
        <v>13633499.029999999</v>
      </c>
      <c r="N4305">
        <v>13633499.029999999</v>
      </c>
      <c r="O4305">
        <v>13633499.029999999</v>
      </c>
      <c r="P4305">
        <v>13511892</v>
      </c>
      <c r="Q4305">
        <v>13511892</v>
      </c>
      <c r="R4305" s="14">
        <f>_xlfn.XLOOKUP(Table2[[#This Row],[LoanID]],Table1[G-L ID],Table1[ManagerCode],-99)</f>
        <v>220</v>
      </c>
      <c r="T4305"/>
    </row>
    <row r="4306" spans="1:20" x14ac:dyDescent="0.25">
      <c r="A4306">
        <v>20160229</v>
      </c>
      <c r="B4306">
        <v>2016</v>
      </c>
      <c r="C4306">
        <v>2</v>
      </c>
      <c r="D4306">
        <v>1</v>
      </c>
      <c r="E4306">
        <v>10860</v>
      </c>
      <c r="F4306">
        <v>122263.14</v>
      </c>
      <c r="G4306">
        <v>0</v>
      </c>
      <c r="H4306">
        <v>0</v>
      </c>
      <c r="I4306">
        <v>0</v>
      </c>
      <c r="J4306">
        <v>0</v>
      </c>
      <c r="K4306">
        <v>0</v>
      </c>
      <c r="L4306">
        <v>19475000</v>
      </c>
      <c r="M4306">
        <v>19475000</v>
      </c>
      <c r="N4306">
        <v>19475000</v>
      </c>
      <c r="O4306">
        <v>19475000</v>
      </c>
      <c r="P4306">
        <v>20500000</v>
      </c>
      <c r="Q4306">
        <v>20500000</v>
      </c>
      <c r="R4306" s="14">
        <f>_xlfn.XLOOKUP(Table2[[#This Row],[LoanID]],Table1[G-L ID],Table1[ManagerCode],-99)</f>
        <v>103</v>
      </c>
      <c r="T4306"/>
    </row>
    <row r="4307" spans="1:20" x14ac:dyDescent="0.25">
      <c r="A4307">
        <v>20160229</v>
      </c>
      <c r="B4307">
        <v>2016</v>
      </c>
      <c r="C4307">
        <v>2</v>
      </c>
      <c r="D4307">
        <v>1</v>
      </c>
      <c r="E4307">
        <v>10890</v>
      </c>
      <c r="F4307">
        <v>66643.64</v>
      </c>
      <c r="G4307">
        <v>64612.79</v>
      </c>
      <c r="H4307">
        <v>0</v>
      </c>
      <c r="I4307">
        <v>0</v>
      </c>
      <c r="J4307">
        <v>-2122805.29</v>
      </c>
      <c r="K4307">
        <v>0</v>
      </c>
      <c r="L4307">
        <v>13384263.210000001</v>
      </c>
      <c r="M4307">
        <v>15571681.289999999</v>
      </c>
      <c r="N4307">
        <v>13384263.210000001</v>
      </c>
      <c r="O4307">
        <v>15571681.289999999</v>
      </c>
      <c r="P4307">
        <v>13384263.210000001</v>
      </c>
      <c r="Q4307">
        <v>15571681.289999999</v>
      </c>
      <c r="R4307" s="14">
        <f>_xlfn.XLOOKUP(Table2[[#This Row],[LoanID]],Table1[G-L ID],Table1[ManagerCode],-99)</f>
        <v>183</v>
      </c>
      <c r="T4307"/>
    </row>
    <row r="4308" spans="1:20" x14ac:dyDescent="0.25">
      <c r="A4308">
        <v>20160229</v>
      </c>
      <c r="B4308">
        <v>2016</v>
      </c>
      <c r="C4308">
        <v>2</v>
      </c>
      <c r="D4308">
        <v>1</v>
      </c>
      <c r="E4308">
        <v>10910</v>
      </c>
      <c r="F4308">
        <v>218001.04</v>
      </c>
      <c r="G4308">
        <v>0</v>
      </c>
      <c r="H4308">
        <v>0</v>
      </c>
      <c r="I4308">
        <v>0</v>
      </c>
      <c r="J4308">
        <v>0</v>
      </c>
      <c r="K4308">
        <v>0</v>
      </c>
      <c r="L4308">
        <v>22500000</v>
      </c>
      <c r="M4308">
        <v>22500000</v>
      </c>
      <c r="N4308">
        <v>22500000</v>
      </c>
      <c r="O4308">
        <v>22500000</v>
      </c>
      <c r="P4308">
        <v>22500000</v>
      </c>
      <c r="Q4308">
        <v>22500000</v>
      </c>
      <c r="R4308" s="14">
        <f>_xlfn.XLOOKUP(Table2[[#This Row],[LoanID]],Table1[G-L ID],Table1[ManagerCode],-99)</f>
        <v>119</v>
      </c>
      <c r="T4308"/>
    </row>
    <row r="4309" spans="1:20" x14ac:dyDescent="0.25">
      <c r="A4309">
        <v>20160229</v>
      </c>
      <c r="B4309">
        <v>2016</v>
      </c>
      <c r="C4309">
        <v>2</v>
      </c>
      <c r="D4309">
        <v>1</v>
      </c>
      <c r="E4309">
        <v>10930</v>
      </c>
      <c r="F4309">
        <v>0</v>
      </c>
      <c r="G4309">
        <v>153591.1</v>
      </c>
      <c r="H4309">
        <v>0</v>
      </c>
      <c r="I4309">
        <v>0</v>
      </c>
      <c r="J4309">
        <v>0</v>
      </c>
      <c r="K4309">
        <v>0</v>
      </c>
      <c r="L4309">
        <v>14870225.51</v>
      </c>
      <c r="M4309">
        <v>15023816.609999999</v>
      </c>
      <c r="N4309">
        <v>14870225.51</v>
      </c>
      <c r="O4309">
        <v>15023816.609999999</v>
      </c>
      <c r="P4309">
        <v>14870225.51</v>
      </c>
      <c r="Q4309">
        <v>15023816.609999999</v>
      </c>
      <c r="R4309" s="14">
        <f>_xlfn.XLOOKUP(Table2[[#This Row],[LoanID]],Table1[G-L ID],Table1[ManagerCode],-99)</f>
        <v>183</v>
      </c>
      <c r="T4309"/>
    </row>
    <row r="4310" spans="1:20" x14ac:dyDescent="0.25">
      <c r="A4310">
        <v>20160229</v>
      </c>
      <c r="B4310">
        <v>2016</v>
      </c>
      <c r="C4310">
        <v>2</v>
      </c>
      <c r="D4310">
        <v>1</v>
      </c>
      <c r="E4310">
        <v>10960</v>
      </c>
      <c r="F4310">
        <v>73285.679999999993</v>
      </c>
      <c r="G4310">
        <v>0</v>
      </c>
      <c r="H4310">
        <v>0</v>
      </c>
      <c r="I4310">
        <v>0</v>
      </c>
      <c r="J4310">
        <v>0</v>
      </c>
      <c r="K4310">
        <v>0</v>
      </c>
      <c r="L4310">
        <v>6942192.1399999997</v>
      </c>
      <c r="M4310">
        <v>6942192.1399999997</v>
      </c>
      <c r="N4310">
        <v>6942192.1399999997</v>
      </c>
      <c r="O4310">
        <v>6942192.1399999997</v>
      </c>
      <c r="P4310">
        <v>6942192.1399999997</v>
      </c>
      <c r="Q4310">
        <v>6942192.1399999997</v>
      </c>
      <c r="R4310" s="14">
        <f>_xlfn.XLOOKUP(Table2[[#This Row],[LoanID]],Table1[G-L ID],Table1[ManagerCode],-99)</f>
        <v>119</v>
      </c>
      <c r="T4310"/>
    </row>
    <row r="4311" spans="1:20" x14ac:dyDescent="0.25">
      <c r="A4311">
        <v>20160229</v>
      </c>
      <c r="B4311">
        <v>2016</v>
      </c>
      <c r="C4311">
        <v>2</v>
      </c>
      <c r="D4311">
        <v>1</v>
      </c>
      <c r="E4311">
        <v>11010</v>
      </c>
      <c r="F4311">
        <v>215130.31</v>
      </c>
      <c r="G4311">
        <v>0</v>
      </c>
      <c r="H4311">
        <v>0</v>
      </c>
      <c r="I4311">
        <v>0</v>
      </c>
      <c r="J4311">
        <v>0</v>
      </c>
      <c r="K4311">
        <v>0</v>
      </c>
      <c r="L4311">
        <v>26500000</v>
      </c>
      <c r="M4311">
        <v>26500000</v>
      </c>
      <c r="N4311">
        <v>26500000</v>
      </c>
      <c r="O4311">
        <v>26500000</v>
      </c>
      <c r="P4311">
        <v>26500000</v>
      </c>
      <c r="Q4311">
        <v>26500000</v>
      </c>
      <c r="R4311" s="14">
        <f>_xlfn.XLOOKUP(Table2[[#This Row],[LoanID]],Table1[G-L ID],Table1[ManagerCode],-99)</f>
        <v>119</v>
      </c>
      <c r="T4311"/>
    </row>
    <row r="4312" spans="1:20" x14ac:dyDescent="0.25">
      <c r="A4312">
        <v>20160229</v>
      </c>
      <c r="B4312">
        <v>2016</v>
      </c>
      <c r="C4312">
        <v>2</v>
      </c>
      <c r="D4312">
        <v>1</v>
      </c>
      <c r="E4312">
        <v>11030</v>
      </c>
      <c r="F4312">
        <v>60082.8</v>
      </c>
      <c r="G4312">
        <v>0</v>
      </c>
      <c r="H4312">
        <v>0</v>
      </c>
      <c r="I4312">
        <v>0</v>
      </c>
      <c r="J4312">
        <v>0</v>
      </c>
      <c r="K4312">
        <v>9777.7800000000007</v>
      </c>
      <c r="L4312">
        <v>7941333.3200000003</v>
      </c>
      <c r="M4312">
        <v>7931555.54</v>
      </c>
      <c r="N4312">
        <v>7941333.3200000003</v>
      </c>
      <c r="O4312">
        <v>7931555.54</v>
      </c>
      <c r="P4312">
        <v>7941333.3200000003</v>
      </c>
      <c r="Q4312">
        <v>7931555.54</v>
      </c>
      <c r="R4312" s="14">
        <f>_xlfn.XLOOKUP(Table2[[#This Row],[LoanID]],Table1[G-L ID],Table1[ManagerCode],-99)</f>
        <v>119</v>
      </c>
      <c r="T4312"/>
    </row>
    <row r="4313" spans="1:20" x14ac:dyDescent="0.25">
      <c r="A4313">
        <v>20160229</v>
      </c>
      <c r="B4313">
        <v>2016</v>
      </c>
      <c r="C4313">
        <v>2</v>
      </c>
      <c r="D4313">
        <v>1</v>
      </c>
      <c r="E4313">
        <v>11040</v>
      </c>
      <c r="F4313">
        <v>535008.34</v>
      </c>
      <c r="G4313">
        <v>0</v>
      </c>
      <c r="H4313">
        <v>0</v>
      </c>
      <c r="I4313">
        <v>0</v>
      </c>
      <c r="J4313">
        <v>0</v>
      </c>
      <c r="K4313">
        <v>3133005.02</v>
      </c>
      <c r="L4313">
        <v>51000000</v>
      </c>
      <c r="M4313">
        <v>46866994.979999997</v>
      </c>
      <c r="N4313">
        <v>51000000</v>
      </c>
      <c r="O4313">
        <v>46866994.979999997</v>
      </c>
      <c r="P4313">
        <v>50000000</v>
      </c>
      <c r="Q4313">
        <v>46866994.979999997</v>
      </c>
      <c r="R4313" s="14">
        <f>_xlfn.XLOOKUP(Table2[[#This Row],[LoanID]],Table1[G-L ID],Table1[ManagerCode],-99)</f>
        <v>220</v>
      </c>
      <c r="T4313"/>
    </row>
    <row r="4314" spans="1:20" x14ac:dyDescent="0.25">
      <c r="A4314">
        <v>20160229</v>
      </c>
      <c r="B4314">
        <v>2016</v>
      </c>
      <c r="C4314">
        <v>2</v>
      </c>
      <c r="D4314">
        <v>1</v>
      </c>
      <c r="E4314">
        <v>11050</v>
      </c>
      <c r="F4314">
        <v>0</v>
      </c>
      <c r="G4314">
        <v>0</v>
      </c>
      <c r="H4314">
        <v>0</v>
      </c>
      <c r="I4314">
        <v>0</v>
      </c>
      <c r="J4314">
        <v>0</v>
      </c>
      <c r="K4314">
        <v>0</v>
      </c>
      <c r="L4314">
        <v>28500000</v>
      </c>
      <c r="M4314">
        <v>28500000</v>
      </c>
      <c r="N4314">
        <v>28500000</v>
      </c>
      <c r="O4314">
        <v>28500000</v>
      </c>
      <c r="P4314">
        <v>28500000</v>
      </c>
      <c r="Q4314">
        <v>28500000</v>
      </c>
      <c r="R4314" s="14">
        <f>_xlfn.XLOOKUP(Table2[[#This Row],[LoanID]],Table1[G-L ID],Table1[ManagerCode],-99)</f>
        <v>220</v>
      </c>
      <c r="T4314"/>
    </row>
    <row r="4315" spans="1:20" x14ac:dyDescent="0.25">
      <c r="A4315">
        <v>20160229</v>
      </c>
      <c r="B4315">
        <v>2016</v>
      </c>
      <c r="C4315">
        <v>2</v>
      </c>
      <c r="D4315">
        <v>1</v>
      </c>
      <c r="E4315">
        <v>11090</v>
      </c>
      <c r="F4315">
        <v>95101.43</v>
      </c>
      <c r="G4315">
        <v>0</v>
      </c>
      <c r="H4315">
        <v>0</v>
      </c>
      <c r="I4315">
        <v>0</v>
      </c>
      <c r="J4315">
        <v>0</v>
      </c>
      <c r="K4315">
        <v>0</v>
      </c>
      <c r="L4315">
        <v>11000000</v>
      </c>
      <c r="M4315">
        <v>11000000</v>
      </c>
      <c r="N4315">
        <v>11000000</v>
      </c>
      <c r="O4315">
        <v>11000000</v>
      </c>
      <c r="P4315">
        <v>11000000</v>
      </c>
      <c r="Q4315">
        <v>11000000</v>
      </c>
      <c r="R4315" s="14">
        <f>_xlfn.XLOOKUP(Table2[[#This Row],[LoanID]],Table1[G-L ID],Table1[ManagerCode],-99)</f>
        <v>119</v>
      </c>
      <c r="T4315"/>
    </row>
    <row r="4316" spans="1:20" x14ac:dyDescent="0.25">
      <c r="A4316">
        <v>20160229</v>
      </c>
      <c r="B4316">
        <v>2016</v>
      </c>
      <c r="C4316">
        <v>2</v>
      </c>
      <c r="D4316">
        <v>1</v>
      </c>
      <c r="E4316">
        <v>11100</v>
      </c>
      <c r="F4316">
        <v>196140.69</v>
      </c>
      <c r="G4316">
        <v>0</v>
      </c>
      <c r="H4316">
        <v>0</v>
      </c>
      <c r="I4316">
        <v>0</v>
      </c>
      <c r="J4316">
        <v>0</v>
      </c>
      <c r="K4316">
        <v>0</v>
      </c>
      <c r="L4316">
        <v>54082853.789999999</v>
      </c>
      <c r="M4316">
        <v>53791025.700000003</v>
      </c>
      <c r="N4316">
        <v>54082853.789999999</v>
      </c>
      <c r="O4316">
        <v>53791025.700000003</v>
      </c>
      <c r="P4316">
        <v>55000000</v>
      </c>
      <c r="Q4316">
        <v>55000000</v>
      </c>
      <c r="R4316" s="14">
        <f>_xlfn.XLOOKUP(Table2[[#This Row],[LoanID]],Table1[G-L ID],Table1[ManagerCode],-99)</f>
        <v>103</v>
      </c>
      <c r="T4316"/>
    </row>
    <row r="4317" spans="1:20" x14ac:dyDescent="0.25">
      <c r="A4317">
        <v>20160229</v>
      </c>
      <c r="B4317">
        <v>2016</v>
      </c>
      <c r="C4317">
        <v>2</v>
      </c>
      <c r="D4317">
        <v>1</v>
      </c>
      <c r="E4317">
        <v>11130</v>
      </c>
      <c r="F4317">
        <v>548819.18000000005</v>
      </c>
      <c r="G4317">
        <v>0</v>
      </c>
      <c r="H4317">
        <v>0</v>
      </c>
      <c r="I4317">
        <v>0</v>
      </c>
      <c r="J4317">
        <v>0</v>
      </c>
      <c r="K4317">
        <v>0</v>
      </c>
      <c r="L4317">
        <v>150450000</v>
      </c>
      <c r="M4317">
        <v>150450000</v>
      </c>
      <c r="N4317">
        <v>150450000</v>
      </c>
      <c r="O4317">
        <v>150450000</v>
      </c>
      <c r="P4317">
        <v>177000000</v>
      </c>
      <c r="Q4317">
        <v>177000000</v>
      </c>
      <c r="R4317" s="14">
        <f>_xlfn.XLOOKUP(Table2[[#This Row],[LoanID]],Table1[G-L ID],Table1[ManagerCode],-99)</f>
        <v>103</v>
      </c>
      <c r="T4317"/>
    </row>
    <row r="4318" spans="1:20" x14ac:dyDescent="0.25">
      <c r="A4318">
        <v>20160229</v>
      </c>
      <c r="B4318">
        <v>2016</v>
      </c>
      <c r="C4318">
        <v>2</v>
      </c>
      <c r="D4318">
        <v>1</v>
      </c>
      <c r="E4318">
        <v>11160</v>
      </c>
      <c r="F4318">
        <v>139813.18</v>
      </c>
      <c r="G4318">
        <v>145452.57999999999</v>
      </c>
      <c r="H4318">
        <v>0</v>
      </c>
      <c r="I4318">
        <v>0</v>
      </c>
      <c r="J4318">
        <v>-1092760.04</v>
      </c>
      <c r="K4318">
        <v>0</v>
      </c>
      <c r="L4318">
        <v>30188102.699999999</v>
      </c>
      <c r="M4318">
        <v>31426315.32</v>
      </c>
      <c r="N4318">
        <v>30188102.699999999</v>
      </c>
      <c r="O4318">
        <v>31426315.32</v>
      </c>
      <c r="P4318">
        <v>30188102.699999999</v>
      </c>
      <c r="Q4318">
        <v>31426315.32</v>
      </c>
      <c r="R4318" s="14">
        <f>_xlfn.XLOOKUP(Table2[[#This Row],[LoanID]],Table1[G-L ID],Table1[ManagerCode],-99)</f>
        <v>183</v>
      </c>
      <c r="T4318"/>
    </row>
    <row r="4319" spans="1:20" x14ac:dyDescent="0.25">
      <c r="A4319">
        <v>20160229</v>
      </c>
      <c r="B4319">
        <v>2016</v>
      </c>
      <c r="C4319">
        <v>2</v>
      </c>
      <c r="D4319">
        <v>1</v>
      </c>
      <c r="E4319">
        <v>11170</v>
      </c>
      <c r="F4319">
        <v>742019.44</v>
      </c>
      <c r="G4319">
        <v>0</v>
      </c>
      <c r="H4319">
        <v>0</v>
      </c>
      <c r="I4319">
        <v>0</v>
      </c>
      <c r="J4319">
        <v>0</v>
      </c>
      <c r="K4319">
        <v>0</v>
      </c>
      <c r="L4319">
        <v>173249826.80000001</v>
      </c>
      <c r="M4319">
        <v>173249826.80000001</v>
      </c>
      <c r="N4319">
        <v>173249826.80000001</v>
      </c>
      <c r="O4319">
        <v>173249826.80000001</v>
      </c>
      <c r="P4319">
        <v>175000000</v>
      </c>
      <c r="Q4319">
        <v>175000000</v>
      </c>
      <c r="R4319" s="14">
        <f>_xlfn.XLOOKUP(Table2[[#This Row],[LoanID]],Table1[G-L ID],Table1[ManagerCode],-99)</f>
        <v>103</v>
      </c>
      <c r="T4319"/>
    </row>
    <row r="4320" spans="1:20" x14ac:dyDescent="0.25">
      <c r="A4320">
        <v>20160229</v>
      </c>
      <c r="B4320">
        <v>2016</v>
      </c>
      <c r="C4320">
        <v>2</v>
      </c>
      <c r="D4320">
        <v>1</v>
      </c>
      <c r="E4320">
        <v>11250</v>
      </c>
      <c r="F4320">
        <v>87579.79</v>
      </c>
      <c r="G4320">
        <v>133005.29</v>
      </c>
      <c r="H4320">
        <v>0</v>
      </c>
      <c r="I4320">
        <v>0</v>
      </c>
      <c r="J4320">
        <v>-87579.79</v>
      </c>
      <c r="K4320">
        <v>0</v>
      </c>
      <c r="L4320">
        <v>18648767.789999999</v>
      </c>
      <c r="M4320">
        <v>18869352.870000001</v>
      </c>
      <c r="N4320">
        <v>18648767.789999999</v>
      </c>
      <c r="O4320">
        <v>18869352.870000001</v>
      </c>
      <c r="P4320">
        <v>17719442.309999999</v>
      </c>
      <c r="Q4320">
        <v>17940027.390000001</v>
      </c>
      <c r="R4320" s="14">
        <f>_xlfn.XLOOKUP(Table2[[#This Row],[LoanID]],Table1[G-L ID],Table1[ManagerCode],-99)</f>
        <v>183</v>
      </c>
      <c r="T4320"/>
    </row>
    <row r="4321" spans="1:20" x14ac:dyDescent="0.25">
      <c r="A4321">
        <v>20160229</v>
      </c>
      <c r="B4321">
        <v>2016</v>
      </c>
      <c r="C4321">
        <v>2</v>
      </c>
      <c r="D4321">
        <v>1</v>
      </c>
      <c r="E4321">
        <v>11330</v>
      </c>
      <c r="F4321">
        <v>71353.710000000006</v>
      </c>
      <c r="G4321">
        <v>0</v>
      </c>
      <c r="H4321">
        <v>0</v>
      </c>
      <c r="I4321">
        <v>0</v>
      </c>
      <c r="J4321">
        <v>-312328.43</v>
      </c>
      <c r="K4321">
        <v>0</v>
      </c>
      <c r="L4321">
        <v>6700130.3399999999</v>
      </c>
      <c r="M4321">
        <v>7012458.7699999996</v>
      </c>
      <c r="N4321">
        <v>6700130.3399999999</v>
      </c>
      <c r="O4321">
        <v>7012458.7699999996</v>
      </c>
      <c r="P4321">
        <v>6700130.3399999999</v>
      </c>
      <c r="Q4321">
        <v>7012458.7699999996</v>
      </c>
      <c r="R4321" s="14">
        <f>_xlfn.XLOOKUP(Table2[[#This Row],[LoanID]],Table1[G-L ID],Table1[ManagerCode],-99)</f>
        <v>119</v>
      </c>
      <c r="T4321"/>
    </row>
    <row r="4322" spans="1:20" x14ac:dyDescent="0.25">
      <c r="A4322">
        <v>20160229</v>
      </c>
      <c r="B4322">
        <v>2016</v>
      </c>
      <c r="C4322">
        <v>2</v>
      </c>
      <c r="D4322">
        <v>1</v>
      </c>
      <c r="E4322">
        <v>11340</v>
      </c>
      <c r="F4322">
        <v>301021.58</v>
      </c>
      <c r="G4322">
        <v>0</v>
      </c>
      <c r="H4322">
        <v>0</v>
      </c>
      <c r="I4322">
        <v>0</v>
      </c>
      <c r="J4322">
        <v>0</v>
      </c>
      <c r="K4322">
        <v>61166.89</v>
      </c>
      <c r="L4322">
        <v>49439673.380000003</v>
      </c>
      <c r="M4322">
        <v>49379118.109999999</v>
      </c>
      <c r="N4322">
        <v>49439673.380000003</v>
      </c>
      <c r="O4322">
        <v>49379118.109999999</v>
      </c>
      <c r="P4322">
        <v>49939063.990000002</v>
      </c>
      <c r="Q4322">
        <v>49877897.100000001</v>
      </c>
      <c r="R4322" s="14">
        <f>_xlfn.XLOOKUP(Table2[[#This Row],[LoanID]],Table1[G-L ID],Table1[ManagerCode],-99)</f>
        <v>103</v>
      </c>
      <c r="T4322"/>
    </row>
    <row r="4323" spans="1:20" x14ac:dyDescent="0.25">
      <c r="A4323">
        <v>20160229</v>
      </c>
      <c r="B4323">
        <v>2016</v>
      </c>
      <c r="C4323">
        <v>2</v>
      </c>
      <c r="D4323">
        <v>1</v>
      </c>
      <c r="E4323">
        <v>11350</v>
      </c>
      <c r="F4323">
        <v>331527.78000000003</v>
      </c>
      <c r="G4323">
        <v>0</v>
      </c>
      <c r="H4323">
        <v>0</v>
      </c>
      <c r="I4323">
        <v>0</v>
      </c>
      <c r="J4323">
        <v>0</v>
      </c>
      <c r="K4323">
        <v>0</v>
      </c>
      <c r="L4323">
        <v>54449945.549999997</v>
      </c>
      <c r="M4323">
        <v>54449945.549999997</v>
      </c>
      <c r="N4323">
        <v>54449945.549999997</v>
      </c>
      <c r="O4323">
        <v>54449945.549999997</v>
      </c>
      <c r="P4323">
        <v>55000000</v>
      </c>
      <c r="Q4323">
        <v>55000000</v>
      </c>
      <c r="R4323" s="14">
        <f>_xlfn.XLOOKUP(Table2[[#This Row],[LoanID]],Table1[G-L ID],Table1[ManagerCode],-99)</f>
        <v>103</v>
      </c>
      <c r="T4323"/>
    </row>
    <row r="4324" spans="1:20" x14ac:dyDescent="0.25">
      <c r="A4324">
        <v>20160229</v>
      </c>
      <c r="B4324">
        <v>2016</v>
      </c>
      <c r="C4324">
        <v>2</v>
      </c>
      <c r="D4324">
        <v>1</v>
      </c>
      <c r="E4324">
        <v>11370</v>
      </c>
      <c r="F4324">
        <v>63271.44</v>
      </c>
      <c r="G4324">
        <v>0</v>
      </c>
      <c r="H4324">
        <v>0</v>
      </c>
      <c r="I4324">
        <v>0</v>
      </c>
      <c r="J4324">
        <v>0</v>
      </c>
      <c r="K4324">
        <v>0</v>
      </c>
      <c r="L4324">
        <v>6645849.7400000002</v>
      </c>
      <c r="M4324">
        <v>6645849.7400000002</v>
      </c>
      <c r="N4324">
        <v>6645849.7400000002</v>
      </c>
      <c r="O4324">
        <v>6645849.7400000002</v>
      </c>
      <c r="P4324">
        <v>6645849.7400000002</v>
      </c>
      <c r="Q4324">
        <v>6645849.7400000002</v>
      </c>
      <c r="R4324" s="14">
        <f>_xlfn.XLOOKUP(Table2[[#This Row],[LoanID]],Table1[G-L ID],Table1[ManagerCode],-99)</f>
        <v>119</v>
      </c>
      <c r="T4324"/>
    </row>
    <row r="4325" spans="1:20" x14ac:dyDescent="0.25">
      <c r="A4325">
        <v>20160229</v>
      </c>
      <c r="B4325">
        <v>2016</v>
      </c>
      <c r="C4325">
        <v>2</v>
      </c>
      <c r="D4325">
        <v>1</v>
      </c>
      <c r="E4325">
        <v>11410</v>
      </c>
      <c r="F4325">
        <v>207786.11</v>
      </c>
      <c r="G4325">
        <v>0</v>
      </c>
      <c r="H4325">
        <v>0</v>
      </c>
      <c r="I4325">
        <v>0</v>
      </c>
      <c r="J4325">
        <v>0</v>
      </c>
      <c r="K4325">
        <v>0</v>
      </c>
      <c r="L4325">
        <v>50000000</v>
      </c>
      <c r="M4325">
        <v>50000000</v>
      </c>
      <c r="N4325">
        <v>50000000</v>
      </c>
      <c r="O4325">
        <v>50000000</v>
      </c>
      <c r="P4325">
        <v>50000000</v>
      </c>
      <c r="Q4325">
        <v>50000000</v>
      </c>
      <c r="R4325" s="14">
        <f>_xlfn.XLOOKUP(Table2[[#This Row],[LoanID]],Table1[G-L ID],Table1[ManagerCode],-99)</f>
        <v>119</v>
      </c>
      <c r="T4325"/>
    </row>
    <row r="4326" spans="1:20" x14ac:dyDescent="0.25">
      <c r="A4326">
        <v>20160229</v>
      </c>
      <c r="B4326">
        <v>2016</v>
      </c>
      <c r="C4326">
        <v>2</v>
      </c>
      <c r="D4326">
        <v>1</v>
      </c>
      <c r="E4326">
        <v>11440</v>
      </c>
      <c r="F4326">
        <v>0</v>
      </c>
      <c r="G4326">
        <v>0</v>
      </c>
      <c r="H4326">
        <v>187500</v>
      </c>
      <c r="I4326">
        <v>0</v>
      </c>
      <c r="J4326">
        <v>-18750000</v>
      </c>
      <c r="K4326">
        <v>0</v>
      </c>
      <c r="L4326">
        <v>0</v>
      </c>
      <c r="M4326">
        <v>18750000</v>
      </c>
      <c r="N4326">
        <v>0</v>
      </c>
      <c r="O4326">
        <v>18750000</v>
      </c>
      <c r="P4326">
        <v>0</v>
      </c>
      <c r="Q4326">
        <v>18750000</v>
      </c>
      <c r="R4326" s="14">
        <f>_xlfn.XLOOKUP(Table2[[#This Row],[LoanID]],Table1[G-L ID],Table1[ManagerCode],-99)</f>
        <v>183</v>
      </c>
      <c r="T4326"/>
    </row>
    <row r="4327" spans="1:20" x14ac:dyDescent="0.25">
      <c r="A4327">
        <v>20160229</v>
      </c>
      <c r="B4327">
        <v>2016</v>
      </c>
      <c r="C4327">
        <v>2</v>
      </c>
      <c r="D4327">
        <v>1</v>
      </c>
      <c r="E4327">
        <v>11480</v>
      </c>
      <c r="F4327">
        <v>372275.56</v>
      </c>
      <c r="G4327">
        <v>0</v>
      </c>
      <c r="H4327">
        <v>0</v>
      </c>
      <c r="I4327">
        <v>0</v>
      </c>
      <c r="J4327">
        <v>0</v>
      </c>
      <c r="K4327">
        <v>0</v>
      </c>
      <c r="L4327">
        <v>66500000</v>
      </c>
      <c r="M4327">
        <v>66500000</v>
      </c>
      <c r="N4327">
        <v>66500000</v>
      </c>
      <c r="O4327">
        <v>66500000</v>
      </c>
      <c r="P4327">
        <v>70000000</v>
      </c>
      <c r="Q4327">
        <v>70000000</v>
      </c>
      <c r="R4327" s="14">
        <f>_xlfn.XLOOKUP(Table2[[#This Row],[LoanID]],Table1[G-L ID],Table1[ManagerCode],-99)</f>
        <v>103</v>
      </c>
      <c r="T4327"/>
    </row>
    <row r="4328" spans="1:20" x14ac:dyDescent="0.25">
      <c r="A4328">
        <v>20160229</v>
      </c>
      <c r="B4328">
        <v>2016</v>
      </c>
      <c r="C4328">
        <v>2</v>
      </c>
      <c r="D4328">
        <v>1</v>
      </c>
      <c r="E4328">
        <v>11490</v>
      </c>
      <c r="F4328">
        <v>351703.61</v>
      </c>
      <c r="G4328">
        <v>0</v>
      </c>
      <c r="H4328">
        <v>0</v>
      </c>
      <c r="I4328">
        <v>0</v>
      </c>
      <c r="J4328">
        <v>0</v>
      </c>
      <c r="K4328">
        <v>0</v>
      </c>
      <c r="L4328">
        <v>49500000</v>
      </c>
      <c r="M4328">
        <v>49500000</v>
      </c>
      <c r="N4328">
        <v>49500000</v>
      </c>
      <c r="O4328">
        <v>49500000</v>
      </c>
      <c r="P4328">
        <v>55000000</v>
      </c>
      <c r="Q4328">
        <v>55000000</v>
      </c>
      <c r="R4328" s="14">
        <f>_xlfn.XLOOKUP(Table2[[#This Row],[LoanID]],Table1[G-L ID],Table1[ManagerCode],-99)</f>
        <v>103</v>
      </c>
      <c r="T4328"/>
    </row>
    <row r="4329" spans="1:20" x14ac:dyDescent="0.25">
      <c r="A4329">
        <v>20160229</v>
      </c>
      <c r="B4329">
        <v>2016</v>
      </c>
      <c r="C4329">
        <v>2</v>
      </c>
      <c r="D4329">
        <v>1</v>
      </c>
      <c r="E4329">
        <v>11520</v>
      </c>
      <c r="F4329">
        <v>37300.71</v>
      </c>
      <c r="G4329">
        <v>0</v>
      </c>
      <c r="H4329">
        <v>0</v>
      </c>
      <c r="I4329">
        <v>0</v>
      </c>
      <c r="J4329">
        <v>-113372</v>
      </c>
      <c r="K4329">
        <v>0</v>
      </c>
      <c r="L4329">
        <v>4163000</v>
      </c>
      <c r="M4329">
        <v>4276372</v>
      </c>
      <c r="N4329">
        <v>4163000</v>
      </c>
      <c r="O4329">
        <v>4276372</v>
      </c>
      <c r="P4329">
        <v>4163000</v>
      </c>
      <c r="Q4329">
        <v>4276372</v>
      </c>
      <c r="R4329" s="14">
        <f>_xlfn.XLOOKUP(Table2[[#This Row],[LoanID]],Table1[G-L ID],Table1[ManagerCode],-99)</f>
        <v>119</v>
      </c>
      <c r="T4329"/>
    </row>
    <row r="4330" spans="1:20" x14ac:dyDescent="0.25">
      <c r="A4330">
        <v>20160229</v>
      </c>
      <c r="B4330">
        <v>2016</v>
      </c>
      <c r="C4330">
        <v>2</v>
      </c>
      <c r="D4330">
        <v>1</v>
      </c>
      <c r="E4330">
        <v>11530</v>
      </c>
      <c r="F4330">
        <v>108275.31</v>
      </c>
      <c r="G4330">
        <v>0</v>
      </c>
      <c r="H4330">
        <v>0</v>
      </c>
      <c r="I4330">
        <v>0</v>
      </c>
      <c r="J4330">
        <v>0</v>
      </c>
      <c r="K4330">
        <v>0</v>
      </c>
      <c r="L4330">
        <v>11250000</v>
      </c>
      <c r="M4330">
        <v>11250000</v>
      </c>
      <c r="N4330">
        <v>11250000</v>
      </c>
      <c r="O4330">
        <v>11250000</v>
      </c>
      <c r="P4330">
        <v>11250000</v>
      </c>
      <c r="Q4330">
        <v>11250000</v>
      </c>
      <c r="R4330" s="14">
        <f>_xlfn.XLOOKUP(Table2[[#This Row],[LoanID]],Table1[G-L ID],Table1[ManagerCode],-99)</f>
        <v>119</v>
      </c>
      <c r="T4330"/>
    </row>
    <row r="4331" spans="1:20" x14ac:dyDescent="0.25">
      <c r="A4331">
        <v>20160229</v>
      </c>
      <c r="B4331">
        <v>2016</v>
      </c>
      <c r="C4331">
        <v>2</v>
      </c>
      <c r="D4331">
        <v>1</v>
      </c>
      <c r="E4331">
        <v>11560</v>
      </c>
      <c r="F4331">
        <v>143764.54999999999</v>
      </c>
      <c r="G4331">
        <v>0</v>
      </c>
      <c r="H4331">
        <v>0</v>
      </c>
      <c r="I4331">
        <v>0</v>
      </c>
      <c r="J4331">
        <v>0</v>
      </c>
      <c r="K4331">
        <v>16668353.25</v>
      </c>
      <c r="L4331">
        <v>16668353.25</v>
      </c>
      <c r="M4331">
        <v>0</v>
      </c>
      <c r="N4331">
        <v>16668353.25</v>
      </c>
      <c r="O4331">
        <v>0</v>
      </c>
      <c r="P4331">
        <v>16668353.25</v>
      </c>
      <c r="Q4331">
        <v>0</v>
      </c>
      <c r="R4331" s="14">
        <f>_xlfn.XLOOKUP(Table2[[#This Row],[LoanID]],Table1[G-L ID],Table1[ManagerCode],-99)</f>
        <v>183</v>
      </c>
      <c r="T4331"/>
    </row>
    <row r="4332" spans="1:20" x14ac:dyDescent="0.25">
      <c r="A4332">
        <v>20160229</v>
      </c>
      <c r="B4332">
        <v>2016</v>
      </c>
      <c r="C4332">
        <v>2</v>
      </c>
      <c r="D4332">
        <v>1</v>
      </c>
      <c r="E4332">
        <v>11590</v>
      </c>
      <c r="F4332">
        <v>23949.47</v>
      </c>
      <c r="G4332">
        <v>0</v>
      </c>
      <c r="H4332">
        <v>0</v>
      </c>
      <c r="I4332">
        <v>0</v>
      </c>
      <c r="J4332">
        <v>0</v>
      </c>
      <c r="K4332">
        <v>0</v>
      </c>
      <c r="L4332">
        <v>3507224.44</v>
      </c>
      <c r="M4332">
        <v>3507224.44</v>
      </c>
      <c r="N4332">
        <v>3507224.44</v>
      </c>
      <c r="O4332">
        <v>3507224.44</v>
      </c>
      <c r="P4332">
        <v>3507224.44</v>
      </c>
      <c r="Q4332">
        <v>3507224.44</v>
      </c>
      <c r="R4332" s="14">
        <f>_xlfn.XLOOKUP(Table2[[#This Row],[LoanID]],Table1[G-L ID],Table1[ManagerCode],-99)</f>
        <v>119</v>
      </c>
      <c r="T4332"/>
    </row>
    <row r="4333" spans="1:20" x14ac:dyDescent="0.25">
      <c r="A4333">
        <v>20160229</v>
      </c>
      <c r="B4333">
        <v>2016</v>
      </c>
      <c r="C4333">
        <v>2</v>
      </c>
      <c r="D4333">
        <v>1</v>
      </c>
      <c r="E4333">
        <v>11650</v>
      </c>
      <c r="F4333">
        <v>75000</v>
      </c>
      <c r="G4333">
        <v>0</v>
      </c>
      <c r="H4333">
        <v>0</v>
      </c>
      <c r="I4333">
        <v>0</v>
      </c>
      <c r="J4333">
        <v>0</v>
      </c>
      <c r="K4333">
        <v>0</v>
      </c>
      <c r="L4333">
        <v>9600000</v>
      </c>
      <c r="M4333">
        <v>9600000</v>
      </c>
      <c r="N4333">
        <v>9600000</v>
      </c>
      <c r="O4333">
        <v>9600000</v>
      </c>
      <c r="P4333">
        <v>12000000</v>
      </c>
      <c r="Q4333">
        <v>12000000</v>
      </c>
      <c r="R4333" s="14">
        <f>_xlfn.XLOOKUP(Table2[[#This Row],[LoanID]],Table1[G-L ID],Table1[ManagerCode],-99)</f>
        <v>103</v>
      </c>
      <c r="T4333"/>
    </row>
    <row r="4334" spans="1:20" x14ac:dyDescent="0.25">
      <c r="A4334">
        <v>20160229</v>
      </c>
      <c r="B4334">
        <v>2016</v>
      </c>
      <c r="C4334">
        <v>2</v>
      </c>
      <c r="D4334">
        <v>1</v>
      </c>
      <c r="E4334">
        <v>11680</v>
      </c>
      <c r="F4334">
        <v>57126.559999999998</v>
      </c>
      <c r="G4334">
        <v>0</v>
      </c>
      <c r="H4334">
        <v>0</v>
      </c>
      <c r="I4334">
        <v>0</v>
      </c>
      <c r="J4334">
        <v>0</v>
      </c>
      <c r="K4334">
        <v>0</v>
      </c>
      <c r="L4334">
        <v>6600000</v>
      </c>
      <c r="M4334">
        <v>6600000</v>
      </c>
      <c r="N4334">
        <v>6600000</v>
      </c>
      <c r="O4334">
        <v>6600000</v>
      </c>
      <c r="P4334">
        <v>6600000</v>
      </c>
      <c r="Q4334">
        <v>6600000</v>
      </c>
      <c r="R4334" s="14">
        <f>_xlfn.XLOOKUP(Table2[[#This Row],[LoanID]],Table1[G-L ID],Table1[ManagerCode],-99)</f>
        <v>183</v>
      </c>
      <c r="T4334"/>
    </row>
    <row r="4335" spans="1:20" x14ac:dyDescent="0.25">
      <c r="A4335">
        <v>20160229</v>
      </c>
      <c r="B4335">
        <v>2016</v>
      </c>
      <c r="C4335">
        <v>2</v>
      </c>
      <c r="D4335">
        <v>1</v>
      </c>
      <c r="E4335">
        <v>11710</v>
      </c>
      <c r="F4335">
        <v>125689.81</v>
      </c>
      <c r="G4335">
        <v>0</v>
      </c>
      <c r="H4335">
        <v>0</v>
      </c>
      <c r="I4335">
        <v>0</v>
      </c>
      <c r="J4335">
        <v>0</v>
      </c>
      <c r="K4335">
        <v>15000</v>
      </c>
      <c r="L4335">
        <v>14985000</v>
      </c>
      <c r="M4335">
        <v>14970000</v>
      </c>
      <c r="N4335">
        <v>14985000</v>
      </c>
      <c r="O4335">
        <v>14970000</v>
      </c>
      <c r="P4335">
        <v>14985000</v>
      </c>
      <c r="Q4335">
        <v>14970000</v>
      </c>
      <c r="R4335" s="14">
        <f>_xlfn.XLOOKUP(Table2[[#This Row],[LoanID]],Table1[G-L ID],Table1[ManagerCode],-99)</f>
        <v>119</v>
      </c>
      <c r="T4335"/>
    </row>
    <row r="4336" spans="1:20" x14ac:dyDescent="0.25">
      <c r="A4336">
        <v>20160229</v>
      </c>
      <c r="B4336">
        <v>2016</v>
      </c>
      <c r="C4336">
        <v>2</v>
      </c>
      <c r="D4336">
        <v>1</v>
      </c>
      <c r="E4336">
        <v>11720</v>
      </c>
      <c r="F4336">
        <v>129166.67</v>
      </c>
      <c r="G4336">
        <v>0</v>
      </c>
      <c r="H4336">
        <v>0</v>
      </c>
      <c r="I4336">
        <v>0</v>
      </c>
      <c r="J4336">
        <v>0</v>
      </c>
      <c r="K4336">
        <v>0</v>
      </c>
      <c r="L4336">
        <v>19800000</v>
      </c>
      <c r="M4336">
        <v>19800000</v>
      </c>
      <c r="N4336">
        <v>19800000</v>
      </c>
      <c r="O4336">
        <v>19800000</v>
      </c>
      <c r="P4336">
        <v>20000000</v>
      </c>
      <c r="Q4336">
        <v>20000000</v>
      </c>
      <c r="R4336" s="14">
        <f>_xlfn.XLOOKUP(Table2[[#This Row],[LoanID]],Table1[G-L ID],Table1[ManagerCode],-99)</f>
        <v>103</v>
      </c>
      <c r="T4336"/>
    </row>
    <row r="4337" spans="1:20" x14ac:dyDescent="0.25">
      <c r="A4337">
        <v>20160229</v>
      </c>
      <c r="B4337">
        <v>2016</v>
      </c>
      <c r="C4337">
        <v>2</v>
      </c>
      <c r="D4337">
        <v>1</v>
      </c>
      <c r="E4337">
        <v>11730</v>
      </c>
      <c r="F4337">
        <v>48661.72</v>
      </c>
      <c r="G4337">
        <v>0</v>
      </c>
      <c r="H4337">
        <v>0</v>
      </c>
      <c r="I4337">
        <v>0</v>
      </c>
      <c r="J4337">
        <v>0</v>
      </c>
      <c r="K4337">
        <v>0</v>
      </c>
      <c r="L4337">
        <v>4750000</v>
      </c>
      <c r="M4337">
        <v>4750000</v>
      </c>
      <c r="N4337">
        <v>4750000</v>
      </c>
      <c r="O4337">
        <v>4750000</v>
      </c>
      <c r="P4337">
        <v>4750000</v>
      </c>
      <c r="Q4337">
        <v>4750000</v>
      </c>
      <c r="R4337" s="14">
        <f>_xlfn.XLOOKUP(Table2[[#This Row],[LoanID]],Table1[G-L ID],Table1[ManagerCode],-99)</f>
        <v>119</v>
      </c>
      <c r="T4337"/>
    </row>
    <row r="4338" spans="1:20" x14ac:dyDescent="0.25">
      <c r="A4338">
        <v>20160229</v>
      </c>
      <c r="B4338">
        <v>2016</v>
      </c>
      <c r="C4338">
        <v>2</v>
      </c>
      <c r="D4338">
        <v>1</v>
      </c>
      <c r="E4338">
        <v>11750</v>
      </c>
      <c r="F4338">
        <v>62393.21</v>
      </c>
      <c r="G4338">
        <v>75895.34</v>
      </c>
      <c r="H4338">
        <v>0</v>
      </c>
      <c r="I4338">
        <v>0</v>
      </c>
      <c r="J4338">
        <v>-1198032.82</v>
      </c>
      <c r="K4338">
        <v>0</v>
      </c>
      <c r="L4338">
        <v>12573144.810000001</v>
      </c>
      <c r="M4338">
        <v>13847072.970000001</v>
      </c>
      <c r="N4338">
        <v>12573144.810000001</v>
      </c>
      <c r="O4338">
        <v>13847072.970000001</v>
      </c>
      <c r="P4338">
        <v>12573144.810000001</v>
      </c>
      <c r="Q4338">
        <v>13847072.970000001</v>
      </c>
      <c r="R4338" s="14">
        <f>_xlfn.XLOOKUP(Table2[[#This Row],[LoanID]],Table1[G-L ID],Table1[ManagerCode],-99)</f>
        <v>183</v>
      </c>
      <c r="T4338"/>
    </row>
    <row r="4339" spans="1:20" x14ac:dyDescent="0.25">
      <c r="A4339">
        <v>20160229</v>
      </c>
      <c r="B4339">
        <v>2016</v>
      </c>
      <c r="C4339">
        <v>2</v>
      </c>
      <c r="D4339">
        <v>1</v>
      </c>
      <c r="E4339">
        <v>11810</v>
      </c>
      <c r="F4339">
        <v>48726.65</v>
      </c>
      <c r="G4339">
        <v>0</v>
      </c>
      <c r="H4339">
        <v>0</v>
      </c>
      <c r="I4339">
        <v>0</v>
      </c>
      <c r="J4339">
        <v>0</v>
      </c>
      <c r="K4339">
        <v>12131.44</v>
      </c>
      <c r="L4339">
        <v>9427892.1199999992</v>
      </c>
      <c r="M4339">
        <v>9415881.9800000004</v>
      </c>
      <c r="N4339">
        <v>9427892.1199999992</v>
      </c>
      <c r="O4339">
        <v>9415881.9800000004</v>
      </c>
      <c r="P4339">
        <v>9427771.4100000001</v>
      </c>
      <c r="Q4339">
        <v>9415639.9700000007</v>
      </c>
      <c r="R4339" s="14">
        <f>_xlfn.XLOOKUP(Table2[[#This Row],[LoanID]],Table1[G-L ID],Table1[ManagerCode],-99)</f>
        <v>103</v>
      </c>
      <c r="T4339"/>
    </row>
    <row r="4340" spans="1:20" x14ac:dyDescent="0.25">
      <c r="A4340">
        <v>20160229</v>
      </c>
      <c r="B4340">
        <v>2016</v>
      </c>
      <c r="C4340">
        <v>2</v>
      </c>
      <c r="D4340">
        <v>1</v>
      </c>
      <c r="E4340">
        <v>11850</v>
      </c>
      <c r="F4340">
        <v>0</v>
      </c>
      <c r="G4340">
        <v>0</v>
      </c>
      <c r="H4340">
        <v>0</v>
      </c>
      <c r="I4340">
        <v>0</v>
      </c>
      <c r="J4340">
        <v>-450000</v>
      </c>
      <c r="K4340">
        <v>0</v>
      </c>
      <c r="L4340">
        <v>0</v>
      </c>
      <c r="M4340">
        <v>450000</v>
      </c>
      <c r="N4340">
        <v>0</v>
      </c>
      <c r="O4340">
        <v>450000</v>
      </c>
      <c r="P4340">
        <v>0</v>
      </c>
      <c r="Q4340">
        <v>450000</v>
      </c>
      <c r="R4340" s="14">
        <f>_xlfn.XLOOKUP(Table2[[#This Row],[LoanID]],Table1[G-L ID],Table1[ManagerCode],-99)</f>
        <v>183</v>
      </c>
      <c r="T4340"/>
    </row>
    <row r="4341" spans="1:20" x14ac:dyDescent="0.25">
      <c r="A4341">
        <v>20160229</v>
      </c>
      <c r="B4341">
        <v>2016</v>
      </c>
      <c r="C4341">
        <v>2</v>
      </c>
      <c r="D4341">
        <v>1</v>
      </c>
      <c r="E4341">
        <v>11880</v>
      </c>
      <c r="F4341">
        <v>363281.25</v>
      </c>
      <c r="G4341">
        <v>168447.55</v>
      </c>
      <c r="H4341">
        <v>0</v>
      </c>
      <c r="I4341">
        <v>0</v>
      </c>
      <c r="J4341">
        <v>0</v>
      </c>
      <c r="K4341">
        <v>0</v>
      </c>
      <c r="L4341">
        <v>78724075.769999996</v>
      </c>
      <c r="M4341">
        <v>78892523.319999993</v>
      </c>
      <c r="N4341">
        <v>78724075.769999996</v>
      </c>
      <c r="O4341">
        <v>78892523.319999993</v>
      </c>
      <c r="P4341">
        <v>78724075.769999996</v>
      </c>
      <c r="Q4341">
        <v>78892523.319999993</v>
      </c>
      <c r="R4341" s="14">
        <f>_xlfn.XLOOKUP(Table2[[#This Row],[LoanID]],Table1[G-L ID],Table1[ManagerCode],-99)</f>
        <v>183</v>
      </c>
      <c r="T4341"/>
    </row>
    <row r="4342" spans="1:20" x14ac:dyDescent="0.25">
      <c r="A4342">
        <v>20160229</v>
      </c>
      <c r="B4342">
        <v>2016</v>
      </c>
      <c r="C4342">
        <v>2</v>
      </c>
      <c r="D4342">
        <v>1</v>
      </c>
      <c r="E4342">
        <v>11980</v>
      </c>
      <c r="F4342">
        <v>73823.39</v>
      </c>
      <c r="G4342">
        <v>0</v>
      </c>
      <c r="H4342">
        <v>0</v>
      </c>
      <c r="I4342">
        <v>0</v>
      </c>
      <c r="J4342">
        <v>0</v>
      </c>
      <c r="K4342">
        <v>0</v>
      </c>
      <c r="L4342">
        <v>7400000</v>
      </c>
      <c r="M4342">
        <v>7400000</v>
      </c>
      <c r="N4342">
        <v>7400000</v>
      </c>
      <c r="O4342">
        <v>7400000</v>
      </c>
      <c r="P4342">
        <v>7400000</v>
      </c>
      <c r="Q4342">
        <v>7400000</v>
      </c>
      <c r="R4342" s="14">
        <f>_xlfn.XLOOKUP(Table2[[#This Row],[LoanID]],Table1[G-L ID],Table1[ManagerCode],-99)</f>
        <v>119</v>
      </c>
      <c r="T4342"/>
    </row>
    <row r="4343" spans="1:20" x14ac:dyDescent="0.25">
      <c r="A4343">
        <v>20160229</v>
      </c>
      <c r="B4343">
        <v>2016</v>
      </c>
      <c r="C4343">
        <v>2</v>
      </c>
      <c r="D4343">
        <v>1</v>
      </c>
      <c r="E4343">
        <v>11990</v>
      </c>
      <c r="F4343">
        <v>103643.33</v>
      </c>
      <c r="G4343">
        <v>0</v>
      </c>
      <c r="H4343">
        <v>0</v>
      </c>
      <c r="I4343">
        <v>0</v>
      </c>
      <c r="J4343">
        <v>0</v>
      </c>
      <c r="K4343">
        <v>0</v>
      </c>
      <c r="L4343">
        <v>14700000</v>
      </c>
      <c r="M4343">
        <v>14700000</v>
      </c>
      <c r="N4343">
        <v>14700000</v>
      </c>
      <c r="O4343">
        <v>14700000</v>
      </c>
      <c r="P4343">
        <v>15000000</v>
      </c>
      <c r="Q4343">
        <v>15000000</v>
      </c>
      <c r="R4343" s="14">
        <f>_xlfn.XLOOKUP(Table2[[#This Row],[LoanID]],Table1[G-L ID],Table1[ManagerCode],-99)</f>
        <v>220</v>
      </c>
      <c r="T4343"/>
    </row>
    <row r="4344" spans="1:20" x14ac:dyDescent="0.25">
      <c r="A4344">
        <v>20160229</v>
      </c>
      <c r="B4344">
        <v>2016</v>
      </c>
      <c r="C4344">
        <v>2</v>
      </c>
      <c r="D4344">
        <v>1</v>
      </c>
      <c r="E4344">
        <v>12010</v>
      </c>
      <c r="F4344">
        <v>174637.11</v>
      </c>
      <c r="G4344">
        <v>0</v>
      </c>
      <c r="H4344">
        <v>0</v>
      </c>
      <c r="I4344">
        <v>0</v>
      </c>
      <c r="J4344">
        <v>0</v>
      </c>
      <c r="K4344">
        <v>0</v>
      </c>
      <c r="L4344">
        <v>17535071</v>
      </c>
      <c r="M4344">
        <v>17535071</v>
      </c>
      <c r="N4344">
        <v>17535071</v>
      </c>
      <c r="O4344">
        <v>17535071</v>
      </c>
      <c r="P4344">
        <v>17535071</v>
      </c>
      <c r="Q4344">
        <v>17535071</v>
      </c>
      <c r="R4344" s="14">
        <f>_xlfn.XLOOKUP(Table2[[#This Row],[LoanID]],Table1[G-L ID],Table1[ManagerCode],-99)</f>
        <v>119</v>
      </c>
      <c r="T4344"/>
    </row>
    <row r="4345" spans="1:20" x14ac:dyDescent="0.25">
      <c r="A4345">
        <v>20160229</v>
      </c>
      <c r="B4345">
        <v>2016</v>
      </c>
      <c r="C4345">
        <v>2</v>
      </c>
      <c r="D4345">
        <v>1</v>
      </c>
      <c r="E4345">
        <v>12160</v>
      </c>
      <c r="F4345">
        <v>84170.98</v>
      </c>
      <c r="G4345">
        <v>102825.67</v>
      </c>
      <c r="H4345">
        <v>0</v>
      </c>
      <c r="I4345">
        <v>0</v>
      </c>
      <c r="J4345">
        <v>-84170.98</v>
      </c>
      <c r="K4345">
        <v>0</v>
      </c>
      <c r="L4345">
        <v>16997208.670000002</v>
      </c>
      <c r="M4345">
        <v>17184205.32</v>
      </c>
      <c r="N4345">
        <v>16997208.670000002</v>
      </c>
      <c r="O4345">
        <v>17184205.32</v>
      </c>
      <c r="P4345">
        <v>16997208.670000002</v>
      </c>
      <c r="Q4345">
        <v>17184205.32</v>
      </c>
      <c r="R4345" s="14">
        <f>_xlfn.XLOOKUP(Table2[[#This Row],[LoanID]],Table1[G-L ID],Table1[ManagerCode],-99)</f>
        <v>183</v>
      </c>
      <c r="T4345"/>
    </row>
    <row r="4346" spans="1:20" x14ac:dyDescent="0.25">
      <c r="A4346">
        <v>20160229</v>
      </c>
      <c r="B4346">
        <v>2016</v>
      </c>
      <c r="C4346">
        <v>2</v>
      </c>
      <c r="D4346">
        <v>1</v>
      </c>
      <c r="E4346">
        <v>12180</v>
      </c>
      <c r="F4346">
        <v>238880.83</v>
      </c>
      <c r="G4346">
        <v>0</v>
      </c>
      <c r="H4346">
        <v>0</v>
      </c>
      <c r="I4346">
        <v>0</v>
      </c>
      <c r="J4346">
        <v>0</v>
      </c>
      <c r="K4346">
        <v>0</v>
      </c>
      <c r="L4346">
        <v>35000000</v>
      </c>
      <c r="M4346">
        <v>35000000</v>
      </c>
      <c r="N4346">
        <v>35000000</v>
      </c>
      <c r="O4346">
        <v>35000000</v>
      </c>
      <c r="P4346">
        <v>35000000</v>
      </c>
      <c r="Q4346">
        <v>35000000</v>
      </c>
      <c r="R4346" s="14">
        <f>_xlfn.XLOOKUP(Table2[[#This Row],[LoanID]],Table1[G-L ID],Table1[ManagerCode],-99)</f>
        <v>220</v>
      </c>
      <c r="T4346"/>
    </row>
    <row r="4347" spans="1:20" x14ac:dyDescent="0.25">
      <c r="A4347">
        <v>20160229</v>
      </c>
      <c r="B4347">
        <v>2016</v>
      </c>
      <c r="C4347">
        <v>2</v>
      </c>
      <c r="D4347">
        <v>1</v>
      </c>
      <c r="E4347">
        <v>12190</v>
      </c>
      <c r="F4347">
        <v>267357.39</v>
      </c>
      <c r="G4347">
        <v>0</v>
      </c>
      <c r="H4347">
        <v>0</v>
      </c>
      <c r="I4347">
        <v>0</v>
      </c>
      <c r="J4347">
        <v>0</v>
      </c>
      <c r="K4347">
        <v>0</v>
      </c>
      <c r="L4347">
        <v>34383117</v>
      </c>
      <c r="M4347">
        <v>34383117</v>
      </c>
      <c r="N4347">
        <v>34383117</v>
      </c>
      <c r="O4347">
        <v>34383117</v>
      </c>
      <c r="P4347">
        <v>34383117</v>
      </c>
      <c r="Q4347">
        <v>34383117</v>
      </c>
      <c r="R4347" s="14">
        <f>_xlfn.XLOOKUP(Table2[[#This Row],[LoanID]],Table1[G-L ID],Table1[ManagerCode],-99)</f>
        <v>220</v>
      </c>
      <c r="T4347"/>
    </row>
    <row r="4348" spans="1:20" x14ac:dyDescent="0.25">
      <c r="A4348">
        <v>20160229</v>
      </c>
      <c r="B4348">
        <v>2016</v>
      </c>
      <c r="C4348">
        <v>2</v>
      </c>
      <c r="D4348">
        <v>1</v>
      </c>
      <c r="E4348">
        <v>12210</v>
      </c>
      <c r="F4348">
        <v>657537.89</v>
      </c>
      <c r="G4348">
        <v>0</v>
      </c>
      <c r="H4348">
        <v>0</v>
      </c>
      <c r="I4348">
        <v>0</v>
      </c>
      <c r="J4348">
        <v>0</v>
      </c>
      <c r="K4348">
        <v>238257.56</v>
      </c>
      <c r="L4348">
        <v>115465693.5</v>
      </c>
      <c r="M4348">
        <v>114285660.5</v>
      </c>
      <c r="N4348">
        <v>115465693.5</v>
      </c>
      <c r="O4348">
        <v>114285660.5</v>
      </c>
      <c r="P4348">
        <v>106390691.09999999</v>
      </c>
      <c r="Q4348">
        <v>106152433.59999999</v>
      </c>
      <c r="R4348" s="14">
        <f>_xlfn.XLOOKUP(Table2[[#This Row],[LoanID]],Table1[G-L ID],Table1[ManagerCode],-99)</f>
        <v>103</v>
      </c>
      <c r="T4348"/>
    </row>
    <row r="4349" spans="1:20" x14ac:dyDescent="0.25">
      <c r="A4349">
        <v>20160229</v>
      </c>
      <c r="B4349">
        <v>2016</v>
      </c>
      <c r="C4349">
        <v>2</v>
      </c>
      <c r="D4349">
        <v>1</v>
      </c>
      <c r="E4349">
        <v>12230</v>
      </c>
      <c r="F4349">
        <v>104641.19</v>
      </c>
      <c r="G4349">
        <v>0</v>
      </c>
      <c r="H4349">
        <v>0</v>
      </c>
      <c r="I4349">
        <v>0</v>
      </c>
      <c r="J4349">
        <v>0</v>
      </c>
      <c r="K4349">
        <v>0</v>
      </c>
      <c r="L4349">
        <v>20268813.940000001</v>
      </c>
      <c r="M4349">
        <v>20268813.940000001</v>
      </c>
      <c r="N4349">
        <v>13753361.439999999</v>
      </c>
      <c r="O4349">
        <v>13753361.439999999</v>
      </c>
      <c r="P4349">
        <v>20268813.940000001</v>
      </c>
      <c r="Q4349">
        <v>20268813.940000001</v>
      </c>
      <c r="R4349" s="14">
        <f>_xlfn.XLOOKUP(Table2[[#This Row],[LoanID]],Table1[G-L ID],Table1[ManagerCode],-99)</f>
        <v>183</v>
      </c>
      <c r="T4349"/>
    </row>
    <row r="4350" spans="1:20" x14ac:dyDescent="0.25">
      <c r="A4350">
        <v>20160229</v>
      </c>
      <c r="B4350">
        <v>2016</v>
      </c>
      <c r="C4350">
        <v>2</v>
      </c>
      <c r="D4350">
        <v>1</v>
      </c>
      <c r="E4350">
        <v>12240</v>
      </c>
      <c r="F4350">
        <v>0</v>
      </c>
      <c r="G4350">
        <v>1472392.91</v>
      </c>
      <c r="H4350">
        <v>0</v>
      </c>
      <c r="I4350">
        <v>0</v>
      </c>
      <c r="J4350">
        <v>0</v>
      </c>
      <c r="K4350">
        <v>0</v>
      </c>
      <c r="L4350">
        <v>132349924.59999999</v>
      </c>
      <c r="M4350">
        <v>133822317.5</v>
      </c>
      <c r="N4350">
        <v>132349924.59999999</v>
      </c>
      <c r="O4350">
        <v>133822317.5</v>
      </c>
      <c r="P4350">
        <v>132349924.59999999</v>
      </c>
      <c r="Q4350">
        <v>133822317.5</v>
      </c>
      <c r="R4350" s="14">
        <f>_xlfn.XLOOKUP(Table2[[#This Row],[LoanID]],Table1[G-L ID],Table1[ManagerCode],-99)</f>
        <v>183</v>
      </c>
      <c r="T4350"/>
    </row>
    <row r="4351" spans="1:20" x14ac:dyDescent="0.25">
      <c r="A4351">
        <v>20160229</v>
      </c>
      <c r="B4351">
        <v>2016</v>
      </c>
      <c r="C4351">
        <v>2</v>
      </c>
      <c r="D4351">
        <v>1</v>
      </c>
      <c r="E4351">
        <v>13630</v>
      </c>
      <c r="F4351">
        <v>211458.33</v>
      </c>
      <c r="G4351">
        <v>0</v>
      </c>
      <c r="H4351">
        <v>0</v>
      </c>
      <c r="I4351">
        <v>0</v>
      </c>
      <c r="J4351">
        <v>0</v>
      </c>
      <c r="K4351">
        <v>0</v>
      </c>
      <c r="L4351">
        <v>33468087</v>
      </c>
      <c r="M4351">
        <v>33468087</v>
      </c>
      <c r="N4351">
        <v>33468087</v>
      </c>
      <c r="O4351">
        <v>33468087</v>
      </c>
      <c r="P4351">
        <v>35000000</v>
      </c>
      <c r="Q4351">
        <v>35000000</v>
      </c>
      <c r="R4351" s="14">
        <f>_xlfn.XLOOKUP(Table2[[#This Row],[LoanID]],Table1[G-L ID],Table1[ManagerCode],-99)</f>
        <v>298</v>
      </c>
      <c r="T4351"/>
    </row>
    <row r="4352" spans="1:20" x14ac:dyDescent="0.25">
      <c r="A4352">
        <v>20160229</v>
      </c>
      <c r="B4352">
        <v>2016</v>
      </c>
      <c r="C4352">
        <v>2</v>
      </c>
      <c r="D4352">
        <v>1</v>
      </c>
      <c r="E4352">
        <v>13670</v>
      </c>
      <c r="F4352">
        <v>288235.42</v>
      </c>
      <c r="G4352">
        <v>0</v>
      </c>
      <c r="H4352">
        <v>0</v>
      </c>
      <c r="I4352">
        <v>0</v>
      </c>
      <c r="J4352">
        <v>0</v>
      </c>
      <c r="K4352">
        <v>0</v>
      </c>
      <c r="L4352">
        <v>37369414</v>
      </c>
      <c r="M4352">
        <v>37369414</v>
      </c>
      <c r="N4352">
        <v>37369414</v>
      </c>
      <c r="O4352">
        <v>37369414</v>
      </c>
      <c r="P4352">
        <v>37500000</v>
      </c>
      <c r="Q4352">
        <v>37500000</v>
      </c>
      <c r="R4352" s="14">
        <f>_xlfn.XLOOKUP(Table2[[#This Row],[LoanID]],Table1[G-L ID],Table1[ManagerCode],-99)</f>
        <v>298</v>
      </c>
      <c r="T4352"/>
    </row>
    <row r="4353" spans="1:20" x14ac:dyDescent="0.25">
      <c r="A4353">
        <v>20160229</v>
      </c>
      <c r="B4353">
        <v>2016</v>
      </c>
      <c r="C4353">
        <v>2</v>
      </c>
      <c r="D4353">
        <v>1</v>
      </c>
      <c r="E4353">
        <v>13680</v>
      </c>
      <c r="F4353">
        <v>127750</v>
      </c>
      <c r="G4353">
        <v>0</v>
      </c>
      <c r="H4353">
        <v>0</v>
      </c>
      <c r="I4353">
        <v>0</v>
      </c>
      <c r="J4353">
        <v>0</v>
      </c>
      <c r="K4353">
        <v>0</v>
      </c>
      <c r="L4353">
        <v>18283364</v>
      </c>
      <c r="M4353">
        <v>18283364</v>
      </c>
      <c r="N4353">
        <v>18283364</v>
      </c>
      <c r="O4353">
        <v>18283364</v>
      </c>
      <c r="P4353">
        <v>18000000</v>
      </c>
      <c r="Q4353">
        <v>18000000</v>
      </c>
      <c r="R4353" s="14">
        <f>_xlfn.XLOOKUP(Table2[[#This Row],[LoanID]],Table1[G-L ID],Table1[ManagerCode],-99)</f>
        <v>298</v>
      </c>
      <c r="T4353"/>
    </row>
    <row r="4354" spans="1:20" x14ac:dyDescent="0.25">
      <c r="A4354">
        <v>20160229</v>
      </c>
      <c r="B4354">
        <v>2016</v>
      </c>
      <c r="C4354">
        <v>2</v>
      </c>
      <c r="D4354">
        <v>1</v>
      </c>
      <c r="E4354">
        <v>13690</v>
      </c>
      <c r="F4354">
        <v>133472.22</v>
      </c>
      <c r="G4354">
        <v>0</v>
      </c>
      <c r="H4354">
        <v>0</v>
      </c>
      <c r="I4354">
        <v>0</v>
      </c>
      <c r="J4354">
        <v>0</v>
      </c>
      <c r="K4354">
        <v>0</v>
      </c>
      <c r="L4354">
        <v>19169472</v>
      </c>
      <c r="M4354">
        <v>19169472</v>
      </c>
      <c r="N4354">
        <v>19169472</v>
      </c>
      <c r="O4354">
        <v>19169472</v>
      </c>
      <c r="P4354">
        <v>20000000</v>
      </c>
      <c r="Q4354">
        <v>20000000</v>
      </c>
      <c r="R4354" s="14">
        <f>_xlfn.XLOOKUP(Table2[[#This Row],[LoanID]],Table1[G-L ID],Table1[ManagerCode],-99)</f>
        <v>298</v>
      </c>
      <c r="T4354"/>
    </row>
    <row r="4355" spans="1:20" x14ac:dyDescent="0.25">
      <c r="A4355">
        <v>20160229</v>
      </c>
      <c r="B4355">
        <v>2016</v>
      </c>
      <c r="C4355">
        <v>2</v>
      </c>
      <c r="D4355">
        <v>1</v>
      </c>
      <c r="E4355">
        <v>15580</v>
      </c>
      <c r="F4355">
        <v>117876.27</v>
      </c>
      <c r="G4355">
        <v>-7646.09</v>
      </c>
      <c r="H4355">
        <v>0</v>
      </c>
      <c r="I4355">
        <v>0</v>
      </c>
      <c r="J4355">
        <v>0</v>
      </c>
      <c r="K4355">
        <v>5525.04</v>
      </c>
      <c r="L4355">
        <v>14916641.310000001</v>
      </c>
      <c r="M4355">
        <v>14903470.18</v>
      </c>
      <c r="N4355">
        <v>14916641.310000001</v>
      </c>
      <c r="O4355">
        <v>14903470.18</v>
      </c>
      <c r="P4355">
        <v>14916641.310000001</v>
      </c>
      <c r="Q4355">
        <v>14903470.18</v>
      </c>
      <c r="R4355" s="14">
        <f>_xlfn.XLOOKUP(Table2[[#This Row],[LoanID]],Table1[G-L ID],Table1[ManagerCode],-99)</f>
        <v>212</v>
      </c>
      <c r="T4355"/>
    </row>
    <row r="4356" spans="1:20" x14ac:dyDescent="0.25">
      <c r="A4356">
        <v>20160331</v>
      </c>
      <c r="B4356">
        <v>2016</v>
      </c>
      <c r="C4356">
        <v>3</v>
      </c>
      <c r="D4356">
        <v>1</v>
      </c>
      <c r="E4356">
        <v>10010</v>
      </c>
      <c r="F4356">
        <v>155845.51</v>
      </c>
      <c r="G4356">
        <v>0</v>
      </c>
      <c r="H4356">
        <v>0</v>
      </c>
      <c r="I4356">
        <v>0</v>
      </c>
      <c r="J4356">
        <v>0</v>
      </c>
      <c r="K4356">
        <v>0</v>
      </c>
      <c r="L4356">
        <v>18603662</v>
      </c>
      <c r="M4356">
        <v>18603662</v>
      </c>
      <c r="N4356">
        <v>18603662</v>
      </c>
      <c r="O4356">
        <v>18603662</v>
      </c>
      <c r="P4356">
        <v>18603662</v>
      </c>
      <c r="Q4356">
        <v>18603662</v>
      </c>
      <c r="R4356" s="14">
        <f>_xlfn.XLOOKUP(Table2[[#This Row],[LoanID]],Table1[G-L ID],Table1[ManagerCode],-99)</f>
        <v>119</v>
      </c>
      <c r="T4356"/>
    </row>
    <row r="4357" spans="1:20" x14ac:dyDescent="0.25">
      <c r="A4357">
        <v>20160331</v>
      </c>
      <c r="B4357">
        <v>2016</v>
      </c>
      <c r="C4357">
        <v>3</v>
      </c>
      <c r="D4357">
        <v>1</v>
      </c>
      <c r="E4357">
        <v>10030</v>
      </c>
      <c r="F4357">
        <v>59673.46</v>
      </c>
      <c r="G4357">
        <v>0</v>
      </c>
      <c r="H4357">
        <v>0</v>
      </c>
      <c r="I4357">
        <v>0</v>
      </c>
      <c r="J4357">
        <v>0</v>
      </c>
      <c r="K4357">
        <v>0</v>
      </c>
      <c r="L4357">
        <v>7909070</v>
      </c>
      <c r="M4357">
        <v>7909070</v>
      </c>
      <c r="N4357">
        <v>7909070</v>
      </c>
      <c r="O4357">
        <v>7909070</v>
      </c>
      <c r="P4357">
        <v>7909070</v>
      </c>
      <c r="Q4357">
        <v>7909070</v>
      </c>
      <c r="R4357" s="14">
        <f>_xlfn.XLOOKUP(Table2[[#This Row],[LoanID]],Table1[G-L ID],Table1[ManagerCode],-99)</f>
        <v>119</v>
      </c>
      <c r="T4357"/>
    </row>
    <row r="4358" spans="1:20" x14ac:dyDescent="0.25">
      <c r="A4358">
        <v>20160331</v>
      </c>
      <c r="B4358">
        <v>2016</v>
      </c>
      <c r="C4358">
        <v>3</v>
      </c>
      <c r="D4358">
        <v>1</v>
      </c>
      <c r="E4358">
        <v>10040</v>
      </c>
      <c r="F4358">
        <v>42009.72</v>
      </c>
      <c r="G4358">
        <v>0</v>
      </c>
      <c r="H4358">
        <v>0</v>
      </c>
      <c r="I4358">
        <v>0</v>
      </c>
      <c r="J4358">
        <v>0</v>
      </c>
      <c r="K4358">
        <v>0</v>
      </c>
      <c r="L4358">
        <v>5000000</v>
      </c>
      <c r="M4358">
        <v>5000000</v>
      </c>
      <c r="N4358">
        <v>5000000</v>
      </c>
      <c r="O4358">
        <v>5000000</v>
      </c>
      <c r="P4358">
        <v>5000000</v>
      </c>
      <c r="Q4358">
        <v>5000000</v>
      </c>
      <c r="R4358" s="14">
        <f>_xlfn.XLOOKUP(Table2[[#This Row],[LoanID]],Table1[G-L ID],Table1[ManagerCode],-99)</f>
        <v>119</v>
      </c>
      <c r="T4358"/>
    </row>
    <row r="4359" spans="1:20" x14ac:dyDescent="0.25">
      <c r="A4359">
        <v>20160331</v>
      </c>
      <c r="B4359">
        <v>2016</v>
      </c>
      <c r="C4359">
        <v>3</v>
      </c>
      <c r="D4359">
        <v>1</v>
      </c>
      <c r="E4359">
        <v>10050</v>
      </c>
      <c r="F4359">
        <v>-144046.76</v>
      </c>
      <c r="G4359">
        <v>0</v>
      </c>
      <c r="H4359">
        <v>0</v>
      </c>
      <c r="I4359">
        <v>0</v>
      </c>
      <c r="J4359">
        <v>0</v>
      </c>
      <c r="K4359">
        <v>0</v>
      </c>
      <c r="L4359">
        <v>37978023.100000001</v>
      </c>
      <c r="M4359">
        <v>37933940.210000001</v>
      </c>
      <c r="N4359">
        <v>37978023.100000001</v>
      </c>
      <c r="O4359">
        <v>37933940.210000001</v>
      </c>
      <c r="P4359">
        <v>33333334</v>
      </c>
      <c r="Q4359">
        <v>33333334</v>
      </c>
      <c r="R4359" s="14">
        <f>_xlfn.XLOOKUP(Table2[[#This Row],[LoanID]],Table1[G-L ID],Table1[ManagerCode],-99)</f>
        <v>103</v>
      </c>
      <c r="T4359"/>
    </row>
    <row r="4360" spans="1:20" x14ac:dyDescent="0.25">
      <c r="A4360">
        <v>20160331</v>
      </c>
      <c r="B4360">
        <v>2016</v>
      </c>
      <c r="C4360">
        <v>3</v>
      </c>
      <c r="D4360">
        <v>1</v>
      </c>
      <c r="E4360">
        <v>10100</v>
      </c>
      <c r="F4360">
        <v>187464.86</v>
      </c>
      <c r="G4360">
        <v>0</v>
      </c>
      <c r="H4360">
        <v>0</v>
      </c>
      <c r="I4360">
        <v>0</v>
      </c>
      <c r="J4360">
        <v>0</v>
      </c>
      <c r="K4360">
        <v>0</v>
      </c>
      <c r="L4360">
        <v>30500000</v>
      </c>
      <c r="M4360">
        <v>30500000</v>
      </c>
      <c r="N4360">
        <v>30500000</v>
      </c>
      <c r="O4360">
        <v>30500000</v>
      </c>
      <c r="P4360">
        <v>30500000</v>
      </c>
      <c r="Q4360">
        <v>30500000</v>
      </c>
      <c r="R4360" s="14">
        <f>_xlfn.XLOOKUP(Table2[[#This Row],[LoanID]],Table1[G-L ID],Table1[ManagerCode],-99)</f>
        <v>220</v>
      </c>
      <c r="T4360"/>
    </row>
    <row r="4361" spans="1:20" x14ac:dyDescent="0.25">
      <c r="A4361">
        <v>20160331</v>
      </c>
      <c r="B4361">
        <v>2016</v>
      </c>
      <c r="C4361">
        <v>3</v>
      </c>
      <c r="D4361">
        <v>1</v>
      </c>
      <c r="E4361">
        <v>10120</v>
      </c>
      <c r="F4361">
        <v>50824.6</v>
      </c>
      <c r="G4361">
        <v>55631.75</v>
      </c>
      <c r="H4361">
        <v>0</v>
      </c>
      <c r="I4361">
        <v>0</v>
      </c>
      <c r="J4361">
        <v>-50824.6</v>
      </c>
      <c r="K4361">
        <v>0</v>
      </c>
      <c r="L4361">
        <v>10251418.289999999</v>
      </c>
      <c r="M4361">
        <v>10357874.640000001</v>
      </c>
      <c r="N4361">
        <v>10251418.289999999</v>
      </c>
      <c r="O4361">
        <v>10357874.640000001</v>
      </c>
      <c r="P4361">
        <v>10251418.289999999</v>
      </c>
      <c r="Q4361">
        <v>10357874.640000001</v>
      </c>
      <c r="R4361" s="14">
        <f>_xlfn.XLOOKUP(Table2[[#This Row],[LoanID]],Table1[G-L ID],Table1[ManagerCode],-99)</f>
        <v>183</v>
      </c>
      <c r="T4361"/>
    </row>
    <row r="4362" spans="1:20" x14ac:dyDescent="0.25">
      <c r="A4362">
        <v>20160331</v>
      </c>
      <c r="B4362">
        <v>2016</v>
      </c>
      <c r="C4362">
        <v>3</v>
      </c>
      <c r="D4362">
        <v>1</v>
      </c>
      <c r="E4362">
        <v>10160</v>
      </c>
      <c r="F4362">
        <v>106740.76</v>
      </c>
      <c r="G4362">
        <v>0</v>
      </c>
      <c r="H4362">
        <v>0</v>
      </c>
      <c r="I4362">
        <v>0</v>
      </c>
      <c r="J4362">
        <v>-143626.18</v>
      </c>
      <c r="K4362">
        <v>0</v>
      </c>
      <c r="L4362">
        <v>14051513.300000001</v>
      </c>
      <c r="M4362">
        <v>14195139.48</v>
      </c>
      <c r="N4362">
        <v>14051513.300000001</v>
      </c>
      <c r="O4362">
        <v>14195139.48</v>
      </c>
      <c r="P4362">
        <v>14051513.300000001</v>
      </c>
      <c r="Q4362">
        <v>14195139.48</v>
      </c>
      <c r="R4362" s="14">
        <f>_xlfn.XLOOKUP(Table2[[#This Row],[LoanID]],Table1[G-L ID],Table1[ManagerCode],-99)</f>
        <v>119</v>
      </c>
      <c r="T4362"/>
    </row>
    <row r="4363" spans="1:20" x14ac:dyDescent="0.25">
      <c r="A4363">
        <v>20160331</v>
      </c>
      <c r="B4363">
        <v>2016</v>
      </c>
      <c r="C4363">
        <v>3</v>
      </c>
      <c r="D4363">
        <v>1</v>
      </c>
      <c r="E4363">
        <v>10220</v>
      </c>
      <c r="F4363">
        <v>523611.11</v>
      </c>
      <c r="G4363">
        <v>0</v>
      </c>
      <c r="H4363">
        <v>0</v>
      </c>
      <c r="I4363">
        <v>0</v>
      </c>
      <c r="J4363">
        <v>0</v>
      </c>
      <c r="K4363">
        <v>0</v>
      </c>
      <c r="L4363">
        <v>115195595.40000001</v>
      </c>
      <c r="M4363">
        <v>115342711.7</v>
      </c>
      <c r="N4363">
        <v>115195595.40000001</v>
      </c>
      <c r="O4363">
        <v>115342711.7</v>
      </c>
      <c r="P4363">
        <v>100000000</v>
      </c>
      <c r="Q4363">
        <v>100000000</v>
      </c>
      <c r="R4363" s="14">
        <f>_xlfn.XLOOKUP(Table2[[#This Row],[LoanID]],Table1[G-L ID],Table1[ManagerCode],-99)</f>
        <v>103</v>
      </c>
      <c r="T4363"/>
    </row>
    <row r="4364" spans="1:20" x14ac:dyDescent="0.25">
      <c r="A4364">
        <v>20160331</v>
      </c>
      <c r="B4364">
        <v>2016</v>
      </c>
      <c r="C4364">
        <v>3</v>
      </c>
      <c r="D4364">
        <v>1</v>
      </c>
      <c r="E4364">
        <v>10240</v>
      </c>
      <c r="F4364">
        <v>84855.21</v>
      </c>
      <c r="G4364">
        <v>0</v>
      </c>
      <c r="H4364">
        <v>0</v>
      </c>
      <c r="I4364">
        <v>0</v>
      </c>
      <c r="J4364">
        <v>0</v>
      </c>
      <c r="K4364">
        <v>0</v>
      </c>
      <c r="L4364">
        <v>12500000</v>
      </c>
      <c r="M4364">
        <v>12500000</v>
      </c>
      <c r="N4364">
        <v>12500000</v>
      </c>
      <c r="O4364">
        <v>12500000</v>
      </c>
      <c r="P4364">
        <v>12500000</v>
      </c>
      <c r="Q4364">
        <v>12500000</v>
      </c>
      <c r="R4364" s="14">
        <f>_xlfn.XLOOKUP(Table2[[#This Row],[LoanID]],Table1[G-L ID],Table1[ManagerCode],-99)</f>
        <v>220</v>
      </c>
      <c r="T4364"/>
    </row>
    <row r="4365" spans="1:20" x14ac:dyDescent="0.25">
      <c r="A4365">
        <v>20160331</v>
      </c>
      <c r="B4365">
        <v>2016</v>
      </c>
      <c r="C4365">
        <v>3</v>
      </c>
      <c r="D4365">
        <v>1</v>
      </c>
      <c r="E4365">
        <v>10250</v>
      </c>
      <c r="F4365">
        <v>47153.19</v>
      </c>
      <c r="G4365">
        <v>0</v>
      </c>
      <c r="H4365">
        <v>0</v>
      </c>
      <c r="I4365">
        <v>0</v>
      </c>
      <c r="J4365">
        <v>0</v>
      </c>
      <c r="K4365">
        <v>0</v>
      </c>
      <c r="L4365">
        <v>5000000</v>
      </c>
      <c r="M4365">
        <v>5000000</v>
      </c>
      <c r="N4365">
        <v>5000000</v>
      </c>
      <c r="O4365">
        <v>5000000</v>
      </c>
      <c r="P4365">
        <v>5000000</v>
      </c>
      <c r="Q4365">
        <v>5000000</v>
      </c>
      <c r="R4365" s="14">
        <f>_xlfn.XLOOKUP(Table2[[#This Row],[LoanID]],Table1[G-L ID],Table1[ManagerCode],-99)</f>
        <v>119</v>
      </c>
      <c r="T4365"/>
    </row>
    <row r="4366" spans="1:20" x14ac:dyDescent="0.25">
      <c r="A4366">
        <v>20160331</v>
      </c>
      <c r="B4366">
        <v>2016</v>
      </c>
      <c r="C4366">
        <v>3</v>
      </c>
      <c r="D4366">
        <v>1</v>
      </c>
      <c r="E4366">
        <v>10260</v>
      </c>
      <c r="F4366">
        <v>96258.25</v>
      </c>
      <c r="G4366">
        <v>0</v>
      </c>
      <c r="H4366">
        <v>0</v>
      </c>
      <c r="I4366">
        <v>0</v>
      </c>
      <c r="J4366">
        <v>0</v>
      </c>
      <c r="K4366">
        <v>0</v>
      </c>
      <c r="L4366">
        <v>15000000</v>
      </c>
      <c r="M4366">
        <v>15000000</v>
      </c>
      <c r="N4366">
        <v>15000000</v>
      </c>
      <c r="O4366">
        <v>15000000</v>
      </c>
      <c r="P4366">
        <v>15000000</v>
      </c>
      <c r="Q4366">
        <v>15000000</v>
      </c>
      <c r="R4366" s="14">
        <f>_xlfn.XLOOKUP(Table2[[#This Row],[LoanID]],Table1[G-L ID],Table1[ManagerCode],-99)</f>
        <v>220</v>
      </c>
      <c r="T4366"/>
    </row>
    <row r="4367" spans="1:20" x14ac:dyDescent="0.25">
      <c r="A4367">
        <v>20160331</v>
      </c>
      <c r="B4367">
        <v>2016</v>
      </c>
      <c r="C4367">
        <v>3</v>
      </c>
      <c r="D4367">
        <v>1</v>
      </c>
      <c r="E4367">
        <v>10270</v>
      </c>
      <c r="F4367">
        <v>41419</v>
      </c>
      <c r="G4367">
        <v>0</v>
      </c>
      <c r="H4367">
        <v>0</v>
      </c>
      <c r="I4367">
        <v>0</v>
      </c>
      <c r="J4367">
        <v>0</v>
      </c>
      <c r="K4367">
        <v>0</v>
      </c>
      <c r="L4367">
        <v>5400000</v>
      </c>
      <c r="M4367">
        <v>5400000</v>
      </c>
      <c r="N4367">
        <v>5400000</v>
      </c>
      <c r="O4367">
        <v>5400000</v>
      </c>
      <c r="P4367">
        <v>5400000</v>
      </c>
      <c r="Q4367">
        <v>5400000</v>
      </c>
      <c r="R4367" s="14">
        <f>_xlfn.XLOOKUP(Table2[[#This Row],[LoanID]],Table1[G-L ID],Table1[ManagerCode],-99)</f>
        <v>119</v>
      </c>
      <c r="T4367"/>
    </row>
    <row r="4368" spans="1:20" x14ac:dyDescent="0.25">
      <c r="A4368">
        <v>20160331</v>
      </c>
      <c r="B4368">
        <v>2016</v>
      </c>
      <c r="C4368">
        <v>3</v>
      </c>
      <c r="D4368">
        <v>1</v>
      </c>
      <c r="E4368">
        <v>10350</v>
      </c>
      <c r="F4368">
        <v>174805.56</v>
      </c>
      <c r="G4368">
        <v>0</v>
      </c>
      <c r="H4368">
        <v>0</v>
      </c>
      <c r="I4368">
        <v>0</v>
      </c>
      <c r="J4368">
        <v>0</v>
      </c>
      <c r="K4368">
        <v>0</v>
      </c>
      <c r="L4368">
        <v>24800000</v>
      </c>
      <c r="M4368">
        <v>24800000</v>
      </c>
      <c r="N4368">
        <v>24800000</v>
      </c>
      <c r="O4368">
        <v>24800000</v>
      </c>
      <c r="P4368">
        <v>24800000</v>
      </c>
      <c r="Q4368">
        <v>24800000</v>
      </c>
      <c r="R4368" s="14">
        <f>_xlfn.XLOOKUP(Table2[[#This Row],[LoanID]],Table1[G-L ID],Table1[ManagerCode],-99)</f>
        <v>220</v>
      </c>
      <c r="T4368"/>
    </row>
    <row r="4369" spans="1:20" x14ac:dyDescent="0.25">
      <c r="A4369">
        <v>20160331</v>
      </c>
      <c r="B4369">
        <v>2016</v>
      </c>
      <c r="C4369">
        <v>3</v>
      </c>
      <c r="D4369">
        <v>1</v>
      </c>
      <c r="E4369">
        <v>10360</v>
      </c>
      <c r="F4369">
        <v>57858.96</v>
      </c>
      <c r="G4369">
        <v>0</v>
      </c>
      <c r="H4369">
        <v>0</v>
      </c>
      <c r="I4369">
        <v>0</v>
      </c>
      <c r="J4369">
        <v>0</v>
      </c>
      <c r="K4369">
        <v>0</v>
      </c>
      <c r="L4369">
        <v>5909000</v>
      </c>
      <c r="M4369">
        <v>5909000</v>
      </c>
      <c r="N4369">
        <v>5909000</v>
      </c>
      <c r="O4369">
        <v>5909000</v>
      </c>
      <c r="P4369">
        <v>5909000</v>
      </c>
      <c r="Q4369">
        <v>5909000</v>
      </c>
      <c r="R4369" s="14">
        <f>_xlfn.XLOOKUP(Table2[[#This Row],[LoanID]],Table1[G-L ID],Table1[ManagerCode],-99)</f>
        <v>183</v>
      </c>
      <c r="T4369"/>
    </row>
    <row r="4370" spans="1:20" x14ac:dyDescent="0.25">
      <c r="A4370">
        <v>20160331</v>
      </c>
      <c r="B4370">
        <v>2016</v>
      </c>
      <c r="C4370">
        <v>3</v>
      </c>
      <c r="D4370">
        <v>1</v>
      </c>
      <c r="E4370">
        <v>10430</v>
      </c>
      <c r="F4370">
        <v>85189.18</v>
      </c>
      <c r="G4370">
        <v>0</v>
      </c>
      <c r="H4370">
        <v>0</v>
      </c>
      <c r="I4370">
        <v>0</v>
      </c>
      <c r="J4370">
        <v>0</v>
      </c>
      <c r="K4370">
        <v>23400</v>
      </c>
      <c r="L4370">
        <v>10649000</v>
      </c>
      <c r="M4370">
        <v>10625600</v>
      </c>
      <c r="N4370">
        <v>10649000</v>
      </c>
      <c r="O4370">
        <v>10625600</v>
      </c>
      <c r="P4370">
        <v>10649000</v>
      </c>
      <c r="Q4370">
        <v>10625600</v>
      </c>
      <c r="R4370" s="14">
        <f>_xlfn.XLOOKUP(Table2[[#This Row],[LoanID]],Table1[G-L ID],Table1[ManagerCode],-99)</f>
        <v>119</v>
      </c>
      <c r="T4370"/>
    </row>
    <row r="4371" spans="1:20" x14ac:dyDescent="0.25">
      <c r="A4371">
        <v>20160331</v>
      </c>
      <c r="B4371">
        <v>2016</v>
      </c>
      <c r="C4371">
        <v>3</v>
      </c>
      <c r="D4371">
        <v>1</v>
      </c>
      <c r="E4371">
        <v>10480</v>
      </c>
      <c r="F4371">
        <v>165434.4</v>
      </c>
      <c r="G4371">
        <v>0</v>
      </c>
      <c r="H4371">
        <v>0</v>
      </c>
      <c r="I4371">
        <v>0</v>
      </c>
      <c r="J4371">
        <v>-365117</v>
      </c>
      <c r="K4371">
        <v>0</v>
      </c>
      <c r="L4371">
        <v>23770786.420000002</v>
      </c>
      <c r="M4371">
        <v>24135903.420000002</v>
      </c>
      <c r="N4371">
        <v>23770786.420000002</v>
      </c>
      <c r="O4371">
        <v>24135903.420000002</v>
      </c>
      <c r="P4371">
        <v>23770786.420000002</v>
      </c>
      <c r="Q4371">
        <v>24135903.420000002</v>
      </c>
      <c r="R4371" s="14">
        <f>_xlfn.XLOOKUP(Table2[[#This Row],[LoanID]],Table1[G-L ID],Table1[ManagerCode],-99)</f>
        <v>119</v>
      </c>
      <c r="T4371"/>
    </row>
    <row r="4372" spans="1:20" x14ac:dyDescent="0.25">
      <c r="A4372">
        <v>20160331</v>
      </c>
      <c r="B4372">
        <v>2016</v>
      </c>
      <c r="C4372">
        <v>3</v>
      </c>
      <c r="D4372">
        <v>1</v>
      </c>
      <c r="E4372">
        <v>10570</v>
      </c>
      <c r="F4372">
        <v>778015.72</v>
      </c>
      <c r="G4372">
        <v>0</v>
      </c>
      <c r="H4372">
        <v>0</v>
      </c>
      <c r="I4372">
        <v>0</v>
      </c>
      <c r="J4372">
        <v>0</v>
      </c>
      <c r="K4372">
        <v>0</v>
      </c>
      <c r="L4372">
        <v>156356260.69999999</v>
      </c>
      <c r="M4372">
        <v>156356260.69999999</v>
      </c>
      <c r="N4372">
        <v>156356260.69999999</v>
      </c>
      <c r="O4372">
        <v>156356260.69999999</v>
      </c>
      <c r="P4372">
        <v>156356260.69999999</v>
      </c>
      <c r="Q4372">
        <v>156356260.69999999</v>
      </c>
      <c r="R4372" s="14">
        <f>_xlfn.XLOOKUP(Table2[[#This Row],[LoanID]],Table1[G-L ID],Table1[ManagerCode],-99)</f>
        <v>103</v>
      </c>
      <c r="T4372"/>
    </row>
    <row r="4373" spans="1:20" x14ac:dyDescent="0.25">
      <c r="A4373">
        <v>20160331</v>
      </c>
      <c r="B4373">
        <v>2016</v>
      </c>
      <c r="C4373">
        <v>3</v>
      </c>
      <c r="D4373">
        <v>1</v>
      </c>
      <c r="E4373">
        <v>10591</v>
      </c>
      <c r="F4373">
        <v>205596.18</v>
      </c>
      <c r="G4373">
        <v>0</v>
      </c>
      <c r="H4373">
        <v>0</v>
      </c>
      <c r="I4373">
        <v>0</v>
      </c>
      <c r="J4373">
        <v>0</v>
      </c>
      <c r="K4373">
        <v>208385.01</v>
      </c>
      <c r="L4373">
        <v>24475036.780000001</v>
      </c>
      <c r="M4373">
        <v>24266651.77</v>
      </c>
      <c r="N4373">
        <v>24475036.780000001</v>
      </c>
      <c r="O4373">
        <v>24266651.77</v>
      </c>
      <c r="P4373">
        <v>24475036.780000001</v>
      </c>
      <c r="Q4373">
        <v>24266651.77</v>
      </c>
      <c r="R4373" s="14">
        <f>_xlfn.XLOOKUP(Table2[[#This Row],[LoanID]],Table1[G-L ID],Table1[ManagerCode],-99)</f>
        <v>220</v>
      </c>
      <c r="T4373"/>
    </row>
    <row r="4374" spans="1:20" x14ac:dyDescent="0.25">
      <c r="A4374">
        <v>20160331</v>
      </c>
      <c r="B4374">
        <v>2016</v>
      </c>
      <c r="C4374">
        <v>3</v>
      </c>
      <c r="D4374">
        <v>1</v>
      </c>
      <c r="E4374">
        <v>10592</v>
      </c>
      <c r="F4374">
        <v>340170.9</v>
      </c>
      <c r="G4374">
        <v>0</v>
      </c>
      <c r="H4374">
        <v>0</v>
      </c>
      <c r="I4374">
        <v>0</v>
      </c>
      <c r="J4374">
        <v>0</v>
      </c>
      <c r="K4374">
        <v>307615.99</v>
      </c>
      <c r="L4374">
        <v>36326728.630000003</v>
      </c>
      <c r="M4374">
        <v>36017436.090000004</v>
      </c>
      <c r="N4374">
        <v>36326728.630000003</v>
      </c>
      <c r="O4374">
        <v>36017436.090000004</v>
      </c>
      <c r="P4374">
        <v>36129816.219999999</v>
      </c>
      <c r="Q4374">
        <v>35822200.229999997</v>
      </c>
      <c r="R4374" s="14">
        <f>_xlfn.XLOOKUP(Table2[[#This Row],[LoanID]],Table1[G-L ID],Table1[ManagerCode],-99)</f>
        <v>220</v>
      </c>
      <c r="T4374"/>
    </row>
    <row r="4375" spans="1:20" x14ac:dyDescent="0.25">
      <c r="A4375">
        <v>20160331</v>
      </c>
      <c r="B4375">
        <v>2016</v>
      </c>
      <c r="C4375">
        <v>3</v>
      </c>
      <c r="D4375">
        <v>1</v>
      </c>
      <c r="E4375">
        <v>10640</v>
      </c>
      <c r="F4375">
        <v>66603.42</v>
      </c>
      <c r="G4375">
        <v>0</v>
      </c>
      <c r="H4375">
        <v>0</v>
      </c>
      <c r="I4375">
        <v>0</v>
      </c>
      <c r="J4375">
        <v>0</v>
      </c>
      <c r="K4375">
        <v>0</v>
      </c>
      <c r="L4375">
        <v>8084494</v>
      </c>
      <c r="M4375">
        <v>8084494</v>
      </c>
      <c r="N4375">
        <v>8084494</v>
      </c>
      <c r="O4375">
        <v>8084494</v>
      </c>
      <c r="P4375">
        <v>8084494</v>
      </c>
      <c r="Q4375">
        <v>8084494</v>
      </c>
      <c r="R4375" s="14">
        <f>_xlfn.XLOOKUP(Table2[[#This Row],[LoanID]],Table1[G-L ID],Table1[ManagerCode],-99)</f>
        <v>220</v>
      </c>
      <c r="T4375"/>
    </row>
    <row r="4376" spans="1:20" x14ac:dyDescent="0.25">
      <c r="A4376">
        <v>20160331</v>
      </c>
      <c r="B4376">
        <v>2016</v>
      </c>
      <c r="C4376">
        <v>3</v>
      </c>
      <c r="D4376">
        <v>1</v>
      </c>
      <c r="E4376">
        <v>10680</v>
      </c>
      <c r="F4376">
        <v>77534.210000000006</v>
      </c>
      <c r="G4376">
        <v>0</v>
      </c>
      <c r="H4376">
        <v>0</v>
      </c>
      <c r="I4376">
        <v>0</v>
      </c>
      <c r="J4376">
        <v>0</v>
      </c>
      <c r="K4376">
        <v>0</v>
      </c>
      <c r="L4376">
        <v>10875254.640000001</v>
      </c>
      <c r="M4376">
        <v>10875254.640000001</v>
      </c>
      <c r="N4376">
        <v>10875254.640000001</v>
      </c>
      <c r="O4376">
        <v>10875254.640000001</v>
      </c>
      <c r="P4376">
        <v>10875254.640000001</v>
      </c>
      <c r="Q4376">
        <v>10875254.640000001</v>
      </c>
      <c r="R4376" s="14">
        <f>_xlfn.XLOOKUP(Table2[[#This Row],[LoanID]],Table1[G-L ID],Table1[ManagerCode],-99)</f>
        <v>119</v>
      </c>
      <c r="T4376"/>
    </row>
    <row r="4377" spans="1:20" x14ac:dyDescent="0.25">
      <c r="A4377">
        <v>20160331</v>
      </c>
      <c r="B4377">
        <v>2016</v>
      </c>
      <c r="C4377">
        <v>3</v>
      </c>
      <c r="D4377">
        <v>1</v>
      </c>
      <c r="E4377">
        <v>10720</v>
      </c>
      <c r="F4377">
        <v>125000</v>
      </c>
      <c r="G4377">
        <v>81942.429999999993</v>
      </c>
      <c r="H4377">
        <v>0</v>
      </c>
      <c r="I4377">
        <v>0</v>
      </c>
      <c r="J4377">
        <v>0</v>
      </c>
      <c r="K4377">
        <v>0</v>
      </c>
      <c r="L4377">
        <v>16021350</v>
      </c>
      <c r="M4377">
        <v>16103292.08</v>
      </c>
      <c r="N4377">
        <v>16021350</v>
      </c>
      <c r="O4377">
        <v>16103292.08</v>
      </c>
      <c r="P4377">
        <v>16021349.65</v>
      </c>
      <c r="Q4377">
        <v>16103292.08</v>
      </c>
      <c r="R4377" s="14">
        <f>_xlfn.XLOOKUP(Table2[[#This Row],[LoanID]],Table1[G-L ID],Table1[ManagerCode],-99)</f>
        <v>220</v>
      </c>
      <c r="T4377"/>
    </row>
    <row r="4378" spans="1:20" x14ac:dyDescent="0.25">
      <c r="A4378">
        <v>20160331</v>
      </c>
      <c r="B4378">
        <v>2016</v>
      </c>
      <c r="C4378">
        <v>3</v>
      </c>
      <c r="D4378">
        <v>1</v>
      </c>
      <c r="E4378">
        <v>10730</v>
      </c>
      <c r="F4378">
        <v>91251.72</v>
      </c>
      <c r="G4378">
        <v>0</v>
      </c>
      <c r="H4378">
        <v>0</v>
      </c>
      <c r="I4378">
        <v>0</v>
      </c>
      <c r="J4378">
        <v>1900000</v>
      </c>
      <c r="K4378">
        <v>0</v>
      </c>
      <c r="L4378">
        <v>11400000</v>
      </c>
      <c r="M4378">
        <v>9500000</v>
      </c>
      <c r="N4378">
        <v>11400000</v>
      </c>
      <c r="O4378">
        <v>9500000</v>
      </c>
      <c r="P4378">
        <v>11400000</v>
      </c>
      <c r="Q4378">
        <v>9500000</v>
      </c>
      <c r="R4378" s="14">
        <f>_xlfn.XLOOKUP(Table2[[#This Row],[LoanID]],Table1[G-L ID],Table1[ManagerCode],-99)</f>
        <v>119</v>
      </c>
      <c r="T4378"/>
    </row>
    <row r="4379" spans="1:20" x14ac:dyDescent="0.25">
      <c r="A4379">
        <v>20160331</v>
      </c>
      <c r="B4379">
        <v>2016</v>
      </c>
      <c r="C4379">
        <v>3</v>
      </c>
      <c r="D4379">
        <v>1</v>
      </c>
      <c r="E4379">
        <v>10740</v>
      </c>
      <c r="F4379">
        <v>4630842.3099999996</v>
      </c>
      <c r="G4379">
        <v>0</v>
      </c>
      <c r="H4379">
        <v>0</v>
      </c>
      <c r="I4379">
        <v>0</v>
      </c>
      <c r="J4379">
        <v>0</v>
      </c>
      <c r="K4379">
        <v>0</v>
      </c>
      <c r="L4379">
        <v>438711401.30000001</v>
      </c>
      <c r="M4379">
        <v>444424211.69999999</v>
      </c>
      <c r="N4379">
        <v>438711401.30000001</v>
      </c>
      <c r="O4379">
        <v>444424211.69999999</v>
      </c>
      <c r="P4379">
        <v>461801475</v>
      </c>
      <c r="Q4379">
        <v>461801475</v>
      </c>
      <c r="R4379" s="14">
        <f>_xlfn.XLOOKUP(Table2[[#This Row],[LoanID]],Table1[G-L ID],Table1[ManagerCode],-99)</f>
        <v>103</v>
      </c>
      <c r="T4379"/>
    </row>
    <row r="4380" spans="1:20" x14ac:dyDescent="0.25">
      <c r="A4380">
        <v>20160331</v>
      </c>
      <c r="B4380">
        <v>2016</v>
      </c>
      <c r="C4380">
        <v>3</v>
      </c>
      <c r="D4380">
        <v>1</v>
      </c>
      <c r="E4380">
        <v>10750</v>
      </c>
      <c r="F4380">
        <v>73348.58</v>
      </c>
      <c r="G4380">
        <v>0</v>
      </c>
      <c r="H4380">
        <v>0</v>
      </c>
      <c r="I4380">
        <v>0</v>
      </c>
      <c r="J4380">
        <v>-155400</v>
      </c>
      <c r="K4380">
        <v>0</v>
      </c>
      <c r="L4380">
        <v>10116246.130000001</v>
      </c>
      <c r="M4380">
        <v>10271646.130000001</v>
      </c>
      <c r="N4380">
        <v>10116246.130000001</v>
      </c>
      <c r="O4380">
        <v>10271646.130000001</v>
      </c>
      <c r="P4380">
        <v>10116246.130000001</v>
      </c>
      <c r="Q4380">
        <v>10271646.130000001</v>
      </c>
      <c r="R4380" s="14">
        <f>_xlfn.XLOOKUP(Table2[[#This Row],[LoanID]],Table1[G-L ID],Table1[ManagerCode],-99)</f>
        <v>119</v>
      </c>
      <c r="T4380"/>
    </row>
    <row r="4381" spans="1:20" x14ac:dyDescent="0.25">
      <c r="A4381">
        <v>20160331</v>
      </c>
      <c r="B4381">
        <v>2016</v>
      </c>
      <c r="C4381">
        <v>3</v>
      </c>
      <c r="D4381">
        <v>1</v>
      </c>
      <c r="E4381">
        <v>10780</v>
      </c>
      <c r="F4381">
        <v>300561.64</v>
      </c>
      <c r="G4381">
        <v>0</v>
      </c>
      <c r="H4381">
        <v>0</v>
      </c>
      <c r="I4381">
        <v>0</v>
      </c>
      <c r="J4381">
        <v>0</v>
      </c>
      <c r="K4381">
        <v>0</v>
      </c>
      <c r="L4381">
        <v>43000000</v>
      </c>
      <c r="M4381">
        <v>43000000</v>
      </c>
      <c r="N4381">
        <v>43000000</v>
      </c>
      <c r="O4381">
        <v>43000000</v>
      </c>
      <c r="P4381">
        <v>43000000</v>
      </c>
      <c r="Q4381">
        <v>43000000</v>
      </c>
      <c r="R4381" s="14">
        <f>_xlfn.XLOOKUP(Table2[[#This Row],[LoanID]],Table1[G-L ID],Table1[ManagerCode],-99)</f>
        <v>220</v>
      </c>
      <c r="T4381"/>
    </row>
    <row r="4382" spans="1:20" x14ac:dyDescent="0.25">
      <c r="A4382">
        <v>20160331</v>
      </c>
      <c r="B4382">
        <v>2016</v>
      </c>
      <c r="C4382">
        <v>3</v>
      </c>
      <c r="D4382">
        <v>1</v>
      </c>
      <c r="E4382">
        <v>10800</v>
      </c>
      <c r="F4382">
        <v>207915.5</v>
      </c>
      <c r="G4382">
        <v>0</v>
      </c>
      <c r="H4382">
        <v>0</v>
      </c>
      <c r="I4382">
        <v>0</v>
      </c>
      <c r="J4382">
        <v>0</v>
      </c>
      <c r="K4382">
        <v>0</v>
      </c>
      <c r="L4382">
        <v>26000000</v>
      </c>
      <c r="M4382">
        <v>26000000</v>
      </c>
      <c r="N4382">
        <v>26000000</v>
      </c>
      <c r="O4382">
        <v>26000000</v>
      </c>
      <c r="P4382">
        <v>26000000</v>
      </c>
      <c r="Q4382">
        <v>26000000</v>
      </c>
      <c r="R4382" s="14">
        <f>_xlfn.XLOOKUP(Table2[[#This Row],[LoanID]],Table1[G-L ID],Table1[ManagerCode],-99)</f>
        <v>220</v>
      </c>
      <c r="T4382"/>
    </row>
    <row r="4383" spans="1:20" x14ac:dyDescent="0.25">
      <c r="A4383">
        <v>20160331</v>
      </c>
      <c r="B4383">
        <v>2016</v>
      </c>
      <c r="C4383">
        <v>3</v>
      </c>
      <c r="D4383">
        <v>1</v>
      </c>
      <c r="E4383">
        <v>10810</v>
      </c>
      <c r="F4383">
        <v>115733.71</v>
      </c>
      <c r="G4383">
        <v>0</v>
      </c>
      <c r="H4383">
        <v>0</v>
      </c>
      <c r="I4383">
        <v>0</v>
      </c>
      <c r="J4383">
        <v>0</v>
      </c>
      <c r="K4383">
        <v>0</v>
      </c>
      <c r="L4383">
        <v>28300000</v>
      </c>
      <c r="M4383">
        <v>28300000</v>
      </c>
      <c r="N4383">
        <v>28300000</v>
      </c>
      <c r="O4383">
        <v>28300000</v>
      </c>
      <c r="P4383">
        <v>28300000</v>
      </c>
      <c r="Q4383">
        <v>28300000</v>
      </c>
      <c r="R4383" s="14">
        <f>_xlfn.XLOOKUP(Table2[[#This Row],[LoanID]],Table1[G-L ID],Table1[ManagerCode],-99)</f>
        <v>119</v>
      </c>
      <c r="T4383"/>
    </row>
    <row r="4384" spans="1:20" x14ac:dyDescent="0.25">
      <c r="A4384">
        <v>20160331</v>
      </c>
      <c r="B4384">
        <v>2016</v>
      </c>
      <c r="C4384">
        <v>3</v>
      </c>
      <c r="D4384">
        <v>1</v>
      </c>
      <c r="E4384">
        <v>10820</v>
      </c>
      <c r="F4384">
        <v>184641.15</v>
      </c>
      <c r="G4384">
        <v>0</v>
      </c>
      <c r="H4384">
        <v>0</v>
      </c>
      <c r="I4384">
        <v>0</v>
      </c>
      <c r="J4384">
        <v>0</v>
      </c>
      <c r="K4384">
        <v>0</v>
      </c>
      <c r="L4384">
        <v>24344483.780000001</v>
      </c>
      <c r="M4384">
        <v>24344483.780000001</v>
      </c>
      <c r="N4384">
        <v>24344483.780000001</v>
      </c>
      <c r="O4384">
        <v>24344483.780000001</v>
      </c>
      <c r="P4384">
        <v>24127337.739999998</v>
      </c>
      <c r="Q4384">
        <v>24127337.739999998</v>
      </c>
      <c r="R4384" s="14">
        <f>_xlfn.XLOOKUP(Table2[[#This Row],[LoanID]],Table1[G-L ID],Table1[ManagerCode],-99)</f>
        <v>220</v>
      </c>
      <c r="T4384"/>
    </row>
    <row r="4385" spans="1:20" x14ac:dyDescent="0.25">
      <c r="A4385">
        <v>20160331</v>
      </c>
      <c r="B4385">
        <v>2016</v>
      </c>
      <c r="C4385">
        <v>3</v>
      </c>
      <c r="D4385">
        <v>1</v>
      </c>
      <c r="E4385">
        <v>10830</v>
      </c>
      <c r="F4385">
        <v>58798.15</v>
      </c>
      <c r="G4385">
        <v>0</v>
      </c>
      <c r="H4385">
        <v>0</v>
      </c>
      <c r="I4385">
        <v>0</v>
      </c>
      <c r="J4385">
        <v>0</v>
      </c>
      <c r="K4385">
        <v>0</v>
      </c>
      <c r="L4385">
        <v>7752392.3300000001</v>
      </c>
      <c r="M4385">
        <v>7752392.3300000001</v>
      </c>
      <c r="N4385">
        <v>7752392.3300000001</v>
      </c>
      <c r="O4385">
        <v>7752392.3300000001</v>
      </c>
      <c r="P4385">
        <v>7683243.1399999997</v>
      </c>
      <c r="Q4385">
        <v>7683243.1399999997</v>
      </c>
      <c r="R4385" s="14">
        <f>_xlfn.XLOOKUP(Table2[[#This Row],[LoanID]],Table1[G-L ID],Table1[ManagerCode],-99)</f>
        <v>220</v>
      </c>
      <c r="T4385"/>
    </row>
    <row r="4386" spans="1:20" x14ac:dyDescent="0.25">
      <c r="A4386">
        <v>20160331</v>
      </c>
      <c r="B4386">
        <v>2016</v>
      </c>
      <c r="C4386">
        <v>3</v>
      </c>
      <c r="D4386">
        <v>1</v>
      </c>
      <c r="E4386">
        <v>10840</v>
      </c>
      <c r="F4386">
        <v>97260.6</v>
      </c>
      <c r="G4386">
        <v>0</v>
      </c>
      <c r="H4386">
        <v>0</v>
      </c>
      <c r="I4386">
        <v>0</v>
      </c>
      <c r="J4386">
        <v>0</v>
      </c>
      <c r="K4386">
        <v>0</v>
      </c>
      <c r="L4386">
        <v>12823571.699999999</v>
      </c>
      <c r="M4386">
        <v>12823571.699999999</v>
      </c>
      <c r="N4386">
        <v>12823571.699999999</v>
      </c>
      <c r="O4386">
        <v>12823571.699999999</v>
      </c>
      <c r="P4386">
        <v>12709189</v>
      </c>
      <c r="Q4386">
        <v>12709189</v>
      </c>
      <c r="R4386" s="14">
        <f>_xlfn.XLOOKUP(Table2[[#This Row],[LoanID]],Table1[G-L ID],Table1[ManagerCode],-99)</f>
        <v>220</v>
      </c>
      <c r="T4386"/>
    </row>
    <row r="4387" spans="1:20" x14ac:dyDescent="0.25">
      <c r="A4387">
        <v>20160331</v>
      </c>
      <c r="B4387">
        <v>2016</v>
      </c>
      <c r="C4387">
        <v>3</v>
      </c>
      <c r="D4387">
        <v>1</v>
      </c>
      <c r="E4387">
        <v>10850</v>
      </c>
      <c r="F4387">
        <v>103403.51</v>
      </c>
      <c r="G4387">
        <v>0</v>
      </c>
      <c r="H4387">
        <v>0</v>
      </c>
      <c r="I4387">
        <v>0</v>
      </c>
      <c r="J4387">
        <v>0</v>
      </c>
      <c r="K4387">
        <v>0</v>
      </c>
      <c r="L4387">
        <v>13633499.029999999</v>
      </c>
      <c r="M4387">
        <v>13633499.029999999</v>
      </c>
      <c r="N4387">
        <v>13633499.029999999</v>
      </c>
      <c r="O4387">
        <v>13633499.029999999</v>
      </c>
      <c r="P4387">
        <v>13511892</v>
      </c>
      <c r="Q4387">
        <v>13511892</v>
      </c>
      <c r="R4387" s="14">
        <f>_xlfn.XLOOKUP(Table2[[#This Row],[LoanID]],Table1[G-L ID],Table1[ManagerCode],-99)</f>
        <v>220</v>
      </c>
      <c r="T4387"/>
    </row>
    <row r="4388" spans="1:20" x14ac:dyDescent="0.25">
      <c r="A4388">
        <v>20160331</v>
      </c>
      <c r="B4388">
        <v>2016</v>
      </c>
      <c r="C4388">
        <v>3</v>
      </c>
      <c r="D4388">
        <v>1</v>
      </c>
      <c r="E4388">
        <v>10860</v>
      </c>
      <c r="F4388">
        <v>114391.71</v>
      </c>
      <c r="G4388">
        <v>0</v>
      </c>
      <c r="H4388">
        <v>0</v>
      </c>
      <c r="I4388">
        <v>0</v>
      </c>
      <c r="J4388">
        <v>0</v>
      </c>
      <c r="K4388">
        <v>0</v>
      </c>
      <c r="L4388">
        <v>19475000</v>
      </c>
      <c r="M4388">
        <v>19475000</v>
      </c>
      <c r="N4388">
        <v>19475000</v>
      </c>
      <c r="O4388">
        <v>19475000</v>
      </c>
      <c r="P4388">
        <v>20500000</v>
      </c>
      <c r="Q4388">
        <v>20500000</v>
      </c>
      <c r="R4388" s="14">
        <f>_xlfn.XLOOKUP(Table2[[#This Row],[LoanID]],Table1[G-L ID],Table1[ManagerCode],-99)</f>
        <v>103</v>
      </c>
      <c r="T4388"/>
    </row>
    <row r="4389" spans="1:20" x14ac:dyDescent="0.25">
      <c r="A4389">
        <v>20160331</v>
      </c>
      <c r="B4389">
        <v>2016</v>
      </c>
      <c r="C4389">
        <v>3</v>
      </c>
      <c r="D4389">
        <v>1</v>
      </c>
      <c r="E4389">
        <v>10890</v>
      </c>
      <c r="F4389">
        <v>77535.34</v>
      </c>
      <c r="G4389">
        <v>80877.37</v>
      </c>
      <c r="H4389">
        <v>0</v>
      </c>
      <c r="I4389">
        <v>0</v>
      </c>
      <c r="J4389">
        <v>-4365355.87</v>
      </c>
      <c r="K4389">
        <v>0</v>
      </c>
      <c r="L4389">
        <v>15571681.289999999</v>
      </c>
      <c r="M4389">
        <v>20017914.530000001</v>
      </c>
      <c r="N4389">
        <v>15571681.289999999</v>
      </c>
      <c r="O4389">
        <v>20017914.530000001</v>
      </c>
      <c r="P4389">
        <v>15571681.289999999</v>
      </c>
      <c r="Q4389">
        <v>20017914.530000001</v>
      </c>
      <c r="R4389" s="14">
        <f>_xlfn.XLOOKUP(Table2[[#This Row],[LoanID]],Table1[G-L ID],Table1[ManagerCode],-99)</f>
        <v>183</v>
      </c>
      <c r="T4389"/>
    </row>
    <row r="4390" spans="1:20" x14ac:dyDescent="0.25">
      <c r="A4390">
        <v>20160331</v>
      </c>
      <c r="B4390">
        <v>2016</v>
      </c>
      <c r="C4390">
        <v>3</v>
      </c>
      <c r="D4390">
        <v>1</v>
      </c>
      <c r="E4390">
        <v>10910</v>
      </c>
      <c r="F4390">
        <v>193673.68</v>
      </c>
      <c r="G4390">
        <v>0</v>
      </c>
      <c r="H4390">
        <v>0</v>
      </c>
      <c r="I4390">
        <v>0</v>
      </c>
      <c r="J4390">
        <v>0</v>
      </c>
      <c r="K4390">
        <v>0</v>
      </c>
      <c r="L4390">
        <v>22500000</v>
      </c>
      <c r="M4390">
        <v>22500000</v>
      </c>
      <c r="N4390">
        <v>22500000</v>
      </c>
      <c r="O4390">
        <v>22500000</v>
      </c>
      <c r="P4390">
        <v>22500000</v>
      </c>
      <c r="Q4390">
        <v>22500000</v>
      </c>
      <c r="R4390" s="14">
        <f>_xlfn.XLOOKUP(Table2[[#This Row],[LoanID]],Table1[G-L ID],Table1[ManagerCode],-99)</f>
        <v>119</v>
      </c>
      <c r="T4390"/>
    </row>
    <row r="4391" spans="1:20" x14ac:dyDescent="0.25">
      <c r="A4391">
        <v>20160331</v>
      </c>
      <c r="B4391">
        <v>2016</v>
      </c>
      <c r="C4391">
        <v>3</v>
      </c>
      <c r="D4391">
        <v>1</v>
      </c>
      <c r="E4391">
        <v>10930</v>
      </c>
      <c r="F4391">
        <v>0</v>
      </c>
      <c r="G4391">
        <v>165879.4</v>
      </c>
      <c r="H4391">
        <v>0</v>
      </c>
      <c r="I4391">
        <v>0</v>
      </c>
      <c r="J4391">
        <v>0</v>
      </c>
      <c r="K4391">
        <v>0</v>
      </c>
      <c r="L4391">
        <v>15023816.609999999</v>
      </c>
      <c r="M4391">
        <v>15189696.01</v>
      </c>
      <c r="N4391">
        <v>15023816.609999999</v>
      </c>
      <c r="O4391">
        <v>15189696.01</v>
      </c>
      <c r="P4391">
        <v>15023816.609999999</v>
      </c>
      <c r="Q4391">
        <v>15189696.01</v>
      </c>
      <c r="R4391" s="14">
        <f>_xlfn.XLOOKUP(Table2[[#This Row],[LoanID]],Table1[G-L ID],Table1[ManagerCode],-99)</f>
        <v>183</v>
      </c>
      <c r="T4391"/>
    </row>
    <row r="4392" spans="1:20" x14ac:dyDescent="0.25">
      <c r="A4392">
        <v>20160331</v>
      </c>
      <c r="B4392">
        <v>2016</v>
      </c>
      <c r="C4392">
        <v>3</v>
      </c>
      <c r="D4392">
        <v>1</v>
      </c>
      <c r="E4392">
        <v>10960</v>
      </c>
      <c r="F4392">
        <v>68851.06</v>
      </c>
      <c r="G4392">
        <v>0</v>
      </c>
      <c r="H4392">
        <v>0</v>
      </c>
      <c r="I4392">
        <v>0</v>
      </c>
      <c r="J4392">
        <v>0</v>
      </c>
      <c r="K4392">
        <v>0</v>
      </c>
      <c r="L4392">
        <v>6942192.1399999997</v>
      </c>
      <c r="M4392">
        <v>6942192.1399999997</v>
      </c>
      <c r="N4392">
        <v>6942192.1399999997</v>
      </c>
      <c r="O4392">
        <v>6942192.1399999997</v>
      </c>
      <c r="P4392">
        <v>6942192.1399999997</v>
      </c>
      <c r="Q4392">
        <v>6942192.1399999997</v>
      </c>
      <c r="R4392" s="14">
        <f>_xlfn.XLOOKUP(Table2[[#This Row],[LoanID]],Table1[G-L ID],Table1[ManagerCode],-99)</f>
        <v>119</v>
      </c>
      <c r="T4392"/>
    </row>
    <row r="4393" spans="1:20" x14ac:dyDescent="0.25">
      <c r="A4393">
        <v>20160331</v>
      </c>
      <c r="B4393">
        <v>2016</v>
      </c>
      <c r="C4393">
        <v>3</v>
      </c>
      <c r="D4393">
        <v>1</v>
      </c>
      <c r="E4393">
        <v>11010</v>
      </c>
      <c r="F4393">
        <v>201223.19</v>
      </c>
      <c r="G4393">
        <v>0</v>
      </c>
      <c r="H4393">
        <v>0</v>
      </c>
      <c r="I4393">
        <v>0</v>
      </c>
      <c r="J4393">
        <v>0</v>
      </c>
      <c r="K4393">
        <v>0</v>
      </c>
      <c r="L4393">
        <v>26500000</v>
      </c>
      <c r="M4393">
        <v>26500000</v>
      </c>
      <c r="N4393">
        <v>26500000</v>
      </c>
      <c r="O4393">
        <v>26500000</v>
      </c>
      <c r="P4393">
        <v>26500000</v>
      </c>
      <c r="Q4393">
        <v>26500000</v>
      </c>
      <c r="R4393" s="14">
        <f>_xlfn.XLOOKUP(Table2[[#This Row],[LoanID]],Table1[G-L ID],Table1[ManagerCode],-99)</f>
        <v>119</v>
      </c>
      <c r="T4393"/>
    </row>
    <row r="4394" spans="1:20" x14ac:dyDescent="0.25">
      <c r="A4394">
        <v>20160331</v>
      </c>
      <c r="B4394">
        <v>2016</v>
      </c>
      <c r="C4394">
        <v>3</v>
      </c>
      <c r="D4394">
        <v>1</v>
      </c>
      <c r="E4394">
        <v>11030</v>
      </c>
      <c r="F4394">
        <v>62143.69</v>
      </c>
      <c r="G4394">
        <v>0</v>
      </c>
      <c r="H4394">
        <v>0</v>
      </c>
      <c r="I4394">
        <v>0</v>
      </c>
      <c r="J4394">
        <v>0</v>
      </c>
      <c r="K4394">
        <v>9777.7800000000007</v>
      </c>
      <c r="L4394">
        <v>7931555.54</v>
      </c>
      <c r="M4394">
        <v>7921777.7599999998</v>
      </c>
      <c r="N4394">
        <v>7931555.54</v>
      </c>
      <c r="O4394">
        <v>7921777.7599999998</v>
      </c>
      <c r="P4394">
        <v>7931555.54</v>
      </c>
      <c r="Q4394">
        <v>7921777.7599999998</v>
      </c>
      <c r="R4394" s="14">
        <f>_xlfn.XLOOKUP(Table2[[#This Row],[LoanID]],Table1[G-L ID],Table1[ManagerCode],-99)</f>
        <v>119</v>
      </c>
      <c r="T4394"/>
    </row>
    <row r="4395" spans="1:20" x14ac:dyDescent="0.25">
      <c r="A4395">
        <v>20160331</v>
      </c>
      <c r="B4395">
        <v>2016</v>
      </c>
      <c r="C4395">
        <v>3</v>
      </c>
      <c r="D4395">
        <v>1</v>
      </c>
      <c r="E4395">
        <v>11040</v>
      </c>
      <c r="F4395">
        <v>462680.12</v>
      </c>
      <c r="G4395">
        <v>0</v>
      </c>
      <c r="H4395">
        <v>0</v>
      </c>
      <c r="I4395">
        <v>0</v>
      </c>
      <c r="J4395">
        <v>0</v>
      </c>
      <c r="K4395">
        <v>0</v>
      </c>
      <c r="L4395">
        <v>46866994.979999997</v>
      </c>
      <c r="M4395">
        <v>46866994.979999997</v>
      </c>
      <c r="N4395">
        <v>46866994.979999997</v>
      </c>
      <c r="O4395">
        <v>46866994.979999997</v>
      </c>
      <c r="P4395">
        <v>46866994.979999997</v>
      </c>
      <c r="Q4395">
        <v>46866994.979999997</v>
      </c>
      <c r="R4395" s="14">
        <f>_xlfn.XLOOKUP(Table2[[#This Row],[LoanID]],Table1[G-L ID],Table1[ManagerCode],-99)</f>
        <v>220</v>
      </c>
      <c r="T4395"/>
    </row>
    <row r="4396" spans="1:20" x14ac:dyDescent="0.25">
      <c r="A4396">
        <v>20160331</v>
      </c>
      <c r="B4396">
        <v>2016</v>
      </c>
      <c r="C4396">
        <v>3</v>
      </c>
      <c r="D4396">
        <v>1</v>
      </c>
      <c r="E4396">
        <v>11050</v>
      </c>
      <c r="F4396">
        <v>0</v>
      </c>
      <c r="G4396">
        <v>0</v>
      </c>
      <c r="H4396">
        <v>0</v>
      </c>
      <c r="I4396">
        <v>0</v>
      </c>
      <c r="J4396">
        <v>0</v>
      </c>
      <c r="K4396">
        <v>28500000</v>
      </c>
      <c r="L4396">
        <v>28500000</v>
      </c>
      <c r="M4396">
        <v>0</v>
      </c>
      <c r="N4396">
        <v>28500000</v>
      </c>
      <c r="O4396">
        <v>0</v>
      </c>
      <c r="P4396">
        <v>28500000</v>
      </c>
      <c r="Q4396">
        <v>0</v>
      </c>
      <c r="R4396" s="14">
        <f>_xlfn.XLOOKUP(Table2[[#This Row],[LoanID]],Table1[G-L ID],Table1[ManagerCode],-99)</f>
        <v>220</v>
      </c>
      <c r="T4396"/>
    </row>
    <row r="4397" spans="1:20" x14ac:dyDescent="0.25">
      <c r="A4397">
        <v>20160331</v>
      </c>
      <c r="B4397">
        <v>2016</v>
      </c>
      <c r="C4397">
        <v>3</v>
      </c>
      <c r="D4397">
        <v>1</v>
      </c>
      <c r="E4397">
        <v>11090</v>
      </c>
      <c r="F4397">
        <v>87997.08</v>
      </c>
      <c r="G4397">
        <v>0</v>
      </c>
      <c r="H4397">
        <v>0</v>
      </c>
      <c r="I4397">
        <v>0</v>
      </c>
      <c r="J4397">
        <v>0</v>
      </c>
      <c r="K4397">
        <v>0</v>
      </c>
      <c r="L4397">
        <v>11000000</v>
      </c>
      <c r="M4397">
        <v>11000000</v>
      </c>
      <c r="N4397">
        <v>11000000</v>
      </c>
      <c r="O4397">
        <v>11000000</v>
      </c>
      <c r="P4397">
        <v>11000000</v>
      </c>
      <c r="Q4397">
        <v>11000000</v>
      </c>
      <c r="R4397" s="14">
        <f>_xlfn.XLOOKUP(Table2[[#This Row],[LoanID]],Table1[G-L ID],Table1[ManagerCode],-99)</f>
        <v>119</v>
      </c>
      <c r="T4397"/>
    </row>
    <row r="4398" spans="1:20" x14ac:dyDescent="0.25">
      <c r="A4398">
        <v>20160331</v>
      </c>
      <c r="B4398">
        <v>2016</v>
      </c>
      <c r="C4398">
        <v>3</v>
      </c>
      <c r="D4398">
        <v>1</v>
      </c>
      <c r="E4398">
        <v>11100</v>
      </c>
      <c r="F4398">
        <v>210235.97</v>
      </c>
      <c r="G4398">
        <v>0</v>
      </c>
      <c r="H4398">
        <v>0</v>
      </c>
      <c r="I4398">
        <v>0</v>
      </c>
      <c r="J4398">
        <v>0</v>
      </c>
      <c r="K4398">
        <v>0</v>
      </c>
      <c r="L4398">
        <v>53791025.700000003</v>
      </c>
      <c r="M4398">
        <v>54450000</v>
      </c>
      <c r="N4398">
        <v>53791025.700000003</v>
      </c>
      <c r="O4398">
        <v>54450000</v>
      </c>
      <c r="P4398">
        <v>55000000</v>
      </c>
      <c r="Q4398">
        <v>55000000</v>
      </c>
      <c r="R4398" s="14">
        <f>_xlfn.XLOOKUP(Table2[[#This Row],[LoanID]],Table1[G-L ID],Table1[ManagerCode],-99)</f>
        <v>103</v>
      </c>
      <c r="T4398"/>
    </row>
    <row r="4399" spans="1:20" x14ac:dyDescent="0.25">
      <c r="A4399">
        <v>20160331</v>
      </c>
      <c r="B4399">
        <v>2016</v>
      </c>
      <c r="C4399">
        <v>3</v>
      </c>
      <c r="D4399">
        <v>1</v>
      </c>
      <c r="E4399">
        <v>11130</v>
      </c>
      <c r="F4399">
        <v>2328709.14</v>
      </c>
      <c r="G4399">
        <v>0</v>
      </c>
      <c r="H4399">
        <v>0</v>
      </c>
      <c r="I4399">
        <v>0</v>
      </c>
      <c r="J4399">
        <v>0</v>
      </c>
      <c r="K4399">
        <v>0</v>
      </c>
      <c r="L4399">
        <v>150450000</v>
      </c>
      <c r="M4399">
        <v>150450000</v>
      </c>
      <c r="N4399">
        <v>150450000</v>
      </c>
      <c r="O4399">
        <v>150450000</v>
      </c>
      <c r="P4399">
        <v>177000000</v>
      </c>
      <c r="Q4399">
        <v>177000000</v>
      </c>
      <c r="R4399" s="14">
        <f>_xlfn.XLOOKUP(Table2[[#This Row],[LoanID]],Table1[G-L ID],Table1[ManagerCode],-99)</f>
        <v>103</v>
      </c>
      <c r="T4399"/>
    </row>
    <row r="4400" spans="1:20" x14ac:dyDescent="0.25">
      <c r="A4400">
        <v>20160331</v>
      </c>
      <c r="B4400">
        <v>2016</v>
      </c>
      <c r="C4400">
        <v>3</v>
      </c>
      <c r="D4400">
        <v>1</v>
      </c>
      <c r="E4400">
        <v>11160</v>
      </c>
      <c r="F4400">
        <v>147623.04999999999</v>
      </c>
      <c r="G4400">
        <v>147075.23000000001</v>
      </c>
      <c r="H4400">
        <v>0</v>
      </c>
      <c r="I4400">
        <v>0</v>
      </c>
      <c r="J4400">
        <v>-1179608.52</v>
      </c>
      <c r="K4400">
        <v>0</v>
      </c>
      <c r="L4400">
        <v>31426315.32</v>
      </c>
      <c r="M4400">
        <v>32752999.07</v>
      </c>
      <c r="N4400">
        <v>31426315.32</v>
      </c>
      <c r="O4400">
        <v>32752999.07</v>
      </c>
      <c r="P4400">
        <v>31426315.32</v>
      </c>
      <c r="Q4400">
        <v>32752999.07</v>
      </c>
      <c r="R4400" s="14">
        <f>_xlfn.XLOOKUP(Table2[[#This Row],[LoanID]],Table1[G-L ID],Table1[ManagerCode],-99)</f>
        <v>183</v>
      </c>
      <c r="T4400"/>
    </row>
    <row r="4401" spans="1:20" x14ac:dyDescent="0.25">
      <c r="A4401">
        <v>20160331</v>
      </c>
      <c r="B4401">
        <v>2016</v>
      </c>
      <c r="C4401">
        <v>3</v>
      </c>
      <c r="D4401">
        <v>1</v>
      </c>
      <c r="E4401">
        <v>11170</v>
      </c>
      <c r="F4401">
        <v>694852.08</v>
      </c>
      <c r="G4401">
        <v>0</v>
      </c>
      <c r="H4401">
        <v>0</v>
      </c>
      <c r="I4401">
        <v>0</v>
      </c>
      <c r="J4401">
        <v>0</v>
      </c>
      <c r="K4401">
        <v>0</v>
      </c>
      <c r="L4401">
        <v>173249826.80000001</v>
      </c>
      <c r="M4401">
        <v>173249826.80000001</v>
      </c>
      <c r="N4401">
        <v>173249826.80000001</v>
      </c>
      <c r="O4401">
        <v>173249826.80000001</v>
      </c>
      <c r="P4401">
        <v>175000000</v>
      </c>
      <c r="Q4401">
        <v>175000000</v>
      </c>
      <c r="R4401" s="14">
        <f>_xlfn.XLOOKUP(Table2[[#This Row],[LoanID]],Table1[G-L ID],Table1[ManagerCode],-99)</f>
        <v>103</v>
      </c>
      <c r="T4401"/>
    </row>
    <row r="4402" spans="1:20" x14ac:dyDescent="0.25">
      <c r="A4402">
        <v>20160331</v>
      </c>
      <c r="B4402">
        <v>2016</v>
      </c>
      <c r="C4402">
        <v>3</v>
      </c>
      <c r="D4402">
        <v>1</v>
      </c>
      <c r="E4402">
        <v>11250</v>
      </c>
      <c r="F4402">
        <v>88670.2</v>
      </c>
      <c r="G4402">
        <v>134716.46</v>
      </c>
      <c r="H4402">
        <v>0</v>
      </c>
      <c r="I4402">
        <v>0</v>
      </c>
      <c r="J4402">
        <v>-88670.2</v>
      </c>
      <c r="K4402">
        <v>0</v>
      </c>
      <c r="L4402">
        <v>18869352.870000001</v>
      </c>
      <c r="M4402">
        <v>19092739.530000001</v>
      </c>
      <c r="N4402">
        <v>18869352.870000001</v>
      </c>
      <c r="O4402">
        <v>19092739.530000001</v>
      </c>
      <c r="P4402">
        <v>17940027.390000001</v>
      </c>
      <c r="Q4402">
        <v>18163414.050000001</v>
      </c>
      <c r="R4402" s="14">
        <f>_xlfn.XLOOKUP(Table2[[#This Row],[LoanID]],Table1[G-L ID],Table1[ManagerCode],-99)</f>
        <v>183</v>
      </c>
      <c r="T4402"/>
    </row>
    <row r="4403" spans="1:20" x14ac:dyDescent="0.25">
      <c r="A4403">
        <v>20160331</v>
      </c>
      <c r="B4403">
        <v>2016</v>
      </c>
      <c r="C4403">
        <v>3</v>
      </c>
      <c r="D4403">
        <v>1</v>
      </c>
      <c r="E4403">
        <v>11330</v>
      </c>
      <c r="F4403">
        <v>64683.49</v>
      </c>
      <c r="G4403">
        <v>0</v>
      </c>
      <c r="H4403">
        <v>0</v>
      </c>
      <c r="I4403">
        <v>0</v>
      </c>
      <c r="J4403">
        <v>-455554.13</v>
      </c>
      <c r="K4403">
        <v>0</v>
      </c>
      <c r="L4403">
        <v>7012458.7699999996</v>
      </c>
      <c r="M4403">
        <v>7468012.9000000004</v>
      </c>
      <c r="N4403">
        <v>7012458.7699999996</v>
      </c>
      <c r="O4403">
        <v>7468012.9000000004</v>
      </c>
      <c r="P4403">
        <v>7012458.7699999996</v>
      </c>
      <c r="Q4403">
        <v>7468012.9000000004</v>
      </c>
      <c r="R4403" s="14">
        <f>_xlfn.XLOOKUP(Table2[[#This Row],[LoanID]],Table1[G-L ID],Table1[ManagerCode],-99)</f>
        <v>119</v>
      </c>
      <c r="T4403"/>
    </row>
    <row r="4404" spans="1:20" x14ac:dyDescent="0.25">
      <c r="A4404">
        <v>20160331</v>
      </c>
      <c r="B4404">
        <v>2016</v>
      </c>
      <c r="C4404">
        <v>3</v>
      </c>
      <c r="D4404">
        <v>1</v>
      </c>
      <c r="E4404">
        <v>11340</v>
      </c>
      <c r="F4404">
        <v>281255.92</v>
      </c>
      <c r="G4404">
        <v>0</v>
      </c>
      <c r="H4404">
        <v>0</v>
      </c>
      <c r="I4404">
        <v>0</v>
      </c>
      <c r="J4404">
        <v>0</v>
      </c>
      <c r="K4404">
        <v>73591.02</v>
      </c>
      <c r="L4404">
        <v>49379118.109999999</v>
      </c>
      <c r="M4404">
        <v>49306263</v>
      </c>
      <c r="N4404">
        <v>49379118.109999999</v>
      </c>
      <c r="O4404">
        <v>49306263</v>
      </c>
      <c r="P4404">
        <v>49877897.100000001</v>
      </c>
      <c r="Q4404">
        <v>49804306.079999998</v>
      </c>
      <c r="R4404" s="14">
        <f>_xlfn.XLOOKUP(Table2[[#This Row],[LoanID]],Table1[G-L ID],Table1[ManagerCode],-99)</f>
        <v>103</v>
      </c>
      <c r="T4404"/>
    </row>
    <row r="4405" spans="1:20" x14ac:dyDescent="0.25">
      <c r="A4405">
        <v>20160331</v>
      </c>
      <c r="B4405">
        <v>2016</v>
      </c>
      <c r="C4405">
        <v>3</v>
      </c>
      <c r="D4405">
        <v>1</v>
      </c>
      <c r="E4405">
        <v>11350</v>
      </c>
      <c r="F4405">
        <v>310138.89</v>
      </c>
      <c r="G4405">
        <v>0</v>
      </c>
      <c r="H4405">
        <v>0</v>
      </c>
      <c r="I4405">
        <v>0</v>
      </c>
      <c r="J4405">
        <v>0</v>
      </c>
      <c r="K4405">
        <v>0</v>
      </c>
      <c r="L4405">
        <v>54449945.549999997</v>
      </c>
      <c r="M4405">
        <v>54449945.549999997</v>
      </c>
      <c r="N4405">
        <v>54449945.549999997</v>
      </c>
      <c r="O4405">
        <v>54449945.549999997</v>
      </c>
      <c r="P4405">
        <v>55000000</v>
      </c>
      <c r="Q4405">
        <v>55000000</v>
      </c>
      <c r="R4405" s="14">
        <f>_xlfn.XLOOKUP(Table2[[#This Row],[LoanID]],Table1[G-L ID],Table1[ManagerCode],-99)</f>
        <v>103</v>
      </c>
      <c r="T4405"/>
    </row>
    <row r="4406" spans="1:20" x14ac:dyDescent="0.25">
      <c r="A4406">
        <v>20160331</v>
      </c>
      <c r="B4406">
        <v>2016</v>
      </c>
      <c r="C4406">
        <v>3</v>
      </c>
      <c r="D4406">
        <v>1</v>
      </c>
      <c r="E4406">
        <v>11360</v>
      </c>
      <c r="F4406">
        <v>74497.72</v>
      </c>
      <c r="G4406">
        <v>0</v>
      </c>
      <c r="H4406">
        <v>251250</v>
      </c>
      <c r="I4406">
        <v>0</v>
      </c>
      <c r="J4406">
        <v>-25125000</v>
      </c>
      <c r="K4406">
        <v>0</v>
      </c>
      <c r="L4406">
        <v>0</v>
      </c>
      <c r="M4406">
        <v>25125000</v>
      </c>
      <c r="N4406">
        <v>0</v>
      </c>
      <c r="O4406">
        <v>25125000</v>
      </c>
      <c r="P4406">
        <v>0</v>
      </c>
      <c r="Q4406">
        <v>25125000</v>
      </c>
      <c r="R4406" s="14">
        <f>_xlfn.XLOOKUP(Table2[[#This Row],[LoanID]],Table1[G-L ID],Table1[ManagerCode],-99)</f>
        <v>119</v>
      </c>
      <c r="T4406"/>
    </row>
    <row r="4407" spans="1:20" x14ac:dyDescent="0.25">
      <c r="A4407">
        <v>20160331</v>
      </c>
      <c r="B4407">
        <v>2016</v>
      </c>
      <c r="C4407">
        <v>3</v>
      </c>
      <c r="D4407">
        <v>1</v>
      </c>
      <c r="E4407">
        <v>11370</v>
      </c>
      <c r="F4407">
        <v>59194.77</v>
      </c>
      <c r="G4407">
        <v>0</v>
      </c>
      <c r="H4407">
        <v>0</v>
      </c>
      <c r="I4407">
        <v>0</v>
      </c>
      <c r="J4407">
        <v>0</v>
      </c>
      <c r="K4407">
        <v>0</v>
      </c>
      <c r="L4407">
        <v>6645849.7400000002</v>
      </c>
      <c r="M4407">
        <v>6645849.7400000002</v>
      </c>
      <c r="N4407">
        <v>6645849.7400000002</v>
      </c>
      <c r="O4407">
        <v>6645849.7400000002</v>
      </c>
      <c r="P4407">
        <v>6645849.7400000002</v>
      </c>
      <c r="Q4407">
        <v>6645849.7400000002</v>
      </c>
      <c r="R4407" s="14">
        <f>_xlfn.XLOOKUP(Table2[[#This Row],[LoanID]],Table1[G-L ID],Table1[ManagerCode],-99)</f>
        <v>119</v>
      </c>
      <c r="T4407"/>
    </row>
    <row r="4408" spans="1:20" x14ac:dyDescent="0.25">
      <c r="A4408">
        <v>20160331</v>
      </c>
      <c r="B4408">
        <v>2016</v>
      </c>
      <c r="C4408">
        <v>3</v>
      </c>
      <c r="D4408">
        <v>1</v>
      </c>
      <c r="E4408">
        <v>11410</v>
      </c>
      <c r="F4408">
        <v>223272.33</v>
      </c>
      <c r="G4408">
        <v>0</v>
      </c>
      <c r="H4408">
        <v>-380000</v>
      </c>
      <c r="I4408">
        <v>0</v>
      </c>
      <c r="J4408">
        <v>38000000</v>
      </c>
      <c r="K4408">
        <v>0</v>
      </c>
      <c r="L4408">
        <v>50000000</v>
      </c>
      <c r="M4408">
        <v>12000000</v>
      </c>
      <c r="N4408">
        <v>50000000</v>
      </c>
      <c r="O4408">
        <v>12000000</v>
      </c>
      <c r="P4408">
        <v>50000000</v>
      </c>
      <c r="Q4408">
        <v>12000000</v>
      </c>
      <c r="R4408" s="14">
        <f>_xlfn.XLOOKUP(Table2[[#This Row],[LoanID]],Table1[G-L ID],Table1[ManagerCode],-99)</f>
        <v>119</v>
      </c>
      <c r="T4408"/>
    </row>
    <row r="4409" spans="1:20" x14ac:dyDescent="0.25">
      <c r="A4409">
        <v>20160331</v>
      </c>
      <c r="B4409">
        <v>2016</v>
      </c>
      <c r="C4409">
        <v>3</v>
      </c>
      <c r="D4409">
        <v>1</v>
      </c>
      <c r="E4409">
        <v>11440</v>
      </c>
      <c r="F4409">
        <v>10416.67</v>
      </c>
      <c r="G4409">
        <v>0</v>
      </c>
      <c r="H4409">
        <v>0</v>
      </c>
      <c r="I4409">
        <v>0</v>
      </c>
      <c r="J4409">
        <v>0</v>
      </c>
      <c r="K4409">
        <v>0</v>
      </c>
      <c r="L4409">
        <v>18750000</v>
      </c>
      <c r="M4409">
        <v>18750000</v>
      </c>
      <c r="N4409">
        <v>18750000</v>
      </c>
      <c r="O4409">
        <v>18750000</v>
      </c>
      <c r="P4409">
        <v>18750000</v>
      </c>
      <c r="Q4409">
        <v>18750000</v>
      </c>
      <c r="R4409" s="14">
        <f>_xlfn.XLOOKUP(Table2[[#This Row],[LoanID]],Table1[G-L ID],Table1[ManagerCode],-99)</f>
        <v>183</v>
      </c>
      <c r="T4409"/>
    </row>
    <row r="4410" spans="1:20" x14ac:dyDescent="0.25">
      <c r="A4410">
        <v>20160331</v>
      </c>
      <c r="B4410">
        <v>2016</v>
      </c>
      <c r="C4410">
        <v>3</v>
      </c>
      <c r="D4410">
        <v>1</v>
      </c>
      <c r="E4410">
        <v>11480</v>
      </c>
      <c r="F4410">
        <v>348314.17</v>
      </c>
      <c r="G4410">
        <v>0</v>
      </c>
      <c r="H4410">
        <v>0</v>
      </c>
      <c r="I4410">
        <v>0</v>
      </c>
      <c r="J4410">
        <v>0</v>
      </c>
      <c r="K4410">
        <v>0</v>
      </c>
      <c r="L4410">
        <v>66500000</v>
      </c>
      <c r="M4410">
        <v>66500000</v>
      </c>
      <c r="N4410">
        <v>66500000</v>
      </c>
      <c r="O4410">
        <v>66500000</v>
      </c>
      <c r="P4410">
        <v>70000000</v>
      </c>
      <c r="Q4410">
        <v>70000000</v>
      </c>
      <c r="R4410" s="14">
        <f>_xlfn.XLOOKUP(Table2[[#This Row],[LoanID]],Table1[G-L ID],Table1[ManagerCode],-99)</f>
        <v>103</v>
      </c>
      <c r="T4410"/>
    </row>
    <row r="4411" spans="1:20" x14ac:dyDescent="0.25">
      <c r="A4411">
        <v>20160331</v>
      </c>
      <c r="B4411">
        <v>2016</v>
      </c>
      <c r="C4411">
        <v>3</v>
      </c>
      <c r="D4411">
        <v>1</v>
      </c>
      <c r="E4411">
        <v>11490</v>
      </c>
      <c r="F4411">
        <v>329057.36</v>
      </c>
      <c r="G4411">
        <v>0</v>
      </c>
      <c r="H4411">
        <v>0</v>
      </c>
      <c r="I4411">
        <v>0</v>
      </c>
      <c r="J4411">
        <v>0</v>
      </c>
      <c r="K4411">
        <v>0</v>
      </c>
      <c r="L4411">
        <v>49500000</v>
      </c>
      <c r="M4411">
        <v>49500000</v>
      </c>
      <c r="N4411">
        <v>49500000</v>
      </c>
      <c r="O4411">
        <v>49500000</v>
      </c>
      <c r="P4411">
        <v>55000000</v>
      </c>
      <c r="Q4411">
        <v>55000000</v>
      </c>
      <c r="R4411" s="14">
        <f>_xlfn.XLOOKUP(Table2[[#This Row],[LoanID]],Table1[G-L ID],Table1[ManagerCode],-99)</f>
        <v>103</v>
      </c>
      <c r="T4411"/>
    </row>
    <row r="4412" spans="1:20" x14ac:dyDescent="0.25">
      <c r="A4412">
        <v>20160331</v>
      </c>
      <c r="B4412">
        <v>2016</v>
      </c>
      <c r="C4412">
        <v>3</v>
      </c>
      <c r="D4412">
        <v>1</v>
      </c>
      <c r="E4412">
        <v>11520</v>
      </c>
      <c r="F4412">
        <v>33430.199999999997</v>
      </c>
      <c r="G4412">
        <v>0</v>
      </c>
      <c r="H4412">
        <v>0</v>
      </c>
      <c r="I4412">
        <v>0</v>
      </c>
      <c r="J4412">
        <v>0</v>
      </c>
      <c r="K4412">
        <v>0</v>
      </c>
      <c r="L4412">
        <v>4276372</v>
      </c>
      <c r="M4412">
        <v>4276372</v>
      </c>
      <c r="N4412">
        <v>4276372</v>
      </c>
      <c r="O4412">
        <v>4276372</v>
      </c>
      <c r="P4412">
        <v>4276372</v>
      </c>
      <c r="Q4412">
        <v>4276372</v>
      </c>
      <c r="R4412" s="14">
        <f>_xlfn.XLOOKUP(Table2[[#This Row],[LoanID]],Table1[G-L ID],Table1[ManagerCode],-99)</f>
        <v>119</v>
      </c>
      <c r="T4412"/>
    </row>
    <row r="4413" spans="1:20" x14ac:dyDescent="0.25">
      <c r="A4413">
        <v>20160331</v>
      </c>
      <c r="B4413">
        <v>2016</v>
      </c>
      <c r="C4413">
        <v>3</v>
      </c>
      <c r="D4413">
        <v>1</v>
      </c>
      <c r="E4413">
        <v>11530</v>
      </c>
      <c r="F4413">
        <v>100775.63</v>
      </c>
      <c r="G4413">
        <v>0</v>
      </c>
      <c r="H4413">
        <v>0</v>
      </c>
      <c r="I4413">
        <v>0</v>
      </c>
      <c r="J4413">
        <v>0</v>
      </c>
      <c r="K4413">
        <v>0</v>
      </c>
      <c r="L4413">
        <v>11250000</v>
      </c>
      <c r="M4413">
        <v>11250000</v>
      </c>
      <c r="N4413">
        <v>11250000</v>
      </c>
      <c r="O4413">
        <v>11250000</v>
      </c>
      <c r="P4413">
        <v>11250000</v>
      </c>
      <c r="Q4413">
        <v>11250000</v>
      </c>
      <c r="R4413" s="14">
        <f>_xlfn.XLOOKUP(Table2[[#This Row],[LoanID]],Table1[G-L ID],Table1[ManagerCode],-99)</f>
        <v>119</v>
      </c>
      <c r="T4413"/>
    </row>
    <row r="4414" spans="1:20" x14ac:dyDescent="0.25">
      <c r="A4414">
        <v>20160331</v>
      </c>
      <c r="B4414">
        <v>2016</v>
      </c>
      <c r="C4414">
        <v>3</v>
      </c>
      <c r="D4414">
        <v>1</v>
      </c>
      <c r="E4414">
        <v>11590</v>
      </c>
      <c r="F4414">
        <v>22404.34</v>
      </c>
      <c r="G4414">
        <v>0</v>
      </c>
      <c r="H4414">
        <v>0</v>
      </c>
      <c r="I4414">
        <v>0</v>
      </c>
      <c r="J4414">
        <v>0</v>
      </c>
      <c r="K4414">
        <v>0</v>
      </c>
      <c r="L4414">
        <v>3507224.44</v>
      </c>
      <c r="M4414">
        <v>3507224.44</v>
      </c>
      <c r="N4414">
        <v>3507224.44</v>
      </c>
      <c r="O4414">
        <v>3507224.44</v>
      </c>
      <c r="P4414">
        <v>3507224.44</v>
      </c>
      <c r="Q4414">
        <v>3507224.44</v>
      </c>
      <c r="R4414" s="14">
        <f>_xlfn.XLOOKUP(Table2[[#This Row],[LoanID]],Table1[G-L ID],Table1[ManagerCode],-99)</f>
        <v>119</v>
      </c>
      <c r="T4414"/>
    </row>
    <row r="4415" spans="1:20" x14ac:dyDescent="0.25">
      <c r="A4415">
        <v>20160331</v>
      </c>
      <c r="B4415">
        <v>2016</v>
      </c>
      <c r="C4415">
        <v>3</v>
      </c>
      <c r="D4415">
        <v>1</v>
      </c>
      <c r="E4415">
        <v>11650</v>
      </c>
      <c r="F4415">
        <v>75000</v>
      </c>
      <c r="G4415">
        <v>0</v>
      </c>
      <c r="H4415">
        <v>0</v>
      </c>
      <c r="I4415">
        <v>0</v>
      </c>
      <c r="J4415">
        <v>0</v>
      </c>
      <c r="K4415">
        <v>0</v>
      </c>
      <c r="L4415">
        <v>9600000</v>
      </c>
      <c r="M4415">
        <v>9600000</v>
      </c>
      <c r="N4415">
        <v>9600000</v>
      </c>
      <c r="O4415">
        <v>9600000</v>
      </c>
      <c r="P4415">
        <v>12000000</v>
      </c>
      <c r="Q4415">
        <v>12000000</v>
      </c>
      <c r="R4415" s="14">
        <f>_xlfn.XLOOKUP(Table2[[#This Row],[LoanID]],Table1[G-L ID],Table1[ManagerCode],-99)</f>
        <v>103</v>
      </c>
      <c r="T4415"/>
    </row>
    <row r="4416" spans="1:20" x14ac:dyDescent="0.25">
      <c r="A4416">
        <v>20160331</v>
      </c>
      <c r="B4416">
        <v>2016</v>
      </c>
      <c r="C4416">
        <v>3</v>
      </c>
      <c r="D4416">
        <v>1</v>
      </c>
      <c r="E4416">
        <v>11680</v>
      </c>
      <c r="F4416">
        <v>57126.559999999998</v>
      </c>
      <c r="G4416">
        <v>0</v>
      </c>
      <c r="H4416">
        <v>0</v>
      </c>
      <c r="I4416">
        <v>0</v>
      </c>
      <c r="J4416">
        <v>0</v>
      </c>
      <c r="K4416">
        <v>0</v>
      </c>
      <c r="L4416">
        <v>6600000</v>
      </c>
      <c r="M4416">
        <v>6600000</v>
      </c>
      <c r="N4416">
        <v>6600000</v>
      </c>
      <c r="O4416">
        <v>6600000</v>
      </c>
      <c r="P4416">
        <v>6600000</v>
      </c>
      <c r="Q4416">
        <v>6600000</v>
      </c>
      <c r="R4416" s="14">
        <f>_xlfn.XLOOKUP(Table2[[#This Row],[LoanID]],Table1[G-L ID],Table1[ManagerCode],-99)</f>
        <v>183</v>
      </c>
      <c r="T4416"/>
    </row>
    <row r="4417" spans="1:20" x14ac:dyDescent="0.25">
      <c r="A4417">
        <v>20160331</v>
      </c>
      <c r="B4417">
        <v>2016</v>
      </c>
      <c r="C4417">
        <v>3</v>
      </c>
      <c r="D4417">
        <v>1</v>
      </c>
      <c r="E4417">
        <v>11710</v>
      </c>
      <c r="F4417">
        <v>121510.58</v>
      </c>
      <c r="G4417">
        <v>0</v>
      </c>
      <c r="H4417">
        <v>0</v>
      </c>
      <c r="I4417">
        <v>0</v>
      </c>
      <c r="J4417">
        <v>0</v>
      </c>
      <c r="K4417">
        <v>15000</v>
      </c>
      <c r="L4417">
        <v>14970000</v>
      </c>
      <c r="M4417">
        <v>14955000</v>
      </c>
      <c r="N4417">
        <v>14970000</v>
      </c>
      <c r="O4417">
        <v>14955000</v>
      </c>
      <c r="P4417">
        <v>14970000</v>
      </c>
      <c r="Q4417">
        <v>14955000</v>
      </c>
      <c r="R4417" s="14">
        <f>_xlfn.XLOOKUP(Table2[[#This Row],[LoanID]],Table1[G-L ID],Table1[ManagerCode],-99)</f>
        <v>119</v>
      </c>
      <c r="T4417"/>
    </row>
    <row r="4418" spans="1:20" x14ac:dyDescent="0.25">
      <c r="A4418">
        <v>20160331</v>
      </c>
      <c r="B4418">
        <v>2016</v>
      </c>
      <c r="C4418">
        <v>3</v>
      </c>
      <c r="D4418">
        <v>1</v>
      </c>
      <c r="E4418">
        <v>11720</v>
      </c>
      <c r="F4418">
        <v>120833.33</v>
      </c>
      <c r="G4418">
        <v>0</v>
      </c>
      <c r="H4418">
        <v>0</v>
      </c>
      <c r="I4418">
        <v>0</v>
      </c>
      <c r="J4418">
        <v>0</v>
      </c>
      <c r="K4418">
        <v>0</v>
      </c>
      <c r="L4418">
        <v>19800000</v>
      </c>
      <c r="M4418">
        <v>19800000</v>
      </c>
      <c r="N4418">
        <v>19800000</v>
      </c>
      <c r="O4418">
        <v>19800000</v>
      </c>
      <c r="P4418">
        <v>20000000</v>
      </c>
      <c r="Q4418">
        <v>20000000</v>
      </c>
      <c r="R4418" s="14">
        <f>_xlfn.XLOOKUP(Table2[[#This Row],[LoanID]],Table1[G-L ID],Table1[ManagerCode],-99)</f>
        <v>103</v>
      </c>
      <c r="T4418"/>
    </row>
    <row r="4419" spans="1:20" x14ac:dyDescent="0.25">
      <c r="A4419">
        <v>20160331</v>
      </c>
      <c r="B4419">
        <v>2016</v>
      </c>
      <c r="C4419">
        <v>3</v>
      </c>
      <c r="D4419">
        <v>1</v>
      </c>
      <c r="E4419">
        <v>11730</v>
      </c>
      <c r="F4419">
        <v>44845.54</v>
      </c>
      <c r="G4419">
        <v>0</v>
      </c>
      <c r="H4419">
        <v>0</v>
      </c>
      <c r="I4419">
        <v>0</v>
      </c>
      <c r="J4419">
        <v>0</v>
      </c>
      <c r="K4419">
        <v>0</v>
      </c>
      <c r="L4419">
        <v>4750000</v>
      </c>
      <c r="M4419">
        <v>4750000</v>
      </c>
      <c r="N4419">
        <v>4750000</v>
      </c>
      <c r="O4419">
        <v>4750000</v>
      </c>
      <c r="P4419">
        <v>4750000</v>
      </c>
      <c r="Q4419">
        <v>4750000</v>
      </c>
      <c r="R4419" s="14">
        <f>_xlfn.XLOOKUP(Table2[[#This Row],[LoanID]],Table1[G-L ID],Table1[ManagerCode],-99)</f>
        <v>119</v>
      </c>
      <c r="T4419"/>
    </row>
    <row r="4420" spans="1:20" x14ac:dyDescent="0.25">
      <c r="A4420">
        <v>20160331</v>
      </c>
      <c r="B4420">
        <v>2016</v>
      </c>
      <c r="C4420">
        <v>3</v>
      </c>
      <c r="D4420">
        <v>1</v>
      </c>
      <c r="E4420">
        <v>11750</v>
      </c>
      <c r="F4420">
        <v>65053.15</v>
      </c>
      <c r="G4420">
        <v>82616.710000000006</v>
      </c>
      <c r="H4420">
        <v>0</v>
      </c>
      <c r="I4420">
        <v>0</v>
      </c>
      <c r="J4420">
        <v>-1323698.2</v>
      </c>
      <c r="K4420">
        <v>0</v>
      </c>
      <c r="L4420">
        <v>13847072.970000001</v>
      </c>
      <c r="M4420">
        <v>15253387.880000001</v>
      </c>
      <c r="N4420">
        <v>13847072.970000001</v>
      </c>
      <c r="O4420">
        <v>15253387.880000001</v>
      </c>
      <c r="P4420">
        <v>13847072.970000001</v>
      </c>
      <c r="Q4420">
        <v>15253387.880000001</v>
      </c>
      <c r="R4420" s="14">
        <f>_xlfn.XLOOKUP(Table2[[#This Row],[LoanID]],Table1[G-L ID],Table1[ManagerCode],-99)</f>
        <v>183</v>
      </c>
      <c r="T4420"/>
    </row>
    <row r="4421" spans="1:20" x14ac:dyDescent="0.25">
      <c r="A4421">
        <v>20160331</v>
      </c>
      <c r="B4421">
        <v>2016</v>
      </c>
      <c r="C4421">
        <v>3</v>
      </c>
      <c r="D4421">
        <v>1</v>
      </c>
      <c r="E4421">
        <v>11810</v>
      </c>
      <c r="F4421">
        <v>48664.58</v>
      </c>
      <c r="G4421">
        <v>0</v>
      </c>
      <c r="H4421">
        <v>0</v>
      </c>
      <c r="I4421">
        <v>0</v>
      </c>
      <c r="J4421">
        <v>0</v>
      </c>
      <c r="K4421">
        <v>12193.51</v>
      </c>
      <c r="L4421">
        <v>9415881.9800000004</v>
      </c>
      <c r="M4421">
        <v>9403810.4199999999</v>
      </c>
      <c r="N4421">
        <v>9415881.9800000004</v>
      </c>
      <c r="O4421">
        <v>9403810.4199999999</v>
      </c>
      <c r="P4421">
        <v>9415639.9700000007</v>
      </c>
      <c r="Q4421">
        <v>9403446.4600000009</v>
      </c>
      <c r="R4421" s="14">
        <f>_xlfn.XLOOKUP(Table2[[#This Row],[LoanID]],Table1[G-L ID],Table1[ManagerCode],-99)</f>
        <v>103</v>
      </c>
      <c r="T4421"/>
    </row>
    <row r="4422" spans="1:20" x14ac:dyDescent="0.25">
      <c r="A4422">
        <v>20160331</v>
      </c>
      <c r="B4422">
        <v>2016</v>
      </c>
      <c r="C4422">
        <v>3</v>
      </c>
      <c r="D4422">
        <v>1</v>
      </c>
      <c r="E4422">
        <v>11850</v>
      </c>
      <c r="F4422">
        <v>1950</v>
      </c>
      <c r="G4422">
        <v>0</v>
      </c>
      <c r="H4422">
        <v>67500</v>
      </c>
      <c r="I4422">
        <v>0</v>
      </c>
      <c r="J4422">
        <v>-2827284.49</v>
      </c>
      <c r="K4422">
        <v>0</v>
      </c>
      <c r="L4422">
        <v>450000</v>
      </c>
      <c r="M4422">
        <v>3277284.49</v>
      </c>
      <c r="N4422">
        <v>450000</v>
      </c>
      <c r="O4422">
        <v>3277284.49</v>
      </c>
      <c r="P4422">
        <v>450000</v>
      </c>
      <c r="Q4422">
        <v>3277284.49</v>
      </c>
      <c r="R4422" s="14">
        <f>_xlfn.XLOOKUP(Table2[[#This Row],[LoanID]],Table1[G-L ID],Table1[ManagerCode],-99)</f>
        <v>183</v>
      </c>
      <c r="T4422"/>
    </row>
    <row r="4423" spans="1:20" x14ac:dyDescent="0.25">
      <c r="A4423">
        <v>20160331</v>
      </c>
      <c r="B4423">
        <v>2016</v>
      </c>
      <c r="C4423">
        <v>3</v>
      </c>
      <c r="D4423">
        <v>1</v>
      </c>
      <c r="E4423">
        <v>11880</v>
      </c>
      <c r="F4423">
        <v>363281.25</v>
      </c>
      <c r="G4423">
        <v>170412.77</v>
      </c>
      <c r="H4423">
        <v>0</v>
      </c>
      <c r="I4423">
        <v>0</v>
      </c>
      <c r="J4423">
        <v>0</v>
      </c>
      <c r="K4423">
        <v>0</v>
      </c>
      <c r="L4423">
        <v>78892523.319999993</v>
      </c>
      <c r="M4423">
        <v>79062936.090000004</v>
      </c>
      <c r="N4423">
        <v>78892523.319999993</v>
      </c>
      <c r="O4423">
        <v>79062936.090000004</v>
      </c>
      <c r="P4423">
        <v>78892523.319999993</v>
      </c>
      <c r="Q4423">
        <v>79062936.090000004</v>
      </c>
      <c r="R4423" s="14">
        <f>_xlfn.XLOOKUP(Table2[[#This Row],[LoanID]],Table1[G-L ID],Table1[ManagerCode],-99)</f>
        <v>183</v>
      </c>
      <c r="T4423"/>
    </row>
    <row r="4424" spans="1:20" x14ac:dyDescent="0.25">
      <c r="A4424">
        <v>20160331</v>
      </c>
      <c r="B4424">
        <v>2016</v>
      </c>
      <c r="C4424">
        <v>3</v>
      </c>
      <c r="D4424">
        <v>1</v>
      </c>
      <c r="E4424">
        <v>11980</v>
      </c>
      <c r="F4424">
        <v>65736.88</v>
      </c>
      <c r="G4424">
        <v>0</v>
      </c>
      <c r="H4424">
        <v>0</v>
      </c>
      <c r="I4424">
        <v>0</v>
      </c>
      <c r="J4424">
        <v>0</v>
      </c>
      <c r="K4424">
        <v>0</v>
      </c>
      <c r="L4424">
        <v>7400000</v>
      </c>
      <c r="M4424">
        <v>7400000</v>
      </c>
      <c r="N4424">
        <v>7400000</v>
      </c>
      <c r="O4424">
        <v>7400000</v>
      </c>
      <c r="P4424">
        <v>7400000</v>
      </c>
      <c r="Q4424">
        <v>7400000</v>
      </c>
      <c r="R4424" s="14">
        <f>_xlfn.XLOOKUP(Table2[[#This Row],[LoanID]],Table1[G-L ID],Table1[ManagerCode],-99)</f>
        <v>119</v>
      </c>
      <c r="T4424"/>
    </row>
    <row r="4425" spans="1:20" x14ac:dyDescent="0.25">
      <c r="A4425">
        <v>20160331</v>
      </c>
      <c r="B4425">
        <v>2016</v>
      </c>
      <c r="C4425">
        <v>3</v>
      </c>
      <c r="D4425">
        <v>1</v>
      </c>
      <c r="E4425">
        <v>11990</v>
      </c>
      <c r="F4425">
        <v>97017.08</v>
      </c>
      <c r="G4425">
        <v>0</v>
      </c>
      <c r="H4425">
        <v>0</v>
      </c>
      <c r="I4425">
        <v>0</v>
      </c>
      <c r="J4425">
        <v>0</v>
      </c>
      <c r="K4425">
        <v>0</v>
      </c>
      <c r="L4425">
        <v>14700000</v>
      </c>
      <c r="M4425">
        <v>14700000</v>
      </c>
      <c r="N4425">
        <v>14700000</v>
      </c>
      <c r="O4425">
        <v>14700000</v>
      </c>
      <c r="P4425">
        <v>15000000</v>
      </c>
      <c r="Q4425">
        <v>15000000</v>
      </c>
      <c r="R4425" s="14">
        <f>_xlfn.XLOOKUP(Table2[[#This Row],[LoanID]],Table1[G-L ID],Table1[ManagerCode],-99)</f>
        <v>220</v>
      </c>
      <c r="T4425"/>
    </row>
    <row r="4426" spans="1:20" x14ac:dyDescent="0.25">
      <c r="A4426">
        <v>20160331</v>
      </c>
      <c r="B4426">
        <v>2016</v>
      </c>
      <c r="C4426">
        <v>3</v>
      </c>
      <c r="D4426">
        <v>1</v>
      </c>
      <c r="E4426">
        <v>12010</v>
      </c>
      <c r="F4426">
        <v>162749.99</v>
      </c>
      <c r="G4426">
        <v>0</v>
      </c>
      <c r="H4426">
        <v>0</v>
      </c>
      <c r="I4426">
        <v>0</v>
      </c>
      <c r="J4426">
        <v>-1413598.93</v>
      </c>
      <c r="K4426">
        <v>0</v>
      </c>
      <c r="L4426">
        <v>17535071</v>
      </c>
      <c r="M4426">
        <v>18948669.93</v>
      </c>
      <c r="N4426">
        <v>17535071</v>
      </c>
      <c r="O4426">
        <v>18948669.93</v>
      </c>
      <c r="P4426">
        <v>17535071</v>
      </c>
      <c r="Q4426">
        <v>18948669.93</v>
      </c>
      <c r="R4426" s="14">
        <f>_xlfn.XLOOKUP(Table2[[#This Row],[LoanID]],Table1[G-L ID],Table1[ManagerCode],-99)</f>
        <v>119</v>
      </c>
      <c r="T4426"/>
    </row>
    <row r="4427" spans="1:20" x14ac:dyDescent="0.25">
      <c r="A4427">
        <v>20160331</v>
      </c>
      <c r="B4427">
        <v>2016</v>
      </c>
      <c r="C4427">
        <v>3</v>
      </c>
      <c r="D4427">
        <v>1</v>
      </c>
      <c r="E4427">
        <v>12160</v>
      </c>
      <c r="F4427">
        <v>85097.1</v>
      </c>
      <c r="G4427">
        <v>103994.76</v>
      </c>
      <c r="H4427">
        <v>0</v>
      </c>
      <c r="I4427">
        <v>0</v>
      </c>
      <c r="J4427">
        <v>-85097.1</v>
      </c>
      <c r="K4427">
        <v>0</v>
      </c>
      <c r="L4427">
        <v>17184205.32</v>
      </c>
      <c r="M4427">
        <v>17373297.18</v>
      </c>
      <c r="N4427">
        <v>17184205.32</v>
      </c>
      <c r="O4427">
        <v>17373297.18</v>
      </c>
      <c r="P4427">
        <v>17184205.32</v>
      </c>
      <c r="Q4427">
        <v>17373297.18</v>
      </c>
      <c r="R4427" s="14">
        <f>_xlfn.XLOOKUP(Table2[[#This Row],[LoanID]],Table1[G-L ID],Table1[ManagerCode],-99)</f>
        <v>183</v>
      </c>
      <c r="T4427"/>
    </row>
    <row r="4428" spans="1:20" x14ac:dyDescent="0.25">
      <c r="A4428">
        <v>20160331</v>
      </c>
      <c r="B4428">
        <v>2016</v>
      </c>
      <c r="C4428">
        <v>3</v>
      </c>
      <c r="D4428">
        <v>1</v>
      </c>
      <c r="E4428">
        <v>12180</v>
      </c>
      <c r="F4428">
        <v>223497.36</v>
      </c>
      <c r="G4428">
        <v>0</v>
      </c>
      <c r="H4428">
        <v>0</v>
      </c>
      <c r="I4428">
        <v>0</v>
      </c>
      <c r="J4428">
        <v>0</v>
      </c>
      <c r="K4428">
        <v>0</v>
      </c>
      <c r="L4428">
        <v>35000000</v>
      </c>
      <c r="M4428">
        <v>35000000</v>
      </c>
      <c r="N4428">
        <v>35000000</v>
      </c>
      <c r="O4428">
        <v>35000000</v>
      </c>
      <c r="P4428">
        <v>35000000</v>
      </c>
      <c r="Q4428">
        <v>35000000</v>
      </c>
      <c r="R4428" s="14">
        <f>_xlfn.XLOOKUP(Table2[[#This Row],[LoanID]],Table1[G-L ID],Table1[ManagerCode],-99)</f>
        <v>220</v>
      </c>
      <c r="T4428"/>
    </row>
    <row r="4429" spans="1:20" x14ac:dyDescent="0.25">
      <c r="A4429">
        <v>20160331</v>
      </c>
      <c r="B4429">
        <v>2016</v>
      </c>
      <c r="C4429">
        <v>3</v>
      </c>
      <c r="D4429">
        <v>1</v>
      </c>
      <c r="E4429">
        <v>12190</v>
      </c>
      <c r="F4429">
        <v>250108.52</v>
      </c>
      <c r="G4429">
        <v>0</v>
      </c>
      <c r="H4429">
        <v>0</v>
      </c>
      <c r="I4429">
        <v>0</v>
      </c>
      <c r="J4429">
        <v>0</v>
      </c>
      <c r="K4429">
        <v>0</v>
      </c>
      <c r="L4429">
        <v>34383117</v>
      </c>
      <c r="M4429">
        <v>34383117</v>
      </c>
      <c r="N4429">
        <v>34383117</v>
      </c>
      <c r="O4429">
        <v>34383117</v>
      </c>
      <c r="P4429">
        <v>34383117</v>
      </c>
      <c r="Q4429">
        <v>34383117</v>
      </c>
      <c r="R4429" s="14">
        <f>_xlfn.XLOOKUP(Table2[[#This Row],[LoanID]],Table1[G-L ID],Table1[ManagerCode],-99)</f>
        <v>220</v>
      </c>
      <c r="T4429"/>
    </row>
    <row r="4430" spans="1:20" x14ac:dyDescent="0.25">
      <c r="A4430">
        <v>20160331</v>
      </c>
      <c r="B4430">
        <v>2016</v>
      </c>
      <c r="C4430">
        <v>3</v>
      </c>
      <c r="D4430">
        <v>1</v>
      </c>
      <c r="E4430">
        <v>12210</v>
      </c>
      <c r="F4430">
        <v>656065.36</v>
      </c>
      <c r="G4430">
        <v>0</v>
      </c>
      <c r="H4430">
        <v>0</v>
      </c>
      <c r="I4430">
        <v>0</v>
      </c>
      <c r="J4430">
        <v>0</v>
      </c>
      <c r="K4430">
        <v>239554.08</v>
      </c>
      <c r="L4430">
        <v>114285660.5</v>
      </c>
      <c r="M4430">
        <v>113756831.5</v>
      </c>
      <c r="N4430">
        <v>114285660.5</v>
      </c>
      <c r="O4430">
        <v>113756831.5</v>
      </c>
      <c r="P4430">
        <v>106152433.59999999</v>
      </c>
      <c r="Q4430">
        <v>105912879.5</v>
      </c>
      <c r="R4430" s="14">
        <f>_xlfn.XLOOKUP(Table2[[#This Row],[LoanID]],Table1[G-L ID],Table1[ManagerCode],-99)</f>
        <v>103</v>
      </c>
      <c r="T4430"/>
    </row>
    <row r="4431" spans="1:20" x14ac:dyDescent="0.25">
      <c r="A4431">
        <v>20160331</v>
      </c>
      <c r="B4431">
        <v>2016</v>
      </c>
      <c r="C4431">
        <v>3</v>
      </c>
      <c r="D4431">
        <v>1</v>
      </c>
      <c r="E4431">
        <v>12230</v>
      </c>
      <c r="F4431">
        <v>108772.4</v>
      </c>
      <c r="G4431">
        <v>0</v>
      </c>
      <c r="H4431">
        <v>0</v>
      </c>
      <c r="I4431">
        <v>0</v>
      </c>
      <c r="J4431">
        <v>0</v>
      </c>
      <c r="K4431">
        <v>0</v>
      </c>
      <c r="L4431">
        <v>20268813.940000001</v>
      </c>
      <c r="M4431">
        <v>20268813.940000001</v>
      </c>
      <c r="N4431">
        <v>13753361.439999999</v>
      </c>
      <c r="O4431">
        <v>13753361.439999999</v>
      </c>
      <c r="P4431">
        <v>20268813.940000001</v>
      </c>
      <c r="Q4431">
        <v>20268813.940000001</v>
      </c>
      <c r="R4431" s="14">
        <f>_xlfn.XLOOKUP(Table2[[#This Row],[LoanID]],Table1[G-L ID],Table1[ManagerCode],-99)</f>
        <v>183</v>
      </c>
      <c r="T4431"/>
    </row>
    <row r="4432" spans="1:20" x14ac:dyDescent="0.25">
      <c r="A4432">
        <v>20160331</v>
      </c>
      <c r="B4432">
        <v>2016</v>
      </c>
      <c r="C4432">
        <v>3</v>
      </c>
      <c r="D4432">
        <v>1</v>
      </c>
      <c r="E4432">
        <v>12240</v>
      </c>
      <c r="F4432">
        <v>0</v>
      </c>
      <c r="G4432">
        <v>1488773.28</v>
      </c>
      <c r="H4432">
        <v>0</v>
      </c>
      <c r="I4432">
        <v>0</v>
      </c>
      <c r="J4432">
        <v>0</v>
      </c>
      <c r="K4432">
        <v>0</v>
      </c>
      <c r="L4432">
        <v>133822317.5</v>
      </c>
      <c r="M4432">
        <v>135311090.80000001</v>
      </c>
      <c r="N4432">
        <v>133822317.5</v>
      </c>
      <c r="O4432">
        <v>135311090.80000001</v>
      </c>
      <c r="P4432">
        <v>133822317.5</v>
      </c>
      <c r="Q4432">
        <v>135311090.80000001</v>
      </c>
      <c r="R4432" s="14">
        <f>_xlfn.XLOOKUP(Table2[[#This Row],[LoanID]],Table1[G-L ID],Table1[ManagerCode],-99)</f>
        <v>183</v>
      </c>
      <c r="T4432"/>
    </row>
    <row r="4433" spans="1:20" x14ac:dyDescent="0.25">
      <c r="A4433">
        <v>20160331</v>
      </c>
      <c r="B4433">
        <v>2016</v>
      </c>
      <c r="C4433">
        <v>3</v>
      </c>
      <c r="D4433">
        <v>1</v>
      </c>
      <c r="E4433">
        <v>13630</v>
      </c>
      <c r="F4433">
        <v>217753.47</v>
      </c>
      <c r="G4433">
        <v>0</v>
      </c>
      <c r="H4433">
        <v>0</v>
      </c>
      <c r="I4433">
        <v>0</v>
      </c>
      <c r="J4433">
        <v>0</v>
      </c>
      <c r="K4433">
        <v>0</v>
      </c>
      <c r="L4433">
        <v>33468087</v>
      </c>
      <c r="M4433">
        <v>33468087</v>
      </c>
      <c r="N4433">
        <v>33468087</v>
      </c>
      <c r="O4433">
        <v>33468087</v>
      </c>
      <c r="P4433">
        <v>35000000</v>
      </c>
      <c r="Q4433">
        <v>35000000</v>
      </c>
      <c r="R4433" s="14">
        <f>_xlfn.XLOOKUP(Table2[[#This Row],[LoanID]],Table1[G-L ID],Table1[ManagerCode],-99)</f>
        <v>298</v>
      </c>
      <c r="T4433"/>
    </row>
    <row r="4434" spans="1:20" x14ac:dyDescent="0.25">
      <c r="A4434">
        <v>20160331</v>
      </c>
      <c r="B4434">
        <v>2016</v>
      </c>
      <c r="C4434">
        <v>3</v>
      </c>
      <c r="D4434">
        <v>1</v>
      </c>
      <c r="E4434">
        <v>13670</v>
      </c>
      <c r="F4434">
        <v>269669.78999999998</v>
      </c>
      <c r="G4434">
        <v>0</v>
      </c>
      <c r="H4434">
        <v>0</v>
      </c>
      <c r="I4434">
        <v>0</v>
      </c>
      <c r="J4434">
        <v>0</v>
      </c>
      <c r="K4434">
        <v>0</v>
      </c>
      <c r="L4434">
        <v>37369414</v>
      </c>
      <c r="M4434">
        <v>37369414</v>
      </c>
      <c r="N4434">
        <v>37369414</v>
      </c>
      <c r="O4434">
        <v>37369414</v>
      </c>
      <c r="P4434">
        <v>37500000</v>
      </c>
      <c r="Q4434">
        <v>37500000</v>
      </c>
      <c r="R4434" s="14">
        <f>_xlfn.XLOOKUP(Table2[[#This Row],[LoanID]],Table1[G-L ID],Table1[ManagerCode],-99)</f>
        <v>298</v>
      </c>
      <c r="T4434"/>
    </row>
    <row r="4435" spans="1:20" x14ac:dyDescent="0.25">
      <c r="A4435">
        <v>20160331</v>
      </c>
      <c r="B4435">
        <v>2016</v>
      </c>
      <c r="C4435">
        <v>3</v>
      </c>
      <c r="D4435">
        <v>1</v>
      </c>
      <c r="E4435">
        <v>13680</v>
      </c>
      <c r="F4435">
        <v>135937.5</v>
      </c>
      <c r="G4435">
        <v>0</v>
      </c>
      <c r="H4435">
        <v>0</v>
      </c>
      <c r="I4435">
        <v>0</v>
      </c>
      <c r="J4435">
        <v>0</v>
      </c>
      <c r="K4435">
        <v>0</v>
      </c>
      <c r="L4435">
        <v>18283364</v>
      </c>
      <c r="M4435">
        <v>18283364</v>
      </c>
      <c r="N4435">
        <v>18283364</v>
      </c>
      <c r="O4435">
        <v>18283364</v>
      </c>
      <c r="P4435">
        <v>18000000</v>
      </c>
      <c r="Q4435">
        <v>18000000</v>
      </c>
      <c r="R4435" s="14">
        <f>_xlfn.XLOOKUP(Table2[[#This Row],[LoanID]],Table1[G-L ID],Table1[ManagerCode],-99)</f>
        <v>298</v>
      </c>
      <c r="T4435"/>
    </row>
    <row r="4436" spans="1:20" x14ac:dyDescent="0.25">
      <c r="A4436">
        <v>20160331</v>
      </c>
      <c r="B4436">
        <v>2016</v>
      </c>
      <c r="C4436">
        <v>3</v>
      </c>
      <c r="D4436">
        <v>1</v>
      </c>
      <c r="E4436">
        <v>13690</v>
      </c>
      <c r="F4436">
        <v>124861.11</v>
      </c>
      <c r="G4436">
        <v>0</v>
      </c>
      <c r="H4436">
        <v>0</v>
      </c>
      <c r="I4436">
        <v>0</v>
      </c>
      <c r="J4436">
        <v>0</v>
      </c>
      <c r="K4436">
        <v>0</v>
      </c>
      <c r="L4436">
        <v>19169472</v>
      </c>
      <c r="M4436">
        <v>19169472</v>
      </c>
      <c r="N4436">
        <v>19169472</v>
      </c>
      <c r="O4436">
        <v>19169472</v>
      </c>
      <c r="P4436">
        <v>20000000</v>
      </c>
      <c r="Q4436">
        <v>20000000</v>
      </c>
      <c r="R4436" s="14">
        <f>_xlfn.XLOOKUP(Table2[[#This Row],[LoanID]],Table1[G-L ID],Table1[ManagerCode],-99)</f>
        <v>298</v>
      </c>
      <c r="T4436"/>
    </row>
    <row r="4437" spans="1:20" x14ac:dyDescent="0.25">
      <c r="A4437">
        <v>20160331</v>
      </c>
      <c r="B4437">
        <v>2016</v>
      </c>
      <c r="C4437">
        <v>3</v>
      </c>
      <c r="D4437">
        <v>1</v>
      </c>
      <c r="E4437">
        <v>15580</v>
      </c>
      <c r="F4437">
        <v>110230.18</v>
      </c>
      <c r="G4437">
        <v>7497.17</v>
      </c>
      <c r="H4437">
        <v>0</v>
      </c>
      <c r="I4437">
        <v>0</v>
      </c>
      <c r="J4437">
        <v>0</v>
      </c>
      <c r="K4437">
        <v>13171.13</v>
      </c>
      <c r="L4437">
        <v>14903470.18</v>
      </c>
      <c r="M4437">
        <v>14897796.220000001</v>
      </c>
      <c r="N4437">
        <v>14903470.18</v>
      </c>
      <c r="O4437">
        <v>14897796.220000001</v>
      </c>
      <c r="P4437">
        <v>14903470.18</v>
      </c>
      <c r="Q4437">
        <v>14897796.220000001</v>
      </c>
      <c r="R4437" s="14">
        <f>_xlfn.XLOOKUP(Table2[[#This Row],[LoanID]],Table1[G-L ID],Table1[ManagerCode],-99)</f>
        <v>212</v>
      </c>
      <c r="T4437"/>
    </row>
    <row r="4438" spans="1:20" x14ac:dyDescent="0.25">
      <c r="A4438">
        <v>20160430</v>
      </c>
      <c r="B4438">
        <v>2016</v>
      </c>
      <c r="C4438">
        <v>4</v>
      </c>
      <c r="D4438">
        <v>1</v>
      </c>
      <c r="E4438">
        <v>10010</v>
      </c>
      <c r="F4438">
        <v>166662.88</v>
      </c>
      <c r="G4438">
        <v>0</v>
      </c>
      <c r="H4438">
        <v>0</v>
      </c>
      <c r="I4438">
        <v>0</v>
      </c>
      <c r="J4438">
        <v>0</v>
      </c>
      <c r="K4438">
        <v>0</v>
      </c>
      <c r="L4438">
        <v>18603662</v>
      </c>
      <c r="M4438">
        <v>18603662</v>
      </c>
      <c r="N4438">
        <v>18603662</v>
      </c>
      <c r="O4438">
        <v>18603662</v>
      </c>
      <c r="P4438">
        <v>18603662</v>
      </c>
      <c r="Q4438">
        <v>18603662</v>
      </c>
      <c r="R4438" s="14">
        <f>_xlfn.XLOOKUP(Table2[[#This Row],[LoanID]],Table1[G-L ID],Table1[ManagerCode],-99)</f>
        <v>119</v>
      </c>
      <c r="T4438"/>
    </row>
    <row r="4439" spans="1:20" x14ac:dyDescent="0.25">
      <c r="A4439">
        <v>20160430</v>
      </c>
      <c r="B4439">
        <v>2016</v>
      </c>
      <c r="C4439">
        <v>4</v>
      </c>
      <c r="D4439">
        <v>1</v>
      </c>
      <c r="E4439">
        <v>10030</v>
      </c>
      <c r="F4439">
        <v>62772.63</v>
      </c>
      <c r="G4439">
        <v>0</v>
      </c>
      <c r="H4439">
        <v>0</v>
      </c>
      <c r="I4439">
        <v>0</v>
      </c>
      <c r="J4439">
        <v>0</v>
      </c>
      <c r="K4439">
        <v>0</v>
      </c>
      <c r="L4439">
        <v>7909070</v>
      </c>
      <c r="M4439">
        <v>7909070</v>
      </c>
      <c r="N4439">
        <v>7909070</v>
      </c>
      <c r="O4439">
        <v>7909070</v>
      </c>
      <c r="P4439">
        <v>7909070</v>
      </c>
      <c r="Q4439">
        <v>7909070</v>
      </c>
      <c r="R4439" s="14">
        <f>_xlfn.XLOOKUP(Table2[[#This Row],[LoanID]],Table1[G-L ID],Table1[ManagerCode],-99)</f>
        <v>119</v>
      </c>
      <c r="T4439"/>
    </row>
    <row r="4440" spans="1:20" x14ac:dyDescent="0.25">
      <c r="A4440">
        <v>20160430</v>
      </c>
      <c r="B4440">
        <v>2016</v>
      </c>
      <c r="C4440">
        <v>4</v>
      </c>
      <c r="D4440">
        <v>1</v>
      </c>
      <c r="E4440">
        <v>10040</v>
      </c>
      <c r="F4440">
        <v>44958.61</v>
      </c>
      <c r="G4440">
        <v>0</v>
      </c>
      <c r="H4440">
        <v>0</v>
      </c>
      <c r="I4440">
        <v>0</v>
      </c>
      <c r="J4440">
        <v>0</v>
      </c>
      <c r="K4440">
        <v>0</v>
      </c>
      <c r="L4440">
        <v>5000000</v>
      </c>
      <c r="M4440">
        <v>5000000</v>
      </c>
      <c r="N4440">
        <v>5000000</v>
      </c>
      <c r="O4440">
        <v>5000000</v>
      </c>
      <c r="P4440">
        <v>5000000</v>
      </c>
      <c r="Q4440">
        <v>5000000</v>
      </c>
      <c r="R4440" s="14">
        <f>_xlfn.XLOOKUP(Table2[[#This Row],[LoanID]],Table1[G-L ID],Table1[ManagerCode],-99)</f>
        <v>119</v>
      </c>
      <c r="T4440"/>
    </row>
    <row r="4441" spans="1:20" x14ac:dyDescent="0.25">
      <c r="A4441">
        <v>20160430</v>
      </c>
      <c r="B4441">
        <v>2016</v>
      </c>
      <c r="C4441">
        <v>4</v>
      </c>
      <c r="D4441">
        <v>1</v>
      </c>
      <c r="E4441">
        <v>10050</v>
      </c>
      <c r="F4441">
        <v>-153981.01999999999</v>
      </c>
      <c r="G4441">
        <v>0</v>
      </c>
      <c r="H4441">
        <v>0</v>
      </c>
      <c r="I4441">
        <v>0</v>
      </c>
      <c r="J4441">
        <v>0</v>
      </c>
      <c r="K4441">
        <v>0</v>
      </c>
      <c r="L4441">
        <v>37933940.210000001</v>
      </c>
      <c r="M4441">
        <v>37943326.380000003</v>
      </c>
      <c r="N4441">
        <v>37933940.210000001</v>
      </c>
      <c r="O4441">
        <v>37943326.380000003</v>
      </c>
      <c r="P4441">
        <v>33333334</v>
      </c>
      <c r="Q4441">
        <v>33333334</v>
      </c>
      <c r="R4441" s="14">
        <f>_xlfn.XLOOKUP(Table2[[#This Row],[LoanID]],Table1[G-L ID],Table1[ManagerCode],-99)</f>
        <v>103</v>
      </c>
      <c r="T4441"/>
    </row>
    <row r="4442" spans="1:20" x14ac:dyDescent="0.25">
      <c r="A4442">
        <v>20160430</v>
      </c>
      <c r="B4442">
        <v>2016</v>
      </c>
      <c r="C4442">
        <v>4</v>
      </c>
      <c r="D4442">
        <v>1</v>
      </c>
      <c r="E4442">
        <v>10100</v>
      </c>
      <c r="F4442">
        <v>200393.47</v>
      </c>
      <c r="G4442">
        <v>0</v>
      </c>
      <c r="H4442">
        <v>0</v>
      </c>
      <c r="I4442">
        <v>0</v>
      </c>
      <c r="J4442">
        <v>0</v>
      </c>
      <c r="K4442">
        <v>0</v>
      </c>
      <c r="L4442">
        <v>30500000</v>
      </c>
      <c r="M4442">
        <v>30500000</v>
      </c>
      <c r="N4442">
        <v>30500000</v>
      </c>
      <c r="O4442">
        <v>30500000</v>
      </c>
      <c r="P4442">
        <v>30500000</v>
      </c>
      <c r="Q4442">
        <v>30500000</v>
      </c>
      <c r="R4442" s="14">
        <f>_xlfn.XLOOKUP(Table2[[#This Row],[LoanID]],Table1[G-L ID],Table1[ManagerCode],-99)</f>
        <v>220</v>
      </c>
      <c r="T4442"/>
    </row>
    <row r="4443" spans="1:20" x14ac:dyDescent="0.25">
      <c r="A4443">
        <v>20160430</v>
      </c>
      <c r="B4443">
        <v>2016</v>
      </c>
      <c r="C4443">
        <v>4</v>
      </c>
      <c r="D4443">
        <v>1</v>
      </c>
      <c r="E4443">
        <v>10110</v>
      </c>
      <c r="F4443">
        <v>0</v>
      </c>
      <c r="G4443">
        <v>0</v>
      </c>
      <c r="H4443">
        <v>190000</v>
      </c>
      <c r="I4443">
        <v>0</v>
      </c>
      <c r="J4443">
        <v>-16400000</v>
      </c>
      <c r="K4443">
        <v>0</v>
      </c>
      <c r="L4443">
        <v>0</v>
      </c>
      <c r="M4443">
        <v>16400000</v>
      </c>
      <c r="N4443">
        <v>0</v>
      </c>
      <c r="O4443">
        <v>16400000</v>
      </c>
      <c r="P4443">
        <v>0</v>
      </c>
      <c r="Q4443">
        <v>16400000</v>
      </c>
      <c r="R4443" s="14">
        <f>_xlfn.XLOOKUP(Table2[[#This Row],[LoanID]],Table1[G-L ID],Table1[ManagerCode],-99)</f>
        <v>119</v>
      </c>
      <c r="T4443"/>
    </row>
    <row r="4444" spans="1:20" x14ac:dyDescent="0.25">
      <c r="A4444">
        <v>20160430</v>
      </c>
      <c r="B4444">
        <v>2016</v>
      </c>
      <c r="C4444">
        <v>4</v>
      </c>
      <c r="D4444">
        <v>1</v>
      </c>
      <c r="E4444">
        <v>10120</v>
      </c>
      <c r="F4444">
        <v>51352.39</v>
      </c>
      <c r="G4444">
        <v>56209.46</v>
      </c>
      <c r="H4444">
        <v>0</v>
      </c>
      <c r="I4444">
        <v>0</v>
      </c>
      <c r="J4444">
        <v>-51352.39</v>
      </c>
      <c r="K4444">
        <v>0</v>
      </c>
      <c r="L4444">
        <v>10357874.640000001</v>
      </c>
      <c r="M4444">
        <v>10465436.49</v>
      </c>
      <c r="N4444">
        <v>10357874.640000001</v>
      </c>
      <c r="O4444">
        <v>10465436.49</v>
      </c>
      <c r="P4444">
        <v>10357874.640000001</v>
      </c>
      <c r="Q4444">
        <v>10465436.49</v>
      </c>
      <c r="R4444" s="14">
        <f>_xlfn.XLOOKUP(Table2[[#This Row],[LoanID]],Table1[G-L ID],Table1[ManagerCode],-99)</f>
        <v>183</v>
      </c>
      <c r="T4444"/>
    </row>
    <row r="4445" spans="1:20" x14ac:dyDescent="0.25">
      <c r="A4445">
        <v>20160430</v>
      </c>
      <c r="B4445">
        <v>2016</v>
      </c>
      <c r="C4445">
        <v>4</v>
      </c>
      <c r="D4445">
        <v>1</v>
      </c>
      <c r="E4445">
        <v>10160</v>
      </c>
      <c r="F4445">
        <v>115202.4</v>
      </c>
      <c r="G4445">
        <v>0</v>
      </c>
      <c r="H4445">
        <v>0</v>
      </c>
      <c r="I4445">
        <v>0</v>
      </c>
      <c r="J4445">
        <v>0</v>
      </c>
      <c r="K4445">
        <v>0</v>
      </c>
      <c r="L4445">
        <v>14195139.48</v>
      </c>
      <c r="M4445">
        <v>14195139.48</v>
      </c>
      <c r="N4445">
        <v>14195139.48</v>
      </c>
      <c r="O4445">
        <v>14195139.48</v>
      </c>
      <c r="P4445">
        <v>14195139.48</v>
      </c>
      <c r="Q4445">
        <v>14195139.48</v>
      </c>
      <c r="R4445" s="14">
        <f>_xlfn.XLOOKUP(Table2[[#This Row],[LoanID]],Table1[G-L ID],Table1[ManagerCode],-99)</f>
        <v>119</v>
      </c>
      <c r="T4445"/>
    </row>
    <row r="4446" spans="1:20" x14ac:dyDescent="0.25">
      <c r="A4446">
        <v>20160430</v>
      </c>
      <c r="B4446">
        <v>2016</v>
      </c>
      <c r="C4446">
        <v>4</v>
      </c>
      <c r="D4446">
        <v>1</v>
      </c>
      <c r="E4446">
        <v>10220</v>
      </c>
      <c r="F4446">
        <v>1101388.8899999999</v>
      </c>
      <c r="G4446">
        <v>0</v>
      </c>
      <c r="H4446">
        <v>0</v>
      </c>
      <c r="I4446">
        <v>0</v>
      </c>
      <c r="J4446">
        <v>0</v>
      </c>
      <c r="K4446">
        <v>0</v>
      </c>
      <c r="L4446">
        <v>115342711.7</v>
      </c>
      <c r="M4446">
        <v>115178033.59999999</v>
      </c>
      <c r="N4446">
        <v>115342711.7</v>
      </c>
      <c r="O4446">
        <v>115178033.59999999</v>
      </c>
      <c r="P4446">
        <v>100000000</v>
      </c>
      <c r="Q4446">
        <v>100000000</v>
      </c>
      <c r="R4446" s="14">
        <f>_xlfn.XLOOKUP(Table2[[#This Row],[LoanID]],Table1[G-L ID],Table1[ManagerCode],-99)</f>
        <v>103</v>
      </c>
      <c r="T4446"/>
    </row>
    <row r="4447" spans="1:20" x14ac:dyDescent="0.25">
      <c r="A4447">
        <v>20160430</v>
      </c>
      <c r="B4447">
        <v>2016</v>
      </c>
      <c r="C4447">
        <v>4</v>
      </c>
      <c r="D4447">
        <v>1</v>
      </c>
      <c r="E4447">
        <v>10240</v>
      </c>
      <c r="F4447">
        <v>90814.93</v>
      </c>
      <c r="G4447">
        <v>0</v>
      </c>
      <c r="H4447">
        <v>0</v>
      </c>
      <c r="I4447">
        <v>0</v>
      </c>
      <c r="J4447">
        <v>0</v>
      </c>
      <c r="K4447">
        <v>0</v>
      </c>
      <c r="L4447">
        <v>12500000</v>
      </c>
      <c r="M4447">
        <v>12500000</v>
      </c>
      <c r="N4447">
        <v>12500000</v>
      </c>
      <c r="O4447">
        <v>12500000</v>
      </c>
      <c r="P4447">
        <v>12500000</v>
      </c>
      <c r="Q4447">
        <v>12500000</v>
      </c>
      <c r="R4447" s="14">
        <f>_xlfn.XLOOKUP(Table2[[#This Row],[LoanID]],Table1[G-L ID],Table1[ManagerCode],-99)</f>
        <v>220</v>
      </c>
      <c r="T4447"/>
    </row>
    <row r="4448" spans="1:20" x14ac:dyDescent="0.25">
      <c r="A4448">
        <v>20160430</v>
      </c>
      <c r="B4448">
        <v>2016</v>
      </c>
      <c r="C4448">
        <v>4</v>
      </c>
      <c r="D4448">
        <v>1</v>
      </c>
      <c r="E4448">
        <v>10250</v>
      </c>
      <c r="F4448">
        <v>50448.19</v>
      </c>
      <c r="G4448">
        <v>0</v>
      </c>
      <c r="H4448">
        <v>0</v>
      </c>
      <c r="I4448">
        <v>0</v>
      </c>
      <c r="J4448">
        <v>0</v>
      </c>
      <c r="K4448">
        <v>0</v>
      </c>
      <c r="L4448">
        <v>5000000</v>
      </c>
      <c r="M4448">
        <v>5000000</v>
      </c>
      <c r="N4448">
        <v>5000000</v>
      </c>
      <c r="O4448">
        <v>5000000</v>
      </c>
      <c r="P4448">
        <v>5000000</v>
      </c>
      <c r="Q4448">
        <v>5000000</v>
      </c>
      <c r="R4448" s="14">
        <f>_xlfn.XLOOKUP(Table2[[#This Row],[LoanID]],Table1[G-L ID],Table1[ManagerCode],-99)</f>
        <v>119</v>
      </c>
      <c r="T4448"/>
    </row>
    <row r="4449" spans="1:20" x14ac:dyDescent="0.25">
      <c r="A4449">
        <v>20160430</v>
      </c>
      <c r="B4449">
        <v>2016</v>
      </c>
      <c r="C4449">
        <v>4</v>
      </c>
      <c r="D4449">
        <v>1</v>
      </c>
      <c r="E4449">
        <v>10260</v>
      </c>
      <c r="F4449">
        <v>103055.63</v>
      </c>
      <c r="G4449">
        <v>0</v>
      </c>
      <c r="H4449">
        <v>0</v>
      </c>
      <c r="I4449">
        <v>0</v>
      </c>
      <c r="J4449">
        <v>0</v>
      </c>
      <c r="K4449">
        <v>0</v>
      </c>
      <c r="L4449">
        <v>15000000</v>
      </c>
      <c r="M4449">
        <v>15000000</v>
      </c>
      <c r="N4449">
        <v>15000000</v>
      </c>
      <c r="O4449">
        <v>15000000</v>
      </c>
      <c r="P4449">
        <v>15000000</v>
      </c>
      <c r="Q4449">
        <v>15000000</v>
      </c>
      <c r="R4449" s="14">
        <f>_xlfn.XLOOKUP(Table2[[#This Row],[LoanID]],Table1[G-L ID],Table1[ManagerCode],-99)</f>
        <v>220</v>
      </c>
      <c r="T4449"/>
    </row>
    <row r="4450" spans="1:20" x14ac:dyDescent="0.25">
      <c r="A4450">
        <v>20160430</v>
      </c>
      <c r="B4450">
        <v>2016</v>
      </c>
      <c r="C4450">
        <v>4</v>
      </c>
      <c r="D4450">
        <v>1</v>
      </c>
      <c r="E4450">
        <v>10270</v>
      </c>
      <c r="F4450">
        <v>44313.8</v>
      </c>
      <c r="G4450">
        <v>0</v>
      </c>
      <c r="H4450">
        <v>0</v>
      </c>
      <c r="I4450">
        <v>0</v>
      </c>
      <c r="J4450">
        <v>0</v>
      </c>
      <c r="K4450">
        <v>0</v>
      </c>
      <c r="L4450">
        <v>5400000</v>
      </c>
      <c r="M4450">
        <v>5400000</v>
      </c>
      <c r="N4450">
        <v>5400000</v>
      </c>
      <c r="O4450">
        <v>5400000</v>
      </c>
      <c r="P4450">
        <v>5400000</v>
      </c>
      <c r="Q4450">
        <v>5400000</v>
      </c>
      <c r="R4450" s="14">
        <f>_xlfn.XLOOKUP(Table2[[#This Row],[LoanID]],Table1[G-L ID],Table1[ManagerCode],-99)</f>
        <v>119</v>
      </c>
      <c r="T4450"/>
    </row>
    <row r="4451" spans="1:20" x14ac:dyDescent="0.25">
      <c r="A4451">
        <v>20160430</v>
      </c>
      <c r="B4451">
        <v>2016</v>
      </c>
      <c r="C4451">
        <v>4</v>
      </c>
      <c r="D4451">
        <v>1</v>
      </c>
      <c r="E4451">
        <v>10350</v>
      </c>
      <c r="F4451">
        <v>186861.11</v>
      </c>
      <c r="G4451">
        <v>0</v>
      </c>
      <c r="H4451">
        <v>0</v>
      </c>
      <c r="I4451">
        <v>0</v>
      </c>
      <c r="J4451">
        <v>0</v>
      </c>
      <c r="K4451">
        <v>0</v>
      </c>
      <c r="L4451">
        <v>24800000</v>
      </c>
      <c r="M4451">
        <v>24800000</v>
      </c>
      <c r="N4451">
        <v>24800000</v>
      </c>
      <c r="O4451">
        <v>24800000</v>
      </c>
      <c r="P4451">
        <v>24800000</v>
      </c>
      <c r="Q4451">
        <v>24800000</v>
      </c>
      <c r="R4451" s="14">
        <f>_xlfn.XLOOKUP(Table2[[#This Row],[LoanID]],Table1[G-L ID],Table1[ManagerCode],-99)</f>
        <v>220</v>
      </c>
      <c r="T4451"/>
    </row>
    <row r="4452" spans="1:20" x14ac:dyDescent="0.25">
      <c r="A4452">
        <v>20160430</v>
      </c>
      <c r="B4452">
        <v>2016</v>
      </c>
      <c r="C4452">
        <v>4</v>
      </c>
      <c r="D4452">
        <v>1</v>
      </c>
      <c r="E4452">
        <v>10360</v>
      </c>
      <c r="F4452">
        <v>57858.96</v>
      </c>
      <c r="G4452">
        <v>0</v>
      </c>
      <c r="H4452">
        <v>0</v>
      </c>
      <c r="I4452">
        <v>0</v>
      </c>
      <c r="J4452">
        <v>0</v>
      </c>
      <c r="K4452">
        <v>0</v>
      </c>
      <c r="L4452">
        <v>5909000</v>
      </c>
      <c r="M4452">
        <v>5909000</v>
      </c>
      <c r="N4452">
        <v>5909000</v>
      </c>
      <c r="O4452">
        <v>5909000</v>
      </c>
      <c r="P4452">
        <v>5909000</v>
      </c>
      <c r="Q4452">
        <v>5909000</v>
      </c>
      <c r="R4452" s="14">
        <f>_xlfn.XLOOKUP(Table2[[#This Row],[LoanID]],Table1[G-L ID],Table1[ManagerCode],-99)</f>
        <v>183</v>
      </c>
      <c r="T4452"/>
    </row>
    <row r="4453" spans="1:20" x14ac:dyDescent="0.25">
      <c r="A4453">
        <v>20160430</v>
      </c>
      <c r="B4453">
        <v>2016</v>
      </c>
      <c r="C4453">
        <v>4</v>
      </c>
      <c r="D4453">
        <v>1</v>
      </c>
      <c r="E4453">
        <v>10410</v>
      </c>
      <c r="F4453">
        <v>0</v>
      </c>
      <c r="G4453">
        <v>5465.38</v>
      </c>
      <c r="H4453">
        <v>286800</v>
      </c>
      <c r="I4453">
        <v>0</v>
      </c>
      <c r="J4453">
        <v>-1124306.6499999999</v>
      </c>
      <c r="K4453">
        <v>0</v>
      </c>
      <c r="L4453">
        <v>0</v>
      </c>
      <c r="M4453">
        <v>1129772.03</v>
      </c>
      <c r="N4453">
        <v>0</v>
      </c>
      <c r="O4453">
        <v>1129772.03</v>
      </c>
      <c r="P4453">
        <v>0</v>
      </c>
      <c r="Q4453">
        <v>1129772.03</v>
      </c>
      <c r="R4453" s="14">
        <f>_xlfn.XLOOKUP(Table2[[#This Row],[LoanID]],Table1[G-L ID],Table1[ManagerCode],-99)</f>
        <v>183</v>
      </c>
      <c r="T4453"/>
    </row>
    <row r="4454" spans="1:20" x14ac:dyDescent="0.25">
      <c r="A4454">
        <v>20160430</v>
      </c>
      <c r="B4454">
        <v>2016</v>
      </c>
      <c r="C4454">
        <v>4</v>
      </c>
      <c r="D4454">
        <v>1</v>
      </c>
      <c r="E4454">
        <v>10430</v>
      </c>
      <c r="F4454">
        <v>90910.95</v>
      </c>
      <c r="G4454">
        <v>0</v>
      </c>
      <c r="H4454">
        <v>0</v>
      </c>
      <c r="I4454">
        <v>0</v>
      </c>
      <c r="J4454">
        <v>0</v>
      </c>
      <c r="K4454">
        <v>23400</v>
      </c>
      <c r="L4454">
        <v>10625600</v>
      </c>
      <c r="M4454">
        <v>10602200</v>
      </c>
      <c r="N4454">
        <v>10625600</v>
      </c>
      <c r="O4454">
        <v>10602200</v>
      </c>
      <c r="P4454">
        <v>10625600</v>
      </c>
      <c r="Q4454">
        <v>10602200</v>
      </c>
      <c r="R4454" s="14">
        <f>_xlfn.XLOOKUP(Table2[[#This Row],[LoanID]],Table1[G-L ID],Table1[ManagerCode],-99)</f>
        <v>119</v>
      </c>
      <c r="T4454"/>
    </row>
    <row r="4455" spans="1:20" x14ac:dyDescent="0.25">
      <c r="A4455">
        <v>20160430</v>
      </c>
      <c r="B4455">
        <v>2016</v>
      </c>
      <c r="C4455">
        <v>4</v>
      </c>
      <c r="D4455">
        <v>1</v>
      </c>
      <c r="E4455">
        <v>10480</v>
      </c>
      <c r="F4455">
        <v>173138.43</v>
      </c>
      <c r="G4455">
        <v>0</v>
      </c>
      <c r="H4455">
        <v>0</v>
      </c>
      <c r="I4455">
        <v>0</v>
      </c>
      <c r="J4455">
        <v>0</v>
      </c>
      <c r="K4455">
        <v>0</v>
      </c>
      <c r="L4455">
        <v>24135903.420000002</v>
      </c>
      <c r="M4455">
        <v>24135903.420000002</v>
      </c>
      <c r="N4455">
        <v>24135903.420000002</v>
      </c>
      <c r="O4455">
        <v>24135903.420000002</v>
      </c>
      <c r="P4455">
        <v>24135903.420000002</v>
      </c>
      <c r="Q4455">
        <v>24135903.420000002</v>
      </c>
      <c r="R4455" s="14">
        <f>_xlfn.XLOOKUP(Table2[[#This Row],[LoanID]],Table1[G-L ID],Table1[ManagerCode],-99)</f>
        <v>119</v>
      </c>
      <c r="T4455"/>
    </row>
    <row r="4456" spans="1:20" x14ac:dyDescent="0.25">
      <c r="A4456">
        <v>20160430</v>
      </c>
      <c r="B4456">
        <v>2016</v>
      </c>
      <c r="C4456">
        <v>4</v>
      </c>
      <c r="D4456">
        <v>1</v>
      </c>
      <c r="E4456">
        <v>10570</v>
      </c>
      <c r="F4456">
        <v>832883.74</v>
      </c>
      <c r="G4456">
        <v>0</v>
      </c>
      <c r="H4456">
        <v>0</v>
      </c>
      <c r="I4456">
        <v>0</v>
      </c>
      <c r="J4456">
        <v>0</v>
      </c>
      <c r="K4456">
        <v>0</v>
      </c>
      <c r="L4456">
        <v>156356260.69999999</v>
      </c>
      <c r="M4456">
        <v>156356260.69999999</v>
      </c>
      <c r="N4456">
        <v>156356260.69999999</v>
      </c>
      <c r="O4456">
        <v>156356260.69999999</v>
      </c>
      <c r="P4456">
        <v>156356260.69999999</v>
      </c>
      <c r="Q4456">
        <v>156356260.69999999</v>
      </c>
      <c r="R4456" s="14">
        <f>_xlfn.XLOOKUP(Table2[[#This Row],[LoanID]],Table1[G-L ID],Table1[ManagerCode],-99)</f>
        <v>103</v>
      </c>
      <c r="T4456"/>
    </row>
    <row r="4457" spans="1:20" x14ac:dyDescent="0.25">
      <c r="A4457">
        <v>20160430</v>
      </c>
      <c r="B4457">
        <v>2016</v>
      </c>
      <c r="C4457">
        <v>4</v>
      </c>
      <c r="D4457">
        <v>1</v>
      </c>
      <c r="E4457">
        <v>10591</v>
      </c>
      <c r="F4457">
        <v>218901.51</v>
      </c>
      <c r="G4457">
        <v>0</v>
      </c>
      <c r="H4457">
        <v>0</v>
      </c>
      <c r="I4457">
        <v>0</v>
      </c>
      <c r="J4457">
        <v>0</v>
      </c>
      <c r="K4457">
        <v>0</v>
      </c>
      <c r="L4457">
        <v>24266651.77</v>
      </c>
      <c r="M4457">
        <v>24266651.77</v>
      </c>
      <c r="N4457">
        <v>24266651.77</v>
      </c>
      <c r="O4457">
        <v>24266651.77</v>
      </c>
      <c r="P4457">
        <v>24266651.77</v>
      </c>
      <c r="Q4457">
        <v>24266651.77</v>
      </c>
      <c r="R4457" s="14">
        <f>_xlfn.XLOOKUP(Table2[[#This Row],[LoanID]],Table1[G-L ID],Table1[ManagerCode],-99)</f>
        <v>220</v>
      </c>
      <c r="T4457"/>
    </row>
    <row r="4458" spans="1:20" x14ac:dyDescent="0.25">
      <c r="A4458">
        <v>20160430</v>
      </c>
      <c r="B4458">
        <v>2016</v>
      </c>
      <c r="C4458">
        <v>4</v>
      </c>
      <c r="D4458">
        <v>1</v>
      </c>
      <c r="E4458">
        <v>10592</v>
      </c>
      <c r="F4458">
        <v>362131.25</v>
      </c>
      <c r="G4458">
        <v>0</v>
      </c>
      <c r="H4458">
        <v>0</v>
      </c>
      <c r="I4458">
        <v>0</v>
      </c>
      <c r="J4458">
        <v>0</v>
      </c>
      <c r="K4458">
        <v>0</v>
      </c>
      <c r="L4458">
        <v>36017436.090000004</v>
      </c>
      <c r="M4458">
        <v>35822200.229999997</v>
      </c>
      <c r="N4458">
        <v>36017436.090000004</v>
      </c>
      <c r="O4458">
        <v>35822200.229999997</v>
      </c>
      <c r="P4458">
        <v>35822200.229999997</v>
      </c>
      <c r="Q4458">
        <v>35822200.229999997</v>
      </c>
      <c r="R4458" s="14">
        <f>_xlfn.XLOOKUP(Table2[[#This Row],[LoanID]],Table1[G-L ID],Table1[ManagerCode],-99)</f>
        <v>220</v>
      </c>
      <c r="T4458"/>
    </row>
    <row r="4459" spans="1:20" x14ac:dyDescent="0.25">
      <c r="A4459">
        <v>20160430</v>
      </c>
      <c r="B4459">
        <v>2016</v>
      </c>
      <c r="C4459">
        <v>4</v>
      </c>
      <c r="D4459">
        <v>1</v>
      </c>
      <c r="E4459">
        <v>10620</v>
      </c>
      <c r="F4459">
        <v>67097.33</v>
      </c>
      <c r="G4459">
        <v>0</v>
      </c>
      <c r="H4459">
        <v>608000</v>
      </c>
      <c r="I4459">
        <v>0</v>
      </c>
      <c r="J4459">
        <v>-54600000</v>
      </c>
      <c r="K4459">
        <v>0</v>
      </c>
      <c r="L4459">
        <v>0</v>
      </c>
      <c r="M4459">
        <v>54600000</v>
      </c>
      <c r="N4459">
        <v>0</v>
      </c>
      <c r="O4459">
        <v>54600000</v>
      </c>
      <c r="P4459">
        <v>0</v>
      </c>
      <c r="Q4459">
        <v>54600000</v>
      </c>
      <c r="R4459" s="14">
        <f>_xlfn.XLOOKUP(Table2[[#This Row],[LoanID]],Table1[G-L ID],Table1[ManagerCode],-99)</f>
        <v>119</v>
      </c>
      <c r="T4459"/>
    </row>
    <row r="4460" spans="1:20" x14ac:dyDescent="0.25">
      <c r="A4460">
        <v>20160430</v>
      </c>
      <c r="B4460">
        <v>2016</v>
      </c>
      <c r="C4460">
        <v>4</v>
      </c>
      <c r="D4460">
        <v>1</v>
      </c>
      <c r="E4460">
        <v>10640</v>
      </c>
      <c r="F4460">
        <v>71260.81</v>
      </c>
      <c r="G4460">
        <v>0</v>
      </c>
      <c r="H4460">
        <v>0</v>
      </c>
      <c r="I4460">
        <v>0</v>
      </c>
      <c r="J4460">
        <v>0</v>
      </c>
      <c r="K4460">
        <v>0</v>
      </c>
      <c r="L4460">
        <v>8084494</v>
      </c>
      <c r="M4460">
        <v>8084494</v>
      </c>
      <c r="N4460">
        <v>8084494</v>
      </c>
      <c r="O4460">
        <v>8084494</v>
      </c>
      <c r="P4460">
        <v>8084494</v>
      </c>
      <c r="Q4460">
        <v>8084494</v>
      </c>
      <c r="R4460" s="14">
        <f>_xlfn.XLOOKUP(Table2[[#This Row],[LoanID]],Table1[G-L ID],Table1[ManagerCode],-99)</f>
        <v>220</v>
      </c>
      <c r="T4460"/>
    </row>
    <row r="4461" spans="1:20" x14ac:dyDescent="0.25">
      <c r="A4461">
        <v>20160430</v>
      </c>
      <c r="B4461">
        <v>2016</v>
      </c>
      <c r="C4461">
        <v>4</v>
      </c>
      <c r="D4461">
        <v>1</v>
      </c>
      <c r="E4461">
        <v>10680</v>
      </c>
      <c r="F4461">
        <v>95849.96</v>
      </c>
      <c r="G4461">
        <v>0</v>
      </c>
      <c r="H4461">
        <v>0</v>
      </c>
      <c r="I4461">
        <v>0</v>
      </c>
      <c r="J4461">
        <v>0</v>
      </c>
      <c r="K4461">
        <v>0</v>
      </c>
      <c r="L4461">
        <v>10875254.640000001</v>
      </c>
      <c r="M4461">
        <v>10875254.640000001</v>
      </c>
      <c r="N4461">
        <v>10875254.640000001</v>
      </c>
      <c r="O4461">
        <v>10875254.640000001</v>
      </c>
      <c r="P4461">
        <v>10875254.640000001</v>
      </c>
      <c r="Q4461">
        <v>10875254.640000001</v>
      </c>
      <c r="R4461" s="14">
        <f>_xlfn.XLOOKUP(Table2[[#This Row],[LoanID]],Table1[G-L ID],Table1[ManagerCode],-99)</f>
        <v>119</v>
      </c>
      <c r="T4461"/>
    </row>
    <row r="4462" spans="1:20" x14ac:dyDescent="0.25">
      <c r="A4462">
        <v>20160430</v>
      </c>
      <c r="B4462">
        <v>2016</v>
      </c>
      <c r="C4462">
        <v>4</v>
      </c>
      <c r="D4462">
        <v>1</v>
      </c>
      <c r="E4462">
        <v>10720</v>
      </c>
      <c r="F4462">
        <v>125000</v>
      </c>
      <c r="G4462">
        <v>83000.86</v>
      </c>
      <c r="H4462">
        <v>0</v>
      </c>
      <c r="I4462">
        <v>0</v>
      </c>
      <c r="J4462">
        <v>0</v>
      </c>
      <c r="K4462">
        <v>0</v>
      </c>
      <c r="L4462">
        <v>16103292.08</v>
      </c>
      <c r="M4462">
        <v>16186292.939999999</v>
      </c>
      <c r="N4462">
        <v>16103292.08</v>
      </c>
      <c r="O4462">
        <v>16186292.939999999</v>
      </c>
      <c r="P4462">
        <v>16103292.08</v>
      </c>
      <c r="Q4462">
        <v>16186292.939999999</v>
      </c>
      <c r="R4462" s="14">
        <f>_xlfn.XLOOKUP(Table2[[#This Row],[LoanID]],Table1[G-L ID],Table1[ManagerCode],-99)</f>
        <v>220</v>
      </c>
      <c r="T4462"/>
    </row>
    <row r="4463" spans="1:20" x14ac:dyDescent="0.25">
      <c r="A4463">
        <v>20160430</v>
      </c>
      <c r="B4463">
        <v>2016</v>
      </c>
      <c r="C4463">
        <v>4</v>
      </c>
      <c r="D4463">
        <v>1</v>
      </c>
      <c r="E4463">
        <v>10730</v>
      </c>
      <c r="F4463">
        <v>99047.53</v>
      </c>
      <c r="G4463">
        <v>0</v>
      </c>
      <c r="H4463">
        <v>0</v>
      </c>
      <c r="I4463">
        <v>0</v>
      </c>
      <c r="J4463">
        <v>0</v>
      </c>
      <c r="K4463">
        <v>0</v>
      </c>
      <c r="L4463">
        <v>9500000</v>
      </c>
      <c r="M4463">
        <v>9500000</v>
      </c>
      <c r="N4463">
        <v>9500000</v>
      </c>
      <c r="O4463">
        <v>9500000</v>
      </c>
      <c r="P4463">
        <v>9500000</v>
      </c>
      <c r="Q4463">
        <v>9500000</v>
      </c>
      <c r="R4463" s="14">
        <f>_xlfn.XLOOKUP(Table2[[#This Row],[LoanID]],Table1[G-L ID],Table1[ManagerCode],-99)</f>
        <v>119</v>
      </c>
      <c r="T4463"/>
    </row>
    <row r="4464" spans="1:20" x14ac:dyDescent="0.25">
      <c r="A4464">
        <v>20160430</v>
      </c>
      <c r="B4464">
        <v>2016</v>
      </c>
      <c r="C4464">
        <v>4</v>
      </c>
      <c r="D4464">
        <v>1</v>
      </c>
      <c r="E4464">
        <v>10740</v>
      </c>
      <c r="F4464">
        <v>0</v>
      </c>
      <c r="G4464">
        <v>0</v>
      </c>
      <c r="H4464">
        <v>0</v>
      </c>
      <c r="I4464">
        <v>0</v>
      </c>
      <c r="J4464">
        <v>0</v>
      </c>
      <c r="K4464">
        <v>0</v>
      </c>
      <c r="L4464">
        <v>444424211.69999999</v>
      </c>
      <c r="M4464">
        <v>448181545.69999999</v>
      </c>
      <c r="N4464">
        <v>444424211.69999999</v>
      </c>
      <c r="O4464">
        <v>448181545.69999999</v>
      </c>
      <c r="P4464">
        <v>461801475</v>
      </c>
      <c r="Q4464">
        <v>461801475</v>
      </c>
      <c r="R4464" s="14">
        <f>_xlfn.XLOOKUP(Table2[[#This Row],[LoanID]],Table1[G-L ID],Table1[ManagerCode],-99)</f>
        <v>103</v>
      </c>
      <c r="T4464"/>
    </row>
    <row r="4465" spans="1:20" x14ac:dyDescent="0.25">
      <c r="A4465">
        <v>20160430</v>
      </c>
      <c r="B4465">
        <v>2016</v>
      </c>
      <c r="C4465">
        <v>4</v>
      </c>
      <c r="D4465">
        <v>1</v>
      </c>
      <c r="E4465">
        <v>10750</v>
      </c>
      <c r="F4465">
        <v>78607.48</v>
      </c>
      <c r="G4465">
        <v>0</v>
      </c>
      <c r="H4465">
        <v>0</v>
      </c>
      <c r="I4465">
        <v>0</v>
      </c>
      <c r="J4465">
        <v>-406354.69</v>
      </c>
      <c r="K4465">
        <v>0</v>
      </c>
      <c r="L4465">
        <v>10271646.130000001</v>
      </c>
      <c r="M4465">
        <v>10678000.82</v>
      </c>
      <c r="N4465">
        <v>10271646.130000001</v>
      </c>
      <c r="O4465">
        <v>10678000.82</v>
      </c>
      <c r="P4465">
        <v>10271646.130000001</v>
      </c>
      <c r="Q4465">
        <v>10678000.82</v>
      </c>
      <c r="R4465" s="14">
        <f>_xlfn.XLOOKUP(Table2[[#This Row],[LoanID]],Table1[G-L ID],Table1[ManagerCode],-99)</f>
        <v>119</v>
      </c>
      <c r="T4465"/>
    </row>
    <row r="4466" spans="1:20" x14ac:dyDescent="0.25">
      <c r="A4466">
        <v>20160430</v>
      </c>
      <c r="B4466">
        <v>2016</v>
      </c>
      <c r="C4466">
        <v>4</v>
      </c>
      <c r="D4466">
        <v>1</v>
      </c>
      <c r="E4466">
        <v>10780</v>
      </c>
      <c r="F4466">
        <v>321660.31</v>
      </c>
      <c r="G4466">
        <v>0</v>
      </c>
      <c r="H4466">
        <v>0</v>
      </c>
      <c r="I4466">
        <v>0</v>
      </c>
      <c r="J4466">
        <v>0</v>
      </c>
      <c r="K4466">
        <v>0</v>
      </c>
      <c r="L4466">
        <v>43000000</v>
      </c>
      <c r="M4466">
        <v>43000000</v>
      </c>
      <c r="N4466">
        <v>43000000</v>
      </c>
      <c r="O4466">
        <v>43000000</v>
      </c>
      <c r="P4466">
        <v>43000000</v>
      </c>
      <c r="Q4466">
        <v>43000000</v>
      </c>
      <c r="R4466" s="14">
        <f>_xlfn.XLOOKUP(Table2[[#This Row],[LoanID]],Table1[G-L ID],Table1[ManagerCode],-99)</f>
        <v>220</v>
      </c>
      <c r="T4466"/>
    </row>
    <row r="4467" spans="1:20" x14ac:dyDescent="0.25">
      <c r="A4467">
        <v>20160430</v>
      </c>
      <c r="B4467">
        <v>2016</v>
      </c>
      <c r="C4467">
        <v>4</v>
      </c>
      <c r="D4467">
        <v>1</v>
      </c>
      <c r="E4467">
        <v>10800</v>
      </c>
      <c r="F4467">
        <v>264986.65999999997</v>
      </c>
      <c r="G4467">
        <v>0</v>
      </c>
      <c r="H4467">
        <v>0</v>
      </c>
      <c r="I4467">
        <v>0</v>
      </c>
      <c r="J4467">
        <v>-22000000</v>
      </c>
      <c r="K4467">
        <v>0</v>
      </c>
      <c r="L4467">
        <v>26000000</v>
      </c>
      <c r="M4467">
        <v>48000000</v>
      </c>
      <c r="N4467">
        <v>26000000</v>
      </c>
      <c r="O4467">
        <v>48000000</v>
      </c>
      <c r="P4467">
        <v>26000000</v>
      </c>
      <c r="Q4467">
        <v>48000000</v>
      </c>
      <c r="R4467" s="14">
        <f>_xlfn.XLOOKUP(Table2[[#This Row],[LoanID]],Table1[G-L ID],Table1[ManagerCode],-99)</f>
        <v>220</v>
      </c>
      <c r="T4467"/>
    </row>
    <row r="4468" spans="1:20" x14ac:dyDescent="0.25">
      <c r="A4468">
        <v>20160430</v>
      </c>
      <c r="B4468">
        <v>2016</v>
      </c>
      <c r="C4468">
        <v>4</v>
      </c>
      <c r="D4468">
        <v>1</v>
      </c>
      <c r="E4468">
        <v>10810</v>
      </c>
      <c r="F4468">
        <v>123967.42</v>
      </c>
      <c r="G4468">
        <v>0</v>
      </c>
      <c r="H4468">
        <v>-216450</v>
      </c>
      <c r="I4468">
        <v>0</v>
      </c>
      <c r="J4468">
        <v>18395000</v>
      </c>
      <c r="K4468">
        <v>0</v>
      </c>
      <c r="L4468">
        <v>28300000</v>
      </c>
      <c r="M4468">
        <v>9905000</v>
      </c>
      <c r="N4468">
        <v>28300000</v>
      </c>
      <c r="O4468">
        <v>9905000</v>
      </c>
      <c r="P4468">
        <v>28300000</v>
      </c>
      <c r="Q4468">
        <v>9905000</v>
      </c>
      <c r="R4468" s="14">
        <f>_xlfn.XLOOKUP(Table2[[#This Row],[LoanID]],Table1[G-L ID],Table1[ManagerCode],-99)</f>
        <v>119</v>
      </c>
      <c r="T4468"/>
    </row>
    <row r="4469" spans="1:20" x14ac:dyDescent="0.25">
      <c r="A4469">
        <v>20160430</v>
      </c>
      <c r="B4469">
        <v>2016</v>
      </c>
      <c r="C4469">
        <v>4</v>
      </c>
      <c r="D4469">
        <v>1</v>
      </c>
      <c r="E4469">
        <v>10820</v>
      </c>
      <c r="F4469">
        <v>197375.03</v>
      </c>
      <c r="G4469">
        <v>0</v>
      </c>
      <c r="H4469">
        <v>0</v>
      </c>
      <c r="I4469">
        <v>0</v>
      </c>
      <c r="J4469">
        <v>0</v>
      </c>
      <c r="K4469">
        <v>0</v>
      </c>
      <c r="L4469">
        <v>24344483.780000001</v>
      </c>
      <c r="M4469">
        <v>24344483.780000001</v>
      </c>
      <c r="N4469">
        <v>24344483.780000001</v>
      </c>
      <c r="O4469">
        <v>24344483.780000001</v>
      </c>
      <c r="P4469">
        <v>24127337.739999998</v>
      </c>
      <c r="Q4469">
        <v>24127337.739999998</v>
      </c>
      <c r="R4469" s="14">
        <f>_xlfn.XLOOKUP(Table2[[#This Row],[LoanID]],Table1[G-L ID],Table1[ManagerCode],-99)</f>
        <v>220</v>
      </c>
      <c r="T4469"/>
    </row>
    <row r="4470" spans="1:20" x14ac:dyDescent="0.25">
      <c r="A4470">
        <v>20160430</v>
      </c>
      <c r="B4470">
        <v>2016</v>
      </c>
      <c r="C4470">
        <v>4</v>
      </c>
      <c r="D4470">
        <v>1</v>
      </c>
      <c r="E4470">
        <v>10830</v>
      </c>
      <c r="F4470">
        <v>62853.2</v>
      </c>
      <c r="G4470">
        <v>0</v>
      </c>
      <c r="H4470">
        <v>0</v>
      </c>
      <c r="I4470">
        <v>0</v>
      </c>
      <c r="J4470">
        <v>-122800</v>
      </c>
      <c r="K4470">
        <v>0</v>
      </c>
      <c r="L4470">
        <v>7752392.3300000001</v>
      </c>
      <c r="M4470">
        <v>7876297.5300000003</v>
      </c>
      <c r="N4470">
        <v>7752392.3300000001</v>
      </c>
      <c r="O4470">
        <v>7876297.5300000003</v>
      </c>
      <c r="P4470">
        <v>7683243.1399999997</v>
      </c>
      <c r="Q4470">
        <v>7806043.1399999997</v>
      </c>
      <c r="R4470" s="14">
        <f>_xlfn.XLOOKUP(Table2[[#This Row],[LoanID]],Table1[G-L ID],Table1[ManagerCode],-99)</f>
        <v>220</v>
      </c>
      <c r="T4470"/>
    </row>
    <row r="4471" spans="1:20" x14ac:dyDescent="0.25">
      <c r="A4471">
        <v>20160430</v>
      </c>
      <c r="B4471">
        <v>2016</v>
      </c>
      <c r="C4471">
        <v>4</v>
      </c>
      <c r="D4471">
        <v>1</v>
      </c>
      <c r="E4471">
        <v>10840</v>
      </c>
      <c r="F4471">
        <v>103968.23</v>
      </c>
      <c r="G4471">
        <v>0</v>
      </c>
      <c r="H4471">
        <v>0</v>
      </c>
      <c r="I4471">
        <v>0</v>
      </c>
      <c r="J4471">
        <v>0</v>
      </c>
      <c r="K4471">
        <v>0</v>
      </c>
      <c r="L4471">
        <v>12823571.699999999</v>
      </c>
      <c r="M4471">
        <v>12823571.699999999</v>
      </c>
      <c r="N4471">
        <v>12823571.699999999</v>
      </c>
      <c r="O4471">
        <v>12823571.699999999</v>
      </c>
      <c r="P4471">
        <v>12709189</v>
      </c>
      <c r="Q4471">
        <v>12709189</v>
      </c>
      <c r="R4471" s="14">
        <f>_xlfn.XLOOKUP(Table2[[#This Row],[LoanID]],Table1[G-L ID],Table1[ManagerCode],-99)</f>
        <v>220</v>
      </c>
      <c r="T4471"/>
    </row>
    <row r="4472" spans="1:20" x14ac:dyDescent="0.25">
      <c r="A4472">
        <v>20160430</v>
      </c>
      <c r="B4472">
        <v>2016</v>
      </c>
      <c r="C4472">
        <v>4</v>
      </c>
      <c r="D4472">
        <v>1</v>
      </c>
      <c r="E4472">
        <v>10850</v>
      </c>
      <c r="F4472">
        <v>110534.78</v>
      </c>
      <c r="G4472">
        <v>0</v>
      </c>
      <c r="H4472">
        <v>0</v>
      </c>
      <c r="I4472">
        <v>0</v>
      </c>
      <c r="J4472">
        <v>0</v>
      </c>
      <c r="K4472">
        <v>0</v>
      </c>
      <c r="L4472">
        <v>13633499.029999999</v>
      </c>
      <c r="M4472">
        <v>13633499.029999999</v>
      </c>
      <c r="N4472">
        <v>13633499.029999999</v>
      </c>
      <c r="O4472">
        <v>13633499.029999999</v>
      </c>
      <c r="P4472">
        <v>13511892</v>
      </c>
      <c r="Q4472">
        <v>13511892</v>
      </c>
      <c r="R4472" s="14">
        <f>_xlfn.XLOOKUP(Table2[[#This Row],[LoanID]],Table1[G-L ID],Table1[ManagerCode],-99)</f>
        <v>220</v>
      </c>
      <c r="T4472"/>
    </row>
    <row r="4473" spans="1:20" x14ac:dyDescent="0.25">
      <c r="A4473">
        <v>20160430</v>
      </c>
      <c r="B4473">
        <v>2016</v>
      </c>
      <c r="C4473">
        <v>4</v>
      </c>
      <c r="D4473">
        <v>1</v>
      </c>
      <c r="E4473">
        <v>10860</v>
      </c>
      <c r="F4473">
        <v>122457.32</v>
      </c>
      <c r="G4473">
        <v>0</v>
      </c>
      <c r="H4473">
        <v>0</v>
      </c>
      <c r="I4473">
        <v>0</v>
      </c>
      <c r="J4473">
        <v>0</v>
      </c>
      <c r="K4473">
        <v>0</v>
      </c>
      <c r="L4473">
        <v>19475000</v>
      </c>
      <c r="M4473">
        <v>19475000</v>
      </c>
      <c r="N4473">
        <v>19475000</v>
      </c>
      <c r="O4473">
        <v>19475000</v>
      </c>
      <c r="P4473">
        <v>20500000</v>
      </c>
      <c r="Q4473">
        <v>20500000</v>
      </c>
      <c r="R4473" s="14">
        <f>_xlfn.XLOOKUP(Table2[[#This Row],[LoanID]],Table1[G-L ID],Table1[ManagerCode],-99)</f>
        <v>103</v>
      </c>
      <c r="T4473"/>
    </row>
    <row r="4474" spans="1:20" x14ac:dyDescent="0.25">
      <c r="A4474">
        <v>20160430</v>
      </c>
      <c r="B4474">
        <v>2016</v>
      </c>
      <c r="C4474">
        <v>4</v>
      </c>
      <c r="D4474">
        <v>1</v>
      </c>
      <c r="E4474">
        <v>10890</v>
      </c>
      <c r="F4474">
        <v>97052.84</v>
      </c>
      <c r="G4474">
        <v>83812.36</v>
      </c>
      <c r="H4474">
        <v>0</v>
      </c>
      <c r="I4474">
        <v>0</v>
      </c>
      <c r="J4474">
        <v>-97052.84</v>
      </c>
      <c r="K4474">
        <v>0</v>
      </c>
      <c r="L4474">
        <v>20017914.530000001</v>
      </c>
      <c r="M4474">
        <v>20198779.73</v>
      </c>
      <c r="N4474">
        <v>20017914.530000001</v>
      </c>
      <c r="O4474">
        <v>20198779.73</v>
      </c>
      <c r="P4474">
        <v>20017914.530000001</v>
      </c>
      <c r="Q4474">
        <v>20198779.73</v>
      </c>
      <c r="R4474" s="14">
        <f>_xlfn.XLOOKUP(Table2[[#This Row],[LoanID]],Table1[G-L ID],Table1[ManagerCode],-99)</f>
        <v>183</v>
      </c>
      <c r="T4474"/>
    </row>
    <row r="4475" spans="1:20" x14ac:dyDescent="0.25">
      <c r="A4475">
        <v>20160430</v>
      </c>
      <c r="B4475">
        <v>2016</v>
      </c>
      <c r="C4475">
        <v>4</v>
      </c>
      <c r="D4475">
        <v>1</v>
      </c>
      <c r="E4475">
        <v>10910</v>
      </c>
      <c r="F4475">
        <v>202412.78</v>
      </c>
      <c r="G4475">
        <v>0</v>
      </c>
      <c r="H4475">
        <v>0</v>
      </c>
      <c r="I4475">
        <v>0</v>
      </c>
      <c r="J4475">
        <v>0</v>
      </c>
      <c r="K4475">
        <v>0</v>
      </c>
      <c r="L4475">
        <v>22500000</v>
      </c>
      <c r="M4475">
        <v>22500000</v>
      </c>
      <c r="N4475">
        <v>22500000</v>
      </c>
      <c r="O4475">
        <v>22500000</v>
      </c>
      <c r="P4475">
        <v>22500000</v>
      </c>
      <c r="Q4475">
        <v>22500000</v>
      </c>
      <c r="R4475" s="14">
        <f>_xlfn.XLOOKUP(Table2[[#This Row],[LoanID]],Table1[G-L ID],Table1[ManagerCode],-99)</f>
        <v>119</v>
      </c>
      <c r="T4475"/>
    </row>
    <row r="4476" spans="1:20" x14ac:dyDescent="0.25">
      <c r="A4476">
        <v>20160430</v>
      </c>
      <c r="B4476">
        <v>2016</v>
      </c>
      <c r="C4476">
        <v>4</v>
      </c>
      <c r="D4476">
        <v>1</v>
      </c>
      <c r="E4476">
        <v>10930</v>
      </c>
      <c r="F4476">
        <v>0</v>
      </c>
      <c r="G4476">
        <v>162300.85999999999</v>
      </c>
      <c r="H4476">
        <v>0</v>
      </c>
      <c r="I4476">
        <v>0</v>
      </c>
      <c r="J4476">
        <v>0</v>
      </c>
      <c r="K4476">
        <v>0</v>
      </c>
      <c r="L4476">
        <v>15189696.01</v>
      </c>
      <c r="M4476">
        <v>15351996.869999999</v>
      </c>
      <c r="N4476">
        <v>15189696.01</v>
      </c>
      <c r="O4476">
        <v>15351996.869999999</v>
      </c>
      <c r="P4476">
        <v>15189696.01</v>
      </c>
      <c r="Q4476">
        <v>15351996.869999999</v>
      </c>
      <c r="R4476" s="14">
        <f>_xlfn.XLOOKUP(Table2[[#This Row],[LoanID]],Table1[G-L ID],Table1[ManagerCode],-99)</f>
        <v>183</v>
      </c>
      <c r="T4476"/>
    </row>
    <row r="4477" spans="1:20" x14ac:dyDescent="0.25">
      <c r="A4477">
        <v>20160430</v>
      </c>
      <c r="B4477">
        <v>2016</v>
      </c>
      <c r="C4477">
        <v>4</v>
      </c>
      <c r="D4477">
        <v>1</v>
      </c>
      <c r="E4477">
        <v>10960</v>
      </c>
      <c r="F4477">
        <v>73627.960000000006</v>
      </c>
      <c r="G4477">
        <v>0</v>
      </c>
      <c r="H4477">
        <v>0</v>
      </c>
      <c r="I4477">
        <v>0</v>
      </c>
      <c r="J4477">
        <v>-85548.39</v>
      </c>
      <c r="K4477">
        <v>0</v>
      </c>
      <c r="L4477">
        <v>6942192.1399999997</v>
      </c>
      <c r="M4477">
        <v>7027740.5300000003</v>
      </c>
      <c r="N4477">
        <v>6942192.1399999997</v>
      </c>
      <c r="O4477">
        <v>7027740.5300000003</v>
      </c>
      <c r="P4477">
        <v>6942192.1399999997</v>
      </c>
      <c r="Q4477">
        <v>7027740.5300000003</v>
      </c>
      <c r="R4477" s="14">
        <f>_xlfn.XLOOKUP(Table2[[#This Row],[LoanID]],Table1[G-L ID],Table1[ManagerCode],-99)</f>
        <v>119</v>
      </c>
      <c r="T4477"/>
    </row>
    <row r="4478" spans="1:20" x14ac:dyDescent="0.25">
      <c r="A4478">
        <v>20160430</v>
      </c>
      <c r="B4478">
        <v>2016</v>
      </c>
      <c r="C4478">
        <v>4</v>
      </c>
      <c r="D4478">
        <v>1</v>
      </c>
      <c r="E4478">
        <v>11010</v>
      </c>
      <c r="F4478">
        <v>215381.33</v>
      </c>
      <c r="G4478">
        <v>0</v>
      </c>
      <c r="H4478">
        <v>0</v>
      </c>
      <c r="I4478">
        <v>0</v>
      </c>
      <c r="J4478">
        <v>0</v>
      </c>
      <c r="K4478">
        <v>0</v>
      </c>
      <c r="L4478">
        <v>26500000</v>
      </c>
      <c r="M4478">
        <v>26500000</v>
      </c>
      <c r="N4478">
        <v>26500000</v>
      </c>
      <c r="O4478">
        <v>26500000</v>
      </c>
      <c r="P4478">
        <v>26500000</v>
      </c>
      <c r="Q4478">
        <v>26500000</v>
      </c>
      <c r="R4478" s="14">
        <f>_xlfn.XLOOKUP(Table2[[#This Row],[LoanID]],Table1[G-L ID],Table1[ManagerCode],-99)</f>
        <v>119</v>
      </c>
      <c r="T4478"/>
    </row>
    <row r="4479" spans="1:20" x14ac:dyDescent="0.25">
      <c r="A4479">
        <v>20160430</v>
      </c>
      <c r="B4479">
        <v>2016</v>
      </c>
      <c r="C4479">
        <v>4</v>
      </c>
      <c r="D4479">
        <v>1</v>
      </c>
      <c r="E4479">
        <v>11030</v>
      </c>
      <c r="F4479">
        <v>66431.48</v>
      </c>
      <c r="G4479">
        <v>0</v>
      </c>
      <c r="H4479">
        <v>0</v>
      </c>
      <c r="I4479">
        <v>0</v>
      </c>
      <c r="J4479">
        <v>0</v>
      </c>
      <c r="K4479">
        <v>9777.7800000000007</v>
      </c>
      <c r="L4479">
        <v>7921777.7599999998</v>
      </c>
      <c r="M4479">
        <v>7911999.9800000004</v>
      </c>
      <c r="N4479">
        <v>7921777.7599999998</v>
      </c>
      <c r="O4479">
        <v>7911999.9800000004</v>
      </c>
      <c r="P4479">
        <v>7921777.7599999998</v>
      </c>
      <c r="Q4479">
        <v>7911999.9800000004</v>
      </c>
      <c r="R4479" s="14">
        <f>_xlfn.XLOOKUP(Table2[[#This Row],[LoanID]],Table1[G-L ID],Table1[ManagerCode],-99)</f>
        <v>119</v>
      </c>
      <c r="T4479"/>
    </row>
    <row r="4480" spans="1:20" x14ac:dyDescent="0.25">
      <c r="A4480">
        <v>20160430</v>
      </c>
      <c r="B4480">
        <v>2016</v>
      </c>
      <c r="C4480">
        <v>4</v>
      </c>
      <c r="D4480">
        <v>1</v>
      </c>
      <c r="E4480">
        <v>11040</v>
      </c>
      <c r="F4480">
        <v>501928.6</v>
      </c>
      <c r="G4480">
        <v>0</v>
      </c>
      <c r="H4480">
        <v>0</v>
      </c>
      <c r="I4480">
        <v>0</v>
      </c>
      <c r="J4480">
        <v>0</v>
      </c>
      <c r="K4480">
        <v>0</v>
      </c>
      <c r="L4480">
        <v>46866994.979999997</v>
      </c>
      <c r="M4480">
        <v>46866994.979999997</v>
      </c>
      <c r="N4480">
        <v>46866994.979999997</v>
      </c>
      <c r="O4480">
        <v>46866994.979999997</v>
      </c>
      <c r="P4480">
        <v>46866994.979999997</v>
      </c>
      <c r="Q4480">
        <v>46866994.979999997</v>
      </c>
      <c r="R4480" s="14">
        <f>_xlfn.XLOOKUP(Table2[[#This Row],[LoanID]],Table1[G-L ID],Table1[ManagerCode],-99)</f>
        <v>220</v>
      </c>
      <c r="T4480"/>
    </row>
    <row r="4481" spans="1:20" x14ac:dyDescent="0.25">
      <c r="A4481">
        <v>20160430</v>
      </c>
      <c r="B4481">
        <v>2016</v>
      </c>
      <c r="C4481">
        <v>4</v>
      </c>
      <c r="D4481">
        <v>1</v>
      </c>
      <c r="E4481">
        <v>11090</v>
      </c>
      <c r="F4481">
        <v>94115.17</v>
      </c>
      <c r="G4481">
        <v>0</v>
      </c>
      <c r="H4481">
        <v>0</v>
      </c>
      <c r="I4481">
        <v>0</v>
      </c>
      <c r="J4481">
        <v>0</v>
      </c>
      <c r="K4481">
        <v>0</v>
      </c>
      <c r="L4481">
        <v>11000000</v>
      </c>
      <c r="M4481">
        <v>11000000</v>
      </c>
      <c r="N4481">
        <v>11000000</v>
      </c>
      <c r="O4481">
        <v>11000000</v>
      </c>
      <c r="P4481">
        <v>11000000</v>
      </c>
      <c r="Q4481">
        <v>11000000</v>
      </c>
      <c r="R4481" s="14">
        <f>_xlfn.XLOOKUP(Table2[[#This Row],[LoanID]],Table1[G-L ID],Table1[ManagerCode],-99)</f>
        <v>119</v>
      </c>
      <c r="T4481"/>
    </row>
    <row r="4482" spans="1:20" x14ac:dyDescent="0.25">
      <c r="A4482">
        <v>20160430</v>
      </c>
      <c r="B4482">
        <v>2016</v>
      </c>
      <c r="C4482">
        <v>4</v>
      </c>
      <c r="D4482">
        <v>1</v>
      </c>
      <c r="E4482">
        <v>11100</v>
      </c>
      <c r="F4482">
        <v>203225</v>
      </c>
      <c r="G4482">
        <v>0</v>
      </c>
      <c r="H4482">
        <v>0</v>
      </c>
      <c r="I4482">
        <v>0</v>
      </c>
      <c r="J4482">
        <v>0</v>
      </c>
      <c r="K4482">
        <v>0</v>
      </c>
      <c r="L4482">
        <v>54450000</v>
      </c>
      <c r="M4482">
        <v>54450000</v>
      </c>
      <c r="N4482">
        <v>54450000</v>
      </c>
      <c r="O4482">
        <v>54450000</v>
      </c>
      <c r="P4482">
        <v>55000000</v>
      </c>
      <c r="Q4482">
        <v>55000000</v>
      </c>
      <c r="R4482" s="14">
        <f>_xlfn.XLOOKUP(Table2[[#This Row],[LoanID]],Table1[G-L ID],Table1[ManagerCode],-99)</f>
        <v>103</v>
      </c>
      <c r="T4482"/>
    </row>
    <row r="4483" spans="1:20" x14ac:dyDescent="0.25">
      <c r="A4483">
        <v>20160430</v>
      </c>
      <c r="B4483">
        <v>2016</v>
      </c>
      <c r="C4483">
        <v>4</v>
      </c>
      <c r="D4483">
        <v>1</v>
      </c>
      <c r="E4483">
        <v>11130</v>
      </c>
      <c r="F4483">
        <v>0</v>
      </c>
      <c r="G4483">
        <v>0</v>
      </c>
      <c r="H4483">
        <v>0</v>
      </c>
      <c r="I4483">
        <v>0</v>
      </c>
      <c r="J4483">
        <v>0</v>
      </c>
      <c r="K4483">
        <v>0</v>
      </c>
      <c r="L4483">
        <v>150450000</v>
      </c>
      <c r="M4483">
        <v>150450000</v>
      </c>
      <c r="N4483">
        <v>150450000</v>
      </c>
      <c r="O4483">
        <v>150450000</v>
      </c>
      <c r="P4483">
        <v>177000000</v>
      </c>
      <c r="Q4483">
        <v>177000000</v>
      </c>
      <c r="R4483" s="14">
        <f>_xlfn.XLOOKUP(Table2[[#This Row],[LoanID]],Table1[G-L ID],Table1[ManagerCode],-99)</f>
        <v>103</v>
      </c>
      <c r="T4483"/>
    </row>
    <row r="4484" spans="1:20" x14ac:dyDescent="0.25">
      <c r="A4484">
        <v>20160430</v>
      </c>
      <c r="B4484">
        <v>2016</v>
      </c>
      <c r="C4484">
        <v>4</v>
      </c>
      <c r="D4484">
        <v>1</v>
      </c>
      <c r="E4484">
        <v>11160</v>
      </c>
      <c r="F4484">
        <v>152335.67000000001</v>
      </c>
      <c r="G4484">
        <v>148610.16</v>
      </c>
      <c r="H4484">
        <v>0</v>
      </c>
      <c r="I4484">
        <v>0</v>
      </c>
      <c r="J4484">
        <v>-1817036.07</v>
      </c>
      <c r="K4484">
        <v>0</v>
      </c>
      <c r="L4484">
        <v>32752999.07</v>
      </c>
      <c r="M4484">
        <v>34718645.299999997</v>
      </c>
      <c r="N4484">
        <v>32752999.07</v>
      </c>
      <c r="O4484">
        <v>34718645.299999997</v>
      </c>
      <c r="P4484">
        <v>32752999.07</v>
      </c>
      <c r="Q4484">
        <v>34718645.299999997</v>
      </c>
      <c r="R4484" s="14">
        <f>_xlfn.XLOOKUP(Table2[[#This Row],[LoanID]],Table1[G-L ID],Table1[ManagerCode],-99)</f>
        <v>183</v>
      </c>
      <c r="T4484"/>
    </row>
    <row r="4485" spans="1:20" x14ac:dyDescent="0.25">
      <c r="A4485">
        <v>20160430</v>
      </c>
      <c r="B4485">
        <v>2016</v>
      </c>
      <c r="C4485">
        <v>4</v>
      </c>
      <c r="D4485">
        <v>1</v>
      </c>
      <c r="E4485">
        <v>11170</v>
      </c>
      <c r="F4485">
        <v>744129.17</v>
      </c>
      <c r="G4485">
        <v>0</v>
      </c>
      <c r="H4485">
        <v>0</v>
      </c>
      <c r="I4485">
        <v>0</v>
      </c>
      <c r="J4485">
        <v>0</v>
      </c>
      <c r="K4485">
        <v>0</v>
      </c>
      <c r="L4485">
        <v>173249826.80000001</v>
      </c>
      <c r="M4485">
        <v>173249826.80000001</v>
      </c>
      <c r="N4485">
        <v>173249826.80000001</v>
      </c>
      <c r="O4485">
        <v>173249826.80000001</v>
      </c>
      <c r="P4485">
        <v>175000000</v>
      </c>
      <c r="Q4485">
        <v>175000000</v>
      </c>
      <c r="R4485" s="14">
        <f>_xlfn.XLOOKUP(Table2[[#This Row],[LoanID]],Table1[G-L ID],Table1[ManagerCode],-99)</f>
        <v>103</v>
      </c>
      <c r="T4485"/>
    </row>
    <row r="4486" spans="1:20" x14ac:dyDescent="0.25">
      <c r="A4486">
        <v>20160430</v>
      </c>
      <c r="B4486">
        <v>2016</v>
      </c>
      <c r="C4486">
        <v>4</v>
      </c>
      <c r="D4486">
        <v>1</v>
      </c>
      <c r="E4486">
        <v>11250</v>
      </c>
      <c r="F4486">
        <v>89810.98</v>
      </c>
      <c r="G4486">
        <v>0</v>
      </c>
      <c r="H4486">
        <v>0</v>
      </c>
      <c r="I4486">
        <v>0</v>
      </c>
      <c r="J4486">
        <v>-89810.98</v>
      </c>
      <c r="K4486">
        <v>0</v>
      </c>
      <c r="L4486">
        <v>19092739.530000001</v>
      </c>
      <c r="M4486">
        <v>19182550.510000002</v>
      </c>
      <c r="N4486">
        <v>19092739.530000001</v>
      </c>
      <c r="O4486">
        <v>19182550.510000002</v>
      </c>
      <c r="P4486">
        <v>18163414.050000001</v>
      </c>
      <c r="Q4486">
        <v>18253225.030000001</v>
      </c>
      <c r="R4486" s="14">
        <f>_xlfn.XLOOKUP(Table2[[#This Row],[LoanID]],Table1[G-L ID],Table1[ManagerCode],-99)</f>
        <v>183</v>
      </c>
      <c r="T4486"/>
    </row>
    <row r="4487" spans="1:20" x14ac:dyDescent="0.25">
      <c r="A4487">
        <v>20160430</v>
      </c>
      <c r="B4487">
        <v>2016</v>
      </c>
      <c r="C4487">
        <v>4</v>
      </c>
      <c r="D4487">
        <v>1</v>
      </c>
      <c r="E4487">
        <v>11330</v>
      </c>
      <c r="F4487">
        <v>69107.47</v>
      </c>
      <c r="G4487">
        <v>0</v>
      </c>
      <c r="H4487">
        <v>0</v>
      </c>
      <c r="I4487">
        <v>0</v>
      </c>
      <c r="J4487">
        <v>0</v>
      </c>
      <c r="K4487">
        <v>0</v>
      </c>
      <c r="L4487">
        <v>7468012.9000000004</v>
      </c>
      <c r="M4487">
        <v>7468012.9000000004</v>
      </c>
      <c r="N4487">
        <v>7468012.9000000004</v>
      </c>
      <c r="O4487">
        <v>7468012.9000000004</v>
      </c>
      <c r="P4487">
        <v>7468012.9000000004</v>
      </c>
      <c r="Q4487">
        <v>7468012.9000000004</v>
      </c>
      <c r="R4487" s="14">
        <f>_xlfn.XLOOKUP(Table2[[#This Row],[LoanID]],Table1[G-L ID],Table1[ManagerCode],-99)</f>
        <v>119</v>
      </c>
      <c r="T4487"/>
    </row>
    <row r="4488" spans="1:20" x14ac:dyDescent="0.25">
      <c r="A4488">
        <v>20160430</v>
      </c>
      <c r="B4488">
        <v>2016</v>
      </c>
      <c r="C4488">
        <v>4</v>
      </c>
      <c r="D4488">
        <v>1</v>
      </c>
      <c r="E4488">
        <v>11340</v>
      </c>
      <c r="F4488">
        <v>300209.28999999998</v>
      </c>
      <c r="G4488">
        <v>0</v>
      </c>
      <c r="H4488">
        <v>0</v>
      </c>
      <c r="I4488">
        <v>0</v>
      </c>
      <c r="J4488">
        <v>0</v>
      </c>
      <c r="K4488">
        <v>61677.47</v>
      </c>
      <c r="L4488">
        <v>49306263</v>
      </c>
      <c r="M4488">
        <v>49245202.310000002</v>
      </c>
      <c r="N4488">
        <v>49306263</v>
      </c>
      <c r="O4488">
        <v>49245202.310000002</v>
      </c>
      <c r="P4488">
        <v>49804306.079999998</v>
      </c>
      <c r="Q4488">
        <v>49742628.609999999</v>
      </c>
      <c r="R4488" s="14">
        <f>_xlfn.XLOOKUP(Table2[[#This Row],[LoanID]],Table1[G-L ID],Table1[ManagerCode],-99)</f>
        <v>103</v>
      </c>
      <c r="T4488"/>
    </row>
    <row r="4489" spans="1:20" x14ac:dyDescent="0.25">
      <c r="A4489">
        <v>20160430</v>
      </c>
      <c r="B4489">
        <v>2016</v>
      </c>
      <c r="C4489">
        <v>4</v>
      </c>
      <c r="D4489">
        <v>1</v>
      </c>
      <c r="E4489">
        <v>11350</v>
      </c>
      <c r="F4489">
        <v>331527.78000000003</v>
      </c>
      <c r="G4489">
        <v>0</v>
      </c>
      <c r="H4489">
        <v>0</v>
      </c>
      <c r="I4489">
        <v>0</v>
      </c>
      <c r="J4489">
        <v>0</v>
      </c>
      <c r="K4489">
        <v>0</v>
      </c>
      <c r="L4489">
        <v>54449945.549999997</v>
      </c>
      <c r="M4489">
        <v>54449945.549999997</v>
      </c>
      <c r="N4489">
        <v>54449945.549999997</v>
      </c>
      <c r="O4489">
        <v>54449945.549999997</v>
      </c>
      <c r="P4489">
        <v>55000000</v>
      </c>
      <c r="Q4489">
        <v>55000000</v>
      </c>
      <c r="R4489" s="14">
        <f>_xlfn.XLOOKUP(Table2[[#This Row],[LoanID]],Table1[G-L ID],Table1[ManagerCode],-99)</f>
        <v>103</v>
      </c>
      <c r="T4489"/>
    </row>
    <row r="4490" spans="1:20" x14ac:dyDescent="0.25">
      <c r="A4490">
        <v>20160430</v>
      </c>
      <c r="B4490">
        <v>2016</v>
      </c>
      <c r="C4490">
        <v>4</v>
      </c>
      <c r="D4490">
        <v>1</v>
      </c>
      <c r="E4490">
        <v>11360</v>
      </c>
      <c r="F4490">
        <v>0</v>
      </c>
      <c r="G4490">
        <v>0</v>
      </c>
      <c r="H4490">
        <v>-175875</v>
      </c>
      <c r="I4490">
        <v>0</v>
      </c>
      <c r="J4490">
        <v>17587500</v>
      </c>
      <c r="K4490">
        <v>0</v>
      </c>
      <c r="L4490">
        <v>25125000</v>
      </c>
      <c r="M4490">
        <v>7537500</v>
      </c>
      <c r="N4490">
        <v>25125000</v>
      </c>
      <c r="O4490">
        <v>7537500</v>
      </c>
      <c r="P4490">
        <v>25125000</v>
      </c>
      <c r="Q4490">
        <v>7537500</v>
      </c>
      <c r="R4490" s="14">
        <f>_xlfn.XLOOKUP(Table2[[#This Row],[LoanID]],Table1[G-L ID],Table1[ManagerCode],-99)</f>
        <v>119</v>
      </c>
      <c r="T4490"/>
    </row>
    <row r="4491" spans="1:20" x14ac:dyDescent="0.25">
      <c r="A4491">
        <v>20160430</v>
      </c>
      <c r="B4491">
        <v>2016</v>
      </c>
      <c r="C4491">
        <v>4</v>
      </c>
      <c r="D4491">
        <v>1</v>
      </c>
      <c r="E4491">
        <v>11370</v>
      </c>
      <c r="F4491">
        <v>63334.39</v>
      </c>
      <c r="G4491">
        <v>0</v>
      </c>
      <c r="H4491">
        <v>0</v>
      </c>
      <c r="I4491">
        <v>0</v>
      </c>
      <c r="J4491">
        <v>0</v>
      </c>
      <c r="K4491">
        <v>0</v>
      </c>
      <c r="L4491">
        <v>6645849.7400000002</v>
      </c>
      <c r="M4491">
        <v>6645849.7400000002</v>
      </c>
      <c r="N4491">
        <v>6645849.7400000002</v>
      </c>
      <c r="O4491">
        <v>6645849.7400000002</v>
      </c>
      <c r="P4491">
        <v>6645849.7400000002</v>
      </c>
      <c r="Q4491">
        <v>6645849.7400000002</v>
      </c>
      <c r="R4491" s="14">
        <f>_xlfn.XLOOKUP(Table2[[#This Row],[LoanID]],Table1[G-L ID],Table1[ManagerCode],-99)</f>
        <v>119</v>
      </c>
      <c r="T4491"/>
    </row>
    <row r="4492" spans="1:20" x14ac:dyDescent="0.25">
      <c r="A4492">
        <v>20160430</v>
      </c>
      <c r="B4492">
        <v>2016</v>
      </c>
      <c r="C4492">
        <v>4</v>
      </c>
      <c r="D4492">
        <v>1</v>
      </c>
      <c r="E4492">
        <v>11410</v>
      </c>
      <c r="F4492">
        <v>110053.11</v>
      </c>
      <c r="G4492">
        <v>0</v>
      </c>
      <c r="H4492">
        <v>0</v>
      </c>
      <c r="I4492">
        <v>0</v>
      </c>
      <c r="J4492">
        <v>0</v>
      </c>
      <c r="K4492">
        <v>0</v>
      </c>
      <c r="L4492">
        <v>12000000</v>
      </c>
      <c r="M4492">
        <v>12000000</v>
      </c>
      <c r="N4492">
        <v>12000000</v>
      </c>
      <c r="O4492">
        <v>12000000</v>
      </c>
      <c r="P4492">
        <v>12000000</v>
      </c>
      <c r="Q4492">
        <v>12000000</v>
      </c>
      <c r="R4492" s="14">
        <f>_xlfn.XLOOKUP(Table2[[#This Row],[LoanID]],Table1[G-L ID],Table1[ManagerCode],-99)</f>
        <v>119</v>
      </c>
      <c r="T4492"/>
    </row>
    <row r="4493" spans="1:20" x14ac:dyDescent="0.25">
      <c r="A4493">
        <v>20160430</v>
      </c>
      <c r="B4493">
        <v>2016</v>
      </c>
      <c r="C4493">
        <v>4</v>
      </c>
      <c r="D4493">
        <v>1</v>
      </c>
      <c r="E4493">
        <v>11440</v>
      </c>
      <c r="F4493">
        <v>156250</v>
      </c>
      <c r="G4493">
        <v>0</v>
      </c>
      <c r="H4493">
        <v>0</v>
      </c>
      <c r="I4493">
        <v>0</v>
      </c>
      <c r="J4493">
        <v>0</v>
      </c>
      <c r="K4493">
        <v>0</v>
      </c>
      <c r="L4493">
        <v>18750000</v>
      </c>
      <c r="M4493">
        <v>18750000</v>
      </c>
      <c r="N4493">
        <v>18750000</v>
      </c>
      <c r="O4493">
        <v>18750000</v>
      </c>
      <c r="P4493">
        <v>18750000</v>
      </c>
      <c r="Q4493">
        <v>18750000</v>
      </c>
      <c r="R4493" s="14">
        <f>_xlfn.XLOOKUP(Table2[[#This Row],[LoanID]],Table1[G-L ID],Table1[ManagerCode],-99)</f>
        <v>183</v>
      </c>
      <c r="T4493"/>
    </row>
    <row r="4494" spans="1:20" x14ac:dyDescent="0.25">
      <c r="A4494">
        <v>20160430</v>
      </c>
      <c r="B4494">
        <v>2016</v>
      </c>
      <c r="C4494">
        <v>4</v>
      </c>
      <c r="D4494">
        <v>1</v>
      </c>
      <c r="E4494">
        <v>11480</v>
      </c>
      <c r="F4494">
        <v>372938.61</v>
      </c>
      <c r="G4494">
        <v>0</v>
      </c>
      <c r="H4494">
        <v>0</v>
      </c>
      <c r="I4494">
        <v>0</v>
      </c>
      <c r="J4494">
        <v>0</v>
      </c>
      <c r="K4494">
        <v>0</v>
      </c>
      <c r="L4494">
        <v>66500000</v>
      </c>
      <c r="M4494">
        <v>66500000</v>
      </c>
      <c r="N4494">
        <v>66500000</v>
      </c>
      <c r="O4494">
        <v>66500000</v>
      </c>
      <c r="P4494">
        <v>70000000</v>
      </c>
      <c r="Q4494">
        <v>70000000</v>
      </c>
      <c r="R4494" s="14">
        <f>_xlfn.XLOOKUP(Table2[[#This Row],[LoanID]],Table1[G-L ID],Table1[ManagerCode],-99)</f>
        <v>103</v>
      </c>
      <c r="T4494"/>
    </row>
    <row r="4495" spans="1:20" x14ac:dyDescent="0.25">
      <c r="A4495">
        <v>20160430</v>
      </c>
      <c r="B4495">
        <v>2016</v>
      </c>
      <c r="C4495">
        <v>4</v>
      </c>
      <c r="D4495">
        <v>1</v>
      </c>
      <c r="E4495">
        <v>11490</v>
      </c>
      <c r="F4495">
        <v>352224.58</v>
      </c>
      <c r="G4495">
        <v>0</v>
      </c>
      <c r="H4495">
        <v>0</v>
      </c>
      <c r="I4495">
        <v>0</v>
      </c>
      <c r="J4495">
        <v>0</v>
      </c>
      <c r="K4495">
        <v>0</v>
      </c>
      <c r="L4495">
        <v>49500000</v>
      </c>
      <c r="M4495">
        <v>49500000</v>
      </c>
      <c r="N4495">
        <v>49500000</v>
      </c>
      <c r="O4495">
        <v>49500000</v>
      </c>
      <c r="P4495">
        <v>55000000</v>
      </c>
      <c r="Q4495">
        <v>55000000</v>
      </c>
      <c r="R4495" s="14">
        <f>_xlfn.XLOOKUP(Table2[[#This Row],[LoanID]],Table1[G-L ID],Table1[ManagerCode],-99)</f>
        <v>103</v>
      </c>
      <c r="T4495"/>
    </row>
    <row r="4496" spans="1:20" x14ac:dyDescent="0.25">
      <c r="A4496">
        <v>20160430</v>
      </c>
      <c r="B4496">
        <v>2016</v>
      </c>
      <c r="C4496">
        <v>4</v>
      </c>
      <c r="D4496">
        <v>1</v>
      </c>
      <c r="E4496">
        <v>11520</v>
      </c>
      <c r="F4496">
        <v>34907.29</v>
      </c>
      <c r="G4496">
        <v>0</v>
      </c>
      <c r="H4496">
        <v>0</v>
      </c>
      <c r="I4496">
        <v>0</v>
      </c>
      <c r="J4496">
        <v>-172976.73</v>
      </c>
      <c r="K4496">
        <v>0</v>
      </c>
      <c r="L4496">
        <v>4276372</v>
      </c>
      <c r="M4496">
        <v>4449348.7300000004</v>
      </c>
      <c r="N4496">
        <v>4276372</v>
      </c>
      <c r="O4496">
        <v>4449348.7300000004</v>
      </c>
      <c r="P4496">
        <v>4276372</v>
      </c>
      <c r="Q4496">
        <v>4449348.7300000004</v>
      </c>
      <c r="R4496" s="14">
        <f>_xlfn.XLOOKUP(Table2[[#This Row],[LoanID]],Table1[G-L ID],Table1[ManagerCode],-99)</f>
        <v>119</v>
      </c>
      <c r="T4496"/>
    </row>
    <row r="4497" spans="1:20" x14ac:dyDescent="0.25">
      <c r="A4497">
        <v>20160430</v>
      </c>
      <c r="B4497">
        <v>2016</v>
      </c>
      <c r="C4497">
        <v>4</v>
      </c>
      <c r="D4497">
        <v>1</v>
      </c>
      <c r="E4497">
        <v>11530</v>
      </c>
      <c r="F4497">
        <v>107800.63</v>
      </c>
      <c r="G4497">
        <v>0</v>
      </c>
      <c r="H4497">
        <v>0</v>
      </c>
      <c r="I4497">
        <v>0</v>
      </c>
      <c r="J4497">
        <v>0</v>
      </c>
      <c r="K4497">
        <v>0</v>
      </c>
      <c r="L4497">
        <v>11250000</v>
      </c>
      <c r="M4497">
        <v>11250000</v>
      </c>
      <c r="N4497">
        <v>11250000</v>
      </c>
      <c r="O4497">
        <v>11250000</v>
      </c>
      <c r="P4497">
        <v>11250000</v>
      </c>
      <c r="Q4497">
        <v>11250000</v>
      </c>
      <c r="R4497" s="14">
        <f>_xlfn.XLOOKUP(Table2[[#This Row],[LoanID]],Table1[G-L ID],Table1[ManagerCode],-99)</f>
        <v>119</v>
      </c>
      <c r="T4497"/>
    </row>
    <row r="4498" spans="1:20" x14ac:dyDescent="0.25">
      <c r="A4498">
        <v>20160430</v>
      </c>
      <c r="B4498">
        <v>2016</v>
      </c>
      <c r="C4498">
        <v>4</v>
      </c>
      <c r="D4498">
        <v>1</v>
      </c>
      <c r="E4498">
        <v>11590</v>
      </c>
      <c r="F4498">
        <v>23979.67</v>
      </c>
      <c r="G4498">
        <v>0</v>
      </c>
      <c r="H4498">
        <v>0</v>
      </c>
      <c r="I4498">
        <v>0</v>
      </c>
      <c r="J4498">
        <v>0</v>
      </c>
      <c r="K4498">
        <v>0</v>
      </c>
      <c r="L4498">
        <v>3507224.44</v>
      </c>
      <c r="M4498">
        <v>3507224.44</v>
      </c>
      <c r="N4498">
        <v>3507224.44</v>
      </c>
      <c r="O4498">
        <v>3507224.44</v>
      </c>
      <c r="P4498">
        <v>3507224.44</v>
      </c>
      <c r="Q4498">
        <v>3507224.44</v>
      </c>
      <c r="R4498" s="14">
        <f>_xlfn.XLOOKUP(Table2[[#This Row],[LoanID]],Table1[G-L ID],Table1[ManagerCode],-99)</f>
        <v>119</v>
      </c>
      <c r="T4498"/>
    </row>
    <row r="4499" spans="1:20" x14ac:dyDescent="0.25">
      <c r="A4499">
        <v>20160430</v>
      </c>
      <c r="B4499">
        <v>2016</v>
      </c>
      <c r="C4499">
        <v>4</v>
      </c>
      <c r="D4499">
        <v>1</v>
      </c>
      <c r="E4499">
        <v>11650</v>
      </c>
      <c r="F4499">
        <v>75000</v>
      </c>
      <c r="G4499">
        <v>0</v>
      </c>
      <c r="H4499">
        <v>0</v>
      </c>
      <c r="I4499">
        <v>0</v>
      </c>
      <c r="J4499">
        <v>0</v>
      </c>
      <c r="K4499">
        <v>0</v>
      </c>
      <c r="L4499">
        <v>9600000</v>
      </c>
      <c r="M4499">
        <v>9600000</v>
      </c>
      <c r="N4499">
        <v>9600000</v>
      </c>
      <c r="O4499">
        <v>9600000</v>
      </c>
      <c r="P4499">
        <v>12000000</v>
      </c>
      <c r="Q4499">
        <v>12000000</v>
      </c>
      <c r="R4499" s="14">
        <f>_xlfn.XLOOKUP(Table2[[#This Row],[LoanID]],Table1[G-L ID],Table1[ManagerCode],-99)</f>
        <v>103</v>
      </c>
      <c r="T4499"/>
    </row>
    <row r="4500" spans="1:20" x14ac:dyDescent="0.25">
      <c r="A4500">
        <v>20160430</v>
      </c>
      <c r="B4500">
        <v>2016</v>
      </c>
      <c r="C4500">
        <v>4</v>
      </c>
      <c r="D4500">
        <v>1</v>
      </c>
      <c r="E4500">
        <v>11680</v>
      </c>
      <c r="F4500">
        <v>57126.559999999998</v>
      </c>
      <c r="G4500">
        <v>0</v>
      </c>
      <c r="H4500">
        <v>0</v>
      </c>
      <c r="I4500">
        <v>0</v>
      </c>
      <c r="J4500">
        <v>0</v>
      </c>
      <c r="K4500">
        <v>0</v>
      </c>
      <c r="L4500">
        <v>6600000</v>
      </c>
      <c r="M4500">
        <v>6600000</v>
      </c>
      <c r="N4500">
        <v>6600000</v>
      </c>
      <c r="O4500">
        <v>6600000</v>
      </c>
      <c r="P4500">
        <v>6600000</v>
      </c>
      <c r="Q4500">
        <v>6600000</v>
      </c>
      <c r="R4500" s="14">
        <f>_xlfn.XLOOKUP(Table2[[#This Row],[LoanID]],Table1[G-L ID],Table1[ManagerCode],-99)</f>
        <v>183</v>
      </c>
      <c r="T4500"/>
    </row>
    <row r="4501" spans="1:20" x14ac:dyDescent="0.25">
      <c r="A4501">
        <v>20160430</v>
      </c>
      <c r="B4501">
        <v>2016</v>
      </c>
      <c r="C4501">
        <v>4</v>
      </c>
      <c r="D4501">
        <v>1</v>
      </c>
      <c r="E4501">
        <v>11710</v>
      </c>
      <c r="F4501">
        <v>129918.86</v>
      </c>
      <c r="G4501">
        <v>0</v>
      </c>
      <c r="H4501">
        <v>0</v>
      </c>
      <c r="I4501">
        <v>0</v>
      </c>
      <c r="J4501">
        <v>0</v>
      </c>
      <c r="K4501">
        <v>15000</v>
      </c>
      <c r="L4501">
        <v>14955000</v>
      </c>
      <c r="M4501">
        <v>14940000</v>
      </c>
      <c r="N4501">
        <v>14955000</v>
      </c>
      <c r="O4501">
        <v>14940000</v>
      </c>
      <c r="P4501">
        <v>14955000</v>
      </c>
      <c r="Q4501">
        <v>14940000</v>
      </c>
      <c r="R4501" s="14">
        <f>_xlfn.XLOOKUP(Table2[[#This Row],[LoanID]],Table1[G-L ID],Table1[ManagerCode],-99)</f>
        <v>119</v>
      </c>
      <c r="T4501"/>
    </row>
    <row r="4502" spans="1:20" x14ac:dyDescent="0.25">
      <c r="A4502">
        <v>20160430</v>
      </c>
      <c r="B4502">
        <v>2016</v>
      </c>
      <c r="C4502">
        <v>4</v>
      </c>
      <c r="D4502">
        <v>1</v>
      </c>
      <c r="E4502">
        <v>11720</v>
      </c>
      <c r="F4502">
        <v>129166.67</v>
      </c>
      <c r="G4502">
        <v>0</v>
      </c>
      <c r="H4502">
        <v>0</v>
      </c>
      <c r="I4502">
        <v>0</v>
      </c>
      <c r="J4502">
        <v>0</v>
      </c>
      <c r="K4502">
        <v>0</v>
      </c>
      <c r="L4502">
        <v>19800000</v>
      </c>
      <c r="M4502">
        <v>19800000</v>
      </c>
      <c r="N4502">
        <v>19800000</v>
      </c>
      <c r="O4502">
        <v>19800000</v>
      </c>
      <c r="P4502">
        <v>20000000</v>
      </c>
      <c r="Q4502">
        <v>20000000</v>
      </c>
      <c r="R4502" s="14">
        <f>_xlfn.XLOOKUP(Table2[[#This Row],[LoanID]],Table1[G-L ID],Table1[ManagerCode],-99)</f>
        <v>103</v>
      </c>
      <c r="T4502"/>
    </row>
    <row r="4503" spans="1:20" x14ac:dyDescent="0.25">
      <c r="A4503">
        <v>20160430</v>
      </c>
      <c r="B4503">
        <v>2016</v>
      </c>
      <c r="C4503">
        <v>4</v>
      </c>
      <c r="D4503">
        <v>1</v>
      </c>
      <c r="E4503">
        <v>11730</v>
      </c>
      <c r="F4503">
        <v>47965.89</v>
      </c>
      <c r="G4503">
        <v>0</v>
      </c>
      <c r="H4503">
        <v>0</v>
      </c>
      <c r="I4503">
        <v>0</v>
      </c>
      <c r="J4503">
        <v>0</v>
      </c>
      <c r="K4503">
        <v>0</v>
      </c>
      <c r="L4503">
        <v>4750000</v>
      </c>
      <c r="M4503">
        <v>4750000</v>
      </c>
      <c r="N4503">
        <v>4750000</v>
      </c>
      <c r="O4503">
        <v>4750000</v>
      </c>
      <c r="P4503">
        <v>4750000</v>
      </c>
      <c r="Q4503">
        <v>4750000</v>
      </c>
      <c r="R4503" s="14">
        <f>_xlfn.XLOOKUP(Table2[[#This Row],[LoanID]],Table1[G-L ID],Table1[ManagerCode],-99)</f>
        <v>119</v>
      </c>
      <c r="T4503"/>
    </row>
    <row r="4504" spans="1:20" x14ac:dyDescent="0.25">
      <c r="A4504">
        <v>20160430</v>
      </c>
      <c r="B4504">
        <v>2016</v>
      </c>
      <c r="C4504">
        <v>4</v>
      </c>
      <c r="D4504">
        <v>1</v>
      </c>
      <c r="E4504">
        <v>11750</v>
      </c>
      <c r="F4504">
        <v>70814.33</v>
      </c>
      <c r="G4504">
        <v>89098.33</v>
      </c>
      <c r="H4504">
        <v>0</v>
      </c>
      <c r="I4504">
        <v>0</v>
      </c>
      <c r="J4504">
        <v>-72226.600000000006</v>
      </c>
      <c r="K4504">
        <v>0</v>
      </c>
      <c r="L4504">
        <v>15253387.880000001</v>
      </c>
      <c r="M4504">
        <v>15414712.810000001</v>
      </c>
      <c r="N4504">
        <v>15253387.880000001</v>
      </c>
      <c r="O4504">
        <v>15414712.810000001</v>
      </c>
      <c r="P4504">
        <v>15253387.880000001</v>
      </c>
      <c r="Q4504">
        <v>15414712.810000001</v>
      </c>
      <c r="R4504" s="14">
        <f>_xlfn.XLOOKUP(Table2[[#This Row],[LoanID]],Table1[G-L ID],Table1[ManagerCode],-99)</f>
        <v>183</v>
      </c>
      <c r="T4504"/>
    </row>
    <row r="4505" spans="1:20" x14ac:dyDescent="0.25">
      <c r="A4505">
        <v>20160430</v>
      </c>
      <c r="B4505">
        <v>2016</v>
      </c>
      <c r="C4505">
        <v>4</v>
      </c>
      <c r="D4505">
        <v>1</v>
      </c>
      <c r="E4505">
        <v>11810</v>
      </c>
      <c r="F4505">
        <v>48602.19</v>
      </c>
      <c r="G4505">
        <v>0</v>
      </c>
      <c r="H4505">
        <v>0</v>
      </c>
      <c r="I4505">
        <v>0</v>
      </c>
      <c r="J4505">
        <v>0</v>
      </c>
      <c r="K4505">
        <v>12255.9</v>
      </c>
      <c r="L4505">
        <v>9403810.4199999999</v>
      </c>
      <c r="M4505">
        <v>9391677.0800000001</v>
      </c>
      <c r="N4505">
        <v>9403810.4199999999</v>
      </c>
      <c r="O4505">
        <v>9391677.0800000001</v>
      </c>
      <c r="P4505">
        <v>9403446.4600000009</v>
      </c>
      <c r="Q4505">
        <v>9391190.5600000005</v>
      </c>
      <c r="R4505" s="14">
        <f>_xlfn.XLOOKUP(Table2[[#This Row],[LoanID]],Table1[G-L ID],Table1[ManagerCode],-99)</f>
        <v>103</v>
      </c>
      <c r="T4505"/>
    </row>
    <row r="4506" spans="1:20" x14ac:dyDescent="0.25">
      <c r="A4506">
        <v>20160430</v>
      </c>
      <c r="B4506">
        <v>2016</v>
      </c>
      <c r="C4506">
        <v>4</v>
      </c>
      <c r="D4506">
        <v>1</v>
      </c>
      <c r="E4506">
        <v>11830</v>
      </c>
      <c r="F4506">
        <v>92635.33</v>
      </c>
      <c r="G4506">
        <v>0</v>
      </c>
      <c r="H4506">
        <v>380000</v>
      </c>
      <c r="I4506">
        <v>0</v>
      </c>
      <c r="J4506">
        <v>-27100000</v>
      </c>
      <c r="K4506">
        <v>0</v>
      </c>
      <c r="L4506">
        <v>0</v>
      </c>
      <c r="M4506">
        <v>27100000</v>
      </c>
      <c r="N4506">
        <v>0</v>
      </c>
      <c r="O4506">
        <v>27100000</v>
      </c>
      <c r="P4506">
        <v>0</v>
      </c>
      <c r="Q4506">
        <v>27100000</v>
      </c>
      <c r="R4506" s="14">
        <f>_xlfn.XLOOKUP(Table2[[#This Row],[LoanID]],Table1[G-L ID],Table1[ManagerCode],-99)</f>
        <v>119</v>
      </c>
      <c r="T4506"/>
    </row>
    <row r="4507" spans="1:20" x14ac:dyDescent="0.25">
      <c r="A4507">
        <v>20160430</v>
      </c>
      <c r="B4507">
        <v>2016</v>
      </c>
      <c r="C4507">
        <v>4</v>
      </c>
      <c r="D4507">
        <v>1</v>
      </c>
      <c r="E4507">
        <v>11850</v>
      </c>
      <c r="F4507">
        <v>15091.46</v>
      </c>
      <c r="G4507">
        <v>0</v>
      </c>
      <c r="H4507">
        <v>0</v>
      </c>
      <c r="I4507">
        <v>0</v>
      </c>
      <c r="J4507">
        <v>-1296557.24</v>
      </c>
      <c r="K4507">
        <v>0</v>
      </c>
      <c r="L4507">
        <v>3277284.49</v>
      </c>
      <c r="M4507">
        <v>4573841.7300000004</v>
      </c>
      <c r="N4507">
        <v>3277284.49</v>
      </c>
      <c r="O4507">
        <v>4573841.7300000004</v>
      </c>
      <c r="P4507">
        <v>3277284.49</v>
      </c>
      <c r="Q4507">
        <v>4573841.7300000004</v>
      </c>
      <c r="R4507" s="14">
        <f>_xlfn.XLOOKUP(Table2[[#This Row],[LoanID]],Table1[G-L ID],Table1[ManagerCode],-99)</f>
        <v>183</v>
      </c>
      <c r="T4507"/>
    </row>
    <row r="4508" spans="1:20" x14ac:dyDescent="0.25">
      <c r="A4508">
        <v>20160430</v>
      </c>
      <c r="B4508">
        <v>2016</v>
      </c>
      <c r="C4508">
        <v>4</v>
      </c>
      <c r="D4508">
        <v>1</v>
      </c>
      <c r="E4508">
        <v>11880</v>
      </c>
      <c r="F4508">
        <v>363281.25</v>
      </c>
      <c r="G4508">
        <v>172400.92</v>
      </c>
      <c r="H4508">
        <v>0</v>
      </c>
      <c r="I4508">
        <v>0</v>
      </c>
      <c r="J4508">
        <v>0</v>
      </c>
      <c r="K4508">
        <v>0</v>
      </c>
      <c r="L4508">
        <v>79062936.090000004</v>
      </c>
      <c r="M4508">
        <v>79235337.010000005</v>
      </c>
      <c r="N4508">
        <v>79062936.090000004</v>
      </c>
      <c r="O4508">
        <v>79235337.010000005</v>
      </c>
      <c r="P4508">
        <v>79062936.090000004</v>
      </c>
      <c r="Q4508">
        <v>79235337.010000005</v>
      </c>
      <c r="R4508" s="14">
        <f>_xlfn.XLOOKUP(Table2[[#This Row],[LoanID]],Table1[G-L ID],Table1[ManagerCode],-99)</f>
        <v>183</v>
      </c>
      <c r="T4508"/>
    </row>
    <row r="4509" spans="1:20" x14ac:dyDescent="0.25">
      <c r="A4509">
        <v>20160430</v>
      </c>
      <c r="B4509">
        <v>2016</v>
      </c>
      <c r="C4509">
        <v>4</v>
      </c>
      <c r="D4509">
        <v>1</v>
      </c>
      <c r="E4509">
        <v>11980</v>
      </c>
      <c r="F4509">
        <v>68775.89</v>
      </c>
      <c r="G4509">
        <v>0</v>
      </c>
      <c r="H4509">
        <v>0</v>
      </c>
      <c r="I4509">
        <v>0</v>
      </c>
      <c r="J4509">
        <v>0</v>
      </c>
      <c r="K4509">
        <v>0</v>
      </c>
      <c r="L4509">
        <v>7400000</v>
      </c>
      <c r="M4509">
        <v>7400000</v>
      </c>
      <c r="N4509">
        <v>7400000</v>
      </c>
      <c r="O4509">
        <v>7400000</v>
      </c>
      <c r="P4509">
        <v>7400000</v>
      </c>
      <c r="Q4509">
        <v>7400000</v>
      </c>
      <c r="R4509" s="14">
        <f>_xlfn.XLOOKUP(Table2[[#This Row],[LoanID]],Table1[G-L ID],Table1[ManagerCode],-99)</f>
        <v>119</v>
      </c>
      <c r="T4509"/>
    </row>
    <row r="4510" spans="1:20" x14ac:dyDescent="0.25">
      <c r="A4510">
        <v>20160430</v>
      </c>
      <c r="B4510">
        <v>2016</v>
      </c>
      <c r="C4510">
        <v>4</v>
      </c>
      <c r="D4510">
        <v>1</v>
      </c>
      <c r="E4510">
        <v>11990</v>
      </c>
      <c r="F4510">
        <v>103862.92</v>
      </c>
      <c r="G4510">
        <v>0</v>
      </c>
      <c r="H4510">
        <v>0</v>
      </c>
      <c r="I4510">
        <v>0</v>
      </c>
      <c r="J4510">
        <v>0</v>
      </c>
      <c r="K4510">
        <v>0</v>
      </c>
      <c r="L4510">
        <v>14700000</v>
      </c>
      <c r="M4510">
        <v>14700000</v>
      </c>
      <c r="N4510">
        <v>14700000</v>
      </c>
      <c r="O4510">
        <v>14700000</v>
      </c>
      <c r="P4510">
        <v>15000000</v>
      </c>
      <c r="Q4510">
        <v>15000000</v>
      </c>
      <c r="R4510" s="14">
        <f>_xlfn.XLOOKUP(Table2[[#This Row],[LoanID]],Table1[G-L ID],Table1[ManagerCode],-99)</f>
        <v>220</v>
      </c>
      <c r="T4510"/>
    </row>
    <row r="4511" spans="1:20" x14ac:dyDescent="0.25">
      <c r="A4511">
        <v>20160430</v>
      </c>
      <c r="B4511">
        <v>2016</v>
      </c>
      <c r="C4511">
        <v>4</v>
      </c>
      <c r="D4511">
        <v>1</v>
      </c>
      <c r="E4511">
        <v>12010</v>
      </c>
      <c r="F4511">
        <v>180473.42</v>
      </c>
      <c r="G4511">
        <v>0</v>
      </c>
      <c r="H4511">
        <v>0</v>
      </c>
      <c r="I4511">
        <v>0</v>
      </c>
      <c r="J4511">
        <v>0</v>
      </c>
      <c r="K4511">
        <v>0</v>
      </c>
      <c r="L4511">
        <v>18948669.93</v>
      </c>
      <c r="M4511">
        <v>18948669.93</v>
      </c>
      <c r="N4511">
        <v>18948669.93</v>
      </c>
      <c r="O4511">
        <v>18948669.93</v>
      </c>
      <c r="P4511">
        <v>18948669.93</v>
      </c>
      <c r="Q4511">
        <v>18948669.93</v>
      </c>
      <c r="R4511" s="14">
        <f>_xlfn.XLOOKUP(Table2[[#This Row],[LoanID]],Table1[G-L ID],Table1[ManagerCode],-99)</f>
        <v>119</v>
      </c>
      <c r="T4511"/>
    </row>
    <row r="4512" spans="1:20" x14ac:dyDescent="0.25">
      <c r="A4512">
        <v>20160430</v>
      </c>
      <c r="B4512">
        <v>2016</v>
      </c>
      <c r="C4512">
        <v>4</v>
      </c>
      <c r="D4512">
        <v>1</v>
      </c>
      <c r="E4512">
        <v>12160</v>
      </c>
      <c r="F4512">
        <v>86064.63</v>
      </c>
      <c r="G4512">
        <v>105100.89</v>
      </c>
      <c r="H4512">
        <v>0</v>
      </c>
      <c r="I4512">
        <v>0</v>
      </c>
      <c r="J4512">
        <v>-86064.63</v>
      </c>
      <c r="K4512">
        <v>0</v>
      </c>
      <c r="L4512">
        <v>17373297.18</v>
      </c>
      <c r="M4512">
        <v>17564462.699999999</v>
      </c>
      <c r="N4512">
        <v>17373297.18</v>
      </c>
      <c r="O4512">
        <v>17564462.699999999</v>
      </c>
      <c r="P4512">
        <v>17373297.18</v>
      </c>
      <c r="Q4512">
        <v>17564462.699999999</v>
      </c>
      <c r="R4512" s="14">
        <f>_xlfn.XLOOKUP(Table2[[#This Row],[LoanID]],Table1[G-L ID],Table1[ManagerCode],-99)</f>
        <v>183</v>
      </c>
      <c r="T4512"/>
    </row>
    <row r="4513" spans="1:20" x14ac:dyDescent="0.25">
      <c r="A4513">
        <v>20160430</v>
      </c>
      <c r="B4513">
        <v>2016</v>
      </c>
      <c r="C4513">
        <v>4</v>
      </c>
      <c r="D4513">
        <v>1</v>
      </c>
      <c r="E4513">
        <v>12180</v>
      </c>
      <c r="F4513">
        <v>239212.36</v>
      </c>
      <c r="G4513">
        <v>0</v>
      </c>
      <c r="H4513">
        <v>0</v>
      </c>
      <c r="I4513">
        <v>0</v>
      </c>
      <c r="J4513">
        <v>0</v>
      </c>
      <c r="K4513">
        <v>0</v>
      </c>
      <c r="L4513">
        <v>35000000</v>
      </c>
      <c r="M4513">
        <v>35000000</v>
      </c>
      <c r="N4513">
        <v>35000000</v>
      </c>
      <c r="O4513">
        <v>35000000</v>
      </c>
      <c r="P4513">
        <v>35000000</v>
      </c>
      <c r="Q4513">
        <v>35000000</v>
      </c>
      <c r="R4513" s="14">
        <f>_xlfn.XLOOKUP(Table2[[#This Row],[LoanID]],Table1[G-L ID],Table1[ManagerCode],-99)</f>
        <v>220</v>
      </c>
      <c r="T4513"/>
    </row>
    <row r="4514" spans="1:20" x14ac:dyDescent="0.25">
      <c r="A4514">
        <v>20160430</v>
      </c>
      <c r="B4514">
        <v>2016</v>
      </c>
      <c r="C4514">
        <v>4</v>
      </c>
      <c r="D4514">
        <v>1</v>
      </c>
      <c r="E4514">
        <v>12190</v>
      </c>
      <c r="F4514">
        <v>267653.46000000002</v>
      </c>
      <c r="G4514">
        <v>0</v>
      </c>
      <c r="H4514">
        <v>0</v>
      </c>
      <c r="I4514">
        <v>0</v>
      </c>
      <c r="J4514">
        <v>0</v>
      </c>
      <c r="K4514">
        <v>0</v>
      </c>
      <c r="L4514">
        <v>34383117</v>
      </c>
      <c r="M4514">
        <v>34383117</v>
      </c>
      <c r="N4514">
        <v>34383117</v>
      </c>
      <c r="O4514">
        <v>34383117</v>
      </c>
      <c r="P4514">
        <v>34383117</v>
      </c>
      <c r="Q4514">
        <v>34383117</v>
      </c>
      <c r="R4514" s="14">
        <f>_xlfn.XLOOKUP(Table2[[#This Row],[LoanID]],Table1[G-L ID],Table1[ManagerCode],-99)</f>
        <v>220</v>
      </c>
      <c r="T4514"/>
    </row>
    <row r="4515" spans="1:20" x14ac:dyDescent="0.25">
      <c r="A4515">
        <v>20160430</v>
      </c>
      <c r="B4515">
        <v>2016</v>
      </c>
      <c r="C4515">
        <v>4</v>
      </c>
      <c r="D4515">
        <v>1</v>
      </c>
      <c r="E4515">
        <v>12210</v>
      </c>
      <c r="F4515">
        <v>654584.81000000006</v>
      </c>
      <c r="G4515">
        <v>0</v>
      </c>
      <c r="H4515">
        <v>0</v>
      </c>
      <c r="I4515">
        <v>0</v>
      </c>
      <c r="J4515">
        <v>0</v>
      </c>
      <c r="K4515">
        <v>240857.65</v>
      </c>
      <c r="L4515">
        <v>113756831.5</v>
      </c>
      <c r="M4515">
        <v>113210016.7</v>
      </c>
      <c r="N4515">
        <v>113756831.5</v>
      </c>
      <c r="O4515">
        <v>113210016.7</v>
      </c>
      <c r="P4515">
        <v>105912879.5</v>
      </c>
      <c r="Q4515">
        <v>105672021.8</v>
      </c>
      <c r="R4515" s="14">
        <f>_xlfn.XLOOKUP(Table2[[#This Row],[LoanID]],Table1[G-L ID],Table1[ManagerCode],-99)</f>
        <v>103</v>
      </c>
      <c r="T4515"/>
    </row>
    <row r="4516" spans="1:20" x14ac:dyDescent="0.25">
      <c r="A4516">
        <v>20160430</v>
      </c>
      <c r="B4516">
        <v>2016</v>
      </c>
      <c r="C4516">
        <v>4</v>
      </c>
      <c r="D4516">
        <v>1</v>
      </c>
      <c r="E4516">
        <v>12230</v>
      </c>
      <c r="F4516">
        <v>107705.92</v>
      </c>
      <c r="G4516">
        <v>0</v>
      </c>
      <c r="H4516">
        <v>0</v>
      </c>
      <c r="I4516">
        <v>0</v>
      </c>
      <c r="J4516">
        <v>-80284.240000000005</v>
      </c>
      <c r="K4516">
        <v>0</v>
      </c>
      <c r="L4516">
        <v>20268813.940000001</v>
      </c>
      <c r="M4516">
        <v>20349098.18</v>
      </c>
      <c r="N4516">
        <v>13753361.439999999</v>
      </c>
      <c r="O4516">
        <v>13833645.68</v>
      </c>
      <c r="P4516">
        <v>20268813.940000001</v>
      </c>
      <c r="Q4516">
        <v>20349098.18</v>
      </c>
      <c r="R4516" s="14">
        <f>_xlfn.XLOOKUP(Table2[[#This Row],[LoanID]],Table1[G-L ID],Table1[ManagerCode],-99)</f>
        <v>183</v>
      </c>
      <c r="T4516"/>
    </row>
    <row r="4517" spans="1:20" x14ac:dyDescent="0.25">
      <c r="A4517">
        <v>20160430</v>
      </c>
      <c r="B4517">
        <v>2016</v>
      </c>
      <c r="C4517">
        <v>4</v>
      </c>
      <c r="D4517">
        <v>1</v>
      </c>
      <c r="E4517">
        <v>12240</v>
      </c>
      <c r="F4517">
        <v>0</v>
      </c>
      <c r="G4517">
        <v>1505335.88</v>
      </c>
      <c r="H4517">
        <v>0</v>
      </c>
      <c r="I4517">
        <v>0</v>
      </c>
      <c r="J4517">
        <v>0</v>
      </c>
      <c r="K4517">
        <v>0</v>
      </c>
      <c r="L4517">
        <v>135311090.80000001</v>
      </c>
      <c r="M4517">
        <v>136816426.59999999</v>
      </c>
      <c r="N4517">
        <v>135311090.80000001</v>
      </c>
      <c r="O4517">
        <v>136816426.59999999</v>
      </c>
      <c r="P4517">
        <v>135311090.80000001</v>
      </c>
      <c r="Q4517">
        <v>136816426.59999999</v>
      </c>
      <c r="R4517" s="14">
        <f>_xlfn.XLOOKUP(Table2[[#This Row],[LoanID]],Table1[G-L ID],Table1[ManagerCode],-99)</f>
        <v>183</v>
      </c>
      <c r="T4517"/>
    </row>
    <row r="4518" spans="1:20" x14ac:dyDescent="0.25">
      <c r="A4518">
        <v>20160430</v>
      </c>
      <c r="B4518">
        <v>2016</v>
      </c>
      <c r="C4518">
        <v>4</v>
      </c>
      <c r="D4518">
        <v>1</v>
      </c>
      <c r="E4518">
        <v>13630</v>
      </c>
      <c r="F4518">
        <v>218506.94</v>
      </c>
      <c r="G4518">
        <v>0</v>
      </c>
      <c r="H4518">
        <v>0</v>
      </c>
      <c r="I4518">
        <v>0</v>
      </c>
      <c r="J4518">
        <v>0</v>
      </c>
      <c r="K4518">
        <v>0</v>
      </c>
      <c r="L4518">
        <v>33468087</v>
      </c>
      <c r="M4518">
        <v>33468087</v>
      </c>
      <c r="N4518">
        <v>33468087</v>
      </c>
      <c r="O4518">
        <v>33468087</v>
      </c>
      <c r="P4518">
        <v>35000000</v>
      </c>
      <c r="Q4518">
        <v>35000000</v>
      </c>
      <c r="R4518" s="14">
        <f>_xlfn.XLOOKUP(Table2[[#This Row],[LoanID]],Table1[G-L ID],Table1[ManagerCode],-99)</f>
        <v>298</v>
      </c>
      <c r="T4518"/>
    </row>
    <row r="4519" spans="1:20" x14ac:dyDescent="0.25">
      <c r="A4519">
        <v>20160430</v>
      </c>
      <c r="B4519">
        <v>2016</v>
      </c>
      <c r="C4519">
        <v>4</v>
      </c>
      <c r="D4519">
        <v>1</v>
      </c>
      <c r="E4519">
        <v>13670</v>
      </c>
      <c r="F4519">
        <v>288590.62</v>
      </c>
      <c r="G4519">
        <v>0</v>
      </c>
      <c r="H4519">
        <v>0</v>
      </c>
      <c r="I4519">
        <v>0</v>
      </c>
      <c r="J4519">
        <v>0</v>
      </c>
      <c r="K4519">
        <v>0</v>
      </c>
      <c r="L4519">
        <v>37369414</v>
      </c>
      <c r="M4519">
        <v>37369414</v>
      </c>
      <c r="N4519">
        <v>37369414</v>
      </c>
      <c r="O4519">
        <v>37369414</v>
      </c>
      <c r="P4519">
        <v>37500000</v>
      </c>
      <c r="Q4519">
        <v>37500000</v>
      </c>
      <c r="R4519" s="14">
        <f>_xlfn.XLOOKUP(Table2[[#This Row],[LoanID]],Table1[G-L ID],Table1[ManagerCode],-99)</f>
        <v>298</v>
      </c>
      <c r="T4519"/>
    </row>
    <row r="4520" spans="1:20" x14ac:dyDescent="0.25">
      <c r="A4520">
        <v>20160430</v>
      </c>
      <c r="B4520">
        <v>2016</v>
      </c>
      <c r="C4520">
        <v>4</v>
      </c>
      <c r="D4520">
        <v>1</v>
      </c>
      <c r="E4520">
        <v>13680</v>
      </c>
      <c r="F4520">
        <v>145312.5</v>
      </c>
      <c r="G4520">
        <v>0</v>
      </c>
      <c r="H4520">
        <v>0</v>
      </c>
      <c r="I4520">
        <v>0</v>
      </c>
      <c r="J4520">
        <v>0</v>
      </c>
      <c r="K4520">
        <v>0</v>
      </c>
      <c r="L4520">
        <v>18283364</v>
      </c>
      <c r="M4520">
        <v>18283364</v>
      </c>
      <c r="N4520">
        <v>18283364</v>
      </c>
      <c r="O4520">
        <v>18283364</v>
      </c>
      <c r="P4520">
        <v>18000000</v>
      </c>
      <c r="Q4520">
        <v>18000000</v>
      </c>
      <c r="R4520" s="14">
        <f>_xlfn.XLOOKUP(Table2[[#This Row],[LoanID]],Table1[G-L ID],Table1[ManagerCode],-99)</f>
        <v>298</v>
      </c>
      <c r="T4520"/>
    </row>
    <row r="4521" spans="1:20" x14ac:dyDescent="0.25">
      <c r="A4521">
        <v>20160430</v>
      </c>
      <c r="B4521">
        <v>2016</v>
      </c>
      <c r="C4521">
        <v>4</v>
      </c>
      <c r="D4521">
        <v>1</v>
      </c>
      <c r="E4521">
        <v>13690</v>
      </c>
      <c r="F4521">
        <v>133472.22</v>
      </c>
      <c r="G4521">
        <v>0</v>
      </c>
      <c r="H4521">
        <v>0</v>
      </c>
      <c r="I4521">
        <v>0</v>
      </c>
      <c r="J4521">
        <v>0</v>
      </c>
      <c r="K4521">
        <v>0</v>
      </c>
      <c r="L4521">
        <v>19169472</v>
      </c>
      <c r="M4521">
        <v>19169472</v>
      </c>
      <c r="N4521">
        <v>19169472</v>
      </c>
      <c r="O4521">
        <v>19169472</v>
      </c>
      <c r="P4521">
        <v>20000000</v>
      </c>
      <c r="Q4521">
        <v>20000000</v>
      </c>
      <c r="R4521" s="14">
        <f>_xlfn.XLOOKUP(Table2[[#This Row],[LoanID]],Table1[G-L ID],Table1[ManagerCode],-99)</f>
        <v>298</v>
      </c>
      <c r="T4521"/>
    </row>
    <row r="4522" spans="1:20" x14ac:dyDescent="0.25">
      <c r="A4522">
        <v>20160430</v>
      </c>
      <c r="B4522">
        <v>2016</v>
      </c>
      <c r="C4522">
        <v>4</v>
      </c>
      <c r="D4522">
        <v>1</v>
      </c>
      <c r="E4522">
        <v>15580</v>
      </c>
      <c r="F4522">
        <v>117727.35</v>
      </c>
      <c r="G4522">
        <v>-3841.39</v>
      </c>
      <c r="H4522">
        <v>0</v>
      </c>
      <c r="I4522">
        <v>0</v>
      </c>
      <c r="J4522">
        <v>0</v>
      </c>
      <c r="K4522">
        <v>5673.96</v>
      </c>
      <c r="L4522">
        <v>14897796.220000001</v>
      </c>
      <c r="M4522">
        <v>14888280.869999999</v>
      </c>
      <c r="N4522">
        <v>14897796.220000001</v>
      </c>
      <c r="O4522">
        <v>14888280.869999999</v>
      </c>
      <c r="P4522">
        <v>14897796.220000001</v>
      </c>
      <c r="Q4522">
        <v>14888280.869999999</v>
      </c>
      <c r="R4522" s="14">
        <f>_xlfn.XLOOKUP(Table2[[#This Row],[LoanID]],Table1[G-L ID],Table1[ManagerCode],-99)</f>
        <v>212</v>
      </c>
      <c r="T4522"/>
    </row>
    <row r="4523" spans="1:20" x14ac:dyDescent="0.25">
      <c r="A4523">
        <v>20160531</v>
      </c>
      <c r="B4523">
        <v>2016</v>
      </c>
      <c r="C4523">
        <v>5</v>
      </c>
      <c r="D4523">
        <v>1</v>
      </c>
      <c r="E4523">
        <v>10010</v>
      </c>
      <c r="F4523">
        <v>161315.07</v>
      </c>
      <c r="G4523">
        <v>0</v>
      </c>
      <c r="H4523">
        <v>0</v>
      </c>
      <c r="I4523">
        <v>0</v>
      </c>
      <c r="J4523">
        <v>0</v>
      </c>
      <c r="K4523">
        <v>0</v>
      </c>
      <c r="L4523">
        <v>18603662</v>
      </c>
      <c r="M4523">
        <v>18603662</v>
      </c>
      <c r="N4523">
        <v>18603662</v>
      </c>
      <c r="O4523">
        <v>18603662</v>
      </c>
      <c r="P4523">
        <v>18603662</v>
      </c>
      <c r="Q4523">
        <v>18603662</v>
      </c>
      <c r="R4523" s="14">
        <f>_xlfn.XLOOKUP(Table2[[#This Row],[LoanID]],Table1[G-L ID],Table1[ManagerCode],-99)</f>
        <v>119</v>
      </c>
      <c r="T4523"/>
    </row>
    <row r="4524" spans="1:20" x14ac:dyDescent="0.25">
      <c r="A4524">
        <v>20160531</v>
      </c>
      <c r="B4524">
        <v>2016</v>
      </c>
      <c r="C4524">
        <v>5</v>
      </c>
      <c r="D4524">
        <v>1</v>
      </c>
      <c r="E4524">
        <v>10030</v>
      </c>
      <c r="F4524">
        <v>62949.18</v>
      </c>
      <c r="G4524">
        <v>0</v>
      </c>
      <c r="H4524">
        <v>0</v>
      </c>
      <c r="I4524">
        <v>0</v>
      </c>
      <c r="J4524">
        <v>0</v>
      </c>
      <c r="K4524">
        <v>0</v>
      </c>
      <c r="L4524">
        <v>7909070</v>
      </c>
      <c r="M4524">
        <v>7909070</v>
      </c>
      <c r="N4524">
        <v>7909070</v>
      </c>
      <c r="O4524">
        <v>7909070</v>
      </c>
      <c r="P4524">
        <v>7909070</v>
      </c>
      <c r="Q4524">
        <v>7909070</v>
      </c>
      <c r="R4524" s="14">
        <f>_xlfn.XLOOKUP(Table2[[#This Row],[LoanID]],Table1[G-L ID],Table1[ManagerCode],-99)</f>
        <v>119</v>
      </c>
      <c r="T4524"/>
    </row>
    <row r="4525" spans="1:20" x14ac:dyDescent="0.25">
      <c r="A4525">
        <v>20160531</v>
      </c>
      <c r="B4525">
        <v>2016</v>
      </c>
      <c r="C4525">
        <v>5</v>
      </c>
      <c r="D4525">
        <v>1</v>
      </c>
      <c r="E4525">
        <v>10040</v>
      </c>
      <c r="F4525">
        <v>43487.5</v>
      </c>
      <c r="G4525">
        <v>0</v>
      </c>
      <c r="H4525">
        <v>0</v>
      </c>
      <c r="I4525">
        <v>0</v>
      </c>
      <c r="J4525">
        <v>0</v>
      </c>
      <c r="K4525">
        <v>0</v>
      </c>
      <c r="L4525">
        <v>5000000</v>
      </c>
      <c r="M4525">
        <v>5000000</v>
      </c>
      <c r="N4525">
        <v>5000000</v>
      </c>
      <c r="O4525">
        <v>5000000</v>
      </c>
      <c r="P4525">
        <v>5000000</v>
      </c>
      <c r="Q4525">
        <v>5000000</v>
      </c>
      <c r="R4525" s="14">
        <f>_xlfn.XLOOKUP(Table2[[#This Row],[LoanID]],Table1[G-L ID],Table1[ManagerCode],-99)</f>
        <v>119</v>
      </c>
      <c r="T4525"/>
    </row>
    <row r="4526" spans="1:20" x14ac:dyDescent="0.25">
      <c r="A4526">
        <v>20160531</v>
      </c>
      <c r="B4526">
        <v>2016</v>
      </c>
      <c r="C4526">
        <v>5</v>
      </c>
      <c r="D4526">
        <v>1</v>
      </c>
      <c r="E4526">
        <v>10050</v>
      </c>
      <c r="F4526">
        <v>-149013.89000000001</v>
      </c>
      <c r="G4526">
        <v>0</v>
      </c>
      <c r="H4526">
        <v>0</v>
      </c>
      <c r="I4526">
        <v>0</v>
      </c>
      <c r="J4526">
        <v>0</v>
      </c>
      <c r="K4526">
        <v>0</v>
      </c>
      <c r="L4526">
        <v>37943326.380000003</v>
      </c>
      <c r="M4526">
        <v>38072453.890000001</v>
      </c>
      <c r="N4526">
        <v>37943326.380000003</v>
      </c>
      <c r="O4526">
        <v>38072453.890000001</v>
      </c>
      <c r="P4526">
        <v>33333334</v>
      </c>
      <c r="Q4526">
        <v>33333334</v>
      </c>
      <c r="R4526" s="14">
        <f>_xlfn.XLOOKUP(Table2[[#This Row],[LoanID]],Table1[G-L ID],Table1[ManagerCode],-99)</f>
        <v>103</v>
      </c>
      <c r="T4526"/>
    </row>
    <row r="4527" spans="1:20" x14ac:dyDescent="0.25">
      <c r="A4527">
        <v>20160531</v>
      </c>
      <c r="B4527">
        <v>2016</v>
      </c>
      <c r="C4527">
        <v>5</v>
      </c>
      <c r="D4527">
        <v>1</v>
      </c>
      <c r="E4527">
        <v>10100</v>
      </c>
      <c r="F4527">
        <v>200393.47</v>
      </c>
      <c r="G4527">
        <v>0</v>
      </c>
      <c r="H4527">
        <v>0</v>
      </c>
      <c r="I4527">
        <v>0</v>
      </c>
      <c r="J4527">
        <v>0</v>
      </c>
      <c r="K4527">
        <v>0</v>
      </c>
      <c r="L4527">
        <v>30500000</v>
      </c>
      <c r="M4527">
        <v>30500000</v>
      </c>
      <c r="N4527">
        <v>30500000</v>
      </c>
      <c r="O4527">
        <v>30500000</v>
      </c>
      <c r="P4527">
        <v>30500000</v>
      </c>
      <c r="Q4527">
        <v>30500000</v>
      </c>
      <c r="R4527" s="14">
        <f>_xlfn.XLOOKUP(Table2[[#This Row],[LoanID]],Table1[G-L ID],Table1[ManagerCode],-99)</f>
        <v>220</v>
      </c>
      <c r="T4527"/>
    </row>
    <row r="4528" spans="1:20" x14ac:dyDescent="0.25">
      <c r="A4528">
        <v>20160531</v>
      </c>
      <c r="B4528">
        <v>2016</v>
      </c>
      <c r="C4528">
        <v>5</v>
      </c>
      <c r="D4528">
        <v>1</v>
      </c>
      <c r="E4528">
        <v>10110</v>
      </c>
      <c r="F4528">
        <v>137312.42000000001</v>
      </c>
      <c r="G4528">
        <v>0</v>
      </c>
      <c r="H4528">
        <v>0</v>
      </c>
      <c r="I4528">
        <v>0</v>
      </c>
      <c r="J4528">
        <v>0</v>
      </c>
      <c r="K4528">
        <v>0</v>
      </c>
      <c r="L4528">
        <v>16400000</v>
      </c>
      <c r="M4528">
        <v>16400000</v>
      </c>
      <c r="N4528">
        <v>16400000</v>
      </c>
      <c r="O4528">
        <v>16400000</v>
      </c>
      <c r="P4528">
        <v>16400000</v>
      </c>
      <c r="Q4528">
        <v>16400000</v>
      </c>
      <c r="R4528" s="14">
        <f>_xlfn.XLOOKUP(Table2[[#This Row],[LoanID]],Table1[G-L ID],Table1[ManagerCode],-99)</f>
        <v>119</v>
      </c>
      <c r="T4528"/>
    </row>
    <row r="4529" spans="1:20" x14ac:dyDescent="0.25">
      <c r="A4529">
        <v>20160531</v>
      </c>
      <c r="B4529">
        <v>2016</v>
      </c>
      <c r="C4529">
        <v>5</v>
      </c>
      <c r="D4529">
        <v>1</v>
      </c>
      <c r="E4529">
        <v>10120</v>
      </c>
      <c r="F4529">
        <v>51885.66</v>
      </c>
      <c r="G4529">
        <v>56793.17</v>
      </c>
      <c r="H4529">
        <v>0</v>
      </c>
      <c r="I4529">
        <v>0</v>
      </c>
      <c r="J4529">
        <v>-51885.66</v>
      </c>
      <c r="K4529">
        <v>0</v>
      </c>
      <c r="L4529">
        <v>10465436.49</v>
      </c>
      <c r="M4529">
        <v>10574115.32</v>
      </c>
      <c r="N4529">
        <v>10465436.49</v>
      </c>
      <c r="O4529">
        <v>10574115.32</v>
      </c>
      <c r="P4529">
        <v>10465436.49</v>
      </c>
      <c r="Q4529">
        <v>10574115.32</v>
      </c>
      <c r="R4529" s="14">
        <f>_xlfn.XLOOKUP(Table2[[#This Row],[LoanID]],Table1[G-L ID],Table1[ManagerCode],-99)</f>
        <v>183</v>
      </c>
      <c r="T4529"/>
    </row>
    <row r="4530" spans="1:20" x14ac:dyDescent="0.25">
      <c r="A4530">
        <v>20160531</v>
      </c>
      <c r="B4530">
        <v>2016</v>
      </c>
      <c r="C4530">
        <v>5</v>
      </c>
      <c r="D4530">
        <v>1</v>
      </c>
      <c r="E4530">
        <v>10160</v>
      </c>
      <c r="F4530">
        <v>111668.43</v>
      </c>
      <c r="G4530">
        <v>0</v>
      </c>
      <c r="H4530">
        <v>0</v>
      </c>
      <c r="I4530">
        <v>0</v>
      </c>
      <c r="J4530">
        <v>0</v>
      </c>
      <c r="K4530">
        <v>0</v>
      </c>
      <c r="L4530">
        <v>14195139.48</v>
      </c>
      <c r="M4530">
        <v>14195139.48</v>
      </c>
      <c r="N4530">
        <v>14195139.48</v>
      </c>
      <c r="O4530">
        <v>14195139.48</v>
      </c>
      <c r="P4530">
        <v>14195139.48</v>
      </c>
      <c r="Q4530">
        <v>14195139.48</v>
      </c>
      <c r="R4530" s="14">
        <f>_xlfn.XLOOKUP(Table2[[#This Row],[LoanID]],Table1[G-L ID],Table1[ManagerCode],-99)</f>
        <v>119</v>
      </c>
      <c r="T4530"/>
    </row>
    <row r="4531" spans="1:20" x14ac:dyDescent="0.25">
      <c r="A4531">
        <v>20160531</v>
      </c>
      <c r="B4531">
        <v>2016</v>
      </c>
      <c r="C4531">
        <v>5</v>
      </c>
      <c r="D4531">
        <v>1</v>
      </c>
      <c r="E4531">
        <v>10220</v>
      </c>
      <c r="F4531">
        <v>0</v>
      </c>
      <c r="G4531">
        <v>0</v>
      </c>
      <c r="H4531">
        <v>0</v>
      </c>
      <c r="I4531">
        <v>0</v>
      </c>
      <c r="J4531">
        <v>0</v>
      </c>
      <c r="K4531">
        <v>0</v>
      </c>
      <c r="L4531">
        <v>115178033.59999999</v>
      </c>
      <c r="M4531">
        <v>114971892.59999999</v>
      </c>
      <c r="N4531">
        <v>115178033.59999999</v>
      </c>
      <c r="O4531">
        <v>114971892.59999999</v>
      </c>
      <c r="P4531">
        <v>100000000</v>
      </c>
      <c r="Q4531">
        <v>100000000</v>
      </c>
      <c r="R4531" s="14">
        <f>_xlfn.XLOOKUP(Table2[[#This Row],[LoanID]],Table1[G-L ID],Table1[ManagerCode],-99)</f>
        <v>103</v>
      </c>
      <c r="T4531"/>
    </row>
    <row r="4532" spans="1:20" x14ac:dyDescent="0.25">
      <c r="A4532">
        <v>20160531</v>
      </c>
      <c r="B4532">
        <v>2016</v>
      </c>
      <c r="C4532">
        <v>5</v>
      </c>
      <c r="D4532">
        <v>1</v>
      </c>
      <c r="E4532">
        <v>10240</v>
      </c>
      <c r="F4532">
        <v>87843.75</v>
      </c>
      <c r="G4532">
        <v>0</v>
      </c>
      <c r="H4532">
        <v>0</v>
      </c>
      <c r="I4532">
        <v>0</v>
      </c>
      <c r="J4532">
        <v>0</v>
      </c>
      <c r="K4532">
        <v>0</v>
      </c>
      <c r="L4532">
        <v>12500000</v>
      </c>
      <c r="M4532">
        <v>12500000</v>
      </c>
      <c r="N4532">
        <v>12500000</v>
      </c>
      <c r="O4532">
        <v>12500000</v>
      </c>
      <c r="P4532">
        <v>12500000</v>
      </c>
      <c r="Q4532">
        <v>12500000</v>
      </c>
      <c r="R4532" s="14">
        <f>_xlfn.XLOOKUP(Table2[[#This Row],[LoanID]],Table1[G-L ID],Table1[ManagerCode],-99)</f>
        <v>220</v>
      </c>
      <c r="T4532"/>
    </row>
    <row r="4533" spans="1:20" x14ac:dyDescent="0.25">
      <c r="A4533">
        <v>20160531</v>
      </c>
      <c r="B4533">
        <v>2016</v>
      </c>
      <c r="C4533">
        <v>5</v>
      </c>
      <c r="D4533">
        <v>1</v>
      </c>
      <c r="E4533">
        <v>10250</v>
      </c>
      <c r="F4533">
        <v>48804.17</v>
      </c>
      <c r="G4533">
        <v>0</v>
      </c>
      <c r="H4533">
        <v>0</v>
      </c>
      <c r="I4533">
        <v>0</v>
      </c>
      <c r="J4533">
        <v>0</v>
      </c>
      <c r="K4533">
        <v>0</v>
      </c>
      <c r="L4533">
        <v>5000000</v>
      </c>
      <c r="M4533">
        <v>5000000</v>
      </c>
      <c r="N4533">
        <v>5000000</v>
      </c>
      <c r="O4533">
        <v>5000000</v>
      </c>
      <c r="P4533">
        <v>5000000</v>
      </c>
      <c r="Q4533">
        <v>5000000</v>
      </c>
      <c r="R4533" s="14">
        <f>_xlfn.XLOOKUP(Table2[[#This Row],[LoanID]],Table1[G-L ID],Table1[ManagerCode],-99)</f>
        <v>119</v>
      </c>
      <c r="T4533"/>
    </row>
    <row r="4534" spans="1:20" x14ac:dyDescent="0.25">
      <c r="A4534">
        <v>20160531</v>
      </c>
      <c r="B4534">
        <v>2016</v>
      </c>
      <c r="C4534">
        <v>5</v>
      </c>
      <c r="D4534">
        <v>1</v>
      </c>
      <c r="E4534">
        <v>10260</v>
      </c>
      <c r="F4534">
        <v>102997.5</v>
      </c>
      <c r="G4534">
        <v>0</v>
      </c>
      <c r="H4534">
        <v>0</v>
      </c>
      <c r="I4534">
        <v>0</v>
      </c>
      <c r="J4534">
        <v>0</v>
      </c>
      <c r="K4534">
        <v>0</v>
      </c>
      <c r="L4534">
        <v>15000000</v>
      </c>
      <c r="M4534">
        <v>15000000</v>
      </c>
      <c r="N4534">
        <v>15000000</v>
      </c>
      <c r="O4534">
        <v>15000000</v>
      </c>
      <c r="P4534">
        <v>15000000</v>
      </c>
      <c r="Q4534">
        <v>15000000</v>
      </c>
      <c r="R4534" s="14">
        <f>_xlfn.XLOOKUP(Table2[[#This Row],[LoanID]],Table1[G-L ID],Table1[ManagerCode],-99)</f>
        <v>220</v>
      </c>
      <c r="T4534"/>
    </row>
    <row r="4535" spans="1:20" x14ac:dyDescent="0.25">
      <c r="A4535">
        <v>20160531</v>
      </c>
      <c r="B4535">
        <v>2016</v>
      </c>
      <c r="C4535">
        <v>5</v>
      </c>
      <c r="D4535">
        <v>1</v>
      </c>
      <c r="E4535">
        <v>10270</v>
      </c>
      <c r="F4535">
        <v>42846</v>
      </c>
      <c r="G4535">
        <v>0</v>
      </c>
      <c r="H4535">
        <v>0</v>
      </c>
      <c r="I4535">
        <v>0</v>
      </c>
      <c r="J4535">
        <v>0</v>
      </c>
      <c r="K4535">
        <v>0</v>
      </c>
      <c r="L4535">
        <v>5400000</v>
      </c>
      <c r="M4535">
        <v>5400000</v>
      </c>
      <c r="N4535">
        <v>5400000</v>
      </c>
      <c r="O4535">
        <v>5400000</v>
      </c>
      <c r="P4535">
        <v>5400000</v>
      </c>
      <c r="Q4535">
        <v>5400000</v>
      </c>
      <c r="R4535" s="14">
        <f>_xlfn.XLOOKUP(Table2[[#This Row],[LoanID]],Table1[G-L ID],Table1[ManagerCode],-99)</f>
        <v>119</v>
      </c>
      <c r="T4535"/>
    </row>
    <row r="4536" spans="1:20" x14ac:dyDescent="0.25">
      <c r="A4536">
        <v>20160531</v>
      </c>
      <c r="B4536">
        <v>2016</v>
      </c>
      <c r="C4536">
        <v>5</v>
      </c>
      <c r="D4536">
        <v>1</v>
      </c>
      <c r="E4536">
        <v>10350</v>
      </c>
      <c r="F4536">
        <v>186861.11</v>
      </c>
      <c r="G4536">
        <v>0</v>
      </c>
      <c r="H4536">
        <v>0</v>
      </c>
      <c r="I4536">
        <v>0</v>
      </c>
      <c r="J4536">
        <v>0</v>
      </c>
      <c r="K4536">
        <v>0</v>
      </c>
      <c r="L4536">
        <v>24800000</v>
      </c>
      <c r="M4536">
        <v>24800000</v>
      </c>
      <c r="N4536">
        <v>24800000</v>
      </c>
      <c r="O4536">
        <v>24800000</v>
      </c>
      <c r="P4536">
        <v>24800000</v>
      </c>
      <c r="Q4536">
        <v>24800000</v>
      </c>
      <c r="R4536" s="14">
        <f>_xlfn.XLOOKUP(Table2[[#This Row],[LoanID]],Table1[G-L ID],Table1[ManagerCode],-99)</f>
        <v>220</v>
      </c>
      <c r="T4536"/>
    </row>
    <row r="4537" spans="1:20" x14ac:dyDescent="0.25">
      <c r="A4537">
        <v>20160531</v>
      </c>
      <c r="B4537">
        <v>2016</v>
      </c>
      <c r="C4537">
        <v>5</v>
      </c>
      <c r="D4537">
        <v>1</v>
      </c>
      <c r="E4537">
        <v>10360</v>
      </c>
      <c r="F4537">
        <v>57858.96</v>
      </c>
      <c r="G4537">
        <v>0</v>
      </c>
      <c r="H4537">
        <v>0</v>
      </c>
      <c r="I4537">
        <v>0</v>
      </c>
      <c r="J4537">
        <v>0</v>
      </c>
      <c r="K4537">
        <v>0</v>
      </c>
      <c r="L4537">
        <v>5909000</v>
      </c>
      <c r="M4537">
        <v>5909000</v>
      </c>
      <c r="N4537">
        <v>5909000</v>
      </c>
      <c r="O4537">
        <v>5909000</v>
      </c>
      <c r="P4537">
        <v>5909000</v>
      </c>
      <c r="Q4537">
        <v>5909000</v>
      </c>
      <c r="R4537" s="14">
        <f>_xlfn.XLOOKUP(Table2[[#This Row],[LoanID]],Table1[G-L ID],Table1[ManagerCode],-99)</f>
        <v>183</v>
      </c>
      <c r="T4537"/>
    </row>
    <row r="4538" spans="1:20" x14ac:dyDescent="0.25">
      <c r="A4538">
        <v>20160531</v>
      </c>
      <c r="B4538">
        <v>2016</v>
      </c>
      <c r="C4538">
        <v>5</v>
      </c>
      <c r="D4538">
        <v>1</v>
      </c>
      <c r="E4538">
        <v>10410</v>
      </c>
      <c r="F4538">
        <v>4684.6099999999997</v>
      </c>
      <c r="G4538">
        <v>9972.56</v>
      </c>
      <c r="H4538">
        <v>0</v>
      </c>
      <c r="I4538">
        <v>0</v>
      </c>
      <c r="J4538">
        <v>-2482553.0099999998</v>
      </c>
      <c r="K4538">
        <v>0</v>
      </c>
      <c r="L4538">
        <v>1129772.03</v>
      </c>
      <c r="M4538">
        <v>3622297.6000000001</v>
      </c>
      <c r="N4538">
        <v>1129772.03</v>
      </c>
      <c r="O4538">
        <v>3622297.6000000001</v>
      </c>
      <c r="P4538">
        <v>1129772.03</v>
      </c>
      <c r="Q4538">
        <v>3622297.6000000001</v>
      </c>
      <c r="R4538" s="14">
        <f>_xlfn.XLOOKUP(Table2[[#This Row],[LoanID]],Table1[G-L ID],Table1[ManagerCode],-99)</f>
        <v>183</v>
      </c>
      <c r="T4538"/>
    </row>
    <row r="4539" spans="1:20" x14ac:dyDescent="0.25">
      <c r="A4539">
        <v>20160531</v>
      </c>
      <c r="B4539">
        <v>2016</v>
      </c>
      <c r="C4539">
        <v>5</v>
      </c>
      <c r="D4539">
        <v>1</v>
      </c>
      <c r="E4539">
        <v>10430</v>
      </c>
      <c r="F4539">
        <v>87809.62</v>
      </c>
      <c r="G4539">
        <v>0</v>
      </c>
      <c r="H4539">
        <v>0</v>
      </c>
      <c r="I4539">
        <v>0</v>
      </c>
      <c r="J4539">
        <v>0</v>
      </c>
      <c r="K4539">
        <v>23400</v>
      </c>
      <c r="L4539">
        <v>10602200</v>
      </c>
      <c r="M4539">
        <v>10578800</v>
      </c>
      <c r="N4539">
        <v>10602200</v>
      </c>
      <c r="O4539">
        <v>10578800</v>
      </c>
      <c r="P4539">
        <v>10602200</v>
      </c>
      <c r="Q4539">
        <v>10578800</v>
      </c>
      <c r="R4539" s="14">
        <f>_xlfn.XLOOKUP(Table2[[#This Row],[LoanID]],Table1[G-L ID],Table1[ManagerCode],-99)</f>
        <v>119</v>
      </c>
      <c r="T4539"/>
    </row>
    <row r="4540" spans="1:20" x14ac:dyDescent="0.25">
      <c r="A4540">
        <v>20160531</v>
      </c>
      <c r="B4540">
        <v>2016</v>
      </c>
      <c r="C4540">
        <v>5</v>
      </c>
      <c r="D4540">
        <v>1</v>
      </c>
      <c r="E4540">
        <v>10480</v>
      </c>
      <c r="F4540">
        <v>169905.59</v>
      </c>
      <c r="G4540">
        <v>0</v>
      </c>
      <c r="H4540">
        <v>0</v>
      </c>
      <c r="I4540">
        <v>0</v>
      </c>
      <c r="J4540">
        <v>-1149186.51</v>
      </c>
      <c r="K4540">
        <v>0</v>
      </c>
      <c r="L4540">
        <v>24135903.420000002</v>
      </c>
      <c r="M4540">
        <v>25285089.93</v>
      </c>
      <c r="N4540">
        <v>24135903.420000002</v>
      </c>
      <c r="O4540">
        <v>25285089.93</v>
      </c>
      <c r="P4540">
        <v>24135903.420000002</v>
      </c>
      <c r="Q4540">
        <v>25285089.93</v>
      </c>
      <c r="R4540" s="14">
        <f>_xlfn.XLOOKUP(Table2[[#This Row],[LoanID]],Table1[G-L ID],Table1[ManagerCode],-99)</f>
        <v>119</v>
      </c>
      <c r="T4540"/>
    </row>
    <row r="4541" spans="1:20" x14ac:dyDescent="0.25">
      <c r="A4541">
        <v>20160531</v>
      </c>
      <c r="B4541">
        <v>2016</v>
      </c>
      <c r="C4541">
        <v>5</v>
      </c>
      <c r="D4541">
        <v>1</v>
      </c>
      <c r="E4541">
        <v>10570</v>
      </c>
      <c r="F4541">
        <v>805625.63</v>
      </c>
      <c r="G4541">
        <v>0</v>
      </c>
      <c r="H4541">
        <v>0</v>
      </c>
      <c r="I4541">
        <v>0</v>
      </c>
      <c r="J4541">
        <v>0</v>
      </c>
      <c r="K4541">
        <v>0</v>
      </c>
      <c r="L4541">
        <v>156356260.69999999</v>
      </c>
      <c r="M4541">
        <v>156356260.69999999</v>
      </c>
      <c r="N4541">
        <v>156356260.69999999</v>
      </c>
      <c r="O4541">
        <v>156356260.69999999</v>
      </c>
      <c r="P4541">
        <v>156356260.69999999</v>
      </c>
      <c r="Q4541">
        <v>156356260.69999999</v>
      </c>
      <c r="R4541" s="14">
        <f>_xlfn.XLOOKUP(Table2[[#This Row],[LoanID]],Table1[G-L ID],Table1[ManagerCode],-99)</f>
        <v>103</v>
      </c>
      <c r="T4541"/>
    </row>
    <row r="4542" spans="1:20" x14ac:dyDescent="0.25">
      <c r="A4542">
        <v>20160531</v>
      </c>
      <c r="B4542">
        <v>2016</v>
      </c>
      <c r="C4542">
        <v>5</v>
      </c>
      <c r="D4542">
        <v>1</v>
      </c>
      <c r="E4542">
        <v>10591</v>
      </c>
      <c r="F4542">
        <v>210780.62</v>
      </c>
      <c r="G4542">
        <v>0</v>
      </c>
      <c r="H4542">
        <v>0</v>
      </c>
      <c r="I4542">
        <v>0</v>
      </c>
      <c r="J4542">
        <v>0</v>
      </c>
      <c r="K4542">
        <v>268707.11</v>
      </c>
      <c r="L4542">
        <v>24266651.77</v>
      </c>
      <c r="M4542">
        <v>23997944.66</v>
      </c>
      <c r="N4542">
        <v>24266651.77</v>
      </c>
      <c r="O4542">
        <v>23997944.66</v>
      </c>
      <c r="P4542">
        <v>24266651.77</v>
      </c>
      <c r="Q4542">
        <v>23997944.66</v>
      </c>
      <c r="R4542" s="14">
        <f>_xlfn.XLOOKUP(Table2[[#This Row],[LoanID]],Table1[G-L ID],Table1[ManagerCode],-99)</f>
        <v>220</v>
      </c>
      <c r="T4542"/>
    </row>
    <row r="4543" spans="1:20" x14ac:dyDescent="0.25">
      <c r="A4543">
        <v>20160531</v>
      </c>
      <c r="B4543">
        <v>2016</v>
      </c>
      <c r="C4543">
        <v>5</v>
      </c>
      <c r="D4543">
        <v>1</v>
      </c>
      <c r="E4543">
        <v>10592</v>
      </c>
      <c r="F4543">
        <v>348731.74</v>
      </c>
      <c r="G4543">
        <v>0</v>
      </c>
      <c r="H4543">
        <v>0</v>
      </c>
      <c r="I4543">
        <v>0</v>
      </c>
      <c r="J4543">
        <v>0</v>
      </c>
      <c r="K4543">
        <v>396662.89</v>
      </c>
      <c r="L4543">
        <v>35822200.229999997</v>
      </c>
      <c r="M4543">
        <v>35425537.340000004</v>
      </c>
      <c r="N4543">
        <v>35822200.229999997</v>
      </c>
      <c r="O4543">
        <v>35425537.340000004</v>
      </c>
      <c r="P4543">
        <v>35822200.229999997</v>
      </c>
      <c r="Q4543">
        <v>35425537.340000004</v>
      </c>
      <c r="R4543" s="14">
        <f>_xlfn.XLOOKUP(Table2[[#This Row],[LoanID]],Table1[G-L ID],Table1[ManagerCode],-99)</f>
        <v>220</v>
      </c>
      <c r="T4543"/>
    </row>
    <row r="4544" spans="1:20" x14ac:dyDescent="0.25">
      <c r="A4544">
        <v>20160531</v>
      </c>
      <c r="B4544">
        <v>2016</v>
      </c>
      <c r="C4544">
        <v>5</v>
      </c>
      <c r="D4544">
        <v>1</v>
      </c>
      <c r="E4544">
        <v>10620</v>
      </c>
      <c r="F4544">
        <v>104542.39</v>
      </c>
      <c r="G4544">
        <v>0</v>
      </c>
      <c r="H4544">
        <v>-482000</v>
      </c>
      <c r="I4544">
        <v>0</v>
      </c>
      <c r="J4544">
        <v>43284868.420000002</v>
      </c>
      <c r="K4544">
        <v>0</v>
      </c>
      <c r="L4544">
        <v>54600000</v>
      </c>
      <c r="M4544">
        <v>11315131.58</v>
      </c>
      <c r="N4544">
        <v>54600000</v>
      </c>
      <c r="O4544">
        <v>11315131.58</v>
      </c>
      <c r="P4544">
        <v>54600000</v>
      </c>
      <c r="Q4544">
        <v>11315131.58</v>
      </c>
      <c r="R4544" s="14">
        <f>_xlfn.XLOOKUP(Table2[[#This Row],[LoanID]],Table1[G-L ID],Table1[ManagerCode],-99)</f>
        <v>119</v>
      </c>
      <c r="T4544"/>
    </row>
    <row r="4545" spans="1:20" x14ac:dyDescent="0.25">
      <c r="A4545">
        <v>20160531</v>
      </c>
      <c r="B4545">
        <v>2016</v>
      </c>
      <c r="C4545">
        <v>5</v>
      </c>
      <c r="D4545">
        <v>1</v>
      </c>
      <c r="E4545">
        <v>10640</v>
      </c>
      <c r="F4545">
        <v>68938.84</v>
      </c>
      <c r="G4545">
        <v>0</v>
      </c>
      <c r="H4545">
        <v>0</v>
      </c>
      <c r="I4545">
        <v>0</v>
      </c>
      <c r="J4545">
        <v>0</v>
      </c>
      <c r="K4545">
        <v>0</v>
      </c>
      <c r="L4545">
        <v>8084494</v>
      </c>
      <c r="M4545">
        <v>8084494</v>
      </c>
      <c r="N4545">
        <v>8084494</v>
      </c>
      <c r="O4545">
        <v>8084494</v>
      </c>
      <c r="P4545">
        <v>8084494</v>
      </c>
      <c r="Q4545">
        <v>8084494</v>
      </c>
      <c r="R4545" s="14">
        <f>_xlfn.XLOOKUP(Table2[[#This Row],[LoanID]],Table1[G-L ID],Table1[ManagerCode],-99)</f>
        <v>220</v>
      </c>
      <c r="T4545"/>
    </row>
    <row r="4546" spans="1:20" x14ac:dyDescent="0.25">
      <c r="A4546">
        <v>20160531</v>
      </c>
      <c r="B4546">
        <v>2016</v>
      </c>
      <c r="C4546">
        <v>5</v>
      </c>
      <c r="D4546">
        <v>1</v>
      </c>
      <c r="E4546">
        <v>10680</v>
      </c>
      <c r="F4546">
        <v>90160.61</v>
      </c>
      <c r="G4546">
        <v>0</v>
      </c>
      <c r="H4546">
        <v>0</v>
      </c>
      <c r="I4546">
        <v>0</v>
      </c>
      <c r="J4546">
        <v>-182590.2</v>
      </c>
      <c r="K4546">
        <v>0</v>
      </c>
      <c r="L4546">
        <v>10875254.640000001</v>
      </c>
      <c r="M4546">
        <v>11057844.84</v>
      </c>
      <c r="N4546">
        <v>10875254.640000001</v>
      </c>
      <c r="O4546">
        <v>11057844.84</v>
      </c>
      <c r="P4546">
        <v>10875254.640000001</v>
      </c>
      <c r="Q4546">
        <v>11057844.84</v>
      </c>
      <c r="R4546" s="14">
        <f>_xlfn.XLOOKUP(Table2[[#This Row],[LoanID]],Table1[G-L ID],Table1[ManagerCode],-99)</f>
        <v>119</v>
      </c>
      <c r="T4546"/>
    </row>
    <row r="4547" spans="1:20" x14ac:dyDescent="0.25">
      <c r="A4547">
        <v>20160531</v>
      </c>
      <c r="B4547">
        <v>2016</v>
      </c>
      <c r="C4547">
        <v>5</v>
      </c>
      <c r="D4547">
        <v>1</v>
      </c>
      <c r="E4547">
        <v>10720</v>
      </c>
      <c r="F4547">
        <v>249774.25</v>
      </c>
      <c r="G4547">
        <v>124774.25</v>
      </c>
      <c r="H4547">
        <v>0</v>
      </c>
      <c r="I4547">
        <v>0</v>
      </c>
      <c r="J4547">
        <v>0</v>
      </c>
      <c r="K4547">
        <v>16311067.189999999</v>
      </c>
      <c r="L4547">
        <v>16186292.939999999</v>
      </c>
      <c r="M4547">
        <v>0</v>
      </c>
      <c r="N4547">
        <v>16186292.939999999</v>
      </c>
      <c r="O4547">
        <v>0</v>
      </c>
      <c r="P4547">
        <v>16186292.939999999</v>
      </c>
      <c r="Q4547">
        <v>0</v>
      </c>
      <c r="R4547" s="14">
        <f>_xlfn.XLOOKUP(Table2[[#This Row],[LoanID]],Table1[G-L ID],Table1[ManagerCode],-99)</f>
        <v>220</v>
      </c>
      <c r="T4547"/>
    </row>
    <row r="4548" spans="1:20" x14ac:dyDescent="0.25">
      <c r="A4548">
        <v>20160531</v>
      </c>
      <c r="B4548">
        <v>2016</v>
      </c>
      <c r="C4548">
        <v>5</v>
      </c>
      <c r="D4548">
        <v>1</v>
      </c>
      <c r="E4548">
        <v>10730</v>
      </c>
      <c r="F4548">
        <v>95934.17</v>
      </c>
      <c r="G4548">
        <v>0</v>
      </c>
      <c r="H4548">
        <v>0</v>
      </c>
      <c r="I4548">
        <v>0</v>
      </c>
      <c r="J4548">
        <v>0</v>
      </c>
      <c r="K4548">
        <v>0</v>
      </c>
      <c r="L4548">
        <v>9500000</v>
      </c>
      <c r="M4548">
        <v>9500000</v>
      </c>
      <c r="N4548">
        <v>9500000</v>
      </c>
      <c r="O4548">
        <v>9500000</v>
      </c>
      <c r="P4548">
        <v>9500000</v>
      </c>
      <c r="Q4548">
        <v>9500000</v>
      </c>
      <c r="R4548" s="14">
        <f>_xlfn.XLOOKUP(Table2[[#This Row],[LoanID]],Table1[G-L ID],Table1[ManagerCode],-99)</f>
        <v>119</v>
      </c>
      <c r="T4548"/>
    </row>
    <row r="4549" spans="1:20" x14ac:dyDescent="0.25">
      <c r="A4549">
        <v>20160531</v>
      </c>
      <c r="B4549">
        <v>2016</v>
      </c>
      <c r="C4549">
        <v>5</v>
      </c>
      <c r="D4549">
        <v>1</v>
      </c>
      <c r="E4549">
        <v>10740</v>
      </c>
      <c r="F4549">
        <v>3078676.5</v>
      </c>
      <c r="G4549">
        <v>0</v>
      </c>
      <c r="H4549">
        <v>0</v>
      </c>
      <c r="I4549">
        <v>0</v>
      </c>
      <c r="J4549">
        <v>0</v>
      </c>
      <c r="K4549">
        <v>0</v>
      </c>
      <c r="L4549">
        <v>448181545.69999999</v>
      </c>
      <c r="M4549">
        <v>449269300.30000001</v>
      </c>
      <c r="N4549">
        <v>448181545.69999999</v>
      </c>
      <c r="O4549">
        <v>449269300.30000001</v>
      </c>
      <c r="P4549">
        <v>461801475</v>
      </c>
      <c r="Q4549">
        <v>461801475</v>
      </c>
      <c r="R4549" s="14">
        <f>_xlfn.XLOOKUP(Table2[[#This Row],[LoanID]],Table1[G-L ID],Table1[ManagerCode],-99)</f>
        <v>103</v>
      </c>
      <c r="T4549"/>
    </row>
    <row r="4550" spans="1:20" x14ac:dyDescent="0.25">
      <c r="A4550">
        <v>20160531</v>
      </c>
      <c r="B4550">
        <v>2016</v>
      </c>
      <c r="C4550">
        <v>5</v>
      </c>
      <c r="D4550">
        <v>1</v>
      </c>
      <c r="E4550">
        <v>10750</v>
      </c>
      <c r="F4550">
        <v>77671.56</v>
      </c>
      <c r="G4550">
        <v>0</v>
      </c>
      <c r="H4550">
        <v>0</v>
      </c>
      <c r="I4550">
        <v>0</v>
      </c>
      <c r="J4550">
        <v>0</v>
      </c>
      <c r="K4550">
        <v>0</v>
      </c>
      <c r="L4550">
        <v>10678000.82</v>
      </c>
      <c r="M4550">
        <v>10678000.82</v>
      </c>
      <c r="N4550">
        <v>10678000.82</v>
      </c>
      <c r="O4550">
        <v>10678000.82</v>
      </c>
      <c r="P4550">
        <v>10678000.82</v>
      </c>
      <c r="Q4550">
        <v>10678000.82</v>
      </c>
      <c r="R4550" s="14">
        <f>_xlfn.XLOOKUP(Table2[[#This Row],[LoanID]],Table1[G-L ID],Table1[ManagerCode],-99)</f>
        <v>119</v>
      </c>
      <c r="T4550"/>
    </row>
    <row r="4551" spans="1:20" x14ac:dyDescent="0.25">
      <c r="A4551">
        <v>20160531</v>
      </c>
      <c r="B4551">
        <v>2016</v>
      </c>
      <c r="C4551">
        <v>5</v>
      </c>
      <c r="D4551">
        <v>1</v>
      </c>
      <c r="E4551">
        <v>10780</v>
      </c>
      <c r="F4551">
        <v>311140.83</v>
      </c>
      <c r="G4551">
        <v>0</v>
      </c>
      <c r="H4551">
        <v>0</v>
      </c>
      <c r="I4551">
        <v>0</v>
      </c>
      <c r="J4551">
        <v>0</v>
      </c>
      <c r="K4551">
        <v>0</v>
      </c>
      <c r="L4551">
        <v>43000000</v>
      </c>
      <c r="M4551">
        <v>43000000</v>
      </c>
      <c r="N4551">
        <v>43000000</v>
      </c>
      <c r="O4551">
        <v>43000000</v>
      </c>
      <c r="P4551">
        <v>43000000</v>
      </c>
      <c r="Q4551">
        <v>43000000</v>
      </c>
      <c r="R4551" s="14">
        <f>_xlfn.XLOOKUP(Table2[[#This Row],[LoanID]],Table1[G-L ID],Table1[ManagerCode],-99)</f>
        <v>220</v>
      </c>
      <c r="T4551"/>
    </row>
    <row r="4552" spans="1:20" x14ac:dyDescent="0.25">
      <c r="A4552">
        <v>20160531</v>
      </c>
      <c r="B4552">
        <v>2016</v>
      </c>
      <c r="C4552">
        <v>5</v>
      </c>
      <c r="D4552">
        <v>1</v>
      </c>
      <c r="E4552">
        <v>10800</v>
      </c>
      <c r="F4552">
        <v>397320</v>
      </c>
      <c r="G4552">
        <v>0</v>
      </c>
      <c r="H4552">
        <v>0</v>
      </c>
      <c r="I4552">
        <v>0</v>
      </c>
      <c r="J4552">
        <v>0</v>
      </c>
      <c r="K4552">
        <v>0</v>
      </c>
      <c r="L4552">
        <v>48000000</v>
      </c>
      <c r="M4552">
        <v>48000000</v>
      </c>
      <c r="N4552">
        <v>48000000</v>
      </c>
      <c r="O4552">
        <v>48000000</v>
      </c>
      <c r="P4552">
        <v>48000000</v>
      </c>
      <c r="Q4552">
        <v>48000000</v>
      </c>
      <c r="R4552" s="14">
        <f>_xlfn.XLOOKUP(Table2[[#This Row],[LoanID]],Table1[G-L ID],Table1[ManagerCode],-99)</f>
        <v>220</v>
      </c>
      <c r="T4552"/>
    </row>
    <row r="4553" spans="1:20" x14ac:dyDescent="0.25">
      <c r="A4553">
        <v>20160531</v>
      </c>
      <c r="B4553">
        <v>2016</v>
      </c>
      <c r="C4553">
        <v>5</v>
      </c>
      <c r="D4553">
        <v>1</v>
      </c>
      <c r="E4553">
        <v>10810</v>
      </c>
      <c r="F4553">
        <v>99132.76</v>
      </c>
      <c r="G4553">
        <v>0</v>
      </c>
      <c r="H4553">
        <v>0</v>
      </c>
      <c r="I4553">
        <v>0</v>
      </c>
      <c r="J4553">
        <v>0</v>
      </c>
      <c r="K4553">
        <v>0</v>
      </c>
      <c r="L4553">
        <v>9905000</v>
      </c>
      <c r="M4553">
        <v>9905000</v>
      </c>
      <c r="N4553">
        <v>9905000</v>
      </c>
      <c r="O4553">
        <v>9905000</v>
      </c>
      <c r="P4553">
        <v>9905000</v>
      </c>
      <c r="Q4553">
        <v>9905000</v>
      </c>
      <c r="R4553" s="14">
        <f>_xlfn.XLOOKUP(Table2[[#This Row],[LoanID]],Table1[G-L ID],Table1[ManagerCode],-99)</f>
        <v>119</v>
      </c>
      <c r="T4553"/>
    </row>
    <row r="4554" spans="1:20" x14ac:dyDescent="0.25">
      <c r="A4554">
        <v>20160531</v>
      </c>
      <c r="B4554">
        <v>2016</v>
      </c>
      <c r="C4554">
        <v>5</v>
      </c>
      <c r="D4554">
        <v>1</v>
      </c>
      <c r="E4554">
        <v>10820</v>
      </c>
      <c r="F4554">
        <v>191008.09</v>
      </c>
      <c r="G4554">
        <v>0</v>
      </c>
      <c r="H4554">
        <v>0</v>
      </c>
      <c r="I4554">
        <v>0</v>
      </c>
      <c r="J4554">
        <v>0</v>
      </c>
      <c r="K4554">
        <v>0</v>
      </c>
      <c r="L4554">
        <v>24344483.780000001</v>
      </c>
      <c r="M4554">
        <v>24344483.780000001</v>
      </c>
      <c r="N4554">
        <v>24344483.780000001</v>
      </c>
      <c r="O4554">
        <v>24344483.780000001</v>
      </c>
      <c r="P4554">
        <v>24127337.739999998</v>
      </c>
      <c r="Q4554">
        <v>24127337.739999998</v>
      </c>
      <c r="R4554" s="14">
        <f>_xlfn.XLOOKUP(Table2[[#This Row],[LoanID]],Table1[G-L ID],Table1[ManagerCode],-99)</f>
        <v>220</v>
      </c>
      <c r="T4554"/>
    </row>
    <row r="4555" spans="1:20" x14ac:dyDescent="0.25">
      <c r="A4555">
        <v>20160531</v>
      </c>
      <c r="B4555">
        <v>2016</v>
      </c>
      <c r="C4555">
        <v>5</v>
      </c>
      <c r="D4555">
        <v>1</v>
      </c>
      <c r="E4555">
        <v>10830</v>
      </c>
      <c r="F4555">
        <v>61830.239999999998</v>
      </c>
      <c r="G4555">
        <v>0</v>
      </c>
      <c r="H4555">
        <v>0</v>
      </c>
      <c r="I4555">
        <v>0</v>
      </c>
      <c r="J4555">
        <v>0</v>
      </c>
      <c r="K4555">
        <v>0</v>
      </c>
      <c r="L4555">
        <v>7876297.5300000003</v>
      </c>
      <c r="M4555">
        <v>7876297.5300000003</v>
      </c>
      <c r="N4555">
        <v>7876297.5300000003</v>
      </c>
      <c r="O4555">
        <v>7876297.5300000003</v>
      </c>
      <c r="P4555">
        <v>7806043.1399999997</v>
      </c>
      <c r="Q4555">
        <v>7806043.1399999997</v>
      </c>
      <c r="R4555" s="14">
        <f>_xlfn.XLOOKUP(Table2[[#This Row],[LoanID]],Table1[G-L ID],Table1[ManagerCode],-99)</f>
        <v>220</v>
      </c>
      <c r="T4555"/>
    </row>
    <row r="4556" spans="1:20" x14ac:dyDescent="0.25">
      <c r="A4556">
        <v>20160531</v>
      </c>
      <c r="B4556">
        <v>2016</v>
      </c>
      <c r="C4556">
        <v>5</v>
      </c>
      <c r="D4556">
        <v>1</v>
      </c>
      <c r="E4556">
        <v>10840</v>
      </c>
      <c r="F4556">
        <v>100614.41</v>
      </c>
      <c r="G4556">
        <v>0</v>
      </c>
      <c r="H4556">
        <v>0</v>
      </c>
      <c r="I4556">
        <v>0</v>
      </c>
      <c r="J4556">
        <v>0</v>
      </c>
      <c r="K4556">
        <v>0</v>
      </c>
      <c r="L4556">
        <v>12823571.699999999</v>
      </c>
      <c r="M4556">
        <v>12823571.699999999</v>
      </c>
      <c r="N4556">
        <v>12823571.699999999</v>
      </c>
      <c r="O4556">
        <v>12823571.699999999</v>
      </c>
      <c r="P4556">
        <v>12709189</v>
      </c>
      <c r="Q4556">
        <v>12709189</v>
      </c>
      <c r="R4556" s="14">
        <f>_xlfn.XLOOKUP(Table2[[#This Row],[LoanID]],Table1[G-L ID],Table1[ManagerCode],-99)</f>
        <v>220</v>
      </c>
      <c r="T4556"/>
    </row>
    <row r="4557" spans="1:20" x14ac:dyDescent="0.25">
      <c r="A4557">
        <v>20160531</v>
      </c>
      <c r="B4557">
        <v>2016</v>
      </c>
      <c r="C4557">
        <v>5</v>
      </c>
      <c r="D4557">
        <v>1</v>
      </c>
      <c r="E4557">
        <v>10850</v>
      </c>
      <c r="F4557">
        <v>106969.15</v>
      </c>
      <c r="G4557">
        <v>0</v>
      </c>
      <c r="H4557">
        <v>0</v>
      </c>
      <c r="I4557">
        <v>0</v>
      </c>
      <c r="J4557">
        <v>0</v>
      </c>
      <c r="K4557">
        <v>0</v>
      </c>
      <c r="L4557">
        <v>13633499.029999999</v>
      </c>
      <c r="M4557">
        <v>13633499.029999999</v>
      </c>
      <c r="N4557">
        <v>13633499.029999999</v>
      </c>
      <c r="O4557">
        <v>13633499.029999999</v>
      </c>
      <c r="P4557">
        <v>13511892</v>
      </c>
      <c r="Q4557">
        <v>13511892</v>
      </c>
      <c r="R4557" s="14">
        <f>_xlfn.XLOOKUP(Table2[[#This Row],[LoanID]],Table1[G-L ID],Table1[ManagerCode],-99)</f>
        <v>220</v>
      </c>
      <c r="T4557"/>
    </row>
    <row r="4558" spans="1:20" x14ac:dyDescent="0.25">
      <c r="A4558">
        <v>20160531</v>
      </c>
      <c r="B4558">
        <v>2016</v>
      </c>
      <c r="C4558">
        <v>5</v>
      </c>
      <c r="D4558">
        <v>1</v>
      </c>
      <c r="E4558">
        <v>10860</v>
      </c>
      <c r="F4558">
        <v>118438.75</v>
      </c>
      <c r="G4558">
        <v>0</v>
      </c>
      <c r="H4558">
        <v>0</v>
      </c>
      <c r="I4558">
        <v>0</v>
      </c>
      <c r="J4558">
        <v>0</v>
      </c>
      <c r="K4558">
        <v>0</v>
      </c>
      <c r="L4558">
        <v>19475000</v>
      </c>
      <c r="M4558">
        <v>19475000</v>
      </c>
      <c r="N4558">
        <v>19475000</v>
      </c>
      <c r="O4558">
        <v>19475000</v>
      </c>
      <c r="P4558">
        <v>20500000</v>
      </c>
      <c r="Q4558">
        <v>20500000</v>
      </c>
      <c r="R4558" s="14">
        <f>_xlfn.XLOOKUP(Table2[[#This Row],[LoanID]],Table1[G-L ID],Table1[ManagerCode],-99)</f>
        <v>103</v>
      </c>
      <c r="T4558"/>
    </row>
    <row r="4559" spans="1:20" x14ac:dyDescent="0.25">
      <c r="A4559">
        <v>20160531</v>
      </c>
      <c r="B4559">
        <v>2016</v>
      </c>
      <c r="C4559">
        <v>5</v>
      </c>
      <c r="D4559">
        <v>1</v>
      </c>
      <c r="E4559">
        <v>10890</v>
      </c>
      <c r="F4559">
        <v>100574.84</v>
      </c>
      <c r="G4559">
        <v>84580.65</v>
      </c>
      <c r="H4559">
        <v>0</v>
      </c>
      <c r="I4559">
        <v>0</v>
      </c>
      <c r="J4559">
        <v>-100574.84</v>
      </c>
      <c r="K4559">
        <v>0</v>
      </c>
      <c r="L4559">
        <v>20198779.73</v>
      </c>
      <c r="M4559">
        <v>20383935.219999999</v>
      </c>
      <c r="N4559">
        <v>20198779.73</v>
      </c>
      <c r="O4559">
        <v>20383935.219999999</v>
      </c>
      <c r="P4559">
        <v>20198779.73</v>
      </c>
      <c r="Q4559">
        <v>20383935.219999999</v>
      </c>
      <c r="R4559" s="14">
        <f>_xlfn.XLOOKUP(Table2[[#This Row],[LoanID]],Table1[G-L ID],Table1[ManagerCode],-99)</f>
        <v>183</v>
      </c>
      <c r="T4559"/>
    </row>
    <row r="4560" spans="1:20" x14ac:dyDescent="0.25">
      <c r="A4560">
        <v>20160531</v>
      </c>
      <c r="B4560">
        <v>2016</v>
      </c>
      <c r="C4560">
        <v>5</v>
      </c>
      <c r="D4560">
        <v>1</v>
      </c>
      <c r="E4560">
        <v>10910</v>
      </c>
      <c r="F4560">
        <v>205693.68</v>
      </c>
      <c r="G4560">
        <v>0</v>
      </c>
      <c r="H4560">
        <v>0</v>
      </c>
      <c r="I4560">
        <v>0</v>
      </c>
      <c r="J4560">
        <v>0</v>
      </c>
      <c r="K4560">
        <v>0</v>
      </c>
      <c r="L4560">
        <v>22500000</v>
      </c>
      <c r="M4560">
        <v>22500000</v>
      </c>
      <c r="N4560">
        <v>22500000</v>
      </c>
      <c r="O4560">
        <v>22500000</v>
      </c>
      <c r="P4560">
        <v>22500000</v>
      </c>
      <c r="Q4560">
        <v>22500000</v>
      </c>
      <c r="R4560" s="14">
        <f>_xlfn.XLOOKUP(Table2[[#This Row],[LoanID]],Table1[G-L ID],Table1[ManagerCode],-99)</f>
        <v>119</v>
      </c>
      <c r="T4560"/>
    </row>
    <row r="4561" spans="1:20" x14ac:dyDescent="0.25">
      <c r="A4561">
        <v>20160531</v>
      </c>
      <c r="B4561">
        <v>2016</v>
      </c>
      <c r="C4561">
        <v>5</v>
      </c>
      <c r="D4561">
        <v>1</v>
      </c>
      <c r="E4561">
        <v>10930</v>
      </c>
      <c r="F4561">
        <v>0</v>
      </c>
      <c r="G4561">
        <v>169502.87</v>
      </c>
      <c r="H4561">
        <v>0</v>
      </c>
      <c r="I4561">
        <v>0</v>
      </c>
      <c r="J4561">
        <v>0</v>
      </c>
      <c r="K4561">
        <v>0</v>
      </c>
      <c r="L4561">
        <v>15351996.869999999</v>
      </c>
      <c r="M4561">
        <v>15521499.74</v>
      </c>
      <c r="N4561">
        <v>15351996.869999999</v>
      </c>
      <c r="O4561">
        <v>15521499.74</v>
      </c>
      <c r="P4561">
        <v>15351996.869999999</v>
      </c>
      <c r="Q4561">
        <v>15521499.74</v>
      </c>
      <c r="R4561" s="14">
        <f>_xlfn.XLOOKUP(Table2[[#This Row],[LoanID]],Table1[G-L ID],Table1[ManagerCode],-99)</f>
        <v>183</v>
      </c>
      <c r="T4561"/>
    </row>
    <row r="4562" spans="1:20" x14ac:dyDescent="0.25">
      <c r="A4562">
        <v>20160531</v>
      </c>
      <c r="B4562">
        <v>2016</v>
      </c>
      <c r="C4562">
        <v>5</v>
      </c>
      <c r="D4562">
        <v>1</v>
      </c>
      <c r="E4562">
        <v>10960</v>
      </c>
      <c r="F4562">
        <v>71735.240000000005</v>
      </c>
      <c r="G4562">
        <v>0</v>
      </c>
      <c r="H4562">
        <v>0</v>
      </c>
      <c r="I4562">
        <v>0</v>
      </c>
      <c r="J4562">
        <v>0</v>
      </c>
      <c r="K4562">
        <v>0</v>
      </c>
      <c r="L4562">
        <v>7027740.5300000003</v>
      </c>
      <c r="M4562">
        <v>7027740.5300000003</v>
      </c>
      <c r="N4562">
        <v>7027740.5300000003</v>
      </c>
      <c r="O4562">
        <v>7027740.5300000003</v>
      </c>
      <c r="P4562">
        <v>7027740.5300000003</v>
      </c>
      <c r="Q4562">
        <v>7027740.5300000003</v>
      </c>
      <c r="R4562" s="14">
        <f>_xlfn.XLOOKUP(Table2[[#This Row],[LoanID]],Table1[G-L ID],Table1[ManagerCode],-99)</f>
        <v>119</v>
      </c>
      <c r="T4562"/>
    </row>
    <row r="4563" spans="1:20" x14ac:dyDescent="0.25">
      <c r="A4563">
        <v>20160531</v>
      </c>
      <c r="B4563">
        <v>2016</v>
      </c>
      <c r="C4563">
        <v>5</v>
      </c>
      <c r="D4563">
        <v>1</v>
      </c>
      <c r="E4563">
        <v>11010</v>
      </c>
      <c r="F4563">
        <v>208334.17</v>
      </c>
      <c r="G4563">
        <v>0</v>
      </c>
      <c r="H4563">
        <v>0</v>
      </c>
      <c r="I4563">
        <v>0</v>
      </c>
      <c r="J4563">
        <v>0</v>
      </c>
      <c r="K4563">
        <v>0</v>
      </c>
      <c r="L4563">
        <v>26500000</v>
      </c>
      <c r="M4563">
        <v>26500000</v>
      </c>
      <c r="N4563">
        <v>26500000</v>
      </c>
      <c r="O4563">
        <v>26500000</v>
      </c>
      <c r="P4563">
        <v>26500000</v>
      </c>
      <c r="Q4563">
        <v>26500000</v>
      </c>
      <c r="R4563" s="14">
        <f>_xlfn.XLOOKUP(Table2[[#This Row],[LoanID]],Table1[G-L ID],Table1[ManagerCode],-99)</f>
        <v>119</v>
      </c>
      <c r="T4563"/>
    </row>
    <row r="4564" spans="1:20" x14ac:dyDescent="0.25">
      <c r="A4564">
        <v>20160531</v>
      </c>
      <c r="B4564">
        <v>2016</v>
      </c>
      <c r="C4564">
        <v>5</v>
      </c>
      <c r="D4564">
        <v>1</v>
      </c>
      <c r="E4564">
        <v>11030</v>
      </c>
      <c r="F4564">
        <v>66318.820000000007</v>
      </c>
      <c r="G4564">
        <v>0</v>
      </c>
      <c r="H4564">
        <v>0</v>
      </c>
      <c r="I4564">
        <v>0</v>
      </c>
      <c r="J4564">
        <v>0</v>
      </c>
      <c r="K4564">
        <v>9777.7800000000007</v>
      </c>
      <c r="L4564">
        <v>7911999.9800000004</v>
      </c>
      <c r="M4564">
        <v>7902222.2000000002</v>
      </c>
      <c r="N4564">
        <v>7911999.9800000004</v>
      </c>
      <c r="O4564">
        <v>7902222.2000000002</v>
      </c>
      <c r="P4564">
        <v>7911999.9800000004</v>
      </c>
      <c r="Q4564">
        <v>7902222.2000000002</v>
      </c>
      <c r="R4564" s="14">
        <f>_xlfn.XLOOKUP(Table2[[#This Row],[LoanID]],Table1[G-L ID],Table1[ManagerCode],-99)</f>
        <v>119</v>
      </c>
      <c r="T4564"/>
    </row>
    <row r="4565" spans="1:20" x14ac:dyDescent="0.25">
      <c r="A4565">
        <v>20160531</v>
      </c>
      <c r="B4565">
        <v>2016</v>
      </c>
      <c r="C4565">
        <v>5</v>
      </c>
      <c r="D4565">
        <v>1</v>
      </c>
      <c r="E4565">
        <v>11040</v>
      </c>
      <c r="F4565">
        <v>485581.12</v>
      </c>
      <c r="G4565">
        <v>0</v>
      </c>
      <c r="H4565">
        <v>0</v>
      </c>
      <c r="I4565">
        <v>0</v>
      </c>
      <c r="J4565">
        <v>0</v>
      </c>
      <c r="K4565">
        <v>0</v>
      </c>
      <c r="L4565">
        <v>46866994.979999997</v>
      </c>
      <c r="M4565">
        <v>46866994.979999997</v>
      </c>
      <c r="N4565">
        <v>46866994.979999997</v>
      </c>
      <c r="O4565">
        <v>46866994.979999997</v>
      </c>
      <c r="P4565">
        <v>46866994.979999997</v>
      </c>
      <c r="Q4565">
        <v>46866994.979999997</v>
      </c>
      <c r="R4565" s="14">
        <f>_xlfn.XLOOKUP(Table2[[#This Row],[LoanID]],Table1[G-L ID],Table1[ManagerCode],-99)</f>
        <v>220</v>
      </c>
      <c r="T4565"/>
    </row>
    <row r="4566" spans="1:20" x14ac:dyDescent="0.25">
      <c r="A4566">
        <v>20160531</v>
      </c>
      <c r="B4566">
        <v>2016</v>
      </c>
      <c r="C4566">
        <v>5</v>
      </c>
      <c r="D4566">
        <v>1</v>
      </c>
      <c r="E4566">
        <v>11080</v>
      </c>
      <c r="F4566">
        <v>0</v>
      </c>
      <c r="G4566">
        <v>0</v>
      </c>
      <c r="H4566">
        <v>300000</v>
      </c>
      <c r="I4566">
        <v>0</v>
      </c>
      <c r="J4566">
        <v>-40000000</v>
      </c>
      <c r="K4566">
        <v>0</v>
      </c>
      <c r="L4566">
        <v>0</v>
      </c>
      <c r="M4566">
        <v>40000000</v>
      </c>
      <c r="N4566">
        <v>0</v>
      </c>
      <c r="O4566">
        <v>40000000</v>
      </c>
      <c r="P4566">
        <v>0</v>
      </c>
      <c r="Q4566">
        <v>40000000</v>
      </c>
      <c r="R4566" s="14">
        <f>_xlfn.XLOOKUP(Table2[[#This Row],[LoanID]],Table1[G-L ID],Table1[ManagerCode],-99)</f>
        <v>119</v>
      </c>
      <c r="T4566"/>
    </row>
    <row r="4567" spans="1:20" x14ac:dyDescent="0.25">
      <c r="A4567">
        <v>20160531</v>
      </c>
      <c r="B4567">
        <v>2016</v>
      </c>
      <c r="C4567">
        <v>5</v>
      </c>
      <c r="D4567">
        <v>1</v>
      </c>
      <c r="E4567">
        <v>11090</v>
      </c>
      <c r="F4567">
        <v>91101.53</v>
      </c>
      <c r="G4567">
        <v>0</v>
      </c>
      <c r="H4567">
        <v>0</v>
      </c>
      <c r="I4567">
        <v>0</v>
      </c>
      <c r="J4567">
        <v>0</v>
      </c>
      <c r="K4567">
        <v>0</v>
      </c>
      <c r="L4567">
        <v>11000000</v>
      </c>
      <c r="M4567">
        <v>11000000</v>
      </c>
      <c r="N4567">
        <v>11000000</v>
      </c>
      <c r="O4567">
        <v>11000000</v>
      </c>
      <c r="P4567">
        <v>11000000</v>
      </c>
      <c r="Q4567">
        <v>11000000</v>
      </c>
      <c r="R4567" s="14">
        <f>_xlfn.XLOOKUP(Table2[[#This Row],[LoanID]],Table1[G-L ID],Table1[ManagerCode],-99)</f>
        <v>119</v>
      </c>
      <c r="T4567"/>
    </row>
    <row r="4568" spans="1:20" x14ac:dyDescent="0.25">
      <c r="A4568">
        <v>20160531</v>
      </c>
      <c r="B4568">
        <v>2016</v>
      </c>
      <c r="C4568">
        <v>5</v>
      </c>
      <c r="D4568">
        <v>1</v>
      </c>
      <c r="E4568">
        <v>11100</v>
      </c>
      <c r="F4568">
        <v>210235.97</v>
      </c>
      <c r="G4568">
        <v>0</v>
      </c>
      <c r="H4568">
        <v>0</v>
      </c>
      <c r="I4568">
        <v>0</v>
      </c>
      <c r="J4568">
        <v>0</v>
      </c>
      <c r="K4568">
        <v>0</v>
      </c>
      <c r="L4568">
        <v>54450000</v>
      </c>
      <c r="M4568">
        <v>54450000</v>
      </c>
      <c r="N4568">
        <v>54450000</v>
      </c>
      <c r="O4568">
        <v>54450000</v>
      </c>
      <c r="P4568">
        <v>55000000</v>
      </c>
      <c r="Q4568">
        <v>55000000</v>
      </c>
      <c r="R4568" s="14">
        <f>_xlfn.XLOOKUP(Table2[[#This Row],[LoanID]],Table1[G-L ID],Table1[ManagerCode],-99)</f>
        <v>103</v>
      </c>
      <c r="T4568"/>
    </row>
    <row r="4569" spans="1:20" x14ac:dyDescent="0.25">
      <c r="A4569">
        <v>20160531</v>
      </c>
      <c r="B4569">
        <v>2016</v>
      </c>
      <c r="C4569">
        <v>5</v>
      </c>
      <c r="D4569">
        <v>1</v>
      </c>
      <c r="E4569">
        <v>11130</v>
      </c>
      <c r="F4569">
        <v>981410.92</v>
      </c>
      <c r="G4569">
        <v>0</v>
      </c>
      <c r="H4569">
        <v>0</v>
      </c>
      <c r="I4569">
        <v>0</v>
      </c>
      <c r="J4569">
        <v>0</v>
      </c>
      <c r="K4569">
        <v>0</v>
      </c>
      <c r="L4569">
        <v>150450000</v>
      </c>
      <c r="M4569">
        <v>150450000</v>
      </c>
      <c r="N4569">
        <v>150450000</v>
      </c>
      <c r="O4569">
        <v>150450000</v>
      </c>
      <c r="P4569">
        <v>177000000</v>
      </c>
      <c r="Q4569">
        <v>177000000</v>
      </c>
      <c r="R4569" s="14">
        <f>_xlfn.XLOOKUP(Table2[[#This Row],[LoanID]],Table1[G-L ID],Table1[ManagerCode],-99)</f>
        <v>103</v>
      </c>
      <c r="T4569"/>
    </row>
    <row r="4570" spans="1:20" x14ac:dyDescent="0.25">
      <c r="A4570">
        <v>20160531</v>
      </c>
      <c r="B4570">
        <v>2016</v>
      </c>
      <c r="C4570">
        <v>5</v>
      </c>
      <c r="D4570">
        <v>1</v>
      </c>
      <c r="E4570">
        <v>11160</v>
      </c>
      <c r="F4570">
        <v>158752.42000000001</v>
      </c>
      <c r="G4570">
        <v>150268.23000000001</v>
      </c>
      <c r="H4570">
        <v>0</v>
      </c>
      <c r="I4570">
        <v>0</v>
      </c>
      <c r="J4570">
        <v>-2718482.05</v>
      </c>
      <c r="K4570">
        <v>0</v>
      </c>
      <c r="L4570">
        <v>34718645.299999997</v>
      </c>
      <c r="M4570">
        <v>37587395.579999998</v>
      </c>
      <c r="N4570">
        <v>34718645.299999997</v>
      </c>
      <c r="O4570">
        <v>37587395.579999998</v>
      </c>
      <c r="P4570">
        <v>34718645.299999997</v>
      </c>
      <c r="Q4570">
        <v>37587395.579999998</v>
      </c>
      <c r="R4570" s="14">
        <f>_xlfn.XLOOKUP(Table2[[#This Row],[LoanID]],Table1[G-L ID],Table1[ManagerCode],-99)</f>
        <v>183</v>
      </c>
      <c r="T4570"/>
    </row>
    <row r="4571" spans="1:20" x14ac:dyDescent="0.25">
      <c r="A4571">
        <v>20160531</v>
      </c>
      <c r="B4571">
        <v>2016</v>
      </c>
      <c r="C4571">
        <v>5</v>
      </c>
      <c r="D4571">
        <v>1</v>
      </c>
      <c r="E4571">
        <v>11170</v>
      </c>
      <c r="F4571">
        <v>719979.17</v>
      </c>
      <c r="G4571">
        <v>0</v>
      </c>
      <c r="H4571">
        <v>0</v>
      </c>
      <c r="I4571">
        <v>0</v>
      </c>
      <c r="J4571">
        <v>0</v>
      </c>
      <c r="K4571">
        <v>0</v>
      </c>
      <c r="L4571">
        <v>173249826.80000001</v>
      </c>
      <c r="M4571">
        <v>173249826.80000001</v>
      </c>
      <c r="N4571">
        <v>173249826.80000001</v>
      </c>
      <c r="O4571">
        <v>173249826.80000001</v>
      </c>
      <c r="P4571">
        <v>175000000</v>
      </c>
      <c r="Q4571">
        <v>175000000</v>
      </c>
      <c r="R4571" s="14">
        <f>_xlfn.XLOOKUP(Table2[[#This Row],[LoanID]],Table1[G-L ID],Table1[ManagerCode],-99)</f>
        <v>103</v>
      </c>
      <c r="T4571"/>
    </row>
    <row r="4572" spans="1:20" x14ac:dyDescent="0.25">
      <c r="A4572">
        <v>20160531</v>
      </c>
      <c r="B4572">
        <v>2016</v>
      </c>
      <c r="C4572">
        <v>5</v>
      </c>
      <c r="D4572">
        <v>1</v>
      </c>
      <c r="E4572">
        <v>11250</v>
      </c>
      <c r="F4572">
        <v>227229.78</v>
      </c>
      <c r="G4572">
        <v>0</v>
      </c>
      <c r="H4572">
        <v>0</v>
      </c>
      <c r="I4572">
        <v>0</v>
      </c>
      <c r="J4572">
        <v>0</v>
      </c>
      <c r="K4572">
        <v>0</v>
      </c>
      <c r="L4572">
        <v>19182550.510000002</v>
      </c>
      <c r="M4572">
        <v>19182550.510000002</v>
      </c>
      <c r="N4572">
        <v>19182550.510000002</v>
      </c>
      <c r="O4572">
        <v>19182550.510000002</v>
      </c>
      <c r="P4572">
        <v>18253225.030000001</v>
      </c>
      <c r="Q4572">
        <v>18253225.030000001</v>
      </c>
      <c r="R4572" s="14">
        <f>_xlfn.XLOOKUP(Table2[[#This Row],[LoanID]],Table1[G-L ID],Table1[ManagerCode],-99)</f>
        <v>183</v>
      </c>
      <c r="T4572"/>
    </row>
    <row r="4573" spans="1:20" x14ac:dyDescent="0.25">
      <c r="A4573">
        <v>20160531</v>
      </c>
      <c r="B4573">
        <v>2016</v>
      </c>
      <c r="C4573">
        <v>5</v>
      </c>
      <c r="D4573">
        <v>1</v>
      </c>
      <c r="E4573">
        <v>11330</v>
      </c>
      <c r="F4573">
        <v>70186.240000000005</v>
      </c>
      <c r="G4573">
        <v>0</v>
      </c>
      <c r="H4573">
        <v>0</v>
      </c>
      <c r="I4573">
        <v>0</v>
      </c>
      <c r="J4573">
        <v>0</v>
      </c>
      <c r="K4573">
        <v>0</v>
      </c>
      <c r="L4573">
        <v>7468012.9000000004</v>
      </c>
      <c r="M4573">
        <v>7468012.9000000004</v>
      </c>
      <c r="N4573">
        <v>7468012.9000000004</v>
      </c>
      <c r="O4573">
        <v>7468012.9000000004</v>
      </c>
      <c r="P4573">
        <v>7468012.9000000004</v>
      </c>
      <c r="Q4573">
        <v>7468012.9000000004</v>
      </c>
      <c r="R4573" s="14">
        <f>_xlfn.XLOOKUP(Table2[[#This Row],[LoanID]],Table1[G-L ID],Table1[ManagerCode],-99)</f>
        <v>119</v>
      </c>
      <c r="T4573"/>
    </row>
    <row r="4574" spans="1:20" x14ac:dyDescent="0.25">
      <c r="A4574">
        <v>20160531</v>
      </c>
      <c r="B4574">
        <v>2016</v>
      </c>
      <c r="C4574">
        <v>5</v>
      </c>
      <c r="D4574">
        <v>1</v>
      </c>
      <c r="E4574">
        <v>11340</v>
      </c>
      <c r="F4574">
        <v>290165.33</v>
      </c>
      <c r="G4574">
        <v>0</v>
      </c>
      <c r="H4574">
        <v>0</v>
      </c>
      <c r="I4574">
        <v>0</v>
      </c>
      <c r="J4574">
        <v>0</v>
      </c>
      <c r="K4574">
        <v>67990.820000000007</v>
      </c>
      <c r="L4574">
        <v>49245202.310000002</v>
      </c>
      <c r="M4574">
        <v>49177891.390000001</v>
      </c>
      <c r="N4574">
        <v>49245202.310000002</v>
      </c>
      <c r="O4574">
        <v>49177891.390000001</v>
      </c>
      <c r="P4574">
        <v>49742628.609999999</v>
      </c>
      <c r="Q4574">
        <v>49674637.789999999</v>
      </c>
      <c r="R4574" s="14">
        <f>_xlfn.XLOOKUP(Table2[[#This Row],[LoanID]],Table1[G-L ID],Table1[ManagerCode],-99)</f>
        <v>103</v>
      </c>
      <c r="T4574"/>
    </row>
    <row r="4575" spans="1:20" x14ac:dyDescent="0.25">
      <c r="A4575">
        <v>20160531</v>
      </c>
      <c r="B4575">
        <v>2016</v>
      </c>
      <c r="C4575">
        <v>5</v>
      </c>
      <c r="D4575">
        <v>1</v>
      </c>
      <c r="E4575">
        <v>11350</v>
      </c>
      <c r="F4575">
        <v>320833.33</v>
      </c>
      <c r="G4575">
        <v>0</v>
      </c>
      <c r="H4575">
        <v>0</v>
      </c>
      <c r="I4575">
        <v>0</v>
      </c>
      <c r="J4575">
        <v>0</v>
      </c>
      <c r="K4575">
        <v>0</v>
      </c>
      <c r="L4575">
        <v>54449945.549999997</v>
      </c>
      <c r="M4575">
        <v>54449945.549999997</v>
      </c>
      <c r="N4575">
        <v>54449945.549999997</v>
      </c>
      <c r="O4575">
        <v>54449945.549999997</v>
      </c>
      <c r="P4575">
        <v>55000000</v>
      </c>
      <c r="Q4575">
        <v>55000000</v>
      </c>
      <c r="R4575" s="14">
        <f>_xlfn.XLOOKUP(Table2[[#This Row],[LoanID]],Table1[G-L ID],Table1[ManagerCode],-99)</f>
        <v>103</v>
      </c>
      <c r="T4575"/>
    </row>
    <row r="4576" spans="1:20" x14ac:dyDescent="0.25">
      <c r="A4576">
        <v>20160531</v>
      </c>
      <c r="B4576">
        <v>2016</v>
      </c>
      <c r="C4576">
        <v>5</v>
      </c>
      <c r="D4576">
        <v>1</v>
      </c>
      <c r="E4576">
        <v>11360</v>
      </c>
      <c r="F4576">
        <v>77030.27</v>
      </c>
      <c r="G4576">
        <v>0</v>
      </c>
      <c r="H4576">
        <v>0</v>
      </c>
      <c r="I4576">
        <v>0</v>
      </c>
      <c r="J4576">
        <v>0</v>
      </c>
      <c r="K4576">
        <v>0</v>
      </c>
      <c r="L4576">
        <v>7537500</v>
      </c>
      <c r="M4576">
        <v>7537500</v>
      </c>
      <c r="N4576">
        <v>7537500</v>
      </c>
      <c r="O4576">
        <v>7537500</v>
      </c>
      <c r="P4576">
        <v>7537500</v>
      </c>
      <c r="Q4576">
        <v>7537500</v>
      </c>
      <c r="R4576" s="14">
        <f>_xlfn.XLOOKUP(Table2[[#This Row],[LoanID]],Table1[G-L ID],Table1[ManagerCode],-99)</f>
        <v>119</v>
      </c>
      <c r="T4576"/>
    </row>
    <row r="4577" spans="1:20" x14ac:dyDescent="0.25">
      <c r="A4577">
        <v>20160531</v>
      </c>
      <c r="B4577">
        <v>2016</v>
      </c>
      <c r="C4577">
        <v>5</v>
      </c>
      <c r="D4577">
        <v>1</v>
      </c>
      <c r="E4577">
        <v>11370</v>
      </c>
      <c r="F4577">
        <v>61269.2</v>
      </c>
      <c r="G4577">
        <v>0</v>
      </c>
      <c r="H4577">
        <v>0</v>
      </c>
      <c r="I4577">
        <v>0</v>
      </c>
      <c r="J4577">
        <v>0</v>
      </c>
      <c r="K4577">
        <v>0</v>
      </c>
      <c r="L4577">
        <v>6645849.7400000002</v>
      </c>
      <c r="M4577">
        <v>6645849.7400000002</v>
      </c>
      <c r="N4577">
        <v>6645849.7400000002</v>
      </c>
      <c r="O4577">
        <v>6645849.7400000002</v>
      </c>
      <c r="P4577">
        <v>6645849.7400000002</v>
      </c>
      <c r="Q4577">
        <v>6645849.7400000002</v>
      </c>
      <c r="R4577" s="14">
        <f>_xlfn.XLOOKUP(Table2[[#This Row],[LoanID]],Table1[G-L ID],Table1[ManagerCode],-99)</f>
        <v>119</v>
      </c>
      <c r="T4577"/>
    </row>
    <row r="4578" spans="1:20" x14ac:dyDescent="0.25">
      <c r="A4578">
        <v>20160531</v>
      </c>
      <c r="B4578">
        <v>2016</v>
      </c>
      <c r="C4578">
        <v>5</v>
      </c>
      <c r="D4578">
        <v>1</v>
      </c>
      <c r="E4578">
        <v>11410</v>
      </c>
      <c r="F4578">
        <v>105330</v>
      </c>
      <c r="G4578">
        <v>0</v>
      </c>
      <c r="H4578">
        <v>0</v>
      </c>
      <c r="I4578">
        <v>0</v>
      </c>
      <c r="J4578">
        <v>0</v>
      </c>
      <c r="K4578">
        <v>0</v>
      </c>
      <c r="L4578">
        <v>12000000</v>
      </c>
      <c r="M4578">
        <v>12000000</v>
      </c>
      <c r="N4578">
        <v>12000000</v>
      </c>
      <c r="O4578">
        <v>12000000</v>
      </c>
      <c r="P4578">
        <v>12000000</v>
      </c>
      <c r="Q4578">
        <v>12000000</v>
      </c>
      <c r="R4578" s="14">
        <f>_xlfn.XLOOKUP(Table2[[#This Row],[LoanID]],Table1[G-L ID],Table1[ManagerCode],-99)</f>
        <v>119</v>
      </c>
      <c r="T4578"/>
    </row>
    <row r="4579" spans="1:20" x14ac:dyDescent="0.25">
      <c r="A4579">
        <v>20160531</v>
      </c>
      <c r="B4579">
        <v>2016</v>
      </c>
      <c r="C4579">
        <v>5</v>
      </c>
      <c r="D4579">
        <v>1</v>
      </c>
      <c r="E4579">
        <v>11440</v>
      </c>
      <c r="F4579">
        <v>156250</v>
      </c>
      <c r="G4579">
        <v>0</v>
      </c>
      <c r="H4579">
        <v>0</v>
      </c>
      <c r="I4579">
        <v>0</v>
      </c>
      <c r="J4579">
        <v>0</v>
      </c>
      <c r="K4579">
        <v>0</v>
      </c>
      <c r="L4579">
        <v>18750000</v>
      </c>
      <c r="M4579">
        <v>18750000</v>
      </c>
      <c r="N4579">
        <v>18750000</v>
      </c>
      <c r="O4579">
        <v>18750000</v>
      </c>
      <c r="P4579">
        <v>18750000</v>
      </c>
      <c r="Q4579">
        <v>18750000</v>
      </c>
      <c r="R4579" s="14">
        <f>_xlfn.XLOOKUP(Table2[[#This Row],[LoanID]],Table1[G-L ID],Table1[ManagerCode],-99)</f>
        <v>183</v>
      </c>
      <c r="T4579"/>
    </row>
    <row r="4580" spans="1:20" x14ac:dyDescent="0.25">
      <c r="A4580">
        <v>20160531</v>
      </c>
      <c r="B4580">
        <v>2016</v>
      </c>
      <c r="C4580">
        <v>5</v>
      </c>
      <c r="D4580">
        <v>1</v>
      </c>
      <c r="E4580">
        <v>11480</v>
      </c>
      <c r="F4580">
        <v>360675</v>
      </c>
      <c r="G4580">
        <v>0</v>
      </c>
      <c r="H4580">
        <v>0</v>
      </c>
      <c r="I4580">
        <v>0</v>
      </c>
      <c r="J4580">
        <v>0</v>
      </c>
      <c r="K4580">
        <v>0</v>
      </c>
      <c r="L4580">
        <v>66500000</v>
      </c>
      <c r="M4580">
        <v>66500000</v>
      </c>
      <c r="N4580">
        <v>66500000</v>
      </c>
      <c r="O4580">
        <v>66500000</v>
      </c>
      <c r="P4580">
        <v>70000000</v>
      </c>
      <c r="Q4580">
        <v>70000000</v>
      </c>
      <c r="R4580" s="14">
        <f>_xlfn.XLOOKUP(Table2[[#This Row],[LoanID]],Table1[G-L ID],Table1[ManagerCode],-99)</f>
        <v>103</v>
      </c>
      <c r="T4580"/>
    </row>
    <row r="4581" spans="1:20" x14ac:dyDescent="0.25">
      <c r="A4581">
        <v>20160531</v>
      </c>
      <c r="B4581">
        <v>2016</v>
      </c>
      <c r="C4581">
        <v>5</v>
      </c>
      <c r="D4581">
        <v>1</v>
      </c>
      <c r="E4581">
        <v>11490</v>
      </c>
      <c r="F4581">
        <v>340679.17</v>
      </c>
      <c r="G4581">
        <v>0</v>
      </c>
      <c r="H4581">
        <v>0</v>
      </c>
      <c r="I4581">
        <v>0</v>
      </c>
      <c r="J4581">
        <v>0</v>
      </c>
      <c r="K4581">
        <v>0</v>
      </c>
      <c r="L4581">
        <v>49500000</v>
      </c>
      <c r="M4581">
        <v>49500000</v>
      </c>
      <c r="N4581">
        <v>49500000</v>
      </c>
      <c r="O4581">
        <v>49500000</v>
      </c>
      <c r="P4581">
        <v>55000000</v>
      </c>
      <c r="Q4581">
        <v>55000000</v>
      </c>
      <c r="R4581" s="14">
        <f>_xlfn.XLOOKUP(Table2[[#This Row],[LoanID]],Table1[G-L ID],Table1[ManagerCode],-99)</f>
        <v>103</v>
      </c>
      <c r="T4581"/>
    </row>
    <row r="4582" spans="1:20" x14ac:dyDescent="0.25">
      <c r="A4582">
        <v>20160531</v>
      </c>
      <c r="B4582">
        <v>2016</v>
      </c>
      <c r="C4582">
        <v>5</v>
      </c>
      <c r="D4582">
        <v>1</v>
      </c>
      <c r="E4582">
        <v>11520</v>
      </c>
      <c r="F4582">
        <v>36187.9</v>
      </c>
      <c r="G4582">
        <v>0</v>
      </c>
      <c r="H4582">
        <v>0</v>
      </c>
      <c r="I4582">
        <v>0</v>
      </c>
      <c r="J4582">
        <v>0</v>
      </c>
      <c r="K4582">
        <v>0</v>
      </c>
      <c r="L4582">
        <v>4449348.7300000004</v>
      </c>
      <c r="M4582">
        <v>4449348.7300000004</v>
      </c>
      <c r="N4582">
        <v>4449348.7300000004</v>
      </c>
      <c r="O4582">
        <v>4449348.7300000004</v>
      </c>
      <c r="P4582">
        <v>4449348.7300000004</v>
      </c>
      <c r="Q4582">
        <v>4449348.7300000004</v>
      </c>
      <c r="R4582" s="14">
        <f>_xlfn.XLOOKUP(Table2[[#This Row],[LoanID]],Table1[G-L ID],Table1[ManagerCode],-99)</f>
        <v>119</v>
      </c>
      <c r="T4582"/>
    </row>
    <row r="4583" spans="1:20" x14ac:dyDescent="0.25">
      <c r="A4583">
        <v>20160531</v>
      </c>
      <c r="B4583">
        <v>2016</v>
      </c>
      <c r="C4583">
        <v>5</v>
      </c>
      <c r="D4583">
        <v>1</v>
      </c>
      <c r="E4583">
        <v>11530</v>
      </c>
      <c r="F4583">
        <v>104231.25</v>
      </c>
      <c r="G4583">
        <v>0</v>
      </c>
      <c r="H4583">
        <v>0</v>
      </c>
      <c r="I4583">
        <v>0</v>
      </c>
      <c r="J4583">
        <v>0</v>
      </c>
      <c r="K4583">
        <v>0</v>
      </c>
      <c r="L4583">
        <v>11250000</v>
      </c>
      <c r="M4583">
        <v>11250000</v>
      </c>
      <c r="N4583">
        <v>11250000</v>
      </c>
      <c r="O4583">
        <v>11250000</v>
      </c>
      <c r="P4583">
        <v>11250000</v>
      </c>
      <c r="Q4583">
        <v>11250000</v>
      </c>
      <c r="R4583" s="14">
        <f>_xlfn.XLOOKUP(Table2[[#This Row],[LoanID]],Table1[G-L ID],Table1[ManagerCode],-99)</f>
        <v>119</v>
      </c>
      <c r="T4583"/>
    </row>
    <row r="4584" spans="1:20" x14ac:dyDescent="0.25">
      <c r="A4584">
        <v>20160531</v>
      </c>
      <c r="B4584">
        <v>2016</v>
      </c>
      <c r="C4584">
        <v>5</v>
      </c>
      <c r="D4584">
        <v>1</v>
      </c>
      <c r="E4584">
        <v>11590</v>
      </c>
      <c r="F4584">
        <v>23176.91</v>
      </c>
      <c r="G4584">
        <v>0</v>
      </c>
      <c r="H4584">
        <v>0</v>
      </c>
      <c r="I4584">
        <v>0</v>
      </c>
      <c r="J4584">
        <v>0</v>
      </c>
      <c r="K4584">
        <v>0</v>
      </c>
      <c r="L4584">
        <v>3507224.44</v>
      </c>
      <c r="M4584">
        <v>3507224.44</v>
      </c>
      <c r="N4584">
        <v>3507224.44</v>
      </c>
      <c r="O4584">
        <v>3507224.44</v>
      </c>
      <c r="P4584">
        <v>3507224.44</v>
      </c>
      <c r="Q4584">
        <v>3507224.44</v>
      </c>
      <c r="R4584" s="14">
        <f>_xlfn.XLOOKUP(Table2[[#This Row],[LoanID]],Table1[G-L ID],Table1[ManagerCode],-99)</f>
        <v>119</v>
      </c>
      <c r="T4584"/>
    </row>
    <row r="4585" spans="1:20" x14ac:dyDescent="0.25">
      <c r="A4585">
        <v>20160531</v>
      </c>
      <c r="B4585">
        <v>2016</v>
      </c>
      <c r="C4585">
        <v>5</v>
      </c>
      <c r="D4585">
        <v>1</v>
      </c>
      <c r="E4585">
        <v>11650</v>
      </c>
      <c r="F4585">
        <v>75000</v>
      </c>
      <c r="G4585">
        <v>0</v>
      </c>
      <c r="H4585">
        <v>0</v>
      </c>
      <c r="I4585">
        <v>0</v>
      </c>
      <c r="J4585">
        <v>0</v>
      </c>
      <c r="K4585">
        <v>0</v>
      </c>
      <c r="L4585">
        <v>9600000</v>
      </c>
      <c r="M4585">
        <v>9600000</v>
      </c>
      <c r="N4585">
        <v>9600000</v>
      </c>
      <c r="O4585">
        <v>9600000</v>
      </c>
      <c r="P4585">
        <v>12000000</v>
      </c>
      <c r="Q4585">
        <v>12000000</v>
      </c>
      <c r="R4585" s="14">
        <f>_xlfn.XLOOKUP(Table2[[#This Row],[LoanID]],Table1[G-L ID],Table1[ManagerCode],-99)</f>
        <v>103</v>
      </c>
      <c r="T4585"/>
    </row>
    <row r="4586" spans="1:20" x14ac:dyDescent="0.25">
      <c r="A4586">
        <v>20160531</v>
      </c>
      <c r="B4586">
        <v>2016</v>
      </c>
      <c r="C4586">
        <v>5</v>
      </c>
      <c r="D4586">
        <v>1</v>
      </c>
      <c r="E4586">
        <v>11680</v>
      </c>
      <c r="F4586">
        <v>57126.559999999998</v>
      </c>
      <c r="G4586">
        <v>0</v>
      </c>
      <c r="H4586">
        <v>0</v>
      </c>
      <c r="I4586">
        <v>0</v>
      </c>
      <c r="J4586">
        <v>0</v>
      </c>
      <c r="K4586">
        <v>0</v>
      </c>
      <c r="L4586">
        <v>6600000</v>
      </c>
      <c r="M4586">
        <v>6600000</v>
      </c>
      <c r="N4586">
        <v>6600000</v>
      </c>
      <c r="O4586">
        <v>6600000</v>
      </c>
      <c r="P4586">
        <v>6600000</v>
      </c>
      <c r="Q4586">
        <v>6600000</v>
      </c>
      <c r="R4586" s="14">
        <f>_xlfn.XLOOKUP(Table2[[#This Row],[LoanID]],Table1[G-L ID],Table1[ManagerCode],-99)</f>
        <v>183</v>
      </c>
      <c r="T4586"/>
    </row>
    <row r="4587" spans="1:20" x14ac:dyDescent="0.25">
      <c r="A4587">
        <v>20160531</v>
      </c>
      <c r="B4587">
        <v>2016</v>
      </c>
      <c r="C4587">
        <v>5</v>
      </c>
      <c r="D4587">
        <v>1</v>
      </c>
      <c r="E4587">
        <v>11710</v>
      </c>
      <c r="F4587">
        <v>129730.66</v>
      </c>
      <c r="G4587">
        <v>0</v>
      </c>
      <c r="H4587">
        <v>0</v>
      </c>
      <c r="I4587">
        <v>0</v>
      </c>
      <c r="J4587">
        <v>0</v>
      </c>
      <c r="K4587">
        <v>15000</v>
      </c>
      <c r="L4587">
        <v>14940000</v>
      </c>
      <c r="M4587">
        <v>14925000</v>
      </c>
      <c r="N4587">
        <v>14940000</v>
      </c>
      <c r="O4587">
        <v>14925000</v>
      </c>
      <c r="P4587">
        <v>14940000</v>
      </c>
      <c r="Q4587">
        <v>14925000</v>
      </c>
      <c r="R4587" s="14">
        <f>_xlfn.XLOOKUP(Table2[[#This Row],[LoanID]],Table1[G-L ID],Table1[ManagerCode],-99)</f>
        <v>119</v>
      </c>
      <c r="T4587"/>
    </row>
    <row r="4588" spans="1:20" x14ac:dyDescent="0.25">
      <c r="A4588">
        <v>20160531</v>
      </c>
      <c r="B4588">
        <v>2016</v>
      </c>
      <c r="C4588">
        <v>5</v>
      </c>
      <c r="D4588">
        <v>1</v>
      </c>
      <c r="E4588">
        <v>11720</v>
      </c>
      <c r="F4588">
        <v>125000</v>
      </c>
      <c r="G4588">
        <v>0</v>
      </c>
      <c r="H4588">
        <v>0</v>
      </c>
      <c r="I4588">
        <v>0</v>
      </c>
      <c r="J4588">
        <v>0</v>
      </c>
      <c r="K4588">
        <v>0</v>
      </c>
      <c r="L4588">
        <v>19800000</v>
      </c>
      <c r="M4588">
        <v>19800000</v>
      </c>
      <c r="N4588">
        <v>19800000</v>
      </c>
      <c r="O4588">
        <v>19800000</v>
      </c>
      <c r="P4588">
        <v>20000000</v>
      </c>
      <c r="Q4588">
        <v>20000000</v>
      </c>
      <c r="R4588" s="14">
        <f>_xlfn.XLOOKUP(Table2[[#This Row],[LoanID]],Table1[G-L ID],Table1[ManagerCode],-99)</f>
        <v>103</v>
      </c>
      <c r="T4588"/>
    </row>
    <row r="4589" spans="1:20" x14ac:dyDescent="0.25">
      <c r="A4589">
        <v>20160531</v>
      </c>
      <c r="B4589">
        <v>2016</v>
      </c>
      <c r="C4589">
        <v>5</v>
      </c>
      <c r="D4589">
        <v>1</v>
      </c>
      <c r="E4589">
        <v>11730</v>
      </c>
      <c r="F4589">
        <v>46383.75</v>
      </c>
      <c r="G4589">
        <v>0</v>
      </c>
      <c r="H4589">
        <v>0</v>
      </c>
      <c r="I4589">
        <v>0</v>
      </c>
      <c r="J4589">
        <v>0</v>
      </c>
      <c r="K4589">
        <v>0</v>
      </c>
      <c r="L4589">
        <v>4750000</v>
      </c>
      <c r="M4589">
        <v>4750000</v>
      </c>
      <c r="N4589">
        <v>4750000</v>
      </c>
      <c r="O4589">
        <v>4750000</v>
      </c>
      <c r="P4589">
        <v>4750000</v>
      </c>
      <c r="Q4589">
        <v>4750000</v>
      </c>
      <c r="R4589" s="14">
        <f>_xlfn.XLOOKUP(Table2[[#This Row],[LoanID]],Table1[G-L ID],Table1[ManagerCode],-99)</f>
        <v>119</v>
      </c>
      <c r="T4589"/>
    </row>
    <row r="4590" spans="1:20" x14ac:dyDescent="0.25">
      <c r="A4590">
        <v>20160531</v>
      </c>
      <c r="B4590">
        <v>2016</v>
      </c>
      <c r="C4590">
        <v>5</v>
      </c>
      <c r="D4590">
        <v>1</v>
      </c>
      <c r="E4590">
        <v>11750</v>
      </c>
      <c r="F4590">
        <v>76370</v>
      </c>
      <c r="G4590">
        <v>102368.61</v>
      </c>
      <c r="H4590">
        <v>0</v>
      </c>
      <c r="I4590">
        <v>0</v>
      </c>
      <c r="J4590">
        <v>-4309540.3600000003</v>
      </c>
      <c r="K4590">
        <v>0</v>
      </c>
      <c r="L4590">
        <v>15414712.810000001</v>
      </c>
      <c r="M4590">
        <v>19826621.780000001</v>
      </c>
      <c r="N4590">
        <v>15414712.810000001</v>
      </c>
      <c r="O4590">
        <v>19826621.780000001</v>
      </c>
      <c r="P4590">
        <v>15414712.810000001</v>
      </c>
      <c r="Q4590">
        <v>19826621.780000001</v>
      </c>
      <c r="R4590" s="14">
        <f>_xlfn.XLOOKUP(Table2[[#This Row],[LoanID]],Table1[G-L ID],Table1[ManagerCode],-99)</f>
        <v>183</v>
      </c>
      <c r="T4590"/>
    </row>
    <row r="4591" spans="1:20" x14ac:dyDescent="0.25">
      <c r="A4591">
        <v>20160531</v>
      </c>
      <c r="B4591">
        <v>2016</v>
      </c>
      <c r="C4591">
        <v>5</v>
      </c>
      <c r="D4591">
        <v>1</v>
      </c>
      <c r="E4591">
        <v>11810</v>
      </c>
      <c r="F4591">
        <v>48539.48</v>
      </c>
      <c r="G4591">
        <v>0</v>
      </c>
      <c r="H4591">
        <v>0</v>
      </c>
      <c r="I4591">
        <v>0</v>
      </c>
      <c r="J4591">
        <v>0</v>
      </c>
      <c r="K4591">
        <v>12318.61</v>
      </c>
      <c r="L4591">
        <v>9391677.0800000001</v>
      </c>
      <c r="M4591">
        <v>9379481.6400000006</v>
      </c>
      <c r="N4591">
        <v>9391677.0800000001</v>
      </c>
      <c r="O4591">
        <v>9379481.6400000006</v>
      </c>
      <c r="P4591">
        <v>9391190.5600000005</v>
      </c>
      <c r="Q4591">
        <v>9378871.9499999993</v>
      </c>
      <c r="R4591" s="14">
        <f>_xlfn.XLOOKUP(Table2[[#This Row],[LoanID]],Table1[G-L ID],Table1[ManagerCode],-99)</f>
        <v>103</v>
      </c>
      <c r="T4591"/>
    </row>
    <row r="4592" spans="1:20" x14ac:dyDescent="0.25">
      <c r="A4592">
        <v>20160531</v>
      </c>
      <c r="B4592">
        <v>2016</v>
      </c>
      <c r="C4592">
        <v>5</v>
      </c>
      <c r="D4592">
        <v>1</v>
      </c>
      <c r="E4592">
        <v>11830</v>
      </c>
      <c r="F4592">
        <v>0</v>
      </c>
      <c r="G4592">
        <v>0</v>
      </c>
      <c r="H4592">
        <v>-292500</v>
      </c>
      <c r="I4592">
        <v>0</v>
      </c>
      <c r="J4592">
        <v>20325000</v>
      </c>
      <c r="K4592">
        <v>0</v>
      </c>
      <c r="L4592">
        <v>27100000</v>
      </c>
      <c r="M4592">
        <v>6775000</v>
      </c>
      <c r="N4592">
        <v>27100000</v>
      </c>
      <c r="O4592">
        <v>6775000</v>
      </c>
      <c r="P4592">
        <v>27100000</v>
      </c>
      <c r="Q4592">
        <v>6775000</v>
      </c>
      <c r="R4592" s="14">
        <f>_xlfn.XLOOKUP(Table2[[#This Row],[LoanID]],Table1[G-L ID],Table1[ManagerCode],-99)</f>
        <v>119</v>
      </c>
      <c r="T4592"/>
    </row>
    <row r="4593" spans="1:20" x14ac:dyDescent="0.25">
      <c r="A4593">
        <v>20160531</v>
      </c>
      <c r="B4593">
        <v>2016</v>
      </c>
      <c r="C4593">
        <v>5</v>
      </c>
      <c r="D4593">
        <v>1</v>
      </c>
      <c r="E4593">
        <v>11850</v>
      </c>
      <c r="F4593">
        <v>40195.68</v>
      </c>
      <c r="G4593">
        <v>0</v>
      </c>
      <c r="H4593">
        <v>0</v>
      </c>
      <c r="I4593">
        <v>0</v>
      </c>
      <c r="J4593">
        <v>-1245796.23</v>
      </c>
      <c r="K4593">
        <v>0</v>
      </c>
      <c r="L4593">
        <v>4573841.7300000004</v>
      </c>
      <c r="M4593">
        <v>5819637.96</v>
      </c>
      <c r="N4593">
        <v>4573841.7300000004</v>
      </c>
      <c r="O4593">
        <v>5819637.96</v>
      </c>
      <c r="P4593">
        <v>4573841.7300000004</v>
      </c>
      <c r="Q4593">
        <v>5819637.96</v>
      </c>
      <c r="R4593" s="14">
        <f>_xlfn.XLOOKUP(Table2[[#This Row],[LoanID]],Table1[G-L ID],Table1[ManagerCode],-99)</f>
        <v>183</v>
      </c>
      <c r="T4593"/>
    </row>
    <row r="4594" spans="1:20" x14ac:dyDescent="0.25">
      <c r="A4594">
        <v>20160531</v>
      </c>
      <c r="B4594">
        <v>2016</v>
      </c>
      <c r="C4594">
        <v>5</v>
      </c>
      <c r="D4594">
        <v>1</v>
      </c>
      <c r="E4594">
        <v>11880</v>
      </c>
      <c r="F4594">
        <v>363281.25</v>
      </c>
      <c r="G4594">
        <v>174412.27</v>
      </c>
      <c r="H4594">
        <v>0</v>
      </c>
      <c r="I4594">
        <v>0</v>
      </c>
      <c r="J4594">
        <v>0</v>
      </c>
      <c r="K4594">
        <v>0</v>
      </c>
      <c r="L4594">
        <v>79235337.010000005</v>
      </c>
      <c r="M4594">
        <v>79409749.280000001</v>
      </c>
      <c r="N4594">
        <v>79235337.010000005</v>
      </c>
      <c r="O4594">
        <v>79409749.280000001</v>
      </c>
      <c r="P4594">
        <v>79235337.010000005</v>
      </c>
      <c r="Q4594">
        <v>79409749.280000001</v>
      </c>
      <c r="R4594" s="14">
        <f>_xlfn.XLOOKUP(Table2[[#This Row],[LoanID]],Table1[G-L ID],Table1[ManagerCode],-99)</f>
        <v>183</v>
      </c>
      <c r="T4594"/>
    </row>
    <row r="4595" spans="1:20" x14ac:dyDescent="0.25">
      <c r="A4595">
        <v>20160531</v>
      </c>
      <c r="B4595">
        <v>2016</v>
      </c>
      <c r="C4595">
        <v>5</v>
      </c>
      <c r="D4595">
        <v>1</v>
      </c>
      <c r="E4595">
        <v>11980</v>
      </c>
      <c r="F4595">
        <v>69734.22</v>
      </c>
      <c r="G4595">
        <v>0</v>
      </c>
      <c r="H4595">
        <v>0</v>
      </c>
      <c r="I4595">
        <v>0</v>
      </c>
      <c r="J4595">
        <v>0</v>
      </c>
      <c r="K4595">
        <v>0</v>
      </c>
      <c r="L4595">
        <v>7400000</v>
      </c>
      <c r="M4595">
        <v>7400000</v>
      </c>
      <c r="N4595">
        <v>7400000</v>
      </c>
      <c r="O4595">
        <v>7400000</v>
      </c>
      <c r="P4595">
        <v>7400000</v>
      </c>
      <c r="Q4595">
        <v>7400000</v>
      </c>
      <c r="R4595" s="14">
        <f>_xlfn.XLOOKUP(Table2[[#This Row],[LoanID]],Table1[G-L ID],Table1[ManagerCode],-99)</f>
        <v>119</v>
      </c>
      <c r="T4595"/>
    </row>
    <row r="4596" spans="1:20" x14ac:dyDescent="0.25">
      <c r="A4596">
        <v>20160531</v>
      </c>
      <c r="B4596">
        <v>2016</v>
      </c>
      <c r="C4596">
        <v>5</v>
      </c>
      <c r="D4596">
        <v>1</v>
      </c>
      <c r="E4596">
        <v>11990</v>
      </c>
      <c r="F4596">
        <v>100462.5</v>
      </c>
      <c r="G4596">
        <v>0</v>
      </c>
      <c r="H4596">
        <v>0</v>
      </c>
      <c r="I4596">
        <v>0</v>
      </c>
      <c r="J4596">
        <v>0</v>
      </c>
      <c r="K4596">
        <v>0</v>
      </c>
      <c r="L4596">
        <v>14700000</v>
      </c>
      <c r="M4596">
        <v>14700000</v>
      </c>
      <c r="N4596">
        <v>14700000</v>
      </c>
      <c r="O4596">
        <v>14700000</v>
      </c>
      <c r="P4596">
        <v>15000000</v>
      </c>
      <c r="Q4596">
        <v>15000000</v>
      </c>
      <c r="R4596" s="14">
        <f>_xlfn.XLOOKUP(Table2[[#This Row],[LoanID]],Table1[G-L ID],Table1[ManagerCode],-99)</f>
        <v>220</v>
      </c>
      <c r="T4596"/>
    </row>
    <row r="4597" spans="1:20" x14ac:dyDescent="0.25">
      <c r="A4597">
        <v>20160531</v>
      </c>
      <c r="B4597">
        <v>2016</v>
      </c>
      <c r="C4597">
        <v>5</v>
      </c>
      <c r="D4597">
        <v>1</v>
      </c>
      <c r="E4597">
        <v>12010</v>
      </c>
      <c r="F4597">
        <v>174522.53</v>
      </c>
      <c r="G4597">
        <v>0</v>
      </c>
      <c r="H4597">
        <v>0</v>
      </c>
      <c r="I4597">
        <v>0</v>
      </c>
      <c r="J4597">
        <v>-621136.67000000004</v>
      </c>
      <c r="K4597">
        <v>0</v>
      </c>
      <c r="L4597">
        <v>18948669.93</v>
      </c>
      <c r="M4597">
        <v>19569806.600000001</v>
      </c>
      <c r="N4597">
        <v>18948669.93</v>
      </c>
      <c r="O4597">
        <v>19569806.600000001</v>
      </c>
      <c r="P4597">
        <v>18948669.93</v>
      </c>
      <c r="Q4597">
        <v>19569806.600000001</v>
      </c>
      <c r="R4597" s="14">
        <f>_xlfn.XLOOKUP(Table2[[#This Row],[LoanID]],Table1[G-L ID],Table1[ManagerCode],-99)</f>
        <v>119</v>
      </c>
      <c r="T4597"/>
    </row>
    <row r="4598" spans="1:20" x14ac:dyDescent="0.25">
      <c r="A4598">
        <v>20160531</v>
      </c>
      <c r="B4598">
        <v>2016</v>
      </c>
      <c r="C4598">
        <v>5</v>
      </c>
      <c r="D4598">
        <v>1</v>
      </c>
      <c r="E4598">
        <v>12160</v>
      </c>
      <c r="F4598">
        <v>86980.04</v>
      </c>
      <c r="G4598">
        <v>106295.99</v>
      </c>
      <c r="H4598">
        <v>0</v>
      </c>
      <c r="I4598">
        <v>0</v>
      </c>
      <c r="J4598">
        <v>-86980.04</v>
      </c>
      <c r="K4598">
        <v>0</v>
      </c>
      <c r="L4598">
        <v>17564462.699999999</v>
      </c>
      <c r="M4598">
        <v>17757738.73</v>
      </c>
      <c r="N4598">
        <v>17564462.699999999</v>
      </c>
      <c r="O4598">
        <v>17757738.73</v>
      </c>
      <c r="P4598">
        <v>17564462.699999999</v>
      </c>
      <c r="Q4598">
        <v>17757738.73</v>
      </c>
      <c r="R4598" s="14">
        <f>_xlfn.XLOOKUP(Table2[[#This Row],[LoanID]],Table1[G-L ID],Table1[ManagerCode],-99)</f>
        <v>183</v>
      </c>
      <c r="T4598"/>
    </row>
    <row r="4599" spans="1:20" x14ac:dyDescent="0.25">
      <c r="A4599">
        <v>20160531</v>
      </c>
      <c r="B4599">
        <v>2016</v>
      </c>
      <c r="C4599">
        <v>5</v>
      </c>
      <c r="D4599">
        <v>1</v>
      </c>
      <c r="E4599">
        <v>12180</v>
      </c>
      <c r="F4599">
        <v>231379.17</v>
      </c>
      <c r="G4599">
        <v>0</v>
      </c>
      <c r="H4599">
        <v>0</v>
      </c>
      <c r="I4599">
        <v>0</v>
      </c>
      <c r="J4599">
        <v>0</v>
      </c>
      <c r="K4599">
        <v>0</v>
      </c>
      <c r="L4599">
        <v>35000000</v>
      </c>
      <c r="M4599">
        <v>35000000</v>
      </c>
      <c r="N4599">
        <v>35000000</v>
      </c>
      <c r="O4599">
        <v>35000000</v>
      </c>
      <c r="P4599">
        <v>35000000</v>
      </c>
      <c r="Q4599">
        <v>35000000</v>
      </c>
      <c r="R4599" s="14">
        <f>_xlfn.XLOOKUP(Table2[[#This Row],[LoanID]],Table1[G-L ID],Table1[ManagerCode],-99)</f>
        <v>220</v>
      </c>
      <c r="T4599"/>
    </row>
    <row r="4600" spans="1:20" x14ac:dyDescent="0.25">
      <c r="A4600">
        <v>20160531</v>
      </c>
      <c r="B4600">
        <v>2016</v>
      </c>
      <c r="C4600">
        <v>5</v>
      </c>
      <c r="D4600">
        <v>1</v>
      </c>
      <c r="E4600">
        <v>12190</v>
      </c>
      <c r="F4600">
        <v>259019.48</v>
      </c>
      <c r="G4600">
        <v>0</v>
      </c>
      <c r="H4600">
        <v>0</v>
      </c>
      <c r="I4600">
        <v>0</v>
      </c>
      <c r="J4600">
        <v>0</v>
      </c>
      <c r="K4600">
        <v>0</v>
      </c>
      <c r="L4600">
        <v>34383117</v>
      </c>
      <c r="M4600">
        <v>34383117</v>
      </c>
      <c r="N4600">
        <v>34383117</v>
      </c>
      <c r="O4600">
        <v>34383117</v>
      </c>
      <c r="P4600">
        <v>34383117</v>
      </c>
      <c r="Q4600">
        <v>34383117</v>
      </c>
      <c r="R4600" s="14">
        <f>_xlfn.XLOOKUP(Table2[[#This Row],[LoanID]],Table1[G-L ID],Table1[ManagerCode],-99)</f>
        <v>220</v>
      </c>
      <c r="T4600"/>
    </row>
    <row r="4601" spans="1:20" x14ac:dyDescent="0.25">
      <c r="A4601">
        <v>20160531</v>
      </c>
      <c r="B4601">
        <v>2016</v>
      </c>
      <c r="C4601">
        <v>5</v>
      </c>
      <c r="D4601">
        <v>1</v>
      </c>
      <c r="E4601">
        <v>12210</v>
      </c>
      <c r="F4601">
        <v>653096.21</v>
      </c>
      <c r="G4601">
        <v>0</v>
      </c>
      <c r="H4601">
        <v>0</v>
      </c>
      <c r="I4601">
        <v>0</v>
      </c>
      <c r="J4601">
        <v>0</v>
      </c>
      <c r="K4601">
        <v>242168.32000000001</v>
      </c>
      <c r="L4601">
        <v>113210016.7</v>
      </c>
      <c r="M4601">
        <v>112480626.8</v>
      </c>
      <c r="N4601">
        <v>113210016.7</v>
      </c>
      <c r="O4601">
        <v>112480626.8</v>
      </c>
      <c r="P4601">
        <v>105672021.8</v>
      </c>
      <c r="Q4601">
        <v>105429853.5</v>
      </c>
      <c r="R4601" s="14">
        <f>_xlfn.XLOOKUP(Table2[[#This Row],[LoanID]],Table1[G-L ID],Table1[ManagerCode],-99)</f>
        <v>103</v>
      </c>
      <c r="T4601"/>
    </row>
    <row r="4602" spans="1:20" x14ac:dyDescent="0.25">
      <c r="A4602">
        <v>20160531</v>
      </c>
      <c r="B4602">
        <v>2016</v>
      </c>
      <c r="C4602">
        <v>5</v>
      </c>
      <c r="D4602">
        <v>1</v>
      </c>
      <c r="E4602">
        <v>12230</v>
      </c>
      <c r="F4602">
        <v>108517.53</v>
      </c>
      <c r="G4602">
        <v>0</v>
      </c>
      <c r="H4602">
        <v>0</v>
      </c>
      <c r="I4602">
        <v>0</v>
      </c>
      <c r="J4602">
        <v>0</v>
      </c>
      <c r="K4602">
        <v>0</v>
      </c>
      <c r="L4602">
        <v>20349098.18</v>
      </c>
      <c r="M4602">
        <v>20349098.18</v>
      </c>
      <c r="N4602">
        <v>13833645.68</v>
      </c>
      <c r="O4602">
        <v>13833645.68</v>
      </c>
      <c r="P4602">
        <v>20349098.18</v>
      </c>
      <c r="Q4602">
        <v>20349098.18</v>
      </c>
      <c r="R4602" s="14">
        <f>_xlfn.XLOOKUP(Table2[[#This Row],[LoanID]],Table1[G-L ID],Table1[ManagerCode],-99)</f>
        <v>183</v>
      </c>
      <c r="T4602"/>
    </row>
    <row r="4603" spans="1:20" x14ac:dyDescent="0.25">
      <c r="A4603">
        <v>20160531</v>
      </c>
      <c r="B4603">
        <v>2016</v>
      </c>
      <c r="C4603">
        <v>5</v>
      </c>
      <c r="D4603">
        <v>1</v>
      </c>
      <c r="E4603">
        <v>12240</v>
      </c>
      <c r="F4603">
        <v>0</v>
      </c>
      <c r="G4603">
        <v>1522082.75</v>
      </c>
      <c r="H4603">
        <v>0</v>
      </c>
      <c r="I4603">
        <v>0</v>
      </c>
      <c r="J4603">
        <v>0</v>
      </c>
      <c r="K4603">
        <v>0</v>
      </c>
      <c r="L4603">
        <v>136816426.59999999</v>
      </c>
      <c r="M4603">
        <v>138338509.40000001</v>
      </c>
      <c r="N4603">
        <v>136816426.59999999</v>
      </c>
      <c r="O4603">
        <v>138338509.40000001</v>
      </c>
      <c r="P4603">
        <v>136816426.59999999</v>
      </c>
      <c r="Q4603">
        <v>138338509.40000001</v>
      </c>
      <c r="R4603" s="14">
        <f>_xlfn.XLOOKUP(Table2[[#This Row],[LoanID]],Table1[G-L ID],Table1[ManagerCode],-99)</f>
        <v>183</v>
      </c>
      <c r="T4603"/>
    </row>
    <row r="4604" spans="1:20" x14ac:dyDescent="0.25">
      <c r="A4604">
        <v>20160531</v>
      </c>
      <c r="B4604">
        <v>2016</v>
      </c>
      <c r="C4604">
        <v>5</v>
      </c>
      <c r="D4604">
        <v>1</v>
      </c>
      <c r="E4604">
        <v>13630</v>
      </c>
      <c r="F4604">
        <v>211458.33</v>
      </c>
      <c r="G4604">
        <v>0</v>
      </c>
      <c r="H4604">
        <v>0</v>
      </c>
      <c r="I4604">
        <v>0</v>
      </c>
      <c r="J4604">
        <v>0</v>
      </c>
      <c r="K4604">
        <v>0</v>
      </c>
      <c r="L4604">
        <v>33468087</v>
      </c>
      <c r="M4604">
        <v>33468087</v>
      </c>
      <c r="N4604">
        <v>33468087</v>
      </c>
      <c r="O4604">
        <v>33468087</v>
      </c>
      <c r="P4604">
        <v>35000000</v>
      </c>
      <c r="Q4604">
        <v>35000000</v>
      </c>
      <c r="R4604" s="14">
        <f>_xlfn.XLOOKUP(Table2[[#This Row],[LoanID]],Table1[G-L ID],Table1[ManagerCode],-99)</f>
        <v>298</v>
      </c>
      <c r="T4604"/>
    </row>
    <row r="4605" spans="1:20" x14ac:dyDescent="0.25">
      <c r="A4605">
        <v>20160531</v>
      </c>
      <c r="B4605">
        <v>2016</v>
      </c>
      <c r="C4605">
        <v>5</v>
      </c>
      <c r="D4605">
        <v>1</v>
      </c>
      <c r="E4605">
        <v>13670</v>
      </c>
      <c r="F4605">
        <v>279156.25</v>
      </c>
      <c r="G4605">
        <v>0</v>
      </c>
      <c r="H4605">
        <v>0</v>
      </c>
      <c r="I4605">
        <v>0</v>
      </c>
      <c r="J4605">
        <v>0</v>
      </c>
      <c r="K4605">
        <v>0</v>
      </c>
      <c r="L4605">
        <v>37369414</v>
      </c>
      <c r="M4605">
        <v>37369414</v>
      </c>
      <c r="N4605">
        <v>37369414</v>
      </c>
      <c r="O4605">
        <v>37369414</v>
      </c>
      <c r="P4605">
        <v>37500000</v>
      </c>
      <c r="Q4605">
        <v>37500000</v>
      </c>
      <c r="R4605" s="14">
        <f>_xlfn.XLOOKUP(Table2[[#This Row],[LoanID]],Table1[G-L ID],Table1[ManagerCode],-99)</f>
        <v>298</v>
      </c>
      <c r="T4605"/>
    </row>
    <row r="4606" spans="1:20" x14ac:dyDescent="0.25">
      <c r="A4606">
        <v>20160531</v>
      </c>
      <c r="B4606">
        <v>2016</v>
      </c>
      <c r="C4606">
        <v>5</v>
      </c>
      <c r="D4606">
        <v>1</v>
      </c>
      <c r="E4606">
        <v>13680</v>
      </c>
      <c r="F4606">
        <v>150000</v>
      </c>
      <c r="G4606">
        <v>0</v>
      </c>
      <c r="H4606">
        <v>0</v>
      </c>
      <c r="I4606">
        <v>0</v>
      </c>
      <c r="J4606">
        <v>0</v>
      </c>
      <c r="K4606">
        <v>0</v>
      </c>
      <c r="L4606">
        <v>18283364</v>
      </c>
      <c r="M4606">
        <v>18283364</v>
      </c>
      <c r="N4606">
        <v>18283364</v>
      </c>
      <c r="O4606">
        <v>18283364</v>
      </c>
      <c r="P4606">
        <v>18000000</v>
      </c>
      <c r="Q4606">
        <v>18000000</v>
      </c>
      <c r="R4606" s="14">
        <f>_xlfn.XLOOKUP(Table2[[#This Row],[LoanID]],Table1[G-L ID],Table1[ManagerCode],-99)</f>
        <v>298</v>
      </c>
      <c r="T4606"/>
    </row>
    <row r="4607" spans="1:20" x14ac:dyDescent="0.25">
      <c r="A4607">
        <v>20160531</v>
      </c>
      <c r="B4607">
        <v>2016</v>
      </c>
      <c r="C4607">
        <v>5</v>
      </c>
      <c r="D4607">
        <v>1</v>
      </c>
      <c r="E4607">
        <v>13690</v>
      </c>
      <c r="F4607">
        <v>129166.67</v>
      </c>
      <c r="G4607">
        <v>0</v>
      </c>
      <c r="H4607">
        <v>0</v>
      </c>
      <c r="I4607">
        <v>0</v>
      </c>
      <c r="J4607">
        <v>0</v>
      </c>
      <c r="K4607">
        <v>0</v>
      </c>
      <c r="L4607">
        <v>19169472</v>
      </c>
      <c r="M4607">
        <v>19169472</v>
      </c>
      <c r="N4607">
        <v>19169472</v>
      </c>
      <c r="O4607">
        <v>19169472</v>
      </c>
      <c r="P4607">
        <v>20000000</v>
      </c>
      <c r="Q4607">
        <v>20000000</v>
      </c>
      <c r="R4607" s="14">
        <f>_xlfn.XLOOKUP(Table2[[#This Row],[LoanID]],Table1[G-L ID],Table1[ManagerCode],-99)</f>
        <v>298</v>
      </c>
      <c r="T4607"/>
    </row>
    <row r="4608" spans="1:20" x14ac:dyDescent="0.25">
      <c r="A4608">
        <v>20160531</v>
      </c>
      <c r="B4608">
        <v>2016</v>
      </c>
      <c r="C4608">
        <v>5</v>
      </c>
      <c r="D4608">
        <v>1</v>
      </c>
      <c r="E4608">
        <v>15540</v>
      </c>
      <c r="F4608">
        <v>0</v>
      </c>
      <c r="G4608">
        <v>117836.25</v>
      </c>
      <c r="H4608">
        <v>755000</v>
      </c>
      <c r="I4608">
        <v>0</v>
      </c>
      <c r="J4608">
        <v>-52500000</v>
      </c>
      <c r="K4608">
        <v>0</v>
      </c>
      <c r="L4608">
        <v>0</v>
      </c>
      <c r="M4608">
        <v>52617836.25</v>
      </c>
      <c r="N4608">
        <v>0</v>
      </c>
      <c r="O4608">
        <v>52617836.25</v>
      </c>
      <c r="P4608">
        <v>0</v>
      </c>
      <c r="Q4608">
        <v>52617836.25</v>
      </c>
      <c r="R4608" s="14">
        <f>_xlfn.XLOOKUP(Table2[[#This Row],[LoanID]],Table1[G-L ID],Table1[ManagerCode],-99)</f>
        <v>212</v>
      </c>
      <c r="T4608"/>
    </row>
    <row r="4609" spans="1:20" x14ac:dyDescent="0.25">
      <c r="A4609">
        <v>20160531</v>
      </c>
      <c r="B4609">
        <v>2016</v>
      </c>
      <c r="C4609">
        <v>5</v>
      </c>
      <c r="D4609">
        <v>1</v>
      </c>
      <c r="E4609">
        <v>15580</v>
      </c>
      <c r="F4609">
        <v>113885.96</v>
      </c>
      <c r="G4609">
        <v>3720.41</v>
      </c>
      <c r="H4609">
        <v>0</v>
      </c>
      <c r="I4609">
        <v>0</v>
      </c>
      <c r="J4609">
        <v>0</v>
      </c>
      <c r="K4609">
        <v>9515.35</v>
      </c>
      <c r="L4609">
        <v>14888280.869999999</v>
      </c>
      <c r="M4609">
        <v>14882485.93</v>
      </c>
      <c r="N4609">
        <v>14888280.869999999</v>
      </c>
      <c r="O4609">
        <v>14882485.93</v>
      </c>
      <c r="P4609">
        <v>14888280.869999999</v>
      </c>
      <c r="Q4609">
        <v>14882485.93</v>
      </c>
      <c r="R4609" s="14">
        <f>_xlfn.XLOOKUP(Table2[[#This Row],[LoanID]],Table1[G-L ID],Table1[ManagerCode],-99)</f>
        <v>212</v>
      </c>
      <c r="T4609"/>
    </row>
    <row r="4610" spans="1:20" x14ac:dyDescent="0.25">
      <c r="A4610">
        <v>20160630</v>
      </c>
      <c r="B4610">
        <v>2016</v>
      </c>
      <c r="C4610">
        <v>6</v>
      </c>
      <c r="D4610">
        <v>1</v>
      </c>
      <c r="E4610">
        <v>10010</v>
      </c>
      <c r="F4610">
        <v>166959.42000000001</v>
      </c>
      <c r="G4610">
        <v>0</v>
      </c>
      <c r="H4610">
        <v>0</v>
      </c>
      <c r="I4610">
        <v>0</v>
      </c>
      <c r="J4610">
        <v>0</v>
      </c>
      <c r="K4610">
        <v>0</v>
      </c>
      <c r="L4610">
        <v>18603662</v>
      </c>
      <c r="M4610">
        <v>18603662</v>
      </c>
      <c r="N4610">
        <v>18603662</v>
      </c>
      <c r="O4610">
        <v>18603662</v>
      </c>
      <c r="P4610">
        <v>18603662</v>
      </c>
      <c r="Q4610">
        <v>18603662</v>
      </c>
      <c r="R4610" s="14">
        <f>_xlfn.XLOOKUP(Table2[[#This Row],[LoanID]],Table1[G-L ID],Table1[ManagerCode],-99)</f>
        <v>119</v>
      </c>
      <c r="T4610"/>
    </row>
    <row r="4611" spans="1:20" x14ac:dyDescent="0.25">
      <c r="A4611">
        <v>20160630</v>
      </c>
      <c r="B4611">
        <v>2016</v>
      </c>
      <c r="C4611">
        <v>6</v>
      </c>
      <c r="D4611">
        <v>1</v>
      </c>
      <c r="E4611">
        <v>10030</v>
      </c>
      <c r="F4611">
        <v>63843.360000000001</v>
      </c>
      <c r="G4611">
        <v>0</v>
      </c>
      <c r="H4611">
        <v>0</v>
      </c>
      <c r="I4611">
        <v>0</v>
      </c>
      <c r="J4611">
        <v>0</v>
      </c>
      <c r="K4611">
        <v>0</v>
      </c>
      <c r="L4611">
        <v>7909070</v>
      </c>
      <c r="M4611">
        <v>7909070</v>
      </c>
      <c r="N4611">
        <v>7909070</v>
      </c>
      <c r="O4611">
        <v>7909070</v>
      </c>
      <c r="P4611">
        <v>7909070</v>
      </c>
      <c r="Q4611">
        <v>7909070</v>
      </c>
      <c r="R4611" s="14">
        <f>_xlfn.XLOOKUP(Table2[[#This Row],[LoanID]],Table1[G-L ID],Table1[ManagerCode],-99)</f>
        <v>119</v>
      </c>
      <c r="T4611"/>
    </row>
    <row r="4612" spans="1:20" x14ac:dyDescent="0.25">
      <c r="A4612">
        <v>20160630</v>
      </c>
      <c r="B4612">
        <v>2016</v>
      </c>
      <c r="C4612">
        <v>6</v>
      </c>
      <c r="D4612">
        <v>1</v>
      </c>
      <c r="E4612">
        <v>10040</v>
      </c>
      <c r="F4612">
        <v>44941.39</v>
      </c>
      <c r="G4612">
        <v>0</v>
      </c>
      <c r="H4612">
        <v>0</v>
      </c>
      <c r="I4612">
        <v>0</v>
      </c>
      <c r="J4612">
        <v>0</v>
      </c>
      <c r="K4612">
        <v>0</v>
      </c>
      <c r="L4612">
        <v>5000000</v>
      </c>
      <c r="M4612">
        <v>5000000</v>
      </c>
      <c r="N4612">
        <v>5000000</v>
      </c>
      <c r="O4612">
        <v>5000000</v>
      </c>
      <c r="P4612">
        <v>5000000</v>
      </c>
      <c r="Q4612">
        <v>5000000</v>
      </c>
      <c r="R4612" s="14">
        <f>_xlfn.XLOOKUP(Table2[[#This Row],[LoanID]],Table1[G-L ID],Table1[ManagerCode],-99)</f>
        <v>119</v>
      </c>
      <c r="T4612"/>
    </row>
    <row r="4613" spans="1:20" x14ac:dyDescent="0.25">
      <c r="A4613">
        <v>20160630</v>
      </c>
      <c r="B4613">
        <v>2016</v>
      </c>
      <c r="C4613">
        <v>6</v>
      </c>
      <c r="D4613">
        <v>1</v>
      </c>
      <c r="E4613">
        <v>10050</v>
      </c>
      <c r="F4613">
        <v>-153981.01999999999</v>
      </c>
      <c r="G4613">
        <v>0</v>
      </c>
      <c r="H4613">
        <v>0</v>
      </c>
      <c r="I4613">
        <v>0</v>
      </c>
      <c r="J4613">
        <v>0</v>
      </c>
      <c r="K4613">
        <v>0</v>
      </c>
      <c r="L4613">
        <v>38072453.890000001</v>
      </c>
      <c r="M4613">
        <v>39056562.259999998</v>
      </c>
      <c r="N4613">
        <v>38072453.890000001</v>
      </c>
      <c r="O4613">
        <v>39056562.259999998</v>
      </c>
      <c r="P4613">
        <v>33333334</v>
      </c>
      <c r="Q4613">
        <v>33333334</v>
      </c>
      <c r="R4613" s="14">
        <f>_xlfn.XLOOKUP(Table2[[#This Row],[LoanID]],Table1[G-L ID],Table1[ManagerCode],-99)</f>
        <v>103</v>
      </c>
      <c r="T4613"/>
    </row>
    <row r="4614" spans="1:20" x14ac:dyDescent="0.25">
      <c r="A4614">
        <v>20160630</v>
      </c>
      <c r="B4614">
        <v>2016</v>
      </c>
      <c r="C4614">
        <v>6</v>
      </c>
      <c r="D4614">
        <v>1</v>
      </c>
      <c r="E4614">
        <v>10100</v>
      </c>
      <c r="F4614">
        <v>195403.33</v>
      </c>
      <c r="G4614">
        <v>0</v>
      </c>
      <c r="H4614">
        <v>0</v>
      </c>
      <c r="I4614">
        <v>0</v>
      </c>
      <c r="J4614">
        <v>0</v>
      </c>
      <c r="K4614">
        <v>0</v>
      </c>
      <c r="L4614">
        <v>30500000</v>
      </c>
      <c r="M4614">
        <v>30500000</v>
      </c>
      <c r="N4614">
        <v>30500000</v>
      </c>
      <c r="O4614">
        <v>30500000</v>
      </c>
      <c r="P4614">
        <v>30500000</v>
      </c>
      <c r="Q4614">
        <v>30500000</v>
      </c>
      <c r="R4614" s="14">
        <f>_xlfn.XLOOKUP(Table2[[#This Row],[LoanID]],Table1[G-L ID],Table1[ManagerCode],-99)</f>
        <v>220</v>
      </c>
      <c r="T4614"/>
    </row>
    <row r="4615" spans="1:20" x14ac:dyDescent="0.25">
      <c r="A4615">
        <v>20160630</v>
      </c>
      <c r="B4615">
        <v>2016</v>
      </c>
      <c r="C4615">
        <v>6</v>
      </c>
      <c r="D4615">
        <v>1</v>
      </c>
      <c r="E4615">
        <v>10110</v>
      </c>
      <c r="F4615">
        <v>141799.63</v>
      </c>
      <c r="G4615">
        <v>0</v>
      </c>
      <c r="H4615">
        <v>0</v>
      </c>
      <c r="I4615">
        <v>0</v>
      </c>
      <c r="J4615">
        <v>0</v>
      </c>
      <c r="K4615">
        <v>0</v>
      </c>
      <c r="L4615">
        <v>16400000</v>
      </c>
      <c r="M4615">
        <v>16400000</v>
      </c>
      <c r="N4615">
        <v>16400000</v>
      </c>
      <c r="O4615">
        <v>16400000</v>
      </c>
      <c r="P4615">
        <v>16400000</v>
      </c>
      <c r="Q4615">
        <v>16400000</v>
      </c>
      <c r="R4615" s="14">
        <f>_xlfn.XLOOKUP(Table2[[#This Row],[LoanID]],Table1[G-L ID],Table1[ManagerCode],-99)</f>
        <v>119</v>
      </c>
      <c r="T4615"/>
    </row>
    <row r="4616" spans="1:20" x14ac:dyDescent="0.25">
      <c r="A4616">
        <v>20160630</v>
      </c>
      <c r="B4616">
        <v>2016</v>
      </c>
      <c r="C4616">
        <v>6</v>
      </c>
      <c r="D4616">
        <v>1</v>
      </c>
      <c r="E4616">
        <v>10120</v>
      </c>
      <c r="F4616">
        <v>52424.47</v>
      </c>
      <c r="G4616">
        <v>57382.95</v>
      </c>
      <c r="H4616">
        <v>0</v>
      </c>
      <c r="I4616">
        <v>0</v>
      </c>
      <c r="J4616">
        <v>-52424.47</v>
      </c>
      <c r="K4616">
        <v>0</v>
      </c>
      <c r="L4616">
        <v>10574115.32</v>
      </c>
      <c r="M4616">
        <v>10683922.74</v>
      </c>
      <c r="N4616">
        <v>10574115.32</v>
      </c>
      <c r="O4616">
        <v>10683922.74</v>
      </c>
      <c r="P4616">
        <v>10574115.32</v>
      </c>
      <c r="Q4616">
        <v>10683922.74</v>
      </c>
      <c r="R4616" s="14">
        <f>_xlfn.XLOOKUP(Table2[[#This Row],[LoanID]],Table1[G-L ID],Table1[ManagerCode],-99)</f>
        <v>183</v>
      </c>
      <c r="T4616"/>
    </row>
    <row r="4617" spans="1:20" x14ac:dyDescent="0.25">
      <c r="A4617">
        <v>20160630</v>
      </c>
      <c r="B4617">
        <v>2016</v>
      </c>
      <c r="C4617">
        <v>6</v>
      </c>
      <c r="D4617">
        <v>1</v>
      </c>
      <c r="E4617">
        <v>10160</v>
      </c>
      <c r="F4617">
        <v>115390.71</v>
      </c>
      <c r="G4617">
        <v>0</v>
      </c>
      <c r="H4617">
        <v>0</v>
      </c>
      <c r="I4617">
        <v>0</v>
      </c>
      <c r="J4617">
        <v>-690911.29</v>
      </c>
      <c r="K4617">
        <v>0</v>
      </c>
      <c r="L4617">
        <v>14195139.48</v>
      </c>
      <c r="M4617">
        <v>14886050.77</v>
      </c>
      <c r="N4617">
        <v>14195139.48</v>
      </c>
      <c r="O4617">
        <v>14886050.77</v>
      </c>
      <c r="P4617">
        <v>14195139.48</v>
      </c>
      <c r="Q4617">
        <v>14886050.77</v>
      </c>
      <c r="R4617" s="14">
        <f>_xlfn.XLOOKUP(Table2[[#This Row],[LoanID]],Table1[G-L ID],Table1[ManagerCode],-99)</f>
        <v>119</v>
      </c>
      <c r="T4617"/>
    </row>
    <row r="4618" spans="1:20" x14ac:dyDescent="0.25">
      <c r="A4618">
        <v>20160630</v>
      </c>
      <c r="B4618">
        <v>2016</v>
      </c>
      <c r="C4618">
        <v>6</v>
      </c>
      <c r="D4618">
        <v>1</v>
      </c>
      <c r="E4618">
        <v>10220</v>
      </c>
      <c r="F4618">
        <v>559722.22</v>
      </c>
      <c r="G4618">
        <v>0</v>
      </c>
      <c r="H4618">
        <v>0</v>
      </c>
      <c r="I4618">
        <v>0</v>
      </c>
      <c r="J4618">
        <v>0</v>
      </c>
      <c r="K4618">
        <v>0</v>
      </c>
      <c r="L4618">
        <v>114971892.59999999</v>
      </c>
      <c r="M4618">
        <v>116945184.2</v>
      </c>
      <c r="N4618">
        <v>114971892.59999999</v>
      </c>
      <c r="O4618">
        <v>116945184.2</v>
      </c>
      <c r="P4618">
        <v>100000000</v>
      </c>
      <c r="Q4618">
        <v>100000000</v>
      </c>
      <c r="R4618" s="14">
        <f>_xlfn.XLOOKUP(Table2[[#This Row],[LoanID]],Table1[G-L ID],Table1[ManagerCode],-99)</f>
        <v>103</v>
      </c>
      <c r="T4618"/>
    </row>
    <row r="4619" spans="1:20" x14ac:dyDescent="0.25">
      <c r="A4619">
        <v>20160630</v>
      </c>
      <c r="B4619">
        <v>2016</v>
      </c>
      <c r="C4619">
        <v>6</v>
      </c>
      <c r="D4619">
        <v>1</v>
      </c>
      <c r="E4619">
        <v>10240</v>
      </c>
      <c r="F4619">
        <v>90793.4</v>
      </c>
      <c r="G4619">
        <v>0</v>
      </c>
      <c r="H4619">
        <v>0</v>
      </c>
      <c r="I4619">
        <v>0</v>
      </c>
      <c r="J4619">
        <v>0</v>
      </c>
      <c r="K4619">
        <v>0</v>
      </c>
      <c r="L4619">
        <v>12500000</v>
      </c>
      <c r="M4619">
        <v>12500000</v>
      </c>
      <c r="N4619">
        <v>12500000</v>
      </c>
      <c r="O4619">
        <v>12500000</v>
      </c>
      <c r="P4619">
        <v>12500000</v>
      </c>
      <c r="Q4619">
        <v>12500000</v>
      </c>
      <c r="R4619" s="14">
        <f>_xlfn.XLOOKUP(Table2[[#This Row],[LoanID]],Table1[G-L ID],Table1[ManagerCode],-99)</f>
        <v>220</v>
      </c>
      <c r="T4619"/>
    </row>
    <row r="4620" spans="1:20" x14ac:dyDescent="0.25">
      <c r="A4620">
        <v>20160630</v>
      </c>
      <c r="B4620">
        <v>2016</v>
      </c>
      <c r="C4620">
        <v>6</v>
      </c>
      <c r="D4620">
        <v>1</v>
      </c>
      <c r="E4620">
        <v>10250</v>
      </c>
      <c r="F4620">
        <v>50439.58</v>
      </c>
      <c r="G4620">
        <v>0</v>
      </c>
      <c r="H4620">
        <v>0</v>
      </c>
      <c r="I4620">
        <v>0</v>
      </c>
      <c r="J4620">
        <v>0</v>
      </c>
      <c r="K4620">
        <v>0</v>
      </c>
      <c r="L4620">
        <v>5000000</v>
      </c>
      <c r="M4620">
        <v>5000000</v>
      </c>
      <c r="N4620">
        <v>5000000</v>
      </c>
      <c r="O4620">
        <v>5000000</v>
      </c>
      <c r="P4620">
        <v>5000000</v>
      </c>
      <c r="Q4620">
        <v>5000000</v>
      </c>
      <c r="R4620" s="14">
        <f>_xlfn.XLOOKUP(Table2[[#This Row],[LoanID]],Table1[G-L ID],Table1[ManagerCode],-99)</f>
        <v>119</v>
      </c>
      <c r="T4620"/>
    </row>
    <row r="4621" spans="1:20" x14ac:dyDescent="0.25">
      <c r="A4621">
        <v>20160630</v>
      </c>
      <c r="B4621">
        <v>2016</v>
      </c>
      <c r="C4621">
        <v>6</v>
      </c>
      <c r="D4621">
        <v>1</v>
      </c>
      <c r="E4621">
        <v>10260</v>
      </c>
      <c r="F4621">
        <v>99735</v>
      </c>
      <c r="G4621">
        <v>0</v>
      </c>
      <c r="H4621">
        <v>0</v>
      </c>
      <c r="I4621">
        <v>0</v>
      </c>
      <c r="J4621">
        <v>0</v>
      </c>
      <c r="K4621">
        <v>0</v>
      </c>
      <c r="L4621">
        <v>15000000</v>
      </c>
      <c r="M4621">
        <v>15000000</v>
      </c>
      <c r="N4621">
        <v>15000000</v>
      </c>
      <c r="O4621">
        <v>15000000</v>
      </c>
      <c r="P4621">
        <v>15000000</v>
      </c>
      <c r="Q4621">
        <v>15000000</v>
      </c>
      <c r="R4621" s="14">
        <f>_xlfn.XLOOKUP(Table2[[#This Row],[LoanID]],Table1[G-L ID],Table1[ManagerCode],-99)</f>
        <v>220</v>
      </c>
      <c r="T4621"/>
    </row>
    <row r="4622" spans="1:20" x14ac:dyDescent="0.25">
      <c r="A4622">
        <v>20160630</v>
      </c>
      <c r="B4622">
        <v>2016</v>
      </c>
      <c r="C4622">
        <v>6</v>
      </c>
      <c r="D4622">
        <v>1</v>
      </c>
      <c r="E4622">
        <v>10270</v>
      </c>
      <c r="F4622">
        <v>44343.35</v>
      </c>
      <c r="G4622">
        <v>0</v>
      </c>
      <c r="H4622">
        <v>0</v>
      </c>
      <c r="I4622">
        <v>0</v>
      </c>
      <c r="J4622">
        <v>0</v>
      </c>
      <c r="K4622">
        <v>0</v>
      </c>
      <c r="L4622">
        <v>5400000</v>
      </c>
      <c r="M4622">
        <v>5400000</v>
      </c>
      <c r="N4622">
        <v>5400000</v>
      </c>
      <c r="O4622">
        <v>5400000</v>
      </c>
      <c r="P4622">
        <v>5400000</v>
      </c>
      <c r="Q4622">
        <v>5400000</v>
      </c>
      <c r="R4622" s="14">
        <f>_xlfn.XLOOKUP(Table2[[#This Row],[LoanID]],Table1[G-L ID],Table1[ManagerCode],-99)</f>
        <v>119</v>
      </c>
      <c r="T4622"/>
    </row>
    <row r="4623" spans="1:20" x14ac:dyDescent="0.25">
      <c r="A4623">
        <v>20160630</v>
      </c>
      <c r="B4623">
        <v>2016</v>
      </c>
      <c r="C4623">
        <v>6</v>
      </c>
      <c r="D4623">
        <v>1</v>
      </c>
      <c r="E4623">
        <v>10350</v>
      </c>
      <c r="F4623">
        <v>180833.33</v>
      </c>
      <c r="G4623">
        <v>0</v>
      </c>
      <c r="H4623">
        <v>0</v>
      </c>
      <c r="I4623">
        <v>0</v>
      </c>
      <c r="J4623">
        <v>0</v>
      </c>
      <c r="K4623">
        <v>0</v>
      </c>
      <c r="L4623">
        <v>24800000</v>
      </c>
      <c r="M4623">
        <v>24800000</v>
      </c>
      <c r="N4623">
        <v>24800000</v>
      </c>
      <c r="O4623">
        <v>24800000</v>
      </c>
      <c r="P4623">
        <v>24800000</v>
      </c>
      <c r="Q4623">
        <v>24800000</v>
      </c>
      <c r="R4623" s="14">
        <f>_xlfn.XLOOKUP(Table2[[#This Row],[LoanID]],Table1[G-L ID],Table1[ManagerCode],-99)</f>
        <v>220</v>
      </c>
      <c r="T4623"/>
    </row>
    <row r="4624" spans="1:20" x14ac:dyDescent="0.25">
      <c r="A4624">
        <v>20160630</v>
      </c>
      <c r="B4624">
        <v>2016</v>
      </c>
      <c r="C4624">
        <v>6</v>
      </c>
      <c r="D4624">
        <v>1</v>
      </c>
      <c r="E4624">
        <v>10360</v>
      </c>
      <c r="F4624">
        <v>57858.96</v>
      </c>
      <c r="G4624">
        <v>0</v>
      </c>
      <c r="H4624">
        <v>0</v>
      </c>
      <c r="I4624">
        <v>0</v>
      </c>
      <c r="J4624">
        <v>0</v>
      </c>
      <c r="K4624">
        <v>0</v>
      </c>
      <c r="L4624">
        <v>5909000</v>
      </c>
      <c r="M4624">
        <v>5909000</v>
      </c>
      <c r="N4624">
        <v>5909000</v>
      </c>
      <c r="O4624">
        <v>5909000</v>
      </c>
      <c r="P4624">
        <v>5909000</v>
      </c>
      <c r="Q4624">
        <v>5909000</v>
      </c>
      <c r="R4624" s="14">
        <f>_xlfn.XLOOKUP(Table2[[#This Row],[LoanID]],Table1[G-L ID],Table1[ManagerCode],-99)</f>
        <v>183</v>
      </c>
      <c r="T4624"/>
    </row>
    <row r="4625" spans="1:20" x14ac:dyDescent="0.25">
      <c r="A4625">
        <v>20160630</v>
      </c>
      <c r="B4625">
        <v>2016</v>
      </c>
      <c r="C4625">
        <v>6</v>
      </c>
      <c r="D4625">
        <v>1</v>
      </c>
      <c r="E4625">
        <v>10410</v>
      </c>
      <c r="F4625">
        <v>8547.9</v>
      </c>
      <c r="G4625">
        <v>28516.75</v>
      </c>
      <c r="H4625">
        <v>0</v>
      </c>
      <c r="I4625">
        <v>0</v>
      </c>
      <c r="J4625">
        <v>-1730769.82</v>
      </c>
      <c r="K4625">
        <v>0</v>
      </c>
      <c r="L4625">
        <v>3622297.6000000001</v>
      </c>
      <c r="M4625">
        <v>5381584.1699999999</v>
      </c>
      <c r="N4625">
        <v>3622297.6000000001</v>
      </c>
      <c r="O4625">
        <v>5381584.1699999999</v>
      </c>
      <c r="P4625">
        <v>3622297.6000000001</v>
      </c>
      <c r="Q4625">
        <v>5381584.1699999999</v>
      </c>
      <c r="R4625" s="14">
        <f>_xlfn.XLOOKUP(Table2[[#This Row],[LoanID]],Table1[G-L ID],Table1[ManagerCode],-99)</f>
        <v>183</v>
      </c>
      <c r="T4625"/>
    </row>
    <row r="4626" spans="1:20" x14ac:dyDescent="0.25">
      <c r="A4626">
        <v>20160630</v>
      </c>
      <c r="B4626">
        <v>2016</v>
      </c>
      <c r="C4626">
        <v>6</v>
      </c>
      <c r="D4626">
        <v>1</v>
      </c>
      <c r="E4626">
        <v>10430</v>
      </c>
      <c r="F4626">
        <v>90535.79</v>
      </c>
      <c r="G4626">
        <v>0</v>
      </c>
      <c r="H4626">
        <v>0</v>
      </c>
      <c r="I4626">
        <v>0</v>
      </c>
      <c r="J4626">
        <v>0</v>
      </c>
      <c r="K4626">
        <v>23400</v>
      </c>
      <c r="L4626">
        <v>10578800</v>
      </c>
      <c r="M4626">
        <v>10555400</v>
      </c>
      <c r="N4626">
        <v>10578800</v>
      </c>
      <c r="O4626">
        <v>10555400</v>
      </c>
      <c r="P4626">
        <v>10578800</v>
      </c>
      <c r="Q4626">
        <v>10555400</v>
      </c>
      <c r="R4626" s="14">
        <f>_xlfn.XLOOKUP(Table2[[#This Row],[LoanID]],Table1[G-L ID],Table1[ManagerCode],-99)</f>
        <v>119</v>
      </c>
      <c r="T4626"/>
    </row>
    <row r="4627" spans="1:20" x14ac:dyDescent="0.25">
      <c r="A4627">
        <v>20160630</v>
      </c>
      <c r="B4627">
        <v>2016</v>
      </c>
      <c r="C4627">
        <v>6</v>
      </c>
      <c r="D4627">
        <v>1</v>
      </c>
      <c r="E4627">
        <v>10480</v>
      </c>
      <c r="F4627">
        <v>179650.61</v>
      </c>
      <c r="G4627">
        <v>0</v>
      </c>
      <c r="H4627">
        <v>0</v>
      </c>
      <c r="I4627">
        <v>0</v>
      </c>
      <c r="J4627">
        <v>-872051.62</v>
      </c>
      <c r="K4627">
        <v>0</v>
      </c>
      <c r="L4627">
        <v>25285089.93</v>
      </c>
      <c r="M4627">
        <v>26157141.550000001</v>
      </c>
      <c r="N4627">
        <v>25285089.93</v>
      </c>
      <c r="O4627">
        <v>26157141.550000001</v>
      </c>
      <c r="P4627">
        <v>25285089.93</v>
      </c>
      <c r="Q4627">
        <v>26157141.550000001</v>
      </c>
      <c r="R4627" s="14">
        <f>_xlfn.XLOOKUP(Table2[[#This Row],[LoanID]],Table1[G-L ID],Table1[ManagerCode],-99)</f>
        <v>119</v>
      </c>
      <c r="T4627"/>
    </row>
    <row r="4628" spans="1:20" x14ac:dyDescent="0.25">
      <c r="A4628">
        <v>20160630</v>
      </c>
      <c r="B4628">
        <v>2016</v>
      </c>
      <c r="C4628">
        <v>6</v>
      </c>
      <c r="D4628">
        <v>1</v>
      </c>
      <c r="E4628">
        <v>10500</v>
      </c>
      <c r="F4628">
        <v>152293.75</v>
      </c>
      <c r="G4628">
        <v>0</v>
      </c>
      <c r="H4628">
        <v>0</v>
      </c>
      <c r="I4628">
        <v>0</v>
      </c>
      <c r="J4628">
        <v>-35000000</v>
      </c>
      <c r="K4628">
        <v>0</v>
      </c>
      <c r="L4628">
        <v>0</v>
      </c>
      <c r="M4628">
        <v>35000000</v>
      </c>
      <c r="N4628">
        <v>0</v>
      </c>
      <c r="O4628">
        <v>35000000</v>
      </c>
      <c r="P4628">
        <v>0</v>
      </c>
      <c r="Q4628">
        <v>35000000</v>
      </c>
      <c r="R4628" s="14">
        <f>_xlfn.XLOOKUP(Table2[[#This Row],[LoanID]],Table1[G-L ID],Table1[ManagerCode],-99)</f>
        <v>119</v>
      </c>
      <c r="T4628"/>
    </row>
    <row r="4629" spans="1:20" x14ac:dyDescent="0.25">
      <c r="A4629">
        <v>20160630</v>
      </c>
      <c r="B4629">
        <v>2016</v>
      </c>
      <c r="C4629">
        <v>6</v>
      </c>
      <c r="D4629">
        <v>1</v>
      </c>
      <c r="E4629">
        <v>10570</v>
      </c>
      <c r="F4629">
        <v>832614.61</v>
      </c>
      <c r="G4629">
        <v>0</v>
      </c>
      <c r="H4629">
        <v>0</v>
      </c>
      <c r="I4629">
        <v>0</v>
      </c>
      <c r="J4629">
        <v>0</v>
      </c>
      <c r="K4629">
        <v>156356260.69999999</v>
      </c>
      <c r="L4629">
        <v>156356260.69999999</v>
      </c>
      <c r="M4629">
        <v>0</v>
      </c>
      <c r="N4629">
        <v>156356260.69999999</v>
      </c>
      <c r="O4629">
        <v>0</v>
      </c>
      <c r="P4629">
        <v>156356260.69999999</v>
      </c>
      <c r="Q4629">
        <v>0</v>
      </c>
      <c r="R4629" s="14">
        <f>_xlfn.XLOOKUP(Table2[[#This Row],[LoanID]],Table1[G-L ID],Table1[ManagerCode],-99)</f>
        <v>103</v>
      </c>
      <c r="T4629"/>
    </row>
    <row r="4630" spans="1:20" x14ac:dyDescent="0.25">
      <c r="A4630">
        <v>20160630</v>
      </c>
      <c r="B4630">
        <v>2016</v>
      </c>
      <c r="C4630">
        <v>6</v>
      </c>
      <c r="D4630">
        <v>1</v>
      </c>
      <c r="E4630">
        <v>10591</v>
      </c>
      <c r="F4630">
        <v>217378.66</v>
      </c>
      <c r="G4630">
        <v>0</v>
      </c>
      <c r="H4630">
        <v>0</v>
      </c>
      <c r="I4630">
        <v>0</v>
      </c>
      <c r="J4630">
        <v>0</v>
      </c>
      <c r="K4630">
        <v>0</v>
      </c>
      <c r="L4630">
        <v>23997944.66</v>
      </c>
      <c r="M4630">
        <v>23997944.66</v>
      </c>
      <c r="N4630">
        <v>23997944.66</v>
      </c>
      <c r="O4630">
        <v>23997944.66</v>
      </c>
      <c r="P4630">
        <v>23997944.66</v>
      </c>
      <c r="Q4630">
        <v>23997944.66</v>
      </c>
      <c r="R4630" s="14">
        <f>_xlfn.XLOOKUP(Table2[[#This Row],[LoanID]],Table1[G-L ID],Table1[ManagerCode],-99)</f>
        <v>220</v>
      </c>
      <c r="T4630"/>
    </row>
    <row r="4631" spans="1:20" x14ac:dyDescent="0.25">
      <c r="A4631">
        <v>20160630</v>
      </c>
      <c r="B4631">
        <v>2016</v>
      </c>
      <c r="C4631">
        <v>6</v>
      </c>
      <c r="D4631">
        <v>1</v>
      </c>
      <c r="E4631">
        <v>10592</v>
      </c>
      <c r="F4631">
        <v>359635.95</v>
      </c>
      <c r="G4631">
        <v>0</v>
      </c>
      <c r="H4631">
        <v>0</v>
      </c>
      <c r="I4631">
        <v>0</v>
      </c>
      <c r="J4631">
        <v>0</v>
      </c>
      <c r="K4631">
        <v>0</v>
      </c>
      <c r="L4631">
        <v>35425537.340000004</v>
      </c>
      <c r="M4631">
        <v>35425537.340000004</v>
      </c>
      <c r="N4631">
        <v>35425537.340000004</v>
      </c>
      <c r="O4631">
        <v>35425537.340000004</v>
      </c>
      <c r="P4631">
        <v>35425537.340000004</v>
      </c>
      <c r="Q4631">
        <v>35425537.340000004</v>
      </c>
      <c r="R4631" s="14">
        <f>_xlfn.XLOOKUP(Table2[[#This Row],[LoanID]],Table1[G-L ID],Table1[ManagerCode],-99)</f>
        <v>220</v>
      </c>
      <c r="T4631"/>
    </row>
    <row r="4632" spans="1:20" x14ac:dyDescent="0.25">
      <c r="A4632">
        <v>20160630</v>
      </c>
      <c r="B4632">
        <v>2016</v>
      </c>
      <c r="C4632">
        <v>6</v>
      </c>
      <c r="D4632">
        <v>1</v>
      </c>
      <c r="E4632">
        <v>10620</v>
      </c>
      <c r="F4632">
        <v>108046.62</v>
      </c>
      <c r="G4632">
        <v>0</v>
      </c>
      <c r="H4632">
        <v>0</v>
      </c>
      <c r="I4632">
        <v>0</v>
      </c>
      <c r="J4632">
        <v>0</v>
      </c>
      <c r="K4632">
        <v>0</v>
      </c>
      <c r="L4632">
        <v>11315131.58</v>
      </c>
      <c r="M4632">
        <v>11315131.58</v>
      </c>
      <c r="N4632">
        <v>11315131.58</v>
      </c>
      <c r="O4632">
        <v>11315131.58</v>
      </c>
      <c r="P4632">
        <v>11315131.58</v>
      </c>
      <c r="Q4632">
        <v>11315131.58</v>
      </c>
      <c r="R4632" s="14">
        <f>_xlfn.XLOOKUP(Table2[[#This Row],[LoanID]],Table1[G-L ID],Table1[ManagerCode],-99)</f>
        <v>119</v>
      </c>
      <c r="T4632"/>
    </row>
    <row r="4633" spans="1:20" x14ac:dyDescent="0.25">
      <c r="A4633">
        <v>20160630</v>
      </c>
      <c r="B4633">
        <v>2016</v>
      </c>
      <c r="C4633">
        <v>6</v>
      </c>
      <c r="D4633">
        <v>1</v>
      </c>
      <c r="E4633">
        <v>10640</v>
      </c>
      <c r="F4633">
        <v>71248.639999999999</v>
      </c>
      <c r="G4633">
        <v>0</v>
      </c>
      <c r="H4633">
        <v>0</v>
      </c>
      <c r="I4633">
        <v>0</v>
      </c>
      <c r="J4633">
        <v>0</v>
      </c>
      <c r="K4633">
        <v>0</v>
      </c>
      <c r="L4633">
        <v>8084494</v>
      </c>
      <c r="M4633">
        <v>8084494</v>
      </c>
      <c r="N4633">
        <v>8084494</v>
      </c>
      <c r="O4633">
        <v>8084494</v>
      </c>
      <c r="P4633">
        <v>8084494</v>
      </c>
      <c r="Q4633">
        <v>8084494</v>
      </c>
      <c r="R4633" s="14">
        <f>_xlfn.XLOOKUP(Table2[[#This Row],[LoanID]],Table1[G-L ID],Table1[ManagerCode],-99)</f>
        <v>220</v>
      </c>
      <c r="T4633"/>
    </row>
    <row r="4634" spans="1:20" x14ac:dyDescent="0.25">
      <c r="A4634">
        <v>20160630</v>
      </c>
      <c r="B4634">
        <v>2016</v>
      </c>
      <c r="C4634">
        <v>6</v>
      </c>
      <c r="D4634">
        <v>1</v>
      </c>
      <c r="E4634">
        <v>10670</v>
      </c>
      <c r="F4634">
        <v>100700</v>
      </c>
      <c r="G4634">
        <v>0</v>
      </c>
      <c r="H4634">
        <v>345000</v>
      </c>
      <c r="I4634">
        <v>0</v>
      </c>
      <c r="J4634">
        <v>-30000000</v>
      </c>
      <c r="K4634">
        <v>0</v>
      </c>
      <c r="L4634">
        <v>0</v>
      </c>
      <c r="M4634">
        <v>30000000</v>
      </c>
      <c r="N4634">
        <v>0</v>
      </c>
      <c r="O4634">
        <v>30000000</v>
      </c>
      <c r="P4634">
        <v>0</v>
      </c>
      <c r="Q4634">
        <v>30000000</v>
      </c>
      <c r="R4634" s="14">
        <f>_xlfn.XLOOKUP(Table2[[#This Row],[LoanID]],Table1[G-L ID],Table1[ManagerCode],-99)</f>
        <v>119</v>
      </c>
      <c r="T4634"/>
    </row>
    <row r="4635" spans="1:20" x14ac:dyDescent="0.25">
      <c r="A4635">
        <v>20160630</v>
      </c>
      <c r="B4635">
        <v>2016</v>
      </c>
      <c r="C4635">
        <v>6</v>
      </c>
      <c r="D4635">
        <v>1</v>
      </c>
      <c r="E4635">
        <v>10680</v>
      </c>
      <c r="F4635">
        <v>96087.24</v>
      </c>
      <c r="G4635">
        <v>0</v>
      </c>
      <c r="H4635">
        <v>0</v>
      </c>
      <c r="I4635">
        <v>0</v>
      </c>
      <c r="J4635">
        <v>-50652.639999999999</v>
      </c>
      <c r="K4635">
        <v>0</v>
      </c>
      <c r="L4635">
        <v>11057844.84</v>
      </c>
      <c r="M4635">
        <v>11108497.48</v>
      </c>
      <c r="N4635">
        <v>11057844.84</v>
      </c>
      <c r="O4635">
        <v>11108497.48</v>
      </c>
      <c r="P4635">
        <v>11057844.84</v>
      </c>
      <c r="Q4635">
        <v>11108497.48</v>
      </c>
      <c r="R4635" s="14">
        <f>_xlfn.XLOOKUP(Table2[[#This Row],[LoanID]],Table1[G-L ID],Table1[ManagerCode],-99)</f>
        <v>119</v>
      </c>
      <c r="T4635"/>
    </row>
    <row r="4636" spans="1:20" x14ac:dyDescent="0.25">
      <c r="A4636">
        <v>20160630</v>
      </c>
      <c r="B4636">
        <v>2016</v>
      </c>
      <c r="C4636">
        <v>6</v>
      </c>
      <c r="D4636">
        <v>1</v>
      </c>
      <c r="E4636">
        <v>10730</v>
      </c>
      <c r="F4636">
        <v>99283.71</v>
      </c>
      <c r="G4636">
        <v>0</v>
      </c>
      <c r="H4636">
        <v>0</v>
      </c>
      <c r="I4636">
        <v>0</v>
      </c>
      <c r="J4636">
        <v>0</v>
      </c>
      <c r="K4636">
        <v>0</v>
      </c>
      <c r="L4636">
        <v>9500000</v>
      </c>
      <c r="M4636">
        <v>9500000</v>
      </c>
      <c r="N4636">
        <v>9500000</v>
      </c>
      <c r="O4636">
        <v>9500000</v>
      </c>
      <c r="P4636">
        <v>9500000</v>
      </c>
      <c r="Q4636">
        <v>9500000</v>
      </c>
      <c r="R4636" s="14">
        <f>_xlfn.XLOOKUP(Table2[[#This Row],[LoanID]],Table1[G-L ID],Table1[ManagerCode],-99)</f>
        <v>119</v>
      </c>
      <c r="T4636"/>
    </row>
    <row r="4637" spans="1:20" x14ac:dyDescent="0.25">
      <c r="A4637">
        <v>20160630</v>
      </c>
      <c r="B4637">
        <v>2016</v>
      </c>
      <c r="C4637">
        <v>6</v>
      </c>
      <c r="D4637">
        <v>1</v>
      </c>
      <c r="E4637">
        <v>10740</v>
      </c>
      <c r="F4637">
        <v>5002849.3099999996</v>
      </c>
      <c r="G4637">
        <v>0</v>
      </c>
      <c r="H4637">
        <v>0</v>
      </c>
      <c r="I4637">
        <v>0</v>
      </c>
      <c r="J4637">
        <v>0</v>
      </c>
      <c r="K4637">
        <v>0</v>
      </c>
      <c r="L4637">
        <v>449269300.30000001</v>
      </c>
      <c r="M4637">
        <v>449657228</v>
      </c>
      <c r="N4637">
        <v>449269300.30000001</v>
      </c>
      <c r="O4637">
        <v>449657228</v>
      </c>
      <c r="P4637">
        <v>461801475</v>
      </c>
      <c r="Q4637">
        <v>461801475</v>
      </c>
      <c r="R4637" s="14">
        <f>_xlfn.XLOOKUP(Table2[[#This Row],[LoanID]],Table1[G-L ID],Table1[ManagerCode],-99)</f>
        <v>103</v>
      </c>
      <c r="T4637"/>
    </row>
    <row r="4638" spans="1:20" x14ac:dyDescent="0.25">
      <c r="A4638">
        <v>20160630</v>
      </c>
      <c r="B4638">
        <v>2016</v>
      </c>
      <c r="C4638">
        <v>6</v>
      </c>
      <c r="D4638">
        <v>1</v>
      </c>
      <c r="E4638">
        <v>10750</v>
      </c>
      <c r="F4638">
        <v>80598.48</v>
      </c>
      <c r="G4638">
        <v>0</v>
      </c>
      <c r="H4638">
        <v>0</v>
      </c>
      <c r="I4638">
        <v>0</v>
      </c>
      <c r="J4638">
        <v>0</v>
      </c>
      <c r="K4638">
        <v>0</v>
      </c>
      <c r="L4638">
        <v>10678000.82</v>
      </c>
      <c r="M4638">
        <v>10678000.82</v>
      </c>
      <c r="N4638">
        <v>10678000.82</v>
      </c>
      <c r="O4638">
        <v>10678000.82</v>
      </c>
      <c r="P4638">
        <v>10678000.82</v>
      </c>
      <c r="Q4638">
        <v>10678000.82</v>
      </c>
      <c r="R4638" s="14">
        <f>_xlfn.XLOOKUP(Table2[[#This Row],[LoanID]],Table1[G-L ID],Table1[ManagerCode],-99)</f>
        <v>119</v>
      </c>
      <c r="T4638"/>
    </row>
    <row r="4639" spans="1:20" x14ac:dyDescent="0.25">
      <c r="A4639">
        <v>20160630</v>
      </c>
      <c r="B4639">
        <v>2016</v>
      </c>
      <c r="C4639">
        <v>6</v>
      </c>
      <c r="D4639">
        <v>1</v>
      </c>
      <c r="E4639">
        <v>10780</v>
      </c>
      <c r="F4639">
        <v>321586.25</v>
      </c>
      <c r="G4639">
        <v>0</v>
      </c>
      <c r="H4639">
        <v>0</v>
      </c>
      <c r="I4639">
        <v>0</v>
      </c>
      <c r="J4639">
        <v>0</v>
      </c>
      <c r="K4639">
        <v>0</v>
      </c>
      <c r="L4639">
        <v>43000000</v>
      </c>
      <c r="M4639">
        <v>43000000</v>
      </c>
      <c r="N4639">
        <v>43000000</v>
      </c>
      <c r="O4639">
        <v>43000000</v>
      </c>
      <c r="P4639">
        <v>43000000</v>
      </c>
      <c r="Q4639">
        <v>43000000</v>
      </c>
      <c r="R4639" s="14">
        <f>_xlfn.XLOOKUP(Table2[[#This Row],[LoanID]],Table1[G-L ID],Table1[ManagerCode],-99)</f>
        <v>220</v>
      </c>
      <c r="T4639"/>
    </row>
    <row r="4640" spans="1:20" x14ac:dyDescent="0.25">
      <c r="A4640">
        <v>20160630</v>
      </c>
      <c r="B4640">
        <v>2016</v>
      </c>
      <c r="C4640">
        <v>6</v>
      </c>
      <c r="D4640">
        <v>1</v>
      </c>
      <c r="E4640">
        <v>10800</v>
      </c>
      <c r="F4640">
        <v>410646.67</v>
      </c>
      <c r="G4640">
        <v>0</v>
      </c>
      <c r="H4640">
        <v>0</v>
      </c>
      <c r="I4640">
        <v>0</v>
      </c>
      <c r="J4640">
        <v>0</v>
      </c>
      <c r="K4640">
        <v>0</v>
      </c>
      <c r="L4640">
        <v>48000000</v>
      </c>
      <c r="M4640">
        <v>48000000</v>
      </c>
      <c r="N4640">
        <v>48000000</v>
      </c>
      <c r="O4640">
        <v>48000000</v>
      </c>
      <c r="P4640">
        <v>48000000</v>
      </c>
      <c r="Q4640">
        <v>48000000</v>
      </c>
      <c r="R4640" s="14">
        <f>_xlfn.XLOOKUP(Table2[[#This Row],[LoanID]],Table1[G-L ID],Table1[ManagerCode],-99)</f>
        <v>220</v>
      </c>
      <c r="T4640"/>
    </row>
    <row r="4641" spans="1:20" x14ac:dyDescent="0.25">
      <c r="A4641">
        <v>20160630</v>
      </c>
      <c r="B4641">
        <v>2016</v>
      </c>
      <c r="C4641">
        <v>6</v>
      </c>
      <c r="D4641">
        <v>1</v>
      </c>
      <c r="E4641">
        <v>10810</v>
      </c>
      <c r="F4641">
        <v>83772.100000000006</v>
      </c>
      <c r="G4641">
        <v>0</v>
      </c>
      <c r="H4641">
        <v>0</v>
      </c>
      <c r="I4641">
        <v>0</v>
      </c>
      <c r="J4641">
        <v>0</v>
      </c>
      <c r="K4641">
        <v>0</v>
      </c>
      <c r="L4641">
        <v>9905000</v>
      </c>
      <c r="M4641">
        <v>9905000</v>
      </c>
      <c r="N4641">
        <v>9905000</v>
      </c>
      <c r="O4641">
        <v>9905000</v>
      </c>
      <c r="P4641">
        <v>9905000</v>
      </c>
      <c r="Q4641">
        <v>9905000</v>
      </c>
      <c r="R4641" s="14">
        <f>_xlfn.XLOOKUP(Table2[[#This Row],[LoanID]],Table1[G-L ID],Table1[ManagerCode],-99)</f>
        <v>119</v>
      </c>
      <c r="T4641"/>
    </row>
    <row r="4642" spans="1:20" x14ac:dyDescent="0.25">
      <c r="A4642">
        <v>20160630</v>
      </c>
      <c r="B4642">
        <v>2016</v>
      </c>
      <c r="C4642">
        <v>6</v>
      </c>
      <c r="D4642">
        <v>1</v>
      </c>
      <c r="E4642">
        <v>10820</v>
      </c>
      <c r="F4642">
        <v>197375.03</v>
      </c>
      <c r="G4642">
        <v>0</v>
      </c>
      <c r="H4642">
        <v>0</v>
      </c>
      <c r="I4642">
        <v>0</v>
      </c>
      <c r="J4642">
        <v>0</v>
      </c>
      <c r="K4642">
        <v>0</v>
      </c>
      <c r="L4642">
        <v>24344483.780000001</v>
      </c>
      <c r="M4642">
        <v>24344483.780000001</v>
      </c>
      <c r="N4642">
        <v>24344483.780000001</v>
      </c>
      <c r="O4642">
        <v>24344483.780000001</v>
      </c>
      <c r="P4642">
        <v>24127337.739999998</v>
      </c>
      <c r="Q4642">
        <v>24127337.739999998</v>
      </c>
      <c r="R4642" s="14">
        <f>_xlfn.XLOOKUP(Table2[[#This Row],[LoanID]],Table1[G-L ID],Table1[ManagerCode],-99)</f>
        <v>220</v>
      </c>
      <c r="T4642"/>
    </row>
    <row r="4643" spans="1:20" x14ac:dyDescent="0.25">
      <c r="A4643">
        <v>20160630</v>
      </c>
      <c r="B4643">
        <v>2016</v>
      </c>
      <c r="C4643">
        <v>6</v>
      </c>
      <c r="D4643">
        <v>1</v>
      </c>
      <c r="E4643">
        <v>10830</v>
      </c>
      <c r="F4643">
        <v>63857.77</v>
      </c>
      <c r="G4643">
        <v>0</v>
      </c>
      <c r="H4643">
        <v>0</v>
      </c>
      <c r="I4643">
        <v>0</v>
      </c>
      <c r="J4643">
        <v>0</v>
      </c>
      <c r="K4643">
        <v>0</v>
      </c>
      <c r="L4643">
        <v>7876297.5300000003</v>
      </c>
      <c r="M4643">
        <v>7876297.5300000003</v>
      </c>
      <c r="N4643">
        <v>7876297.5300000003</v>
      </c>
      <c r="O4643">
        <v>7876297.5300000003</v>
      </c>
      <c r="P4643">
        <v>7806043.1399999997</v>
      </c>
      <c r="Q4643">
        <v>7806043.1399999997</v>
      </c>
      <c r="R4643" s="14">
        <f>_xlfn.XLOOKUP(Table2[[#This Row],[LoanID]],Table1[G-L ID],Table1[ManagerCode],-99)</f>
        <v>220</v>
      </c>
      <c r="T4643"/>
    </row>
    <row r="4644" spans="1:20" x14ac:dyDescent="0.25">
      <c r="A4644">
        <v>20160630</v>
      </c>
      <c r="B4644">
        <v>2016</v>
      </c>
      <c r="C4644">
        <v>6</v>
      </c>
      <c r="D4644">
        <v>1</v>
      </c>
      <c r="E4644">
        <v>10840</v>
      </c>
      <c r="F4644">
        <v>103968.23</v>
      </c>
      <c r="G4644">
        <v>0</v>
      </c>
      <c r="H4644">
        <v>0</v>
      </c>
      <c r="I4644">
        <v>0</v>
      </c>
      <c r="J4644">
        <v>0</v>
      </c>
      <c r="K4644">
        <v>0</v>
      </c>
      <c r="L4644">
        <v>12823571.699999999</v>
      </c>
      <c r="M4644">
        <v>12823571.699999999</v>
      </c>
      <c r="N4644">
        <v>12823571.699999999</v>
      </c>
      <c r="O4644">
        <v>12823571.699999999</v>
      </c>
      <c r="P4644">
        <v>12709189</v>
      </c>
      <c r="Q4644">
        <v>12709189</v>
      </c>
      <c r="R4644" s="14">
        <f>_xlfn.XLOOKUP(Table2[[#This Row],[LoanID]],Table1[G-L ID],Table1[ManagerCode],-99)</f>
        <v>220</v>
      </c>
      <c r="T4644"/>
    </row>
    <row r="4645" spans="1:20" x14ac:dyDescent="0.25">
      <c r="A4645">
        <v>20160630</v>
      </c>
      <c r="B4645">
        <v>2016</v>
      </c>
      <c r="C4645">
        <v>6</v>
      </c>
      <c r="D4645">
        <v>1</v>
      </c>
      <c r="E4645">
        <v>10850</v>
      </c>
      <c r="F4645">
        <v>110534.78</v>
      </c>
      <c r="G4645">
        <v>0</v>
      </c>
      <c r="H4645">
        <v>0</v>
      </c>
      <c r="I4645">
        <v>0</v>
      </c>
      <c r="J4645">
        <v>0</v>
      </c>
      <c r="K4645">
        <v>0</v>
      </c>
      <c r="L4645">
        <v>13633499.029999999</v>
      </c>
      <c r="M4645">
        <v>13633499.029999999</v>
      </c>
      <c r="N4645">
        <v>13633499.029999999</v>
      </c>
      <c r="O4645">
        <v>13633499.029999999</v>
      </c>
      <c r="P4645">
        <v>13511892</v>
      </c>
      <c r="Q4645">
        <v>13511892</v>
      </c>
      <c r="R4645" s="14">
        <f>_xlfn.XLOOKUP(Table2[[#This Row],[LoanID]],Table1[G-L ID],Table1[ManagerCode],-99)</f>
        <v>220</v>
      </c>
      <c r="T4645"/>
    </row>
    <row r="4646" spans="1:20" x14ac:dyDescent="0.25">
      <c r="A4646">
        <v>20160630</v>
      </c>
      <c r="B4646">
        <v>2016</v>
      </c>
      <c r="C4646">
        <v>6</v>
      </c>
      <c r="D4646">
        <v>1</v>
      </c>
      <c r="E4646">
        <v>10860</v>
      </c>
      <c r="F4646">
        <v>122422.02</v>
      </c>
      <c r="G4646">
        <v>0</v>
      </c>
      <c r="H4646">
        <v>0</v>
      </c>
      <c r="I4646">
        <v>0</v>
      </c>
      <c r="J4646">
        <v>0</v>
      </c>
      <c r="K4646">
        <v>0</v>
      </c>
      <c r="L4646">
        <v>19475000</v>
      </c>
      <c r="M4646">
        <v>19475000</v>
      </c>
      <c r="N4646">
        <v>19475000</v>
      </c>
      <c r="O4646">
        <v>19475000</v>
      </c>
      <c r="P4646">
        <v>20500000</v>
      </c>
      <c r="Q4646">
        <v>20500000</v>
      </c>
      <c r="R4646" s="14">
        <f>_xlfn.XLOOKUP(Table2[[#This Row],[LoanID]],Table1[G-L ID],Table1[ManagerCode],-99)</f>
        <v>103</v>
      </c>
      <c r="T4646"/>
    </row>
    <row r="4647" spans="1:20" x14ac:dyDescent="0.25">
      <c r="A4647">
        <v>20160630</v>
      </c>
      <c r="B4647">
        <v>2016</v>
      </c>
      <c r="C4647">
        <v>6</v>
      </c>
      <c r="D4647">
        <v>1</v>
      </c>
      <c r="E4647">
        <v>10890</v>
      </c>
      <c r="F4647">
        <v>101496.77</v>
      </c>
      <c r="G4647">
        <v>85355.97</v>
      </c>
      <c r="H4647">
        <v>0</v>
      </c>
      <c r="I4647">
        <v>0</v>
      </c>
      <c r="J4647">
        <v>-101496.77</v>
      </c>
      <c r="K4647">
        <v>0</v>
      </c>
      <c r="L4647">
        <v>20383935.219999999</v>
      </c>
      <c r="M4647">
        <v>20570787.960000001</v>
      </c>
      <c r="N4647">
        <v>20383935.219999999</v>
      </c>
      <c r="O4647">
        <v>20570787.960000001</v>
      </c>
      <c r="P4647">
        <v>20383935.219999999</v>
      </c>
      <c r="Q4647">
        <v>20570787.960000001</v>
      </c>
      <c r="R4647" s="14">
        <f>_xlfn.XLOOKUP(Table2[[#This Row],[LoanID]],Table1[G-L ID],Table1[ManagerCode],-99)</f>
        <v>183</v>
      </c>
      <c r="T4647"/>
    </row>
    <row r="4648" spans="1:20" x14ac:dyDescent="0.25">
      <c r="A4648">
        <v>20160630</v>
      </c>
      <c r="B4648">
        <v>2016</v>
      </c>
      <c r="C4648">
        <v>6</v>
      </c>
      <c r="D4648">
        <v>1</v>
      </c>
      <c r="E4648">
        <v>10910</v>
      </c>
      <c r="F4648">
        <v>207185.49</v>
      </c>
      <c r="G4648">
        <v>0</v>
      </c>
      <c r="H4648">
        <v>0</v>
      </c>
      <c r="I4648">
        <v>0</v>
      </c>
      <c r="J4648">
        <v>0</v>
      </c>
      <c r="K4648">
        <v>0</v>
      </c>
      <c r="L4648">
        <v>22500000</v>
      </c>
      <c r="M4648">
        <v>22500000</v>
      </c>
      <c r="N4648">
        <v>22500000</v>
      </c>
      <c r="O4648">
        <v>22500000</v>
      </c>
      <c r="P4648">
        <v>22500000</v>
      </c>
      <c r="Q4648">
        <v>22500000</v>
      </c>
      <c r="R4648" s="14">
        <f>_xlfn.XLOOKUP(Table2[[#This Row],[LoanID]],Table1[G-L ID],Table1[ManagerCode],-99)</f>
        <v>119</v>
      </c>
      <c r="T4648"/>
    </row>
    <row r="4649" spans="1:20" x14ac:dyDescent="0.25">
      <c r="A4649">
        <v>20160630</v>
      </c>
      <c r="B4649">
        <v>2016</v>
      </c>
      <c r="C4649">
        <v>6</v>
      </c>
      <c r="D4649">
        <v>1</v>
      </c>
      <c r="E4649">
        <v>10930</v>
      </c>
      <c r="F4649">
        <v>0</v>
      </c>
      <c r="G4649">
        <v>165846.16</v>
      </c>
      <c r="H4649">
        <v>0</v>
      </c>
      <c r="I4649">
        <v>0</v>
      </c>
      <c r="J4649">
        <v>0</v>
      </c>
      <c r="K4649">
        <v>0</v>
      </c>
      <c r="L4649">
        <v>15521499.74</v>
      </c>
      <c r="M4649">
        <v>15687345.9</v>
      </c>
      <c r="N4649">
        <v>15521499.74</v>
      </c>
      <c r="O4649">
        <v>15687345.9</v>
      </c>
      <c r="P4649">
        <v>15521499.74</v>
      </c>
      <c r="Q4649">
        <v>15687345.9</v>
      </c>
      <c r="R4649" s="14">
        <f>_xlfn.XLOOKUP(Table2[[#This Row],[LoanID]],Table1[G-L ID],Table1[ManagerCode],-99)</f>
        <v>183</v>
      </c>
      <c r="T4649"/>
    </row>
    <row r="4650" spans="1:20" x14ac:dyDescent="0.25">
      <c r="A4650">
        <v>20160630</v>
      </c>
      <c r="B4650">
        <v>2016</v>
      </c>
      <c r="C4650">
        <v>6</v>
      </c>
      <c r="D4650">
        <v>1</v>
      </c>
      <c r="E4650">
        <v>10960</v>
      </c>
      <c r="F4650">
        <v>74116.42</v>
      </c>
      <c r="G4650">
        <v>0</v>
      </c>
      <c r="H4650">
        <v>0</v>
      </c>
      <c r="I4650">
        <v>0</v>
      </c>
      <c r="J4650">
        <v>0</v>
      </c>
      <c r="K4650">
        <v>0</v>
      </c>
      <c r="L4650">
        <v>7027740.5300000003</v>
      </c>
      <c r="M4650">
        <v>7027740.5300000003</v>
      </c>
      <c r="N4650">
        <v>7027740.5300000003</v>
      </c>
      <c r="O4650">
        <v>7027740.5300000003</v>
      </c>
      <c r="P4650">
        <v>7027740.5300000003</v>
      </c>
      <c r="Q4650">
        <v>7027740.5300000003</v>
      </c>
      <c r="R4650" s="14">
        <f>_xlfn.XLOOKUP(Table2[[#This Row],[LoanID]],Table1[G-L ID],Table1[ManagerCode],-99)</f>
        <v>119</v>
      </c>
      <c r="T4650"/>
    </row>
    <row r="4651" spans="1:20" x14ac:dyDescent="0.25">
      <c r="A4651">
        <v>20160630</v>
      </c>
      <c r="B4651">
        <v>2016</v>
      </c>
      <c r="C4651">
        <v>6</v>
      </c>
      <c r="D4651">
        <v>1</v>
      </c>
      <c r="E4651">
        <v>11010</v>
      </c>
      <c r="F4651">
        <v>215388.17</v>
      </c>
      <c r="G4651">
        <v>0</v>
      </c>
      <c r="H4651">
        <v>0</v>
      </c>
      <c r="I4651">
        <v>0</v>
      </c>
      <c r="J4651">
        <v>0</v>
      </c>
      <c r="K4651">
        <v>0</v>
      </c>
      <c r="L4651">
        <v>26500000</v>
      </c>
      <c r="M4651">
        <v>26500000</v>
      </c>
      <c r="N4651">
        <v>26500000</v>
      </c>
      <c r="O4651">
        <v>26500000</v>
      </c>
      <c r="P4651">
        <v>26500000</v>
      </c>
      <c r="Q4651">
        <v>26500000</v>
      </c>
      <c r="R4651" s="14">
        <f>_xlfn.XLOOKUP(Table2[[#This Row],[LoanID]],Table1[G-L ID],Table1[ManagerCode],-99)</f>
        <v>119</v>
      </c>
      <c r="T4651"/>
    </row>
    <row r="4652" spans="1:20" x14ac:dyDescent="0.25">
      <c r="A4652">
        <v>20160630</v>
      </c>
      <c r="B4652">
        <v>2016</v>
      </c>
      <c r="C4652">
        <v>6</v>
      </c>
      <c r="D4652">
        <v>1</v>
      </c>
      <c r="E4652">
        <v>11030</v>
      </c>
      <c r="F4652">
        <v>64131.8</v>
      </c>
      <c r="G4652">
        <v>0</v>
      </c>
      <c r="H4652">
        <v>0</v>
      </c>
      <c r="I4652">
        <v>0</v>
      </c>
      <c r="J4652">
        <v>0</v>
      </c>
      <c r="K4652">
        <v>9777.7800000000007</v>
      </c>
      <c r="L4652">
        <v>7902222.2000000002</v>
      </c>
      <c r="M4652">
        <v>7892444.4199999999</v>
      </c>
      <c r="N4652">
        <v>7902222.2000000002</v>
      </c>
      <c r="O4652">
        <v>7892444.4199999999</v>
      </c>
      <c r="P4652">
        <v>7902222.2000000002</v>
      </c>
      <c r="Q4652">
        <v>7892444.4199999999</v>
      </c>
      <c r="R4652" s="14">
        <f>_xlfn.XLOOKUP(Table2[[#This Row],[LoanID]],Table1[G-L ID],Table1[ManagerCode],-99)</f>
        <v>119</v>
      </c>
      <c r="T4652"/>
    </row>
    <row r="4653" spans="1:20" x14ac:dyDescent="0.25">
      <c r="A4653">
        <v>20160630</v>
      </c>
      <c r="B4653">
        <v>2016</v>
      </c>
      <c r="C4653">
        <v>6</v>
      </c>
      <c r="D4653">
        <v>1</v>
      </c>
      <c r="E4653">
        <v>11040</v>
      </c>
      <c r="F4653">
        <v>501847.88</v>
      </c>
      <c r="G4653">
        <v>0</v>
      </c>
      <c r="H4653">
        <v>0</v>
      </c>
      <c r="I4653">
        <v>0</v>
      </c>
      <c r="J4653">
        <v>0</v>
      </c>
      <c r="K4653">
        <v>0</v>
      </c>
      <c r="L4653">
        <v>46866994.979999997</v>
      </c>
      <c r="M4653">
        <v>46866994.979999997</v>
      </c>
      <c r="N4653">
        <v>46866994.979999997</v>
      </c>
      <c r="O4653">
        <v>46866994.979999997</v>
      </c>
      <c r="P4653">
        <v>46866994.979999997</v>
      </c>
      <c r="Q4653">
        <v>46866994.979999997</v>
      </c>
      <c r="R4653" s="14">
        <f>_xlfn.XLOOKUP(Table2[[#This Row],[LoanID]],Table1[G-L ID],Table1[ManagerCode],-99)</f>
        <v>220</v>
      </c>
      <c r="T4653"/>
    </row>
    <row r="4654" spans="1:20" x14ac:dyDescent="0.25">
      <c r="A4654">
        <v>20160630</v>
      </c>
      <c r="B4654">
        <v>2016</v>
      </c>
      <c r="C4654">
        <v>6</v>
      </c>
      <c r="D4654">
        <v>1</v>
      </c>
      <c r="E4654">
        <v>11080</v>
      </c>
      <c r="F4654">
        <v>239259.78</v>
      </c>
      <c r="G4654">
        <v>0</v>
      </c>
      <c r="H4654">
        <v>0</v>
      </c>
      <c r="I4654">
        <v>0</v>
      </c>
      <c r="J4654">
        <v>0</v>
      </c>
      <c r="K4654">
        <v>0</v>
      </c>
      <c r="L4654">
        <v>40000000</v>
      </c>
      <c r="M4654">
        <v>40000000</v>
      </c>
      <c r="N4654">
        <v>40000000</v>
      </c>
      <c r="O4654">
        <v>40000000</v>
      </c>
      <c r="P4654">
        <v>40000000</v>
      </c>
      <c r="Q4654">
        <v>40000000</v>
      </c>
      <c r="R4654" s="14">
        <f>_xlfn.XLOOKUP(Table2[[#This Row],[LoanID]],Table1[G-L ID],Table1[ManagerCode],-99)</f>
        <v>119</v>
      </c>
      <c r="T4654"/>
    </row>
    <row r="4655" spans="1:20" x14ac:dyDescent="0.25">
      <c r="A4655">
        <v>20160630</v>
      </c>
      <c r="B4655">
        <v>2016</v>
      </c>
      <c r="C4655">
        <v>6</v>
      </c>
      <c r="D4655">
        <v>1</v>
      </c>
      <c r="E4655">
        <v>11090</v>
      </c>
      <c r="F4655">
        <v>94142.33</v>
      </c>
      <c r="G4655">
        <v>0</v>
      </c>
      <c r="H4655">
        <v>0</v>
      </c>
      <c r="I4655">
        <v>0</v>
      </c>
      <c r="J4655">
        <v>0</v>
      </c>
      <c r="K4655">
        <v>0</v>
      </c>
      <c r="L4655">
        <v>11000000</v>
      </c>
      <c r="M4655">
        <v>11000000</v>
      </c>
      <c r="N4655">
        <v>11000000</v>
      </c>
      <c r="O4655">
        <v>11000000</v>
      </c>
      <c r="P4655">
        <v>11000000</v>
      </c>
      <c r="Q4655">
        <v>11000000</v>
      </c>
      <c r="R4655" s="14">
        <f>_xlfn.XLOOKUP(Table2[[#This Row],[LoanID]],Table1[G-L ID],Table1[ManagerCode],-99)</f>
        <v>119</v>
      </c>
      <c r="T4655"/>
    </row>
    <row r="4656" spans="1:20" x14ac:dyDescent="0.25">
      <c r="A4656">
        <v>20160630</v>
      </c>
      <c r="B4656">
        <v>2016</v>
      </c>
      <c r="C4656">
        <v>6</v>
      </c>
      <c r="D4656">
        <v>1</v>
      </c>
      <c r="E4656">
        <v>11100</v>
      </c>
      <c r="F4656">
        <v>204279.17</v>
      </c>
      <c r="G4656">
        <v>0</v>
      </c>
      <c r="H4656">
        <v>0</v>
      </c>
      <c r="I4656">
        <v>0</v>
      </c>
      <c r="J4656">
        <v>0</v>
      </c>
      <c r="K4656">
        <v>0</v>
      </c>
      <c r="L4656">
        <v>54450000</v>
      </c>
      <c r="M4656">
        <v>54450000</v>
      </c>
      <c r="N4656">
        <v>54450000</v>
      </c>
      <c r="O4656">
        <v>54450000</v>
      </c>
      <c r="P4656">
        <v>55000000</v>
      </c>
      <c r="Q4656">
        <v>55000000</v>
      </c>
      <c r="R4656" s="14">
        <f>_xlfn.XLOOKUP(Table2[[#This Row],[LoanID]],Table1[G-L ID],Table1[ManagerCode],-99)</f>
        <v>103</v>
      </c>
      <c r="T4656"/>
    </row>
    <row r="4657" spans="1:20" x14ac:dyDescent="0.25">
      <c r="A4657">
        <v>20160630</v>
      </c>
      <c r="B4657">
        <v>2016</v>
      </c>
      <c r="C4657">
        <v>6</v>
      </c>
      <c r="D4657">
        <v>1</v>
      </c>
      <c r="E4657">
        <v>11130</v>
      </c>
      <c r="F4657">
        <v>952407.5</v>
      </c>
      <c r="G4657">
        <v>0</v>
      </c>
      <c r="H4657">
        <v>0</v>
      </c>
      <c r="I4657">
        <v>0</v>
      </c>
      <c r="J4657">
        <v>0</v>
      </c>
      <c r="K4657">
        <v>0</v>
      </c>
      <c r="L4657">
        <v>150450000</v>
      </c>
      <c r="M4657">
        <v>150450000</v>
      </c>
      <c r="N4657">
        <v>150450000</v>
      </c>
      <c r="O4657">
        <v>150450000</v>
      </c>
      <c r="P4657">
        <v>177000000</v>
      </c>
      <c r="Q4657">
        <v>177000000</v>
      </c>
      <c r="R4657" s="14">
        <f>_xlfn.XLOOKUP(Table2[[#This Row],[LoanID]],Table1[G-L ID],Table1[ManagerCode],-99)</f>
        <v>103</v>
      </c>
      <c r="T4657"/>
    </row>
    <row r="4658" spans="1:20" x14ac:dyDescent="0.25">
      <c r="A4658">
        <v>20160630</v>
      </c>
      <c r="B4658">
        <v>2016</v>
      </c>
      <c r="C4658">
        <v>6</v>
      </c>
      <c r="D4658">
        <v>1</v>
      </c>
      <c r="E4658">
        <v>11160</v>
      </c>
      <c r="F4658">
        <v>168624.86</v>
      </c>
      <c r="G4658">
        <v>151890.74</v>
      </c>
      <c r="H4658">
        <v>0</v>
      </c>
      <c r="I4658">
        <v>0</v>
      </c>
      <c r="J4658">
        <v>-5112580.6100000003</v>
      </c>
      <c r="K4658">
        <v>0</v>
      </c>
      <c r="L4658">
        <v>37587395.579999998</v>
      </c>
      <c r="M4658">
        <v>42851866.93</v>
      </c>
      <c r="N4658">
        <v>37587395.579999998</v>
      </c>
      <c r="O4658">
        <v>42851866.93</v>
      </c>
      <c r="P4658">
        <v>37587395.579999998</v>
      </c>
      <c r="Q4658">
        <v>42851866.93</v>
      </c>
      <c r="R4658" s="14">
        <f>_xlfn.XLOOKUP(Table2[[#This Row],[LoanID]],Table1[G-L ID],Table1[ManagerCode],-99)</f>
        <v>183</v>
      </c>
      <c r="T4658"/>
    </row>
    <row r="4659" spans="1:20" x14ac:dyDescent="0.25">
      <c r="A4659">
        <v>20160630</v>
      </c>
      <c r="B4659">
        <v>2016</v>
      </c>
      <c r="C4659">
        <v>6</v>
      </c>
      <c r="D4659">
        <v>1</v>
      </c>
      <c r="E4659">
        <v>11170</v>
      </c>
      <c r="F4659">
        <v>744279.86</v>
      </c>
      <c r="G4659">
        <v>0</v>
      </c>
      <c r="H4659">
        <v>0</v>
      </c>
      <c r="I4659">
        <v>0</v>
      </c>
      <c r="J4659">
        <v>0</v>
      </c>
      <c r="K4659">
        <v>175000000</v>
      </c>
      <c r="L4659">
        <v>173249826.80000001</v>
      </c>
      <c r="M4659">
        <v>0</v>
      </c>
      <c r="N4659">
        <v>173249826.80000001</v>
      </c>
      <c r="O4659">
        <v>0</v>
      </c>
      <c r="P4659">
        <v>175000000</v>
      </c>
      <c r="Q4659">
        <v>0</v>
      </c>
      <c r="R4659" s="14">
        <f>_xlfn.XLOOKUP(Table2[[#This Row],[LoanID]],Table1[G-L ID],Table1[ManagerCode],-99)</f>
        <v>103</v>
      </c>
      <c r="T4659"/>
    </row>
    <row r="4660" spans="1:20" x14ac:dyDescent="0.25">
      <c r="A4660">
        <v>20160630</v>
      </c>
      <c r="B4660">
        <v>2016</v>
      </c>
      <c r="C4660">
        <v>6</v>
      </c>
      <c r="D4660">
        <v>1</v>
      </c>
      <c r="E4660">
        <v>11250</v>
      </c>
      <c r="F4660">
        <v>228165.31</v>
      </c>
      <c r="G4660">
        <v>0</v>
      </c>
      <c r="H4660">
        <v>0</v>
      </c>
      <c r="I4660">
        <v>0</v>
      </c>
      <c r="J4660">
        <v>0</v>
      </c>
      <c r="K4660">
        <v>0</v>
      </c>
      <c r="L4660">
        <v>19182550.510000002</v>
      </c>
      <c r="M4660">
        <v>18253225.030000001</v>
      </c>
      <c r="N4660">
        <v>19182550.510000002</v>
      </c>
      <c r="O4660">
        <v>18253225.030000001</v>
      </c>
      <c r="P4660">
        <v>18253225.030000001</v>
      </c>
      <c r="Q4660">
        <v>18253225.030000001</v>
      </c>
      <c r="R4660" s="14">
        <f>_xlfn.XLOOKUP(Table2[[#This Row],[LoanID]],Table1[G-L ID],Table1[ManagerCode],-99)</f>
        <v>183</v>
      </c>
      <c r="T4660"/>
    </row>
    <row r="4661" spans="1:20" x14ac:dyDescent="0.25">
      <c r="A4661">
        <v>20160630</v>
      </c>
      <c r="B4661">
        <v>2016</v>
      </c>
      <c r="C4661">
        <v>6</v>
      </c>
      <c r="D4661">
        <v>1</v>
      </c>
      <c r="E4661">
        <v>11330</v>
      </c>
      <c r="F4661">
        <v>71030.58</v>
      </c>
      <c r="G4661">
        <v>0</v>
      </c>
      <c r="H4661">
        <v>0</v>
      </c>
      <c r="I4661">
        <v>0</v>
      </c>
      <c r="J4661">
        <v>0</v>
      </c>
      <c r="K4661">
        <v>0</v>
      </c>
      <c r="L4661">
        <v>7468012.9000000004</v>
      </c>
      <c r="M4661">
        <v>7468012.9000000004</v>
      </c>
      <c r="N4661">
        <v>7468012.9000000004</v>
      </c>
      <c r="O4661">
        <v>7468012.9000000004</v>
      </c>
      <c r="P4661">
        <v>7468012.9000000004</v>
      </c>
      <c r="Q4661">
        <v>7468012.9000000004</v>
      </c>
      <c r="R4661" s="14">
        <f>_xlfn.XLOOKUP(Table2[[#This Row],[LoanID]],Table1[G-L ID],Table1[ManagerCode],-99)</f>
        <v>119</v>
      </c>
      <c r="T4661"/>
    </row>
    <row r="4662" spans="1:20" x14ac:dyDescent="0.25">
      <c r="A4662">
        <v>20160630</v>
      </c>
      <c r="B4662">
        <v>2016</v>
      </c>
      <c r="C4662">
        <v>6</v>
      </c>
      <c r="D4662">
        <v>1</v>
      </c>
      <c r="E4662">
        <v>11340</v>
      </c>
      <c r="F4662">
        <v>299427.68</v>
      </c>
      <c r="G4662">
        <v>0</v>
      </c>
      <c r="H4662">
        <v>0</v>
      </c>
      <c r="I4662">
        <v>0</v>
      </c>
      <c r="J4662">
        <v>0</v>
      </c>
      <c r="K4662">
        <v>62168.77</v>
      </c>
      <c r="L4662">
        <v>49177891.390000001</v>
      </c>
      <c r="M4662">
        <v>49116344.32</v>
      </c>
      <c r="N4662">
        <v>49177891.390000001</v>
      </c>
      <c r="O4662">
        <v>49116344.32</v>
      </c>
      <c r="P4662">
        <v>49674637.789999999</v>
      </c>
      <c r="Q4662">
        <v>49612469.020000003</v>
      </c>
      <c r="R4662" s="14">
        <f>_xlfn.XLOOKUP(Table2[[#This Row],[LoanID]],Table1[G-L ID],Table1[ManagerCode],-99)</f>
        <v>103</v>
      </c>
      <c r="T4662"/>
    </row>
    <row r="4663" spans="1:20" x14ac:dyDescent="0.25">
      <c r="A4663">
        <v>20160630</v>
      </c>
      <c r="B4663">
        <v>2016</v>
      </c>
      <c r="C4663">
        <v>6</v>
      </c>
      <c r="D4663">
        <v>1</v>
      </c>
      <c r="E4663">
        <v>11350</v>
      </c>
      <c r="F4663">
        <v>331527.78000000003</v>
      </c>
      <c r="G4663">
        <v>0</v>
      </c>
      <c r="H4663">
        <v>0</v>
      </c>
      <c r="I4663">
        <v>0</v>
      </c>
      <c r="J4663">
        <v>0</v>
      </c>
      <c r="K4663">
        <v>0</v>
      </c>
      <c r="L4663">
        <v>54449945.549999997</v>
      </c>
      <c r="M4663">
        <v>54449945.549999997</v>
      </c>
      <c r="N4663">
        <v>54449945.549999997</v>
      </c>
      <c r="O4663">
        <v>54449945.549999997</v>
      </c>
      <c r="P4663">
        <v>55000000</v>
      </c>
      <c r="Q4663">
        <v>55000000</v>
      </c>
      <c r="R4663" s="14">
        <f>_xlfn.XLOOKUP(Table2[[#This Row],[LoanID]],Table1[G-L ID],Table1[ManagerCode],-99)</f>
        <v>103</v>
      </c>
      <c r="T4663"/>
    </row>
    <row r="4664" spans="1:20" x14ac:dyDescent="0.25">
      <c r="A4664">
        <v>20160630</v>
      </c>
      <c r="B4664">
        <v>2016</v>
      </c>
      <c r="C4664">
        <v>6</v>
      </c>
      <c r="D4664">
        <v>1</v>
      </c>
      <c r="E4664">
        <v>11360</v>
      </c>
      <c r="F4664">
        <v>61919.06</v>
      </c>
      <c r="G4664">
        <v>0</v>
      </c>
      <c r="H4664">
        <v>0</v>
      </c>
      <c r="I4664">
        <v>0</v>
      </c>
      <c r="J4664">
        <v>0</v>
      </c>
      <c r="K4664">
        <v>0</v>
      </c>
      <c r="L4664">
        <v>7537500</v>
      </c>
      <c r="M4664">
        <v>7537500</v>
      </c>
      <c r="N4664">
        <v>7537500</v>
      </c>
      <c r="O4664">
        <v>7537500</v>
      </c>
      <c r="P4664">
        <v>7537500</v>
      </c>
      <c r="Q4664">
        <v>7537500</v>
      </c>
      <c r="R4664" s="14">
        <f>_xlfn.XLOOKUP(Table2[[#This Row],[LoanID]],Table1[G-L ID],Table1[ManagerCode],-99)</f>
        <v>119</v>
      </c>
      <c r="T4664"/>
    </row>
    <row r="4665" spans="1:20" x14ac:dyDescent="0.25">
      <c r="A4665">
        <v>20160630</v>
      </c>
      <c r="B4665">
        <v>2016</v>
      </c>
      <c r="C4665">
        <v>6</v>
      </c>
      <c r="D4665">
        <v>1</v>
      </c>
      <c r="E4665">
        <v>11370</v>
      </c>
      <c r="F4665">
        <v>63322.95</v>
      </c>
      <c r="G4665">
        <v>0</v>
      </c>
      <c r="H4665">
        <v>0</v>
      </c>
      <c r="I4665">
        <v>0</v>
      </c>
      <c r="J4665">
        <v>0</v>
      </c>
      <c r="K4665">
        <v>0</v>
      </c>
      <c r="L4665">
        <v>6645849.7400000002</v>
      </c>
      <c r="M4665">
        <v>6645849.7400000002</v>
      </c>
      <c r="N4665">
        <v>6645849.7400000002</v>
      </c>
      <c r="O4665">
        <v>6645849.7400000002</v>
      </c>
      <c r="P4665">
        <v>6645849.7400000002</v>
      </c>
      <c r="Q4665">
        <v>6645849.7400000002</v>
      </c>
      <c r="R4665" s="14">
        <f>_xlfn.XLOOKUP(Table2[[#This Row],[LoanID]],Table1[G-L ID],Table1[ManagerCode],-99)</f>
        <v>119</v>
      </c>
      <c r="T4665"/>
    </row>
    <row r="4666" spans="1:20" x14ac:dyDescent="0.25">
      <c r="A4666">
        <v>20160630</v>
      </c>
      <c r="B4666">
        <v>2016</v>
      </c>
      <c r="C4666">
        <v>6</v>
      </c>
      <c r="D4666">
        <v>1</v>
      </c>
      <c r="E4666">
        <v>11410</v>
      </c>
      <c r="F4666">
        <v>108861.67</v>
      </c>
      <c r="G4666">
        <v>0</v>
      </c>
      <c r="H4666">
        <v>0</v>
      </c>
      <c r="I4666">
        <v>0</v>
      </c>
      <c r="J4666">
        <v>0</v>
      </c>
      <c r="K4666">
        <v>0</v>
      </c>
      <c r="L4666">
        <v>12000000</v>
      </c>
      <c r="M4666">
        <v>12000000</v>
      </c>
      <c r="N4666">
        <v>12000000</v>
      </c>
      <c r="O4666">
        <v>12000000</v>
      </c>
      <c r="P4666">
        <v>12000000</v>
      </c>
      <c r="Q4666">
        <v>12000000</v>
      </c>
      <c r="R4666" s="14">
        <f>_xlfn.XLOOKUP(Table2[[#This Row],[LoanID]],Table1[G-L ID],Table1[ManagerCode],-99)</f>
        <v>119</v>
      </c>
      <c r="T4666"/>
    </row>
    <row r="4667" spans="1:20" x14ac:dyDescent="0.25">
      <c r="A4667">
        <v>20160630</v>
      </c>
      <c r="B4667">
        <v>2016</v>
      </c>
      <c r="C4667">
        <v>6</v>
      </c>
      <c r="D4667">
        <v>1</v>
      </c>
      <c r="E4667">
        <v>11440</v>
      </c>
      <c r="F4667">
        <v>156250</v>
      </c>
      <c r="G4667">
        <v>0</v>
      </c>
      <c r="H4667">
        <v>0</v>
      </c>
      <c r="I4667">
        <v>0</v>
      </c>
      <c r="J4667">
        <v>0</v>
      </c>
      <c r="K4667">
        <v>0</v>
      </c>
      <c r="L4667">
        <v>18750000</v>
      </c>
      <c r="M4667">
        <v>18750000</v>
      </c>
      <c r="N4667">
        <v>18750000</v>
      </c>
      <c r="O4667">
        <v>18750000</v>
      </c>
      <c r="P4667">
        <v>18750000</v>
      </c>
      <c r="Q4667">
        <v>18750000</v>
      </c>
      <c r="R4667" s="14">
        <f>_xlfn.XLOOKUP(Table2[[#This Row],[LoanID]],Table1[G-L ID],Table1[ManagerCode],-99)</f>
        <v>183</v>
      </c>
      <c r="T4667"/>
    </row>
    <row r="4668" spans="1:20" x14ac:dyDescent="0.25">
      <c r="A4668">
        <v>20160630</v>
      </c>
      <c r="B4668">
        <v>2016</v>
      </c>
      <c r="C4668">
        <v>6</v>
      </c>
      <c r="D4668">
        <v>1</v>
      </c>
      <c r="E4668">
        <v>11450</v>
      </c>
      <c r="F4668">
        <v>40564.129999999997</v>
      </c>
      <c r="G4668">
        <v>0</v>
      </c>
      <c r="H4668">
        <v>200000</v>
      </c>
      <c r="I4668">
        <v>0</v>
      </c>
      <c r="J4668">
        <v>-15438297.869999999</v>
      </c>
      <c r="K4668">
        <v>0</v>
      </c>
      <c r="L4668">
        <v>0</v>
      </c>
      <c r="M4668">
        <v>15438297.869999999</v>
      </c>
      <c r="N4668">
        <v>0</v>
      </c>
      <c r="O4668">
        <v>15438297.869999999</v>
      </c>
      <c r="P4668">
        <v>0</v>
      </c>
      <c r="Q4668">
        <v>15438297.869999999</v>
      </c>
      <c r="R4668" s="14">
        <f>_xlfn.XLOOKUP(Table2[[#This Row],[LoanID]],Table1[G-L ID],Table1[ManagerCode],-99)</f>
        <v>119</v>
      </c>
      <c r="T4668"/>
    </row>
    <row r="4669" spans="1:20" x14ac:dyDescent="0.25">
      <c r="A4669">
        <v>20160630</v>
      </c>
      <c r="B4669">
        <v>2016</v>
      </c>
      <c r="C4669">
        <v>6</v>
      </c>
      <c r="D4669">
        <v>1</v>
      </c>
      <c r="E4669">
        <v>11480</v>
      </c>
      <c r="F4669">
        <v>372818.06</v>
      </c>
      <c r="G4669">
        <v>0</v>
      </c>
      <c r="H4669">
        <v>0</v>
      </c>
      <c r="I4669">
        <v>0</v>
      </c>
      <c r="J4669">
        <v>0</v>
      </c>
      <c r="K4669">
        <v>0</v>
      </c>
      <c r="L4669">
        <v>66500000</v>
      </c>
      <c r="M4669">
        <v>66500000</v>
      </c>
      <c r="N4669">
        <v>66500000</v>
      </c>
      <c r="O4669">
        <v>66500000</v>
      </c>
      <c r="P4669">
        <v>70000000</v>
      </c>
      <c r="Q4669">
        <v>70000000</v>
      </c>
      <c r="R4669" s="14">
        <f>_xlfn.XLOOKUP(Table2[[#This Row],[LoanID]],Table1[G-L ID],Table1[ManagerCode],-99)</f>
        <v>103</v>
      </c>
      <c r="T4669"/>
    </row>
    <row r="4670" spans="1:20" x14ac:dyDescent="0.25">
      <c r="A4670">
        <v>20160630</v>
      </c>
      <c r="B4670">
        <v>2016</v>
      </c>
      <c r="C4670">
        <v>6</v>
      </c>
      <c r="D4670">
        <v>1</v>
      </c>
      <c r="E4670">
        <v>11490</v>
      </c>
      <c r="F4670">
        <v>352129.86</v>
      </c>
      <c r="G4670">
        <v>0</v>
      </c>
      <c r="H4670">
        <v>0</v>
      </c>
      <c r="I4670">
        <v>0</v>
      </c>
      <c r="J4670">
        <v>0</v>
      </c>
      <c r="K4670">
        <v>0</v>
      </c>
      <c r="L4670">
        <v>49500000</v>
      </c>
      <c r="M4670">
        <v>49500000</v>
      </c>
      <c r="N4670">
        <v>49500000</v>
      </c>
      <c r="O4670">
        <v>49500000</v>
      </c>
      <c r="P4670">
        <v>55000000</v>
      </c>
      <c r="Q4670">
        <v>55000000</v>
      </c>
      <c r="R4670" s="14">
        <f>_xlfn.XLOOKUP(Table2[[#This Row],[LoanID]],Table1[G-L ID],Table1[ManagerCode],-99)</f>
        <v>103</v>
      </c>
      <c r="T4670"/>
    </row>
    <row r="4671" spans="1:20" x14ac:dyDescent="0.25">
      <c r="A4671">
        <v>20160630</v>
      </c>
      <c r="B4671">
        <v>2016</v>
      </c>
      <c r="C4671">
        <v>6</v>
      </c>
      <c r="D4671">
        <v>1</v>
      </c>
      <c r="E4671">
        <v>11520</v>
      </c>
      <c r="F4671">
        <v>36388.550000000003</v>
      </c>
      <c r="G4671">
        <v>0</v>
      </c>
      <c r="H4671">
        <v>0</v>
      </c>
      <c r="I4671">
        <v>0</v>
      </c>
      <c r="J4671">
        <v>0</v>
      </c>
      <c r="K4671">
        <v>0</v>
      </c>
      <c r="L4671">
        <v>4449348.7300000004</v>
      </c>
      <c r="M4671">
        <v>4449348.7300000004</v>
      </c>
      <c r="N4671">
        <v>4449348.7300000004</v>
      </c>
      <c r="O4671">
        <v>4449348.7300000004</v>
      </c>
      <c r="P4671">
        <v>4449348.7300000004</v>
      </c>
      <c r="Q4671">
        <v>4449348.7300000004</v>
      </c>
      <c r="R4671" s="14">
        <f>_xlfn.XLOOKUP(Table2[[#This Row],[LoanID]],Table1[G-L ID],Table1[ManagerCode],-99)</f>
        <v>119</v>
      </c>
      <c r="T4671"/>
    </row>
    <row r="4672" spans="1:20" x14ac:dyDescent="0.25">
      <c r="A4672">
        <v>20160630</v>
      </c>
      <c r="B4672">
        <v>2016</v>
      </c>
      <c r="C4672">
        <v>6</v>
      </c>
      <c r="D4672">
        <v>1</v>
      </c>
      <c r="E4672">
        <v>11530</v>
      </c>
      <c r="F4672">
        <v>107885.31</v>
      </c>
      <c r="G4672">
        <v>0</v>
      </c>
      <c r="H4672">
        <v>0</v>
      </c>
      <c r="I4672">
        <v>0</v>
      </c>
      <c r="J4672">
        <v>-1070592.19</v>
      </c>
      <c r="K4672">
        <v>0</v>
      </c>
      <c r="L4672">
        <v>11250000</v>
      </c>
      <c r="M4672">
        <v>12320592.189999999</v>
      </c>
      <c r="N4672">
        <v>11250000</v>
      </c>
      <c r="O4672">
        <v>12320592.189999999</v>
      </c>
      <c r="P4672">
        <v>11250000</v>
      </c>
      <c r="Q4672">
        <v>12320592.189999999</v>
      </c>
      <c r="R4672" s="14">
        <f>_xlfn.XLOOKUP(Table2[[#This Row],[LoanID]],Table1[G-L ID],Table1[ManagerCode],-99)</f>
        <v>119</v>
      </c>
      <c r="T4672"/>
    </row>
    <row r="4673" spans="1:20" x14ac:dyDescent="0.25">
      <c r="A4673">
        <v>20160630</v>
      </c>
      <c r="B4673">
        <v>2016</v>
      </c>
      <c r="C4673">
        <v>6</v>
      </c>
      <c r="D4673">
        <v>1</v>
      </c>
      <c r="E4673">
        <v>11590</v>
      </c>
      <c r="F4673">
        <v>23949.47</v>
      </c>
      <c r="G4673">
        <v>0</v>
      </c>
      <c r="H4673">
        <v>0</v>
      </c>
      <c r="I4673">
        <v>0</v>
      </c>
      <c r="J4673">
        <v>0</v>
      </c>
      <c r="K4673">
        <v>0</v>
      </c>
      <c r="L4673">
        <v>3507224.44</v>
      </c>
      <c r="M4673">
        <v>3507224.44</v>
      </c>
      <c r="N4673">
        <v>3507224.44</v>
      </c>
      <c r="O4673">
        <v>3507224.44</v>
      </c>
      <c r="P4673">
        <v>3507224.44</v>
      </c>
      <c r="Q4673">
        <v>3507224.44</v>
      </c>
      <c r="R4673" s="14">
        <f>_xlfn.XLOOKUP(Table2[[#This Row],[LoanID]],Table1[G-L ID],Table1[ManagerCode],-99)</f>
        <v>119</v>
      </c>
      <c r="T4673"/>
    </row>
    <row r="4674" spans="1:20" x14ac:dyDescent="0.25">
      <c r="A4674">
        <v>20160630</v>
      </c>
      <c r="B4674">
        <v>2016</v>
      </c>
      <c r="C4674">
        <v>6</v>
      </c>
      <c r="D4674">
        <v>1</v>
      </c>
      <c r="E4674">
        <v>11650</v>
      </c>
      <c r="F4674">
        <v>75000</v>
      </c>
      <c r="G4674">
        <v>0</v>
      </c>
      <c r="H4674">
        <v>0</v>
      </c>
      <c r="I4674">
        <v>0</v>
      </c>
      <c r="J4674">
        <v>0</v>
      </c>
      <c r="K4674">
        <v>0</v>
      </c>
      <c r="L4674">
        <v>9600000</v>
      </c>
      <c r="M4674">
        <v>9600000</v>
      </c>
      <c r="N4674">
        <v>9600000</v>
      </c>
      <c r="O4674">
        <v>9600000</v>
      </c>
      <c r="P4674">
        <v>12000000</v>
      </c>
      <c r="Q4674">
        <v>12000000</v>
      </c>
      <c r="R4674" s="14">
        <f>_xlfn.XLOOKUP(Table2[[#This Row],[LoanID]],Table1[G-L ID],Table1[ManagerCode],-99)</f>
        <v>103</v>
      </c>
      <c r="T4674"/>
    </row>
    <row r="4675" spans="1:20" x14ac:dyDescent="0.25">
      <c r="A4675">
        <v>20160630</v>
      </c>
      <c r="B4675">
        <v>2016</v>
      </c>
      <c r="C4675">
        <v>6</v>
      </c>
      <c r="D4675">
        <v>1</v>
      </c>
      <c r="E4675">
        <v>11680</v>
      </c>
      <c r="F4675">
        <v>57126.559999999998</v>
      </c>
      <c r="G4675">
        <v>0</v>
      </c>
      <c r="H4675">
        <v>0</v>
      </c>
      <c r="I4675">
        <v>0</v>
      </c>
      <c r="J4675">
        <v>0</v>
      </c>
      <c r="K4675">
        <v>0</v>
      </c>
      <c r="L4675">
        <v>6600000</v>
      </c>
      <c r="M4675">
        <v>6600000</v>
      </c>
      <c r="N4675">
        <v>6600000</v>
      </c>
      <c r="O4675">
        <v>6600000</v>
      </c>
      <c r="P4675">
        <v>6600000</v>
      </c>
      <c r="Q4675">
        <v>6600000</v>
      </c>
      <c r="R4675" s="14">
        <f>_xlfn.XLOOKUP(Table2[[#This Row],[LoanID]],Table1[G-L ID],Table1[ManagerCode],-99)</f>
        <v>183</v>
      </c>
      <c r="T4675"/>
    </row>
    <row r="4676" spans="1:20" x14ac:dyDescent="0.25">
      <c r="A4676">
        <v>20160630</v>
      </c>
      <c r="B4676">
        <v>2016</v>
      </c>
      <c r="C4676">
        <v>6</v>
      </c>
      <c r="D4676">
        <v>1</v>
      </c>
      <c r="E4676">
        <v>11690</v>
      </c>
      <c r="F4676">
        <v>124897.11</v>
      </c>
      <c r="G4676">
        <v>0</v>
      </c>
      <c r="H4676">
        <v>170000</v>
      </c>
      <c r="I4676">
        <v>0</v>
      </c>
      <c r="J4676">
        <v>-17000000</v>
      </c>
      <c r="K4676">
        <v>0</v>
      </c>
      <c r="L4676">
        <v>0</v>
      </c>
      <c r="M4676">
        <v>17000000</v>
      </c>
      <c r="N4676">
        <v>0</v>
      </c>
      <c r="O4676">
        <v>17000000</v>
      </c>
      <c r="P4676">
        <v>0</v>
      </c>
      <c r="Q4676">
        <v>17000000</v>
      </c>
      <c r="R4676" s="14">
        <f>_xlfn.XLOOKUP(Table2[[#This Row],[LoanID]],Table1[G-L ID],Table1[ManagerCode],-99)</f>
        <v>119</v>
      </c>
      <c r="T4676"/>
    </row>
    <row r="4677" spans="1:20" x14ac:dyDescent="0.25">
      <c r="A4677">
        <v>20160630</v>
      </c>
      <c r="B4677">
        <v>2016</v>
      </c>
      <c r="C4677">
        <v>6</v>
      </c>
      <c r="D4677">
        <v>1</v>
      </c>
      <c r="E4677">
        <v>11710</v>
      </c>
      <c r="F4677">
        <v>125479.45</v>
      </c>
      <c r="G4677">
        <v>0</v>
      </c>
      <c r="H4677">
        <v>0</v>
      </c>
      <c r="I4677">
        <v>0</v>
      </c>
      <c r="J4677">
        <v>0</v>
      </c>
      <c r="K4677">
        <v>15000</v>
      </c>
      <c r="L4677">
        <v>14925000</v>
      </c>
      <c r="M4677">
        <v>14910000</v>
      </c>
      <c r="N4677">
        <v>14925000</v>
      </c>
      <c r="O4677">
        <v>14910000</v>
      </c>
      <c r="P4677">
        <v>14925000</v>
      </c>
      <c r="Q4677">
        <v>14910000</v>
      </c>
      <c r="R4677" s="14">
        <f>_xlfn.XLOOKUP(Table2[[#This Row],[LoanID]],Table1[G-L ID],Table1[ManagerCode],-99)</f>
        <v>119</v>
      </c>
      <c r="T4677"/>
    </row>
    <row r="4678" spans="1:20" x14ac:dyDescent="0.25">
      <c r="A4678">
        <v>20160630</v>
      </c>
      <c r="B4678">
        <v>2016</v>
      </c>
      <c r="C4678">
        <v>6</v>
      </c>
      <c r="D4678">
        <v>1</v>
      </c>
      <c r="E4678">
        <v>11720</v>
      </c>
      <c r="F4678">
        <v>129166.67</v>
      </c>
      <c r="G4678">
        <v>0</v>
      </c>
      <c r="H4678">
        <v>0</v>
      </c>
      <c r="I4678">
        <v>0</v>
      </c>
      <c r="J4678">
        <v>0</v>
      </c>
      <c r="K4678">
        <v>0</v>
      </c>
      <c r="L4678">
        <v>19800000</v>
      </c>
      <c r="M4678">
        <v>19800000</v>
      </c>
      <c r="N4678">
        <v>19800000</v>
      </c>
      <c r="O4678">
        <v>19800000</v>
      </c>
      <c r="P4678">
        <v>20000000</v>
      </c>
      <c r="Q4678">
        <v>20000000</v>
      </c>
      <c r="R4678" s="14">
        <f>_xlfn.XLOOKUP(Table2[[#This Row],[LoanID]],Table1[G-L ID],Table1[ManagerCode],-99)</f>
        <v>103</v>
      </c>
      <c r="T4678"/>
    </row>
    <row r="4679" spans="1:20" x14ac:dyDescent="0.25">
      <c r="A4679">
        <v>20160630</v>
      </c>
      <c r="B4679">
        <v>2016</v>
      </c>
      <c r="C4679">
        <v>6</v>
      </c>
      <c r="D4679">
        <v>1</v>
      </c>
      <c r="E4679">
        <v>11730</v>
      </c>
      <c r="F4679">
        <v>48001.65</v>
      </c>
      <c r="G4679">
        <v>0</v>
      </c>
      <c r="H4679">
        <v>0</v>
      </c>
      <c r="I4679">
        <v>0</v>
      </c>
      <c r="J4679">
        <v>0</v>
      </c>
      <c r="K4679">
        <v>0</v>
      </c>
      <c r="L4679">
        <v>4750000</v>
      </c>
      <c r="M4679">
        <v>4750000</v>
      </c>
      <c r="N4679">
        <v>4750000</v>
      </c>
      <c r="O4679">
        <v>4750000</v>
      </c>
      <c r="P4679">
        <v>4750000</v>
      </c>
      <c r="Q4679">
        <v>4750000</v>
      </c>
      <c r="R4679" s="14">
        <f>_xlfn.XLOOKUP(Table2[[#This Row],[LoanID]],Table1[G-L ID],Table1[ManagerCode],-99)</f>
        <v>119</v>
      </c>
      <c r="T4679"/>
    </row>
    <row r="4680" spans="1:20" x14ac:dyDescent="0.25">
      <c r="A4680">
        <v>20160630</v>
      </c>
      <c r="B4680">
        <v>2016</v>
      </c>
      <c r="C4680">
        <v>6</v>
      </c>
      <c r="D4680">
        <v>1</v>
      </c>
      <c r="E4680">
        <v>11750</v>
      </c>
      <c r="F4680">
        <v>87906.7</v>
      </c>
      <c r="G4680">
        <v>108566.31</v>
      </c>
      <c r="H4680">
        <v>0</v>
      </c>
      <c r="I4680">
        <v>0</v>
      </c>
      <c r="J4680">
        <v>-87906.7</v>
      </c>
      <c r="K4680">
        <v>0</v>
      </c>
      <c r="L4680">
        <v>19826621.780000001</v>
      </c>
      <c r="M4680">
        <v>20023094.789999999</v>
      </c>
      <c r="N4680">
        <v>19826621.780000001</v>
      </c>
      <c r="O4680">
        <v>20023094.789999999</v>
      </c>
      <c r="P4680">
        <v>19826621.780000001</v>
      </c>
      <c r="Q4680">
        <v>20023094.789999999</v>
      </c>
      <c r="R4680" s="14">
        <f>_xlfn.XLOOKUP(Table2[[#This Row],[LoanID]],Table1[G-L ID],Table1[ManagerCode],-99)</f>
        <v>183</v>
      </c>
      <c r="T4680"/>
    </row>
    <row r="4681" spans="1:20" x14ac:dyDescent="0.25">
      <c r="A4681">
        <v>20160630</v>
      </c>
      <c r="B4681">
        <v>2016</v>
      </c>
      <c r="C4681">
        <v>6</v>
      </c>
      <c r="D4681">
        <v>1</v>
      </c>
      <c r="E4681">
        <v>11810</v>
      </c>
      <c r="F4681">
        <v>48476.45</v>
      </c>
      <c r="G4681">
        <v>0</v>
      </c>
      <c r="H4681">
        <v>0</v>
      </c>
      <c r="I4681">
        <v>0</v>
      </c>
      <c r="J4681">
        <v>0</v>
      </c>
      <c r="K4681">
        <v>12381.64</v>
      </c>
      <c r="L4681">
        <v>9379481.6400000006</v>
      </c>
      <c r="M4681">
        <v>9367223.8200000003</v>
      </c>
      <c r="N4681">
        <v>9379481.6400000006</v>
      </c>
      <c r="O4681">
        <v>9367223.8200000003</v>
      </c>
      <c r="P4681">
        <v>9378871.9499999993</v>
      </c>
      <c r="Q4681">
        <v>9366490.3100000005</v>
      </c>
      <c r="R4681" s="14">
        <f>_xlfn.XLOOKUP(Table2[[#This Row],[LoanID]],Table1[G-L ID],Table1[ManagerCode],-99)</f>
        <v>103</v>
      </c>
      <c r="T4681"/>
    </row>
    <row r="4682" spans="1:20" x14ac:dyDescent="0.25">
      <c r="A4682">
        <v>20160630</v>
      </c>
      <c r="B4682">
        <v>2016</v>
      </c>
      <c r="C4682">
        <v>6</v>
      </c>
      <c r="D4682">
        <v>1</v>
      </c>
      <c r="E4682">
        <v>11830</v>
      </c>
      <c r="F4682">
        <v>77619.86</v>
      </c>
      <c r="G4682">
        <v>0</v>
      </c>
      <c r="H4682">
        <v>0</v>
      </c>
      <c r="I4682">
        <v>0</v>
      </c>
      <c r="J4682">
        <v>0</v>
      </c>
      <c r="K4682">
        <v>0</v>
      </c>
      <c r="L4682">
        <v>6775000</v>
      </c>
      <c r="M4682">
        <v>6775000</v>
      </c>
      <c r="N4682">
        <v>6775000</v>
      </c>
      <c r="O4682">
        <v>6775000</v>
      </c>
      <c r="P4682">
        <v>6775000</v>
      </c>
      <c r="Q4682">
        <v>6775000</v>
      </c>
      <c r="R4682" s="14">
        <f>_xlfn.XLOOKUP(Table2[[#This Row],[LoanID]],Table1[G-L ID],Table1[ManagerCode],-99)</f>
        <v>119</v>
      </c>
      <c r="T4682"/>
    </row>
    <row r="4683" spans="1:20" x14ac:dyDescent="0.25">
      <c r="A4683">
        <v>20160630</v>
      </c>
      <c r="B4683">
        <v>2016</v>
      </c>
      <c r="C4683">
        <v>6</v>
      </c>
      <c r="D4683">
        <v>1</v>
      </c>
      <c r="E4683">
        <v>11850</v>
      </c>
      <c r="F4683">
        <v>53151.839999999997</v>
      </c>
      <c r="G4683">
        <v>0</v>
      </c>
      <c r="H4683">
        <v>0</v>
      </c>
      <c r="I4683">
        <v>0</v>
      </c>
      <c r="J4683">
        <v>-1235006.52</v>
      </c>
      <c r="K4683">
        <v>0</v>
      </c>
      <c r="L4683">
        <v>5819637.96</v>
      </c>
      <c r="M4683">
        <v>7054644.4800000004</v>
      </c>
      <c r="N4683">
        <v>5819637.96</v>
      </c>
      <c r="O4683">
        <v>7054644.4800000004</v>
      </c>
      <c r="P4683">
        <v>5819637.96</v>
      </c>
      <c r="Q4683">
        <v>7054644.4800000004</v>
      </c>
      <c r="R4683" s="14">
        <f>_xlfn.XLOOKUP(Table2[[#This Row],[LoanID]],Table1[G-L ID],Table1[ManagerCode],-99)</f>
        <v>183</v>
      </c>
      <c r="T4683"/>
    </row>
    <row r="4684" spans="1:20" x14ac:dyDescent="0.25">
      <c r="A4684">
        <v>20160630</v>
      </c>
      <c r="B4684">
        <v>2016</v>
      </c>
      <c r="C4684">
        <v>6</v>
      </c>
      <c r="D4684">
        <v>1</v>
      </c>
      <c r="E4684">
        <v>11880</v>
      </c>
      <c r="F4684">
        <v>363281.25</v>
      </c>
      <c r="G4684">
        <v>176447.07</v>
      </c>
      <c r="H4684">
        <v>0</v>
      </c>
      <c r="I4684">
        <v>0</v>
      </c>
      <c r="J4684">
        <v>0</v>
      </c>
      <c r="K4684">
        <v>0</v>
      </c>
      <c r="L4684">
        <v>79409749.280000001</v>
      </c>
      <c r="M4684">
        <v>79586196.349999994</v>
      </c>
      <c r="N4684">
        <v>79409749.280000001</v>
      </c>
      <c r="O4684">
        <v>79586196.349999994</v>
      </c>
      <c r="P4684">
        <v>79409749.280000001</v>
      </c>
      <c r="Q4684">
        <v>79586196.349999994</v>
      </c>
      <c r="R4684" s="14">
        <f>_xlfn.XLOOKUP(Table2[[#This Row],[LoanID]],Table1[G-L ID],Table1[ManagerCode],-99)</f>
        <v>183</v>
      </c>
      <c r="T4684"/>
    </row>
    <row r="4685" spans="1:20" x14ac:dyDescent="0.25">
      <c r="A4685">
        <v>20160630</v>
      </c>
      <c r="B4685">
        <v>2016</v>
      </c>
      <c r="C4685">
        <v>6</v>
      </c>
      <c r="D4685">
        <v>1</v>
      </c>
      <c r="E4685">
        <v>11980</v>
      </c>
      <c r="F4685">
        <v>70321.429999999993</v>
      </c>
      <c r="G4685">
        <v>0</v>
      </c>
      <c r="H4685">
        <v>0</v>
      </c>
      <c r="I4685">
        <v>0</v>
      </c>
      <c r="J4685">
        <v>0</v>
      </c>
      <c r="K4685">
        <v>0</v>
      </c>
      <c r="L4685">
        <v>7400000</v>
      </c>
      <c r="M4685">
        <v>7400000</v>
      </c>
      <c r="N4685">
        <v>7400000</v>
      </c>
      <c r="O4685">
        <v>7400000</v>
      </c>
      <c r="P4685">
        <v>7400000</v>
      </c>
      <c r="Q4685">
        <v>7400000</v>
      </c>
      <c r="R4685" s="14">
        <f>_xlfn.XLOOKUP(Table2[[#This Row],[LoanID]],Table1[G-L ID],Table1[ManagerCode],-99)</f>
        <v>119</v>
      </c>
      <c r="T4685"/>
    </row>
    <row r="4686" spans="1:20" x14ac:dyDescent="0.25">
      <c r="A4686">
        <v>20160630</v>
      </c>
      <c r="B4686">
        <v>2016</v>
      </c>
      <c r="C4686">
        <v>6</v>
      </c>
      <c r="D4686">
        <v>1</v>
      </c>
      <c r="E4686">
        <v>11990</v>
      </c>
      <c r="F4686">
        <v>103824.17</v>
      </c>
      <c r="G4686">
        <v>0</v>
      </c>
      <c r="H4686">
        <v>0</v>
      </c>
      <c r="I4686">
        <v>0</v>
      </c>
      <c r="J4686">
        <v>0</v>
      </c>
      <c r="K4686">
        <v>0</v>
      </c>
      <c r="L4686">
        <v>14700000</v>
      </c>
      <c r="M4686">
        <v>14700000</v>
      </c>
      <c r="N4686">
        <v>14700000</v>
      </c>
      <c r="O4686">
        <v>14700000</v>
      </c>
      <c r="P4686">
        <v>15000000</v>
      </c>
      <c r="Q4686">
        <v>15000000</v>
      </c>
      <c r="R4686" s="14">
        <f>_xlfn.XLOOKUP(Table2[[#This Row],[LoanID]],Table1[G-L ID],Table1[ManagerCode],-99)</f>
        <v>220</v>
      </c>
      <c r="T4686"/>
    </row>
    <row r="4687" spans="1:20" x14ac:dyDescent="0.25">
      <c r="A4687">
        <v>20160630</v>
      </c>
      <c r="B4687">
        <v>2016</v>
      </c>
      <c r="C4687">
        <v>6</v>
      </c>
      <c r="D4687">
        <v>1</v>
      </c>
      <c r="E4687">
        <v>12010</v>
      </c>
      <c r="F4687">
        <v>183096.02</v>
      </c>
      <c r="G4687">
        <v>0</v>
      </c>
      <c r="H4687">
        <v>0</v>
      </c>
      <c r="I4687">
        <v>0</v>
      </c>
      <c r="J4687">
        <v>0</v>
      </c>
      <c r="K4687">
        <v>0</v>
      </c>
      <c r="L4687">
        <v>19569806.600000001</v>
      </c>
      <c r="M4687">
        <v>19569806.600000001</v>
      </c>
      <c r="N4687">
        <v>19569806.600000001</v>
      </c>
      <c r="O4687">
        <v>19569806.600000001</v>
      </c>
      <c r="P4687">
        <v>19569806.600000001</v>
      </c>
      <c r="Q4687">
        <v>19569806.600000001</v>
      </c>
      <c r="R4687" s="14">
        <f>_xlfn.XLOOKUP(Table2[[#This Row],[LoanID]],Table1[G-L ID],Table1[ManagerCode],-99)</f>
        <v>119</v>
      </c>
      <c r="T4687"/>
    </row>
    <row r="4688" spans="1:20" x14ac:dyDescent="0.25">
      <c r="A4688">
        <v>20160630</v>
      </c>
      <c r="B4688">
        <v>2016</v>
      </c>
      <c r="C4688">
        <v>6</v>
      </c>
      <c r="D4688">
        <v>1</v>
      </c>
      <c r="E4688">
        <v>12160</v>
      </c>
      <c r="F4688">
        <v>87969.09</v>
      </c>
      <c r="G4688">
        <v>107465.71</v>
      </c>
      <c r="H4688">
        <v>0</v>
      </c>
      <c r="I4688">
        <v>0</v>
      </c>
      <c r="J4688">
        <v>-87969.09</v>
      </c>
      <c r="K4688">
        <v>0</v>
      </c>
      <c r="L4688">
        <v>17757738.73</v>
      </c>
      <c r="M4688">
        <v>17953173.530000001</v>
      </c>
      <c r="N4688">
        <v>17757738.73</v>
      </c>
      <c r="O4688">
        <v>17953173.530000001</v>
      </c>
      <c r="P4688">
        <v>17757738.73</v>
      </c>
      <c r="Q4688">
        <v>17953173.530000001</v>
      </c>
      <c r="R4688" s="14">
        <f>_xlfn.XLOOKUP(Table2[[#This Row],[LoanID]],Table1[G-L ID],Table1[ManagerCode],-99)</f>
        <v>183</v>
      </c>
      <c r="T4688"/>
    </row>
    <row r="4689" spans="1:20" x14ac:dyDescent="0.25">
      <c r="A4689">
        <v>20160630</v>
      </c>
      <c r="B4689">
        <v>2016</v>
      </c>
      <c r="C4689">
        <v>6</v>
      </c>
      <c r="D4689">
        <v>1</v>
      </c>
      <c r="E4689">
        <v>12180</v>
      </c>
      <c r="F4689">
        <v>239152.08</v>
      </c>
      <c r="G4689">
        <v>0</v>
      </c>
      <c r="H4689">
        <v>0</v>
      </c>
      <c r="I4689">
        <v>0</v>
      </c>
      <c r="J4689">
        <v>0</v>
      </c>
      <c r="K4689">
        <v>0</v>
      </c>
      <c r="L4689">
        <v>35000000</v>
      </c>
      <c r="M4689">
        <v>35000000</v>
      </c>
      <c r="N4689">
        <v>35000000</v>
      </c>
      <c r="O4689">
        <v>35000000</v>
      </c>
      <c r="P4689">
        <v>35000000</v>
      </c>
      <c r="Q4689">
        <v>35000000</v>
      </c>
      <c r="R4689" s="14">
        <f>_xlfn.XLOOKUP(Table2[[#This Row],[LoanID]],Table1[G-L ID],Table1[ManagerCode],-99)</f>
        <v>220</v>
      </c>
      <c r="T4689"/>
    </row>
    <row r="4690" spans="1:20" x14ac:dyDescent="0.25">
      <c r="A4690">
        <v>20160630</v>
      </c>
      <c r="B4690">
        <v>2016</v>
      </c>
      <c r="C4690">
        <v>6</v>
      </c>
      <c r="D4690">
        <v>1</v>
      </c>
      <c r="E4690">
        <v>12190</v>
      </c>
      <c r="F4690">
        <v>267653.46000000002</v>
      </c>
      <c r="G4690">
        <v>0</v>
      </c>
      <c r="H4690">
        <v>0</v>
      </c>
      <c r="I4690">
        <v>0</v>
      </c>
      <c r="J4690">
        <v>0</v>
      </c>
      <c r="K4690">
        <v>0</v>
      </c>
      <c r="L4690">
        <v>34383117</v>
      </c>
      <c r="M4690">
        <v>34383117</v>
      </c>
      <c r="N4690">
        <v>34383117</v>
      </c>
      <c r="O4690">
        <v>34383117</v>
      </c>
      <c r="P4690">
        <v>34383117</v>
      </c>
      <c r="Q4690">
        <v>34383117</v>
      </c>
      <c r="R4690" s="14">
        <f>_xlfn.XLOOKUP(Table2[[#This Row],[LoanID]],Table1[G-L ID],Table1[ManagerCode],-99)</f>
        <v>220</v>
      </c>
      <c r="T4690"/>
    </row>
    <row r="4691" spans="1:20" x14ac:dyDescent="0.25">
      <c r="A4691">
        <v>20160630</v>
      </c>
      <c r="B4691">
        <v>2016</v>
      </c>
      <c r="C4691">
        <v>6</v>
      </c>
      <c r="D4691">
        <v>1</v>
      </c>
      <c r="E4691">
        <v>12210</v>
      </c>
      <c r="F4691">
        <v>651599.51</v>
      </c>
      <c r="G4691">
        <v>0</v>
      </c>
      <c r="H4691">
        <v>0</v>
      </c>
      <c r="I4691">
        <v>0</v>
      </c>
      <c r="J4691">
        <v>0</v>
      </c>
      <c r="K4691">
        <v>243486.12</v>
      </c>
      <c r="L4691">
        <v>112480626.8</v>
      </c>
      <c r="M4691">
        <v>112188088.90000001</v>
      </c>
      <c r="N4691">
        <v>112480626.8</v>
      </c>
      <c r="O4691">
        <v>112188088.90000001</v>
      </c>
      <c r="P4691">
        <v>105429853.5</v>
      </c>
      <c r="Q4691">
        <v>105186367.40000001</v>
      </c>
      <c r="R4691" s="14">
        <f>_xlfn.XLOOKUP(Table2[[#This Row],[LoanID]],Table1[G-L ID],Table1[ManagerCode],-99)</f>
        <v>103</v>
      </c>
      <c r="T4691"/>
    </row>
    <row r="4692" spans="1:20" x14ac:dyDescent="0.25">
      <c r="A4692">
        <v>20160630</v>
      </c>
      <c r="B4692">
        <v>2016</v>
      </c>
      <c r="C4692">
        <v>6</v>
      </c>
      <c r="D4692">
        <v>1</v>
      </c>
      <c r="E4692">
        <v>12230</v>
      </c>
      <c r="F4692">
        <v>108230.13</v>
      </c>
      <c r="G4692">
        <v>0</v>
      </c>
      <c r="H4692">
        <v>0</v>
      </c>
      <c r="I4692">
        <v>0</v>
      </c>
      <c r="J4692">
        <v>0</v>
      </c>
      <c r="K4692">
        <v>0</v>
      </c>
      <c r="L4692">
        <v>20349098.18</v>
      </c>
      <c r="M4692">
        <v>20349098.18</v>
      </c>
      <c r="N4692">
        <v>13833645.68</v>
      </c>
      <c r="O4692">
        <v>13833645.68</v>
      </c>
      <c r="P4692">
        <v>20349098.18</v>
      </c>
      <c r="Q4692">
        <v>20349098.18</v>
      </c>
      <c r="R4692" s="14">
        <f>_xlfn.XLOOKUP(Table2[[#This Row],[LoanID]],Table1[G-L ID],Table1[ManagerCode],-99)</f>
        <v>183</v>
      </c>
      <c r="T4692"/>
    </row>
    <row r="4693" spans="1:20" x14ac:dyDescent="0.25">
      <c r="A4693">
        <v>20160630</v>
      </c>
      <c r="B4693">
        <v>2016</v>
      </c>
      <c r="C4693">
        <v>6</v>
      </c>
      <c r="D4693">
        <v>1</v>
      </c>
      <c r="E4693">
        <v>12240</v>
      </c>
      <c r="F4693">
        <v>0</v>
      </c>
      <c r="G4693">
        <v>1539015.92</v>
      </c>
      <c r="H4693">
        <v>0</v>
      </c>
      <c r="I4693">
        <v>0</v>
      </c>
      <c r="J4693">
        <v>0</v>
      </c>
      <c r="K4693">
        <v>0</v>
      </c>
      <c r="L4693">
        <v>138338509.40000001</v>
      </c>
      <c r="M4693">
        <v>139877525.30000001</v>
      </c>
      <c r="N4693">
        <v>138338509.40000001</v>
      </c>
      <c r="O4693">
        <v>139877525.30000001</v>
      </c>
      <c r="P4693">
        <v>138338509.40000001</v>
      </c>
      <c r="Q4693">
        <v>139877525.30000001</v>
      </c>
      <c r="R4693" s="14">
        <f>_xlfn.XLOOKUP(Table2[[#This Row],[LoanID]],Table1[G-L ID],Table1[ManagerCode],-99)</f>
        <v>183</v>
      </c>
      <c r="T4693"/>
    </row>
    <row r="4694" spans="1:20" x14ac:dyDescent="0.25">
      <c r="A4694">
        <v>20160630</v>
      </c>
      <c r="B4694">
        <v>2016</v>
      </c>
      <c r="C4694">
        <v>6</v>
      </c>
      <c r="D4694">
        <v>1</v>
      </c>
      <c r="E4694">
        <v>13630</v>
      </c>
      <c r="F4694">
        <v>217753.47</v>
      </c>
      <c r="G4694">
        <v>0</v>
      </c>
      <c r="H4694">
        <v>0</v>
      </c>
      <c r="I4694">
        <v>0</v>
      </c>
      <c r="J4694">
        <v>0</v>
      </c>
      <c r="K4694">
        <v>0</v>
      </c>
      <c r="L4694">
        <v>33468087</v>
      </c>
      <c r="M4694">
        <v>33468087</v>
      </c>
      <c r="N4694">
        <v>33468087</v>
      </c>
      <c r="O4694">
        <v>33468087</v>
      </c>
      <c r="P4694">
        <v>35000000</v>
      </c>
      <c r="Q4694">
        <v>35000000</v>
      </c>
      <c r="R4694" s="14">
        <f>_xlfn.XLOOKUP(Table2[[#This Row],[LoanID]],Table1[G-L ID],Table1[ManagerCode],-99)</f>
        <v>298</v>
      </c>
      <c r="T4694"/>
    </row>
    <row r="4695" spans="1:20" x14ac:dyDescent="0.25">
      <c r="A4695">
        <v>20160630</v>
      </c>
      <c r="B4695">
        <v>2016</v>
      </c>
      <c r="C4695">
        <v>6</v>
      </c>
      <c r="D4695">
        <v>1</v>
      </c>
      <c r="E4695">
        <v>13670</v>
      </c>
      <c r="F4695">
        <v>288526.05</v>
      </c>
      <c r="G4695">
        <v>0</v>
      </c>
      <c r="H4695">
        <v>0</v>
      </c>
      <c r="I4695">
        <v>0</v>
      </c>
      <c r="J4695">
        <v>0</v>
      </c>
      <c r="K4695">
        <v>0</v>
      </c>
      <c r="L4695">
        <v>37369414</v>
      </c>
      <c r="M4695">
        <v>37369414</v>
      </c>
      <c r="N4695">
        <v>37369414</v>
      </c>
      <c r="O4695">
        <v>37369414</v>
      </c>
      <c r="P4695">
        <v>37500000</v>
      </c>
      <c r="Q4695">
        <v>37500000</v>
      </c>
      <c r="R4695" s="14">
        <f>_xlfn.XLOOKUP(Table2[[#This Row],[LoanID]],Table1[G-L ID],Table1[ManagerCode],-99)</f>
        <v>298</v>
      </c>
      <c r="T4695"/>
    </row>
    <row r="4696" spans="1:20" x14ac:dyDescent="0.25">
      <c r="A4696">
        <v>20160630</v>
      </c>
      <c r="B4696">
        <v>2016</v>
      </c>
      <c r="C4696">
        <v>6</v>
      </c>
      <c r="D4696">
        <v>1</v>
      </c>
      <c r="E4696">
        <v>13680</v>
      </c>
      <c r="F4696">
        <v>136843.75</v>
      </c>
      <c r="G4696">
        <v>0</v>
      </c>
      <c r="H4696">
        <v>0</v>
      </c>
      <c r="I4696">
        <v>0</v>
      </c>
      <c r="J4696">
        <v>0</v>
      </c>
      <c r="K4696">
        <v>0</v>
      </c>
      <c r="L4696">
        <v>18283364</v>
      </c>
      <c r="M4696">
        <v>18283364</v>
      </c>
      <c r="N4696">
        <v>18283364</v>
      </c>
      <c r="O4696">
        <v>18283364</v>
      </c>
      <c r="P4696">
        <v>18000000</v>
      </c>
      <c r="Q4696">
        <v>18000000</v>
      </c>
      <c r="R4696" s="14">
        <f>_xlfn.XLOOKUP(Table2[[#This Row],[LoanID]],Table1[G-L ID],Table1[ManagerCode],-99)</f>
        <v>298</v>
      </c>
      <c r="T4696"/>
    </row>
    <row r="4697" spans="1:20" x14ac:dyDescent="0.25">
      <c r="A4697">
        <v>20160630</v>
      </c>
      <c r="B4697">
        <v>2016</v>
      </c>
      <c r="C4697">
        <v>6</v>
      </c>
      <c r="D4697">
        <v>1</v>
      </c>
      <c r="E4697">
        <v>13690</v>
      </c>
      <c r="F4697">
        <v>133472.22</v>
      </c>
      <c r="G4697">
        <v>0</v>
      </c>
      <c r="H4697">
        <v>0</v>
      </c>
      <c r="I4697">
        <v>0</v>
      </c>
      <c r="J4697">
        <v>0</v>
      </c>
      <c r="K4697">
        <v>0</v>
      </c>
      <c r="L4697">
        <v>19169472</v>
      </c>
      <c r="M4697">
        <v>19169472</v>
      </c>
      <c r="N4697">
        <v>19169472</v>
      </c>
      <c r="O4697">
        <v>19169472</v>
      </c>
      <c r="P4697">
        <v>20000000</v>
      </c>
      <c r="Q4697">
        <v>20000000</v>
      </c>
      <c r="R4697" s="14">
        <f>_xlfn.XLOOKUP(Table2[[#This Row],[LoanID]],Table1[G-L ID],Table1[ManagerCode],-99)</f>
        <v>298</v>
      </c>
      <c r="T4697"/>
    </row>
    <row r="4698" spans="1:20" x14ac:dyDescent="0.25">
      <c r="A4698">
        <v>20160630</v>
      </c>
      <c r="B4698">
        <v>2016</v>
      </c>
      <c r="C4698">
        <v>6</v>
      </c>
      <c r="D4698">
        <v>1</v>
      </c>
      <c r="E4698">
        <v>15540</v>
      </c>
      <c r="F4698">
        <v>0</v>
      </c>
      <c r="G4698">
        <v>197487.5</v>
      </c>
      <c r="H4698">
        <v>0</v>
      </c>
      <c r="I4698">
        <v>0</v>
      </c>
      <c r="J4698">
        <v>0</v>
      </c>
      <c r="K4698">
        <v>0</v>
      </c>
      <c r="L4698">
        <v>52617836.25</v>
      </c>
      <c r="M4698">
        <v>52815323.75</v>
      </c>
      <c r="N4698">
        <v>52617836.25</v>
      </c>
      <c r="O4698">
        <v>52815323.75</v>
      </c>
      <c r="P4698">
        <v>52617836.25</v>
      </c>
      <c r="Q4698">
        <v>52815323.75</v>
      </c>
      <c r="R4698" s="14">
        <f>_xlfn.XLOOKUP(Table2[[#This Row],[LoanID]],Table1[G-L ID],Table1[ManagerCode],-99)</f>
        <v>212</v>
      </c>
      <c r="T4698"/>
    </row>
    <row r="4699" spans="1:20" x14ac:dyDescent="0.25">
      <c r="A4699">
        <v>20160630</v>
      </c>
      <c r="B4699">
        <v>2016</v>
      </c>
      <c r="C4699">
        <v>6</v>
      </c>
      <c r="D4699">
        <v>1</v>
      </c>
      <c r="E4699">
        <v>15580</v>
      </c>
      <c r="F4699">
        <v>117606.37</v>
      </c>
      <c r="G4699">
        <v>-3838.43</v>
      </c>
      <c r="H4699">
        <v>0</v>
      </c>
      <c r="I4699">
        <v>0</v>
      </c>
      <c r="J4699">
        <v>0</v>
      </c>
      <c r="K4699">
        <v>5794.94</v>
      </c>
      <c r="L4699">
        <v>14882485.93</v>
      </c>
      <c r="M4699">
        <v>14872852.560000001</v>
      </c>
      <c r="N4699">
        <v>14882485.93</v>
      </c>
      <c r="O4699">
        <v>14872852.560000001</v>
      </c>
      <c r="P4699">
        <v>14882485.93</v>
      </c>
      <c r="Q4699">
        <v>14872852.560000001</v>
      </c>
      <c r="R4699" s="14">
        <f>_xlfn.XLOOKUP(Table2[[#This Row],[LoanID]],Table1[G-L ID],Table1[ManagerCode],-99)</f>
        <v>212</v>
      </c>
      <c r="T4699"/>
    </row>
    <row r="4700" spans="1:20" x14ac:dyDescent="0.25">
      <c r="A4700">
        <v>20160731</v>
      </c>
      <c r="B4700">
        <v>2016</v>
      </c>
      <c r="C4700">
        <v>7</v>
      </c>
      <c r="D4700">
        <v>1</v>
      </c>
      <c r="E4700">
        <v>10010</v>
      </c>
      <c r="F4700">
        <v>161657.48000000001</v>
      </c>
      <c r="G4700">
        <v>0</v>
      </c>
      <c r="H4700">
        <v>0</v>
      </c>
      <c r="I4700">
        <v>0</v>
      </c>
      <c r="J4700">
        <v>0</v>
      </c>
      <c r="K4700">
        <v>0</v>
      </c>
      <c r="L4700">
        <v>18603662</v>
      </c>
      <c r="M4700">
        <v>18603662</v>
      </c>
      <c r="N4700">
        <v>18603662</v>
      </c>
      <c r="O4700">
        <v>18603662</v>
      </c>
      <c r="P4700">
        <v>18603662</v>
      </c>
      <c r="Q4700">
        <v>18603662</v>
      </c>
      <c r="R4700" s="14">
        <f>_xlfn.XLOOKUP(Table2[[#This Row],[LoanID]],Table1[G-L ID],Table1[ManagerCode],-99)</f>
        <v>119</v>
      </c>
      <c r="T4700"/>
    </row>
    <row r="4701" spans="1:20" x14ac:dyDescent="0.25">
      <c r="A4701">
        <v>20160731</v>
      </c>
      <c r="B4701">
        <v>2016</v>
      </c>
      <c r="C4701">
        <v>7</v>
      </c>
      <c r="D4701">
        <v>1</v>
      </c>
      <c r="E4701">
        <v>10030</v>
      </c>
      <c r="F4701">
        <v>60610.13</v>
      </c>
      <c r="G4701">
        <v>0</v>
      </c>
      <c r="H4701">
        <v>0</v>
      </c>
      <c r="I4701">
        <v>0</v>
      </c>
      <c r="J4701">
        <v>0</v>
      </c>
      <c r="K4701">
        <v>0</v>
      </c>
      <c r="L4701">
        <v>7909070</v>
      </c>
      <c r="M4701">
        <v>7909070</v>
      </c>
      <c r="N4701">
        <v>7909070</v>
      </c>
      <c r="O4701">
        <v>7909070</v>
      </c>
      <c r="P4701">
        <v>7909070</v>
      </c>
      <c r="Q4701">
        <v>7909070</v>
      </c>
      <c r="R4701" s="14">
        <f>_xlfn.XLOOKUP(Table2[[#This Row],[LoanID]],Table1[G-L ID],Table1[ManagerCode],-99)</f>
        <v>119</v>
      </c>
      <c r="T4701"/>
    </row>
    <row r="4702" spans="1:20" x14ac:dyDescent="0.25">
      <c r="A4702">
        <v>20160731</v>
      </c>
      <c r="B4702">
        <v>2016</v>
      </c>
      <c r="C4702">
        <v>7</v>
      </c>
      <c r="D4702">
        <v>1</v>
      </c>
      <c r="E4702">
        <v>10040</v>
      </c>
      <c r="F4702">
        <v>43525</v>
      </c>
      <c r="G4702">
        <v>0</v>
      </c>
      <c r="H4702">
        <v>0</v>
      </c>
      <c r="I4702">
        <v>0</v>
      </c>
      <c r="J4702">
        <v>0</v>
      </c>
      <c r="K4702">
        <v>0</v>
      </c>
      <c r="L4702">
        <v>5000000</v>
      </c>
      <c r="M4702">
        <v>5000000</v>
      </c>
      <c r="N4702">
        <v>5000000</v>
      </c>
      <c r="O4702">
        <v>5000000</v>
      </c>
      <c r="P4702">
        <v>5000000</v>
      </c>
      <c r="Q4702">
        <v>5000000</v>
      </c>
      <c r="R4702" s="14">
        <f>_xlfn.XLOOKUP(Table2[[#This Row],[LoanID]],Table1[G-L ID],Table1[ManagerCode],-99)</f>
        <v>119</v>
      </c>
      <c r="T4702"/>
    </row>
    <row r="4703" spans="1:20" x14ac:dyDescent="0.25">
      <c r="A4703">
        <v>20160731</v>
      </c>
      <c r="B4703">
        <v>2016</v>
      </c>
      <c r="C4703">
        <v>7</v>
      </c>
      <c r="D4703">
        <v>1</v>
      </c>
      <c r="E4703">
        <v>10050</v>
      </c>
      <c r="F4703">
        <v>-149013.89000000001</v>
      </c>
      <c r="G4703">
        <v>0</v>
      </c>
      <c r="H4703">
        <v>0</v>
      </c>
      <c r="I4703">
        <v>0</v>
      </c>
      <c r="J4703">
        <v>0</v>
      </c>
      <c r="K4703">
        <v>0</v>
      </c>
      <c r="L4703">
        <v>39056562.259999998</v>
      </c>
      <c r="M4703">
        <v>39123016.729999997</v>
      </c>
      <c r="N4703">
        <v>39056562.259999998</v>
      </c>
      <c r="O4703">
        <v>39123016.729999997</v>
      </c>
      <c r="P4703">
        <v>33333334</v>
      </c>
      <c r="Q4703">
        <v>33333334</v>
      </c>
      <c r="R4703" s="14">
        <f>_xlfn.XLOOKUP(Table2[[#This Row],[LoanID]],Table1[G-L ID],Table1[ManagerCode],-99)</f>
        <v>103</v>
      </c>
      <c r="T4703"/>
    </row>
    <row r="4704" spans="1:20" x14ac:dyDescent="0.25">
      <c r="A4704">
        <v>20160731</v>
      </c>
      <c r="B4704">
        <v>2016</v>
      </c>
      <c r="C4704">
        <v>7</v>
      </c>
      <c r="D4704">
        <v>1</v>
      </c>
      <c r="E4704">
        <v>10100</v>
      </c>
      <c r="F4704">
        <v>195454.17</v>
      </c>
      <c r="G4704">
        <v>0</v>
      </c>
      <c r="H4704">
        <v>0</v>
      </c>
      <c r="I4704">
        <v>0</v>
      </c>
      <c r="J4704">
        <v>0</v>
      </c>
      <c r="K4704">
        <v>0</v>
      </c>
      <c r="L4704">
        <v>30500000</v>
      </c>
      <c r="M4704">
        <v>30500000</v>
      </c>
      <c r="N4704">
        <v>30500000</v>
      </c>
      <c r="O4704">
        <v>30500000</v>
      </c>
      <c r="P4704">
        <v>30500000</v>
      </c>
      <c r="Q4704">
        <v>30500000</v>
      </c>
      <c r="R4704" s="14">
        <f>_xlfn.XLOOKUP(Table2[[#This Row],[LoanID]],Table1[G-L ID],Table1[ManagerCode],-99)</f>
        <v>220</v>
      </c>
      <c r="T4704"/>
    </row>
    <row r="4705" spans="1:20" x14ac:dyDescent="0.25">
      <c r="A4705">
        <v>20160731</v>
      </c>
      <c r="B4705">
        <v>2016</v>
      </c>
      <c r="C4705">
        <v>7</v>
      </c>
      <c r="D4705">
        <v>1</v>
      </c>
      <c r="E4705">
        <v>10110</v>
      </c>
      <c r="F4705">
        <v>137391</v>
      </c>
      <c r="G4705">
        <v>0</v>
      </c>
      <c r="H4705">
        <v>0</v>
      </c>
      <c r="I4705">
        <v>0</v>
      </c>
      <c r="J4705">
        <v>0</v>
      </c>
      <c r="K4705">
        <v>0</v>
      </c>
      <c r="L4705">
        <v>16400000</v>
      </c>
      <c r="M4705">
        <v>16400000</v>
      </c>
      <c r="N4705">
        <v>16400000</v>
      </c>
      <c r="O4705">
        <v>16400000</v>
      </c>
      <c r="P4705">
        <v>16400000</v>
      </c>
      <c r="Q4705">
        <v>16400000</v>
      </c>
      <c r="R4705" s="14">
        <f>_xlfn.XLOOKUP(Table2[[#This Row],[LoanID]],Table1[G-L ID],Table1[ManagerCode],-99)</f>
        <v>119</v>
      </c>
      <c r="T4705"/>
    </row>
    <row r="4706" spans="1:20" x14ac:dyDescent="0.25">
      <c r="A4706">
        <v>20160731</v>
      </c>
      <c r="B4706">
        <v>2016</v>
      </c>
      <c r="C4706">
        <v>7</v>
      </c>
      <c r="D4706">
        <v>1</v>
      </c>
      <c r="E4706">
        <v>10120</v>
      </c>
      <c r="F4706">
        <v>52968.87</v>
      </c>
      <c r="G4706">
        <v>57978.84</v>
      </c>
      <c r="H4706">
        <v>0</v>
      </c>
      <c r="I4706">
        <v>0</v>
      </c>
      <c r="J4706">
        <v>-52968.87</v>
      </c>
      <c r="K4706">
        <v>0</v>
      </c>
      <c r="L4706">
        <v>10683922.74</v>
      </c>
      <c r="M4706">
        <v>10794870.449999999</v>
      </c>
      <c r="N4706">
        <v>10683922.74</v>
      </c>
      <c r="O4706">
        <v>10794870.449999999</v>
      </c>
      <c r="P4706">
        <v>10683922.74</v>
      </c>
      <c r="Q4706">
        <v>10794870.449999999</v>
      </c>
      <c r="R4706" s="14">
        <f>_xlfn.XLOOKUP(Table2[[#This Row],[LoanID]],Table1[G-L ID],Table1[ManagerCode],-99)</f>
        <v>183</v>
      </c>
      <c r="T4706"/>
    </row>
    <row r="4707" spans="1:20" x14ac:dyDescent="0.25">
      <c r="A4707">
        <v>20160731</v>
      </c>
      <c r="B4707">
        <v>2016</v>
      </c>
      <c r="C4707">
        <v>7</v>
      </c>
      <c r="D4707">
        <v>1</v>
      </c>
      <c r="E4707">
        <v>10160</v>
      </c>
      <c r="F4707">
        <v>117771.17</v>
      </c>
      <c r="G4707">
        <v>0</v>
      </c>
      <c r="H4707">
        <v>0</v>
      </c>
      <c r="I4707">
        <v>0</v>
      </c>
      <c r="J4707">
        <v>0</v>
      </c>
      <c r="K4707">
        <v>0</v>
      </c>
      <c r="L4707">
        <v>14886050.77</v>
      </c>
      <c r="M4707">
        <v>14886050.77</v>
      </c>
      <c r="N4707">
        <v>14886050.77</v>
      </c>
      <c r="O4707">
        <v>14886050.77</v>
      </c>
      <c r="P4707">
        <v>14886050.77</v>
      </c>
      <c r="Q4707">
        <v>14886050.77</v>
      </c>
      <c r="R4707" s="14">
        <f>_xlfn.XLOOKUP(Table2[[#This Row],[LoanID]],Table1[G-L ID],Table1[ManagerCode],-99)</f>
        <v>119</v>
      </c>
      <c r="T4707"/>
    </row>
    <row r="4708" spans="1:20" x14ac:dyDescent="0.25">
      <c r="A4708">
        <v>20160731</v>
      </c>
      <c r="B4708">
        <v>2016</v>
      </c>
      <c r="C4708">
        <v>7</v>
      </c>
      <c r="D4708">
        <v>1</v>
      </c>
      <c r="E4708">
        <v>10220</v>
      </c>
      <c r="F4708">
        <v>541666.67000000004</v>
      </c>
      <c r="G4708">
        <v>0</v>
      </c>
      <c r="H4708">
        <v>0</v>
      </c>
      <c r="I4708">
        <v>0</v>
      </c>
      <c r="J4708">
        <v>0</v>
      </c>
      <c r="K4708">
        <v>0</v>
      </c>
      <c r="L4708">
        <v>116945184.2</v>
      </c>
      <c r="M4708">
        <v>116668586.40000001</v>
      </c>
      <c r="N4708">
        <v>116945184.2</v>
      </c>
      <c r="O4708">
        <v>116668586.40000001</v>
      </c>
      <c r="P4708">
        <v>100000000</v>
      </c>
      <c r="Q4708">
        <v>100000000</v>
      </c>
      <c r="R4708" s="14">
        <f>_xlfn.XLOOKUP(Table2[[#This Row],[LoanID]],Table1[G-L ID],Table1[ManagerCode],-99)</f>
        <v>103</v>
      </c>
      <c r="T4708"/>
    </row>
    <row r="4709" spans="1:20" x14ac:dyDescent="0.25">
      <c r="A4709">
        <v>20160731</v>
      </c>
      <c r="B4709">
        <v>2016</v>
      </c>
      <c r="C4709">
        <v>7</v>
      </c>
      <c r="D4709">
        <v>1</v>
      </c>
      <c r="E4709">
        <v>10240</v>
      </c>
      <c r="F4709">
        <v>87947.92</v>
      </c>
      <c r="G4709">
        <v>0</v>
      </c>
      <c r="H4709">
        <v>0</v>
      </c>
      <c r="I4709">
        <v>0</v>
      </c>
      <c r="J4709">
        <v>0</v>
      </c>
      <c r="K4709">
        <v>0</v>
      </c>
      <c r="L4709">
        <v>12500000</v>
      </c>
      <c r="M4709">
        <v>12500000</v>
      </c>
      <c r="N4709">
        <v>12500000</v>
      </c>
      <c r="O4709">
        <v>12500000</v>
      </c>
      <c r="P4709">
        <v>12500000</v>
      </c>
      <c r="Q4709">
        <v>12500000</v>
      </c>
      <c r="R4709" s="14">
        <f>_xlfn.XLOOKUP(Table2[[#This Row],[LoanID]],Table1[G-L ID],Table1[ManagerCode],-99)</f>
        <v>220</v>
      </c>
      <c r="T4709"/>
    </row>
    <row r="4710" spans="1:20" x14ac:dyDescent="0.25">
      <c r="A4710">
        <v>20160731</v>
      </c>
      <c r="B4710">
        <v>2016</v>
      </c>
      <c r="C4710">
        <v>7</v>
      </c>
      <c r="D4710">
        <v>1</v>
      </c>
      <c r="E4710">
        <v>10250</v>
      </c>
      <c r="F4710">
        <v>48845.83</v>
      </c>
      <c r="G4710">
        <v>0</v>
      </c>
      <c r="H4710">
        <v>0</v>
      </c>
      <c r="I4710">
        <v>0</v>
      </c>
      <c r="J4710">
        <v>0</v>
      </c>
      <c r="K4710">
        <v>0</v>
      </c>
      <c r="L4710">
        <v>5000000</v>
      </c>
      <c r="M4710">
        <v>5000000</v>
      </c>
      <c r="N4710">
        <v>5000000</v>
      </c>
      <c r="O4710">
        <v>5000000</v>
      </c>
      <c r="P4710">
        <v>5000000</v>
      </c>
      <c r="Q4710">
        <v>5000000</v>
      </c>
      <c r="R4710" s="14">
        <f>_xlfn.XLOOKUP(Table2[[#This Row],[LoanID]],Table1[G-L ID],Table1[ManagerCode],-99)</f>
        <v>119</v>
      </c>
      <c r="T4710"/>
    </row>
    <row r="4711" spans="1:20" x14ac:dyDescent="0.25">
      <c r="A4711">
        <v>20160731</v>
      </c>
      <c r="B4711">
        <v>2016</v>
      </c>
      <c r="C4711">
        <v>7</v>
      </c>
      <c r="D4711">
        <v>1</v>
      </c>
      <c r="E4711">
        <v>10260</v>
      </c>
      <c r="F4711">
        <v>99958.13</v>
      </c>
      <c r="G4711">
        <v>0</v>
      </c>
      <c r="H4711">
        <v>0</v>
      </c>
      <c r="I4711">
        <v>0</v>
      </c>
      <c r="J4711">
        <v>0</v>
      </c>
      <c r="K4711">
        <v>0</v>
      </c>
      <c r="L4711">
        <v>15000000</v>
      </c>
      <c r="M4711">
        <v>15000000</v>
      </c>
      <c r="N4711">
        <v>15000000</v>
      </c>
      <c r="O4711">
        <v>15000000</v>
      </c>
      <c r="P4711">
        <v>15000000</v>
      </c>
      <c r="Q4711">
        <v>15000000</v>
      </c>
      <c r="R4711" s="14">
        <f>_xlfn.XLOOKUP(Table2[[#This Row],[LoanID]],Table1[G-L ID],Table1[ManagerCode],-99)</f>
        <v>220</v>
      </c>
      <c r="T4711"/>
    </row>
    <row r="4712" spans="1:20" x14ac:dyDescent="0.25">
      <c r="A4712">
        <v>20160731</v>
      </c>
      <c r="B4712">
        <v>2016</v>
      </c>
      <c r="C4712">
        <v>7</v>
      </c>
      <c r="D4712">
        <v>1</v>
      </c>
      <c r="E4712">
        <v>10270</v>
      </c>
      <c r="F4712">
        <v>42924.25</v>
      </c>
      <c r="G4712">
        <v>0</v>
      </c>
      <c r="H4712">
        <v>0</v>
      </c>
      <c r="I4712">
        <v>0</v>
      </c>
      <c r="J4712">
        <v>0</v>
      </c>
      <c r="K4712">
        <v>0</v>
      </c>
      <c r="L4712">
        <v>5400000</v>
      </c>
      <c r="M4712">
        <v>5400000</v>
      </c>
      <c r="N4712">
        <v>5400000</v>
      </c>
      <c r="O4712">
        <v>5400000</v>
      </c>
      <c r="P4712">
        <v>5400000</v>
      </c>
      <c r="Q4712">
        <v>5400000</v>
      </c>
      <c r="R4712" s="14">
        <f>_xlfn.XLOOKUP(Table2[[#This Row],[LoanID]],Table1[G-L ID],Table1[ManagerCode],-99)</f>
        <v>119</v>
      </c>
      <c r="T4712"/>
    </row>
    <row r="4713" spans="1:20" x14ac:dyDescent="0.25">
      <c r="A4713">
        <v>20160731</v>
      </c>
      <c r="B4713">
        <v>2016</v>
      </c>
      <c r="C4713">
        <v>7</v>
      </c>
      <c r="D4713">
        <v>1</v>
      </c>
      <c r="E4713">
        <v>10350</v>
      </c>
      <c r="F4713">
        <v>180833.33</v>
      </c>
      <c r="G4713">
        <v>0</v>
      </c>
      <c r="H4713">
        <v>0</v>
      </c>
      <c r="I4713">
        <v>0</v>
      </c>
      <c r="J4713">
        <v>0</v>
      </c>
      <c r="K4713">
        <v>0</v>
      </c>
      <c r="L4713">
        <v>24800000</v>
      </c>
      <c r="M4713">
        <v>24800000</v>
      </c>
      <c r="N4713">
        <v>24800000</v>
      </c>
      <c r="O4713">
        <v>24800000</v>
      </c>
      <c r="P4713">
        <v>24800000</v>
      </c>
      <c r="Q4713">
        <v>24800000</v>
      </c>
      <c r="R4713" s="14">
        <f>_xlfn.XLOOKUP(Table2[[#This Row],[LoanID]],Table1[G-L ID],Table1[ManagerCode],-99)</f>
        <v>220</v>
      </c>
      <c r="T4713"/>
    </row>
    <row r="4714" spans="1:20" x14ac:dyDescent="0.25">
      <c r="A4714">
        <v>20160731</v>
      </c>
      <c r="B4714">
        <v>2016</v>
      </c>
      <c r="C4714">
        <v>7</v>
      </c>
      <c r="D4714">
        <v>1</v>
      </c>
      <c r="E4714">
        <v>10360</v>
      </c>
      <c r="F4714">
        <v>57858.96</v>
      </c>
      <c r="G4714">
        <v>0</v>
      </c>
      <c r="H4714">
        <v>0</v>
      </c>
      <c r="I4714">
        <v>0</v>
      </c>
      <c r="J4714">
        <v>0</v>
      </c>
      <c r="K4714">
        <v>0</v>
      </c>
      <c r="L4714">
        <v>5909000</v>
      </c>
      <c r="M4714">
        <v>5909000</v>
      </c>
      <c r="N4714">
        <v>5909000</v>
      </c>
      <c r="O4714">
        <v>5909000</v>
      </c>
      <c r="P4714">
        <v>5909000</v>
      </c>
      <c r="Q4714">
        <v>5909000</v>
      </c>
      <c r="R4714" s="14">
        <f>_xlfn.XLOOKUP(Table2[[#This Row],[LoanID]],Table1[G-L ID],Table1[ManagerCode],-99)</f>
        <v>183</v>
      </c>
      <c r="T4714"/>
    </row>
    <row r="4715" spans="1:20" x14ac:dyDescent="0.25">
      <c r="A4715">
        <v>20160731</v>
      </c>
      <c r="B4715">
        <v>2016</v>
      </c>
      <c r="C4715">
        <v>7</v>
      </c>
      <c r="D4715">
        <v>1</v>
      </c>
      <c r="E4715">
        <v>10410</v>
      </c>
      <c r="F4715">
        <v>24442.92</v>
      </c>
      <c r="G4715">
        <v>39752.11</v>
      </c>
      <c r="H4715">
        <v>0</v>
      </c>
      <c r="I4715">
        <v>0</v>
      </c>
      <c r="J4715">
        <v>-1880017.24</v>
      </c>
      <c r="K4715">
        <v>0</v>
      </c>
      <c r="L4715">
        <v>5381584.1699999999</v>
      </c>
      <c r="M4715">
        <v>7301353.5199999996</v>
      </c>
      <c r="N4715">
        <v>5381584.1699999999</v>
      </c>
      <c r="O4715">
        <v>7301353.5199999996</v>
      </c>
      <c r="P4715">
        <v>5381584.1699999999</v>
      </c>
      <c r="Q4715">
        <v>7301353.5199999996</v>
      </c>
      <c r="R4715" s="14">
        <f>_xlfn.XLOOKUP(Table2[[#This Row],[LoanID]],Table1[G-L ID],Table1[ManagerCode],-99)</f>
        <v>183</v>
      </c>
      <c r="T4715"/>
    </row>
    <row r="4716" spans="1:20" x14ac:dyDescent="0.25">
      <c r="A4716">
        <v>20160731</v>
      </c>
      <c r="B4716">
        <v>2016</v>
      </c>
      <c r="C4716">
        <v>7</v>
      </c>
      <c r="D4716">
        <v>1</v>
      </c>
      <c r="E4716">
        <v>10430</v>
      </c>
      <c r="F4716">
        <v>87560.12</v>
      </c>
      <c r="G4716">
        <v>0</v>
      </c>
      <c r="H4716">
        <v>0</v>
      </c>
      <c r="I4716">
        <v>0</v>
      </c>
      <c r="J4716">
        <v>0</v>
      </c>
      <c r="K4716">
        <v>23400</v>
      </c>
      <c r="L4716">
        <v>10555400</v>
      </c>
      <c r="M4716">
        <v>10532000</v>
      </c>
      <c r="N4716">
        <v>10555400</v>
      </c>
      <c r="O4716">
        <v>10532000</v>
      </c>
      <c r="P4716">
        <v>10555400</v>
      </c>
      <c r="Q4716">
        <v>10532000</v>
      </c>
      <c r="R4716" s="14">
        <f>_xlfn.XLOOKUP(Table2[[#This Row],[LoanID]],Table1[G-L ID],Table1[ManagerCode],-99)</f>
        <v>119</v>
      </c>
      <c r="T4716"/>
    </row>
    <row r="4717" spans="1:20" x14ac:dyDescent="0.25">
      <c r="A4717">
        <v>20160731</v>
      </c>
      <c r="B4717">
        <v>2016</v>
      </c>
      <c r="C4717">
        <v>7</v>
      </c>
      <c r="D4717">
        <v>1</v>
      </c>
      <c r="E4717">
        <v>10480</v>
      </c>
      <c r="F4717">
        <v>173998.65</v>
      </c>
      <c r="G4717">
        <v>0</v>
      </c>
      <c r="H4717">
        <v>0</v>
      </c>
      <c r="I4717">
        <v>0</v>
      </c>
      <c r="J4717">
        <v>-927176.09</v>
      </c>
      <c r="K4717">
        <v>0</v>
      </c>
      <c r="L4717">
        <v>26157141.550000001</v>
      </c>
      <c r="M4717">
        <v>27084317.640000001</v>
      </c>
      <c r="N4717">
        <v>26157141.550000001</v>
      </c>
      <c r="O4717">
        <v>27084317.640000001</v>
      </c>
      <c r="P4717">
        <v>26157141.550000001</v>
      </c>
      <c r="Q4717">
        <v>27084317.640000001</v>
      </c>
      <c r="R4717" s="14">
        <f>_xlfn.XLOOKUP(Table2[[#This Row],[LoanID]],Table1[G-L ID],Table1[ManagerCode],-99)</f>
        <v>119</v>
      </c>
      <c r="T4717"/>
    </row>
    <row r="4718" spans="1:20" x14ac:dyDescent="0.25">
      <c r="A4718">
        <v>20160731</v>
      </c>
      <c r="B4718">
        <v>2016</v>
      </c>
      <c r="C4718">
        <v>7</v>
      </c>
      <c r="D4718">
        <v>1</v>
      </c>
      <c r="E4718">
        <v>10500</v>
      </c>
      <c r="F4718">
        <v>0</v>
      </c>
      <c r="G4718">
        <v>0</v>
      </c>
      <c r="H4718">
        <v>0</v>
      </c>
      <c r="I4718">
        <v>0</v>
      </c>
      <c r="J4718">
        <v>0</v>
      </c>
      <c r="K4718">
        <v>0</v>
      </c>
      <c r="L4718">
        <v>35000000</v>
      </c>
      <c r="M4718">
        <v>35000000</v>
      </c>
      <c r="N4718">
        <v>35000000</v>
      </c>
      <c r="O4718">
        <v>35000000</v>
      </c>
      <c r="P4718">
        <v>35000000</v>
      </c>
      <c r="Q4718">
        <v>35000000</v>
      </c>
      <c r="R4718" s="14">
        <f>_xlfn.XLOOKUP(Table2[[#This Row],[LoanID]],Table1[G-L ID],Table1[ManagerCode],-99)</f>
        <v>119</v>
      </c>
      <c r="T4718"/>
    </row>
    <row r="4719" spans="1:20" x14ac:dyDescent="0.25">
      <c r="A4719">
        <v>20160731</v>
      </c>
      <c r="B4719">
        <v>2016</v>
      </c>
      <c r="C4719">
        <v>7</v>
      </c>
      <c r="D4719">
        <v>1</v>
      </c>
      <c r="E4719">
        <v>10591</v>
      </c>
      <c r="F4719">
        <v>208728.73</v>
      </c>
      <c r="G4719">
        <v>0</v>
      </c>
      <c r="H4719">
        <v>0</v>
      </c>
      <c r="I4719">
        <v>0</v>
      </c>
      <c r="J4719">
        <v>0</v>
      </c>
      <c r="K4719">
        <v>217527.69</v>
      </c>
      <c r="L4719">
        <v>23997944.66</v>
      </c>
      <c r="M4719">
        <v>23780416.969999999</v>
      </c>
      <c r="N4719">
        <v>23997944.66</v>
      </c>
      <c r="O4719">
        <v>23780416.969999999</v>
      </c>
      <c r="P4719">
        <v>23997944.66</v>
      </c>
      <c r="Q4719">
        <v>23780416.969999999</v>
      </c>
      <c r="R4719" s="14">
        <f>_xlfn.XLOOKUP(Table2[[#This Row],[LoanID]],Table1[G-L ID],Table1[ManagerCode],-99)</f>
        <v>220</v>
      </c>
      <c r="T4719"/>
    </row>
    <row r="4720" spans="1:20" x14ac:dyDescent="0.25">
      <c r="A4720">
        <v>20160731</v>
      </c>
      <c r="B4720">
        <v>2016</v>
      </c>
      <c r="C4720">
        <v>7</v>
      </c>
      <c r="D4720">
        <v>1</v>
      </c>
      <c r="E4720">
        <v>10592</v>
      </c>
      <c r="F4720">
        <v>345262.41</v>
      </c>
      <c r="G4720">
        <v>0</v>
      </c>
      <c r="H4720">
        <v>0</v>
      </c>
      <c r="I4720">
        <v>0</v>
      </c>
      <c r="J4720">
        <v>0</v>
      </c>
      <c r="K4720">
        <v>321112.31</v>
      </c>
      <c r="L4720">
        <v>35425537.340000004</v>
      </c>
      <c r="M4720">
        <v>35104425.030000001</v>
      </c>
      <c r="N4720">
        <v>35425537.340000004</v>
      </c>
      <c r="O4720">
        <v>35104425.030000001</v>
      </c>
      <c r="P4720">
        <v>35425537.340000004</v>
      </c>
      <c r="Q4720">
        <v>35104425.030000001</v>
      </c>
      <c r="R4720" s="14">
        <f>_xlfn.XLOOKUP(Table2[[#This Row],[LoanID]],Table1[G-L ID],Table1[ManagerCode],-99)</f>
        <v>220</v>
      </c>
      <c r="T4720"/>
    </row>
    <row r="4721" spans="1:20" x14ac:dyDescent="0.25">
      <c r="A4721">
        <v>20160731</v>
      </c>
      <c r="B4721">
        <v>2016</v>
      </c>
      <c r="C4721">
        <v>7</v>
      </c>
      <c r="D4721">
        <v>1</v>
      </c>
      <c r="E4721">
        <v>10620</v>
      </c>
      <c r="F4721">
        <v>33569.949999999997</v>
      </c>
      <c r="G4721">
        <v>0</v>
      </c>
      <c r="H4721">
        <v>0</v>
      </c>
      <c r="I4721">
        <v>0</v>
      </c>
      <c r="J4721">
        <v>0</v>
      </c>
      <c r="K4721">
        <v>0</v>
      </c>
      <c r="L4721">
        <v>11315131.58</v>
      </c>
      <c r="M4721">
        <v>11315131.58</v>
      </c>
      <c r="N4721">
        <v>11315131.58</v>
      </c>
      <c r="O4721">
        <v>11315131.58</v>
      </c>
      <c r="P4721">
        <v>11315131.58</v>
      </c>
      <c r="Q4721">
        <v>11315131.58</v>
      </c>
      <c r="R4721" s="14">
        <f>_xlfn.XLOOKUP(Table2[[#This Row],[LoanID]],Table1[G-L ID],Table1[ManagerCode],-99)</f>
        <v>119</v>
      </c>
      <c r="T4721"/>
    </row>
    <row r="4722" spans="1:20" x14ac:dyDescent="0.25">
      <c r="A4722">
        <v>20160731</v>
      </c>
      <c r="B4722">
        <v>2016</v>
      </c>
      <c r="C4722">
        <v>7</v>
      </c>
      <c r="D4722">
        <v>1</v>
      </c>
      <c r="E4722">
        <v>10640</v>
      </c>
      <c r="F4722">
        <v>140303.03</v>
      </c>
      <c r="G4722">
        <v>0</v>
      </c>
      <c r="H4722">
        <v>40422</v>
      </c>
      <c r="I4722">
        <v>0</v>
      </c>
      <c r="J4722">
        <v>0</v>
      </c>
      <c r="K4722">
        <v>8084494</v>
      </c>
      <c r="L4722">
        <v>8084494</v>
      </c>
      <c r="M4722">
        <v>0</v>
      </c>
      <c r="N4722">
        <v>8084494</v>
      </c>
      <c r="O4722">
        <v>0</v>
      </c>
      <c r="P4722">
        <v>8084494</v>
      </c>
      <c r="Q4722">
        <v>0</v>
      </c>
      <c r="R4722" s="14">
        <f>_xlfn.XLOOKUP(Table2[[#This Row],[LoanID]],Table1[G-L ID],Table1[ManagerCode],-99)</f>
        <v>220</v>
      </c>
      <c r="T4722"/>
    </row>
    <row r="4723" spans="1:20" x14ac:dyDescent="0.25">
      <c r="A4723">
        <v>20160731</v>
      </c>
      <c r="B4723">
        <v>2016</v>
      </c>
      <c r="C4723">
        <v>7</v>
      </c>
      <c r="D4723">
        <v>1</v>
      </c>
      <c r="E4723">
        <v>10670</v>
      </c>
      <c r="F4723">
        <v>251075</v>
      </c>
      <c r="G4723">
        <v>0</v>
      </c>
      <c r="H4723">
        <v>0</v>
      </c>
      <c r="I4723">
        <v>0</v>
      </c>
      <c r="J4723">
        <v>0</v>
      </c>
      <c r="K4723">
        <v>0</v>
      </c>
      <c r="L4723">
        <v>30000000</v>
      </c>
      <c r="M4723">
        <v>30000000</v>
      </c>
      <c r="N4723">
        <v>30000000</v>
      </c>
      <c r="O4723">
        <v>30000000</v>
      </c>
      <c r="P4723">
        <v>30000000</v>
      </c>
      <c r="Q4723">
        <v>30000000</v>
      </c>
      <c r="R4723" s="14">
        <f>_xlfn.XLOOKUP(Table2[[#This Row],[LoanID]],Table1[G-L ID],Table1[ManagerCode],-99)</f>
        <v>119</v>
      </c>
      <c r="T4723"/>
    </row>
    <row r="4724" spans="1:20" x14ac:dyDescent="0.25">
      <c r="A4724">
        <v>20160731</v>
      </c>
      <c r="B4724">
        <v>2016</v>
      </c>
      <c r="C4724">
        <v>7</v>
      </c>
      <c r="D4724">
        <v>1</v>
      </c>
      <c r="E4724">
        <v>10680</v>
      </c>
      <c r="F4724">
        <v>92082.73</v>
      </c>
      <c r="G4724">
        <v>0</v>
      </c>
      <c r="H4724">
        <v>0</v>
      </c>
      <c r="I4724">
        <v>0</v>
      </c>
      <c r="J4724">
        <v>-98376.24</v>
      </c>
      <c r="K4724">
        <v>0</v>
      </c>
      <c r="L4724">
        <v>11108497.48</v>
      </c>
      <c r="M4724">
        <v>11206873.720000001</v>
      </c>
      <c r="N4724">
        <v>11108497.48</v>
      </c>
      <c r="O4724">
        <v>11206873.720000001</v>
      </c>
      <c r="P4724">
        <v>11108497.48</v>
      </c>
      <c r="Q4724">
        <v>11206873.720000001</v>
      </c>
      <c r="R4724" s="14">
        <f>_xlfn.XLOOKUP(Table2[[#This Row],[LoanID]],Table1[G-L ID],Table1[ManagerCode],-99)</f>
        <v>119</v>
      </c>
      <c r="T4724"/>
    </row>
    <row r="4725" spans="1:20" x14ac:dyDescent="0.25">
      <c r="A4725">
        <v>20160731</v>
      </c>
      <c r="B4725">
        <v>2016</v>
      </c>
      <c r="C4725">
        <v>7</v>
      </c>
      <c r="D4725">
        <v>1</v>
      </c>
      <c r="E4725">
        <v>10730</v>
      </c>
      <c r="F4725">
        <v>96088.54</v>
      </c>
      <c r="G4725">
        <v>0</v>
      </c>
      <c r="H4725">
        <v>0</v>
      </c>
      <c r="I4725">
        <v>0</v>
      </c>
      <c r="J4725">
        <v>0</v>
      </c>
      <c r="K4725">
        <v>0</v>
      </c>
      <c r="L4725">
        <v>9500000</v>
      </c>
      <c r="M4725">
        <v>9500000</v>
      </c>
      <c r="N4725">
        <v>9500000</v>
      </c>
      <c r="O4725">
        <v>9500000</v>
      </c>
      <c r="P4725">
        <v>9500000</v>
      </c>
      <c r="Q4725">
        <v>9500000</v>
      </c>
      <c r="R4725" s="14">
        <f>_xlfn.XLOOKUP(Table2[[#This Row],[LoanID]],Table1[G-L ID],Table1[ManagerCode],-99)</f>
        <v>119</v>
      </c>
      <c r="T4725"/>
    </row>
    <row r="4726" spans="1:20" x14ac:dyDescent="0.25">
      <c r="A4726">
        <v>20160731</v>
      </c>
      <c r="B4726">
        <v>2016</v>
      </c>
      <c r="C4726">
        <v>7</v>
      </c>
      <c r="D4726">
        <v>1</v>
      </c>
      <c r="E4726">
        <v>10740</v>
      </c>
      <c r="F4726">
        <v>0</v>
      </c>
      <c r="G4726">
        <v>0</v>
      </c>
      <c r="H4726">
        <v>0</v>
      </c>
      <c r="I4726">
        <v>0</v>
      </c>
      <c r="J4726">
        <v>0</v>
      </c>
      <c r="K4726">
        <v>0</v>
      </c>
      <c r="L4726">
        <v>449657228</v>
      </c>
      <c r="M4726">
        <v>454436669.80000001</v>
      </c>
      <c r="N4726">
        <v>449657228</v>
      </c>
      <c r="O4726">
        <v>454436669.80000001</v>
      </c>
      <c r="P4726">
        <v>461801475</v>
      </c>
      <c r="Q4726">
        <v>461801475</v>
      </c>
      <c r="R4726" s="14">
        <f>_xlfn.XLOOKUP(Table2[[#This Row],[LoanID]],Table1[G-L ID],Table1[ManagerCode],-99)</f>
        <v>103</v>
      </c>
      <c r="T4726"/>
    </row>
    <row r="4727" spans="1:20" x14ac:dyDescent="0.25">
      <c r="A4727">
        <v>20160731</v>
      </c>
      <c r="B4727">
        <v>2016</v>
      </c>
      <c r="C4727">
        <v>7</v>
      </c>
      <c r="D4727">
        <v>1</v>
      </c>
      <c r="E4727">
        <v>10750</v>
      </c>
      <c r="F4727">
        <v>78059.72</v>
      </c>
      <c r="G4727">
        <v>0</v>
      </c>
      <c r="H4727">
        <v>0</v>
      </c>
      <c r="I4727">
        <v>0</v>
      </c>
      <c r="J4727">
        <v>-511048.91</v>
      </c>
      <c r="K4727">
        <v>0</v>
      </c>
      <c r="L4727">
        <v>10678000.82</v>
      </c>
      <c r="M4727">
        <v>11189049.73</v>
      </c>
      <c r="N4727">
        <v>10678000.82</v>
      </c>
      <c r="O4727">
        <v>11189049.73</v>
      </c>
      <c r="P4727">
        <v>10678000.82</v>
      </c>
      <c r="Q4727">
        <v>11189049.73</v>
      </c>
      <c r="R4727" s="14">
        <f>_xlfn.XLOOKUP(Table2[[#This Row],[LoanID]],Table1[G-L ID],Table1[ManagerCode],-99)</f>
        <v>119</v>
      </c>
      <c r="T4727"/>
    </row>
    <row r="4728" spans="1:20" x14ac:dyDescent="0.25">
      <c r="A4728">
        <v>20160731</v>
      </c>
      <c r="B4728">
        <v>2016</v>
      </c>
      <c r="C4728">
        <v>7</v>
      </c>
      <c r="D4728">
        <v>1</v>
      </c>
      <c r="E4728">
        <v>10780</v>
      </c>
      <c r="F4728">
        <v>311499.17</v>
      </c>
      <c r="G4728">
        <v>0</v>
      </c>
      <c r="H4728">
        <v>0</v>
      </c>
      <c r="I4728">
        <v>0</v>
      </c>
      <c r="J4728">
        <v>0</v>
      </c>
      <c r="K4728">
        <v>0</v>
      </c>
      <c r="L4728">
        <v>43000000</v>
      </c>
      <c r="M4728">
        <v>43000000</v>
      </c>
      <c r="N4728">
        <v>43000000</v>
      </c>
      <c r="O4728">
        <v>43000000</v>
      </c>
      <c r="P4728">
        <v>43000000</v>
      </c>
      <c r="Q4728">
        <v>43000000</v>
      </c>
      <c r="R4728" s="14">
        <f>_xlfn.XLOOKUP(Table2[[#This Row],[LoanID]],Table1[G-L ID],Table1[ManagerCode],-99)</f>
        <v>220</v>
      </c>
      <c r="T4728"/>
    </row>
    <row r="4729" spans="1:20" x14ac:dyDescent="0.25">
      <c r="A4729">
        <v>20160731</v>
      </c>
      <c r="B4729">
        <v>2016</v>
      </c>
      <c r="C4729">
        <v>7</v>
      </c>
      <c r="D4729">
        <v>1</v>
      </c>
      <c r="E4729">
        <v>10800</v>
      </c>
      <c r="F4729">
        <v>397720</v>
      </c>
      <c r="G4729">
        <v>0</v>
      </c>
      <c r="H4729">
        <v>0</v>
      </c>
      <c r="I4729">
        <v>0</v>
      </c>
      <c r="J4729">
        <v>0</v>
      </c>
      <c r="K4729">
        <v>0</v>
      </c>
      <c r="L4729">
        <v>48000000</v>
      </c>
      <c r="M4729">
        <v>48000000</v>
      </c>
      <c r="N4729">
        <v>48000000</v>
      </c>
      <c r="O4729">
        <v>48000000</v>
      </c>
      <c r="P4729">
        <v>48000000</v>
      </c>
      <c r="Q4729">
        <v>48000000</v>
      </c>
      <c r="R4729" s="14">
        <f>_xlfn.XLOOKUP(Table2[[#This Row],[LoanID]],Table1[G-L ID],Table1[ManagerCode],-99)</f>
        <v>220</v>
      </c>
      <c r="T4729"/>
    </row>
    <row r="4730" spans="1:20" x14ac:dyDescent="0.25">
      <c r="A4730">
        <v>20160731</v>
      </c>
      <c r="B4730">
        <v>2016</v>
      </c>
      <c r="C4730">
        <v>7</v>
      </c>
      <c r="D4730">
        <v>1</v>
      </c>
      <c r="E4730">
        <v>10810</v>
      </c>
      <c r="F4730">
        <v>81099.8</v>
      </c>
      <c r="G4730">
        <v>0</v>
      </c>
      <c r="H4730">
        <v>0</v>
      </c>
      <c r="I4730">
        <v>0</v>
      </c>
      <c r="J4730">
        <v>0</v>
      </c>
      <c r="K4730">
        <v>0</v>
      </c>
      <c r="L4730">
        <v>9905000</v>
      </c>
      <c r="M4730">
        <v>9905000</v>
      </c>
      <c r="N4730">
        <v>9905000</v>
      </c>
      <c r="O4730">
        <v>9905000</v>
      </c>
      <c r="P4730">
        <v>9905000</v>
      </c>
      <c r="Q4730">
        <v>9905000</v>
      </c>
      <c r="R4730" s="14">
        <f>_xlfn.XLOOKUP(Table2[[#This Row],[LoanID]],Table1[G-L ID],Table1[ManagerCode],-99)</f>
        <v>119</v>
      </c>
      <c r="T4730"/>
    </row>
    <row r="4731" spans="1:20" x14ac:dyDescent="0.25">
      <c r="A4731">
        <v>20160731</v>
      </c>
      <c r="B4731">
        <v>2016</v>
      </c>
      <c r="C4731">
        <v>7</v>
      </c>
      <c r="D4731">
        <v>1</v>
      </c>
      <c r="E4731">
        <v>10820</v>
      </c>
      <c r="F4731">
        <v>191008.09</v>
      </c>
      <c r="G4731">
        <v>0</v>
      </c>
      <c r="H4731">
        <v>0</v>
      </c>
      <c r="I4731">
        <v>0</v>
      </c>
      <c r="J4731">
        <v>0</v>
      </c>
      <c r="K4731">
        <v>0</v>
      </c>
      <c r="L4731">
        <v>24344483.780000001</v>
      </c>
      <c r="M4731">
        <v>24344483.780000001</v>
      </c>
      <c r="N4731">
        <v>24344483.780000001</v>
      </c>
      <c r="O4731">
        <v>24344483.780000001</v>
      </c>
      <c r="P4731">
        <v>24127337.739999998</v>
      </c>
      <c r="Q4731">
        <v>24127337.739999998</v>
      </c>
      <c r="R4731" s="14">
        <f>_xlfn.XLOOKUP(Table2[[#This Row],[LoanID]],Table1[G-L ID],Table1[ManagerCode],-99)</f>
        <v>220</v>
      </c>
      <c r="T4731"/>
    </row>
    <row r="4732" spans="1:20" x14ac:dyDescent="0.25">
      <c r="A4732">
        <v>20160731</v>
      </c>
      <c r="B4732">
        <v>2016</v>
      </c>
      <c r="C4732">
        <v>7</v>
      </c>
      <c r="D4732">
        <v>1</v>
      </c>
      <c r="E4732">
        <v>10830</v>
      </c>
      <c r="F4732">
        <v>61797.84</v>
      </c>
      <c r="G4732">
        <v>0</v>
      </c>
      <c r="H4732">
        <v>0</v>
      </c>
      <c r="I4732">
        <v>0</v>
      </c>
      <c r="J4732">
        <v>0</v>
      </c>
      <c r="K4732">
        <v>0</v>
      </c>
      <c r="L4732">
        <v>7876297.5300000003</v>
      </c>
      <c r="M4732">
        <v>7876297.5300000003</v>
      </c>
      <c r="N4732">
        <v>7876297.5300000003</v>
      </c>
      <c r="O4732">
        <v>7876297.5300000003</v>
      </c>
      <c r="P4732">
        <v>7806043.1399999997</v>
      </c>
      <c r="Q4732">
        <v>7806043.1399999997</v>
      </c>
      <c r="R4732" s="14">
        <f>_xlfn.XLOOKUP(Table2[[#This Row],[LoanID]],Table1[G-L ID],Table1[ManagerCode],-99)</f>
        <v>220</v>
      </c>
      <c r="T4732"/>
    </row>
    <row r="4733" spans="1:20" x14ac:dyDescent="0.25">
      <c r="A4733">
        <v>20160731</v>
      </c>
      <c r="B4733">
        <v>2016</v>
      </c>
      <c r="C4733">
        <v>7</v>
      </c>
      <c r="D4733">
        <v>1</v>
      </c>
      <c r="E4733">
        <v>10840</v>
      </c>
      <c r="F4733">
        <v>100614.41</v>
      </c>
      <c r="G4733">
        <v>0</v>
      </c>
      <c r="H4733">
        <v>0</v>
      </c>
      <c r="I4733">
        <v>0</v>
      </c>
      <c r="J4733">
        <v>0</v>
      </c>
      <c r="K4733">
        <v>0</v>
      </c>
      <c r="L4733">
        <v>12823571.699999999</v>
      </c>
      <c r="M4733">
        <v>12823571.699999999</v>
      </c>
      <c r="N4733">
        <v>12823571.699999999</v>
      </c>
      <c r="O4733">
        <v>12823571.699999999</v>
      </c>
      <c r="P4733">
        <v>12709189</v>
      </c>
      <c r="Q4733">
        <v>12709189</v>
      </c>
      <c r="R4733" s="14">
        <f>_xlfn.XLOOKUP(Table2[[#This Row],[LoanID]],Table1[G-L ID],Table1[ManagerCode],-99)</f>
        <v>220</v>
      </c>
      <c r="T4733"/>
    </row>
    <row r="4734" spans="1:20" x14ac:dyDescent="0.25">
      <c r="A4734">
        <v>20160731</v>
      </c>
      <c r="B4734">
        <v>2016</v>
      </c>
      <c r="C4734">
        <v>7</v>
      </c>
      <c r="D4734">
        <v>1</v>
      </c>
      <c r="E4734">
        <v>10850</v>
      </c>
      <c r="F4734">
        <v>106969.15</v>
      </c>
      <c r="G4734">
        <v>0</v>
      </c>
      <c r="H4734">
        <v>0</v>
      </c>
      <c r="I4734">
        <v>0</v>
      </c>
      <c r="J4734">
        <v>0</v>
      </c>
      <c r="K4734">
        <v>0</v>
      </c>
      <c r="L4734">
        <v>13633499.029999999</v>
      </c>
      <c r="M4734">
        <v>13633499.029999999</v>
      </c>
      <c r="N4734">
        <v>13633499.029999999</v>
      </c>
      <c r="O4734">
        <v>13633499.029999999</v>
      </c>
      <c r="P4734">
        <v>13511892</v>
      </c>
      <c r="Q4734">
        <v>13511892</v>
      </c>
      <c r="R4734" s="14">
        <f>_xlfn.XLOOKUP(Table2[[#This Row],[LoanID]],Table1[G-L ID],Table1[ManagerCode],-99)</f>
        <v>220</v>
      </c>
      <c r="T4734"/>
    </row>
    <row r="4735" spans="1:20" x14ac:dyDescent="0.25">
      <c r="A4735">
        <v>20160731</v>
      </c>
      <c r="B4735">
        <v>2016</v>
      </c>
      <c r="C4735">
        <v>7</v>
      </c>
      <c r="D4735">
        <v>1</v>
      </c>
      <c r="E4735">
        <v>10860</v>
      </c>
      <c r="F4735">
        <v>118609.58</v>
      </c>
      <c r="G4735">
        <v>0</v>
      </c>
      <c r="H4735">
        <v>0</v>
      </c>
      <c r="I4735">
        <v>0</v>
      </c>
      <c r="J4735">
        <v>0</v>
      </c>
      <c r="K4735">
        <v>0</v>
      </c>
      <c r="L4735">
        <v>19475000</v>
      </c>
      <c r="M4735">
        <v>19475000</v>
      </c>
      <c r="N4735">
        <v>19475000</v>
      </c>
      <c r="O4735">
        <v>19475000</v>
      </c>
      <c r="P4735">
        <v>20500000</v>
      </c>
      <c r="Q4735">
        <v>20500000</v>
      </c>
      <c r="R4735" s="14">
        <f>_xlfn.XLOOKUP(Table2[[#This Row],[LoanID]],Table1[G-L ID],Table1[ManagerCode],-99)</f>
        <v>103</v>
      </c>
      <c r="T4735"/>
    </row>
    <row r="4736" spans="1:20" x14ac:dyDescent="0.25">
      <c r="A4736">
        <v>20160731</v>
      </c>
      <c r="B4736">
        <v>2016</v>
      </c>
      <c r="C4736">
        <v>7</v>
      </c>
      <c r="D4736">
        <v>1</v>
      </c>
      <c r="E4736">
        <v>10890</v>
      </c>
      <c r="F4736">
        <v>102427.16</v>
      </c>
      <c r="G4736">
        <v>86138.4</v>
      </c>
      <c r="H4736">
        <v>0</v>
      </c>
      <c r="I4736">
        <v>0</v>
      </c>
      <c r="J4736">
        <v>-102427.16</v>
      </c>
      <c r="K4736">
        <v>0</v>
      </c>
      <c r="L4736">
        <v>20570787.960000001</v>
      </c>
      <c r="M4736">
        <v>20759353.52</v>
      </c>
      <c r="N4736">
        <v>20570787.960000001</v>
      </c>
      <c r="O4736">
        <v>20759353.52</v>
      </c>
      <c r="P4736">
        <v>20570787.960000001</v>
      </c>
      <c r="Q4736">
        <v>20759353.52</v>
      </c>
      <c r="R4736" s="14">
        <f>_xlfn.XLOOKUP(Table2[[#This Row],[LoanID]],Table1[G-L ID],Table1[ManagerCode],-99)</f>
        <v>183</v>
      </c>
      <c r="T4736"/>
    </row>
    <row r="4737" spans="1:20" x14ac:dyDescent="0.25">
      <c r="A4737">
        <v>20160731</v>
      </c>
      <c r="B4737">
        <v>2016</v>
      </c>
      <c r="C4737">
        <v>7</v>
      </c>
      <c r="D4737">
        <v>1</v>
      </c>
      <c r="E4737">
        <v>10910</v>
      </c>
      <c r="F4737">
        <v>195209.86</v>
      </c>
      <c r="G4737">
        <v>0</v>
      </c>
      <c r="H4737">
        <v>0</v>
      </c>
      <c r="I4737">
        <v>0</v>
      </c>
      <c r="J4737">
        <v>0</v>
      </c>
      <c r="K4737">
        <v>0</v>
      </c>
      <c r="L4737">
        <v>22500000</v>
      </c>
      <c r="M4737">
        <v>22500000</v>
      </c>
      <c r="N4737">
        <v>22500000</v>
      </c>
      <c r="O4737">
        <v>22500000</v>
      </c>
      <c r="P4737">
        <v>22500000</v>
      </c>
      <c r="Q4737">
        <v>22500000</v>
      </c>
      <c r="R4737" s="14">
        <f>_xlfn.XLOOKUP(Table2[[#This Row],[LoanID]],Table1[G-L ID],Table1[ManagerCode],-99)</f>
        <v>119</v>
      </c>
      <c r="T4737"/>
    </row>
    <row r="4738" spans="1:20" x14ac:dyDescent="0.25">
      <c r="A4738">
        <v>20160731</v>
      </c>
      <c r="B4738">
        <v>2016</v>
      </c>
      <c r="C4738">
        <v>7</v>
      </c>
      <c r="D4738">
        <v>1</v>
      </c>
      <c r="E4738">
        <v>10930</v>
      </c>
      <c r="F4738">
        <v>0</v>
      </c>
      <c r="G4738">
        <v>173205.49</v>
      </c>
      <c r="H4738">
        <v>0</v>
      </c>
      <c r="I4738">
        <v>0</v>
      </c>
      <c r="J4738">
        <v>0</v>
      </c>
      <c r="K4738">
        <v>0</v>
      </c>
      <c r="L4738">
        <v>15687345.9</v>
      </c>
      <c r="M4738">
        <v>15860551.390000001</v>
      </c>
      <c r="N4738">
        <v>15687345.9</v>
      </c>
      <c r="O4738">
        <v>15860551.390000001</v>
      </c>
      <c r="P4738">
        <v>15687345.9</v>
      </c>
      <c r="Q4738">
        <v>15860551.390000001</v>
      </c>
      <c r="R4738" s="14">
        <f>_xlfn.XLOOKUP(Table2[[#This Row],[LoanID]],Table1[G-L ID],Table1[ManagerCode],-99)</f>
        <v>183</v>
      </c>
      <c r="T4738"/>
    </row>
    <row r="4739" spans="1:20" x14ac:dyDescent="0.25">
      <c r="A4739">
        <v>20160731</v>
      </c>
      <c r="B4739">
        <v>2016</v>
      </c>
      <c r="C4739">
        <v>7</v>
      </c>
      <c r="D4739">
        <v>1</v>
      </c>
      <c r="E4739">
        <v>10960</v>
      </c>
      <c r="F4739">
        <v>71769.87</v>
      </c>
      <c r="G4739">
        <v>0</v>
      </c>
      <c r="H4739">
        <v>0</v>
      </c>
      <c r="I4739">
        <v>0</v>
      </c>
      <c r="J4739">
        <v>0</v>
      </c>
      <c r="K4739">
        <v>0</v>
      </c>
      <c r="L4739">
        <v>7027740.5300000003</v>
      </c>
      <c r="M4739">
        <v>7027740.5300000003</v>
      </c>
      <c r="N4739">
        <v>7027740.5300000003</v>
      </c>
      <c r="O4739">
        <v>7027740.5300000003</v>
      </c>
      <c r="P4739">
        <v>7027740.5300000003</v>
      </c>
      <c r="Q4739">
        <v>7027740.5300000003</v>
      </c>
      <c r="R4739" s="14">
        <f>_xlfn.XLOOKUP(Table2[[#This Row],[LoanID]],Table1[G-L ID],Table1[ManagerCode],-99)</f>
        <v>119</v>
      </c>
      <c r="T4739"/>
    </row>
    <row r="4740" spans="1:20" x14ac:dyDescent="0.25">
      <c r="A4740">
        <v>20160731</v>
      </c>
      <c r="B4740">
        <v>2016</v>
      </c>
      <c r="C4740">
        <v>7</v>
      </c>
      <c r="D4740">
        <v>1</v>
      </c>
      <c r="E4740">
        <v>11010</v>
      </c>
      <c r="F4740">
        <v>208834.35</v>
      </c>
      <c r="G4740">
        <v>0</v>
      </c>
      <c r="H4740">
        <v>0</v>
      </c>
      <c r="I4740">
        <v>0</v>
      </c>
      <c r="J4740">
        <v>0</v>
      </c>
      <c r="K4740">
        <v>0</v>
      </c>
      <c r="L4740">
        <v>26500000</v>
      </c>
      <c r="M4740">
        <v>26500000</v>
      </c>
      <c r="N4740">
        <v>26500000</v>
      </c>
      <c r="O4740">
        <v>26500000</v>
      </c>
      <c r="P4740">
        <v>26500000</v>
      </c>
      <c r="Q4740">
        <v>26500000</v>
      </c>
      <c r="R4740" s="14">
        <f>_xlfn.XLOOKUP(Table2[[#This Row],[LoanID]],Table1[G-L ID],Table1[ManagerCode],-99)</f>
        <v>119</v>
      </c>
      <c r="T4740"/>
    </row>
    <row r="4741" spans="1:20" x14ac:dyDescent="0.25">
      <c r="A4741">
        <v>20160731</v>
      </c>
      <c r="B4741">
        <v>2016</v>
      </c>
      <c r="C4741">
        <v>7</v>
      </c>
      <c r="D4741">
        <v>1</v>
      </c>
      <c r="E4741">
        <v>11030</v>
      </c>
      <c r="F4741">
        <v>64169.85</v>
      </c>
      <c r="G4741">
        <v>0</v>
      </c>
      <c r="H4741">
        <v>0</v>
      </c>
      <c r="I4741">
        <v>0</v>
      </c>
      <c r="J4741">
        <v>0</v>
      </c>
      <c r="K4741">
        <v>9777.7800000000007</v>
      </c>
      <c r="L4741">
        <v>7892444.4199999999</v>
      </c>
      <c r="M4741">
        <v>7882666.6399999997</v>
      </c>
      <c r="N4741">
        <v>7892444.4199999999</v>
      </c>
      <c r="O4741">
        <v>7882666.6399999997</v>
      </c>
      <c r="P4741">
        <v>7892444.4199999999</v>
      </c>
      <c r="Q4741">
        <v>7882666.6399999997</v>
      </c>
      <c r="R4741" s="14">
        <f>_xlfn.XLOOKUP(Table2[[#This Row],[LoanID]],Table1[G-L ID],Table1[ManagerCode],-99)</f>
        <v>119</v>
      </c>
      <c r="T4741"/>
    </row>
    <row r="4742" spans="1:20" x14ac:dyDescent="0.25">
      <c r="A4742">
        <v>20160731</v>
      </c>
      <c r="B4742">
        <v>2016</v>
      </c>
      <c r="C4742">
        <v>7</v>
      </c>
      <c r="D4742">
        <v>1</v>
      </c>
      <c r="E4742">
        <v>11040</v>
      </c>
      <c r="F4742">
        <v>485971.68</v>
      </c>
      <c r="G4742">
        <v>0</v>
      </c>
      <c r="H4742">
        <v>0</v>
      </c>
      <c r="I4742">
        <v>0</v>
      </c>
      <c r="J4742">
        <v>0</v>
      </c>
      <c r="K4742">
        <v>0</v>
      </c>
      <c r="L4742">
        <v>46866994.979999997</v>
      </c>
      <c r="M4742">
        <v>46866994.979999997</v>
      </c>
      <c r="N4742">
        <v>46866994.979999997</v>
      </c>
      <c r="O4742">
        <v>46866994.979999997</v>
      </c>
      <c r="P4742">
        <v>46866994.979999997</v>
      </c>
      <c r="Q4742">
        <v>46866994.979999997</v>
      </c>
      <c r="R4742" s="14">
        <f>_xlfn.XLOOKUP(Table2[[#This Row],[LoanID]],Table1[G-L ID],Table1[ManagerCode],-99)</f>
        <v>220</v>
      </c>
      <c r="T4742"/>
    </row>
    <row r="4743" spans="1:20" x14ac:dyDescent="0.25">
      <c r="A4743">
        <v>20160731</v>
      </c>
      <c r="B4743">
        <v>2016</v>
      </c>
      <c r="C4743">
        <v>7</v>
      </c>
      <c r="D4743">
        <v>1</v>
      </c>
      <c r="E4743">
        <v>11080</v>
      </c>
      <c r="F4743">
        <v>326888.33</v>
      </c>
      <c r="G4743">
        <v>0</v>
      </c>
      <c r="H4743">
        <v>0</v>
      </c>
      <c r="I4743">
        <v>0</v>
      </c>
      <c r="J4743">
        <v>0</v>
      </c>
      <c r="K4743">
        <v>0</v>
      </c>
      <c r="L4743">
        <v>40000000</v>
      </c>
      <c r="M4743">
        <v>40000000</v>
      </c>
      <c r="N4743">
        <v>40000000</v>
      </c>
      <c r="O4743">
        <v>40000000</v>
      </c>
      <c r="P4743">
        <v>40000000</v>
      </c>
      <c r="Q4743">
        <v>40000000</v>
      </c>
      <c r="R4743" s="14">
        <f>_xlfn.XLOOKUP(Table2[[#This Row],[LoanID]],Table1[G-L ID],Table1[ManagerCode],-99)</f>
        <v>119</v>
      </c>
      <c r="T4743"/>
    </row>
    <row r="4744" spans="1:20" x14ac:dyDescent="0.25">
      <c r="A4744">
        <v>20160731</v>
      </c>
      <c r="B4744">
        <v>2016</v>
      </c>
      <c r="C4744">
        <v>7</v>
      </c>
      <c r="D4744">
        <v>1</v>
      </c>
      <c r="E4744">
        <v>11090</v>
      </c>
      <c r="F4744">
        <v>91239.74</v>
      </c>
      <c r="G4744">
        <v>0</v>
      </c>
      <c r="H4744">
        <v>0</v>
      </c>
      <c r="I4744">
        <v>0</v>
      </c>
      <c r="J4744">
        <v>0</v>
      </c>
      <c r="K4744">
        <v>0</v>
      </c>
      <c r="L4744">
        <v>11000000</v>
      </c>
      <c r="M4744">
        <v>11000000</v>
      </c>
      <c r="N4744">
        <v>11000000</v>
      </c>
      <c r="O4744">
        <v>11000000</v>
      </c>
      <c r="P4744">
        <v>11000000</v>
      </c>
      <c r="Q4744">
        <v>11000000</v>
      </c>
      <c r="R4744" s="14">
        <f>_xlfn.XLOOKUP(Table2[[#This Row],[LoanID]],Table1[G-L ID],Table1[ManagerCode],-99)</f>
        <v>119</v>
      </c>
      <c r="T4744"/>
    </row>
    <row r="4745" spans="1:20" x14ac:dyDescent="0.25">
      <c r="A4745">
        <v>20160731</v>
      </c>
      <c r="B4745">
        <v>2016</v>
      </c>
      <c r="C4745">
        <v>7</v>
      </c>
      <c r="D4745">
        <v>1</v>
      </c>
      <c r="E4745">
        <v>11100</v>
      </c>
      <c r="F4745">
        <v>211562.08</v>
      </c>
      <c r="G4745">
        <v>0</v>
      </c>
      <c r="H4745">
        <v>0</v>
      </c>
      <c r="I4745">
        <v>0</v>
      </c>
      <c r="J4745">
        <v>0</v>
      </c>
      <c r="K4745">
        <v>0</v>
      </c>
      <c r="L4745">
        <v>54450000</v>
      </c>
      <c r="M4745">
        <v>54450000</v>
      </c>
      <c r="N4745">
        <v>54450000</v>
      </c>
      <c r="O4745">
        <v>54450000</v>
      </c>
      <c r="P4745">
        <v>55000000</v>
      </c>
      <c r="Q4745">
        <v>55000000</v>
      </c>
      <c r="R4745" s="14">
        <f>_xlfn.XLOOKUP(Table2[[#This Row],[LoanID]],Table1[G-L ID],Table1[ManagerCode],-99)</f>
        <v>103</v>
      </c>
      <c r="T4745"/>
    </row>
    <row r="4746" spans="1:20" x14ac:dyDescent="0.25">
      <c r="A4746">
        <v>20160731</v>
      </c>
      <c r="B4746">
        <v>2016</v>
      </c>
      <c r="C4746">
        <v>7</v>
      </c>
      <c r="D4746">
        <v>1</v>
      </c>
      <c r="E4746">
        <v>11130</v>
      </c>
      <c r="F4746">
        <v>0</v>
      </c>
      <c r="G4746">
        <v>0</v>
      </c>
      <c r="H4746">
        <v>0</v>
      </c>
      <c r="I4746">
        <v>0</v>
      </c>
      <c r="J4746">
        <v>0</v>
      </c>
      <c r="K4746">
        <v>0</v>
      </c>
      <c r="L4746">
        <v>150450000</v>
      </c>
      <c r="M4746">
        <v>150450000</v>
      </c>
      <c r="N4746">
        <v>150450000</v>
      </c>
      <c r="O4746">
        <v>150450000</v>
      </c>
      <c r="P4746">
        <v>177000000</v>
      </c>
      <c r="Q4746">
        <v>177000000</v>
      </c>
      <c r="R4746" s="14">
        <f>_xlfn.XLOOKUP(Table2[[#This Row],[LoanID]],Table1[G-L ID],Table1[ManagerCode],-99)</f>
        <v>103</v>
      </c>
      <c r="T4746"/>
    </row>
    <row r="4747" spans="1:20" x14ac:dyDescent="0.25">
      <c r="A4747">
        <v>20160731</v>
      </c>
      <c r="B4747">
        <v>2016</v>
      </c>
      <c r="C4747">
        <v>7</v>
      </c>
      <c r="D4747">
        <v>1</v>
      </c>
      <c r="E4747">
        <v>11160</v>
      </c>
      <c r="F4747">
        <v>186217.05</v>
      </c>
      <c r="G4747">
        <v>153476.10999999999</v>
      </c>
      <c r="H4747">
        <v>0</v>
      </c>
      <c r="I4747">
        <v>0</v>
      </c>
      <c r="J4747">
        <v>-3735196.57</v>
      </c>
      <c r="K4747">
        <v>0</v>
      </c>
      <c r="L4747">
        <v>42851866.93</v>
      </c>
      <c r="M4747">
        <v>46740539.609999999</v>
      </c>
      <c r="N4747">
        <v>42851866.93</v>
      </c>
      <c r="O4747">
        <v>46740539.609999999</v>
      </c>
      <c r="P4747">
        <v>42851866.93</v>
      </c>
      <c r="Q4747">
        <v>46740539.609999999</v>
      </c>
      <c r="R4747" s="14">
        <f>_xlfn.XLOOKUP(Table2[[#This Row],[LoanID]],Table1[G-L ID],Table1[ManagerCode],-99)</f>
        <v>183</v>
      </c>
      <c r="T4747"/>
    </row>
    <row r="4748" spans="1:20" x14ac:dyDescent="0.25">
      <c r="A4748">
        <v>20160731</v>
      </c>
      <c r="B4748">
        <v>2016</v>
      </c>
      <c r="C4748">
        <v>7</v>
      </c>
      <c r="D4748">
        <v>1</v>
      </c>
      <c r="E4748">
        <v>11250</v>
      </c>
      <c r="F4748">
        <v>228165.31</v>
      </c>
      <c r="G4748">
        <v>0</v>
      </c>
      <c r="H4748">
        <v>0</v>
      </c>
      <c r="I4748">
        <v>0</v>
      </c>
      <c r="J4748">
        <v>0</v>
      </c>
      <c r="K4748">
        <v>0</v>
      </c>
      <c r="L4748">
        <v>18253225.030000001</v>
      </c>
      <c r="M4748">
        <v>18253225.030000001</v>
      </c>
      <c r="N4748">
        <v>18253225.030000001</v>
      </c>
      <c r="O4748">
        <v>18253225.030000001</v>
      </c>
      <c r="P4748">
        <v>18253225.030000001</v>
      </c>
      <c r="Q4748">
        <v>18253225.030000001</v>
      </c>
      <c r="R4748" s="14">
        <f>_xlfn.XLOOKUP(Table2[[#This Row],[LoanID]],Table1[G-L ID],Table1[ManagerCode],-99)</f>
        <v>183</v>
      </c>
      <c r="T4748"/>
    </row>
    <row r="4749" spans="1:20" x14ac:dyDescent="0.25">
      <c r="A4749">
        <v>20160731</v>
      </c>
      <c r="B4749">
        <v>2016</v>
      </c>
      <c r="C4749">
        <v>7</v>
      </c>
      <c r="D4749">
        <v>1</v>
      </c>
      <c r="E4749">
        <v>11330</v>
      </c>
      <c r="F4749">
        <v>67270.14</v>
      </c>
      <c r="G4749">
        <v>0</v>
      </c>
      <c r="H4749">
        <v>0</v>
      </c>
      <c r="I4749">
        <v>0</v>
      </c>
      <c r="J4749">
        <v>0</v>
      </c>
      <c r="K4749">
        <v>0</v>
      </c>
      <c r="L4749">
        <v>7468012.9000000004</v>
      </c>
      <c r="M4749">
        <v>7468012.9000000004</v>
      </c>
      <c r="N4749">
        <v>7468012.9000000004</v>
      </c>
      <c r="O4749">
        <v>7468012.9000000004</v>
      </c>
      <c r="P4749">
        <v>7468012.9000000004</v>
      </c>
      <c r="Q4749">
        <v>7468012.9000000004</v>
      </c>
      <c r="R4749" s="14">
        <f>_xlfn.XLOOKUP(Table2[[#This Row],[LoanID]],Table1[G-L ID],Table1[ManagerCode],-99)</f>
        <v>119</v>
      </c>
      <c r="T4749"/>
    </row>
    <row r="4750" spans="1:20" x14ac:dyDescent="0.25">
      <c r="A4750">
        <v>20160731</v>
      </c>
      <c r="B4750">
        <v>2016</v>
      </c>
      <c r="C4750">
        <v>7</v>
      </c>
      <c r="D4750">
        <v>1</v>
      </c>
      <c r="E4750">
        <v>11340</v>
      </c>
      <c r="F4750">
        <v>289406.07</v>
      </c>
      <c r="G4750">
        <v>0</v>
      </c>
      <c r="H4750">
        <v>0</v>
      </c>
      <c r="I4750">
        <v>0</v>
      </c>
      <c r="J4750">
        <v>0</v>
      </c>
      <c r="K4750">
        <v>68468.070000000007</v>
      </c>
      <c r="L4750">
        <v>49116344.32</v>
      </c>
      <c r="M4750">
        <v>49048560.939999998</v>
      </c>
      <c r="N4750">
        <v>49116344.32</v>
      </c>
      <c r="O4750">
        <v>49048560.939999998</v>
      </c>
      <c r="P4750">
        <v>49612469.020000003</v>
      </c>
      <c r="Q4750">
        <v>49544000.950000003</v>
      </c>
      <c r="R4750" s="14">
        <f>_xlfn.XLOOKUP(Table2[[#This Row],[LoanID]],Table1[G-L ID],Table1[ManagerCode],-99)</f>
        <v>103</v>
      </c>
      <c r="T4750"/>
    </row>
    <row r="4751" spans="1:20" x14ac:dyDescent="0.25">
      <c r="A4751">
        <v>20160731</v>
      </c>
      <c r="B4751">
        <v>2016</v>
      </c>
      <c r="C4751">
        <v>7</v>
      </c>
      <c r="D4751">
        <v>1</v>
      </c>
      <c r="E4751">
        <v>11350</v>
      </c>
      <c r="F4751">
        <v>320833.33</v>
      </c>
      <c r="G4751">
        <v>0</v>
      </c>
      <c r="H4751">
        <v>0</v>
      </c>
      <c r="I4751">
        <v>0</v>
      </c>
      <c r="J4751">
        <v>0</v>
      </c>
      <c r="K4751">
        <v>0</v>
      </c>
      <c r="L4751">
        <v>54449945.549999997</v>
      </c>
      <c r="M4751">
        <v>54449945.549999997</v>
      </c>
      <c r="N4751">
        <v>54449945.549999997</v>
      </c>
      <c r="O4751">
        <v>54449945.549999997</v>
      </c>
      <c r="P4751">
        <v>55000000</v>
      </c>
      <c r="Q4751">
        <v>55000000</v>
      </c>
      <c r="R4751" s="14">
        <f>_xlfn.XLOOKUP(Table2[[#This Row],[LoanID]],Table1[G-L ID],Table1[ManagerCode],-99)</f>
        <v>103</v>
      </c>
      <c r="T4751"/>
    </row>
    <row r="4752" spans="1:20" x14ac:dyDescent="0.25">
      <c r="A4752">
        <v>20160731</v>
      </c>
      <c r="B4752">
        <v>2016</v>
      </c>
      <c r="C4752">
        <v>7</v>
      </c>
      <c r="D4752">
        <v>1</v>
      </c>
      <c r="E4752">
        <v>11360</v>
      </c>
      <c r="F4752">
        <v>59921.36</v>
      </c>
      <c r="G4752">
        <v>0</v>
      </c>
      <c r="H4752">
        <v>0</v>
      </c>
      <c r="I4752">
        <v>0</v>
      </c>
      <c r="J4752">
        <v>0</v>
      </c>
      <c r="K4752">
        <v>0</v>
      </c>
      <c r="L4752">
        <v>7537500</v>
      </c>
      <c r="M4752">
        <v>7537500</v>
      </c>
      <c r="N4752">
        <v>7537500</v>
      </c>
      <c r="O4752">
        <v>7537500</v>
      </c>
      <c r="P4752">
        <v>7537500</v>
      </c>
      <c r="Q4752">
        <v>7537500</v>
      </c>
      <c r="R4752" s="14">
        <f>_xlfn.XLOOKUP(Table2[[#This Row],[LoanID]],Table1[G-L ID],Table1[ManagerCode],-99)</f>
        <v>119</v>
      </c>
      <c r="T4752"/>
    </row>
    <row r="4753" spans="1:20" x14ac:dyDescent="0.25">
      <c r="A4753">
        <v>20160731</v>
      </c>
      <c r="B4753">
        <v>2016</v>
      </c>
      <c r="C4753">
        <v>7</v>
      </c>
      <c r="D4753">
        <v>1</v>
      </c>
      <c r="E4753">
        <v>11370</v>
      </c>
      <c r="F4753">
        <v>61324.58</v>
      </c>
      <c r="G4753">
        <v>0</v>
      </c>
      <c r="H4753">
        <v>0</v>
      </c>
      <c r="I4753">
        <v>0</v>
      </c>
      <c r="J4753">
        <v>0</v>
      </c>
      <c r="K4753">
        <v>0</v>
      </c>
      <c r="L4753">
        <v>6645849.7400000002</v>
      </c>
      <c r="M4753">
        <v>6645849.7400000002</v>
      </c>
      <c r="N4753">
        <v>6645849.7400000002</v>
      </c>
      <c r="O4753">
        <v>6645849.7400000002</v>
      </c>
      <c r="P4753">
        <v>6645849.7400000002</v>
      </c>
      <c r="Q4753">
        <v>6645849.7400000002</v>
      </c>
      <c r="R4753" s="14">
        <f>_xlfn.XLOOKUP(Table2[[#This Row],[LoanID]],Table1[G-L ID],Table1[ManagerCode],-99)</f>
        <v>119</v>
      </c>
      <c r="T4753"/>
    </row>
    <row r="4754" spans="1:20" x14ac:dyDescent="0.25">
      <c r="A4754">
        <v>20160731</v>
      </c>
      <c r="B4754">
        <v>2016</v>
      </c>
      <c r="C4754">
        <v>7</v>
      </c>
      <c r="D4754">
        <v>1</v>
      </c>
      <c r="E4754">
        <v>11410</v>
      </c>
      <c r="F4754">
        <v>105430</v>
      </c>
      <c r="G4754">
        <v>0</v>
      </c>
      <c r="H4754">
        <v>0</v>
      </c>
      <c r="I4754">
        <v>0</v>
      </c>
      <c r="J4754">
        <v>0</v>
      </c>
      <c r="K4754">
        <v>0</v>
      </c>
      <c r="L4754">
        <v>12000000</v>
      </c>
      <c r="M4754">
        <v>12000000</v>
      </c>
      <c r="N4754">
        <v>12000000</v>
      </c>
      <c r="O4754">
        <v>12000000</v>
      </c>
      <c r="P4754">
        <v>12000000</v>
      </c>
      <c r="Q4754">
        <v>12000000</v>
      </c>
      <c r="R4754" s="14">
        <f>_xlfn.XLOOKUP(Table2[[#This Row],[LoanID]],Table1[G-L ID],Table1[ManagerCode],-99)</f>
        <v>119</v>
      </c>
      <c r="T4754"/>
    </row>
    <row r="4755" spans="1:20" x14ac:dyDescent="0.25">
      <c r="A4755">
        <v>20160731</v>
      </c>
      <c r="B4755">
        <v>2016</v>
      </c>
      <c r="C4755">
        <v>7</v>
      </c>
      <c r="D4755">
        <v>1</v>
      </c>
      <c r="E4755">
        <v>11440</v>
      </c>
      <c r="F4755">
        <v>156250</v>
      </c>
      <c r="G4755">
        <v>0</v>
      </c>
      <c r="H4755">
        <v>0</v>
      </c>
      <c r="I4755">
        <v>0</v>
      </c>
      <c r="J4755">
        <v>0</v>
      </c>
      <c r="K4755">
        <v>0</v>
      </c>
      <c r="L4755">
        <v>18750000</v>
      </c>
      <c r="M4755">
        <v>18750000</v>
      </c>
      <c r="N4755">
        <v>18750000</v>
      </c>
      <c r="O4755">
        <v>18750000</v>
      </c>
      <c r="P4755">
        <v>18750000</v>
      </c>
      <c r="Q4755">
        <v>18750000</v>
      </c>
      <c r="R4755" s="14">
        <f>_xlfn.XLOOKUP(Table2[[#This Row],[LoanID]],Table1[G-L ID],Table1[ManagerCode],-99)</f>
        <v>183</v>
      </c>
      <c r="T4755"/>
    </row>
    <row r="4756" spans="1:20" x14ac:dyDescent="0.25">
      <c r="A4756">
        <v>20160731</v>
      </c>
      <c r="B4756">
        <v>2016</v>
      </c>
      <c r="C4756">
        <v>7</v>
      </c>
      <c r="D4756">
        <v>1</v>
      </c>
      <c r="E4756">
        <v>11450</v>
      </c>
      <c r="F4756">
        <v>0</v>
      </c>
      <c r="G4756">
        <v>0</v>
      </c>
      <c r="H4756">
        <v>0</v>
      </c>
      <c r="I4756">
        <v>0</v>
      </c>
      <c r="J4756">
        <v>0</v>
      </c>
      <c r="K4756">
        <v>0</v>
      </c>
      <c r="L4756">
        <v>15438297.869999999</v>
      </c>
      <c r="M4756">
        <v>15438297.869999999</v>
      </c>
      <c r="N4756">
        <v>15438297.869999999</v>
      </c>
      <c r="O4756">
        <v>15438297.869999999</v>
      </c>
      <c r="P4756">
        <v>15438297.869999999</v>
      </c>
      <c r="Q4756">
        <v>15438297.869999999</v>
      </c>
      <c r="R4756" s="14">
        <f>_xlfn.XLOOKUP(Table2[[#This Row],[LoanID]],Table1[G-L ID],Table1[ManagerCode],-99)</f>
        <v>119</v>
      </c>
      <c r="T4756"/>
    </row>
    <row r="4757" spans="1:20" x14ac:dyDescent="0.25">
      <c r="A4757">
        <v>20160731</v>
      </c>
      <c r="B4757">
        <v>2016</v>
      </c>
      <c r="C4757">
        <v>7</v>
      </c>
      <c r="D4757">
        <v>1</v>
      </c>
      <c r="E4757">
        <v>11480</v>
      </c>
      <c r="F4757">
        <v>361258.33</v>
      </c>
      <c r="G4757">
        <v>0</v>
      </c>
      <c r="H4757">
        <v>0</v>
      </c>
      <c r="I4757">
        <v>0</v>
      </c>
      <c r="J4757">
        <v>0</v>
      </c>
      <c r="K4757">
        <v>0</v>
      </c>
      <c r="L4757">
        <v>66500000</v>
      </c>
      <c r="M4757">
        <v>66500000</v>
      </c>
      <c r="N4757">
        <v>66500000</v>
      </c>
      <c r="O4757">
        <v>66500000</v>
      </c>
      <c r="P4757">
        <v>70000000</v>
      </c>
      <c r="Q4757">
        <v>70000000</v>
      </c>
      <c r="R4757" s="14">
        <f>_xlfn.XLOOKUP(Table2[[#This Row],[LoanID]],Table1[G-L ID],Table1[ManagerCode],-99)</f>
        <v>103</v>
      </c>
      <c r="T4757"/>
    </row>
    <row r="4758" spans="1:20" x14ac:dyDescent="0.25">
      <c r="A4758">
        <v>20160731</v>
      </c>
      <c r="B4758">
        <v>2016</v>
      </c>
      <c r="C4758">
        <v>7</v>
      </c>
      <c r="D4758">
        <v>1</v>
      </c>
      <c r="E4758">
        <v>11490</v>
      </c>
      <c r="F4758">
        <v>341137.5</v>
      </c>
      <c r="G4758">
        <v>0</v>
      </c>
      <c r="H4758">
        <v>0</v>
      </c>
      <c r="I4758">
        <v>0</v>
      </c>
      <c r="J4758">
        <v>0</v>
      </c>
      <c r="K4758">
        <v>0</v>
      </c>
      <c r="L4758">
        <v>49500000</v>
      </c>
      <c r="M4758">
        <v>49500000</v>
      </c>
      <c r="N4758">
        <v>49500000</v>
      </c>
      <c r="O4758">
        <v>49500000</v>
      </c>
      <c r="P4758">
        <v>55000000</v>
      </c>
      <c r="Q4758">
        <v>55000000</v>
      </c>
      <c r="R4758" s="14">
        <f>_xlfn.XLOOKUP(Table2[[#This Row],[LoanID]],Table1[G-L ID],Table1[ManagerCode],-99)</f>
        <v>103</v>
      </c>
      <c r="T4758"/>
    </row>
    <row r="4759" spans="1:20" x14ac:dyDescent="0.25">
      <c r="A4759">
        <v>20160731</v>
      </c>
      <c r="B4759">
        <v>2016</v>
      </c>
      <c r="C4759">
        <v>7</v>
      </c>
      <c r="D4759">
        <v>1</v>
      </c>
      <c r="E4759">
        <v>11520</v>
      </c>
      <c r="F4759">
        <v>34265.71</v>
      </c>
      <c r="G4759">
        <v>0</v>
      </c>
      <c r="H4759">
        <v>0</v>
      </c>
      <c r="I4759">
        <v>0</v>
      </c>
      <c r="J4759">
        <v>-100794.97</v>
      </c>
      <c r="K4759">
        <v>0</v>
      </c>
      <c r="L4759">
        <v>4449348.7300000004</v>
      </c>
      <c r="M4759">
        <v>4550143.7</v>
      </c>
      <c r="N4759">
        <v>4449348.7300000004</v>
      </c>
      <c r="O4759">
        <v>4550143.7</v>
      </c>
      <c r="P4759">
        <v>4449348.7300000004</v>
      </c>
      <c r="Q4759">
        <v>4550143.7</v>
      </c>
      <c r="R4759" s="14">
        <f>_xlfn.XLOOKUP(Table2[[#This Row],[LoanID]],Table1[G-L ID],Table1[ManagerCode],-99)</f>
        <v>119</v>
      </c>
      <c r="T4759"/>
    </row>
    <row r="4760" spans="1:20" x14ac:dyDescent="0.25">
      <c r="A4760">
        <v>20160731</v>
      </c>
      <c r="B4760">
        <v>2016</v>
      </c>
      <c r="C4760">
        <v>7</v>
      </c>
      <c r="D4760">
        <v>1</v>
      </c>
      <c r="E4760">
        <v>11530</v>
      </c>
      <c r="F4760">
        <v>109576.25</v>
      </c>
      <c r="G4760">
        <v>0</v>
      </c>
      <c r="H4760">
        <v>0</v>
      </c>
      <c r="I4760">
        <v>0</v>
      </c>
      <c r="J4760">
        <v>0</v>
      </c>
      <c r="K4760">
        <v>0</v>
      </c>
      <c r="L4760">
        <v>12320592.189999999</v>
      </c>
      <c r="M4760">
        <v>12320592.189999999</v>
      </c>
      <c r="N4760">
        <v>12320592.189999999</v>
      </c>
      <c r="O4760">
        <v>12320592.189999999</v>
      </c>
      <c r="P4760">
        <v>12320592.189999999</v>
      </c>
      <c r="Q4760">
        <v>12320592.189999999</v>
      </c>
      <c r="R4760" s="14">
        <f>_xlfn.XLOOKUP(Table2[[#This Row],[LoanID]],Table1[G-L ID],Table1[ManagerCode],-99)</f>
        <v>119</v>
      </c>
      <c r="T4760"/>
    </row>
    <row r="4761" spans="1:20" x14ac:dyDescent="0.25">
      <c r="A4761">
        <v>20160731</v>
      </c>
      <c r="B4761">
        <v>2016</v>
      </c>
      <c r="C4761">
        <v>7</v>
      </c>
      <c r="D4761">
        <v>1</v>
      </c>
      <c r="E4761">
        <v>11590</v>
      </c>
      <c r="F4761">
        <v>23206.14</v>
      </c>
      <c r="G4761">
        <v>0</v>
      </c>
      <c r="H4761">
        <v>0</v>
      </c>
      <c r="I4761">
        <v>0</v>
      </c>
      <c r="J4761">
        <v>0</v>
      </c>
      <c r="K4761">
        <v>0</v>
      </c>
      <c r="L4761">
        <v>3507224.44</v>
      </c>
      <c r="M4761">
        <v>3507224.44</v>
      </c>
      <c r="N4761">
        <v>3507224.44</v>
      </c>
      <c r="O4761">
        <v>3507224.44</v>
      </c>
      <c r="P4761">
        <v>3507224.44</v>
      </c>
      <c r="Q4761">
        <v>3507224.44</v>
      </c>
      <c r="R4761" s="14">
        <f>_xlfn.XLOOKUP(Table2[[#This Row],[LoanID]],Table1[G-L ID],Table1[ManagerCode],-99)</f>
        <v>119</v>
      </c>
      <c r="T4761"/>
    </row>
    <row r="4762" spans="1:20" x14ac:dyDescent="0.25">
      <c r="A4762">
        <v>20160731</v>
      </c>
      <c r="B4762">
        <v>2016</v>
      </c>
      <c r="C4762">
        <v>7</v>
      </c>
      <c r="D4762">
        <v>1</v>
      </c>
      <c r="E4762">
        <v>11650</v>
      </c>
      <c r="F4762">
        <v>75000</v>
      </c>
      <c r="G4762">
        <v>0</v>
      </c>
      <c r="H4762">
        <v>0</v>
      </c>
      <c r="I4762">
        <v>0</v>
      </c>
      <c r="J4762">
        <v>0</v>
      </c>
      <c r="K4762">
        <v>0</v>
      </c>
      <c r="L4762">
        <v>9600000</v>
      </c>
      <c r="M4762">
        <v>9600000</v>
      </c>
      <c r="N4762">
        <v>9600000</v>
      </c>
      <c r="O4762">
        <v>9600000</v>
      </c>
      <c r="P4762">
        <v>12000000</v>
      </c>
      <c r="Q4762">
        <v>12000000</v>
      </c>
      <c r="R4762" s="14">
        <f>_xlfn.XLOOKUP(Table2[[#This Row],[LoanID]],Table1[G-L ID],Table1[ManagerCode],-99)</f>
        <v>103</v>
      </c>
      <c r="T4762"/>
    </row>
    <row r="4763" spans="1:20" x14ac:dyDescent="0.25">
      <c r="A4763">
        <v>20160731</v>
      </c>
      <c r="B4763">
        <v>2016</v>
      </c>
      <c r="C4763">
        <v>7</v>
      </c>
      <c r="D4763">
        <v>1</v>
      </c>
      <c r="E4763">
        <v>11680</v>
      </c>
      <c r="F4763">
        <v>57126.559999999998</v>
      </c>
      <c r="G4763">
        <v>0</v>
      </c>
      <c r="H4763">
        <v>0</v>
      </c>
      <c r="I4763">
        <v>0</v>
      </c>
      <c r="J4763">
        <v>0</v>
      </c>
      <c r="K4763">
        <v>0</v>
      </c>
      <c r="L4763">
        <v>6600000</v>
      </c>
      <c r="M4763">
        <v>6600000</v>
      </c>
      <c r="N4763">
        <v>6600000</v>
      </c>
      <c r="O4763">
        <v>6600000</v>
      </c>
      <c r="P4763">
        <v>6600000</v>
      </c>
      <c r="Q4763">
        <v>6600000</v>
      </c>
      <c r="R4763" s="14">
        <f>_xlfn.XLOOKUP(Table2[[#This Row],[LoanID]],Table1[G-L ID],Table1[ManagerCode],-99)</f>
        <v>183</v>
      </c>
      <c r="T4763"/>
    </row>
    <row r="4764" spans="1:20" x14ac:dyDescent="0.25">
      <c r="A4764">
        <v>20160731</v>
      </c>
      <c r="B4764">
        <v>2016</v>
      </c>
      <c r="C4764">
        <v>7</v>
      </c>
      <c r="D4764">
        <v>1</v>
      </c>
      <c r="E4764">
        <v>11690</v>
      </c>
      <c r="F4764">
        <v>0</v>
      </c>
      <c r="G4764">
        <v>0</v>
      </c>
      <c r="H4764">
        <v>0</v>
      </c>
      <c r="I4764">
        <v>0</v>
      </c>
      <c r="J4764">
        <v>0</v>
      </c>
      <c r="K4764">
        <v>0</v>
      </c>
      <c r="L4764">
        <v>17000000</v>
      </c>
      <c r="M4764">
        <v>17000000</v>
      </c>
      <c r="N4764">
        <v>17000000</v>
      </c>
      <c r="O4764">
        <v>17000000</v>
      </c>
      <c r="P4764">
        <v>17000000</v>
      </c>
      <c r="Q4764">
        <v>17000000</v>
      </c>
      <c r="R4764" s="14">
        <f>_xlfn.XLOOKUP(Table2[[#This Row],[LoanID]],Table1[G-L ID],Table1[ManagerCode],-99)</f>
        <v>119</v>
      </c>
      <c r="T4764"/>
    </row>
    <row r="4765" spans="1:20" x14ac:dyDescent="0.25">
      <c r="A4765">
        <v>20160731</v>
      </c>
      <c r="B4765">
        <v>2016</v>
      </c>
      <c r="C4765">
        <v>7</v>
      </c>
      <c r="D4765">
        <v>1</v>
      </c>
      <c r="E4765">
        <v>11710</v>
      </c>
      <c r="F4765">
        <v>125575.13</v>
      </c>
      <c r="G4765">
        <v>0</v>
      </c>
      <c r="H4765">
        <v>0</v>
      </c>
      <c r="I4765">
        <v>0</v>
      </c>
      <c r="J4765">
        <v>0</v>
      </c>
      <c r="K4765">
        <v>15000</v>
      </c>
      <c r="L4765">
        <v>14910000</v>
      </c>
      <c r="M4765">
        <v>14895000</v>
      </c>
      <c r="N4765">
        <v>14910000</v>
      </c>
      <c r="O4765">
        <v>14895000</v>
      </c>
      <c r="P4765">
        <v>14910000</v>
      </c>
      <c r="Q4765">
        <v>14895000</v>
      </c>
      <c r="R4765" s="14">
        <f>_xlfn.XLOOKUP(Table2[[#This Row],[LoanID]],Table1[G-L ID],Table1[ManagerCode],-99)</f>
        <v>119</v>
      </c>
      <c r="T4765"/>
    </row>
    <row r="4766" spans="1:20" x14ac:dyDescent="0.25">
      <c r="A4766">
        <v>20160731</v>
      </c>
      <c r="B4766">
        <v>2016</v>
      </c>
      <c r="C4766">
        <v>7</v>
      </c>
      <c r="D4766">
        <v>1</v>
      </c>
      <c r="E4766">
        <v>11720</v>
      </c>
      <c r="F4766">
        <v>125000</v>
      </c>
      <c r="G4766">
        <v>0</v>
      </c>
      <c r="H4766">
        <v>0</v>
      </c>
      <c r="I4766">
        <v>0</v>
      </c>
      <c r="J4766">
        <v>0</v>
      </c>
      <c r="K4766">
        <v>0</v>
      </c>
      <c r="L4766">
        <v>19800000</v>
      </c>
      <c r="M4766">
        <v>19800000</v>
      </c>
      <c r="N4766">
        <v>19800000</v>
      </c>
      <c r="O4766">
        <v>19800000</v>
      </c>
      <c r="P4766">
        <v>20000000</v>
      </c>
      <c r="Q4766">
        <v>20000000</v>
      </c>
      <c r="R4766" s="14">
        <f>_xlfn.XLOOKUP(Table2[[#This Row],[LoanID]],Table1[G-L ID],Table1[ManagerCode],-99)</f>
        <v>103</v>
      </c>
      <c r="T4766"/>
    </row>
    <row r="4767" spans="1:20" x14ac:dyDescent="0.25">
      <c r="A4767">
        <v>20160731</v>
      </c>
      <c r="B4767">
        <v>2016</v>
      </c>
      <c r="C4767">
        <v>7</v>
      </c>
      <c r="D4767">
        <v>1</v>
      </c>
      <c r="E4767">
        <v>11730</v>
      </c>
      <c r="F4767">
        <v>46456.97</v>
      </c>
      <c r="G4767">
        <v>0</v>
      </c>
      <c r="H4767">
        <v>0</v>
      </c>
      <c r="I4767">
        <v>0</v>
      </c>
      <c r="J4767">
        <v>0</v>
      </c>
      <c r="K4767">
        <v>0</v>
      </c>
      <c r="L4767">
        <v>4750000</v>
      </c>
      <c r="M4767">
        <v>4750000</v>
      </c>
      <c r="N4767">
        <v>4750000</v>
      </c>
      <c r="O4767">
        <v>4750000</v>
      </c>
      <c r="P4767">
        <v>4750000</v>
      </c>
      <c r="Q4767">
        <v>4750000</v>
      </c>
      <c r="R4767" s="14">
        <f>_xlfn.XLOOKUP(Table2[[#This Row],[LoanID]],Table1[G-L ID],Table1[ManagerCode],-99)</f>
        <v>119</v>
      </c>
      <c r="T4767"/>
    </row>
    <row r="4768" spans="1:20" x14ac:dyDescent="0.25">
      <c r="A4768">
        <v>20160731</v>
      </c>
      <c r="B4768">
        <v>2016</v>
      </c>
      <c r="C4768">
        <v>7</v>
      </c>
      <c r="D4768">
        <v>1</v>
      </c>
      <c r="E4768">
        <v>11750</v>
      </c>
      <c r="F4768">
        <v>97958.080000000002</v>
      </c>
      <c r="G4768">
        <v>109683.1</v>
      </c>
      <c r="H4768">
        <v>0</v>
      </c>
      <c r="I4768">
        <v>0</v>
      </c>
      <c r="J4768">
        <v>-3391010.3</v>
      </c>
      <c r="K4768">
        <v>0</v>
      </c>
      <c r="L4768">
        <v>20023094.789999999</v>
      </c>
      <c r="M4768">
        <v>23523788.190000001</v>
      </c>
      <c r="N4768">
        <v>20023094.789999999</v>
      </c>
      <c r="O4768">
        <v>23523788.190000001</v>
      </c>
      <c r="P4768">
        <v>20023094.789999999</v>
      </c>
      <c r="Q4768">
        <v>23523788.190000001</v>
      </c>
      <c r="R4768" s="14">
        <f>_xlfn.XLOOKUP(Table2[[#This Row],[LoanID]],Table1[G-L ID],Table1[ManagerCode],-99)</f>
        <v>183</v>
      </c>
      <c r="T4768"/>
    </row>
    <row r="4769" spans="1:20" x14ac:dyDescent="0.25">
      <c r="A4769">
        <v>20160731</v>
      </c>
      <c r="B4769">
        <v>2016</v>
      </c>
      <c r="C4769">
        <v>7</v>
      </c>
      <c r="D4769">
        <v>1</v>
      </c>
      <c r="E4769">
        <v>11810</v>
      </c>
      <c r="F4769">
        <v>48413.09</v>
      </c>
      <c r="G4769">
        <v>0</v>
      </c>
      <c r="H4769">
        <v>0</v>
      </c>
      <c r="I4769">
        <v>0</v>
      </c>
      <c r="J4769">
        <v>0</v>
      </c>
      <c r="K4769">
        <v>12445</v>
      </c>
      <c r="L4769">
        <v>9367223.8200000003</v>
      </c>
      <c r="M4769">
        <v>9354903.2799999993</v>
      </c>
      <c r="N4769">
        <v>9367223.8200000003</v>
      </c>
      <c r="O4769">
        <v>9354903.2799999993</v>
      </c>
      <c r="P4769">
        <v>9366490.3100000005</v>
      </c>
      <c r="Q4769">
        <v>9354045.3100000005</v>
      </c>
      <c r="R4769" s="14">
        <f>_xlfn.XLOOKUP(Table2[[#This Row],[LoanID]],Table1[G-L ID],Table1[ManagerCode],-99)</f>
        <v>103</v>
      </c>
      <c r="T4769"/>
    </row>
    <row r="4770" spans="1:20" x14ac:dyDescent="0.25">
      <c r="A4770">
        <v>20160731</v>
      </c>
      <c r="B4770">
        <v>2016</v>
      </c>
      <c r="C4770">
        <v>7</v>
      </c>
      <c r="D4770">
        <v>1</v>
      </c>
      <c r="E4770">
        <v>11830</v>
      </c>
      <c r="F4770">
        <v>64108.44</v>
      </c>
      <c r="G4770">
        <v>0</v>
      </c>
      <c r="H4770">
        <v>0</v>
      </c>
      <c r="I4770">
        <v>0</v>
      </c>
      <c r="J4770">
        <v>0</v>
      </c>
      <c r="K4770">
        <v>0</v>
      </c>
      <c r="L4770">
        <v>6775000</v>
      </c>
      <c r="M4770">
        <v>6775000</v>
      </c>
      <c r="N4770">
        <v>6775000</v>
      </c>
      <c r="O4770">
        <v>6775000</v>
      </c>
      <c r="P4770">
        <v>6775000</v>
      </c>
      <c r="Q4770">
        <v>6775000</v>
      </c>
      <c r="R4770" s="14">
        <f>_xlfn.XLOOKUP(Table2[[#This Row],[LoanID]],Table1[G-L ID],Table1[ManagerCode],-99)</f>
        <v>119</v>
      </c>
      <c r="T4770"/>
    </row>
    <row r="4771" spans="1:20" x14ac:dyDescent="0.25">
      <c r="A4771">
        <v>20160731</v>
      </c>
      <c r="B4771">
        <v>2016</v>
      </c>
      <c r="C4771">
        <v>7</v>
      </c>
      <c r="D4771">
        <v>1</v>
      </c>
      <c r="E4771">
        <v>11850</v>
      </c>
      <c r="F4771">
        <v>66167.899999999994</v>
      </c>
      <c r="G4771">
        <v>0</v>
      </c>
      <c r="H4771">
        <v>0</v>
      </c>
      <c r="I4771">
        <v>0</v>
      </c>
      <c r="J4771">
        <v>-1683138.03</v>
      </c>
      <c r="K4771">
        <v>0</v>
      </c>
      <c r="L4771">
        <v>7054644.4800000004</v>
      </c>
      <c r="M4771">
        <v>8737782.5099999998</v>
      </c>
      <c r="N4771">
        <v>7054644.4800000004</v>
      </c>
      <c r="O4771">
        <v>8737782.5099999998</v>
      </c>
      <c r="P4771">
        <v>7054644.4800000004</v>
      </c>
      <c r="Q4771">
        <v>8737782.5099999998</v>
      </c>
      <c r="R4771" s="14">
        <f>_xlfn.XLOOKUP(Table2[[#This Row],[LoanID]],Table1[G-L ID],Table1[ManagerCode],-99)</f>
        <v>183</v>
      </c>
      <c r="T4771"/>
    </row>
    <row r="4772" spans="1:20" x14ac:dyDescent="0.25">
      <c r="A4772">
        <v>20160731</v>
      </c>
      <c r="B4772">
        <v>2016</v>
      </c>
      <c r="C4772">
        <v>7</v>
      </c>
      <c r="D4772">
        <v>1</v>
      </c>
      <c r="E4772">
        <v>11880</v>
      </c>
      <c r="F4772">
        <v>363281.25</v>
      </c>
      <c r="G4772">
        <v>178505.62</v>
      </c>
      <c r="H4772">
        <v>0</v>
      </c>
      <c r="I4772">
        <v>0</v>
      </c>
      <c r="J4772">
        <v>0</v>
      </c>
      <c r="K4772">
        <v>0</v>
      </c>
      <c r="L4772">
        <v>79586196.349999994</v>
      </c>
      <c r="M4772">
        <v>79764701.969999999</v>
      </c>
      <c r="N4772">
        <v>79586196.349999994</v>
      </c>
      <c r="O4772">
        <v>79764701.969999999</v>
      </c>
      <c r="P4772">
        <v>79586196.349999994</v>
      </c>
      <c r="Q4772">
        <v>79764701.969999999</v>
      </c>
      <c r="R4772" s="14">
        <f>_xlfn.XLOOKUP(Table2[[#This Row],[LoanID]],Table1[G-L ID],Table1[ManagerCode],-99)</f>
        <v>183</v>
      </c>
      <c r="T4772"/>
    </row>
    <row r="4773" spans="1:20" x14ac:dyDescent="0.25">
      <c r="A4773">
        <v>20160731</v>
      </c>
      <c r="B4773">
        <v>2016</v>
      </c>
      <c r="C4773">
        <v>7</v>
      </c>
      <c r="D4773">
        <v>1</v>
      </c>
      <c r="E4773">
        <v>11980</v>
      </c>
      <c r="F4773">
        <v>66339.759999999995</v>
      </c>
      <c r="G4773">
        <v>0</v>
      </c>
      <c r="H4773">
        <v>0</v>
      </c>
      <c r="I4773">
        <v>0</v>
      </c>
      <c r="J4773">
        <v>0</v>
      </c>
      <c r="K4773">
        <v>0</v>
      </c>
      <c r="L4773">
        <v>7400000</v>
      </c>
      <c r="M4773">
        <v>7400000</v>
      </c>
      <c r="N4773">
        <v>7400000</v>
      </c>
      <c r="O4773">
        <v>7400000</v>
      </c>
      <c r="P4773">
        <v>7400000</v>
      </c>
      <c r="Q4773">
        <v>7400000</v>
      </c>
      <c r="R4773" s="14">
        <f>_xlfn.XLOOKUP(Table2[[#This Row],[LoanID]],Table1[G-L ID],Table1[ManagerCode],-99)</f>
        <v>119</v>
      </c>
      <c r="T4773"/>
    </row>
    <row r="4774" spans="1:20" x14ac:dyDescent="0.25">
      <c r="A4774">
        <v>20160731</v>
      </c>
      <c r="B4774">
        <v>2016</v>
      </c>
      <c r="C4774">
        <v>7</v>
      </c>
      <c r="D4774">
        <v>1</v>
      </c>
      <c r="E4774">
        <v>11990</v>
      </c>
      <c r="F4774">
        <v>100575</v>
      </c>
      <c r="G4774">
        <v>0</v>
      </c>
      <c r="H4774">
        <v>0</v>
      </c>
      <c r="I4774">
        <v>0</v>
      </c>
      <c r="J4774">
        <v>0</v>
      </c>
      <c r="K4774">
        <v>0</v>
      </c>
      <c r="L4774">
        <v>14700000</v>
      </c>
      <c r="M4774">
        <v>14700000</v>
      </c>
      <c r="N4774">
        <v>14700000</v>
      </c>
      <c r="O4774">
        <v>14700000</v>
      </c>
      <c r="P4774">
        <v>15000000</v>
      </c>
      <c r="Q4774">
        <v>15000000</v>
      </c>
      <c r="R4774" s="14">
        <f>_xlfn.XLOOKUP(Table2[[#This Row],[LoanID]],Table1[G-L ID],Table1[ManagerCode],-99)</f>
        <v>220</v>
      </c>
      <c r="T4774"/>
    </row>
    <row r="4775" spans="1:20" x14ac:dyDescent="0.25">
      <c r="A4775">
        <v>20160731</v>
      </c>
      <c r="B4775">
        <v>2016</v>
      </c>
      <c r="C4775">
        <v>7</v>
      </c>
      <c r="D4775">
        <v>1</v>
      </c>
      <c r="E4775">
        <v>12010</v>
      </c>
      <c r="F4775">
        <v>177502.3</v>
      </c>
      <c r="G4775">
        <v>0</v>
      </c>
      <c r="H4775">
        <v>0</v>
      </c>
      <c r="I4775">
        <v>0</v>
      </c>
      <c r="J4775">
        <v>0</v>
      </c>
      <c r="K4775">
        <v>0</v>
      </c>
      <c r="L4775">
        <v>19569806.600000001</v>
      </c>
      <c r="M4775">
        <v>19569806.600000001</v>
      </c>
      <c r="N4775">
        <v>19569806.600000001</v>
      </c>
      <c r="O4775">
        <v>19569806.600000001</v>
      </c>
      <c r="P4775">
        <v>19569806.600000001</v>
      </c>
      <c r="Q4775">
        <v>19569806.600000001</v>
      </c>
      <c r="R4775" s="14">
        <f>_xlfn.XLOOKUP(Table2[[#This Row],[LoanID]],Table1[G-L ID],Table1[ManagerCode],-99)</f>
        <v>119</v>
      </c>
      <c r="T4775"/>
    </row>
    <row r="4776" spans="1:20" x14ac:dyDescent="0.25">
      <c r="A4776">
        <v>20160731</v>
      </c>
      <c r="B4776">
        <v>2016</v>
      </c>
      <c r="C4776">
        <v>7</v>
      </c>
      <c r="D4776">
        <v>1</v>
      </c>
      <c r="E4776">
        <v>12160</v>
      </c>
      <c r="F4776">
        <v>88937.14</v>
      </c>
      <c r="G4776">
        <v>108608.88</v>
      </c>
      <c r="H4776">
        <v>0</v>
      </c>
      <c r="I4776">
        <v>0</v>
      </c>
      <c r="J4776">
        <v>-88937.14</v>
      </c>
      <c r="K4776">
        <v>0</v>
      </c>
      <c r="L4776">
        <v>17953173.530000001</v>
      </c>
      <c r="M4776">
        <v>18150719.550000001</v>
      </c>
      <c r="N4776">
        <v>17953173.530000001</v>
      </c>
      <c r="O4776">
        <v>18150719.550000001</v>
      </c>
      <c r="P4776">
        <v>17953173.530000001</v>
      </c>
      <c r="Q4776">
        <v>18150719.550000001</v>
      </c>
      <c r="R4776" s="14">
        <f>_xlfn.XLOOKUP(Table2[[#This Row],[LoanID]],Table1[G-L ID],Table1[ManagerCode],-99)</f>
        <v>183</v>
      </c>
      <c r="T4776"/>
    </row>
    <row r="4777" spans="1:20" x14ac:dyDescent="0.25">
      <c r="A4777">
        <v>20160731</v>
      </c>
      <c r="B4777">
        <v>2016</v>
      </c>
      <c r="C4777">
        <v>7</v>
      </c>
      <c r="D4777">
        <v>1</v>
      </c>
      <c r="E4777">
        <v>12180</v>
      </c>
      <c r="F4777">
        <v>231670.83</v>
      </c>
      <c r="G4777">
        <v>0</v>
      </c>
      <c r="H4777">
        <v>0</v>
      </c>
      <c r="I4777">
        <v>0</v>
      </c>
      <c r="J4777">
        <v>0</v>
      </c>
      <c r="K4777">
        <v>0</v>
      </c>
      <c r="L4777">
        <v>35000000</v>
      </c>
      <c r="M4777">
        <v>35000000</v>
      </c>
      <c r="N4777">
        <v>35000000</v>
      </c>
      <c r="O4777">
        <v>35000000</v>
      </c>
      <c r="P4777">
        <v>35000000</v>
      </c>
      <c r="Q4777">
        <v>35000000</v>
      </c>
      <c r="R4777" s="14">
        <f>_xlfn.XLOOKUP(Table2[[#This Row],[LoanID]],Table1[G-L ID],Table1[ManagerCode],-99)</f>
        <v>220</v>
      </c>
      <c r="T4777"/>
    </row>
    <row r="4778" spans="1:20" x14ac:dyDescent="0.25">
      <c r="A4778">
        <v>20160731</v>
      </c>
      <c r="B4778">
        <v>2016</v>
      </c>
      <c r="C4778">
        <v>7</v>
      </c>
      <c r="D4778">
        <v>1</v>
      </c>
      <c r="E4778">
        <v>12190</v>
      </c>
      <c r="F4778">
        <v>259306.01</v>
      </c>
      <c r="G4778">
        <v>0</v>
      </c>
      <c r="H4778">
        <v>0</v>
      </c>
      <c r="I4778">
        <v>0</v>
      </c>
      <c r="J4778">
        <v>0</v>
      </c>
      <c r="K4778">
        <v>0</v>
      </c>
      <c r="L4778">
        <v>34383117</v>
      </c>
      <c r="M4778">
        <v>34383117</v>
      </c>
      <c r="N4778">
        <v>34383117</v>
      </c>
      <c r="O4778">
        <v>34383117</v>
      </c>
      <c r="P4778">
        <v>34383117</v>
      </c>
      <c r="Q4778">
        <v>34383117</v>
      </c>
      <c r="R4778" s="14">
        <f>_xlfn.XLOOKUP(Table2[[#This Row],[LoanID]],Table1[G-L ID],Table1[ManagerCode],-99)</f>
        <v>220</v>
      </c>
      <c r="T4778"/>
    </row>
    <row r="4779" spans="1:20" x14ac:dyDescent="0.25">
      <c r="A4779">
        <v>20160731</v>
      </c>
      <c r="B4779">
        <v>2016</v>
      </c>
      <c r="C4779">
        <v>7</v>
      </c>
      <c r="D4779">
        <v>1</v>
      </c>
      <c r="E4779">
        <v>12210</v>
      </c>
      <c r="F4779">
        <v>650094.68000000005</v>
      </c>
      <c r="G4779">
        <v>0</v>
      </c>
      <c r="H4779">
        <v>0</v>
      </c>
      <c r="I4779">
        <v>0</v>
      </c>
      <c r="J4779">
        <v>0</v>
      </c>
      <c r="K4779">
        <v>244811.09</v>
      </c>
      <c r="L4779">
        <v>112188088.90000001</v>
      </c>
      <c r="M4779">
        <v>111457789</v>
      </c>
      <c r="N4779">
        <v>112188088.90000001</v>
      </c>
      <c r="O4779">
        <v>111457789</v>
      </c>
      <c r="P4779">
        <v>105186367.40000001</v>
      </c>
      <c r="Q4779">
        <v>104941556.3</v>
      </c>
      <c r="R4779" s="14">
        <f>_xlfn.XLOOKUP(Table2[[#This Row],[LoanID]],Table1[G-L ID],Table1[ManagerCode],-99)</f>
        <v>103</v>
      </c>
      <c r="T4779"/>
    </row>
    <row r="4780" spans="1:20" x14ac:dyDescent="0.25">
      <c r="A4780">
        <v>20160731</v>
      </c>
      <c r="B4780">
        <v>2016</v>
      </c>
      <c r="C4780">
        <v>7</v>
      </c>
      <c r="D4780">
        <v>1</v>
      </c>
      <c r="E4780">
        <v>12230</v>
      </c>
      <c r="F4780">
        <v>109341.77</v>
      </c>
      <c r="G4780">
        <v>0</v>
      </c>
      <c r="H4780">
        <v>0</v>
      </c>
      <c r="I4780">
        <v>0</v>
      </c>
      <c r="J4780">
        <v>0</v>
      </c>
      <c r="K4780">
        <v>0</v>
      </c>
      <c r="L4780">
        <v>20349098.18</v>
      </c>
      <c r="M4780">
        <v>20349098.18</v>
      </c>
      <c r="N4780">
        <v>13833645.68</v>
      </c>
      <c r="O4780">
        <v>13833645.68</v>
      </c>
      <c r="P4780">
        <v>20349098.18</v>
      </c>
      <c r="Q4780">
        <v>20349098.18</v>
      </c>
      <c r="R4780" s="14">
        <f>_xlfn.XLOOKUP(Table2[[#This Row],[LoanID]],Table1[G-L ID],Table1[ManagerCode],-99)</f>
        <v>183</v>
      </c>
      <c r="T4780"/>
    </row>
    <row r="4781" spans="1:20" x14ac:dyDescent="0.25">
      <c r="A4781">
        <v>20160731</v>
      </c>
      <c r="B4781">
        <v>2016</v>
      </c>
      <c r="C4781">
        <v>7</v>
      </c>
      <c r="D4781">
        <v>1</v>
      </c>
      <c r="E4781">
        <v>12240</v>
      </c>
      <c r="F4781">
        <v>0</v>
      </c>
      <c r="G4781">
        <v>1556137.47</v>
      </c>
      <c r="H4781">
        <v>0</v>
      </c>
      <c r="I4781">
        <v>0</v>
      </c>
      <c r="J4781">
        <v>0</v>
      </c>
      <c r="K4781">
        <v>0</v>
      </c>
      <c r="L4781">
        <v>139877525.30000001</v>
      </c>
      <c r="M4781">
        <v>141433662.80000001</v>
      </c>
      <c r="N4781">
        <v>139877525.30000001</v>
      </c>
      <c r="O4781">
        <v>141433662.80000001</v>
      </c>
      <c r="P4781">
        <v>139877525.30000001</v>
      </c>
      <c r="Q4781">
        <v>141433662.80000001</v>
      </c>
      <c r="R4781" s="14">
        <f>_xlfn.XLOOKUP(Table2[[#This Row],[LoanID]],Table1[G-L ID],Table1[ManagerCode],-99)</f>
        <v>183</v>
      </c>
      <c r="T4781"/>
    </row>
    <row r="4782" spans="1:20" x14ac:dyDescent="0.25">
      <c r="A4782">
        <v>20160731</v>
      </c>
      <c r="B4782">
        <v>2016</v>
      </c>
      <c r="C4782">
        <v>7</v>
      </c>
      <c r="D4782">
        <v>1</v>
      </c>
      <c r="E4782">
        <v>13630</v>
      </c>
      <c r="F4782">
        <v>211458.33</v>
      </c>
      <c r="G4782">
        <v>0</v>
      </c>
      <c r="H4782">
        <v>0</v>
      </c>
      <c r="I4782">
        <v>0</v>
      </c>
      <c r="J4782">
        <v>0</v>
      </c>
      <c r="K4782">
        <v>0</v>
      </c>
      <c r="L4782">
        <v>33468087</v>
      </c>
      <c r="M4782">
        <v>33468087</v>
      </c>
      <c r="N4782">
        <v>33468087</v>
      </c>
      <c r="O4782">
        <v>33468087</v>
      </c>
      <c r="P4782">
        <v>35000000</v>
      </c>
      <c r="Q4782">
        <v>35000000</v>
      </c>
      <c r="R4782" s="14">
        <f>_xlfn.XLOOKUP(Table2[[#This Row],[LoanID]],Table1[G-L ID],Table1[ManagerCode],-99)</f>
        <v>298</v>
      </c>
      <c r="T4782"/>
    </row>
    <row r="4783" spans="1:20" x14ac:dyDescent="0.25">
      <c r="A4783">
        <v>20160731</v>
      </c>
      <c r="B4783">
        <v>2016</v>
      </c>
      <c r="C4783">
        <v>7</v>
      </c>
      <c r="D4783">
        <v>1</v>
      </c>
      <c r="E4783">
        <v>13670</v>
      </c>
      <c r="F4783">
        <v>279468.75</v>
      </c>
      <c r="G4783">
        <v>0</v>
      </c>
      <c r="H4783">
        <v>0</v>
      </c>
      <c r="I4783">
        <v>0</v>
      </c>
      <c r="J4783">
        <v>0</v>
      </c>
      <c r="K4783">
        <v>0</v>
      </c>
      <c r="L4783">
        <v>37369414</v>
      </c>
      <c r="M4783">
        <v>37369414</v>
      </c>
      <c r="N4783">
        <v>37369414</v>
      </c>
      <c r="O4783">
        <v>37369414</v>
      </c>
      <c r="P4783">
        <v>37500000</v>
      </c>
      <c r="Q4783">
        <v>37500000</v>
      </c>
      <c r="R4783" s="14">
        <f>_xlfn.XLOOKUP(Table2[[#This Row],[LoanID]],Table1[G-L ID],Table1[ManagerCode],-99)</f>
        <v>298</v>
      </c>
      <c r="T4783"/>
    </row>
    <row r="4784" spans="1:20" x14ac:dyDescent="0.25">
      <c r="A4784">
        <v>20160731</v>
      </c>
      <c r="B4784">
        <v>2016</v>
      </c>
      <c r="C4784">
        <v>7</v>
      </c>
      <c r="D4784">
        <v>1</v>
      </c>
      <c r="E4784">
        <v>13680</v>
      </c>
      <c r="F4784">
        <v>141562.5</v>
      </c>
      <c r="G4784">
        <v>0</v>
      </c>
      <c r="H4784">
        <v>0</v>
      </c>
      <c r="I4784">
        <v>0</v>
      </c>
      <c r="J4784">
        <v>0</v>
      </c>
      <c r="K4784">
        <v>0</v>
      </c>
      <c r="L4784">
        <v>18283364</v>
      </c>
      <c r="M4784">
        <v>18283364</v>
      </c>
      <c r="N4784">
        <v>18283364</v>
      </c>
      <c r="O4784">
        <v>18283364</v>
      </c>
      <c r="P4784">
        <v>18000000</v>
      </c>
      <c r="Q4784">
        <v>18000000</v>
      </c>
      <c r="R4784" s="14">
        <f>_xlfn.XLOOKUP(Table2[[#This Row],[LoanID]],Table1[G-L ID],Table1[ManagerCode],-99)</f>
        <v>298</v>
      </c>
      <c r="T4784"/>
    </row>
    <row r="4785" spans="1:20" x14ac:dyDescent="0.25">
      <c r="A4785">
        <v>20160731</v>
      </c>
      <c r="B4785">
        <v>2016</v>
      </c>
      <c r="C4785">
        <v>7</v>
      </c>
      <c r="D4785">
        <v>1</v>
      </c>
      <c r="E4785">
        <v>13690</v>
      </c>
      <c r="F4785">
        <v>129166.67</v>
      </c>
      <c r="G4785">
        <v>0</v>
      </c>
      <c r="H4785">
        <v>0</v>
      </c>
      <c r="I4785">
        <v>0</v>
      </c>
      <c r="J4785">
        <v>0</v>
      </c>
      <c r="K4785">
        <v>0</v>
      </c>
      <c r="L4785">
        <v>19169472</v>
      </c>
      <c r="M4785">
        <v>19169472</v>
      </c>
      <c r="N4785">
        <v>19169472</v>
      </c>
      <c r="O4785">
        <v>19169472</v>
      </c>
      <c r="P4785">
        <v>20000000</v>
      </c>
      <c r="Q4785">
        <v>20000000</v>
      </c>
      <c r="R4785" s="14">
        <f>_xlfn.XLOOKUP(Table2[[#This Row],[LoanID]],Table1[G-L ID],Table1[ManagerCode],-99)</f>
        <v>298</v>
      </c>
      <c r="T4785"/>
    </row>
    <row r="4786" spans="1:20" x14ac:dyDescent="0.25">
      <c r="A4786">
        <v>20160731</v>
      </c>
      <c r="B4786">
        <v>2016</v>
      </c>
      <c r="C4786">
        <v>7</v>
      </c>
      <c r="D4786">
        <v>1</v>
      </c>
      <c r="E4786">
        <v>15540</v>
      </c>
      <c r="F4786">
        <v>315323.75</v>
      </c>
      <c r="G4786">
        <v>-111162.92</v>
      </c>
      <c r="H4786">
        <v>0</v>
      </c>
      <c r="I4786">
        <v>-5000</v>
      </c>
      <c r="J4786">
        <v>0</v>
      </c>
      <c r="K4786">
        <v>0</v>
      </c>
      <c r="L4786">
        <v>52815323.75</v>
      </c>
      <c r="M4786">
        <v>52704160.829999998</v>
      </c>
      <c r="N4786">
        <v>52815323.75</v>
      </c>
      <c r="O4786">
        <v>52704160.829999998</v>
      </c>
      <c r="P4786">
        <v>52815323.75</v>
      </c>
      <c r="Q4786">
        <v>52704160.829999998</v>
      </c>
      <c r="R4786" s="14">
        <f>_xlfn.XLOOKUP(Table2[[#This Row],[LoanID]],Table1[G-L ID],Table1[ManagerCode],-99)</f>
        <v>212</v>
      </c>
      <c r="T4786"/>
    </row>
    <row r="4787" spans="1:20" x14ac:dyDescent="0.25">
      <c r="A4787">
        <v>20160731</v>
      </c>
      <c r="B4787">
        <v>2016</v>
      </c>
      <c r="C4787">
        <v>7</v>
      </c>
      <c r="D4787">
        <v>1</v>
      </c>
      <c r="E4787">
        <v>15580</v>
      </c>
      <c r="F4787">
        <v>113767.94</v>
      </c>
      <c r="G4787">
        <v>3715.54</v>
      </c>
      <c r="H4787">
        <v>0</v>
      </c>
      <c r="I4787">
        <v>0</v>
      </c>
      <c r="J4787">
        <v>0</v>
      </c>
      <c r="K4787">
        <v>9633.3700000000008</v>
      </c>
      <c r="L4787">
        <v>14872852.560000001</v>
      </c>
      <c r="M4787">
        <v>14866934.73</v>
      </c>
      <c r="N4787">
        <v>14872852.560000001</v>
      </c>
      <c r="O4787">
        <v>14866934.73</v>
      </c>
      <c r="P4787">
        <v>14872852.560000001</v>
      </c>
      <c r="Q4787">
        <v>14866934.73</v>
      </c>
      <c r="R4787" s="14">
        <f>_xlfn.XLOOKUP(Table2[[#This Row],[LoanID]],Table1[G-L ID],Table1[ManagerCode],-99)</f>
        <v>212</v>
      </c>
      <c r="T4787"/>
    </row>
    <row r="4788" spans="1:20" x14ac:dyDescent="0.25">
      <c r="A4788">
        <v>20160831</v>
      </c>
      <c r="B4788">
        <v>2016</v>
      </c>
      <c r="C4788">
        <v>8</v>
      </c>
      <c r="D4788">
        <v>1</v>
      </c>
      <c r="E4788">
        <v>10010</v>
      </c>
      <c r="F4788">
        <v>167186.47</v>
      </c>
      <c r="G4788">
        <v>0</v>
      </c>
      <c r="H4788">
        <v>0</v>
      </c>
      <c r="I4788">
        <v>0</v>
      </c>
      <c r="J4788">
        <v>1576906.86</v>
      </c>
      <c r="K4788">
        <v>0</v>
      </c>
      <c r="L4788">
        <v>18603662</v>
      </c>
      <c r="M4788">
        <v>17026755.140000001</v>
      </c>
      <c r="N4788">
        <v>18603662</v>
      </c>
      <c r="O4788">
        <v>17026755.140000001</v>
      </c>
      <c r="P4788">
        <v>18603662</v>
      </c>
      <c r="Q4788">
        <v>17026755.140000001</v>
      </c>
      <c r="R4788" s="14">
        <f>_xlfn.XLOOKUP(Table2[[#This Row],[LoanID]],Table1[G-L ID],Table1[ManagerCode],-99)</f>
        <v>119</v>
      </c>
      <c r="T4788"/>
    </row>
    <row r="4789" spans="1:20" x14ac:dyDescent="0.25">
      <c r="A4789">
        <v>20160831</v>
      </c>
      <c r="B4789">
        <v>2016</v>
      </c>
      <c r="C4789">
        <v>8</v>
      </c>
      <c r="D4789">
        <v>1</v>
      </c>
      <c r="E4789">
        <v>10030</v>
      </c>
      <c r="F4789">
        <v>65379.28</v>
      </c>
      <c r="G4789">
        <v>0</v>
      </c>
      <c r="H4789">
        <v>0</v>
      </c>
      <c r="I4789">
        <v>0</v>
      </c>
      <c r="J4789">
        <v>-716097.39</v>
      </c>
      <c r="K4789">
        <v>0</v>
      </c>
      <c r="L4789">
        <v>7909070</v>
      </c>
      <c r="M4789">
        <v>8625167.3900000006</v>
      </c>
      <c r="N4789">
        <v>7909070</v>
      </c>
      <c r="O4789">
        <v>8625167.3900000006</v>
      </c>
      <c r="P4789">
        <v>7909070</v>
      </c>
      <c r="Q4789">
        <v>8625167.3900000006</v>
      </c>
      <c r="R4789" s="14">
        <f>_xlfn.XLOOKUP(Table2[[#This Row],[LoanID]],Table1[G-L ID],Table1[ManagerCode],-99)</f>
        <v>119</v>
      </c>
      <c r="T4789"/>
    </row>
    <row r="4790" spans="1:20" x14ac:dyDescent="0.25">
      <c r="A4790">
        <v>20160831</v>
      </c>
      <c r="B4790">
        <v>2016</v>
      </c>
      <c r="C4790">
        <v>8</v>
      </c>
      <c r="D4790">
        <v>1</v>
      </c>
      <c r="E4790">
        <v>10040</v>
      </c>
      <c r="F4790">
        <v>45100.69</v>
      </c>
      <c r="G4790">
        <v>0</v>
      </c>
      <c r="H4790">
        <v>0</v>
      </c>
      <c r="I4790">
        <v>0</v>
      </c>
      <c r="J4790">
        <v>0</v>
      </c>
      <c r="K4790">
        <v>0</v>
      </c>
      <c r="L4790">
        <v>5000000</v>
      </c>
      <c r="M4790">
        <v>5000000</v>
      </c>
      <c r="N4790">
        <v>5000000</v>
      </c>
      <c r="O4790">
        <v>5000000</v>
      </c>
      <c r="P4790">
        <v>5000000</v>
      </c>
      <c r="Q4790">
        <v>5000000</v>
      </c>
      <c r="R4790" s="14">
        <f>_xlfn.XLOOKUP(Table2[[#This Row],[LoanID]],Table1[G-L ID],Table1[ManagerCode],-99)</f>
        <v>119</v>
      </c>
      <c r="T4790"/>
    </row>
    <row r="4791" spans="1:20" x14ac:dyDescent="0.25">
      <c r="A4791">
        <v>20160831</v>
      </c>
      <c r="B4791">
        <v>2016</v>
      </c>
      <c r="C4791">
        <v>8</v>
      </c>
      <c r="D4791">
        <v>1</v>
      </c>
      <c r="E4791">
        <v>10050</v>
      </c>
      <c r="F4791">
        <v>-153981.01999999999</v>
      </c>
      <c r="G4791">
        <v>0</v>
      </c>
      <c r="H4791">
        <v>0</v>
      </c>
      <c r="I4791">
        <v>0</v>
      </c>
      <c r="J4791">
        <v>0</v>
      </c>
      <c r="K4791">
        <v>0</v>
      </c>
      <c r="L4791">
        <v>39123016.729999997</v>
      </c>
      <c r="M4791">
        <v>38984895.609999999</v>
      </c>
      <c r="N4791">
        <v>39123016.729999997</v>
      </c>
      <c r="O4791">
        <v>38984895.609999999</v>
      </c>
      <c r="P4791">
        <v>33333334</v>
      </c>
      <c r="Q4791">
        <v>33333334</v>
      </c>
      <c r="R4791" s="14">
        <f>_xlfn.XLOOKUP(Table2[[#This Row],[LoanID]],Table1[G-L ID],Table1[ManagerCode],-99)</f>
        <v>103</v>
      </c>
      <c r="T4791"/>
    </row>
    <row r="4792" spans="1:20" x14ac:dyDescent="0.25">
      <c r="A4792">
        <v>20160831</v>
      </c>
      <c r="B4792">
        <v>2016</v>
      </c>
      <c r="C4792">
        <v>8</v>
      </c>
      <c r="D4792">
        <v>1</v>
      </c>
      <c r="E4792">
        <v>10100</v>
      </c>
      <c r="F4792">
        <v>201969.31</v>
      </c>
      <c r="G4792">
        <v>0</v>
      </c>
      <c r="H4792">
        <v>0</v>
      </c>
      <c r="I4792">
        <v>0</v>
      </c>
      <c r="J4792">
        <v>0</v>
      </c>
      <c r="K4792">
        <v>0</v>
      </c>
      <c r="L4792">
        <v>30500000</v>
      </c>
      <c r="M4792">
        <v>30500000</v>
      </c>
      <c r="N4792">
        <v>30500000</v>
      </c>
      <c r="O4792">
        <v>30500000</v>
      </c>
      <c r="P4792">
        <v>30500000</v>
      </c>
      <c r="Q4792">
        <v>30500000</v>
      </c>
      <c r="R4792" s="14">
        <f>_xlfn.XLOOKUP(Table2[[#This Row],[LoanID]],Table1[G-L ID],Table1[ManagerCode],-99)</f>
        <v>220</v>
      </c>
      <c r="T4792"/>
    </row>
    <row r="4793" spans="1:20" x14ac:dyDescent="0.25">
      <c r="A4793">
        <v>20160831</v>
      </c>
      <c r="B4793">
        <v>2016</v>
      </c>
      <c r="C4793">
        <v>8</v>
      </c>
      <c r="D4793">
        <v>1</v>
      </c>
      <c r="E4793">
        <v>10110</v>
      </c>
      <c r="F4793">
        <v>142521.47</v>
      </c>
      <c r="G4793">
        <v>0</v>
      </c>
      <c r="H4793">
        <v>0</v>
      </c>
      <c r="I4793">
        <v>0</v>
      </c>
      <c r="J4793">
        <v>0</v>
      </c>
      <c r="K4793">
        <v>0</v>
      </c>
      <c r="L4793">
        <v>16400000</v>
      </c>
      <c r="M4793">
        <v>16400000</v>
      </c>
      <c r="N4793">
        <v>16400000</v>
      </c>
      <c r="O4793">
        <v>16400000</v>
      </c>
      <c r="P4793">
        <v>16400000</v>
      </c>
      <c r="Q4793">
        <v>16400000</v>
      </c>
      <c r="R4793" s="14">
        <f>_xlfn.XLOOKUP(Table2[[#This Row],[LoanID]],Table1[G-L ID],Table1[ManagerCode],-99)</f>
        <v>119</v>
      </c>
      <c r="T4793"/>
    </row>
    <row r="4794" spans="1:20" x14ac:dyDescent="0.25">
      <c r="A4794">
        <v>20160831</v>
      </c>
      <c r="B4794">
        <v>2016</v>
      </c>
      <c r="C4794">
        <v>8</v>
      </c>
      <c r="D4794">
        <v>1</v>
      </c>
      <c r="E4794">
        <v>10120</v>
      </c>
      <c r="F4794">
        <v>53518.93</v>
      </c>
      <c r="G4794">
        <v>58580.93</v>
      </c>
      <c r="H4794">
        <v>0</v>
      </c>
      <c r="I4794">
        <v>0</v>
      </c>
      <c r="J4794">
        <v>-53518.93</v>
      </c>
      <c r="K4794">
        <v>0</v>
      </c>
      <c r="L4794">
        <v>10794870.449999999</v>
      </c>
      <c r="M4794">
        <v>10906970.310000001</v>
      </c>
      <c r="N4794">
        <v>10794870.449999999</v>
      </c>
      <c r="O4794">
        <v>10906970.310000001</v>
      </c>
      <c r="P4794">
        <v>10794870.449999999</v>
      </c>
      <c r="Q4794">
        <v>10906970.310000001</v>
      </c>
      <c r="R4794" s="14">
        <f>_xlfn.XLOOKUP(Table2[[#This Row],[LoanID]],Table1[G-L ID],Table1[ManagerCode],-99)</f>
        <v>183</v>
      </c>
      <c r="T4794"/>
    </row>
    <row r="4795" spans="1:20" x14ac:dyDescent="0.25">
      <c r="A4795">
        <v>20160831</v>
      </c>
      <c r="B4795">
        <v>2016</v>
      </c>
      <c r="C4795">
        <v>8</v>
      </c>
      <c r="D4795">
        <v>1</v>
      </c>
      <c r="E4795">
        <v>10160</v>
      </c>
      <c r="F4795">
        <v>121519.79</v>
      </c>
      <c r="G4795">
        <v>0</v>
      </c>
      <c r="H4795">
        <v>0</v>
      </c>
      <c r="I4795">
        <v>0</v>
      </c>
      <c r="J4795">
        <v>0</v>
      </c>
      <c r="K4795">
        <v>0</v>
      </c>
      <c r="L4795">
        <v>14886050.77</v>
      </c>
      <c r="M4795">
        <v>14886050.77</v>
      </c>
      <c r="N4795">
        <v>14886050.77</v>
      </c>
      <c r="O4795">
        <v>14886050.77</v>
      </c>
      <c r="P4795">
        <v>14886050.77</v>
      </c>
      <c r="Q4795">
        <v>14886050.77</v>
      </c>
      <c r="R4795" s="14">
        <f>_xlfn.XLOOKUP(Table2[[#This Row],[LoanID]],Table1[G-L ID],Table1[ManagerCode],-99)</f>
        <v>119</v>
      </c>
      <c r="T4795"/>
    </row>
    <row r="4796" spans="1:20" x14ac:dyDescent="0.25">
      <c r="A4796">
        <v>20160831</v>
      </c>
      <c r="B4796">
        <v>2016</v>
      </c>
      <c r="C4796">
        <v>8</v>
      </c>
      <c r="D4796">
        <v>1</v>
      </c>
      <c r="E4796">
        <v>10220</v>
      </c>
      <c r="F4796">
        <v>559722.22</v>
      </c>
      <c r="G4796">
        <v>0</v>
      </c>
      <c r="H4796">
        <v>0</v>
      </c>
      <c r="I4796">
        <v>0</v>
      </c>
      <c r="J4796">
        <v>0</v>
      </c>
      <c r="K4796">
        <v>0</v>
      </c>
      <c r="L4796">
        <v>116668586.40000001</v>
      </c>
      <c r="M4796">
        <v>115661783</v>
      </c>
      <c r="N4796">
        <v>116668586.40000001</v>
      </c>
      <c r="O4796">
        <v>115661783</v>
      </c>
      <c r="P4796">
        <v>100000000</v>
      </c>
      <c r="Q4796">
        <v>100000000</v>
      </c>
      <c r="R4796" s="14">
        <f>_xlfn.XLOOKUP(Table2[[#This Row],[LoanID]],Table1[G-L ID],Table1[ManagerCode],-99)</f>
        <v>103</v>
      </c>
      <c r="T4796"/>
    </row>
    <row r="4797" spans="1:20" x14ac:dyDescent="0.25">
      <c r="A4797">
        <v>20160831</v>
      </c>
      <c r="B4797">
        <v>2016</v>
      </c>
      <c r="C4797">
        <v>8</v>
      </c>
      <c r="D4797">
        <v>1</v>
      </c>
      <c r="E4797">
        <v>10240</v>
      </c>
      <c r="F4797">
        <v>91299.31</v>
      </c>
      <c r="G4797">
        <v>0</v>
      </c>
      <c r="H4797">
        <v>0</v>
      </c>
      <c r="I4797">
        <v>0</v>
      </c>
      <c r="J4797">
        <v>0</v>
      </c>
      <c r="K4797">
        <v>0</v>
      </c>
      <c r="L4797">
        <v>12500000</v>
      </c>
      <c r="M4797">
        <v>12500000</v>
      </c>
      <c r="N4797">
        <v>12500000</v>
      </c>
      <c r="O4797">
        <v>12500000</v>
      </c>
      <c r="P4797">
        <v>12500000</v>
      </c>
      <c r="Q4797">
        <v>12500000</v>
      </c>
      <c r="R4797" s="14">
        <f>_xlfn.XLOOKUP(Table2[[#This Row],[LoanID]],Table1[G-L ID],Table1[ManagerCode],-99)</f>
        <v>220</v>
      </c>
      <c r="T4797"/>
    </row>
    <row r="4798" spans="1:20" x14ac:dyDescent="0.25">
      <c r="A4798">
        <v>20160831</v>
      </c>
      <c r="B4798">
        <v>2016</v>
      </c>
      <c r="C4798">
        <v>8</v>
      </c>
      <c r="D4798">
        <v>1</v>
      </c>
      <c r="E4798">
        <v>10250</v>
      </c>
      <c r="F4798">
        <v>50641.94</v>
      </c>
      <c r="G4798">
        <v>0</v>
      </c>
      <c r="H4798">
        <v>0</v>
      </c>
      <c r="I4798">
        <v>0</v>
      </c>
      <c r="J4798">
        <v>0</v>
      </c>
      <c r="K4798">
        <v>0</v>
      </c>
      <c r="L4798">
        <v>5000000</v>
      </c>
      <c r="M4798">
        <v>5000000</v>
      </c>
      <c r="N4798">
        <v>5000000</v>
      </c>
      <c r="O4798">
        <v>5000000</v>
      </c>
      <c r="P4798">
        <v>5000000</v>
      </c>
      <c r="Q4798">
        <v>5000000</v>
      </c>
      <c r="R4798" s="14">
        <f>_xlfn.XLOOKUP(Table2[[#This Row],[LoanID]],Table1[G-L ID],Table1[ManagerCode],-99)</f>
        <v>119</v>
      </c>
      <c r="T4798"/>
    </row>
    <row r="4799" spans="1:20" x14ac:dyDescent="0.25">
      <c r="A4799">
        <v>20160831</v>
      </c>
      <c r="B4799">
        <v>2016</v>
      </c>
      <c r="C4799">
        <v>8</v>
      </c>
      <c r="D4799">
        <v>1</v>
      </c>
      <c r="E4799">
        <v>10260</v>
      </c>
      <c r="F4799">
        <v>103417.94</v>
      </c>
      <c r="G4799">
        <v>0</v>
      </c>
      <c r="H4799">
        <v>0</v>
      </c>
      <c r="I4799">
        <v>0</v>
      </c>
      <c r="J4799">
        <v>0</v>
      </c>
      <c r="K4799">
        <v>0</v>
      </c>
      <c r="L4799">
        <v>15000000</v>
      </c>
      <c r="M4799">
        <v>15000000</v>
      </c>
      <c r="N4799">
        <v>15000000</v>
      </c>
      <c r="O4799">
        <v>15000000</v>
      </c>
      <c r="P4799">
        <v>15000000</v>
      </c>
      <c r="Q4799">
        <v>15000000</v>
      </c>
      <c r="R4799" s="14">
        <f>_xlfn.XLOOKUP(Table2[[#This Row],[LoanID]],Table1[G-L ID],Table1[ManagerCode],-99)</f>
        <v>220</v>
      </c>
      <c r="T4799"/>
    </row>
    <row r="4800" spans="1:20" x14ac:dyDescent="0.25">
      <c r="A4800">
        <v>20160831</v>
      </c>
      <c r="B4800">
        <v>2016</v>
      </c>
      <c r="C4800">
        <v>8</v>
      </c>
      <c r="D4800">
        <v>1</v>
      </c>
      <c r="E4800">
        <v>10270</v>
      </c>
      <c r="F4800">
        <v>44621.05</v>
      </c>
      <c r="G4800">
        <v>0</v>
      </c>
      <c r="H4800">
        <v>0</v>
      </c>
      <c r="I4800">
        <v>0</v>
      </c>
      <c r="J4800">
        <v>0</v>
      </c>
      <c r="K4800">
        <v>0</v>
      </c>
      <c r="L4800">
        <v>5400000</v>
      </c>
      <c r="M4800">
        <v>5400000</v>
      </c>
      <c r="N4800">
        <v>5400000</v>
      </c>
      <c r="O4800">
        <v>5400000</v>
      </c>
      <c r="P4800">
        <v>5400000</v>
      </c>
      <c r="Q4800">
        <v>5400000</v>
      </c>
      <c r="R4800" s="14">
        <f>_xlfn.XLOOKUP(Table2[[#This Row],[LoanID]],Table1[G-L ID],Table1[ManagerCode],-99)</f>
        <v>119</v>
      </c>
      <c r="T4800"/>
    </row>
    <row r="4801" spans="1:20" x14ac:dyDescent="0.25">
      <c r="A4801">
        <v>20160831</v>
      </c>
      <c r="B4801">
        <v>2016</v>
      </c>
      <c r="C4801">
        <v>8</v>
      </c>
      <c r="D4801">
        <v>1</v>
      </c>
      <c r="E4801">
        <v>10350</v>
      </c>
      <c r="F4801">
        <v>186861.11</v>
      </c>
      <c r="G4801">
        <v>0</v>
      </c>
      <c r="H4801">
        <v>0</v>
      </c>
      <c r="I4801">
        <v>0</v>
      </c>
      <c r="J4801">
        <v>0</v>
      </c>
      <c r="K4801">
        <v>0</v>
      </c>
      <c r="L4801">
        <v>24800000</v>
      </c>
      <c r="M4801">
        <v>24800000</v>
      </c>
      <c r="N4801">
        <v>24800000</v>
      </c>
      <c r="O4801">
        <v>24800000</v>
      </c>
      <c r="P4801">
        <v>24800000</v>
      </c>
      <c r="Q4801">
        <v>24800000</v>
      </c>
      <c r="R4801" s="14">
        <f>_xlfn.XLOOKUP(Table2[[#This Row],[LoanID]],Table1[G-L ID],Table1[ManagerCode],-99)</f>
        <v>220</v>
      </c>
      <c r="T4801"/>
    </row>
    <row r="4802" spans="1:20" x14ac:dyDescent="0.25">
      <c r="A4802">
        <v>20160831</v>
      </c>
      <c r="B4802">
        <v>2016</v>
      </c>
      <c r="C4802">
        <v>8</v>
      </c>
      <c r="D4802">
        <v>1</v>
      </c>
      <c r="E4802">
        <v>10360</v>
      </c>
      <c r="F4802">
        <v>115717.92</v>
      </c>
      <c r="G4802">
        <v>0</v>
      </c>
      <c r="H4802">
        <v>0</v>
      </c>
      <c r="I4802">
        <v>0</v>
      </c>
      <c r="J4802">
        <v>0</v>
      </c>
      <c r="K4802">
        <v>0</v>
      </c>
      <c r="L4802">
        <v>5909000</v>
      </c>
      <c r="M4802">
        <v>5909000</v>
      </c>
      <c r="N4802">
        <v>5909000</v>
      </c>
      <c r="O4802">
        <v>5909000</v>
      </c>
      <c r="P4802">
        <v>5909000</v>
      </c>
      <c r="Q4802">
        <v>5909000</v>
      </c>
      <c r="R4802" s="14">
        <f>_xlfn.XLOOKUP(Table2[[#This Row],[LoanID]],Table1[G-L ID],Table1[ManagerCode],-99)</f>
        <v>183</v>
      </c>
      <c r="T4802"/>
    </row>
    <row r="4803" spans="1:20" x14ac:dyDescent="0.25">
      <c r="A4803">
        <v>20160831</v>
      </c>
      <c r="B4803">
        <v>2016</v>
      </c>
      <c r="C4803">
        <v>8</v>
      </c>
      <c r="D4803">
        <v>1</v>
      </c>
      <c r="E4803">
        <v>10410</v>
      </c>
      <c r="F4803">
        <v>34073.24</v>
      </c>
      <c r="G4803">
        <v>46128.34</v>
      </c>
      <c r="H4803">
        <v>0</v>
      </c>
      <c r="I4803">
        <v>0</v>
      </c>
      <c r="J4803">
        <v>-4162713.02</v>
      </c>
      <c r="K4803">
        <v>0</v>
      </c>
      <c r="L4803">
        <v>7301353.5199999996</v>
      </c>
      <c r="M4803">
        <v>11510194.880000001</v>
      </c>
      <c r="N4803">
        <v>7301353.5199999996</v>
      </c>
      <c r="O4803">
        <v>11510194.880000001</v>
      </c>
      <c r="P4803">
        <v>7301353.5199999996</v>
      </c>
      <c r="Q4803">
        <v>11510194.880000001</v>
      </c>
      <c r="R4803" s="14">
        <f>_xlfn.XLOOKUP(Table2[[#This Row],[LoanID]],Table1[G-L ID],Table1[ManagerCode],-99)</f>
        <v>183</v>
      </c>
      <c r="T4803"/>
    </row>
    <row r="4804" spans="1:20" x14ac:dyDescent="0.25">
      <c r="A4804">
        <v>20160831</v>
      </c>
      <c r="B4804">
        <v>2016</v>
      </c>
      <c r="C4804">
        <v>8</v>
      </c>
      <c r="D4804">
        <v>1</v>
      </c>
      <c r="E4804">
        <v>10430</v>
      </c>
      <c r="F4804">
        <v>90642.39</v>
      </c>
      <c r="G4804">
        <v>0</v>
      </c>
      <c r="H4804">
        <v>0</v>
      </c>
      <c r="I4804">
        <v>0</v>
      </c>
      <c r="J4804">
        <v>0</v>
      </c>
      <c r="K4804">
        <v>10532000</v>
      </c>
      <c r="L4804">
        <v>10532000</v>
      </c>
      <c r="M4804">
        <v>0</v>
      </c>
      <c r="N4804">
        <v>10532000</v>
      </c>
      <c r="O4804">
        <v>0</v>
      </c>
      <c r="P4804">
        <v>10532000</v>
      </c>
      <c r="Q4804">
        <v>0</v>
      </c>
      <c r="R4804" s="14">
        <f>_xlfn.XLOOKUP(Table2[[#This Row],[LoanID]],Table1[G-L ID],Table1[ManagerCode],-99)</f>
        <v>119</v>
      </c>
      <c r="T4804"/>
    </row>
    <row r="4805" spans="1:20" x14ac:dyDescent="0.25">
      <c r="A4805">
        <v>20160831</v>
      </c>
      <c r="B4805">
        <v>2016</v>
      </c>
      <c r="C4805">
        <v>8</v>
      </c>
      <c r="D4805">
        <v>1</v>
      </c>
      <c r="E4805">
        <v>10480</v>
      </c>
      <c r="F4805">
        <v>187813.8</v>
      </c>
      <c r="G4805">
        <v>0</v>
      </c>
      <c r="H4805">
        <v>0</v>
      </c>
      <c r="I4805">
        <v>0</v>
      </c>
      <c r="J4805">
        <v>320279.90000000002</v>
      </c>
      <c r="K4805">
        <v>0</v>
      </c>
      <c r="L4805">
        <v>27084317.640000001</v>
      </c>
      <c r="M4805">
        <v>26764037.739999998</v>
      </c>
      <c r="N4805">
        <v>27084317.640000001</v>
      </c>
      <c r="O4805">
        <v>26764037.739999998</v>
      </c>
      <c r="P4805">
        <v>27084317.640000001</v>
      </c>
      <c r="Q4805">
        <v>26764037.739999998</v>
      </c>
      <c r="R4805" s="14">
        <f>_xlfn.XLOOKUP(Table2[[#This Row],[LoanID]],Table1[G-L ID],Table1[ManagerCode],-99)</f>
        <v>119</v>
      </c>
      <c r="T4805"/>
    </row>
    <row r="4806" spans="1:20" x14ac:dyDescent="0.25">
      <c r="A4806">
        <v>20160831</v>
      </c>
      <c r="B4806">
        <v>2016</v>
      </c>
      <c r="C4806">
        <v>8</v>
      </c>
      <c r="D4806">
        <v>1</v>
      </c>
      <c r="E4806">
        <v>10500</v>
      </c>
      <c r="F4806">
        <v>315915.83</v>
      </c>
      <c r="G4806">
        <v>0</v>
      </c>
      <c r="H4806">
        <v>0</v>
      </c>
      <c r="I4806">
        <v>0</v>
      </c>
      <c r="J4806">
        <v>0</v>
      </c>
      <c r="K4806">
        <v>0</v>
      </c>
      <c r="L4806">
        <v>35000000</v>
      </c>
      <c r="M4806">
        <v>35000000</v>
      </c>
      <c r="N4806">
        <v>35000000</v>
      </c>
      <c r="O4806">
        <v>35000000</v>
      </c>
      <c r="P4806">
        <v>35000000</v>
      </c>
      <c r="Q4806">
        <v>35000000</v>
      </c>
      <c r="R4806" s="14">
        <f>_xlfn.XLOOKUP(Table2[[#This Row],[LoanID]],Table1[G-L ID],Table1[ManagerCode],-99)</f>
        <v>119</v>
      </c>
      <c r="T4806"/>
    </row>
    <row r="4807" spans="1:20" x14ac:dyDescent="0.25">
      <c r="A4807">
        <v>20160831</v>
      </c>
      <c r="B4807">
        <v>2016</v>
      </c>
      <c r="C4807">
        <v>8</v>
      </c>
      <c r="D4807">
        <v>1</v>
      </c>
      <c r="E4807">
        <v>10591</v>
      </c>
      <c r="F4807">
        <v>215097.81</v>
      </c>
      <c r="G4807">
        <v>0</v>
      </c>
      <c r="H4807">
        <v>0</v>
      </c>
      <c r="I4807">
        <v>0</v>
      </c>
      <c r="J4807">
        <v>0</v>
      </c>
      <c r="K4807">
        <v>0</v>
      </c>
      <c r="L4807">
        <v>23780416.969999999</v>
      </c>
      <c r="M4807">
        <v>23780416.969999999</v>
      </c>
      <c r="N4807">
        <v>23780416.969999999</v>
      </c>
      <c r="O4807">
        <v>23780416.969999999</v>
      </c>
      <c r="P4807">
        <v>23780416.969999999</v>
      </c>
      <c r="Q4807">
        <v>23780416.969999999</v>
      </c>
      <c r="R4807" s="14">
        <f>_xlfn.XLOOKUP(Table2[[#This Row],[LoanID]],Table1[G-L ID],Table1[ManagerCode],-99)</f>
        <v>220</v>
      </c>
      <c r="T4807"/>
    </row>
    <row r="4808" spans="1:20" x14ac:dyDescent="0.25">
      <c r="A4808">
        <v>20160831</v>
      </c>
      <c r="B4808">
        <v>2016</v>
      </c>
      <c r="C4808">
        <v>8</v>
      </c>
      <c r="D4808">
        <v>1</v>
      </c>
      <c r="E4808">
        <v>10592</v>
      </c>
      <c r="F4808">
        <v>355695.79</v>
      </c>
      <c r="G4808">
        <v>0</v>
      </c>
      <c r="H4808">
        <v>0</v>
      </c>
      <c r="I4808">
        <v>0</v>
      </c>
      <c r="J4808">
        <v>0</v>
      </c>
      <c r="K4808">
        <v>0</v>
      </c>
      <c r="L4808">
        <v>35104425.030000001</v>
      </c>
      <c r="M4808">
        <v>35104425.030000001</v>
      </c>
      <c r="N4808">
        <v>35104425.030000001</v>
      </c>
      <c r="O4808">
        <v>35104425.030000001</v>
      </c>
      <c r="P4808">
        <v>35104425.030000001</v>
      </c>
      <c r="Q4808">
        <v>35104425.030000001</v>
      </c>
      <c r="R4808" s="14">
        <f>_xlfn.XLOOKUP(Table2[[#This Row],[LoanID]],Table1[G-L ID],Table1[ManagerCode],-99)</f>
        <v>220</v>
      </c>
      <c r="T4808"/>
    </row>
    <row r="4809" spans="1:20" x14ac:dyDescent="0.25">
      <c r="A4809">
        <v>20160831</v>
      </c>
      <c r="B4809">
        <v>2016</v>
      </c>
      <c r="C4809">
        <v>8</v>
      </c>
      <c r="D4809">
        <v>1</v>
      </c>
      <c r="E4809">
        <v>10620</v>
      </c>
      <c r="F4809">
        <v>108397.39</v>
      </c>
      <c r="G4809">
        <v>0</v>
      </c>
      <c r="H4809">
        <v>0</v>
      </c>
      <c r="I4809">
        <v>0</v>
      </c>
      <c r="J4809">
        <v>0</v>
      </c>
      <c r="K4809">
        <v>0</v>
      </c>
      <c r="L4809">
        <v>11315131.58</v>
      </c>
      <c r="M4809">
        <v>11315131.58</v>
      </c>
      <c r="N4809">
        <v>11315131.58</v>
      </c>
      <c r="O4809">
        <v>11315131.58</v>
      </c>
      <c r="P4809">
        <v>11315131.58</v>
      </c>
      <c r="Q4809">
        <v>11315131.58</v>
      </c>
      <c r="R4809" s="14">
        <f>_xlfn.XLOOKUP(Table2[[#This Row],[LoanID]],Table1[G-L ID],Table1[ManagerCode],-99)</f>
        <v>119</v>
      </c>
      <c r="T4809"/>
    </row>
    <row r="4810" spans="1:20" x14ac:dyDescent="0.25">
      <c r="A4810">
        <v>20160831</v>
      </c>
      <c r="B4810">
        <v>2016</v>
      </c>
      <c r="C4810">
        <v>8</v>
      </c>
      <c r="D4810">
        <v>1</v>
      </c>
      <c r="E4810">
        <v>10670</v>
      </c>
      <c r="F4810">
        <v>260451.67</v>
      </c>
      <c r="G4810">
        <v>0</v>
      </c>
      <c r="H4810">
        <v>0</v>
      </c>
      <c r="I4810">
        <v>0</v>
      </c>
      <c r="J4810">
        <v>0</v>
      </c>
      <c r="K4810">
        <v>0</v>
      </c>
      <c r="L4810">
        <v>30000000</v>
      </c>
      <c r="M4810">
        <v>30000000</v>
      </c>
      <c r="N4810">
        <v>30000000</v>
      </c>
      <c r="O4810">
        <v>30000000</v>
      </c>
      <c r="P4810">
        <v>30000000</v>
      </c>
      <c r="Q4810">
        <v>30000000</v>
      </c>
      <c r="R4810" s="14">
        <f>_xlfn.XLOOKUP(Table2[[#This Row],[LoanID]],Table1[G-L ID],Table1[ManagerCode],-99)</f>
        <v>119</v>
      </c>
      <c r="T4810"/>
    </row>
    <row r="4811" spans="1:20" x14ac:dyDescent="0.25">
      <c r="A4811">
        <v>20160831</v>
      </c>
      <c r="B4811">
        <v>2016</v>
      </c>
      <c r="C4811">
        <v>8</v>
      </c>
      <c r="D4811">
        <v>1</v>
      </c>
      <c r="E4811">
        <v>10680</v>
      </c>
      <c r="F4811">
        <v>95565.25</v>
      </c>
      <c r="G4811">
        <v>0</v>
      </c>
      <c r="H4811">
        <v>0</v>
      </c>
      <c r="I4811">
        <v>0</v>
      </c>
      <c r="J4811">
        <v>-62282.11</v>
      </c>
      <c r="K4811">
        <v>0</v>
      </c>
      <c r="L4811">
        <v>11206873.720000001</v>
      </c>
      <c r="M4811">
        <v>11269155.83</v>
      </c>
      <c r="N4811">
        <v>11206873.720000001</v>
      </c>
      <c r="O4811">
        <v>11269155.83</v>
      </c>
      <c r="P4811">
        <v>11206873.720000001</v>
      </c>
      <c r="Q4811">
        <v>11269155.83</v>
      </c>
      <c r="R4811" s="14">
        <f>_xlfn.XLOOKUP(Table2[[#This Row],[LoanID]],Table1[G-L ID],Table1[ManagerCode],-99)</f>
        <v>119</v>
      </c>
      <c r="T4811"/>
    </row>
    <row r="4812" spans="1:20" x14ac:dyDescent="0.25">
      <c r="A4812">
        <v>20160831</v>
      </c>
      <c r="B4812">
        <v>2016</v>
      </c>
      <c r="C4812">
        <v>8</v>
      </c>
      <c r="D4812">
        <v>1</v>
      </c>
      <c r="E4812">
        <v>10730</v>
      </c>
      <c r="F4812">
        <v>99801.99</v>
      </c>
      <c r="G4812">
        <v>0</v>
      </c>
      <c r="H4812">
        <v>0</v>
      </c>
      <c r="I4812">
        <v>0</v>
      </c>
      <c r="J4812">
        <v>0</v>
      </c>
      <c r="K4812">
        <v>0</v>
      </c>
      <c r="L4812">
        <v>9500000</v>
      </c>
      <c r="M4812">
        <v>9500000</v>
      </c>
      <c r="N4812">
        <v>9500000</v>
      </c>
      <c r="O4812">
        <v>9500000</v>
      </c>
      <c r="P4812">
        <v>9500000</v>
      </c>
      <c r="Q4812">
        <v>9500000</v>
      </c>
      <c r="R4812" s="14">
        <f>_xlfn.XLOOKUP(Table2[[#This Row],[LoanID]],Table1[G-L ID],Table1[ManagerCode],-99)</f>
        <v>119</v>
      </c>
      <c r="T4812"/>
    </row>
    <row r="4813" spans="1:20" x14ac:dyDescent="0.25">
      <c r="A4813">
        <v>20160831</v>
      </c>
      <c r="B4813">
        <v>2016</v>
      </c>
      <c r="C4813">
        <v>8</v>
      </c>
      <c r="D4813">
        <v>1</v>
      </c>
      <c r="E4813">
        <v>10740</v>
      </c>
      <c r="F4813">
        <v>3078676.5</v>
      </c>
      <c r="G4813">
        <v>0</v>
      </c>
      <c r="H4813">
        <v>0</v>
      </c>
      <c r="I4813">
        <v>0</v>
      </c>
      <c r="J4813">
        <v>0</v>
      </c>
      <c r="K4813">
        <v>0</v>
      </c>
      <c r="L4813">
        <v>454436669.80000001</v>
      </c>
      <c r="M4813">
        <v>457025770.60000002</v>
      </c>
      <c r="N4813">
        <v>454436669.80000001</v>
      </c>
      <c r="O4813">
        <v>457025770.60000002</v>
      </c>
      <c r="P4813">
        <v>461801475</v>
      </c>
      <c r="Q4813">
        <v>461801475</v>
      </c>
      <c r="R4813" s="14">
        <f>_xlfn.XLOOKUP(Table2[[#This Row],[LoanID]],Table1[G-L ID],Table1[ManagerCode],-99)</f>
        <v>103</v>
      </c>
      <c r="T4813"/>
    </row>
    <row r="4814" spans="1:20" x14ac:dyDescent="0.25">
      <c r="A4814">
        <v>20160831</v>
      </c>
      <c r="B4814">
        <v>2016</v>
      </c>
      <c r="C4814">
        <v>8</v>
      </c>
      <c r="D4814">
        <v>1</v>
      </c>
      <c r="E4814">
        <v>10750</v>
      </c>
      <c r="F4814">
        <v>82307.100000000006</v>
      </c>
      <c r="G4814">
        <v>0</v>
      </c>
      <c r="H4814">
        <v>0</v>
      </c>
      <c r="I4814">
        <v>0</v>
      </c>
      <c r="J4814">
        <v>1059427.8899999999</v>
      </c>
      <c r="K4814">
        <v>0</v>
      </c>
      <c r="L4814">
        <v>11189049.73</v>
      </c>
      <c r="M4814">
        <v>10129621.84</v>
      </c>
      <c r="N4814">
        <v>11189049.73</v>
      </c>
      <c r="O4814">
        <v>10129621.84</v>
      </c>
      <c r="P4814">
        <v>11189049.73</v>
      </c>
      <c r="Q4814">
        <v>10129621.84</v>
      </c>
      <c r="R4814" s="14">
        <f>_xlfn.XLOOKUP(Table2[[#This Row],[LoanID]],Table1[G-L ID],Table1[ManagerCode],-99)</f>
        <v>119</v>
      </c>
      <c r="T4814"/>
    </row>
    <row r="4815" spans="1:20" x14ac:dyDescent="0.25">
      <c r="A4815">
        <v>20160831</v>
      </c>
      <c r="B4815">
        <v>2016</v>
      </c>
      <c r="C4815">
        <v>8</v>
      </c>
      <c r="D4815">
        <v>1</v>
      </c>
      <c r="E4815">
        <v>10780</v>
      </c>
      <c r="F4815">
        <v>323326.56</v>
      </c>
      <c r="G4815">
        <v>0</v>
      </c>
      <c r="H4815">
        <v>0</v>
      </c>
      <c r="I4815">
        <v>0</v>
      </c>
      <c r="J4815">
        <v>0</v>
      </c>
      <c r="K4815">
        <v>0</v>
      </c>
      <c r="L4815">
        <v>43000000</v>
      </c>
      <c r="M4815">
        <v>43000000</v>
      </c>
      <c r="N4815">
        <v>43000000</v>
      </c>
      <c r="O4815">
        <v>43000000</v>
      </c>
      <c r="P4815">
        <v>43000000</v>
      </c>
      <c r="Q4815">
        <v>43000000</v>
      </c>
      <c r="R4815" s="14">
        <f>_xlfn.XLOOKUP(Table2[[#This Row],[LoanID]],Table1[G-L ID],Table1[ManagerCode],-99)</f>
        <v>220</v>
      </c>
      <c r="T4815"/>
    </row>
    <row r="4816" spans="1:20" x14ac:dyDescent="0.25">
      <c r="A4816">
        <v>20160831</v>
      </c>
      <c r="B4816">
        <v>2016</v>
      </c>
      <c r="C4816">
        <v>8</v>
      </c>
      <c r="D4816">
        <v>1</v>
      </c>
      <c r="E4816">
        <v>10800</v>
      </c>
      <c r="F4816">
        <v>412589.33</v>
      </c>
      <c r="G4816">
        <v>0</v>
      </c>
      <c r="H4816">
        <v>0</v>
      </c>
      <c r="I4816">
        <v>0</v>
      </c>
      <c r="J4816">
        <v>0</v>
      </c>
      <c r="K4816">
        <v>0</v>
      </c>
      <c r="L4816">
        <v>48000000</v>
      </c>
      <c r="M4816">
        <v>48000000</v>
      </c>
      <c r="N4816">
        <v>48000000</v>
      </c>
      <c r="O4816">
        <v>48000000</v>
      </c>
      <c r="P4816">
        <v>48000000</v>
      </c>
      <c r="Q4816">
        <v>48000000</v>
      </c>
      <c r="R4816" s="14">
        <f>_xlfn.XLOOKUP(Table2[[#This Row],[LoanID]],Table1[G-L ID],Table1[ManagerCode],-99)</f>
        <v>220</v>
      </c>
      <c r="T4816"/>
    </row>
    <row r="4817" spans="1:20" x14ac:dyDescent="0.25">
      <c r="A4817">
        <v>20160831</v>
      </c>
      <c r="B4817">
        <v>2016</v>
      </c>
      <c r="C4817">
        <v>8</v>
      </c>
      <c r="D4817">
        <v>1</v>
      </c>
      <c r="E4817">
        <v>10810</v>
      </c>
      <c r="F4817">
        <v>84259.33</v>
      </c>
      <c r="G4817">
        <v>0</v>
      </c>
      <c r="H4817">
        <v>0</v>
      </c>
      <c r="I4817">
        <v>0</v>
      </c>
      <c r="J4817">
        <v>0</v>
      </c>
      <c r="K4817">
        <v>0</v>
      </c>
      <c r="L4817">
        <v>9905000</v>
      </c>
      <c r="M4817">
        <v>9905000</v>
      </c>
      <c r="N4817">
        <v>9905000</v>
      </c>
      <c r="O4817">
        <v>9905000</v>
      </c>
      <c r="P4817">
        <v>9905000</v>
      </c>
      <c r="Q4817">
        <v>9905000</v>
      </c>
      <c r="R4817" s="14">
        <f>_xlfn.XLOOKUP(Table2[[#This Row],[LoanID]],Table1[G-L ID],Table1[ManagerCode],-99)</f>
        <v>119</v>
      </c>
      <c r="T4817"/>
    </row>
    <row r="4818" spans="1:20" x14ac:dyDescent="0.25">
      <c r="A4818">
        <v>20160831</v>
      </c>
      <c r="B4818">
        <v>2016</v>
      </c>
      <c r="C4818">
        <v>8</v>
      </c>
      <c r="D4818">
        <v>1</v>
      </c>
      <c r="E4818">
        <v>10820</v>
      </c>
      <c r="F4818">
        <v>197375.03</v>
      </c>
      <c r="G4818">
        <v>0</v>
      </c>
      <c r="H4818">
        <v>0</v>
      </c>
      <c r="I4818">
        <v>0</v>
      </c>
      <c r="J4818">
        <v>0</v>
      </c>
      <c r="K4818">
        <v>0</v>
      </c>
      <c r="L4818">
        <v>24344483.780000001</v>
      </c>
      <c r="M4818">
        <v>24344483.780000001</v>
      </c>
      <c r="N4818">
        <v>24344483.780000001</v>
      </c>
      <c r="O4818">
        <v>24344483.780000001</v>
      </c>
      <c r="P4818">
        <v>24127337.739999998</v>
      </c>
      <c r="Q4818">
        <v>24127337.739999998</v>
      </c>
      <c r="R4818" s="14">
        <f>_xlfn.XLOOKUP(Table2[[#This Row],[LoanID]],Table1[G-L ID],Table1[ManagerCode],-99)</f>
        <v>220</v>
      </c>
      <c r="T4818"/>
    </row>
    <row r="4819" spans="1:20" x14ac:dyDescent="0.25">
      <c r="A4819">
        <v>20160831</v>
      </c>
      <c r="B4819">
        <v>2016</v>
      </c>
      <c r="C4819">
        <v>8</v>
      </c>
      <c r="D4819">
        <v>1</v>
      </c>
      <c r="E4819">
        <v>10830</v>
      </c>
      <c r="F4819">
        <v>63857.77</v>
      </c>
      <c r="G4819">
        <v>0</v>
      </c>
      <c r="H4819">
        <v>0</v>
      </c>
      <c r="I4819">
        <v>0</v>
      </c>
      <c r="J4819">
        <v>0</v>
      </c>
      <c r="K4819">
        <v>0</v>
      </c>
      <c r="L4819">
        <v>7876297.5300000003</v>
      </c>
      <c r="M4819">
        <v>7876297.5300000003</v>
      </c>
      <c r="N4819">
        <v>7876297.5300000003</v>
      </c>
      <c r="O4819">
        <v>7876297.5300000003</v>
      </c>
      <c r="P4819">
        <v>7806043.1399999997</v>
      </c>
      <c r="Q4819">
        <v>7806043.1399999997</v>
      </c>
      <c r="R4819" s="14">
        <f>_xlfn.XLOOKUP(Table2[[#This Row],[LoanID]],Table1[G-L ID],Table1[ManagerCode],-99)</f>
        <v>220</v>
      </c>
      <c r="T4819"/>
    </row>
    <row r="4820" spans="1:20" x14ac:dyDescent="0.25">
      <c r="A4820">
        <v>20160831</v>
      </c>
      <c r="B4820">
        <v>2016</v>
      </c>
      <c r="C4820">
        <v>8</v>
      </c>
      <c r="D4820">
        <v>1</v>
      </c>
      <c r="E4820">
        <v>10840</v>
      </c>
      <c r="F4820">
        <v>103968.23</v>
      </c>
      <c r="G4820">
        <v>0</v>
      </c>
      <c r="H4820">
        <v>0</v>
      </c>
      <c r="I4820">
        <v>0</v>
      </c>
      <c r="J4820">
        <v>0</v>
      </c>
      <c r="K4820">
        <v>0</v>
      </c>
      <c r="L4820">
        <v>12823571.699999999</v>
      </c>
      <c r="M4820">
        <v>12823571.699999999</v>
      </c>
      <c r="N4820">
        <v>12823571.699999999</v>
      </c>
      <c r="O4820">
        <v>12823571.699999999</v>
      </c>
      <c r="P4820">
        <v>12709189</v>
      </c>
      <c r="Q4820">
        <v>12709189</v>
      </c>
      <c r="R4820" s="14">
        <f>_xlfn.XLOOKUP(Table2[[#This Row],[LoanID]],Table1[G-L ID],Table1[ManagerCode],-99)</f>
        <v>220</v>
      </c>
      <c r="T4820"/>
    </row>
    <row r="4821" spans="1:20" x14ac:dyDescent="0.25">
      <c r="A4821">
        <v>20160831</v>
      </c>
      <c r="B4821">
        <v>2016</v>
      </c>
      <c r="C4821">
        <v>8</v>
      </c>
      <c r="D4821">
        <v>1</v>
      </c>
      <c r="E4821">
        <v>10850</v>
      </c>
      <c r="F4821">
        <v>110534.78</v>
      </c>
      <c r="G4821">
        <v>0</v>
      </c>
      <c r="H4821">
        <v>0</v>
      </c>
      <c r="I4821">
        <v>0</v>
      </c>
      <c r="J4821">
        <v>0</v>
      </c>
      <c r="K4821">
        <v>0</v>
      </c>
      <c r="L4821">
        <v>13633499.029999999</v>
      </c>
      <c r="M4821">
        <v>13633499.029999999</v>
      </c>
      <c r="N4821">
        <v>13633499.029999999</v>
      </c>
      <c r="O4821">
        <v>13633499.029999999</v>
      </c>
      <c r="P4821">
        <v>13511892</v>
      </c>
      <c r="Q4821">
        <v>13511892</v>
      </c>
      <c r="R4821" s="14">
        <f>_xlfn.XLOOKUP(Table2[[#This Row],[LoanID]],Table1[G-L ID],Table1[ManagerCode],-99)</f>
        <v>220</v>
      </c>
      <c r="T4821"/>
    </row>
    <row r="4822" spans="1:20" x14ac:dyDescent="0.25">
      <c r="A4822">
        <v>20160831</v>
      </c>
      <c r="B4822">
        <v>2016</v>
      </c>
      <c r="C4822">
        <v>8</v>
      </c>
      <c r="D4822">
        <v>1</v>
      </c>
      <c r="E4822">
        <v>10860</v>
      </c>
      <c r="F4822">
        <v>123251.69</v>
      </c>
      <c r="G4822">
        <v>0</v>
      </c>
      <c r="H4822">
        <v>0</v>
      </c>
      <c r="I4822">
        <v>0</v>
      </c>
      <c r="J4822">
        <v>0</v>
      </c>
      <c r="K4822">
        <v>0</v>
      </c>
      <c r="L4822">
        <v>19475000</v>
      </c>
      <c r="M4822">
        <v>19475000</v>
      </c>
      <c r="N4822">
        <v>19475000</v>
      </c>
      <c r="O4822">
        <v>19475000</v>
      </c>
      <c r="P4822">
        <v>20500000</v>
      </c>
      <c r="Q4822">
        <v>20500000</v>
      </c>
      <c r="R4822" s="14">
        <f>_xlfn.XLOOKUP(Table2[[#This Row],[LoanID]],Table1[G-L ID],Table1[ManagerCode],-99)</f>
        <v>103</v>
      </c>
      <c r="T4822"/>
    </row>
    <row r="4823" spans="1:20" x14ac:dyDescent="0.25">
      <c r="A4823">
        <v>20160831</v>
      </c>
      <c r="B4823">
        <v>2016</v>
      </c>
      <c r="C4823">
        <v>8</v>
      </c>
      <c r="D4823">
        <v>1</v>
      </c>
      <c r="E4823">
        <v>10890</v>
      </c>
      <c r="F4823">
        <v>103366.07</v>
      </c>
      <c r="G4823">
        <v>86928</v>
      </c>
      <c r="H4823">
        <v>0</v>
      </c>
      <c r="I4823">
        <v>0</v>
      </c>
      <c r="J4823">
        <v>-103366.07</v>
      </c>
      <c r="K4823">
        <v>0</v>
      </c>
      <c r="L4823">
        <v>20759353.52</v>
      </c>
      <c r="M4823">
        <v>20949647.59</v>
      </c>
      <c r="N4823">
        <v>20759353.52</v>
      </c>
      <c r="O4823">
        <v>20949647.59</v>
      </c>
      <c r="P4823">
        <v>20759353.52</v>
      </c>
      <c r="Q4823">
        <v>20949647.59</v>
      </c>
      <c r="R4823" s="14">
        <f>_xlfn.XLOOKUP(Table2[[#This Row],[LoanID]],Table1[G-L ID],Table1[ManagerCode],-99)</f>
        <v>183</v>
      </c>
      <c r="T4823"/>
    </row>
    <row r="4824" spans="1:20" x14ac:dyDescent="0.25">
      <c r="A4824">
        <v>20160831</v>
      </c>
      <c r="B4824">
        <v>2016</v>
      </c>
      <c r="C4824">
        <v>8</v>
      </c>
      <c r="D4824">
        <v>1</v>
      </c>
      <c r="E4824">
        <v>10910</v>
      </c>
      <c r="F4824">
        <v>213490.97</v>
      </c>
      <c r="G4824">
        <v>0</v>
      </c>
      <c r="H4824">
        <v>0</v>
      </c>
      <c r="I4824">
        <v>0</v>
      </c>
      <c r="J4824">
        <v>0</v>
      </c>
      <c r="K4824">
        <v>0</v>
      </c>
      <c r="L4824">
        <v>22500000</v>
      </c>
      <c r="M4824">
        <v>22500000</v>
      </c>
      <c r="N4824">
        <v>22500000</v>
      </c>
      <c r="O4824">
        <v>22500000</v>
      </c>
      <c r="P4824">
        <v>22500000</v>
      </c>
      <c r="Q4824">
        <v>22500000</v>
      </c>
      <c r="R4824" s="14">
        <f>_xlfn.XLOOKUP(Table2[[#This Row],[LoanID]],Table1[G-L ID],Table1[ManagerCode],-99)</f>
        <v>119</v>
      </c>
      <c r="T4824"/>
    </row>
    <row r="4825" spans="1:20" x14ac:dyDescent="0.25">
      <c r="A4825">
        <v>20160831</v>
      </c>
      <c r="B4825">
        <v>2016</v>
      </c>
      <c r="C4825">
        <v>8</v>
      </c>
      <c r="D4825">
        <v>1</v>
      </c>
      <c r="E4825">
        <v>10930</v>
      </c>
      <c r="F4825">
        <v>0</v>
      </c>
      <c r="G4825">
        <v>175117.87</v>
      </c>
      <c r="H4825">
        <v>0</v>
      </c>
      <c r="I4825">
        <v>0</v>
      </c>
      <c r="J4825">
        <v>0</v>
      </c>
      <c r="K4825">
        <v>0</v>
      </c>
      <c r="L4825">
        <v>15860551.390000001</v>
      </c>
      <c r="M4825">
        <v>16035669.26</v>
      </c>
      <c r="N4825">
        <v>15860551.390000001</v>
      </c>
      <c r="O4825">
        <v>16035669.26</v>
      </c>
      <c r="P4825">
        <v>15860551.390000001</v>
      </c>
      <c r="Q4825">
        <v>16035669.26</v>
      </c>
      <c r="R4825" s="14">
        <f>_xlfn.XLOOKUP(Table2[[#This Row],[LoanID]],Table1[G-L ID],Table1[ManagerCode],-99)</f>
        <v>183</v>
      </c>
      <c r="T4825"/>
    </row>
    <row r="4826" spans="1:20" x14ac:dyDescent="0.25">
      <c r="A4826">
        <v>20160831</v>
      </c>
      <c r="B4826">
        <v>2016</v>
      </c>
      <c r="C4826">
        <v>8</v>
      </c>
      <c r="D4826">
        <v>1</v>
      </c>
      <c r="E4826">
        <v>10960</v>
      </c>
      <c r="F4826">
        <v>74265.14</v>
      </c>
      <c r="G4826">
        <v>0</v>
      </c>
      <c r="H4826">
        <v>0</v>
      </c>
      <c r="I4826">
        <v>0</v>
      </c>
      <c r="J4826">
        <v>0</v>
      </c>
      <c r="K4826">
        <v>0</v>
      </c>
      <c r="L4826">
        <v>7027740.5300000003</v>
      </c>
      <c r="M4826">
        <v>7027740.5300000003</v>
      </c>
      <c r="N4826">
        <v>7027740.5300000003</v>
      </c>
      <c r="O4826">
        <v>7027740.5300000003</v>
      </c>
      <c r="P4826">
        <v>7027740.5300000003</v>
      </c>
      <c r="Q4826">
        <v>7027740.5300000003</v>
      </c>
      <c r="R4826" s="14">
        <f>_xlfn.XLOOKUP(Table2[[#This Row],[LoanID]],Table1[G-L ID],Table1[ManagerCode],-99)</f>
        <v>119</v>
      </c>
      <c r="T4826"/>
    </row>
    <row r="4827" spans="1:20" x14ac:dyDescent="0.25">
      <c r="A4827">
        <v>20160831</v>
      </c>
      <c r="B4827">
        <v>2016</v>
      </c>
      <c r="C4827">
        <v>8</v>
      </c>
      <c r="D4827">
        <v>1</v>
      </c>
      <c r="E4827">
        <v>11010</v>
      </c>
      <c r="F4827">
        <v>216021.41</v>
      </c>
      <c r="G4827">
        <v>0</v>
      </c>
      <c r="H4827">
        <v>0</v>
      </c>
      <c r="I4827">
        <v>0</v>
      </c>
      <c r="J4827">
        <v>0</v>
      </c>
      <c r="K4827">
        <v>0</v>
      </c>
      <c r="L4827">
        <v>26500000</v>
      </c>
      <c r="M4827">
        <v>26500000</v>
      </c>
      <c r="N4827">
        <v>26500000</v>
      </c>
      <c r="O4827">
        <v>26500000</v>
      </c>
      <c r="P4827">
        <v>26500000</v>
      </c>
      <c r="Q4827">
        <v>26500000</v>
      </c>
      <c r="R4827" s="14">
        <f>_xlfn.XLOOKUP(Table2[[#This Row],[LoanID]],Table1[G-L ID],Table1[ManagerCode],-99)</f>
        <v>119</v>
      </c>
      <c r="T4827"/>
    </row>
    <row r="4828" spans="1:20" x14ac:dyDescent="0.25">
      <c r="A4828">
        <v>20160831</v>
      </c>
      <c r="B4828">
        <v>2016</v>
      </c>
      <c r="C4828">
        <v>8</v>
      </c>
      <c r="D4828">
        <v>1</v>
      </c>
      <c r="E4828">
        <v>11030</v>
      </c>
      <c r="F4828">
        <v>66293.89</v>
      </c>
      <c r="G4828">
        <v>0</v>
      </c>
      <c r="H4828">
        <v>0</v>
      </c>
      <c r="I4828">
        <v>0</v>
      </c>
      <c r="J4828">
        <v>0</v>
      </c>
      <c r="K4828">
        <v>9777.7800000000007</v>
      </c>
      <c r="L4828">
        <v>7882666.6399999997</v>
      </c>
      <c r="M4828">
        <v>7872888.8600000003</v>
      </c>
      <c r="N4828">
        <v>7882666.6399999997</v>
      </c>
      <c r="O4828">
        <v>7872888.8600000003</v>
      </c>
      <c r="P4828">
        <v>7882666.6399999997</v>
      </c>
      <c r="Q4828">
        <v>7872888.8600000003</v>
      </c>
      <c r="R4828" s="14">
        <f>_xlfn.XLOOKUP(Table2[[#This Row],[LoanID]],Table1[G-L ID],Table1[ManagerCode],-99)</f>
        <v>119</v>
      </c>
      <c r="T4828"/>
    </row>
    <row r="4829" spans="1:20" x14ac:dyDescent="0.25">
      <c r="A4829">
        <v>20160831</v>
      </c>
      <c r="B4829">
        <v>2016</v>
      </c>
      <c r="C4829">
        <v>8</v>
      </c>
      <c r="D4829">
        <v>1</v>
      </c>
      <c r="E4829">
        <v>11040</v>
      </c>
      <c r="F4829">
        <v>503744.68</v>
      </c>
      <c r="G4829">
        <v>0</v>
      </c>
      <c r="H4829">
        <v>0</v>
      </c>
      <c r="I4829">
        <v>0</v>
      </c>
      <c r="J4829">
        <v>0</v>
      </c>
      <c r="K4829">
        <v>0</v>
      </c>
      <c r="L4829">
        <v>46866994.979999997</v>
      </c>
      <c r="M4829">
        <v>46866994.979999997</v>
      </c>
      <c r="N4829">
        <v>46866994.979999997</v>
      </c>
      <c r="O4829">
        <v>46866994.979999997</v>
      </c>
      <c r="P4829">
        <v>46866994.979999997</v>
      </c>
      <c r="Q4829">
        <v>46866994.979999997</v>
      </c>
      <c r="R4829" s="14">
        <f>_xlfn.XLOOKUP(Table2[[#This Row],[LoanID]],Table1[G-L ID],Table1[ManagerCode],-99)</f>
        <v>220</v>
      </c>
      <c r="T4829"/>
    </row>
    <row r="4830" spans="1:20" x14ac:dyDescent="0.25">
      <c r="A4830">
        <v>20160831</v>
      </c>
      <c r="B4830">
        <v>2016</v>
      </c>
      <c r="C4830">
        <v>8</v>
      </c>
      <c r="D4830">
        <v>1</v>
      </c>
      <c r="E4830">
        <v>11080</v>
      </c>
      <c r="F4830">
        <v>338125.61</v>
      </c>
      <c r="G4830">
        <v>0</v>
      </c>
      <c r="H4830">
        <v>0</v>
      </c>
      <c r="I4830">
        <v>0</v>
      </c>
      <c r="J4830">
        <v>0</v>
      </c>
      <c r="K4830">
        <v>0</v>
      </c>
      <c r="L4830">
        <v>40000000</v>
      </c>
      <c r="M4830">
        <v>40000000</v>
      </c>
      <c r="N4830">
        <v>40000000</v>
      </c>
      <c r="O4830">
        <v>40000000</v>
      </c>
      <c r="P4830">
        <v>40000000</v>
      </c>
      <c r="Q4830">
        <v>40000000</v>
      </c>
      <c r="R4830" s="14">
        <f>_xlfn.XLOOKUP(Table2[[#This Row],[LoanID]],Table1[G-L ID],Table1[ManagerCode],-99)</f>
        <v>119</v>
      </c>
      <c r="T4830"/>
    </row>
    <row r="4831" spans="1:20" x14ac:dyDescent="0.25">
      <c r="A4831">
        <v>20160831</v>
      </c>
      <c r="B4831">
        <v>2016</v>
      </c>
      <c r="C4831">
        <v>8</v>
      </c>
      <c r="D4831">
        <v>1</v>
      </c>
      <c r="E4831">
        <v>11090</v>
      </c>
      <c r="F4831">
        <v>94524.68</v>
      </c>
      <c r="G4831">
        <v>0</v>
      </c>
      <c r="H4831">
        <v>0</v>
      </c>
      <c r="I4831">
        <v>0</v>
      </c>
      <c r="J4831">
        <v>0</v>
      </c>
      <c r="K4831">
        <v>0</v>
      </c>
      <c r="L4831">
        <v>11000000</v>
      </c>
      <c r="M4831">
        <v>11000000</v>
      </c>
      <c r="N4831">
        <v>11000000</v>
      </c>
      <c r="O4831">
        <v>11000000</v>
      </c>
      <c r="P4831">
        <v>11000000</v>
      </c>
      <c r="Q4831">
        <v>11000000</v>
      </c>
      <c r="R4831" s="14">
        <f>_xlfn.XLOOKUP(Table2[[#This Row],[LoanID]],Table1[G-L ID],Table1[ManagerCode],-99)</f>
        <v>119</v>
      </c>
      <c r="T4831"/>
    </row>
    <row r="4832" spans="1:20" x14ac:dyDescent="0.25">
      <c r="A4832">
        <v>20160831</v>
      </c>
      <c r="B4832">
        <v>2016</v>
      </c>
      <c r="C4832">
        <v>8</v>
      </c>
      <c r="D4832">
        <v>1</v>
      </c>
      <c r="E4832">
        <v>11100</v>
      </c>
      <c r="F4832">
        <v>212840.83</v>
      </c>
      <c r="G4832">
        <v>0</v>
      </c>
      <c r="H4832">
        <v>0</v>
      </c>
      <c r="I4832">
        <v>0</v>
      </c>
      <c r="J4832">
        <v>0</v>
      </c>
      <c r="K4832">
        <v>0</v>
      </c>
      <c r="L4832">
        <v>54450000</v>
      </c>
      <c r="M4832">
        <v>54450000</v>
      </c>
      <c r="N4832">
        <v>54450000</v>
      </c>
      <c r="O4832">
        <v>54450000</v>
      </c>
      <c r="P4832">
        <v>55000000</v>
      </c>
      <c r="Q4832">
        <v>55000000</v>
      </c>
      <c r="R4832" s="14">
        <f>_xlfn.XLOOKUP(Table2[[#This Row],[LoanID]],Table1[G-L ID],Table1[ManagerCode],-99)</f>
        <v>103</v>
      </c>
      <c r="T4832"/>
    </row>
    <row r="4833" spans="1:20" x14ac:dyDescent="0.25">
      <c r="A4833">
        <v>20160831</v>
      </c>
      <c r="B4833">
        <v>2016</v>
      </c>
      <c r="C4833">
        <v>8</v>
      </c>
      <c r="D4833">
        <v>1</v>
      </c>
      <c r="E4833">
        <v>11130</v>
      </c>
      <c r="F4833">
        <v>7279060.7199999997</v>
      </c>
      <c r="G4833">
        <v>0</v>
      </c>
      <c r="H4833">
        <v>0</v>
      </c>
      <c r="I4833">
        <v>0</v>
      </c>
      <c r="J4833">
        <v>0</v>
      </c>
      <c r="K4833">
        <v>0</v>
      </c>
      <c r="L4833">
        <v>150450000</v>
      </c>
      <c r="M4833">
        <v>150450000</v>
      </c>
      <c r="N4833">
        <v>150450000</v>
      </c>
      <c r="O4833">
        <v>150450000</v>
      </c>
      <c r="P4833">
        <v>177000000</v>
      </c>
      <c r="Q4833">
        <v>177000000</v>
      </c>
      <c r="R4833" s="14">
        <f>_xlfn.XLOOKUP(Table2[[#This Row],[LoanID]],Table1[G-L ID],Table1[ManagerCode],-99)</f>
        <v>103</v>
      </c>
      <c r="T4833"/>
    </row>
    <row r="4834" spans="1:20" x14ac:dyDescent="0.25">
      <c r="A4834">
        <v>20160831</v>
      </c>
      <c r="B4834">
        <v>2016</v>
      </c>
      <c r="C4834">
        <v>8</v>
      </c>
      <c r="D4834">
        <v>1</v>
      </c>
      <c r="E4834">
        <v>11160</v>
      </c>
      <c r="F4834">
        <v>203515.83</v>
      </c>
      <c r="G4834">
        <v>155188.46</v>
      </c>
      <c r="H4834">
        <v>0</v>
      </c>
      <c r="I4834">
        <v>0</v>
      </c>
      <c r="J4834">
        <v>-3348289.92</v>
      </c>
      <c r="K4834">
        <v>11237982.98</v>
      </c>
      <c r="L4834">
        <v>46740539.609999999</v>
      </c>
      <c r="M4834">
        <v>50244017.990000002</v>
      </c>
      <c r="N4834">
        <v>46740539.609999999</v>
      </c>
      <c r="O4834">
        <v>39006035.009999998</v>
      </c>
      <c r="P4834">
        <v>46740539.609999999</v>
      </c>
      <c r="Q4834">
        <v>50244017.990000002</v>
      </c>
      <c r="R4834" s="14">
        <f>_xlfn.XLOOKUP(Table2[[#This Row],[LoanID]],Table1[G-L ID],Table1[ManagerCode],-99)</f>
        <v>183</v>
      </c>
      <c r="T4834"/>
    </row>
    <row r="4835" spans="1:20" x14ac:dyDescent="0.25">
      <c r="A4835">
        <v>20160831</v>
      </c>
      <c r="B4835">
        <v>2016</v>
      </c>
      <c r="C4835">
        <v>8</v>
      </c>
      <c r="D4835">
        <v>1</v>
      </c>
      <c r="E4835">
        <v>11250</v>
      </c>
      <c r="F4835">
        <v>228165.31</v>
      </c>
      <c r="G4835">
        <v>0</v>
      </c>
      <c r="H4835">
        <v>0</v>
      </c>
      <c r="I4835">
        <v>0</v>
      </c>
      <c r="J4835">
        <v>0</v>
      </c>
      <c r="K4835">
        <v>0</v>
      </c>
      <c r="L4835">
        <v>18253225.030000001</v>
      </c>
      <c r="M4835">
        <v>18253225.030000001</v>
      </c>
      <c r="N4835">
        <v>18253225.030000001</v>
      </c>
      <c r="O4835">
        <v>18253225.030000001</v>
      </c>
      <c r="P4835">
        <v>18253225.030000001</v>
      </c>
      <c r="Q4835">
        <v>18253225.030000001</v>
      </c>
      <c r="R4835" s="14">
        <f>_xlfn.XLOOKUP(Table2[[#This Row],[LoanID]],Table1[G-L ID],Table1[ManagerCode],-99)</f>
        <v>183</v>
      </c>
      <c r="T4835"/>
    </row>
    <row r="4836" spans="1:20" x14ac:dyDescent="0.25">
      <c r="A4836">
        <v>20160831</v>
      </c>
      <c r="B4836">
        <v>2016</v>
      </c>
      <c r="C4836">
        <v>8</v>
      </c>
      <c r="D4836">
        <v>1</v>
      </c>
      <c r="E4836">
        <v>11330</v>
      </c>
      <c r="F4836">
        <v>72838.509999999995</v>
      </c>
      <c r="G4836">
        <v>0</v>
      </c>
      <c r="H4836">
        <v>0</v>
      </c>
      <c r="I4836">
        <v>0</v>
      </c>
      <c r="J4836">
        <v>0</v>
      </c>
      <c r="K4836">
        <v>0</v>
      </c>
      <c r="L4836">
        <v>7468012.9000000004</v>
      </c>
      <c r="M4836">
        <v>7468012.9000000004</v>
      </c>
      <c r="N4836">
        <v>7468012.9000000004</v>
      </c>
      <c r="O4836">
        <v>7468012.9000000004</v>
      </c>
      <c r="P4836">
        <v>7468012.9000000004</v>
      </c>
      <c r="Q4836">
        <v>7468012.9000000004</v>
      </c>
      <c r="R4836" s="14">
        <f>_xlfn.XLOOKUP(Table2[[#This Row],[LoanID]],Table1[G-L ID],Table1[ManagerCode],-99)</f>
        <v>119</v>
      </c>
      <c r="T4836"/>
    </row>
    <row r="4837" spans="1:20" x14ac:dyDescent="0.25">
      <c r="A4837">
        <v>20160831</v>
      </c>
      <c r="B4837">
        <v>2016</v>
      </c>
      <c r="C4837">
        <v>8</v>
      </c>
      <c r="D4837">
        <v>1</v>
      </c>
      <c r="E4837">
        <v>11340</v>
      </c>
      <c r="F4837">
        <v>298640.23</v>
      </c>
      <c r="G4837">
        <v>0</v>
      </c>
      <c r="H4837">
        <v>0</v>
      </c>
      <c r="I4837">
        <v>0</v>
      </c>
      <c r="J4837">
        <v>0</v>
      </c>
      <c r="K4837">
        <v>62663.74</v>
      </c>
      <c r="L4837">
        <v>49048560.939999998</v>
      </c>
      <c r="M4837">
        <v>48986523.82</v>
      </c>
      <c r="N4837">
        <v>49048560.939999998</v>
      </c>
      <c r="O4837">
        <v>48986523.82</v>
      </c>
      <c r="P4837">
        <v>49544000.950000003</v>
      </c>
      <c r="Q4837">
        <v>49481337.210000001</v>
      </c>
      <c r="R4837" s="14">
        <f>_xlfn.XLOOKUP(Table2[[#This Row],[LoanID]],Table1[G-L ID],Table1[ManagerCode],-99)</f>
        <v>103</v>
      </c>
      <c r="T4837"/>
    </row>
    <row r="4838" spans="1:20" x14ac:dyDescent="0.25">
      <c r="A4838">
        <v>20160831</v>
      </c>
      <c r="B4838">
        <v>2016</v>
      </c>
      <c r="C4838">
        <v>8</v>
      </c>
      <c r="D4838">
        <v>1</v>
      </c>
      <c r="E4838">
        <v>11350</v>
      </c>
      <c r="F4838">
        <v>331527.78000000003</v>
      </c>
      <c r="G4838">
        <v>0</v>
      </c>
      <c r="H4838">
        <v>0</v>
      </c>
      <c r="I4838">
        <v>0</v>
      </c>
      <c r="J4838">
        <v>0</v>
      </c>
      <c r="K4838">
        <v>0</v>
      </c>
      <c r="L4838">
        <v>54449945.549999997</v>
      </c>
      <c r="M4838">
        <v>54449945.549999997</v>
      </c>
      <c r="N4838">
        <v>54449945.549999997</v>
      </c>
      <c r="O4838">
        <v>54449945.549999997</v>
      </c>
      <c r="P4838">
        <v>55000000</v>
      </c>
      <c r="Q4838">
        <v>55000000</v>
      </c>
      <c r="R4838" s="14">
        <f>_xlfn.XLOOKUP(Table2[[#This Row],[LoanID]],Table1[G-L ID],Table1[ManagerCode],-99)</f>
        <v>103</v>
      </c>
      <c r="T4838"/>
    </row>
    <row r="4839" spans="1:20" x14ac:dyDescent="0.25">
      <c r="A4839">
        <v>20160831</v>
      </c>
      <c r="B4839">
        <v>2016</v>
      </c>
      <c r="C4839">
        <v>8</v>
      </c>
      <c r="D4839">
        <v>1</v>
      </c>
      <c r="E4839">
        <v>11360</v>
      </c>
      <c r="F4839">
        <v>62290.01</v>
      </c>
      <c r="G4839">
        <v>0</v>
      </c>
      <c r="H4839">
        <v>0</v>
      </c>
      <c r="I4839">
        <v>0</v>
      </c>
      <c r="J4839">
        <v>0</v>
      </c>
      <c r="K4839">
        <v>0</v>
      </c>
      <c r="L4839">
        <v>7537500</v>
      </c>
      <c r="M4839">
        <v>7537500</v>
      </c>
      <c r="N4839">
        <v>7537500</v>
      </c>
      <c r="O4839">
        <v>7537500</v>
      </c>
      <c r="P4839">
        <v>7537500</v>
      </c>
      <c r="Q4839">
        <v>7537500</v>
      </c>
      <c r="R4839" s="14">
        <f>_xlfn.XLOOKUP(Table2[[#This Row],[LoanID]],Table1[G-L ID],Table1[ManagerCode],-99)</f>
        <v>119</v>
      </c>
      <c r="T4839"/>
    </row>
    <row r="4840" spans="1:20" x14ac:dyDescent="0.25">
      <c r="A4840">
        <v>20160831</v>
      </c>
      <c r="B4840">
        <v>2016</v>
      </c>
      <c r="C4840">
        <v>8</v>
      </c>
      <c r="D4840">
        <v>1</v>
      </c>
      <c r="E4840">
        <v>11370</v>
      </c>
      <c r="F4840">
        <v>63591.92</v>
      </c>
      <c r="G4840">
        <v>0</v>
      </c>
      <c r="H4840">
        <v>0</v>
      </c>
      <c r="I4840">
        <v>0</v>
      </c>
      <c r="J4840">
        <v>0</v>
      </c>
      <c r="K4840">
        <v>0</v>
      </c>
      <c r="L4840">
        <v>6645849.7400000002</v>
      </c>
      <c r="M4840">
        <v>6645849.7400000002</v>
      </c>
      <c r="N4840">
        <v>6645849.7400000002</v>
      </c>
      <c r="O4840">
        <v>6645849.7400000002</v>
      </c>
      <c r="P4840">
        <v>6645849.7400000002</v>
      </c>
      <c r="Q4840">
        <v>6645849.7400000002</v>
      </c>
      <c r="R4840" s="14">
        <f>_xlfn.XLOOKUP(Table2[[#This Row],[LoanID]],Table1[G-L ID],Table1[ManagerCode],-99)</f>
        <v>119</v>
      </c>
      <c r="T4840"/>
    </row>
    <row r="4841" spans="1:20" x14ac:dyDescent="0.25">
      <c r="A4841">
        <v>20160831</v>
      </c>
      <c r="B4841">
        <v>2016</v>
      </c>
      <c r="C4841">
        <v>8</v>
      </c>
      <c r="D4841">
        <v>1</v>
      </c>
      <c r="E4841">
        <v>11410</v>
      </c>
      <c r="F4841">
        <v>109347.33</v>
      </c>
      <c r="G4841">
        <v>0</v>
      </c>
      <c r="H4841">
        <v>0</v>
      </c>
      <c r="I4841">
        <v>0</v>
      </c>
      <c r="J4841">
        <v>0</v>
      </c>
      <c r="K4841">
        <v>0</v>
      </c>
      <c r="L4841">
        <v>12000000</v>
      </c>
      <c r="M4841">
        <v>12000000</v>
      </c>
      <c r="N4841">
        <v>12000000</v>
      </c>
      <c r="O4841">
        <v>12000000</v>
      </c>
      <c r="P4841">
        <v>12000000</v>
      </c>
      <c r="Q4841">
        <v>12000000</v>
      </c>
      <c r="R4841" s="14">
        <f>_xlfn.XLOOKUP(Table2[[#This Row],[LoanID]],Table1[G-L ID],Table1[ManagerCode],-99)</f>
        <v>119</v>
      </c>
      <c r="T4841"/>
    </row>
    <row r="4842" spans="1:20" x14ac:dyDescent="0.25">
      <c r="A4842">
        <v>20160831</v>
      </c>
      <c r="B4842">
        <v>2016</v>
      </c>
      <c r="C4842">
        <v>8</v>
      </c>
      <c r="D4842">
        <v>1</v>
      </c>
      <c r="E4842">
        <v>11440</v>
      </c>
      <c r="F4842">
        <v>156250</v>
      </c>
      <c r="G4842">
        <v>0</v>
      </c>
      <c r="H4842">
        <v>0</v>
      </c>
      <c r="I4842">
        <v>0</v>
      </c>
      <c r="J4842">
        <v>0</v>
      </c>
      <c r="K4842">
        <v>0</v>
      </c>
      <c r="L4842">
        <v>18750000</v>
      </c>
      <c r="M4842">
        <v>18750000</v>
      </c>
      <c r="N4842">
        <v>18750000</v>
      </c>
      <c r="O4842">
        <v>18750000</v>
      </c>
      <c r="P4842">
        <v>18750000</v>
      </c>
      <c r="Q4842">
        <v>18750000</v>
      </c>
      <c r="R4842" s="14">
        <f>_xlfn.XLOOKUP(Table2[[#This Row],[LoanID]],Table1[G-L ID],Table1[ManagerCode],-99)</f>
        <v>183</v>
      </c>
      <c r="T4842"/>
    </row>
    <row r="4843" spans="1:20" x14ac:dyDescent="0.25">
      <c r="A4843">
        <v>20160831</v>
      </c>
      <c r="B4843">
        <v>2016</v>
      </c>
      <c r="C4843">
        <v>8</v>
      </c>
      <c r="D4843">
        <v>1</v>
      </c>
      <c r="E4843">
        <v>11450</v>
      </c>
      <c r="F4843">
        <v>125961.5</v>
      </c>
      <c r="G4843">
        <v>0</v>
      </c>
      <c r="H4843">
        <v>0</v>
      </c>
      <c r="I4843">
        <v>0</v>
      </c>
      <c r="J4843">
        <v>0</v>
      </c>
      <c r="K4843">
        <v>0</v>
      </c>
      <c r="L4843">
        <v>15438297.869999999</v>
      </c>
      <c r="M4843">
        <v>15438297.869999999</v>
      </c>
      <c r="N4843">
        <v>15438297.869999999</v>
      </c>
      <c r="O4843">
        <v>15438297.869999999</v>
      </c>
      <c r="P4843">
        <v>15438297.869999999</v>
      </c>
      <c r="Q4843">
        <v>15438297.869999999</v>
      </c>
      <c r="R4843" s="14">
        <f>_xlfn.XLOOKUP(Table2[[#This Row],[LoanID]],Table1[G-L ID],Table1[ManagerCode],-99)</f>
        <v>119</v>
      </c>
      <c r="T4843"/>
    </row>
    <row r="4844" spans="1:20" x14ac:dyDescent="0.25">
      <c r="A4844">
        <v>20160831</v>
      </c>
      <c r="B4844">
        <v>2016</v>
      </c>
      <c r="C4844">
        <v>8</v>
      </c>
      <c r="D4844">
        <v>1</v>
      </c>
      <c r="E4844">
        <v>11480</v>
      </c>
      <c r="F4844">
        <v>375651.11</v>
      </c>
      <c r="G4844">
        <v>0</v>
      </c>
      <c r="H4844">
        <v>0</v>
      </c>
      <c r="I4844">
        <v>0</v>
      </c>
      <c r="J4844">
        <v>0</v>
      </c>
      <c r="K4844">
        <v>0</v>
      </c>
      <c r="L4844">
        <v>66500000</v>
      </c>
      <c r="M4844">
        <v>66500000</v>
      </c>
      <c r="N4844">
        <v>66500000</v>
      </c>
      <c r="O4844">
        <v>66500000</v>
      </c>
      <c r="P4844">
        <v>70000000</v>
      </c>
      <c r="Q4844">
        <v>70000000</v>
      </c>
      <c r="R4844" s="14">
        <f>_xlfn.XLOOKUP(Table2[[#This Row],[LoanID]],Table1[G-L ID],Table1[ManagerCode],-99)</f>
        <v>103</v>
      </c>
      <c r="T4844"/>
    </row>
    <row r="4845" spans="1:20" x14ac:dyDescent="0.25">
      <c r="A4845">
        <v>20160831</v>
      </c>
      <c r="B4845">
        <v>2016</v>
      </c>
      <c r="C4845">
        <v>8</v>
      </c>
      <c r="D4845">
        <v>1</v>
      </c>
      <c r="E4845">
        <v>11490</v>
      </c>
      <c r="F4845">
        <v>354355.83</v>
      </c>
      <c r="G4845">
        <v>0</v>
      </c>
      <c r="H4845">
        <v>0</v>
      </c>
      <c r="I4845">
        <v>0</v>
      </c>
      <c r="J4845">
        <v>0</v>
      </c>
      <c r="K4845">
        <v>0</v>
      </c>
      <c r="L4845">
        <v>49500000</v>
      </c>
      <c r="M4845">
        <v>49500000</v>
      </c>
      <c r="N4845">
        <v>49500000</v>
      </c>
      <c r="O4845">
        <v>49500000</v>
      </c>
      <c r="P4845">
        <v>55000000</v>
      </c>
      <c r="Q4845">
        <v>55000000</v>
      </c>
      <c r="R4845" s="14">
        <f>_xlfn.XLOOKUP(Table2[[#This Row],[LoanID]],Table1[G-L ID],Table1[ManagerCode],-99)</f>
        <v>103</v>
      </c>
      <c r="T4845"/>
    </row>
    <row r="4846" spans="1:20" x14ac:dyDescent="0.25">
      <c r="A4846">
        <v>20160831</v>
      </c>
      <c r="B4846">
        <v>2016</v>
      </c>
      <c r="C4846">
        <v>8</v>
      </c>
      <c r="D4846">
        <v>1</v>
      </c>
      <c r="E4846">
        <v>11520</v>
      </c>
      <c r="F4846">
        <v>38000.03</v>
      </c>
      <c r="G4846">
        <v>0</v>
      </c>
      <c r="H4846">
        <v>0</v>
      </c>
      <c r="I4846">
        <v>0</v>
      </c>
      <c r="J4846">
        <v>-189717</v>
      </c>
      <c r="K4846">
        <v>0</v>
      </c>
      <c r="L4846">
        <v>4550143.7</v>
      </c>
      <c r="M4846">
        <v>4739860.7</v>
      </c>
      <c r="N4846">
        <v>4550143.7</v>
      </c>
      <c r="O4846">
        <v>4739860.7</v>
      </c>
      <c r="P4846">
        <v>4550143.7</v>
      </c>
      <c r="Q4846">
        <v>4739860.7</v>
      </c>
      <c r="R4846" s="14">
        <f>_xlfn.XLOOKUP(Table2[[#This Row],[LoanID]],Table1[G-L ID],Table1[ManagerCode],-99)</f>
        <v>119</v>
      </c>
      <c r="T4846"/>
    </row>
    <row r="4847" spans="1:20" x14ac:dyDescent="0.25">
      <c r="A4847">
        <v>20160831</v>
      </c>
      <c r="B4847">
        <v>2016</v>
      </c>
      <c r="C4847">
        <v>8</v>
      </c>
      <c r="D4847">
        <v>1</v>
      </c>
      <c r="E4847">
        <v>11530</v>
      </c>
      <c r="F4847">
        <v>112803.88</v>
      </c>
      <c r="G4847">
        <v>0</v>
      </c>
      <c r="H4847">
        <v>0</v>
      </c>
      <c r="I4847">
        <v>0</v>
      </c>
      <c r="J4847">
        <v>802944.14</v>
      </c>
      <c r="K4847">
        <v>0</v>
      </c>
      <c r="L4847">
        <v>12320592.189999999</v>
      </c>
      <c r="M4847">
        <v>11517648.050000001</v>
      </c>
      <c r="N4847">
        <v>12320592.189999999</v>
      </c>
      <c r="O4847">
        <v>11517648.050000001</v>
      </c>
      <c r="P4847">
        <v>12320592.189999999</v>
      </c>
      <c r="Q4847">
        <v>11517648.050000001</v>
      </c>
      <c r="R4847" s="14">
        <f>_xlfn.XLOOKUP(Table2[[#This Row],[LoanID]],Table1[G-L ID],Table1[ManagerCode],-99)</f>
        <v>119</v>
      </c>
      <c r="T4847"/>
    </row>
    <row r="4848" spans="1:20" x14ac:dyDescent="0.25">
      <c r="A4848">
        <v>20160831</v>
      </c>
      <c r="B4848">
        <v>2016</v>
      </c>
      <c r="C4848">
        <v>8</v>
      </c>
      <c r="D4848">
        <v>1</v>
      </c>
      <c r="E4848">
        <v>11590</v>
      </c>
      <c r="F4848">
        <v>24100.48</v>
      </c>
      <c r="G4848">
        <v>0</v>
      </c>
      <c r="H4848">
        <v>0</v>
      </c>
      <c r="I4848">
        <v>0</v>
      </c>
      <c r="J4848">
        <v>0</v>
      </c>
      <c r="K4848">
        <v>0</v>
      </c>
      <c r="L4848">
        <v>3507224.44</v>
      </c>
      <c r="M4848">
        <v>3507224.44</v>
      </c>
      <c r="N4848">
        <v>3507224.44</v>
      </c>
      <c r="O4848">
        <v>3507224.44</v>
      </c>
      <c r="P4848">
        <v>3507224.44</v>
      </c>
      <c r="Q4848">
        <v>3507224.44</v>
      </c>
      <c r="R4848" s="14">
        <f>_xlfn.XLOOKUP(Table2[[#This Row],[LoanID]],Table1[G-L ID],Table1[ManagerCode],-99)</f>
        <v>119</v>
      </c>
      <c r="T4848"/>
    </row>
    <row r="4849" spans="1:20" x14ac:dyDescent="0.25">
      <c r="A4849">
        <v>20160831</v>
      </c>
      <c r="B4849">
        <v>2016</v>
      </c>
      <c r="C4849">
        <v>8</v>
      </c>
      <c r="D4849">
        <v>1</v>
      </c>
      <c r="E4849">
        <v>11650</v>
      </c>
      <c r="F4849">
        <v>75000</v>
      </c>
      <c r="G4849">
        <v>0</v>
      </c>
      <c r="H4849">
        <v>0</v>
      </c>
      <c r="I4849">
        <v>0</v>
      </c>
      <c r="J4849">
        <v>0</v>
      </c>
      <c r="K4849">
        <v>0</v>
      </c>
      <c r="L4849">
        <v>9600000</v>
      </c>
      <c r="M4849">
        <v>9685378.25</v>
      </c>
      <c r="N4849">
        <v>9600000</v>
      </c>
      <c r="O4849">
        <v>9685378.25</v>
      </c>
      <c r="P4849">
        <v>12000000</v>
      </c>
      <c r="Q4849">
        <v>12000000</v>
      </c>
      <c r="R4849" s="14">
        <f>_xlfn.XLOOKUP(Table2[[#This Row],[LoanID]],Table1[G-L ID],Table1[ManagerCode],-99)</f>
        <v>103</v>
      </c>
      <c r="T4849"/>
    </row>
    <row r="4850" spans="1:20" x14ac:dyDescent="0.25">
      <c r="A4850">
        <v>20160831</v>
      </c>
      <c r="B4850">
        <v>2016</v>
      </c>
      <c r="C4850">
        <v>8</v>
      </c>
      <c r="D4850">
        <v>1</v>
      </c>
      <c r="E4850">
        <v>11680</v>
      </c>
      <c r="F4850">
        <v>57126.559999999998</v>
      </c>
      <c r="G4850">
        <v>0</v>
      </c>
      <c r="H4850">
        <v>0</v>
      </c>
      <c r="I4850">
        <v>0</v>
      </c>
      <c r="J4850">
        <v>0</v>
      </c>
      <c r="K4850">
        <v>0</v>
      </c>
      <c r="L4850">
        <v>6600000</v>
      </c>
      <c r="M4850">
        <v>6600000</v>
      </c>
      <c r="N4850">
        <v>6600000</v>
      </c>
      <c r="O4850">
        <v>6600000</v>
      </c>
      <c r="P4850">
        <v>6600000</v>
      </c>
      <c r="Q4850">
        <v>6600000</v>
      </c>
      <c r="R4850" s="14">
        <f>_xlfn.XLOOKUP(Table2[[#This Row],[LoanID]],Table1[G-L ID],Table1[ManagerCode],-99)</f>
        <v>183</v>
      </c>
      <c r="T4850"/>
    </row>
    <row r="4851" spans="1:20" x14ac:dyDescent="0.25">
      <c r="A4851">
        <v>20160831</v>
      </c>
      <c r="B4851">
        <v>2016</v>
      </c>
      <c r="C4851">
        <v>8</v>
      </c>
      <c r="D4851">
        <v>1</v>
      </c>
      <c r="E4851">
        <v>11690</v>
      </c>
      <c r="F4851">
        <v>138805.94</v>
      </c>
      <c r="G4851">
        <v>0</v>
      </c>
      <c r="H4851">
        <v>0</v>
      </c>
      <c r="I4851">
        <v>0</v>
      </c>
      <c r="J4851">
        <v>0</v>
      </c>
      <c r="K4851">
        <v>0</v>
      </c>
      <c r="L4851">
        <v>17000000</v>
      </c>
      <c r="M4851">
        <v>17000000</v>
      </c>
      <c r="N4851">
        <v>17000000</v>
      </c>
      <c r="O4851">
        <v>17000000</v>
      </c>
      <c r="P4851">
        <v>17000000</v>
      </c>
      <c r="Q4851">
        <v>17000000</v>
      </c>
      <c r="R4851" s="14">
        <f>_xlfn.XLOOKUP(Table2[[#This Row],[LoanID]],Table1[G-L ID],Table1[ManagerCode],-99)</f>
        <v>119</v>
      </c>
      <c r="T4851"/>
    </row>
    <row r="4852" spans="1:20" x14ac:dyDescent="0.25">
      <c r="A4852">
        <v>20160831</v>
      </c>
      <c r="B4852">
        <v>2016</v>
      </c>
      <c r="C4852">
        <v>8</v>
      </c>
      <c r="D4852">
        <v>1</v>
      </c>
      <c r="E4852">
        <v>11710</v>
      </c>
      <c r="F4852">
        <v>129757.4</v>
      </c>
      <c r="G4852">
        <v>0</v>
      </c>
      <c r="H4852">
        <v>0</v>
      </c>
      <c r="I4852">
        <v>0</v>
      </c>
      <c r="J4852">
        <v>0</v>
      </c>
      <c r="K4852">
        <v>315000</v>
      </c>
      <c r="L4852">
        <v>14895000</v>
      </c>
      <c r="M4852">
        <v>14580000</v>
      </c>
      <c r="N4852">
        <v>14895000</v>
      </c>
      <c r="O4852">
        <v>14580000</v>
      </c>
      <c r="P4852">
        <v>14895000</v>
      </c>
      <c r="Q4852">
        <v>14580000</v>
      </c>
      <c r="R4852" s="14">
        <f>_xlfn.XLOOKUP(Table2[[#This Row],[LoanID]],Table1[G-L ID],Table1[ManagerCode],-99)</f>
        <v>119</v>
      </c>
      <c r="T4852"/>
    </row>
    <row r="4853" spans="1:20" x14ac:dyDescent="0.25">
      <c r="A4853">
        <v>20160831</v>
      </c>
      <c r="B4853">
        <v>2016</v>
      </c>
      <c r="C4853">
        <v>8</v>
      </c>
      <c r="D4853">
        <v>1</v>
      </c>
      <c r="E4853">
        <v>11720</v>
      </c>
      <c r="F4853">
        <v>129166.67</v>
      </c>
      <c r="G4853">
        <v>0</v>
      </c>
      <c r="H4853">
        <v>0</v>
      </c>
      <c r="I4853">
        <v>0</v>
      </c>
      <c r="J4853">
        <v>0</v>
      </c>
      <c r="K4853">
        <v>0</v>
      </c>
      <c r="L4853">
        <v>19800000</v>
      </c>
      <c r="M4853">
        <v>19800000</v>
      </c>
      <c r="N4853">
        <v>19800000</v>
      </c>
      <c r="O4853">
        <v>19800000</v>
      </c>
      <c r="P4853">
        <v>20000000</v>
      </c>
      <c r="Q4853">
        <v>20000000</v>
      </c>
      <c r="R4853" s="14">
        <f>_xlfn.XLOOKUP(Table2[[#This Row],[LoanID]],Table1[G-L ID],Table1[ManagerCode],-99)</f>
        <v>103</v>
      </c>
      <c r="T4853"/>
    </row>
    <row r="4854" spans="1:20" x14ac:dyDescent="0.25">
      <c r="A4854">
        <v>20160831</v>
      </c>
      <c r="B4854">
        <v>2016</v>
      </c>
      <c r="C4854">
        <v>8</v>
      </c>
      <c r="D4854">
        <v>1</v>
      </c>
      <c r="E4854">
        <v>11730</v>
      </c>
      <c r="F4854">
        <v>48264.88</v>
      </c>
      <c r="G4854">
        <v>0</v>
      </c>
      <c r="H4854">
        <v>0</v>
      </c>
      <c r="I4854">
        <v>0</v>
      </c>
      <c r="J4854">
        <v>-1000000</v>
      </c>
      <c r="K4854">
        <v>0</v>
      </c>
      <c r="L4854">
        <v>4750000</v>
      </c>
      <c r="M4854">
        <v>5750000</v>
      </c>
      <c r="N4854">
        <v>4750000</v>
      </c>
      <c r="O4854">
        <v>5750000</v>
      </c>
      <c r="P4854">
        <v>4750000</v>
      </c>
      <c r="Q4854">
        <v>5750000</v>
      </c>
      <c r="R4854" s="14">
        <f>_xlfn.XLOOKUP(Table2[[#This Row],[LoanID]],Table1[G-L ID],Table1[ManagerCode],-99)</f>
        <v>119</v>
      </c>
      <c r="T4854"/>
    </row>
    <row r="4855" spans="1:20" x14ac:dyDescent="0.25">
      <c r="A4855">
        <v>20160831</v>
      </c>
      <c r="B4855">
        <v>2016</v>
      </c>
      <c r="C4855">
        <v>8</v>
      </c>
      <c r="D4855">
        <v>1</v>
      </c>
      <c r="E4855">
        <v>11750</v>
      </c>
      <c r="F4855">
        <v>111873.47</v>
      </c>
      <c r="G4855">
        <v>110906.91</v>
      </c>
      <c r="H4855">
        <v>0</v>
      </c>
      <c r="I4855">
        <v>0</v>
      </c>
      <c r="J4855">
        <v>-7099737.5199999996</v>
      </c>
      <c r="K4855">
        <v>0</v>
      </c>
      <c r="L4855">
        <v>23523788.190000001</v>
      </c>
      <c r="M4855">
        <v>30734432.620000001</v>
      </c>
      <c r="N4855">
        <v>23523788.190000001</v>
      </c>
      <c r="O4855">
        <v>30734432.620000001</v>
      </c>
      <c r="P4855">
        <v>23523788.190000001</v>
      </c>
      <c r="Q4855">
        <v>30734432.620000001</v>
      </c>
      <c r="R4855" s="14">
        <f>_xlfn.XLOOKUP(Table2[[#This Row],[LoanID]],Table1[G-L ID],Table1[ManagerCode],-99)</f>
        <v>183</v>
      </c>
      <c r="T4855"/>
    </row>
    <row r="4856" spans="1:20" x14ac:dyDescent="0.25">
      <c r="A4856">
        <v>20160831</v>
      </c>
      <c r="B4856">
        <v>2016</v>
      </c>
      <c r="C4856">
        <v>8</v>
      </c>
      <c r="D4856">
        <v>1</v>
      </c>
      <c r="E4856">
        <v>11810</v>
      </c>
      <c r="F4856">
        <v>48349.42</v>
      </c>
      <c r="G4856">
        <v>0</v>
      </c>
      <c r="H4856">
        <v>0</v>
      </c>
      <c r="I4856">
        <v>0</v>
      </c>
      <c r="J4856">
        <v>0</v>
      </c>
      <c r="K4856">
        <v>12508.67</v>
      </c>
      <c r="L4856">
        <v>9354903.2799999993</v>
      </c>
      <c r="M4856">
        <v>9342519.6799999997</v>
      </c>
      <c r="N4856">
        <v>9354903.2799999993</v>
      </c>
      <c r="O4856">
        <v>9342519.6799999997</v>
      </c>
      <c r="P4856">
        <v>9354045.3100000005</v>
      </c>
      <c r="Q4856">
        <v>9341536.6400000006</v>
      </c>
      <c r="R4856" s="14">
        <f>_xlfn.XLOOKUP(Table2[[#This Row],[LoanID]],Table1[G-L ID],Table1[ManagerCode],-99)</f>
        <v>103</v>
      </c>
      <c r="T4856"/>
    </row>
    <row r="4857" spans="1:20" x14ac:dyDescent="0.25">
      <c r="A4857">
        <v>20160831</v>
      </c>
      <c r="B4857">
        <v>2016</v>
      </c>
      <c r="C4857">
        <v>8</v>
      </c>
      <c r="D4857">
        <v>1</v>
      </c>
      <c r="E4857">
        <v>11830</v>
      </c>
      <c r="F4857">
        <v>66344</v>
      </c>
      <c r="G4857">
        <v>0</v>
      </c>
      <c r="H4857">
        <v>0</v>
      </c>
      <c r="I4857">
        <v>0</v>
      </c>
      <c r="J4857">
        <v>0</v>
      </c>
      <c r="K4857">
        <v>0</v>
      </c>
      <c r="L4857">
        <v>6775000</v>
      </c>
      <c r="M4857">
        <v>6775000</v>
      </c>
      <c r="N4857">
        <v>6775000</v>
      </c>
      <c r="O4857">
        <v>6775000</v>
      </c>
      <c r="P4857">
        <v>6775000</v>
      </c>
      <c r="Q4857">
        <v>6775000</v>
      </c>
      <c r="R4857" s="14">
        <f>_xlfn.XLOOKUP(Table2[[#This Row],[LoanID]],Table1[G-L ID],Table1[ManagerCode],-99)</f>
        <v>119</v>
      </c>
      <c r="T4857"/>
    </row>
    <row r="4858" spans="1:20" x14ac:dyDescent="0.25">
      <c r="A4858">
        <v>20160831</v>
      </c>
      <c r="B4858">
        <v>2016</v>
      </c>
      <c r="C4858">
        <v>8</v>
      </c>
      <c r="D4858">
        <v>1</v>
      </c>
      <c r="E4858">
        <v>11850</v>
      </c>
      <c r="F4858">
        <v>81895.509999999995</v>
      </c>
      <c r="G4858">
        <v>0</v>
      </c>
      <c r="H4858">
        <v>0</v>
      </c>
      <c r="I4858">
        <v>0</v>
      </c>
      <c r="J4858">
        <v>-262217.49</v>
      </c>
      <c r="K4858">
        <v>0</v>
      </c>
      <c r="L4858">
        <v>8737782.5099999998</v>
      </c>
      <c r="M4858">
        <v>9000000</v>
      </c>
      <c r="N4858">
        <v>8737782.5099999998</v>
      </c>
      <c r="O4858">
        <v>9000000</v>
      </c>
      <c r="P4858">
        <v>8737782.5099999998</v>
      </c>
      <c r="Q4858">
        <v>9000000</v>
      </c>
      <c r="R4858" s="14">
        <f>_xlfn.XLOOKUP(Table2[[#This Row],[LoanID]],Table1[G-L ID],Table1[ManagerCode],-99)</f>
        <v>183</v>
      </c>
      <c r="T4858"/>
    </row>
    <row r="4859" spans="1:20" x14ac:dyDescent="0.25">
      <c r="A4859">
        <v>20160831</v>
      </c>
      <c r="B4859">
        <v>2016</v>
      </c>
      <c r="C4859">
        <v>8</v>
      </c>
      <c r="D4859">
        <v>1</v>
      </c>
      <c r="E4859">
        <v>11880</v>
      </c>
      <c r="F4859">
        <v>635215.97</v>
      </c>
      <c r="G4859">
        <v>0</v>
      </c>
      <c r="H4859">
        <v>0</v>
      </c>
      <c r="I4859">
        <v>0</v>
      </c>
      <c r="J4859">
        <v>0</v>
      </c>
      <c r="K4859">
        <v>79764701.969999999</v>
      </c>
      <c r="L4859">
        <v>79764701.969999999</v>
      </c>
      <c r="M4859">
        <v>0</v>
      </c>
      <c r="N4859">
        <v>79764701.969999999</v>
      </c>
      <c r="O4859">
        <v>0</v>
      </c>
      <c r="P4859">
        <v>79764701.969999999</v>
      </c>
      <c r="Q4859">
        <v>0</v>
      </c>
      <c r="R4859" s="14">
        <f>_xlfn.XLOOKUP(Table2[[#This Row],[LoanID]],Table1[G-L ID],Table1[ManagerCode],-99)</f>
        <v>183</v>
      </c>
      <c r="T4859"/>
    </row>
    <row r="4860" spans="1:20" x14ac:dyDescent="0.25">
      <c r="A4860">
        <v>20160831</v>
      </c>
      <c r="B4860">
        <v>2016</v>
      </c>
      <c r="C4860">
        <v>8</v>
      </c>
      <c r="D4860">
        <v>1</v>
      </c>
      <c r="E4860">
        <v>11980</v>
      </c>
      <c r="F4860">
        <v>72368.160000000003</v>
      </c>
      <c r="G4860">
        <v>0</v>
      </c>
      <c r="H4860">
        <v>0</v>
      </c>
      <c r="I4860">
        <v>0</v>
      </c>
      <c r="J4860">
        <v>0</v>
      </c>
      <c r="K4860">
        <v>0</v>
      </c>
      <c r="L4860">
        <v>7400000</v>
      </c>
      <c r="M4860">
        <v>7400000</v>
      </c>
      <c r="N4860">
        <v>7400000</v>
      </c>
      <c r="O4860">
        <v>7400000</v>
      </c>
      <c r="P4860">
        <v>7400000</v>
      </c>
      <c r="Q4860">
        <v>7400000</v>
      </c>
      <c r="R4860" s="14">
        <f>_xlfn.XLOOKUP(Table2[[#This Row],[LoanID]],Table1[G-L ID],Table1[ManagerCode],-99)</f>
        <v>119</v>
      </c>
      <c r="T4860"/>
    </row>
    <row r="4861" spans="1:20" x14ac:dyDescent="0.25">
      <c r="A4861">
        <v>20160831</v>
      </c>
      <c r="B4861">
        <v>2016</v>
      </c>
      <c r="C4861">
        <v>8</v>
      </c>
      <c r="D4861">
        <v>1</v>
      </c>
      <c r="E4861">
        <v>11990</v>
      </c>
      <c r="F4861">
        <v>104302.08</v>
      </c>
      <c r="G4861">
        <v>0</v>
      </c>
      <c r="H4861">
        <v>0</v>
      </c>
      <c r="I4861">
        <v>0</v>
      </c>
      <c r="J4861">
        <v>0</v>
      </c>
      <c r="K4861">
        <v>0</v>
      </c>
      <c r="L4861">
        <v>14700000</v>
      </c>
      <c r="M4861">
        <v>14700000</v>
      </c>
      <c r="N4861">
        <v>14700000</v>
      </c>
      <c r="O4861">
        <v>14700000</v>
      </c>
      <c r="P4861">
        <v>15000000</v>
      </c>
      <c r="Q4861">
        <v>15000000</v>
      </c>
      <c r="R4861" s="14">
        <f>_xlfn.XLOOKUP(Table2[[#This Row],[LoanID]],Table1[G-L ID],Table1[ManagerCode],-99)</f>
        <v>220</v>
      </c>
      <c r="T4861"/>
    </row>
    <row r="4862" spans="1:20" x14ac:dyDescent="0.25">
      <c r="A4862">
        <v>20160831</v>
      </c>
      <c r="B4862">
        <v>2016</v>
      </c>
      <c r="C4862">
        <v>8</v>
      </c>
      <c r="D4862">
        <v>1</v>
      </c>
      <c r="E4862">
        <v>12010</v>
      </c>
      <c r="F4862">
        <v>184248.9</v>
      </c>
      <c r="G4862">
        <v>0</v>
      </c>
      <c r="H4862">
        <v>0</v>
      </c>
      <c r="I4862">
        <v>0</v>
      </c>
      <c r="J4862">
        <v>668469</v>
      </c>
      <c r="K4862">
        <v>0</v>
      </c>
      <c r="L4862">
        <v>19569806.600000001</v>
      </c>
      <c r="M4862">
        <v>18901337.600000001</v>
      </c>
      <c r="N4862">
        <v>19569806.600000001</v>
      </c>
      <c r="O4862">
        <v>18901337.600000001</v>
      </c>
      <c r="P4862">
        <v>19569806.600000001</v>
      </c>
      <c r="Q4862">
        <v>18901337.600000001</v>
      </c>
      <c r="R4862" s="14">
        <f>_xlfn.XLOOKUP(Table2[[#This Row],[LoanID]],Table1[G-L ID],Table1[ManagerCode],-99)</f>
        <v>119</v>
      </c>
      <c r="T4862"/>
    </row>
    <row r="4863" spans="1:20" x14ac:dyDescent="0.25">
      <c r="A4863">
        <v>20160831</v>
      </c>
      <c r="B4863">
        <v>2016</v>
      </c>
      <c r="C4863">
        <v>8</v>
      </c>
      <c r="D4863">
        <v>1</v>
      </c>
      <c r="E4863">
        <v>12160</v>
      </c>
      <c r="F4863">
        <v>89883.22</v>
      </c>
      <c r="G4863">
        <v>109843.87</v>
      </c>
      <c r="H4863">
        <v>0</v>
      </c>
      <c r="I4863">
        <v>0</v>
      </c>
      <c r="J4863">
        <v>-89883.22</v>
      </c>
      <c r="K4863">
        <v>0</v>
      </c>
      <c r="L4863">
        <v>18150719.550000001</v>
      </c>
      <c r="M4863">
        <v>18350446.640000001</v>
      </c>
      <c r="N4863">
        <v>18150719.550000001</v>
      </c>
      <c r="O4863">
        <v>18350446.640000001</v>
      </c>
      <c r="P4863">
        <v>18150719.550000001</v>
      </c>
      <c r="Q4863">
        <v>18350446.640000001</v>
      </c>
      <c r="R4863" s="14">
        <f>_xlfn.XLOOKUP(Table2[[#This Row],[LoanID]],Table1[G-L ID],Table1[ManagerCode],-99)</f>
        <v>183</v>
      </c>
      <c r="T4863"/>
    </row>
    <row r="4864" spans="1:20" x14ac:dyDescent="0.25">
      <c r="A4864">
        <v>20160831</v>
      </c>
      <c r="B4864">
        <v>2016</v>
      </c>
      <c r="C4864">
        <v>8</v>
      </c>
      <c r="D4864">
        <v>1</v>
      </c>
      <c r="E4864">
        <v>12180</v>
      </c>
      <c r="F4864">
        <v>240568.61</v>
      </c>
      <c r="G4864">
        <v>0</v>
      </c>
      <c r="H4864">
        <v>0</v>
      </c>
      <c r="I4864">
        <v>0</v>
      </c>
      <c r="J4864">
        <v>0</v>
      </c>
      <c r="K4864">
        <v>0</v>
      </c>
      <c r="L4864">
        <v>35000000</v>
      </c>
      <c r="M4864">
        <v>35000000</v>
      </c>
      <c r="N4864">
        <v>35000000</v>
      </c>
      <c r="O4864">
        <v>35000000</v>
      </c>
      <c r="P4864">
        <v>35000000</v>
      </c>
      <c r="Q4864">
        <v>35000000</v>
      </c>
      <c r="R4864" s="14">
        <f>_xlfn.XLOOKUP(Table2[[#This Row],[LoanID]],Table1[G-L ID],Table1[ManagerCode],-99)</f>
        <v>220</v>
      </c>
      <c r="T4864"/>
    </row>
    <row r="4865" spans="1:20" x14ac:dyDescent="0.25">
      <c r="A4865">
        <v>20160831</v>
      </c>
      <c r="B4865">
        <v>2016</v>
      </c>
      <c r="C4865">
        <v>8</v>
      </c>
      <c r="D4865">
        <v>1</v>
      </c>
      <c r="E4865">
        <v>12190</v>
      </c>
      <c r="F4865">
        <v>269133.84999999998</v>
      </c>
      <c r="G4865">
        <v>0</v>
      </c>
      <c r="H4865">
        <v>0</v>
      </c>
      <c r="I4865">
        <v>0</v>
      </c>
      <c r="J4865">
        <v>0</v>
      </c>
      <c r="K4865">
        <v>0</v>
      </c>
      <c r="L4865">
        <v>34383117</v>
      </c>
      <c r="M4865">
        <v>34383117</v>
      </c>
      <c r="N4865">
        <v>34383117</v>
      </c>
      <c r="O4865">
        <v>34383117</v>
      </c>
      <c r="P4865">
        <v>34383117</v>
      </c>
      <c r="Q4865">
        <v>34383117</v>
      </c>
      <c r="R4865" s="14">
        <f>_xlfn.XLOOKUP(Table2[[#This Row],[LoanID]],Table1[G-L ID],Table1[ManagerCode],-99)</f>
        <v>220</v>
      </c>
      <c r="T4865"/>
    </row>
    <row r="4866" spans="1:20" x14ac:dyDescent="0.25">
      <c r="A4866">
        <v>20160831</v>
      </c>
      <c r="B4866">
        <v>2016</v>
      </c>
      <c r="C4866">
        <v>8</v>
      </c>
      <c r="D4866">
        <v>1</v>
      </c>
      <c r="E4866">
        <v>12210</v>
      </c>
      <c r="F4866">
        <v>648581.63</v>
      </c>
      <c r="G4866">
        <v>0</v>
      </c>
      <c r="H4866">
        <v>0</v>
      </c>
      <c r="I4866">
        <v>0</v>
      </c>
      <c r="J4866">
        <v>0</v>
      </c>
      <c r="K4866">
        <v>246143.27</v>
      </c>
      <c r="L4866">
        <v>111457789</v>
      </c>
      <c r="M4866">
        <v>110718459.7</v>
      </c>
      <c r="N4866">
        <v>111457789</v>
      </c>
      <c r="O4866">
        <v>110718459.7</v>
      </c>
      <c r="P4866">
        <v>104941556.3</v>
      </c>
      <c r="Q4866">
        <v>104695413</v>
      </c>
      <c r="R4866" s="14">
        <f>_xlfn.XLOOKUP(Table2[[#This Row],[LoanID]],Table1[G-L ID],Table1[ManagerCode],-99)</f>
        <v>103</v>
      </c>
      <c r="T4866"/>
    </row>
    <row r="4867" spans="1:20" x14ac:dyDescent="0.25">
      <c r="A4867">
        <v>20160831</v>
      </c>
      <c r="B4867">
        <v>2016</v>
      </c>
      <c r="C4867">
        <v>8</v>
      </c>
      <c r="D4867">
        <v>1</v>
      </c>
      <c r="E4867">
        <v>12230</v>
      </c>
      <c r="F4867">
        <v>108509.64</v>
      </c>
      <c r="G4867">
        <v>0</v>
      </c>
      <c r="H4867">
        <v>0</v>
      </c>
      <c r="I4867">
        <v>0</v>
      </c>
      <c r="J4867">
        <v>-71670.570000000007</v>
      </c>
      <c r="K4867">
        <v>0</v>
      </c>
      <c r="L4867">
        <v>20349098.18</v>
      </c>
      <c r="M4867">
        <v>20420768.75</v>
      </c>
      <c r="N4867">
        <v>13833645.68</v>
      </c>
      <c r="O4867">
        <v>13905316.25</v>
      </c>
      <c r="P4867">
        <v>20349098.18</v>
      </c>
      <c r="Q4867">
        <v>20420768.75</v>
      </c>
      <c r="R4867" s="14">
        <f>_xlfn.XLOOKUP(Table2[[#This Row],[LoanID]],Table1[G-L ID],Table1[ManagerCode],-99)</f>
        <v>183</v>
      </c>
      <c r="T4867"/>
    </row>
    <row r="4868" spans="1:20" x14ac:dyDescent="0.25">
      <c r="A4868">
        <v>20160831</v>
      </c>
      <c r="B4868">
        <v>2016</v>
      </c>
      <c r="C4868">
        <v>8</v>
      </c>
      <c r="D4868">
        <v>1</v>
      </c>
      <c r="E4868">
        <v>12240</v>
      </c>
      <c r="F4868">
        <v>0</v>
      </c>
      <c r="G4868">
        <v>1573449.5</v>
      </c>
      <c r="H4868">
        <v>0</v>
      </c>
      <c r="I4868">
        <v>0</v>
      </c>
      <c r="J4868">
        <v>0</v>
      </c>
      <c r="K4868">
        <v>0</v>
      </c>
      <c r="L4868">
        <v>141433662.80000001</v>
      </c>
      <c r="M4868">
        <v>143007112.30000001</v>
      </c>
      <c r="N4868">
        <v>141433662.80000001</v>
      </c>
      <c r="O4868">
        <v>143007112.30000001</v>
      </c>
      <c r="P4868">
        <v>141433662.80000001</v>
      </c>
      <c r="Q4868">
        <v>143007112.30000001</v>
      </c>
      <c r="R4868" s="14">
        <f>_xlfn.XLOOKUP(Table2[[#This Row],[LoanID]],Table1[G-L ID],Table1[ManagerCode],-99)</f>
        <v>183</v>
      </c>
      <c r="T4868"/>
    </row>
    <row r="4869" spans="1:20" x14ac:dyDescent="0.25">
      <c r="A4869">
        <v>20160831</v>
      </c>
      <c r="B4869">
        <v>2016</v>
      </c>
      <c r="C4869">
        <v>8</v>
      </c>
      <c r="D4869">
        <v>1</v>
      </c>
      <c r="E4869">
        <v>13630</v>
      </c>
      <c r="F4869">
        <v>218506.94</v>
      </c>
      <c r="G4869">
        <v>0</v>
      </c>
      <c r="H4869">
        <v>0</v>
      </c>
      <c r="I4869">
        <v>0</v>
      </c>
      <c r="J4869">
        <v>0</v>
      </c>
      <c r="K4869">
        <v>0</v>
      </c>
      <c r="L4869">
        <v>33468087</v>
      </c>
      <c r="M4869">
        <v>33468087</v>
      </c>
      <c r="N4869">
        <v>33468087</v>
      </c>
      <c r="O4869">
        <v>33468087</v>
      </c>
      <c r="P4869">
        <v>35000000</v>
      </c>
      <c r="Q4869">
        <v>35000000</v>
      </c>
      <c r="R4869" s="14">
        <f>_xlfn.XLOOKUP(Table2[[#This Row],[LoanID]],Table1[G-L ID],Table1[ManagerCode],-99)</f>
        <v>298</v>
      </c>
      <c r="T4869"/>
    </row>
    <row r="4870" spans="1:20" x14ac:dyDescent="0.25">
      <c r="A4870">
        <v>20160831</v>
      </c>
      <c r="B4870">
        <v>2016</v>
      </c>
      <c r="C4870">
        <v>8</v>
      </c>
      <c r="D4870">
        <v>1</v>
      </c>
      <c r="E4870">
        <v>13660</v>
      </c>
      <c r="F4870">
        <v>0</v>
      </c>
      <c r="G4870">
        <v>0</v>
      </c>
      <c r="H4870">
        <v>0</v>
      </c>
      <c r="I4870">
        <v>0</v>
      </c>
      <c r="J4870">
        <v>-20000000</v>
      </c>
      <c r="K4870">
        <v>0</v>
      </c>
      <c r="L4870">
        <v>0</v>
      </c>
      <c r="M4870">
        <v>20000000</v>
      </c>
      <c r="N4870">
        <v>0</v>
      </c>
      <c r="O4870">
        <v>20000000</v>
      </c>
      <c r="P4870">
        <v>0</v>
      </c>
      <c r="Q4870">
        <v>20000000</v>
      </c>
      <c r="R4870" s="14">
        <f>_xlfn.XLOOKUP(Table2[[#This Row],[LoanID]],Table1[G-L ID],Table1[ManagerCode],-99)</f>
        <v>298</v>
      </c>
      <c r="T4870"/>
    </row>
    <row r="4871" spans="1:20" x14ac:dyDescent="0.25">
      <c r="A4871">
        <v>20160831</v>
      </c>
      <c r="B4871">
        <v>2016</v>
      </c>
      <c r="C4871">
        <v>8</v>
      </c>
      <c r="D4871">
        <v>1</v>
      </c>
      <c r="E4871">
        <v>13670</v>
      </c>
      <c r="F4871">
        <v>290043.75</v>
      </c>
      <c r="G4871">
        <v>0</v>
      </c>
      <c r="H4871">
        <v>0</v>
      </c>
      <c r="I4871">
        <v>0</v>
      </c>
      <c r="J4871">
        <v>0</v>
      </c>
      <c r="K4871">
        <v>0</v>
      </c>
      <c r="L4871">
        <v>37369414</v>
      </c>
      <c r="M4871">
        <v>37369414</v>
      </c>
      <c r="N4871">
        <v>37369414</v>
      </c>
      <c r="O4871">
        <v>37369414</v>
      </c>
      <c r="P4871">
        <v>37500000</v>
      </c>
      <c r="Q4871">
        <v>37500000</v>
      </c>
      <c r="R4871" s="14">
        <f>_xlfn.XLOOKUP(Table2[[#This Row],[LoanID]],Table1[G-L ID],Table1[ManagerCode],-99)</f>
        <v>298</v>
      </c>
      <c r="T4871"/>
    </row>
    <row r="4872" spans="1:20" x14ac:dyDescent="0.25">
      <c r="A4872">
        <v>20160831</v>
      </c>
      <c r="B4872">
        <v>2016</v>
      </c>
      <c r="C4872">
        <v>8</v>
      </c>
      <c r="D4872">
        <v>1</v>
      </c>
      <c r="E4872">
        <v>13680</v>
      </c>
      <c r="F4872">
        <v>146281.25</v>
      </c>
      <c r="G4872">
        <v>0</v>
      </c>
      <c r="H4872">
        <v>0</v>
      </c>
      <c r="I4872">
        <v>0</v>
      </c>
      <c r="J4872">
        <v>0</v>
      </c>
      <c r="K4872">
        <v>0</v>
      </c>
      <c r="L4872">
        <v>18283364</v>
      </c>
      <c r="M4872">
        <v>18283364</v>
      </c>
      <c r="N4872">
        <v>18283364</v>
      </c>
      <c r="O4872">
        <v>18283364</v>
      </c>
      <c r="P4872">
        <v>18000000</v>
      </c>
      <c r="Q4872">
        <v>18000000</v>
      </c>
      <c r="R4872" s="14">
        <f>_xlfn.XLOOKUP(Table2[[#This Row],[LoanID]],Table1[G-L ID],Table1[ManagerCode],-99)</f>
        <v>298</v>
      </c>
      <c r="T4872"/>
    </row>
    <row r="4873" spans="1:20" x14ac:dyDescent="0.25">
      <c r="A4873">
        <v>20160831</v>
      </c>
      <c r="B4873">
        <v>2016</v>
      </c>
      <c r="C4873">
        <v>8</v>
      </c>
      <c r="D4873">
        <v>1</v>
      </c>
      <c r="E4873">
        <v>13690</v>
      </c>
      <c r="F4873">
        <v>133472.22</v>
      </c>
      <c r="G4873">
        <v>0</v>
      </c>
      <c r="H4873">
        <v>0</v>
      </c>
      <c r="I4873">
        <v>0</v>
      </c>
      <c r="J4873">
        <v>0</v>
      </c>
      <c r="K4873">
        <v>0</v>
      </c>
      <c r="L4873">
        <v>19169472</v>
      </c>
      <c r="M4873">
        <v>19169472</v>
      </c>
      <c r="N4873">
        <v>19169472</v>
      </c>
      <c r="O4873">
        <v>19169472</v>
      </c>
      <c r="P4873">
        <v>20000000</v>
      </c>
      <c r="Q4873">
        <v>20000000</v>
      </c>
      <c r="R4873" s="14">
        <f>_xlfn.XLOOKUP(Table2[[#This Row],[LoanID]],Table1[G-L ID],Table1[ManagerCode],-99)</f>
        <v>298</v>
      </c>
      <c r="T4873"/>
    </row>
    <row r="4874" spans="1:20" x14ac:dyDescent="0.25">
      <c r="A4874">
        <v>20160831</v>
      </c>
      <c r="B4874">
        <v>2016</v>
      </c>
      <c r="C4874">
        <v>8</v>
      </c>
      <c r="D4874">
        <v>1</v>
      </c>
      <c r="E4874">
        <v>15540</v>
      </c>
      <c r="F4874">
        <v>204160.83</v>
      </c>
      <c r="G4874">
        <v>1401.46</v>
      </c>
      <c r="H4874">
        <v>0</v>
      </c>
      <c r="I4874">
        <v>-2260.42</v>
      </c>
      <c r="J4874">
        <v>0</v>
      </c>
      <c r="K4874">
        <v>0</v>
      </c>
      <c r="L4874">
        <v>52704160.829999998</v>
      </c>
      <c r="M4874">
        <v>52705562.289999999</v>
      </c>
      <c r="N4874">
        <v>52704160.829999998</v>
      </c>
      <c r="O4874">
        <v>52705562.289999999</v>
      </c>
      <c r="P4874">
        <v>52704160.829999998</v>
      </c>
      <c r="Q4874">
        <v>52705562.289999999</v>
      </c>
      <c r="R4874" s="14">
        <f>_xlfn.XLOOKUP(Table2[[#This Row],[LoanID]],Table1[G-L ID],Table1[ManagerCode],-99)</f>
        <v>212</v>
      </c>
      <c r="T4874"/>
    </row>
    <row r="4875" spans="1:20" x14ac:dyDescent="0.25">
      <c r="A4875">
        <v>20160831</v>
      </c>
      <c r="B4875">
        <v>2016</v>
      </c>
      <c r="C4875">
        <v>8</v>
      </c>
      <c r="D4875">
        <v>1</v>
      </c>
      <c r="E4875">
        <v>15580</v>
      </c>
      <c r="F4875">
        <v>117483.48</v>
      </c>
      <c r="G4875">
        <v>-47.14</v>
      </c>
      <c r="H4875">
        <v>0</v>
      </c>
      <c r="I4875">
        <v>0</v>
      </c>
      <c r="J4875">
        <v>0</v>
      </c>
      <c r="K4875">
        <v>5917.83</v>
      </c>
      <c r="L4875">
        <v>14866934.73</v>
      </c>
      <c r="M4875">
        <v>14860969.76</v>
      </c>
      <c r="N4875">
        <v>14866934.73</v>
      </c>
      <c r="O4875">
        <v>14860969.76</v>
      </c>
      <c r="P4875">
        <v>14866934.73</v>
      </c>
      <c r="Q4875">
        <v>14860969.76</v>
      </c>
      <c r="R4875" s="14">
        <f>_xlfn.XLOOKUP(Table2[[#This Row],[LoanID]],Table1[G-L ID],Table1[ManagerCode],-99)</f>
        <v>212</v>
      </c>
      <c r="T4875"/>
    </row>
    <row r="4876" spans="1:20" x14ac:dyDescent="0.25">
      <c r="A4876">
        <v>20160930</v>
      </c>
      <c r="B4876">
        <v>2016</v>
      </c>
      <c r="C4876">
        <v>9</v>
      </c>
      <c r="D4876">
        <v>1</v>
      </c>
      <c r="E4876">
        <v>10010</v>
      </c>
      <c r="F4876">
        <v>164860.14000000001</v>
      </c>
      <c r="G4876">
        <v>0</v>
      </c>
      <c r="H4876">
        <v>0</v>
      </c>
      <c r="I4876">
        <v>0</v>
      </c>
      <c r="J4876">
        <v>0</v>
      </c>
      <c r="K4876">
        <v>0</v>
      </c>
      <c r="L4876">
        <v>17026755.140000001</v>
      </c>
      <c r="M4876">
        <v>17026755.140000001</v>
      </c>
      <c r="N4876">
        <v>17026755.140000001</v>
      </c>
      <c r="O4876">
        <v>17026755.140000001</v>
      </c>
      <c r="P4876">
        <v>17026755.140000001</v>
      </c>
      <c r="Q4876">
        <v>17026755.140000001</v>
      </c>
      <c r="R4876" s="14">
        <f>_xlfn.XLOOKUP(Table2[[#This Row],[LoanID]],Table1[G-L ID],Table1[ManagerCode],-99)</f>
        <v>119</v>
      </c>
      <c r="T4876"/>
    </row>
    <row r="4877" spans="1:20" x14ac:dyDescent="0.25">
      <c r="A4877">
        <v>20160930</v>
      </c>
      <c r="B4877">
        <v>2016</v>
      </c>
      <c r="C4877">
        <v>9</v>
      </c>
      <c r="D4877">
        <v>1</v>
      </c>
      <c r="E4877">
        <v>10030</v>
      </c>
      <c r="F4877">
        <v>65640.990000000005</v>
      </c>
      <c r="G4877">
        <v>0</v>
      </c>
      <c r="H4877">
        <v>0</v>
      </c>
      <c r="I4877">
        <v>0</v>
      </c>
      <c r="J4877">
        <v>0</v>
      </c>
      <c r="K4877">
        <v>0</v>
      </c>
      <c r="L4877">
        <v>8625167.3900000006</v>
      </c>
      <c r="M4877">
        <v>8625167.3900000006</v>
      </c>
      <c r="N4877">
        <v>8625167.3900000006</v>
      </c>
      <c r="O4877">
        <v>8625167.3900000006</v>
      </c>
      <c r="P4877">
        <v>8625167.3900000006</v>
      </c>
      <c r="Q4877">
        <v>8625167.3900000006</v>
      </c>
      <c r="R4877" s="14">
        <f>_xlfn.XLOOKUP(Table2[[#This Row],[LoanID]],Table1[G-L ID],Table1[ManagerCode],-99)</f>
        <v>119</v>
      </c>
      <c r="T4877"/>
    </row>
    <row r="4878" spans="1:20" x14ac:dyDescent="0.25">
      <c r="A4878">
        <v>20160930</v>
      </c>
      <c r="B4878">
        <v>2016</v>
      </c>
      <c r="C4878">
        <v>9</v>
      </c>
      <c r="D4878">
        <v>1</v>
      </c>
      <c r="E4878">
        <v>10040</v>
      </c>
      <c r="F4878">
        <v>45260</v>
      </c>
      <c r="G4878">
        <v>0</v>
      </c>
      <c r="H4878">
        <v>0</v>
      </c>
      <c r="I4878">
        <v>0</v>
      </c>
      <c r="J4878">
        <v>0</v>
      </c>
      <c r="K4878">
        <v>0</v>
      </c>
      <c r="L4878">
        <v>5000000</v>
      </c>
      <c r="M4878">
        <v>5000000</v>
      </c>
      <c r="N4878">
        <v>5000000</v>
      </c>
      <c r="O4878">
        <v>5000000</v>
      </c>
      <c r="P4878">
        <v>5000000</v>
      </c>
      <c r="Q4878">
        <v>5000000</v>
      </c>
      <c r="R4878" s="14">
        <f>_xlfn.XLOOKUP(Table2[[#This Row],[LoanID]],Table1[G-L ID],Table1[ManagerCode],-99)</f>
        <v>119</v>
      </c>
      <c r="T4878"/>
    </row>
    <row r="4879" spans="1:20" x14ac:dyDescent="0.25">
      <c r="A4879">
        <v>20160930</v>
      </c>
      <c r="B4879">
        <v>2016</v>
      </c>
      <c r="C4879">
        <v>9</v>
      </c>
      <c r="D4879">
        <v>1</v>
      </c>
      <c r="E4879">
        <v>10050</v>
      </c>
      <c r="F4879">
        <v>-153981.01999999999</v>
      </c>
      <c r="G4879">
        <v>0</v>
      </c>
      <c r="H4879">
        <v>0</v>
      </c>
      <c r="I4879">
        <v>0</v>
      </c>
      <c r="J4879">
        <v>0</v>
      </c>
      <c r="K4879">
        <v>0</v>
      </c>
      <c r="L4879">
        <v>38984895.609999999</v>
      </c>
      <c r="M4879">
        <v>38910267.460000001</v>
      </c>
      <c r="N4879">
        <v>38984895.609999999</v>
      </c>
      <c r="O4879">
        <v>38910267.460000001</v>
      </c>
      <c r="P4879">
        <v>33333334</v>
      </c>
      <c r="Q4879">
        <v>33333334</v>
      </c>
      <c r="R4879" s="14">
        <f>_xlfn.XLOOKUP(Table2[[#This Row],[LoanID]],Table1[G-L ID],Table1[ManagerCode],-99)</f>
        <v>103</v>
      </c>
      <c r="T4879"/>
    </row>
    <row r="4880" spans="1:20" x14ac:dyDescent="0.25">
      <c r="A4880">
        <v>20160930</v>
      </c>
      <c r="B4880">
        <v>2016</v>
      </c>
      <c r="C4880">
        <v>9</v>
      </c>
      <c r="D4880">
        <v>1</v>
      </c>
      <c r="E4880">
        <v>10100</v>
      </c>
      <c r="F4880">
        <v>205383.61</v>
      </c>
      <c r="G4880">
        <v>0</v>
      </c>
      <c r="H4880">
        <v>0</v>
      </c>
      <c r="I4880">
        <v>0</v>
      </c>
      <c r="J4880">
        <v>0</v>
      </c>
      <c r="K4880">
        <v>0</v>
      </c>
      <c r="L4880">
        <v>30500000</v>
      </c>
      <c r="M4880">
        <v>30500000</v>
      </c>
      <c r="N4880">
        <v>30500000</v>
      </c>
      <c r="O4880">
        <v>30500000</v>
      </c>
      <c r="P4880">
        <v>30500000</v>
      </c>
      <c r="Q4880">
        <v>30500000</v>
      </c>
      <c r="R4880" s="14">
        <f>_xlfn.XLOOKUP(Table2[[#This Row],[LoanID]],Table1[G-L ID],Table1[ManagerCode],-99)</f>
        <v>220</v>
      </c>
      <c r="T4880"/>
    </row>
    <row r="4881" spans="1:20" x14ac:dyDescent="0.25">
      <c r="A4881">
        <v>20160930</v>
      </c>
      <c r="B4881">
        <v>2016</v>
      </c>
      <c r="C4881">
        <v>9</v>
      </c>
      <c r="D4881">
        <v>1</v>
      </c>
      <c r="E4881">
        <v>10110</v>
      </c>
      <c r="F4881">
        <v>142888.64000000001</v>
      </c>
      <c r="G4881">
        <v>0</v>
      </c>
      <c r="H4881">
        <v>0</v>
      </c>
      <c r="I4881">
        <v>0</v>
      </c>
      <c r="J4881">
        <v>0</v>
      </c>
      <c r="K4881">
        <v>0</v>
      </c>
      <c r="L4881">
        <v>16400000</v>
      </c>
      <c r="M4881">
        <v>16400000</v>
      </c>
      <c r="N4881">
        <v>16400000</v>
      </c>
      <c r="O4881">
        <v>16400000</v>
      </c>
      <c r="P4881">
        <v>16400000</v>
      </c>
      <c r="Q4881">
        <v>16400000</v>
      </c>
      <c r="R4881" s="14">
        <f>_xlfn.XLOOKUP(Table2[[#This Row],[LoanID]],Table1[G-L ID],Table1[ManagerCode],-99)</f>
        <v>119</v>
      </c>
      <c r="T4881"/>
    </row>
    <row r="4882" spans="1:20" x14ac:dyDescent="0.25">
      <c r="A4882">
        <v>20160930</v>
      </c>
      <c r="B4882">
        <v>2016</v>
      </c>
      <c r="C4882">
        <v>9</v>
      </c>
      <c r="D4882">
        <v>1</v>
      </c>
      <c r="E4882">
        <v>10120</v>
      </c>
      <c r="F4882">
        <v>54074.7</v>
      </c>
      <c r="G4882">
        <v>59189.26</v>
      </c>
      <c r="H4882">
        <v>0</v>
      </c>
      <c r="I4882">
        <v>0</v>
      </c>
      <c r="J4882">
        <v>-54074.7</v>
      </c>
      <c r="K4882">
        <v>0</v>
      </c>
      <c r="L4882">
        <v>10906970.310000001</v>
      </c>
      <c r="M4882">
        <v>11020234.27</v>
      </c>
      <c r="N4882">
        <v>10906970.310000001</v>
      </c>
      <c r="O4882">
        <v>11020234.27</v>
      </c>
      <c r="P4882">
        <v>10906970.310000001</v>
      </c>
      <c r="Q4882">
        <v>11020234.27</v>
      </c>
      <c r="R4882" s="14">
        <f>_xlfn.XLOOKUP(Table2[[#This Row],[LoanID]],Table1[G-L ID],Table1[ManagerCode],-99)</f>
        <v>183</v>
      </c>
      <c r="T4882"/>
    </row>
    <row r="4883" spans="1:20" x14ac:dyDescent="0.25">
      <c r="A4883">
        <v>20160930</v>
      </c>
      <c r="B4883">
        <v>2016</v>
      </c>
      <c r="C4883">
        <v>9</v>
      </c>
      <c r="D4883">
        <v>1</v>
      </c>
      <c r="E4883">
        <v>10160</v>
      </c>
      <c r="F4883">
        <v>122032.54</v>
      </c>
      <c r="G4883">
        <v>0</v>
      </c>
      <c r="H4883">
        <v>0</v>
      </c>
      <c r="I4883">
        <v>0</v>
      </c>
      <c r="J4883">
        <v>-190397</v>
      </c>
      <c r="K4883">
        <v>0</v>
      </c>
      <c r="L4883">
        <v>14886050.77</v>
      </c>
      <c r="M4883">
        <v>15076447.77</v>
      </c>
      <c r="N4883">
        <v>14886050.77</v>
      </c>
      <c r="O4883">
        <v>15076447.77</v>
      </c>
      <c r="P4883">
        <v>14886050.77</v>
      </c>
      <c r="Q4883">
        <v>15076447.77</v>
      </c>
      <c r="R4883" s="14">
        <f>_xlfn.XLOOKUP(Table2[[#This Row],[LoanID]],Table1[G-L ID],Table1[ManagerCode],-99)</f>
        <v>119</v>
      </c>
      <c r="T4883"/>
    </row>
    <row r="4884" spans="1:20" x14ac:dyDescent="0.25">
      <c r="A4884">
        <v>20160930</v>
      </c>
      <c r="B4884">
        <v>2016</v>
      </c>
      <c r="C4884">
        <v>9</v>
      </c>
      <c r="D4884">
        <v>1</v>
      </c>
      <c r="E4884">
        <v>10220</v>
      </c>
      <c r="F4884">
        <v>1101388.8899999999</v>
      </c>
      <c r="G4884">
        <v>0</v>
      </c>
      <c r="H4884">
        <v>0</v>
      </c>
      <c r="I4884">
        <v>0</v>
      </c>
      <c r="J4884">
        <v>0</v>
      </c>
      <c r="K4884">
        <v>0</v>
      </c>
      <c r="L4884">
        <v>115661783</v>
      </c>
      <c r="M4884">
        <v>117449046.3</v>
      </c>
      <c r="N4884">
        <v>115661783</v>
      </c>
      <c r="O4884">
        <v>117449046.3</v>
      </c>
      <c r="P4884">
        <v>100000000</v>
      </c>
      <c r="Q4884">
        <v>100000000</v>
      </c>
      <c r="R4884" s="14">
        <f>_xlfn.XLOOKUP(Table2[[#This Row],[LoanID]],Table1[G-L ID],Table1[ManagerCode],-99)</f>
        <v>103</v>
      </c>
      <c r="T4884"/>
    </row>
    <row r="4885" spans="1:20" x14ac:dyDescent="0.25">
      <c r="A4885">
        <v>20160930</v>
      </c>
      <c r="B4885">
        <v>2016</v>
      </c>
      <c r="C4885">
        <v>9</v>
      </c>
      <c r="D4885">
        <v>1</v>
      </c>
      <c r="E4885">
        <v>10240</v>
      </c>
      <c r="F4885">
        <v>91579.17</v>
      </c>
      <c r="G4885">
        <v>0</v>
      </c>
      <c r="H4885">
        <v>0</v>
      </c>
      <c r="I4885">
        <v>0</v>
      </c>
      <c r="J4885">
        <v>0</v>
      </c>
      <c r="K4885">
        <v>0</v>
      </c>
      <c r="L4885">
        <v>12500000</v>
      </c>
      <c r="M4885">
        <v>12500000</v>
      </c>
      <c r="N4885">
        <v>12500000</v>
      </c>
      <c r="O4885">
        <v>12500000</v>
      </c>
      <c r="P4885">
        <v>12500000</v>
      </c>
      <c r="Q4885">
        <v>12500000</v>
      </c>
      <c r="R4885" s="14">
        <f>_xlfn.XLOOKUP(Table2[[#This Row],[LoanID]],Table1[G-L ID],Table1[ManagerCode],-99)</f>
        <v>220</v>
      </c>
      <c r="T4885"/>
    </row>
    <row r="4886" spans="1:20" x14ac:dyDescent="0.25">
      <c r="A4886">
        <v>20160930</v>
      </c>
      <c r="B4886">
        <v>2016</v>
      </c>
      <c r="C4886">
        <v>9</v>
      </c>
      <c r="D4886">
        <v>1</v>
      </c>
      <c r="E4886">
        <v>10250</v>
      </c>
      <c r="F4886">
        <v>50753.89</v>
      </c>
      <c r="G4886">
        <v>0</v>
      </c>
      <c r="H4886">
        <v>0</v>
      </c>
      <c r="I4886">
        <v>0</v>
      </c>
      <c r="J4886">
        <v>0</v>
      </c>
      <c r="K4886">
        <v>0</v>
      </c>
      <c r="L4886">
        <v>5000000</v>
      </c>
      <c r="M4886">
        <v>5000000</v>
      </c>
      <c r="N4886">
        <v>5000000</v>
      </c>
      <c r="O4886">
        <v>5000000</v>
      </c>
      <c r="P4886">
        <v>5000000</v>
      </c>
      <c r="Q4886">
        <v>5000000</v>
      </c>
      <c r="R4886" s="14">
        <f>_xlfn.XLOOKUP(Table2[[#This Row],[LoanID]],Table1[G-L ID],Table1[ManagerCode],-99)</f>
        <v>119</v>
      </c>
      <c r="T4886"/>
    </row>
    <row r="4887" spans="1:20" x14ac:dyDescent="0.25">
      <c r="A4887">
        <v>20160930</v>
      </c>
      <c r="B4887">
        <v>2016</v>
      </c>
      <c r="C4887">
        <v>9</v>
      </c>
      <c r="D4887">
        <v>1</v>
      </c>
      <c r="E4887">
        <v>10260</v>
      </c>
      <c r="F4887">
        <v>103771.21</v>
      </c>
      <c r="G4887">
        <v>0</v>
      </c>
      <c r="H4887">
        <v>0</v>
      </c>
      <c r="I4887">
        <v>0</v>
      </c>
      <c r="J4887">
        <v>0</v>
      </c>
      <c r="K4887">
        <v>0</v>
      </c>
      <c r="L4887">
        <v>15000000</v>
      </c>
      <c r="M4887">
        <v>15000000</v>
      </c>
      <c r="N4887">
        <v>15000000</v>
      </c>
      <c r="O4887">
        <v>15000000</v>
      </c>
      <c r="P4887">
        <v>15000000</v>
      </c>
      <c r="Q4887">
        <v>15000000</v>
      </c>
      <c r="R4887" s="14">
        <f>_xlfn.XLOOKUP(Table2[[#This Row],[LoanID]],Table1[G-L ID],Table1[ManagerCode],-99)</f>
        <v>220</v>
      </c>
      <c r="T4887"/>
    </row>
    <row r="4888" spans="1:20" x14ac:dyDescent="0.25">
      <c r="A4888">
        <v>20160930</v>
      </c>
      <c r="B4888">
        <v>2016</v>
      </c>
      <c r="C4888">
        <v>9</v>
      </c>
      <c r="D4888">
        <v>1</v>
      </c>
      <c r="E4888">
        <v>10270</v>
      </c>
      <c r="F4888">
        <v>44720.95</v>
      </c>
      <c r="G4888">
        <v>0</v>
      </c>
      <c r="H4888">
        <v>0</v>
      </c>
      <c r="I4888">
        <v>0</v>
      </c>
      <c r="J4888">
        <v>0</v>
      </c>
      <c r="K4888">
        <v>0</v>
      </c>
      <c r="L4888">
        <v>5400000</v>
      </c>
      <c r="M4888">
        <v>5400000</v>
      </c>
      <c r="N4888">
        <v>5400000</v>
      </c>
      <c r="O4888">
        <v>5400000</v>
      </c>
      <c r="P4888">
        <v>5400000</v>
      </c>
      <c r="Q4888">
        <v>5400000</v>
      </c>
      <c r="R4888" s="14">
        <f>_xlfn.XLOOKUP(Table2[[#This Row],[LoanID]],Table1[G-L ID],Table1[ManagerCode],-99)</f>
        <v>119</v>
      </c>
      <c r="T4888"/>
    </row>
    <row r="4889" spans="1:20" x14ac:dyDescent="0.25">
      <c r="A4889">
        <v>20160930</v>
      </c>
      <c r="B4889">
        <v>2016</v>
      </c>
      <c r="C4889">
        <v>9</v>
      </c>
      <c r="D4889">
        <v>1</v>
      </c>
      <c r="E4889">
        <v>10350</v>
      </c>
      <c r="F4889">
        <v>186861.11</v>
      </c>
      <c r="G4889">
        <v>0</v>
      </c>
      <c r="H4889">
        <v>0</v>
      </c>
      <c r="I4889">
        <v>0</v>
      </c>
      <c r="J4889">
        <v>0</v>
      </c>
      <c r="K4889">
        <v>0</v>
      </c>
      <c r="L4889">
        <v>24800000</v>
      </c>
      <c r="M4889">
        <v>24800000</v>
      </c>
      <c r="N4889">
        <v>24800000</v>
      </c>
      <c r="O4889">
        <v>24800000</v>
      </c>
      <c r="P4889">
        <v>24800000</v>
      </c>
      <c r="Q4889">
        <v>24800000</v>
      </c>
      <c r="R4889" s="14">
        <f>_xlfn.XLOOKUP(Table2[[#This Row],[LoanID]],Table1[G-L ID],Table1[ManagerCode],-99)</f>
        <v>220</v>
      </c>
      <c r="T4889"/>
    </row>
    <row r="4890" spans="1:20" x14ac:dyDescent="0.25">
      <c r="A4890">
        <v>20160930</v>
      </c>
      <c r="B4890">
        <v>2016</v>
      </c>
      <c r="C4890">
        <v>9</v>
      </c>
      <c r="D4890">
        <v>1</v>
      </c>
      <c r="E4890">
        <v>10360</v>
      </c>
      <c r="F4890">
        <v>0</v>
      </c>
      <c r="G4890">
        <v>0</v>
      </c>
      <c r="H4890">
        <v>0</v>
      </c>
      <c r="I4890">
        <v>0</v>
      </c>
      <c r="J4890">
        <v>0</v>
      </c>
      <c r="K4890">
        <v>0</v>
      </c>
      <c r="L4890">
        <v>5909000</v>
      </c>
      <c r="M4890">
        <v>5909000</v>
      </c>
      <c r="N4890">
        <v>5909000</v>
      </c>
      <c r="O4890">
        <v>5909000</v>
      </c>
      <c r="P4890">
        <v>5909000</v>
      </c>
      <c r="Q4890">
        <v>5909000</v>
      </c>
      <c r="R4890" s="14">
        <f>_xlfn.XLOOKUP(Table2[[#This Row],[LoanID]],Table1[G-L ID],Table1[ManagerCode],-99)</f>
        <v>183</v>
      </c>
      <c r="T4890"/>
    </row>
    <row r="4891" spans="1:20" x14ac:dyDescent="0.25">
      <c r="A4891">
        <v>20160930</v>
      </c>
      <c r="B4891">
        <v>2016</v>
      </c>
      <c r="C4891">
        <v>9</v>
      </c>
      <c r="D4891">
        <v>1</v>
      </c>
      <c r="E4891">
        <v>10410</v>
      </c>
      <c r="F4891">
        <v>44354.64</v>
      </c>
      <c r="G4891">
        <v>47659.17</v>
      </c>
      <c r="H4891">
        <v>0</v>
      </c>
      <c r="I4891">
        <v>0</v>
      </c>
      <c r="J4891">
        <v>-44354.64</v>
      </c>
      <c r="K4891">
        <v>0</v>
      </c>
      <c r="L4891">
        <v>11510194.880000001</v>
      </c>
      <c r="M4891">
        <v>11602208.689999999</v>
      </c>
      <c r="N4891">
        <v>11510194.880000001</v>
      </c>
      <c r="O4891">
        <v>11602208.689999999</v>
      </c>
      <c r="P4891">
        <v>11510194.880000001</v>
      </c>
      <c r="Q4891">
        <v>11602208.689999999</v>
      </c>
      <c r="R4891" s="14">
        <f>_xlfn.XLOOKUP(Table2[[#This Row],[LoanID]],Table1[G-L ID],Table1[ManagerCode],-99)</f>
        <v>183</v>
      </c>
      <c r="T4891"/>
    </row>
    <row r="4892" spans="1:20" x14ac:dyDescent="0.25">
      <c r="A4892">
        <v>20160930</v>
      </c>
      <c r="B4892">
        <v>2016</v>
      </c>
      <c r="C4892">
        <v>9</v>
      </c>
      <c r="D4892">
        <v>1</v>
      </c>
      <c r="E4892">
        <v>10480</v>
      </c>
      <c r="F4892">
        <v>187079.02</v>
      </c>
      <c r="G4892">
        <v>0</v>
      </c>
      <c r="H4892">
        <v>0</v>
      </c>
      <c r="I4892">
        <v>0</v>
      </c>
      <c r="J4892">
        <v>0</v>
      </c>
      <c r="K4892">
        <v>0</v>
      </c>
      <c r="L4892">
        <v>26764037.739999998</v>
      </c>
      <c r="M4892">
        <v>26764037.739999998</v>
      </c>
      <c r="N4892">
        <v>26764037.739999998</v>
      </c>
      <c r="O4892">
        <v>26764037.739999998</v>
      </c>
      <c r="P4892">
        <v>26764037.739999998</v>
      </c>
      <c r="Q4892">
        <v>26764037.739999998</v>
      </c>
      <c r="R4892" s="14">
        <f>_xlfn.XLOOKUP(Table2[[#This Row],[LoanID]],Table1[G-L ID],Table1[ManagerCode],-99)</f>
        <v>119</v>
      </c>
      <c r="T4892"/>
    </row>
    <row r="4893" spans="1:20" x14ac:dyDescent="0.25">
      <c r="A4893">
        <v>20160930</v>
      </c>
      <c r="B4893">
        <v>2016</v>
      </c>
      <c r="C4893">
        <v>9</v>
      </c>
      <c r="D4893">
        <v>1</v>
      </c>
      <c r="E4893">
        <v>10500</v>
      </c>
      <c r="F4893">
        <v>374573.62</v>
      </c>
      <c r="G4893">
        <v>0</v>
      </c>
      <c r="H4893">
        <v>0</v>
      </c>
      <c r="I4893">
        <v>0</v>
      </c>
      <c r="J4893">
        <v>0</v>
      </c>
      <c r="K4893">
        <v>6395957.5599999996</v>
      </c>
      <c r="L4893">
        <v>35000000</v>
      </c>
      <c r="M4893">
        <v>28604042.440000001</v>
      </c>
      <c r="N4893">
        <v>35000000</v>
      </c>
      <c r="O4893">
        <v>28604042.440000001</v>
      </c>
      <c r="P4893">
        <v>35000000</v>
      </c>
      <c r="Q4893">
        <v>28604042.440000001</v>
      </c>
      <c r="R4893" s="14">
        <f>_xlfn.XLOOKUP(Table2[[#This Row],[LoanID]],Table1[G-L ID],Table1[ManagerCode],-99)</f>
        <v>119</v>
      </c>
      <c r="T4893"/>
    </row>
    <row r="4894" spans="1:20" x14ac:dyDescent="0.25">
      <c r="A4894">
        <v>20160930</v>
      </c>
      <c r="B4894">
        <v>2016</v>
      </c>
      <c r="C4894">
        <v>9</v>
      </c>
      <c r="D4894">
        <v>1</v>
      </c>
      <c r="E4894">
        <v>10591</v>
      </c>
      <c r="F4894">
        <v>416928.86</v>
      </c>
      <c r="G4894">
        <v>0</v>
      </c>
      <c r="H4894">
        <v>0</v>
      </c>
      <c r="I4894">
        <v>0</v>
      </c>
      <c r="J4894">
        <v>0</v>
      </c>
      <c r="K4894">
        <v>23780416.969999999</v>
      </c>
      <c r="L4894">
        <v>23780416.969999999</v>
      </c>
      <c r="M4894">
        <v>0</v>
      </c>
      <c r="N4894">
        <v>23780416.969999999</v>
      </c>
      <c r="O4894">
        <v>0</v>
      </c>
      <c r="P4894">
        <v>23780416.969999999</v>
      </c>
      <c r="Q4894">
        <v>0</v>
      </c>
      <c r="R4894" s="14">
        <f>_xlfn.XLOOKUP(Table2[[#This Row],[LoanID]],Table1[G-L ID],Table1[ManagerCode],-99)</f>
        <v>220</v>
      </c>
      <c r="T4894"/>
    </row>
    <row r="4895" spans="1:20" x14ac:dyDescent="0.25">
      <c r="A4895">
        <v>20160930</v>
      </c>
      <c r="B4895">
        <v>2016</v>
      </c>
      <c r="C4895">
        <v>9</v>
      </c>
      <c r="D4895">
        <v>1</v>
      </c>
      <c r="E4895">
        <v>10592</v>
      </c>
      <c r="F4895">
        <v>689173.72</v>
      </c>
      <c r="G4895">
        <v>0</v>
      </c>
      <c r="H4895">
        <v>0</v>
      </c>
      <c r="I4895">
        <v>0</v>
      </c>
      <c r="J4895">
        <v>0</v>
      </c>
      <c r="K4895">
        <v>35104425.030000001</v>
      </c>
      <c r="L4895">
        <v>35104425.030000001</v>
      </c>
      <c r="M4895">
        <v>0</v>
      </c>
      <c r="N4895">
        <v>35104425.030000001</v>
      </c>
      <c r="O4895">
        <v>0</v>
      </c>
      <c r="P4895">
        <v>35104425.030000001</v>
      </c>
      <c r="Q4895">
        <v>0</v>
      </c>
      <c r="R4895" s="14">
        <f>_xlfn.XLOOKUP(Table2[[#This Row],[LoanID]],Table1[G-L ID],Table1[ManagerCode],-99)</f>
        <v>220</v>
      </c>
      <c r="T4895"/>
    </row>
    <row r="4896" spans="1:20" x14ac:dyDescent="0.25">
      <c r="A4896">
        <v>20160930</v>
      </c>
      <c r="B4896">
        <v>2016</v>
      </c>
      <c r="C4896">
        <v>9</v>
      </c>
      <c r="D4896">
        <v>1</v>
      </c>
      <c r="E4896">
        <v>10620</v>
      </c>
      <c r="F4896">
        <v>108777.39</v>
      </c>
      <c r="G4896">
        <v>0</v>
      </c>
      <c r="H4896">
        <v>0</v>
      </c>
      <c r="I4896">
        <v>0</v>
      </c>
      <c r="J4896">
        <v>0</v>
      </c>
      <c r="K4896">
        <v>0</v>
      </c>
      <c r="L4896">
        <v>11315131.58</v>
      </c>
      <c r="M4896">
        <v>11315131.58</v>
      </c>
      <c r="N4896">
        <v>11315131.58</v>
      </c>
      <c r="O4896">
        <v>11315131.58</v>
      </c>
      <c r="P4896">
        <v>11315131.58</v>
      </c>
      <c r="Q4896">
        <v>11315131.58</v>
      </c>
      <c r="R4896" s="14">
        <f>_xlfn.XLOOKUP(Table2[[#This Row],[LoanID]],Table1[G-L ID],Table1[ManagerCode],-99)</f>
        <v>119</v>
      </c>
      <c r="T4896"/>
    </row>
    <row r="4897" spans="1:20" x14ac:dyDescent="0.25">
      <c r="A4897">
        <v>20160930</v>
      </c>
      <c r="B4897">
        <v>2016</v>
      </c>
      <c r="C4897">
        <v>9</v>
      </c>
      <c r="D4897">
        <v>1</v>
      </c>
      <c r="E4897">
        <v>10670</v>
      </c>
      <c r="F4897">
        <v>261123.33</v>
      </c>
      <c r="G4897">
        <v>0</v>
      </c>
      <c r="H4897">
        <v>0</v>
      </c>
      <c r="I4897">
        <v>0</v>
      </c>
      <c r="J4897">
        <v>0</v>
      </c>
      <c r="K4897">
        <v>0</v>
      </c>
      <c r="L4897">
        <v>30000000</v>
      </c>
      <c r="M4897">
        <v>30000000</v>
      </c>
      <c r="N4897">
        <v>30000000</v>
      </c>
      <c r="O4897">
        <v>30000000</v>
      </c>
      <c r="P4897">
        <v>30000000</v>
      </c>
      <c r="Q4897">
        <v>30000000</v>
      </c>
      <c r="R4897" s="14">
        <f>_xlfn.XLOOKUP(Table2[[#This Row],[LoanID]],Table1[G-L ID],Table1[ManagerCode],-99)</f>
        <v>119</v>
      </c>
      <c r="T4897"/>
    </row>
    <row r="4898" spans="1:20" x14ac:dyDescent="0.25">
      <c r="A4898">
        <v>20160930</v>
      </c>
      <c r="B4898">
        <v>2016</v>
      </c>
      <c r="C4898">
        <v>9</v>
      </c>
      <c r="D4898">
        <v>1</v>
      </c>
      <c r="E4898">
        <v>10680</v>
      </c>
      <c r="F4898">
        <v>97091.95</v>
      </c>
      <c r="G4898">
        <v>0</v>
      </c>
      <c r="H4898">
        <v>0</v>
      </c>
      <c r="I4898">
        <v>0</v>
      </c>
      <c r="J4898">
        <v>0</v>
      </c>
      <c r="K4898">
        <v>0</v>
      </c>
      <c r="L4898">
        <v>11269155.83</v>
      </c>
      <c r="M4898">
        <v>11269155.83</v>
      </c>
      <c r="N4898">
        <v>11269155.83</v>
      </c>
      <c r="O4898">
        <v>11269155.83</v>
      </c>
      <c r="P4898">
        <v>11269155.83</v>
      </c>
      <c r="Q4898">
        <v>11269155.83</v>
      </c>
      <c r="R4898" s="14">
        <f>_xlfn.XLOOKUP(Table2[[#This Row],[LoanID]],Table1[G-L ID],Table1[ManagerCode],-99)</f>
        <v>119</v>
      </c>
      <c r="T4898"/>
    </row>
    <row r="4899" spans="1:20" x14ac:dyDescent="0.25">
      <c r="A4899">
        <v>20160930</v>
      </c>
      <c r="B4899">
        <v>2016</v>
      </c>
      <c r="C4899">
        <v>9</v>
      </c>
      <c r="D4899">
        <v>1</v>
      </c>
      <c r="E4899">
        <v>10730</v>
      </c>
      <c r="F4899">
        <v>99967.18</v>
      </c>
      <c r="G4899">
        <v>0</v>
      </c>
      <c r="H4899">
        <v>0</v>
      </c>
      <c r="I4899">
        <v>0</v>
      </c>
      <c r="J4899">
        <v>0</v>
      </c>
      <c r="K4899">
        <v>0</v>
      </c>
      <c r="L4899">
        <v>9500000</v>
      </c>
      <c r="M4899">
        <v>9500000</v>
      </c>
      <c r="N4899">
        <v>9500000</v>
      </c>
      <c r="O4899">
        <v>9500000</v>
      </c>
      <c r="P4899">
        <v>9500000</v>
      </c>
      <c r="Q4899">
        <v>9500000</v>
      </c>
      <c r="R4899" s="14">
        <f>_xlfn.XLOOKUP(Table2[[#This Row],[LoanID]],Table1[G-L ID],Table1[ManagerCode],-99)</f>
        <v>119</v>
      </c>
      <c r="T4899"/>
    </row>
    <row r="4900" spans="1:20" x14ac:dyDescent="0.25">
      <c r="A4900">
        <v>20160930</v>
      </c>
      <c r="B4900">
        <v>2016</v>
      </c>
      <c r="C4900">
        <v>9</v>
      </c>
      <c r="D4900">
        <v>1</v>
      </c>
      <c r="E4900">
        <v>10740</v>
      </c>
      <c r="F4900">
        <v>1539338.25</v>
      </c>
      <c r="G4900">
        <v>0</v>
      </c>
      <c r="H4900">
        <v>0</v>
      </c>
      <c r="I4900">
        <v>0</v>
      </c>
      <c r="J4900">
        <v>0</v>
      </c>
      <c r="K4900">
        <v>0</v>
      </c>
      <c r="L4900">
        <v>457025770.60000002</v>
      </c>
      <c r="M4900">
        <v>455224852</v>
      </c>
      <c r="N4900">
        <v>457025770.60000002</v>
      </c>
      <c r="O4900">
        <v>455224852</v>
      </c>
      <c r="P4900">
        <v>461801475</v>
      </c>
      <c r="Q4900">
        <v>461801475</v>
      </c>
      <c r="R4900" s="14">
        <f>_xlfn.XLOOKUP(Table2[[#This Row],[LoanID]],Table1[G-L ID],Table1[ManagerCode],-99)</f>
        <v>103</v>
      </c>
      <c r="T4900"/>
    </row>
    <row r="4901" spans="1:20" x14ac:dyDescent="0.25">
      <c r="A4901">
        <v>20160930</v>
      </c>
      <c r="B4901">
        <v>2016</v>
      </c>
      <c r="C4901">
        <v>9</v>
      </c>
      <c r="D4901">
        <v>1</v>
      </c>
      <c r="E4901">
        <v>10750</v>
      </c>
      <c r="F4901">
        <v>81013.2</v>
      </c>
      <c r="G4901">
        <v>0</v>
      </c>
      <c r="H4901">
        <v>0</v>
      </c>
      <c r="I4901">
        <v>0</v>
      </c>
      <c r="J4901">
        <v>0</v>
      </c>
      <c r="K4901">
        <v>0</v>
      </c>
      <c r="L4901">
        <v>10129621.84</v>
      </c>
      <c r="M4901">
        <v>10129621.84</v>
      </c>
      <c r="N4901">
        <v>10129621.84</v>
      </c>
      <c r="O4901">
        <v>10129621.84</v>
      </c>
      <c r="P4901">
        <v>10129621.84</v>
      </c>
      <c r="Q4901">
        <v>10129621.84</v>
      </c>
      <c r="R4901" s="14">
        <f>_xlfn.XLOOKUP(Table2[[#This Row],[LoanID]],Table1[G-L ID],Table1[ManagerCode],-99)</f>
        <v>119</v>
      </c>
      <c r="T4901"/>
    </row>
    <row r="4902" spans="1:20" x14ac:dyDescent="0.25">
      <c r="A4902">
        <v>20160930</v>
      </c>
      <c r="B4902">
        <v>2016</v>
      </c>
      <c r="C4902">
        <v>9</v>
      </c>
      <c r="D4902">
        <v>1</v>
      </c>
      <c r="E4902">
        <v>10780</v>
      </c>
      <c r="F4902">
        <v>324289.28000000003</v>
      </c>
      <c r="G4902">
        <v>0</v>
      </c>
      <c r="H4902">
        <v>0</v>
      </c>
      <c r="I4902">
        <v>0</v>
      </c>
      <c r="J4902">
        <v>0</v>
      </c>
      <c r="K4902">
        <v>0</v>
      </c>
      <c r="L4902">
        <v>43000000</v>
      </c>
      <c r="M4902">
        <v>43000000</v>
      </c>
      <c r="N4902">
        <v>43000000</v>
      </c>
      <c r="O4902">
        <v>43000000</v>
      </c>
      <c r="P4902">
        <v>43000000</v>
      </c>
      <c r="Q4902">
        <v>43000000</v>
      </c>
      <c r="R4902" s="14">
        <f>_xlfn.XLOOKUP(Table2[[#This Row],[LoanID]],Table1[G-L ID],Table1[ManagerCode],-99)</f>
        <v>220</v>
      </c>
      <c r="T4902"/>
    </row>
    <row r="4903" spans="1:20" x14ac:dyDescent="0.25">
      <c r="A4903">
        <v>20160930</v>
      </c>
      <c r="B4903">
        <v>2016</v>
      </c>
      <c r="C4903">
        <v>9</v>
      </c>
      <c r="D4903">
        <v>1</v>
      </c>
      <c r="E4903">
        <v>10800</v>
      </c>
      <c r="F4903">
        <v>413664</v>
      </c>
      <c r="G4903">
        <v>0</v>
      </c>
      <c r="H4903">
        <v>0</v>
      </c>
      <c r="I4903">
        <v>0</v>
      </c>
      <c r="J4903">
        <v>0</v>
      </c>
      <c r="K4903">
        <v>0</v>
      </c>
      <c r="L4903">
        <v>48000000</v>
      </c>
      <c r="M4903">
        <v>48000000</v>
      </c>
      <c r="N4903">
        <v>48000000</v>
      </c>
      <c r="O4903">
        <v>48000000</v>
      </c>
      <c r="P4903">
        <v>48000000</v>
      </c>
      <c r="Q4903">
        <v>48000000</v>
      </c>
      <c r="R4903" s="14">
        <f>_xlfn.XLOOKUP(Table2[[#This Row],[LoanID]],Table1[G-L ID],Table1[ManagerCode],-99)</f>
        <v>220</v>
      </c>
      <c r="T4903"/>
    </row>
    <row r="4904" spans="1:20" x14ac:dyDescent="0.25">
      <c r="A4904">
        <v>20160930</v>
      </c>
      <c r="B4904">
        <v>2016</v>
      </c>
      <c r="C4904">
        <v>9</v>
      </c>
      <c r="D4904">
        <v>1</v>
      </c>
      <c r="E4904">
        <v>10810</v>
      </c>
      <c r="F4904">
        <v>84450.43</v>
      </c>
      <c r="G4904">
        <v>0</v>
      </c>
      <c r="H4904">
        <v>0</v>
      </c>
      <c r="I4904">
        <v>0</v>
      </c>
      <c r="J4904">
        <v>0</v>
      </c>
      <c r="K4904">
        <v>0</v>
      </c>
      <c r="L4904">
        <v>9905000</v>
      </c>
      <c r="M4904">
        <v>9905000</v>
      </c>
      <c r="N4904">
        <v>9905000</v>
      </c>
      <c r="O4904">
        <v>9905000</v>
      </c>
      <c r="P4904">
        <v>9905000</v>
      </c>
      <c r="Q4904">
        <v>9905000</v>
      </c>
      <c r="R4904" s="14">
        <f>_xlfn.XLOOKUP(Table2[[#This Row],[LoanID]],Table1[G-L ID],Table1[ManagerCode],-99)</f>
        <v>119</v>
      </c>
      <c r="T4904"/>
    </row>
    <row r="4905" spans="1:20" x14ac:dyDescent="0.25">
      <c r="A4905">
        <v>20160930</v>
      </c>
      <c r="B4905">
        <v>2016</v>
      </c>
      <c r="C4905">
        <v>9</v>
      </c>
      <c r="D4905">
        <v>1</v>
      </c>
      <c r="E4905">
        <v>10820</v>
      </c>
      <c r="F4905">
        <v>197375.03</v>
      </c>
      <c r="G4905">
        <v>0</v>
      </c>
      <c r="H4905">
        <v>0</v>
      </c>
      <c r="I4905">
        <v>0</v>
      </c>
      <c r="J4905">
        <v>0</v>
      </c>
      <c r="K4905">
        <v>0</v>
      </c>
      <c r="L4905">
        <v>24344483.780000001</v>
      </c>
      <c r="M4905">
        <v>24344483.780000001</v>
      </c>
      <c r="N4905">
        <v>24344483.780000001</v>
      </c>
      <c r="O4905">
        <v>24344483.780000001</v>
      </c>
      <c r="P4905">
        <v>24127337.739999998</v>
      </c>
      <c r="Q4905">
        <v>24127337.739999998</v>
      </c>
      <c r="R4905" s="14">
        <f>_xlfn.XLOOKUP(Table2[[#This Row],[LoanID]],Table1[G-L ID],Table1[ManagerCode],-99)</f>
        <v>220</v>
      </c>
      <c r="T4905"/>
    </row>
    <row r="4906" spans="1:20" x14ac:dyDescent="0.25">
      <c r="A4906">
        <v>20160930</v>
      </c>
      <c r="B4906">
        <v>2016</v>
      </c>
      <c r="C4906">
        <v>9</v>
      </c>
      <c r="D4906">
        <v>1</v>
      </c>
      <c r="E4906">
        <v>10830</v>
      </c>
      <c r="F4906">
        <v>63857.77</v>
      </c>
      <c r="G4906">
        <v>0</v>
      </c>
      <c r="H4906">
        <v>0</v>
      </c>
      <c r="I4906">
        <v>0</v>
      </c>
      <c r="J4906">
        <v>0</v>
      </c>
      <c r="K4906">
        <v>0</v>
      </c>
      <c r="L4906">
        <v>7876297.5300000003</v>
      </c>
      <c r="M4906">
        <v>7876297.5300000003</v>
      </c>
      <c r="N4906">
        <v>7876297.5300000003</v>
      </c>
      <c r="O4906">
        <v>7876297.5300000003</v>
      </c>
      <c r="P4906">
        <v>7806043.1399999997</v>
      </c>
      <c r="Q4906">
        <v>7806043.1399999997</v>
      </c>
      <c r="R4906" s="14">
        <f>_xlfn.XLOOKUP(Table2[[#This Row],[LoanID]],Table1[G-L ID],Table1[ManagerCode],-99)</f>
        <v>220</v>
      </c>
      <c r="T4906"/>
    </row>
    <row r="4907" spans="1:20" x14ac:dyDescent="0.25">
      <c r="A4907">
        <v>20160930</v>
      </c>
      <c r="B4907">
        <v>2016</v>
      </c>
      <c r="C4907">
        <v>9</v>
      </c>
      <c r="D4907">
        <v>1</v>
      </c>
      <c r="E4907">
        <v>10840</v>
      </c>
      <c r="F4907">
        <v>103968.23</v>
      </c>
      <c r="G4907">
        <v>0</v>
      </c>
      <c r="H4907">
        <v>0</v>
      </c>
      <c r="I4907">
        <v>0</v>
      </c>
      <c r="J4907">
        <v>0</v>
      </c>
      <c r="K4907">
        <v>0</v>
      </c>
      <c r="L4907">
        <v>12823571.699999999</v>
      </c>
      <c r="M4907">
        <v>12823571.699999999</v>
      </c>
      <c r="N4907">
        <v>12823571.699999999</v>
      </c>
      <c r="O4907">
        <v>12823571.699999999</v>
      </c>
      <c r="P4907">
        <v>12709189</v>
      </c>
      <c r="Q4907">
        <v>12709189</v>
      </c>
      <c r="R4907" s="14">
        <f>_xlfn.XLOOKUP(Table2[[#This Row],[LoanID]],Table1[G-L ID],Table1[ManagerCode],-99)</f>
        <v>220</v>
      </c>
      <c r="T4907"/>
    </row>
    <row r="4908" spans="1:20" x14ac:dyDescent="0.25">
      <c r="A4908">
        <v>20160930</v>
      </c>
      <c r="B4908">
        <v>2016</v>
      </c>
      <c r="C4908">
        <v>9</v>
      </c>
      <c r="D4908">
        <v>1</v>
      </c>
      <c r="E4908">
        <v>10850</v>
      </c>
      <c r="F4908">
        <v>110534.78</v>
      </c>
      <c r="G4908">
        <v>0</v>
      </c>
      <c r="H4908">
        <v>0</v>
      </c>
      <c r="I4908">
        <v>0</v>
      </c>
      <c r="J4908">
        <v>0</v>
      </c>
      <c r="K4908">
        <v>0</v>
      </c>
      <c r="L4908">
        <v>13633499.029999999</v>
      </c>
      <c r="M4908">
        <v>13633499.029999999</v>
      </c>
      <c r="N4908">
        <v>13633499.029999999</v>
      </c>
      <c r="O4908">
        <v>13633499.029999999</v>
      </c>
      <c r="P4908">
        <v>13511892</v>
      </c>
      <c r="Q4908">
        <v>13511892</v>
      </c>
      <c r="R4908" s="14">
        <f>_xlfn.XLOOKUP(Table2[[#This Row],[LoanID]],Table1[G-L ID],Table1[ManagerCode],-99)</f>
        <v>220</v>
      </c>
      <c r="T4908"/>
    </row>
    <row r="4909" spans="1:20" x14ac:dyDescent="0.25">
      <c r="A4909">
        <v>20160930</v>
      </c>
      <c r="B4909">
        <v>2016</v>
      </c>
      <c r="C4909">
        <v>9</v>
      </c>
      <c r="D4909">
        <v>1</v>
      </c>
      <c r="E4909">
        <v>10860</v>
      </c>
      <c r="F4909">
        <v>123710.66</v>
      </c>
      <c r="G4909">
        <v>0</v>
      </c>
      <c r="H4909">
        <v>0</v>
      </c>
      <c r="I4909">
        <v>0</v>
      </c>
      <c r="J4909">
        <v>0</v>
      </c>
      <c r="K4909">
        <v>0</v>
      </c>
      <c r="L4909">
        <v>19475000</v>
      </c>
      <c r="M4909">
        <v>19475000</v>
      </c>
      <c r="N4909">
        <v>19475000</v>
      </c>
      <c r="O4909">
        <v>19475000</v>
      </c>
      <c r="P4909">
        <v>20500000</v>
      </c>
      <c r="Q4909">
        <v>20500000</v>
      </c>
      <c r="R4909" s="14">
        <f>_xlfn.XLOOKUP(Table2[[#This Row],[LoanID]],Table1[G-L ID],Table1[ManagerCode],-99)</f>
        <v>103</v>
      </c>
      <c r="T4909"/>
    </row>
    <row r="4910" spans="1:20" x14ac:dyDescent="0.25">
      <c r="A4910">
        <v>20160930</v>
      </c>
      <c r="B4910">
        <v>2016</v>
      </c>
      <c r="C4910">
        <v>9</v>
      </c>
      <c r="D4910">
        <v>1</v>
      </c>
      <c r="E4910">
        <v>10890</v>
      </c>
      <c r="F4910">
        <v>104313.60000000001</v>
      </c>
      <c r="G4910">
        <v>87724.84</v>
      </c>
      <c r="H4910">
        <v>0</v>
      </c>
      <c r="I4910">
        <v>0</v>
      </c>
      <c r="J4910">
        <v>-104313.60000000001</v>
      </c>
      <c r="K4910">
        <v>0</v>
      </c>
      <c r="L4910">
        <v>20949647.59</v>
      </c>
      <c r="M4910">
        <v>21141686.030000001</v>
      </c>
      <c r="N4910">
        <v>20949647.59</v>
      </c>
      <c r="O4910">
        <v>21141686.030000001</v>
      </c>
      <c r="P4910">
        <v>20949647.59</v>
      </c>
      <c r="Q4910">
        <v>21141686.030000001</v>
      </c>
      <c r="R4910" s="14">
        <f>_xlfn.XLOOKUP(Table2[[#This Row],[LoanID]],Table1[G-L ID],Table1[ManagerCode],-99)</f>
        <v>183</v>
      </c>
      <c r="T4910"/>
    </row>
    <row r="4911" spans="1:20" x14ac:dyDescent="0.25">
      <c r="A4911">
        <v>20160930</v>
      </c>
      <c r="B4911">
        <v>2016</v>
      </c>
      <c r="C4911">
        <v>9</v>
      </c>
      <c r="D4911">
        <v>1</v>
      </c>
      <c r="E4911">
        <v>10910</v>
      </c>
      <c r="F4911">
        <v>197355.9</v>
      </c>
      <c r="G4911">
        <v>0</v>
      </c>
      <c r="H4911">
        <v>0</v>
      </c>
      <c r="I4911">
        <v>0</v>
      </c>
      <c r="J4911">
        <v>0</v>
      </c>
      <c r="K4911">
        <v>0</v>
      </c>
      <c r="L4911">
        <v>22500000</v>
      </c>
      <c r="M4911">
        <v>22500000</v>
      </c>
      <c r="N4911">
        <v>22500000</v>
      </c>
      <c r="O4911">
        <v>22500000</v>
      </c>
      <c r="P4911">
        <v>22500000</v>
      </c>
      <c r="Q4911">
        <v>22500000</v>
      </c>
      <c r="R4911" s="14">
        <f>_xlfn.XLOOKUP(Table2[[#This Row],[LoanID]],Table1[G-L ID],Table1[ManagerCode],-99)</f>
        <v>119</v>
      </c>
      <c r="T4911"/>
    </row>
    <row r="4912" spans="1:20" x14ac:dyDescent="0.25">
      <c r="A4912">
        <v>20160930</v>
      </c>
      <c r="B4912">
        <v>2016</v>
      </c>
      <c r="C4912">
        <v>9</v>
      </c>
      <c r="D4912">
        <v>1</v>
      </c>
      <c r="E4912">
        <v>10930</v>
      </c>
      <c r="F4912">
        <v>0</v>
      </c>
      <c r="G4912">
        <v>171340.03</v>
      </c>
      <c r="H4912">
        <v>0</v>
      </c>
      <c r="I4912">
        <v>0</v>
      </c>
      <c r="J4912">
        <v>0</v>
      </c>
      <c r="K4912">
        <v>0</v>
      </c>
      <c r="L4912">
        <v>16035669.26</v>
      </c>
      <c r="M4912">
        <v>16207009.289999999</v>
      </c>
      <c r="N4912">
        <v>16035669.26</v>
      </c>
      <c r="O4912">
        <v>16207009.289999999</v>
      </c>
      <c r="P4912">
        <v>16035669.26</v>
      </c>
      <c r="Q4912">
        <v>16207009.289999999</v>
      </c>
      <c r="R4912" s="14">
        <f>_xlfn.XLOOKUP(Table2[[#This Row],[LoanID]],Table1[G-L ID],Table1[ManagerCode],-99)</f>
        <v>183</v>
      </c>
      <c r="T4912"/>
    </row>
    <row r="4913" spans="1:20" x14ac:dyDescent="0.25">
      <c r="A4913">
        <v>20160930</v>
      </c>
      <c r="B4913">
        <v>2016</v>
      </c>
      <c r="C4913">
        <v>9</v>
      </c>
      <c r="D4913">
        <v>1</v>
      </c>
      <c r="E4913">
        <v>10960</v>
      </c>
      <c r="F4913">
        <v>74660.47</v>
      </c>
      <c r="G4913">
        <v>0</v>
      </c>
      <c r="H4913">
        <v>0</v>
      </c>
      <c r="I4913">
        <v>0</v>
      </c>
      <c r="J4913">
        <v>0</v>
      </c>
      <c r="K4913">
        <v>0</v>
      </c>
      <c r="L4913">
        <v>7027740.5300000003</v>
      </c>
      <c r="M4913">
        <v>7027740.5300000003</v>
      </c>
      <c r="N4913">
        <v>7027740.5300000003</v>
      </c>
      <c r="O4913">
        <v>7027740.5300000003</v>
      </c>
      <c r="P4913">
        <v>7027740.5300000003</v>
      </c>
      <c r="Q4913">
        <v>7027740.5300000003</v>
      </c>
      <c r="R4913" s="14">
        <f>_xlfn.XLOOKUP(Table2[[#This Row],[LoanID]],Table1[G-L ID],Table1[ManagerCode],-99)</f>
        <v>119</v>
      </c>
      <c r="T4913"/>
    </row>
    <row r="4914" spans="1:20" x14ac:dyDescent="0.25">
      <c r="A4914">
        <v>20160930</v>
      </c>
      <c r="B4914">
        <v>2016</v>
      </c>
      <c r="C4914">
        <v>9</v>
      </c>
      <c r="D4914">
        <v>1</v>
      </c>
      <c r="E4914">
        <v>10970</v>
      </c>
      <c r="F4914">
        <v>0</v>
      </c>
      <c r="G4914">
        <v>22677.96</v>
      </c>
      <c r="H4914">
        <v>48000</v>
      </c>
      <c r="I4914">
        <v>0</v>
      </c>
      <c r="J4914">
        <v>-4186700</v>
      </c>
      <c r="K4914">
        <v>0</v>
      </c>
      <c r="L4914">
        <v>0</v>
      </c>
      <c r="M4914">
        <v>4209377.96</v>
      </c>
      <c r="N4914">
        <v>0</v>
      </c>
      <c r="O4914">
        <v>4209377.96</v>
      </c>
      <c r="P4914">
        <v>0</v>
      </c>
      <c r="Q4914">
        <v>4209377.96</v>
      </c>
      <c r="R4914" s="14">
        <f>_xlfn.XLOOKUP(Table2[[#This Row],[LoanID]],Table1[G-L ID],Table1[ManagerCode],-99)</f>
        <v>183</v>
      </c>
      <c r="T4914"/>
    </row>
    <row r="4915" spans="1:20" x14ac:dyDescent="0.25">
      <c r="A4915">
        <v>20160930</v>
      </c>
      <c r="B4915">
        <v>2016</v>
      </c>
      <c r="C4915">
        <v>9</v>
      </c>
      <c r="D4915">
        <v>1</v>
      </c>
      <c r="E4915">
        <v>11010</v>
      </c>
      <c r="F4915">
        <v>216645.52</v>
      </c>
      <c r="G4915">
        <v>0</v>
      </c>
      <c r="H4915">
        <v>0</v>
      </c>
      <c r="I4915">
        <v>0</v>
      </c>
      <c r="J4915">
        <v>0</v>
      </c>
      <c r="K4915">
        <v>0</v>
      </c>
      <c r="L4915">
        <v>26500000</v>
      </c>
      <c r="M4915">
        <v>26500000</v>
      </c>
      <c r="N4915">
        <v>26500000</v>
      </c>
      <c r="O4915">
        <v>26500000</v>
      </c>
      <c r="P4915">
        <v>26500000</v>
      </c>
      <c r="Q4915">
        <v>26500000</v>
      </c>
      <c r="R4915" s="14">
        <f>_xlfn.XLOOKUP(Table2[[#This Row],[LoanID]],Table1[G-L ID],Table1[ManagerCode],-99)</f>
        <v>119</v>
      </c>
      <c r="T4915"/>
    </row>
    <row r="4916" spans="1:20" x14ac:dyDescent="0.25">
      <c r="A4916">
        <v>20160930</v>
      </c>
      <c r="B4916">
        <v>2016</v>
      </c>
      <c r="C4916">
        <v>9</v>
      </c>
      <c r="D4916">
        <v>1</v>
      </c>
      <c r="E4916">
        <v>11030</v>
      </c>
      <c r="F4916">
        <v>66397.08</v>
      </c>
      <c r="G4916">
        <v>0</v>
      </c>
      <c r="H4916">
        <v>0</v>
      </c>
      <c r="I4916">
        <v>0</v>
      </c>
      <c r="J4916">
        <v>0</v>
      </c>
      <c r="K4916">
        <v>9777.7800000000007</v>
      </c>
      <c r="L4916">
        <v>7872888.8600000003</v>
      </c>
      <c r="M4916">
        <v>7863111.0800000001</v>
      </c>
      <c r="N4916">
        <v>7872888.8600000003</v>
      </c>
      <c r="O4916">
        <v>7863111.0800000001</v>
      </c>
      <c r="P4916">
        <v>7872888.8600000003</v>
      </c>
      <c r="Q4916">
        <v>7863111.0800000001</v>
      </c>
      <c r="R4916" s="14">
        <f>_xlfn.XLOOKUP(Table2[[#This Row],[LoanID]],Table1[G-L ID],Table1[ManagerCode],-99)</f>
        <v>119</v>
      </c>
      <c r="T4916"/>
    </row>
    <row r="4917" spans="1:20" x14ac:dyDescent="0.25">
      <c r="A4917">
        <v>20160930</v>
      </c>
      <c r="B4917">
        <v>2016</v>
      </c>
      <c r="C4917">
        <v>9</v>
      </c>
      <c r="D4917">
        <v>1</v>
      </c>
      <c r="E4917">
        <v>11040</v>
      </c>
      <c r="F4917">
        <v>504793.98</v>
      </c>
      <c r="G4917">
        <v>0</v>
      </c>
      <c r="H4917">
        <v>0</v>
      </c>
      <c r="I4917">
        <v>0</v>
      </c>
      <c r="J4917">
        <v>0</v>
      </c>
      <c r="K4917">
        <v>0</v>
      </c>
      <c r="L4917">
        <v>46866994.979999997</v>
      </c>
      <c r="M4917">
        <v>46866994.979999997</v>
      </c>
      <c r="N4917">
        <v>46866994.979999997</v>
      </c>
      <c r="O4917">
        <v>46866994.979999997</v>
      </c>
      <c r="P4917">
        <v>46866994.979999997</v>
      </c>
      <c r="Q4917">
        <v>46866994.979999997</v>
      </c>
      <c r="R4917" s="14">
        <f>_xlfn.XLOOKUP(Table2[[#This Row],[LoanID]],Table1[G-L ID],Table1[ManagerCode],-99)</f>
        <v>220</v>
      </c>
      <c r="T4917"/>
    </row>
    <row r="4918" spans="1:20" x14ac:dyDescent="0.25">
      <c r="A4918">
        <v>20160930</v>
      </c>
      <c r="B4918">
        <v>2016</v>
      </c>
      <c r="C4918">
        <v>9</v>
      </c>
      <c r="D4918">
        <v>1</v>
      </c>
      <c r="E4918">
        <v>11060</v>
      </c>
      <c r="F4918">
        <v>66278.240000000005</v>
      </c>
      <c r="G4918">
        <v>0</v>
      </c>
      <c r="H4918">
        <v>140000</v>
      </c>
      <c r="I4918">
        <v>0</v>
      </c>
      <c r="J4918">
        <v>-14000000</v>
      </c>
      <c r="K4918">
        <v>0</v>
      </c>
      <c r="L4918">
        <v>0</v>
      </c>
      <c r="M4918">
        <v>14000000</v>
      </c>
      <c r="N4918">
        <v>0</v>
      </c>
      <c r="O4918">
        <v>14000000</v>
      </c>
      <c r="P4918">
        <v>0</v>
      </c>
      <c r="Q4918">
        <v>14000000</v>
      </c>
      <c r="R4918" s="14">
        <f>_xlfn.XLOOKUP(Table2[[#This Row],[LoanID]],Table1[G-L ID],Table1[ManagerCode],-99)</f>
        <v>119</v>
      </c>
      <c r="T4918"/>
    </row>
    <row r="4919" spans="1:20" x14ac:dyDescent="0.25">
      <c r="A4919">
        <v>20160930</v>
      </c>
      <c r="B4919">
        <v>2016</v>
      </c>
      <c r="C4919">
        <v>9</v>
      </c>
      <c r="D4919">
        <v>1</v>
      </c>
      <c r="E4919">
        <v>11080</v>
      </c>
      <c r="F4919">
        <v>339067.67</v>
      </c>
      <c r="G4919">
        <v>0</v>
      </c>
      <c r="H4919">
        <v>0</v>
      </c>
      <c r="I4919">
        <v>0</v>
      </c>
      <c r="J4919">
        <v>0</v>
      </c>
      <c r="K4919">
        <v>0</v>
      </c>
      <c r="L4919">
        <v>40000000</v>
      </c>
      <c r="M4919">
        <v>40000000</v>
      </c>
      <c r="N4919">
        <v>40000000</v>
      </c>
      <c r="O4919">
        <v>40000000</v>
      </c>
      <c r="P4919">
        <v>40000000</v>
      </c>
      <c r="Q4919">
        <v>40000000</v>
      </c>
      <c r="R4919" s="14">
        <f>_xlfn.XLOOKUP(Table2[[#This Row],[LoanID]],Table1[G-L ID],Table1[ManagerCode],-99)</f>
        <v>119</v>
      </c>
      <c r="T4919"/>
    </row>
    <row r="4920" spans="1:20" x14ac:dyDescent="0.25">
      <c r="A4920">
        <v>20160930</v>
      </c>
      <c r="B4920">
        <v>2016</v>
      </c>
      <c r="C4920">
        <v>9</v>
      </c>
      <c r="D4920">
        <v>1</v>
      </c>
      <c r="E4920">
        <v>11090</v>
      </c>
      <c r="F4920">
        <v>94845.84</v>
      </c>
      <c r="G4920">
        <v>0</v>
      </c>
      <c r="H4920">
        <v>0</v>
      </c>
      <c r="I4920">
        <v>0</v>
      </c>
      <c r="J4920">
        <v>0</v>
      </c>
      <c r="K4920">
        <v>0</v>
      </c>
      <c r="L4920">
        <v>11000000</v>
      </c>
      <c r="M4920">
        <v>11000000</v>
      </c>
      <c r="N4920">
        <v>11000000</v>
      </c>
      <c r="O4920">
        <v>11000000</v>
      </c>
      <c r="P4920">
        <v>11000000</v>
      </c>
      <c r="Q4920">
        <v>11000000</v>
      </c>
      <c r="R4920" s="14">
        <f>_xlfn.XLOOKUP(Table2[[#This Row],[LoanID]],Table1[G-L ID],Table1[ManagerCode],-99)</f>
        <v>119</v>
      </c>
      <c r="T4920"/>
    </row>
    <row r="4921" spans="1:20" x14ac:dyDescent="0.25">
      <c r="A4921">
        <v>20160930</v>
      </c>
      <c r="B4921">
        <v>2016</v>
      </c>
      <c r="C4921">
        <v>9</v>
      </c>
      <c r="D4921">
        <v>1</v>
      </c>
      <c r="E4921">
        <v>11100</v>
      </c>
      <c r="F4921">
        <v>81803.88</v>
      </c>
      <c r="G4921">
        <v>0</v>
      </c>
      <c r="H4921">
        <v>0</v>
      </c>
      <c r="I4921">
        <v>0</v>
      </c>
      <c r="J4921">
        <v>0</v>
      </c>
      <c r="K4921">
        <v>55000000</v>
      </c>
      <c r="L4921">
        <v>54450000</v>
      </c>
      <c r="M4921">
        <v>0</v>
      </c>
      <c r="N4921">
        <v>54450000</v>
      </c>
      <c r="O4921">
        <v>0</v>
      </c>
      <c r="P4921">
        <v>55000000</v>
      </c>
      <c r="Q4921">
        <v>0</v>
      </c>
      <c r="R4921" s="14">
        <f>_xlfn.XLOOKUP(Table2[[#This Row],[LoanID]],Table1[G-L ID],Table1[ManagerCode],-99)</f>
        <v>103</v>
      </c>
      <c r="T4921"/>
    </row>
    <row r="4922" spans="1:20" x14ac:dyDescent="0.25">
      <c r="A4922">
        <v>20160930</v>
      </c>
      <c r="B4922">
        <v>2016</v>
      </c>
      <c r="C4922">
        <v>9</v>
      </c>
      <c r="D4922">
        <v>1</v>
      </c>
      <c r="E4922">
        <v>11130</v>
      </c>
      <c r="F4922">
        <v>995300.62</v>
      </c>
      <c r="G4922">
        <v>0</v>
      </c>
      <c r="H4922">
        <v>0</v>
      </c>
      <c r="I4922">
        <v>0</v>
      </c>
      <c r="J4922">
        <v>0</v>
      </c>
      <c r="K4922">
        <v>0</v>
      </c>
      <c r="L4922">
        <v>150450000</v>
      </c>
      <c r="M4922">
        <v>150847756.30000001</v>
      </c>
      <c r="N4922">
        <v>150450000</v>
      </c>
      <c r="O4922">
        <v>150847756.30000001</v>
      </c>
      <c r="P4922">
        <v>177000000</v>
      </c>
      <c r="Q4922">
        <v>177000000</v>
      </c>
      <c r="R4922" s="14">
        <f>_xlfn.XLOOKUP(Table2[[#This Row],[LoanID]],Table1[G-L ID],Table1[ManagerCode],-99)</f>
        <v>103</v>
      </c>
      <c r="T4922"/>
    </row>
    <row r="4923" spans="1:20" x14ac:dyDescent="0.25">
      <c r="A4923">
        <v>20160930</v>
      </c>
      <c r="B4923">
        <v>2016</v>
      </c>
      <c r="C4923">
        <v>9</v>
      </c>
      <c r="D4923">
        <v>1</v>
      </c>
      <c r="E4923">
        <v>11150</v>
      </c>
      <c r="F4923">
        <v>146970.99</v>
      </c>
      <c r="G4923">
        <v>0</v>
      </c>
      <c r="H4923">
        <v>467600</v>
      </c>
      <c r="I4923">
        <v>0</v>
      </c>
      <c r="J4923">
        <v>-35760000</v>
      </c>
      <c r="K4923">
        <v>0</v>
      </c>
      <c r="L4923">
        <v>0</v>
      </c>
      <c r="M4923">
        <v>35760000</v>
      </c>
      <c r="N4923">
        <v>0</v>
      </c>
      <c r="O4923">
        <v>35760000</v>
      </c>
      <c r="P4923">
        <v>0</v>
      </c>
      <c r="Q4923">
        <v>35760000</v>
      </c>
      <c r="R4923" s="14">
        <f>_xlfn.XLOOKUP(Table2[[#This Row],[LoanID]],Table1[G-L ID],Table1[ManagerCode],-99)</f>
        <v>119</v>
      </c>
      <c r="T4923"/>
    </row>
    <row r="4924" spans="1:20" x14ac:dyDescent="0.25">
      <c r="A4924">
        <v>20160930</v>
      </c>
      <c r="B4924">
        <v>2016</v>
      </c>
      <c r="C4924">
        <v>9</v>
      </c>
      <c r="D4924">
        <v>1</v>
      </c>
      <c r="E4924">
        <v>11160</v>
      </c>
      <c r="F4924">
        <v>219002.55</v>
      </c>
      <c r="G4924">
        <v>156920.13</v>
      </c>
      <c r="H4924">
        <v>0</v>
      </c>
      <c r="I4924">
        <v>0</v>
      </c>
      <c r="J4924">
        <v>-2621258.73</v>
      </c>
      <c r="K4924">
        <v>1187965.51</v>
      </c>
      <c r="L4924">
        <v>50244017.990000002</v>
      </c>
      <c r="M4924">
        <v>53022196.850000001</v>
      </c>
      <c r="N4924">
        <v>39006035.009999998</v>
      </c>
      <c r="O4924">
        <v>40596248.359999999</v>
      </c>
      <c r="P4924">
        <v>50244017.990000002</v>
      </c>
      <c r="Q4924">
        <v>53022196.850000001</v>
      </c>
      <c r="R4924" s="14">
        <f>_xlfn.XLOOKUP(Table2[[#This Row],[LoanID]],Table1[G-L ID],Table1[ManagerCode],-99)</f>
        <v>183</v>
      </c>
      <c r="T4924"/>
    </row>
    <row r="4925" spans="1:20" x14ac:dyDescent="0.25">
      <c r="A4925">
        <v>20160930</v>
      </c>
      <c r="B4925">
        <v>2016</v>
      </c>
      <c r="C4925">
        <v>9</v>
      </c>
      <c r="D4925">
        <v>1</v>
      </c>
      <c r="E4925">
        <v>11210</v>
      </c>
      <c r="F4925">
        <v>0</v>
      </c>
      <c r="G4925">
        <v>0</v>
      </c>
      <c r="H4925">
        <v>0</v>
      </c>
      <c r="I4925">
        <v>0</v>
      </c>
      <c r="J4925">
        <v>-7500000</v>
      </c>
      <c r="K4925">
        <v>0</v>
      </c>
      <c r="L4925">
        <v>0</v>
      </c>
      <c r="M4925">
        <v>7500000</v>
      </c>
      <c r="N4925">
        <v>0</v>
      </c>
      <c r="O4925">
        <v>7500000</v>
      </c>
      <c r="P4925">
        <v>0</v>
      </c>
      <c r="Q4925">
        <v>7500000</v>
      </c>
      <c r="R4925" s="14">
        <f>_xlfn.XLOOKUP(Table2[[#This Row],[LoanID]],Table1[G-L ID],Table1[ManagerCode],-99)</f>
        <v>119</v>
      </c>
      <c r="T4925"/>
    </row>
    <row r="4926" spans="1:20" x14ac:dyDescent="0.25">
      <c r="A4926">
        <v>20160930</v>
      </c>
      <c r="B4926">
        <v>2016</v>
      </c>
      <c r="C4926">
        <v>9</v>
      </c>
      <c r="D4926">
        <v>1</v>
      </c>
      <c r="E4926">
        <v>11250</v>
      </c>
      <c r="F4926">
        <v>228165.31</v>
      </c>
      <c r="G4926">
        <v>0</v>
      </c>
      <c r="H4926">
        <v>0</v>
      </c>
      <c r="I4926">
        <v>0</v>
      </c>
      <c r="J4926">
        <v>0</v>
      </c>
      <c r="K4926">
        <v>0</v>
      </c>
      <c r="L4926">
        <v>18253225.030000001</v>
      </c>
      <c r="M4926">
        <v>18253225.030000001</v>
      </c>
      <c r="N4926">
        <v>18253225.030000001</v>
      </c>
      <c r="O4926">
        <v>18253225.030000001</v>
      </c>
      <c r="P4926">
        <v>18253225.030000001</v>
      </c>
      <c r="Q4926">
        <v>18253225.030000001</v>
      </c>
      <c r="R4926" s="14">
        <f>_xlfn.XLOOKUP(Table2[[#This Row],[LoanID]],Table1[G-L ID],Table1[ManagerCode],-99)</f>
        <v>183</v>
      </c>
      <c r="T4926"/>
    </row>
    <row r="4927" spans="1:20" x14ac:dyDescent="0.25">
      <c r="A4927">
        <v>20160930</v>
      </c>
      <c r="B4927">
        <v>2016</v>
      </c>
      <c r="C4927">
        <v>9</v>
      </c>
      <c r="D4927">
        <v>1</v>
      </c>
      <c r="E4927">
        <v>11330</v>
      </c>
      <c r="F4927">
        <v>68361.87</v>
      </c>
      <c r="G4927">
        <v>0</v>
      </c>
      <c r="H4927">
        <v>0</v>
      </c>
      <c r="I4927">
        <v>0</v>
      </c>
      <c r="J4927">
        <v>0</v>
      </c>
      <c r="K4927">
        <v>0</v>
      </c>
      <c r="L4927">
        <v>7468012.9000000004</v>
      </c>
      <c r="M4927">
        <v>7468012.9000000004</v>
      </c>
      <c r="N4927">
        <v>7468012.9000000004</v>
      </c>
      <c r="O4927">
        <v>7468012.9000000004</v>
      </c>
      <c r="P4927">
        <v>7468012.9000000004</v>
      </c>
      <c r="Q4927">
        <v>7468012.9000000004</v>
      </c>
      <c r="R4927" s="14">
        <f>_xlfn.XLOOKUP(Table2[[#This Row],[LoanID]],Table1[G-L ID],Table1[ManagerCode],-99)</f>
        <v>119</v>
      </c>
      <c r="T4927"/>
    </row>
    <row r="4928" spans="1:20" x14ac:dyDescent="0.25">
      <c r="A4928">
        <v>20160930</v>
      </c>
      <c r="B4928">
        <v>2016</v>
      </c>
      <c r="C4928">
        <v>9</v>
      </c>
      <c r="D4928">
        <v>1</v>
      </c>
      <c r="E4928">
        <v>11340</v>
      </c>
      <c r="F4928">
        <v>298262.5</v>
      </c>
      <c r="G4928">
        <v>0</v>
      </c>
      <c r="H4928">
        <v>0</v>
      </c>
      <c r="I4928">
        <v>0</v>
      </c>
      <c r="J4928">
        <v>0</v>
      </c>
      <c r="K4928">
        <v>62901.17</v>
      </c>
      <c r="L4928">
        <v>48986523.82</v>
      </c>
      <c r="M4928">
        <v>48924251.710000001</v>
      </c>
      <c r="N4928">
        <v>48986523.82</v>
      </c>
      <c r="O4928">
        <v>48924251.710000001</v>
      </c>
      <c r="P4928">
        <v>49481337.210000001</v>
      </c>
      <c r="Q4928">
        <v>49418436.039999999</v>
      </c>
      <c r="R4928" s="14">
        <f>_xlfn.XLOOKUP(Table2[[#This Row],[LoanID]],Table1[G-L ID],Table1[ManagerCode],-99)</f>
        <v>103</v>
      </c>
      <c r="T4928"/>
    </row>
    <row r="4929" spans="1:20" x14ac:dyDescent="0.25">
      <c r="A4929">
        <v>20160930</v>
      </c>
      <c r="B4929">
        <v>2016</v>
      </c>
      <c r="C4929">
        <v>9</v>
      </c>
      <c r="D4929">
        <v>1</v>
      </c>
      <c r="E4929">
        <v>11350</v>
      </c>
      <c r="F4929">
        <v>331527.78000000003</v>
      </c>
      <c r="G4929">
        <v>0</v>
      </c>
      <c r="H4929">
        <v>0</v>
      </c>
      <c r="I4929">
        <v>0</v>
      </c>
      <c r="J4929">
        <v>0</v>
      </c>
      <c r="K4929">
        <v>0</v>
      </c>
      <c r="L4929">
        <v>54449945.549999997</v>
      </c>
      <c r="M4929">
        <v>54449945.549999997</v>
      </c>
      <c r="N4929">
        <v>54449945.549999997</v>
      </c>
      <c r="O4929">
        <v>54449945.549999997</v>
      </c>
      <c r="P4929">
        <v>55000000</v>
      </c>
      <c r="Q4929">
        <v>55000000</v>
      </c>
      <c r="R4929" s="14">
        <f>_xlfn.XLOOKUP(Table2[[#This Row],[LoanID]],Table1[G-L ID],Table1[ManagerCode],-99)</f>
        <v>103</v>
      </c>
      <c r="T4929"/>
    </row>
    <row r="4930" spans="1:20" x14ac:dyDescent="0.25">
      <c r="A4930">
        <v>20160930</v>
      </c>
      <c r="B4930">
        <v>2016</v>
      </c>
      <c r="C4930">
        <v>9</v>
      </c>
      <c r="D4930">
        <v>1</v>
      </c>
      <c r="E4930">
        <v>11360</v>
      </c>
      <c r="F4930">
        <v>62429.45</v>
      </c>
      <c r="G4930">
        <v>0</v>
      </c>
      <c r="H4930">
        <v>0</v>
      </c>
      <c r="I4930">
        <v>0</v>
      </c>
      <c r="J4930">
        <v>0</v>
      </c>
      <c r="K4930">
        <v>0</v>
      </c>
      <c r="L4930">
        <v>7537500</v>
      </c>
      <c r="M4930">
        <v>7537500</v>
      </c>
      <c r="N4930">
        <v>7537500</v>
      </c>
      <c r="O4930">
        <v>7537500</v>
      </c>
      <c r="P4930">
        <v>7537500</v>
      </c>
      <c r="Q4930">
        <v>7537500</v>
      </c>
      <c r="R4930" s="14">
        <f>_xlfn.XLOOKUP(Table2[[#This Row],[LoanID]],Table1[G-L ID],Table1[ManagerCode],-99)</f>
        <v>119</v>
      </c>
      <c r="T4930"/>
    </row>
    <row r="4931" spans="1:20" x14ac:dyDescent="0.25">
      <c r="A4931">
        <v>20160930</v>
      </c>
      <c r="B4931">
        <v>2016</v>
      </c>
      <c r="C4931">
        <v>9</v>
      </c>
      <c r="D4931">
        <v>1</v>
      </c>
      <c r="E4931">
        <v>11370</v>
      </c>
      <c r="F4931">
        <v>125519.42</v>
      </c>
      <c r="G4931">
        <v>0</v>
      </c>
      <c r="H4931">
        <v>0</v>
      </c>
      <c r="I4931">
        <v>0</v>
      </c>
      <c r="J4931">
        <v>0</v>
      </c>
      <c r="K4931">
        <v>6645849.7400000002</v>
      </c>
      <c r="L4931">
        <v>6645849.7400000002</v>
      </c>
      <c r="M4931">
        <v>0</v>
      </c>
      <c r="N4931">
        <v>6645849.7400000002</v>
      </c>
      <c r="O4931">
        <v>0</v>
      </c>
      <c r="P4931">
        <v>6645849.7400000002</v>
      </c>
      <c r="Q4931">
        <v>0</v>
      </c>
      <c r="R4931" s="14">
        <f>_xlfn.XLOOKUP(Table2[[#This Row],[LoanID]],Table1[G-L ID],Table1[ManagerCode],-99)</f>
        <v>119</v>
      </c>
      <c r="T4931"/>
    </row>
    <row r="4932" spans="1:20" x14ac:dyDescent="0.25">
      <c r="A4932">
        <v>20160930</v>
      </c>
      <c r="B4932">
        <v>2016</v>
      </c>
      <c r="C4932">
        <v>9</v>
      </c>
      <c r="D4932">
        <v>1</v>
      </c>
      <c r="E4932">
        <v>11410</v>
      </c>
      <c r="F4932">
        <v>109616</v>
      </c>
      <c r="G4932">
        <v>0</v>
      </c>
      <c r="H4932">
        <v>0</v>
      </c>
      <c r="I4932">
        <v>0</v>
      </c>
      <c r="J4932">
        <v>0</v>
      </c>
      <c r="K4932">
        <v>0</v>
      </c>
      <c r="L4932">
        <v>12000000</v>
      </c>
      <c r="M4932">
        <v>12000000</v>
      </c>
      <c r="N4932">
        <v>12000000</v>
      </c>
      <c r="O4932">
        <v>12000000</v>
      </c>
      <c r="P4932">
        <v>12000000</v>
      </c>
      <c r="Q4932">
        <v>12000000</v>
      </c>
      <c r="R4932" s="14">
        <f>_xlfn.XLOOKUP(Table2[[#This Row],[LoanID]],Table1[G-L ID],Table1[ManagerCode],-99)</f>
        <v>119</v>
      </c>
      <c r="T4932"/>
    </row>
    <row r="4933" spans="1:20" x14ac:dyDescent="0.25">
      <c r="A4933">
        <v>20160930</v>
      </c>
      <c r="B4933">
        <v>2016</v>
      </c>
      <c r="C4933">
        <v>9</v>
      </c>
      <c r="D4933">
        <v>1</v>
      </c>
      <c r="E4933">
        <v>11440</v>
      </c>
      <c r="F4933">
        <v>156250</v>
      </c>
      <c r="G4933">
        <v>0</v>
      </c>
      <c r="H4933">
        <v>0</v>
      </c>
      <c r="I4933">
        <v>0</v>
      </c>
      <c r="J4933">
        <v>0</v>
      </c>
      <c r="K4933">
        <v>0</v>
      </c>
      <c r="L4933">
        <v>18750000</v>
      </c>
      <c r="M4933">
        <v>18750000</v>
      </c>
      <c r="N4933">
        <v>18750000</v>
      </c>
      <c r="O4933">
        <v>18750000</v>
      </c>
      <c r="P4933">
        <v>18750000</v>
      </c>
      <c r="Q4933">
        <v>18750000</v>
      </c>
      <c r="R4933" s="14">
        <f>_xlfn.XLOOKUP(Table2[[#This Row],[LoanID]],Table1[G-L ID],Table1[ManagerCode],-99)</f>
        <v>183</v>
      </c>
      <c r="T4933"/>
    </row>
    <row r="4934" spans="1:20" x14ac:dyDescent="0.25">
      <c r="A4934">
        <v>20160930</v>
      </c>
      <c r="B4934">
        <v>2016</v>
      </c>
      <c r="C4934">
        <v>9</v>
      </c>
      <c r="D4934">
        <v>1</v>
      </c>
      <c r="E4934">
        <v>11450</v>
      </c>
      <c r="F4934">
        <v>126347.03</v>
      </c>
      <c r="G4934">
        <v>0</v>
      </c>
      <c r="H4934">
        <v>0</v>
      </c>
      <c r="I4934">
        <v>0</v>
      </c>
      <c r="J4934">
        <v>0</v>
      </c>
      <c r="K4934">
        <v>0</v>
      </c>
      <c r="L4934">
        <v>15438297.869999999</v>
      </c>
      <c r="M4934">
        <v>15438297.869999999</v>
      </c>
      <c r="N4934">
        <v>15438297.869999999</v>
      </c>
      <c r="O4934">
        <v>15438297.869999999</v>
      </c>
      <c r="P4934">
        <v>15438297.869999999</v>
      </c>
      <c r="Q4934">
        <v>15438297.869999999</v>
      </c>
      <c r="R4934" s="14">
        <f>_xlfn.XLOOKUP(Table2[[#This Row],[LoanID]],Table1[G-L ID],Table1[ManagerCode],-99)</f>
        <v>119</v>
      </c>
      <c r="T4934"/>
    </row>
    <row r="4935" spans="1:20" x14ac:dyDescent="0.25">
      <c r="A4935">
        <v>20160930</v>
      </c>
      <c r="B4935">
        <v>2016</v>
      </c>
      <c r="C4935">
        <v>9</v>
      </c>
      <c r="D4935">
        <v>1</v>
      </c>
      <c r="E4935">
        <v>11480</v>
      </c>
      <c r="F4935">
        <v>377218.33</v>
      </c>
      <c r="G4935">
        <v>0</v>
      </c>
      <c r="H4935">
        <v>0</v>
      </c>
      <c r="I4935">
        <v>0</v>
      </c>
      <c r="J4935">
        <v>0</v>
      </c>
      <c r="K4935">
        <v>0</v>
      </c>
      <c r="L4935">
        <v>66500000</v>
      </c>
      <c r="M4935">
        <v>66500000</v>
      </c>
      <c r="N4935">
        <v>66500000</v>
      </c>
      <c r="O4935">
        <v>66500000</v>
      </c>
      <c r="P4935">
        <v>70000000</v>
      </c>
      <c r="Q4935">
        <v>70000000</v>
      </c>
      <c r="R4935" s="14">
        <f>_xlfn.XLOOKUP(Table2[[#This Row],[LoanID]],Table1[G-L ID],Table1[ManagerCode],-99)</f>
        <v>103</v>
      </c>
      <c r="T4935"/>
    </row>
    <row r="4936" spans="1:20" x14ac:dyDescent="0.25">
      <c r="A4936">
        <v>20160930</v>
      </c>
      <c r="B4936">
        <v>2016</v>
      </c>
      <c r="C4936">
        <v>9</v>
      </c>
      <c r="D4936">
        <v>1</v>
      </c>
      <c r="E4936">
        <v>11490</v>
      </c>
      <c r="F4936">
        <v>355587.22</v>
      </c>
      <c r="G4936">
        <v>0</v>
      </c>
      <c r="H4936">
        <v>0</v>
      </c>
      <c r="I4936">
        <v>0</v>
      </c>
      <c r="J4936">
        <v>0</v>
      </c>
      <c r="K4936">
        <v>0</v>
      </c>
      <c r="L4936">
        <v>49500000</v>
      </c>
      <c r="M4936">
        <v>49500000</v>
      </c>
      <c r="N4936">
        <v>49500000</v>
      </c>
      <c r="O4936">
        <v>49500000</v>
      </c>
      <c r="P4936">
        <v>55000000</v>
      </c>
      <c r="Q4936">
        <v>55000000</v>
      </c>
      <c r="R4936" s="14">
        <f>_xlfn.XLOOKUP(Table2[[#This Row],[LoanID]],Table1[G-L ID],Table1[ManagerCode],-99)</f>
        <v>103</v>
      </c>
      <c r="T4936"/>
    </row>
    <row r="4937" spans="1:20" x14ac:dyDescent="0.25">
      <c r="A4937">
        <v>20160930</v>
      </c>
      <c r="B4937">
        <v>2016</v>
      </c>
      <c r="C4937">
        <v>9</v>
      </c>
      <c r="D4937">
        <v>1</v>
      </c>
      <c r="E4937">
        <v>11520</v>
      </c>
      <c r="F4937">
        <v>35015.79</v>
      </c>
      <c r="G4937">
        <v>0</v>
      </c>
      <c r="H4937">
        <v>0</v>
      </c>
      <c r="I4937">
        <v>0</v>
      </c>
      <c r="J4937">
        <v>-232923.5</v>
      </c>
      <c r="K4937">
        <v>0</v>
      </c>
      <c r="L4937">
        <v>4739860.7</v>
      </c>
      <c r="M4937">
        <v>4972784.2</v>
      </c>
      <c r="N4937">
        <v>4739860.7</v>
      </c>
      <c r="O4937">
        <v>4972784.2</v>
      </c>
      <c r="P4937">
        <v>4739860.7</v>
      </c>
      <c r="Q4937">
        <v>4972784.2</v>
      </c>
      <c r="R4937" s="14">
        <f>_xlfn.XLOOKUP(Table2[[#This Row],[LoanID]],Table1[G-L ID],Table1[ManagerCode],-99)</f>
        <v>119</v>
      </c>
      <c r="T4937"/>
    </row>
    <row r="4938" spans="1:20" x14ac:dyDescent="0.25">
      <c r="A4938">
        <v>20160930</v>
      </c>
      <c r="B4938">
        <v>2016</v>
      </c>
      <c r="C4938">
        <v>9</v>
      </c>
      <c r="D4938">
        <v>1</v>
      </c>
      <c r="E4938">
        <v>11530</v>
      </c>
      <c r="F4938">
        <v>111280.63</v>
      </c>
      <c r="G4938">
        <v>0</v>
      </c>
      <c r="H4938">
        <v>0</v>
      </c>
      <c r="I4938">
        <v>0</v>
      </c>
      <c r="J4938">
        <v>-1722156.36</v>
      </c>
      <c r="K4938">
        <v>0</v>
      </c>
      <c r="L4938">
        <v>11517648.050000001</v>
      </c>
      <c r="M4938">
        <v>13239804.41</v>
      </c>
      <c r="N4938">
        <v>11517648.050000001</v>
      </c>
      <c r="O4938">
        <v>13239804.41</v>
      </c>
      <c r="P4938">
        <v>11517648.050000001</v>
      </c>
      <c r="Q4938">
        <v>13239804.41</v>
      </c>
      <c r="R4938" s="14">
        <f>_xlfn.XLOOKUP(Table2[[#This Row],[LoanID]],Table1[G-L ID],Table1[ManagerCode],-99)</f>
        <v>119</v>
      </c>
      <c r="T4938"/>
    </row>
    <row r="4939" spans="1:20" x14ac:dyDescent="0.25">
      <c r="A4939">
        <v>20160930</v>
      </c>
      <c r="B4939">
        <v>2016</v>
      </c>
      <c r="C4939">
        <v>9</v>
      </c>
      <c r="D4939">
        <v>1</v>
      </c>
      <c r="E4939">
        <v>11590</v>
      </c>
      <c r="F4939">
        <v>24191.08</v>
      </c>
      <c r="G4939">
        <v>0</v>
      </c>
      <c r="H4939">
        <v>0</v>
      </c>
      <c r="I4939">
        <v>0</v>
      </c>
      <c r="J4939">
        <v>0</v>
      </c>
      <c r="K4939">
        <v>0</v>
      </c>
      <c r="L4939">
        <v>3507224.44</v>
      </c>
      <c r="M4939">
        <v>3507224.44</v>
      </c>
      <c r="N4939">
        <v>3507224.44</v>
      </c>
      <c r="O4939">
        <v>3507224.44</v>
      </c>
      <c r="P4939">
        <v>3507224.44</v>
      </c>
      <c r="Q4939">
        <v>3507224.44</v>
      </c>
      <c r="R4939" s="14">
        <f>_xlfn.XLOOKUP(Table2[[#This Row],[LoanID]],Table1[G-L ID],Table1[ManagerCode],-99)</f>
        <v>119</v>
      </c>
      <c r="T4939"/>
    </row>
    <row r="4940" spans="1:20" x14ac:dyDescent="0.25">
      <c r="A4940">
        <v>20160930</v>
      </c>
      <c r="B4940">
        <v>2016</v>
      </c>
      <c r="C4940">
        <v>9</v>
      </c>
      <c r="D4940">
        <v>1</v>
      </c>
      <c r="E4940">
        <v>11650</v>
      </c>
      <c r="F4940">
        <v>75000</v>
      </c>
      <c r="G4940">
        <v>0</v>
      </c>
      <c r="H4940">
        <v>0</v>
      </c>
      <c r="I4940">
        <v>0</v>
      </c>
      <c r="J4940">
        <v>0</v>
      </c>
      <c r="K4940">
        <v>0</v>
      </c>
      <c r="L4940">
        <v>9685378.25</v>
      </c>
      <c r="M4940">
        <v>9600000</v>
      </c>
      <c r="N4940">
        <v>9685378.25</v>
      </c>
      <c r="O4940">
        <v>9600000</v>
      </c>
      <c r="P4940">
        <v>12000000</v>
      </c>
      <c r="Q4940">
        <v>12000000</v>
      </c>
      <c r="R4940" s="14">
        <f>_xlfn.XLOOKUP(Table2[[#This Row],[LoanID]],Table1[G-L ID],Table1[ManagerCode],-99)</f>
        <v>103</v>
      </c>
      <c r="T4940"/>
    </row>
    <row r="4941" spans="1:20" x14ac:dyDescent="0.25">
      <c r="A4941">
        <v>20160930</v>
      </c>
      <c r="B4941">
        <v>2016</v>
      </c>
      <c r="C4941">
        <v>9</v>
      </c>
      <c r="D4941">
        <v>1</v>
      </c>
      <c r="E4941">
        <v>11680</v>
      </c>
      <c r="F4941">
        <v>57126.559999999998</v>
      </c>
      <c r="G4941">
        <v>0</v>
      </c>
      <c r="H4941">
        <v>0</v>
      </c>
      <c r="I4941">
        <v>0</v>
      </c>
      <c r="J4941">
        <v>0</v>
      </c>
      <c r="K4941">
        <v>0</v>
      </c>
      <c r="L4941">
        <v>6600000</v>
      </c>
      <c r="M4941">
        <v>6600000</v>
      </c>
      <c r="N4941">
        <v>6600000</v>
      </c>
      <c r="O4941">
        <v>6600000</v>
      </c>
      <c r="P4941">
        <v>6600000</v>
      </c>
      <c r="Q4941">
        <v>6600000</v>
      </c>
      <c r="R4941" s="14">
        <f>_xlfn.XLOOKUP(Table2[[#This Row],[LoanID]],Table1[G-L ID],Table1[ManagerCode],-99)</f>
        <v>183</v>
      </c>
      <c r="T4941"/>
    </row>
    <row r="4942" spans="1:20" x14ac:dyDescent="0.25">
      <c r="A4942">
        <v>20160930</v>
      </c>
      <c r="B4942">
        <v>2016</v>
      </c>
      <c r="C4942">
        <v>9</v>
      </c>
      <c r="D4942">
        <v>1</v>
      </c>
      <c r="E4942">
        <v>11690</v>
      </c>
      <c r="F4942">
        <v>139186.56</v>
      </c>
      <c r="G4942">
        <v>0</v>
      </c>
      <c r="H4942">
        <v>0</v>
      </c>
      <c r="I4942">
        <v>0</v>
      </c>
      <c r="J4942">
        <v>0</v>
      </c>
      <c r="K4942">
        <v>0</v>
      </c>
      <c r="L4942">
        <v>17000000</v>
      </c>
      <c r="M4942">
        <v>17000000</v>
      </c>
      <c r="N4942">
        <v>17000000</v>
      </c>
      <c r="O4942">
        <v>17000000</v>
      </c>
      <c r="P4942">
        <v>17000000</v>
      </c>
      <c r="Q4942">
        <v>17000000</v>
      </c>
      <c r="R4942" s="14">
        <f>_xlfn.XLOOKUP(Table2[[#This Row],[LoanID]],Table1[G-L ID],Table1[ManagerCode],-99)</f>
        <v>119</v>
      </c>
      <c r="T4942"/>
    </row>
    <row r="4943" spans="1:20" x14ac:dyDescent="0.25">
      <c r="A4943">
        <v>20160930</v>
      </c>
      <c r="B4943">
        <v>2016</v>
      </c>
      <c r="C4943">
        <v>9</v>
      </c>
      <c r="D4943">
        <v>1</v>
      </c>
      <c r="E4943">
        <v>11710</v>
      </c>
      <c r="F4943">
        <v>127356.66</v>
      </c>
      <c r="G4943">
        <v>0</v>
      </c>
      <c r="H4943">
        <v>0</v>
      </c>
      <c r="I4943">
        <v>0</v>
      </c>
      <c r="J4943">
        <v>0</v>
      </c>
      <c r="K4943">
        <v>15000</v>
      </c>
      <c r="L4943">
        <v>14580000</v>
      </c>
      <c r="M4943">
        <v>14565000</v>
      </c>
      <c r="N4943">
        <v>14580000</v>
      </c>
      <c r="O4943">
        <v>14565000</v>
      </c>
      <c r="P4943">
        <v>14580000</v>
      </c>
      <c r="Q4943">
        <v>14565000</v>
      </c>
      <c r="R4943" s="14">
        <f>_xlfn.XLOOKUP(Table2[[#This Row],[LoanID]],Table1[G-L ID],Table1[ManagerCode],-99)</f>
        <v>119</v>
      </c>
      <c r="T4943"/>
    </row>
    <row r="4944" spans="1:20" x14ac:dyDescent="0.25">
      <c r="A4944">
        <v>20160930</v>
      </c>
      <c r="B4944">
        <v>2016</v>
      </c>
      <c r="C4944">
        <v>9</v>
      </c>
      <c r="D4944">
        <v>1</v>
      </c>
      <c r="E4944">
        <v>11720</v>
      </c>
      <c r="F4944">
        <v>129166.67</v>
      </c>
      <c r="G4944">
        <v>0</v>
      </c>
      <c r="H4944">
        <v>0</v>
      </c>
      <c r="I4944">
        <v>0</v>
      </c>
      <c r="J4944">
        <v>0</v>
      </c>
      <c r="K4944">
        <v>0</v>
      </c>
      <c r="L4944">
        <v>19800000</v>
      </c>
      <c r="M4944">
        <v>19800000</v>
      </c>
      <c r="N4944">
        <v>19800000</v>
      </c>
      <c r="O4944">
        <v>19800000</v>
      </c>
      <c r="P4944">
        <v>20000000</v>
      </c>
      <c r="Q4944">
        <v>20000000</v>
      </c>
      <c r="R4944" s="14">
        <f>_xlfn.XLOOKUP(Table2[[#This Row],[LoanID]],Table1[G-L ID],Table1[ManagerCode],-99)</f>
        <v>103</v>
      </c>
      <c r="T4944"/>
    </row>
    <row r="4945" spans="1:20" x14ac:dyDescent="0.25">
      <c r="A4945">
        <v>20160930</v>
      </c>
      <c r="B4945">
        <v>2016</v>
      </c>
      <c r="C4945">
        <v>9</v>
      </c>
      <c r="D4945">
        <v>1</v>
      </c>
      <c r="E4945">
        <v>11730</v>
      </c>
      <c r="F4945">
        <v>48347.48</v>
      </c>
      <c r="G4945">
        <v>0</v>
      </c>
      <c r="H4945">
        <v>0</v>
      </c>
      <c r="I4945">
        <v>0</v>
      </c>
      <c r="J4945">
        <v>0</v>
      </c>
      <c r="K4945">
        <v>0</v>
      </c>
      <c r="L4945">
        <v>5750000</v>
      </c>
      <c r="M4945">
        <v>5750000</v>
      </c>
      <c r="N4945">
        <v>5750000</v>
      </c>
      <c r="O4945">
        <v>5750000</v>
      </c>
      <c r="P4945">
        <v>5750000</v>
      </c>
      <c r="Q4945">
        <v>5750000</v>
      </c>
      <c r="R4945" s="14">
        <f>_xlfn.XLOOKUP(Table2[[#This Row],[LoanID]],Table1[G-L ID],Table1[ManagerCode],-99)</f>
        <v>119</v>
      </c>
      <c r="T4945"/>
    </row>
    <row r="4946" spans="1:20" x14ac:dyDescent="0.25">
      <c r="A4946">
        <v>20160930</v>
      </c>
      <c r="B4946">
        <v>2016</v>
      </c>
      <c r="C4946">
        <v>9</v>
      </c>
      <c r="D4946">
        <v>1</v>
      </c>
      <c r="E4946">
        <v>11750</v>
      </c>
      <c r="F4946">
        <v>127666.58</v>
      </c>
      <c r="G4946">
        <v>112144.47</v>
      </c>
      <c r="H4946">
        <v>0</v>
      </c>
      <c r="I4946">
        <v>0</v>
      </c>
      <c r="J4946">
        <v>-127666.58</v>
      </c>
      <c r="K4946">
        <v>0</v>
      </c>
      <c r="L4946">
        <v>30734432.620000001</v>
      </c>
      <c r="M4946">
        <v>30974243.670000002</v>
      </c>
      <c r="N4946">
        <v>30734432.620000001</v>
      </c>
      <c r="O4946">
        <v>30974243.670000002</v>
      </c>
      <c r="P4946">
        <v>30734432.620000001</v>
      </c>
      <c r="Q4946">
        <v>30974243.670000002</v>
      </c>
      <c r="R4946" s="14">
        <f>_xlfn.XLOOKUP(Table2[[#This Row],[LoanID]],Table1[G-L ID],Table1[ManagerCode],-99)</f>
        <v>183</v>
      </c>
      <c r="T4946"/>
    </row>
    <row r="4947" spans="1:20" x14ac:dyDescent="0.25">
      <c r="A4947">
        <v>20160930</v>
      </c>
      <c r="B4947">
        <v>2016</v>
      </c>
      <c r="C4947">
        <v>9</v>
      </c>
      <c r="D4947">
        <v>1</v>
      </c>
      <c r="E4947">
        <v>11810</v>
      </c>
      <c r="F4947">
        <v>48285.41</v>
      </c>
      <c r="G4947">
        <v>0</v>
      </c>
      <c r="H4947">
        <v>0</v>
      </c>
      <c r="I4947">
        <v>0</v>
      </c>
      <c r="J4947">
        <v>0</v>
      </c>
      <c r="K4947">
        <v>12572.68</v>
      </c>
      <c r="L4947">
        <v>9342519.6799999997</v>
      </c>
      <c r="M4947">
        <v>9330072.7400000002</v>
      </c>
      <c r="N4947">
        <v>9342519.6799999997</v>
      </c>
      <c r="O4947">
        <v>9330072.7400000002</v>
      </c>
      <c r="P4947">
        <v>9341536.6400000006</v>
      </c>
      <c r="Q4947">
        <v>9328963.9600000009</v>
      </c>
      <c r="R4947" s="14">
        <f>_xlfn.XLOOKUP(Table2[[#This Row],[LoanID]],Table1[G-L ID],Table1[ManagerCode],-99)</f>
        <v>103</v>
      </c>
      <c r="T4947"/>
    </row>
    <row r="4948" spans="1:20" x14ac:dyDescent="0.25">
      <c r="A4948">
        <v>20160930</v>
      </c>
      <c r="B4948">
        <v>2016</v>
      </c>
      <c r="C4948">
        <v>9</v>
      </c>
      <c r="D4948">
        <v>1</v>
      </c>
      <c r="E4948">
        <v>11830</v>
      </c>
      <c r="F4948">
        <v>66765.179999999993</v>
      </c>
      <c r="G4948">
        <v>0</v>
      </c>
      <c r="H4948">
        <v>0</v>
      </c>
      <c r="I4948">
        <v>0</v>
      </c>
      <c r="J4948">
        <v>0</v>
      </c>
      <c r="K4948">
        <v>0</v>
      </c>
      <c r="L4948">
        <v>6775000</v>
      </c>
      <c r="M4948">
        <v>6775000</v>
      </c>
      <c r="N4948">
        <v>6775000</v>
      </c>
      <c r="O4948">
        <v>6775000</v>
      </c>
      <c r="P4948">
        <v>6775000</v>
      </c>
      <c r="Q4948">
        <v>6775000</v>
      </c>
      <c r="R4948" s="14">
        <f>_xlfn.XLOOKUP(Table2[[#This Row],[LoanID]],Table1[G-L ID],Table1[ManagerCode],-99)</f>
        <v>119</v>
      </c>
      <c r="T4948"/>
    </row>
    <row r="4949" spans="1:20" x14ac:dyDescent="0.25">
      <c r="A4949">
        <v>20160930</v>
      </c>
      <c r="B4949">
        <v>2016</v>
      </c>
      <c r="C4949">
        <v>9</v>
      </c>
      <c r="D4949">
        <v>1</v>
      </c>
      <c r="E4949">
        <v>11850</v>
      </c>
      <c r="F4949">
        <v>95511.52</v>
      </c>
      <c r="G4949">
        <v>0</v>
      </c>
      <c r="H4949">
        <v>0</v>
      </c>
      <c r="I4949">
        <v>0</v>
      </c>
      <c r="J4949">
        <v>0</v>
      </c>
      <c r="K4949">
        <v>0</v>
      </c>
      <c r="L4949">
        <v>9000000</v>
      </c>
      <c r="M4949">
        <v>9000000</v>
      </c>
      <c r="N4949">
        <v>9000000</v>
      </c>
      <c r="O4949">
        <v>9000000</v>
      </c>
      <c r="P4949">
        <v>9000000</v>
      </c>
      <c r="Q4949">
        <v>9000000</v>
      </c>
      <c r="R4949" s="14">
        <f>_xlfn.XLOOKUP(Table2[[#This Row],[LoanID]],Table1[G-L ID],Table1[ManagerCode],-99)</f>
        <v>183</v>
      </c>
      <c r="T4949"/>
    </row>
    <row r="4950" spans="1:20" x14ac:dyDescent="0.25">
      <c r="A4950">
        <v>20160930</v>
      </c>
      <c r="B4950">
        <v>2016</v>
      </c>
      <c r="C4950">
        <v>9</v>
      </c>
      <c r="D4950">
        <v>1</v>
      </c>
      <c r="E4950">
        <v>11980</v>
      </c>
      <c r="F4950">
        <v>67145.02</v>
      </c>
      <c r="G4950">
        <v>0</v>
      </c>
      <c r="H4950">
        <v>0</v>
      </c>
      <c r="I4950">
        <v>0</v>
      </c>
      <c r="J4950">
        <v>0</v>
      </c>
      <c r="K4950">
        <v>0</v>
      </c>
      <c r="L4950">
        <v>7400000</v>
      </c>
      <c r="M4950">
        <v>7400000</v>
      </c>
      <c r="N4950">
        <v>7400000</v>
      </c>
      <c r="O4950">
        <v>7400000</v>
      </c>
      <c r="P4950">
        <v>7400000</v>
      </c>
      <c r="Q4950">
        <v>7400000</v>
      </c>
      <c r="R4950" s="14">
        <f>_xlfn.XLOOKUP(Table2[[#This Row],[LoanID]],Table1[G-L ID],Table1[ManagerCode],-99)</f>
        <v>119</v>
      </c>
      <c r="T4950"/>
    </row>
    <row r="4951" spans="1:20" x14ac:dyDescent="0.25">
      <c r="A4951">
        <v>20160930</v>
      </c>
      <c r="B4951">
        <v>2016</v>
      </c>
      <c r="C4951">
        <v>9</v>
      </c>
      <c r="D4951">
        <v>1</v>
      </c>
      <c r="E4951">
        <v>11990</v>
      </c>
      <c r="F4951">
        <v>104676.67</v>
      </c>
      <c r="G4951">
        <v>0</v>
      </c>
      <c r="H4951">
        <v>0</v>
      </c>
      <c r="I4951">
        <v>0</v>
      </c>
      <c r="J4951">
        <v>0</v>
      </c>
      <c r="K4951">
        <v>0</v>
      </c>
      <c r="L4951">
        <v>14700000</v>
      </c>
      <c r="M4951">
        <v>14700000</v>
      </c>
      <c r="N4951">
        <v>14700000</v>
      </c>
      <c r="O4951">
        <v>14700000</v>
      </c>
      <c r="P4951">
        <v>15000000</v>
      </c>
      <c r="Q4951">
        <v>15000000</v>
      </c>
      <c r="R4951" s="14">
        <f>_xlfn.XLOOKUP(Table2[[#This Row],[LoanID]],Table1[G-L ID],Table1[ManagerCode],-99)</f>
        <v>220</v>
      </c>
      <c r="T4951"/>
    </row>
    <row r="4952" spans="1:20" x14ac:dyDescent="0.25">
      <c r="A4952">
        <v>20160930</v>
      </c>
      <c r="B4952">
        <v>2016</v>
      </c>
      <c r="C4952">
        <v>9</v>
      </c>
      <c r="D4952">
        <v>1</v>
      </c>
      <c r="E4952">
        <v>12010</v>
      </c>
      <c r="F4952">
        <v>186540.96</v>
      </c>
      <c r="G4952">
        <v>0</v>
      </c>
      <c r="H4952">
        <v>0</v>
      </c>
      <c r="I4952">
        <v>0</v>
      </c>
      <c r="J4952">
        <v>-557428.12</v>
      </c>
      <c r="K4952">
        <v>0</v>
      </c>
      <c r="L4952">
        <v>18901337.600000001</v>
      </c>
      <c r="M4952">
        <v>19458765.719999999</v>
      </c>
      <c r="N4952">
        <v>18901337.600000001</v>
      </c>
      <c r="O4952">
        <v>19458765.719999999</v>
      </c>
      <c r="P4952">
        <v>18901337.600000001</v>
      </c>
      <c r="Q4952">
        <v>19458765.719999999</v>
      </c>
      <c r="R4952" s="14">
        <f>_xlfn.XLOOKUP(Table2[[#This Row],[LoanID]],Table1[G-L ID],Table1[ManagerCode],-99)</f>
        <v>119</v>
      </c>
      <c r="T4952"/>
    </row>
    <row r="4953" spans="1:20" x14ac:dyDescent="0.25">
      <c r="A4953">
        <v>20160930</v>
      </c>
      <c r="B4953">
        <v>2016</v>
      </c>
      <c r="C4953">
        <v>9</v>
      </c>
      <c r="D4953">
        <v>1</v>
      </c>
      <c r="E4953">
        <v>12030</v>
      </c>
      <c r="F4953">
        <v>0</v>
      </c>
      <c r="G4953">
        <v>0</v>
      </c>
      <c r="H4953">
        <v>0</v>
      </c>
      <c r="I4953">
        <v>0</v>
      </c>
      <c r="J4953">
        <v>-6375000</v>
      </c>
      <c r="K4953">
        <v>0</v>
      </c>
      <c r="L4953">
        <v>0</v>
      </c>
      <c r="M4953">
        <v>6375000</v>
      </c>
      <c r="N4953">
        <v>0</v>
      </c>
      <c r="O4953">
        <v>6375000</v>
      </c>
      <c r="P4953">
        <v>0</v>
      </c>
      <c r="Q4953">
        <v>6375000</v>
      </c>
      <c r="R4953" s="14">
        <f>_xlfn.XLOOKUP(Table2[[#This Row],[LoanID]],Table1[G-L ID],Table1[ManagerCode],-99)</f>
        <v>119</v>
      </c>
      <c r="T4953"/>
    </row>
    <row r="4954" spans="1:20" x14ac:dyDescent="0.25">
      <c r="A4954">
        <v>20160930</v>
      </c>
      <c r="B4954">
        <v>2016</v>
      </c>
      <c r="C4954">
        <v>9</v>
      </c>
      <c r="D4954">
        <v>1</v>
      </c>
      <c r="E4954">
        <v>12160</v>
      </c>
      <c r="F4954">
        <v>90905.279999999999</v>
      </c>
      <c r="G4954">
        <v>0</v>
      </c>
      <c r="H4954">
        <v>0</v>
      </c>
      <c r="I4954">
        <v>0</v>
      </c>
      <c r="J4954">
        <v>0</v>
      </c>
      <c r="K4954">
        <v>0</v>
      </c>
      <c r="L4954">
        <v>18350446.640000001</v>
      </c>
      <c r="M4954">
        <v>18350446.640000001</v>
      </c>
      <c r="N4954">
        <v>18350446.640000001</v>
      </c>
      <c r="O4954">
        <v>18350446.640000001</v>
      </c>
      <c r="P4954">
        <v>18350446.640000001</v>
      </c>
      <c r="Q4954">
        <v>18350446.640000001</v>
      </c>
      <c r="R4954" s="14">
        <f>_xlfn.XLOOKUP(Table2[[#This Row],[LoanID]],Table1[G-L ID],Table1[ManagerCode],-99)</f>
        <v>183</v>
      </c>
      <c r="T4954"/>
    </row>
    <row r="4955" spans="1:20" x14ac:dyDescent="0.25">
      <c r="A4955">
        <v>20160930</v>
      </c>
      <c r="B4955">
        <v>2016</v>
      </c>
      <c r="C4955">
        <v>9</v>
      </c>
      <c r="D4955">
        <v>1</v>
      </c>
      <c r="E4955">
        <v>12180</v>
      </c>
      <c r="F4955">
        <v>241352.22</v>
      </c>
      <c r="G4955">
        <v>0</v>
      </c>
      <c r="H4955">
        <v>0</v>
      </c>
      <c r="I4955">
        <v>0</v>
      </c>
      <c r="J4955">
        <v>0</v>
      </c>
      <c r="K4955">
        <v>0</v>
      </c>
      <c r="L4955">
        <v>35000000</v>
      </c>
      <c r="M4955">
        <v>35000000</v>
      </c>
      <c r="N4955">
        <v>35000000</v>
      </c>
      <c r="O4955">
        <v>35000000</v>
      </c>
      <c r="P4955">
        <v>35000000</v>
      </c>
      <c r="Q4955">
        <v>35000000</v>
      </c>
      <c r="R4955" s="14">
        <f>_xlfn.XLOOKUP(Table2[[#This Row],[LoanID]],Table1[G-L ID],Table1[ManagerCode],-99)</f>
        <v>220</v>
      </c>
      <c r="T4955"/>
    </row>
    <row r="4956" spans="1:20" x14ac:dyDescent="0.25">
      <c r="A4956">
        <v>20160930</v>
      </c>
      <c r="B4956">
        <v>2016</v>
      </c>
      <c r="C4956">
        <v>9</v>
      </c>
      <c r="D4956">
        <v>1</v>
      </c>
      <c r="E4956">
        <v>12190</v>
      </c>
      <c r="F4956">
        <v>269726</v>
      </c>
      <c r="G4956">
        <v>0</v>
      </c>
      <c r="H4956">
        <v>0</v>
      </c>
      <c r="I4956">
        <v>0</v>
      </c>
      <c r="J4956">
        <v>0</v>
      </c>
      <c r="K4956">
        <v>0</v>
      </c>
      <c r="L4956">
        <v>34383117</v>
      </c>
      <c r="M4956">
        <v>34383117</v>
      </c>
      <c r="N4956">
        <v>34383117</v>
      </c>
      <c r="O4956">
        <v>34383117</v>
      </c>
      <c r="P4956">
        <v>34383117</v>
      </c>
      <c r="Q4956">
        <v>34383117</v>
      </c>
      <c r="R4956" s="14">
        <f>_xlfn.XLOOKUP(Table2[[#This Row],[LoanID]],Table1[G-L ID],Table1[ManagerCode],-99)</f>
        <v>220</v>
      </c>
      <c r="T4956"/>
    </row>
    <row r="4957" spans="1:20" x14ac:dyDescent="0.25">
      <c r="A4957">
        <v>20160930</v>
      </c>
      <c r="B4957">
        <v>2016</v>
      </c>
      <c r="C4957">
        <v>9</v>
      </c>
      <c r="D4957">
        <v>1</v>
      </c>
      <c r="E4957">
        <v>12210</v>
      </c>
      <c r="F4957">
        <v>647060.38</v>
      </c>
      <c r="G4957">
        <v>0</v>
      </c>
      <c r="H4957">
        <v>0</v>
      </c>
      <c r="I4957">
        <v>0</v>
      </c>
      <c r="J4957">
        <v>0</v>
      </c>
      <c r="K4957">
        <v>247482.7</v>
      </c>
      <c r="L4957">
        <v>110718459.7</v>
      </c>
      <c r="M4957">
        <v>110058125.7</v>
      </c>
      <c r="N4957">
        <v>110718459.7</v>
      </c>
      <c r="O4957">
        <v>110058125.7</v>
      </c>
      <c r="P4957">
        <v>104695413</v>
      </c>
      <c r="Q4957">
        <v>104447930.3</v>
      </c>
      <c r="R4957" s="14">
        <f>_xlfn.XLOOKUP(Table2[[#This Row],[LoanID]],Table1[G-L ID],Table1[ManagerCode],-99)</f>
        <v>103</v>
      </c>
      <c r="T4957"/>
    </row>
    <row r="4958" spans="1:20" x14ac:dyDescent="0.25">
      <c r="A4958">
        <v>20160930</v>
      </c>
      <c r="B4958">
        <v>2016</v>
      </c>
      <c r="C4958">
        <v>9</v>
      </c>
      <c r="D4958">
        <v>1</v>
      </c>
      <c r="E4958">
        <v>12230</v>
      </c>
      <c r="F4958">
        <v>109086.45</v>
      </c>
      <c r="G4958">
        <v>0</v>
      </c>
      <c r="H4958">
        <v>0</v>
      </c>
      <c r="I4958">
        <v>0</v>
      </c>
      <c r="J4958">
        <v>0</v>
      </c>
      <c r="K4958">
        <v>0</v>
      </c>
      <c r="L4958">
        <v>20420768.75</v>
      </c>
      <c r="M4958">
        <v>20420768.75</v>
      </c>
      <c r="N4958">
        <v>13905316.25</v>
      </c>
      <c r="O4958">
        <v>13905316.25</v>
      </c>
      <c r="P4958">
        <v>20420768.75</v>
      </c>
      <c r="Q4958">
        <v>20420768.75</v>
      </c>
      <c r="R4958" s="14">
        <f>_xlfn.XLOOKUP(Table2[[#This Row],[LoanID]],Table1[G-L ID],Table1[ManagerCode],-99)</f>
        <v>183</v>
      </c>
      <c r="T4958"/>
    </row>
    <row r="4959" spans="1:20" x14ac:dyDescent="0.25">
      <c r="A4959">
        <v>20160930</v>
      </c>
      <c r="B4959">
        <v>2016</v>
      </c>
      <c r="C4959">
        <v>9</v>
      </c>
      <c r="D4959">
        <v>1</v>
      </c>
      <c r="E4959">
        <v>12240</v>
      </c>
      <c r="F4959">
        <v>0</v>
      </c>
      <c r="G4959">
        <v>1590954.12</v>
      </c>
      <c r="H4959">
        <v>0</v>
      </c>
      <c r="I4959">
        <v>0</v>
      </c>
      <c r="J4959">
        <v>0</v>
      </c>
      <c r="K4959">
        <v>0</v>
      </c>
      <c r="L4959">
        <v>143007112.30000001</v>
      </c>
      <c r="M4959">
        <v>144598066.40000001</v>
      </c>
      <c r="N4959">
        <v>143007112.30000001</v>
      </c>
      <c r="O4959">
        <v>144598066.40000001</v>
      </c>
      <c r="P4959">
        <v>143007112.30000001</v>
      </c>
      <c r="Q4959">
        <v>144598066.40000001</v>
      </c>
      <c r="R4959" s="14">
        <f>_xlfn.XLOOKUP(Table2[[#This Row],[LoanID]],Table1[G-L ID],Table1[ManagerCode],-99)</f>
        <v>183</v>
      </c>
      <c r="T4959"/>
    </row>
    <row r="4960" spans="1:20" x14ac:dyDescent="0.25">
      <c r="A4960">
        <v>20160930</v>
      </c>
      <c r="B4960">
        <v>2016</v>
      </c>
      <c r="C4960">
        <v>9</v>
      </c>
      <c r="D4960">
        <v>1</v>
      </c>
      <c r="E4960">
        <v>12410</v>
      </c>
      <c r="F4960">
        <v>0</v>
      </c>
      <c r="G4960">
        <v>0</v>
      </c>
      <c r="H4960">
        <v>0</v>
      </c>
      <c r="I4960">
        <v>0</v>
      </c>
      <c r="J4960">
        <v>-75000000</v>
      </c>
      <c r="K4960">
        <v>0</v>
      </c>
      <c r="L4960">
        <v>0</v>
      </c>
      <c r="M4960">
        <v>75000000</v>
      </c>
      <c r="N4960">
        <v>0</v>
      </c>
      <c r="O4960">
        <v>75000000</v>
      </c>
      <c r="P4960">
        <v>0</v>
      </c>
      <c r="Q4960">
        <v>75000000</v>
      </c>
      <c r="R4960" s="14">
        <f>_xlfn.XLOOKUP(Table2[[#This Row],[LoanID]],Table1[G-L ID],Table1[ManagerCode],-99)</f>
        <v>103</v>
      </c>
      <c r="T4960"/>
    </row>
    <row r="4961" spans="1:20" x14ac:dyDescent="0.25">
      <c r="A4961">
        <v>20160930</v>
      </c>
      <c r="B4961">
        <v>2016</v>
      </c>
      <c r="C4961">
        <v>9</v>
      </c>
      <c r="D4961">
        <v>1</v>
      </c>
      <c r="E4961">
        <v>13630</v>
      </c>
      <c r="F4961">
        <v>218506.94</v>
      </c>
      <c r="G4961">
        <v>0</v>
      </c>
      <c r="H4961">
        <v>0</v>
      </c>
      <c r="I4961">
        <v>0</v>
      </c>
      <c r="J4961">
        <v>0</v>
      </c>
      <c r="K4961">
        <v>0</v>
      </c>
      <c r="L4961">
        <v>33468087</v>
      </c>
      <c r="M4961">
        <v>33468087</v>
      </c>
      <c r="N4961">
        <v>33468087</v>
      </c>
      <c r="O4961">
        <v>33468087</v>
      </c>
      <c r="P4961">
        <v>35000000</v>
      </c>
      <c r="Q4961">
        <v>35000000</v>
      </c>
      <c r="R4961" s="14">
        <f>_xlfn.XLOOKUP(Table2[[#This Row],[LoanID]],Table1[G-L ID],Table1[ManagerCode],-99)</f>
        <v>298</v>
      </c>
      <c r="T4961"/>
    </row>
    <row r="4962" spans="1:20" x14ac:dyDescent="0.25">
      <c r="A4962">
        <v>20160930</v>
      </c>
      <c r="B4962">
        <v>2016</v>
      </c>
      <c r="C4962">
        <v>9</v>
      </c>
      <c r="D4962">
        <v>1</v>
      </c>
      <c r="E4962">
        <v>13660</v>
      </c>
      <c r="F4962">
        <v>117972.22</v>
      </c>
      <c r="G4962">
        <v>0</v>
      </c>
      <c r="H4962">
        <v>0</v>
      </c>
      <c r="I4962">
        <v>0</v>
      </c>
      <c r="J4962">
        <v>0</v>
      </c>
      <c r="K4962">
        <v>0</v>
      </c>
      <c r="L4962">
        <v>20000000</v>
      </c>
      <c r="M4962">
        <v>20000000</v>
      </c>
      <c r="N4962">
        <v>20000000</v>
      </c>
      <c r="O4962">
        <v>20000000</v>
      </c>
      <c r="P4962">
        <v>20000000</v>
      </c>
      <c r="Q4962">
        <v>20000000</v>
      </c>
      <c r="R4962" s="14">
        <f>_xlfn.XLOOKUP(Table2[[#This Row],[LoanID]],Table1[G-L ID],Table1[ManagerCode],-99)</f>
        <v>298</v>
      </c>
      <c r="T4962"/>
    </row>
    <row r="4963" spans="1:20" x14ac:dyDescent="0.25">
      <c r="A4963">
        <v>20160930</v>
      </c>
      <c r="B4963">
        <v>2016</v>
      </c>
      <c r="C4963">
        <v>9</v>
      </c>
      <c r="D4963">
        <v>1</v>
      </c>
      <c r="E4963">
        <v>13670</v>
      </c>
      <c r="F4963">
        <v>290883.33</v>
      </c>
      <c r="G4963">
        <v>0</v>
      </c>
      <c r="H4963">
        <v>0</v>
      </c>
      <c r="I4963">
        <v>0</v>
      </c>
      <c r="J4963">
        <v>0</v>
      </c>
      <c r="K4963">
        <v>0</v>
      </c>
      <c r="L4963">
        <v>37369414</v>
      </c>
      <c r="M4963">
        <v>37369414</v>
      </c>
      <c r="N4963">
        <v>37369414</v>
      </c>
      <c r="O4963">
        <v>37369414</v>
      </c>
      <c r="P4963">
        <v>37500000</v>
      </c>
      <c r="Q4963">
        <v>37500000</v>
      </c>
      <c r="R4963" s="14">
        <f>_xlfn.XLOOKUP(Table2[[#This Row],[LoanID]],Table1[G-L ID],Table1[ManagerCode],-99)</f>
        <v>298</v>
      </c>
      <c r="T4963"/>
    </row>
    <row r="4964" spans="1:20" x14ac:dyDescent="0.25">
      <c r="A4964">
        <v>20160930</v>
      </c>
      <c r="B4964">
        <v>2016</v>
      </c>
      <c r="C4964">
        <v>9</v>
      </c>
      <c r="D4964">
        <v>1</v>
      </c>
      <c r="E4964">
        <v>13680</v>
      </c>
      <c r="F4964">
        <v>148218.75</v>
      </c>
      <c r="G4964">
        <v>0</v>
      </c>
      <c r="H4964">
        <v>0</v>
      </c>
      <c r="I4964">
        <v>0</v>
      </c>
      <c r="J4964">
        <v>0</v>
      </c>
      <c r="K4964">
        <v>0</v>
      </c>
      <c r="L4964">
        <v>18283364</v>
      </c>
      <c r="M4964">
        <v>18283364</v>
      </c>
      <c r="N4964">
        <v>18283364</v>
      </c>
      <c r="O4964">
        <v>18283364</v>
      </c>
      <c r="P4964">
        <v>18000000</v>
      </c>
      <c r="Q4964">
        <v>18000000</v>
      </c>
      <c r="R4964" s="14">
        <f>_xlfn.XLOOKUP(Table2[[#This Row],[LoanID]],Table1[G-L ID],Table1[ManagerCode],-99)</f>
        <v>298</v>
      </c>
      <c r="T4964"/>
    </row>
    <row r="4965" spans="1:20" x14ac:dyDescent="0.25">
      <c r="A4965">
        <v>20160930</v>
      </c>
      <c r="B4965">
        <v>2016</v>
      </c>
      <c r="C4965">
        <v>9</v>
      </c>
      <c r="D4965">
        <v>1</v>
      </c>
      <c r="E4965">
        <v>13690</v>
      </c>
      <c r="F4965">
        <v>133472.22</v>
      </c>
      <c r="G4965">
        <v>0</v>
      </c>
      <c r="H4965">
        <v>0</v>
      </c>
      <c r="I4965">
        <v>0</v>
      </c>
      <c r="J4965">
        <v>0</v>
      </c>
      <c r="K4965">
        <v>0</v>
      </c>
      <c r="L4965">
        <v>19169472</v>
      </c>
      <c r="M4965">
        <v>19169472</v>
      </c>
      <c r="N4965">
        <v>19169472</v>
      </c>
      <c r="O4965">
        <v>19169472</v>
      </c>
      <c r="P4965">
        <v>20000000</v>
      </c>
      <c r="Q4965">
        <v>20000000</v>
      </c>
      <c r="R4965" s="14">
        <f>_xlfn.XLOOKUP(Table2[[#This Row],[LoanID]],Table1[G-L ID],Table1[ManagerCode],-99)</f>
        <v>298</v>
      </c>
      <c r="T4965"/>
    </row>
    <row r="4966" spans="1:20" x14ac:dyDescent="0.25">
      <c r="A4966">
        <v>20160930</v>
      </c>
      <c r="B4966">
        <v>2016</v>
      </c>
      <c r="C4966">
        <v>9</v>
      </c>
      <c r="D4966">
        <v>1</v>
      </c>
      <c r="E4966">
        <v>15540</v>
      </c>
      <c r="F4966">
        <v>205562.29</v>
      </c>
      <c r="G4966">
        <v>-5493.54</v>
      </c>
      <c r="H4966">
        <v>0</v>
      </c>
      <c r="I4966">
        <v>-2260.42</v>
      </c>
      <c r="J4966">
        <v>0</v>
      </c>
      <c r="K4966">
        <v>0</v>
      </c>
      <c r="L4966">
        <v>52705562.289999999</v>
      </c>
      <c r="M4966">
        <v>52700068.75</v>
      </c>
      <c r="N4966">
        <v>52705562.289999999</v>
      </c>
      <c r="O4966">
        <v>52700068.75</v>
      </c>
      <c r="P4966">
        <v>52705562.289999999</v>
      </c>
      <c r="Q4966">
        <v>52700068.75</v>
      </c>
      <c r="R4966" s="14">
        <f>_xlfn.XLOOKUP(Table2[[#This Row],[LoanID]],Table1[G-L ID],Table1[ManagerCode],-99)</f>
        <v>212</v>
      </c>
      <c r="T4966"/>
    </row>
    <row r="4967" spans="1:20" x14ac:dyDescent="0.25">
      <c r="A4967">
        <v>20160930</v>
      </c>
      <c r="B4967">
        <v>2016</v>
      </c>
      <c r="C4967">
        <v>9</v>
      </c>
      <c r="D4967">
        <v>1</v>
      </c>
      <c r="E4967">
        <v>15580</v>
      </c>
      <c r="F4967">
        <v>117436.34</v>
      </c>
      <c r="G4967">
        <v>-3834.25</v>
      </c>
      <c r="H4967">
        <v>0</v>
      </c>
      <c r="I4967">
        <v>0</v>
      </c>
      <c r="J4967">
        <v>0</v>
      </c>
      <c r="K4967">
        <v>5964.97</v>
      </c>
      <c r="L4967">
        <v>14860969.76</v>
      </c>
      <c r="M4967">
        <v>14851170.539999999</v>
      </c>
      <c r="N4967">
        <v>14860969.76</v>
      </c>
      <c r="O4967">
        <v>14851170.539999999</v>
      </c>
      <c r="P4967">
        <v>14860969.76</v>
      </c>
      <c r="Q4967">
        <v>14851170.539999999</v>
      </c>
      <c r="R4967" s="14">
        <f>_xlfn.XLOOKUP(Table2[[#This Row],[LoanID]],Table1[G-L ID],Table1[ManagerCode],-99)</f>
        <v>212</v>
      </c>
      <c r="T4967"/>
    </row>
    <row r="4968" spans="1:20" x14ac:dyDescent="0.25">
      <c r="A4968">
        <v>20161031</v>
      </c>
      <c r="B4968">
        <v>2016</v>
      </c>
      <c r="C4968">
        <v>10</v>
      </c>
      <c r="D4968">
        <v>1</v>
      </c>
      <c r="E4968">
        <v>10010</v>
      </c>
      <c r="F4968">
        <v>158903.60999999999</v>
      </c>
      <c r="G4968">
        <v>0</v>
      </c>
      <c r="H4968">
        <v>0</v>
      </c>
      <c r="I4968">
        <v>0</v>
      </c>
      <c r="J4968">
        <v>0</v>
      </c>
      <c r="K4968">
        <v>0</v>
      </c>
      <c r="L4968">
        <v>17026755.140000001</v>
      </c>
      <c r="M4968">
        <v>17026755.140000001</v>
      </c>
      <c r="N4968">
        <v>17026755.140000001</v>
      </c>
      <c r="O4968">
        <v>17026755.140000001</v>
      </c>
      <c r="P4968">
        <v>17026755.140000001</v>
      </c>
      <c r="Q4968">
        <v>17026755.140000001</v>
      </c>
      <c r="R4968" s="14">
        <f>_xlfn.XLOOKUP(Table2[[#This Row],[LoanID]],Table1[G-L ID],Table1[ManagerCode],-99)</f>
        <v>119</v>
      </c>
      <c r="T4968"/>
    </row>
    <row r="4969" spans="1:20" x14ac:dyDescent="0.25">
      <c r="A4969">
        <v>20161031</v>
      </c>
      <c r="B4969">
        <v>2016</v>
      </c>
      <c r="C4969">
        <v>10</v>
      </c>
      <c r="D4969">
        <v>1</v>
      </c>
      <c r="E4969">
        <v>10030</v>
      </c>
      <c r="F4969">
        <v>67590.52</v>
      </c>
      <c r="G4969">
        <v>0</v>
      </c>
      <c r="H4969">
        <v>0</v>
      </c>
      <c r="I4969">
        <v>0</v>
      </c>
      <c r="J4969">
        <v>-1045787.76</v>
      </c>
      <c r="K4969">
        <v>0</v>
      </c>
      <c r="L4969">
        <v>8625167.3900000006</v>
      </c>
      <c r="M4969">
        <v>9670955.1500000004</v>
      </c>
      <c r="N4969">
        <v>8625167.3900000006</v>
      </c>
      <c r="O4969">
        <v>9670955.1500000004</v>
      </c>
      <c r="P4969">
        <v>8625167.3900000006</v>
      </c>
      <c r="Q4969">
        <v>9670955.1500000004</v>
      </c>
      <c r="R4969" s="14">
        <f>_xlfn.XLOOKUP(Table2[[#This Row],[LoanID]],Table1[G-L ID],Table1[ManagerCode],-99)</f>
        <v>119</v>
      </c>
      <c r="T4969"/>
    </row>
    <row r="4970" spans="1:20" x14ac:dyDescent="0.25">
      <c r="A4970">
        <v>20161031</v>
      </c>
      <c r="B4970">
        <v>2016</v>
      </c>
      <c r="C4970">
        <v>10</v>
      </c>
      <c r="D4970">
        <v>1</v>
      </c>
      <c r="E4970">
        <v>10040</v>
      </c>
      <c r="F4970">
        <v>43829.17</v>
      </c>
      <c r="G4970">
        <v>0</v>
      </c>
      <c r="H4970">
        <v>0</v>
      </c>
      <c r="I4970">
        <v>0</v>
      </c>
      <c r="J4970">
        <v>0</v>
      </c>
      <c r="K4970">
        <v>0</v>
      </c>
      <c r="L4970">
        <v>5000000</v>
      </c>
      <c r="M4970">
        <v>5000000</v>
      </c>
      <c r="N4970">
        <v>5000000</v>
      </c>
      <c r="O4970">
        <v>5000000</v>
      </c>
      <c r="P4970">
        <v>5000000</v>
      </c>
      <c r="Q4970">
        <v>5000000</v>
      </c>
      <c r="R4970" s="14">
        <f>_xlfn.XLOOKUP(Table2[[#This Row],[LoanID]],Table1[G-L ID],Table1[ManagerCode],-99)</f>
        <v>119</v>
      </c>
      <c r="T4970"/>
    </row>
    <row r="4971" spans="1:20" x14ac:dyDescent="0.25">
      <c r="A4971">
        <v>20161031</v>
      </c>
      <c r="B4971">
        <v>2016</v>
      </c>
      <c r="C4971">
        <v>10</v>
      </c>
      <c r="D4971">
        <v>1</v>
      </c>
      <c r="E4971">
        <v>10050</v>
      </c>
      <c r="F4971">
        <v>-149013.89000000001</v>
      </c>
      <c r="G4971">
        <v>0</v>
      </c>
      <c r="H4971">
        <v>0</v>
      </c>
      <c r="I4971">
        <v>0</v>
      </c>
      <c r="J4971">
        <v>0</v>
      </c>
      <c r="K4971">
        <v>0</v>
      </c>
      <c r="L4971">
        <v>38910267.460000001</v>
      </c>
      <c r="M4971">
        <v>38300667.130000003</v>
      </c>
      <c r="N4971">
        <v>38910267.460000001</v>
      </c>
      <c r="O4971">
        <v>38300667.130000003</v>
      </c>
      <c r="P4971">
        <v>33333334</v>
      </c>
      <c r="Q4971">
        <v>33333334</v>
      </c>
      <c r="R4971" s="14">
        <f>_xlfn.XLOOKUP(Table2[[#This Row],[LoanID]],Table1[G-L ID],Table1[ManagerCode],-99)</f>
        <v>103</v>
      </c>
      <c r="T4971"/>
    </row>
    <row r="4972" spans="1:20" x14ac:dyDescent="0.25">
      <c r="A4972">
        <v>20161031</v>
      </c>
      <c r="B4972">
        <v>2016</v>
      </c>
      <c r="C4972">
        <v>10</v>
      </c>
      <c r="D4972">
        <v>1</v>
      </c>
      <c r="E4972">
        <v>10100</v>
      </c>
      <c r="F4972">
        <v>212008.89</v>
      </c>
      <c r="G4972">
        <v>0</v>
      </c>
      <c r="H4972">
        <v>0</v>
      </c>
      <c r="I4972">
        <v>0</v>
      </c>
      <c r="J4972">
        <v>0</v>
      </c>
      <c r="K4972">
        <v>0</v>
      </c>
      <c r="L4972">
        <v>30500000</v>
      </c>
      <c r="M4972">
        <v>30500000</v>
      </c>
      <c r="N4972">
        <v>30500000</v>
      </c>
      <c r="O4972">
        <v>30500000</v>
      </c>
      <c r="P4972">
        <v>30500000</v>
      </c>
      <c r="Q4972">
        <v>30500000</v>
      </c>
      <c r="R4972" s="14">
        <f>_xlfn.XLOOKUP(Table2[[#This Row],[LoanID]],Table1[G-L ID],Table1[ManagerCode],-99)</f>
        <v>220</v>
      </c>
      <c r="T4972"/>
    </row>
    <row r="4973" spans="1:20" x14ac:dyDescent="0.25">
      <c r="A4973">
        <v>20161031</v>
      </c>
      <c r="B4973">
        <v>2016</v>
      </c>
      <c r="C4973">
        <v>10</v>
      </c>
      <c r="D4973">
        <v>1</v>
      </c>
      <c r="E4973">
        <v>10110</v>
      </c>
      <c r="F4973">
        <v>138511.67000000001</v>
      </c>
      <c r="G4973">
        <v>0</v>
      </c>
      <c r="H4973">
        <v>0</v>
      </c>
      <c r="I4973">
        <v>0</v>
      </c>
      <c r="J4973">
        <v>0</v>
      </c>
      <c r="K4973">
        <v>0</v>
      </c>
      <c r="L4973">
        <v>16400000</v>
      </c>
      <c r="M4973">
        <v>16400000</v>
      </c>
      <c r="N4973">
        <v>16400000</v>
      </c>
      <c r="O4973">
        <v>16400000</v>
      </c>
      <c r="P4973">
        <v>16400000</v>
      </c>
      <c r="Q4973">
        <v>16400000</v>
      </c>
      <c r="R4973" s="14">
        <f>_xlfn.XLOOKUP(Table2[[#This Row],[LoanID]],Table1[G-L ID],Table1[ManagerCode],-99)</f>
        <v>119</v>
      </c>
      <c r="T4973"/>
    </row>
    <row r="4974" spans="1:20" x14ac:dyDescent="0.25">
      <c r="A4974">
        <v>20161031</v>
      </c>
      <c r="B4974">
        <v>2016</v>
      </c>
      <c r="C4974">
        <v>10</v>
      </c>
      <c r="D4974">
        <v>1</v>
      </c>
      <c r="E4974">
        <v>10120</v>
      </c>
      <c r="F4974">
        <v>54636.24</v>
      </c>
      <c r="G4974">
        <v>59803.92</v>
      </c>
      <c r="H4974">
        <v>0</v>
      </c>
      <c r="I4974">
        <v>0</v>
      </c>
      <c r="J4974">
        <v>-54636.24</v>
      </c>
      <c r="K4974">
        <v>0</v>
      </c>
      <c r="L4974">
        <v>11020234.27</v>
      </c>
      <c r="M4974">
        <v>11134674.43</v>
      </c>
      <c r="N4974">
        <v>11020234.27</v>
      </c>
      <c r="O4974">
        <v>11134674.43</v>
      </c>
      <c r="P4974">
        <v>11020234.27</v>
      </c>
      <c r="Q4974">
        <v>11134674.43</v>
      </c>
      <c r="R4974" s="14">
        <f>_xlfn.XLOOKUP(Table2[[#This Row],[LoanID]],Table1[G-L ID],Table1[ManagerCode],-99)</f>
        <v>183</v>
      </c>
      <c r="T4974"/>
    </row>
    <row r="4975" spans="1:20" x14ac:dyDescent="0.25">
      <c r="A4975">
        <v>20161031</v>
      </c>
      <c r="B4975">
        <v>2016</v>
      </c>
      <c r="C4975">
        <v>10</v>
      </c>
      <c r="D4975">
        <v>1</v>
      </c>
      <c r="E4975">
        <v>10160</v>
      </c>
      <c r="F4975">
        <v>119405.09</v>
      </c>
      <c r="G4975">
        <v>0</v>
      </c>
      <c r="H4975">
        <v>0</v>
      </c>
      <c r="I4975">
        <v>0</v>
      </c>
      <c r="J4975">
        <v>0</v>
      </c>
      <c r="K4975">
        <v>0</v>
      </c>
      <c r="L4975">
        <v>15076447.77</v>
      </c>
      <c r="M4975">
        <v>15076447.77</v>
      </c>
      <c r="N4975">
        <v>15076447.77</v>
      </c>
      <c r="O4975">
        <v>15076447.77</v>
      </c>
      <c r="P4975">
        <v>15076447.77</v>
      </c>
      <c r="Q4975">
        <v>15076447.77</v>
      </c>
      <c r="R4975" s="14">
        <f>_xlfn.XLOOKUP(Table2[[#This Row],[LoanID]],Table1[G-L ID],Table1[ManagerCode],-99)</f>
        <v>119</v>
      </c>
      <c r="T4975"/>
    </row>
    <row r="4976" spans="1:20" x14ac:dyDescent="0.25">
      <c r="A4976">
        <v>20161031</v>
      </c>
      <c r="B4976">
        <v>2016</v>
      </c>
      <c r="C4976">
        <v>10</v>
      </c>
      <c r="D4976">
        <v>1</v>
      </c>
      <c r="E4976">
        <v>10220</v>
      </c>
      <c r="F4976">
        <v>0</v>
      </c>
      <c r="G4976">
        <v>0</v>
      </c>
      <c r="H4976">
        <v>0</v>
      </c>
      <c r="I4976">
        <v>0</v>
      </c>
      <c r="J4976">
        <v>0</v>
      </c>
      <c r="K4976">
        <v>0</v>
      </c>
      <c r="L4976">
        <v>117449046.3</v>
      </c>
      <c r="M4976">
        <v>116309074.40000001</v>
      </c>
      <c r="N4976">
        <v>117449046.3</v>
      </c>
      <c r="O4976">
        <v>116309074.40000001</v>
      </c>
      <c r="P4976">
        <v>100000000</v>
      </c>
      <c r="Q4976">
        <v>100000000</v>
      </c>
      <c r="R4976" s="14">
        <f>_xlfn.XLOOKUP(Table2[[#This Row],[LoanID]],Table1[G-L ID],Table1[ManagerCode],-99)</f>
        <v>103</v>
      </c>
      <c r="T4976"/>
    </row>
    <row r="4977" spans="1:20" x14ac:dyDescent="0.25">
      <c r="A4977">
        <v>20161031</v>
      </c>
      <c r="B4977">
        <v>2016</v>
      </c>
      <c r="C4977">
        <v>10</v>
      </c>
      <c r="D4977">
        <v>1</v>
      </c>
      <c r="E4977">
        <v>10240</v>
      </c>
      <c r="F4977">
        <v>88802.08</v>
      </c>
      <c r="G4977">
        <v>0</v>
      </c>
      <c r="H4977">
        <v>0</v>
      </c>
      <c r="I4977">
        <v>0</v>
      </c>
      <c r="J4977">
        <v>0</v>
      </c>
      <c r="K4977">
        <v>0</v>
      </c>
      <c r="L4977">
        <v>12500000</v>
      </c>
      <c r="M4977">
        <v>12500000</v>
      </c>
      <c r="N4977">
        <v>12500000</v>
      </c>
      <c r="O4977">
        <v>12500000</v>
      </c>
      <c r="P4977">
        <v>12500000</v>
      </c>
      <c r="Q4977">
        <v>12500000</v>
      </c>
      <c r="R4977" s="14">
        <f>_xlfn.XLOOKUP(Table2[[#This Row],[LoanID]],Table1[G-L ID],Table1[ManagerCode],-99)</f>
        <v>220</v>
      </c>
      <c r="T4977"/>
    </row>
    <row r="4978" spans="1:20" x14ac:dyDescent="0.25">
      <c r="A4978">
        <v>20161031</v>
      </c>
      <c r="B4978">
        <v>2016</v>
      </c>
      <c r="C4978">
        <v>10</v>
      </c>
      <c r="D4978">
        <v>1</v>
      </c>
      <c r="E4978">
        <v>10250</v>
      </c>
      <c r="F4978">
        <v>49187.5</v>
      </c>
      <c r="G4978">
        <v>0</v>
      </c>
      <c r="H4978">
        <v>0</v>
      </c>
      <c r="I4978">
        <v>0</v>
      </c>
      <c r="J4978">
        <v>0</v>
      </c>
      <c r="K4978">
        <v>0</v>
      </c>
      <c r="L4978">
        <v>5000000</v>
      </c>
      <c r="M4978">
        <v>5000000</v>
      </c>
      <c r="N4978">
        <v>5000000</v>
      </c>
      <c r="O4978">
        <v>5000000</v>
      </c>
      <c r="P4978">
        <v>5000000</v>
      </c>
      <c r="Q4978">
        <v>5000000</v>
      </c>
      <c r="R4978" s="14">
        <f>_xlfn.XLOOKUP(Table2[[#This Row],[LoanID]],Table1[G-L ID],Table1[ManagerCode],-99)</f>
        <v>119</v>
      </c>
      <c r="T4978"/>
    </row>
    <row r="4979" spans="1:20" x14ac:dyDescent="0.25">
      <c r="A4979">
        <v>20161031</v>
      </c>
      <c r="B4979">
        <v>2016</v>
      </c>
      <c r="C4979">
        <v>10</v>
      </c>
      <c r="D4979">
        <v>1</v>
      </c>
      <c r="E4979">
        <v>10260</v>
      </c>
      <c r="F4979">
        <v>107509.6</v>
      </c>
      <c r="G4979">
        <v>0</v>
      </c>
      <c r="H4979">
        <v>0</v>
      </c>
      <c r="I4979">
        <v>0</v>
      </c>
      <c r="J4979">
        <v>0</v>
      </c>
      <c r="K4979">
        <v>0</v>
      </c>
      <c r="L4979">
        <v>15000000</v>
      </c>
      <c r="M4979">
        <v>15000000</v>
      </c>
      <c r="N4979">
        <v>15000000</v>
      </c>
      <c r="O4979">
        <v>15000000</v>
      </c>
      <c r="P4979">
        <v>15000000</v>
      </c>
      <c r="Q4979">
        <v>15000000</v>
      </c>
      <c r="R4979" s="14">
        <f>_xlfn.XLOOKUP(Table2[[#This Row],[LoanID]],Table1[G-L ID],Table1[ManagerCode],-99)</f>
        <v>220</v>
      </c>
      <c r="T4979"/>
    </row>
    <row r="4980" spans="1:20" x14ac:dyDescent="0.25">
      <c r="A4980">
        <v>20161031</v>
      </c>
      <c r="B4980">
        <v>2016</v>
      </c>
      <c r="C4980">
        <v>10</v>
      </c>
      <c r="D4980">
        <v>1</v>
      </c>
      <c r="E4980">
        <v>10270</v>
      </c>
      <c r="F4980">
        <v>43305.85</v>
      </c>
      <c r="G4980">
        <v>0</v>
      </c>
      <c r="H4980">
        <v>0</v>
      </c>
      <c r="I4980">
        <v>0</v>
      </c>
      <c r="J4980">
        <v>0</v>
      </c>
      <c r="K4980">
        <v>0</v>
      </c>
      <c r="L4980">
        <v>5400000</v>
      </c>
      <c r="M4980">
        <v>5400000</v>
      </c>
      <c r="N4980">
        <v>5400000</v>
      </c>
      <c r="O4980">
        <v>5400000</v>
      </c>
      <c r="P4980">
        <v>5400000</v>
      </c>
      <c r="Q4980">
        <v>5400000</v>
      </c>
      <c r="R4980" s="14">
        <f>_xlfn.XLOOKUP(Table2[[#This Row],[LoanID]],Table1[G-L ID],Table1[ManagerCode],-99)</f>
        <v>119</v>
      </c>
      <c r="T4980"/>
    </row>
    <row r="4981" spans="1:20" x14ac:dyDescent="0.25">
      <c r="A4981">
        <v>20161031</v>
      </c>
      <c r="B4981">
        <v>2016</v>
      </c>
      <c r="C4981">
        <v>10</v>
      </c>
      <c r="D4981">
        <v>1</v>
      </c>
      <c r="E4981">
        <v>10330</v>
      </c>
      <c r="F4981">
        <v>120847.57</v>
      </c>
      <c r="G4981">
        <v>0</v>
      </c>
      <c r="H4981">
        <v>358700</v>
      </c>
      <c r="I4981">
        <v>0</v>
      </c>
      <c r="J4981">
        <v>-34611038.950000003</v>
      </c>
      <c r="K4981">
        <v>0</v>
      </c>
      <c r="L4981">
        <v>0</v>
      </c>
      <c r="M4981">
        <v>34611038.950000003</v>
      </c>
      <c r="N4981">
        <v>0</v>
      </c>
      <c r="O4981">
        <v>34611038.950000003</v>
      </c>
      <c r="P4981">
        <v>0</v>
      </c>
      <c r="Q4981">
        <v>34611038.950000003</v>
      </c>
      <c r="R4981" s="14">
        <f>_xlfn.XLOOKUP(Table2[[#This Row],[LoanID]],Table1[G-L ID],Table1[ManagerCode],-99)</f>
        <v>119</v>
      </c>
      <c r="T4981"/>
    </row>
    <row r="4982" spans="1:20" x14ac:dyDescent="0.25">
      <c r="A4982">
        <v>20161031</v>
      </c>
      <c r="B4982">
        <v>2016</v>
      </c>
      <c r="C4982">
        <v>10</v>
      </c>
      <c r="D4982">
        <v>1</v>
      </c>
      <c r="E4982">
        <v>10350</v>
      </c>
      <c r="F4982">
        <v>192888.89</v>
      </c>
      <c r="G4982">
        <v>0</v>
      </c>
      <c r="H4982">
        <v>0</v>
      </c>
      <c r="I4982">
        <v>0</v>
      </c>
      <c r="J4982">
        <v>0</v>
      </c>
      <c r="K4982">
        <v>0</v>
      </c>
      <c r="L4982">
        <v>24800000</v>
      </c>
      <c r="M4982">
        <v>24800000</v>
      </c>
      <c r="N4982">
        <v>24800000</v>
      </c>
      <c r="O4982">
        <v>24800000</v>
      </c>
      <c r="P4982">
        <v>24800000</v>
      </c>
      <c r="Q4982">
        <v>24800000</v>
      </c>
      <c r="R4982" s="14">
        <f>_xlfn.XLOOKUP(Table2[[#This Row],[LoanID]],Table1[G-L ID],Table1[ManagerCode],-99)</f>
        <v>220</v>
      </c>
      <c r="T4982"/>
    </row>
    <row r="4983" spans="1:20" x14ac:dyDescent="0.25">
      <c r="A4983">
        <v>20161031</v>
      </c>
      <c r="B4983">
        <v>2016</v>
      </c>
      <c r="C4983">
        <v>10</v>
      </c>
      <c r="D4983">
        <v>1</v>
      </c>
      <c r="E4983">
        <v>10360</v>
      </c>
      <c r="F4983">
        <v>57858.96</v>
      </c>
      <c r="G4983">
        <v>0</v>
      </c>
      <c r="H4983">
        <v>0</v>
      </c>
      <c r="I4983">
        <v>0</v>
      </c>
      <c r="J4983">
        <v>0</v>
      </c>
      <c r="K4983">
        <v>0</v>
      </c>
      <c r="L4983">
        <v>5909000</v>
      </c>
      <c r="M4983">
        <v>5909000</v>
      </c>
      <c r="N4983">
        <v>5909000</v>
      </c>
      <c r="O4983">
        <v>5909000</v>
      </c>
      <c r="P4983">
        <v>5909000</v>
      </c>
      <c r="Q4983">
        <v>5909000</v>
      </c>
      <c r="R4983" s="14">
        <f>_xlfn.XLOOKUP(Table2[[#This Row],[LoanID]],Table1[G-L ID],Table1[ManagerCode],-99)</f>
        <v>183</v>
      </c>
      <c r="T4983"/>
    </row>
    <row r="4984" spans="1:20" x14ac:dyDescent="0.25">
      <c r="A4984">
        <v>20161031</v>
      </c>
      <c r="B4984">
        <v>2016</v>
      </c>
      <c r="C4984">
        <v>10</v>
      </c>
      <c r="D4984">
        <v>1</v>
      </c>
      <c r="E4984">
        <v>10410</v>
      </c>
      <c r="F4984">
        <v>54216.22</v>
      </c>
      <c r="G4984">
        <v>48136.63</v>
      </c>
      <c r="H4984">
        <v>0</v>
      </c>
      <c r="I4984">
        <v>0</v>
      </c>
      <c r="J4984">
        <v>-2808169.26</v>
      </c>
      <c r="K4984">
        <v>0</v>
      </c>
      <c r="L4984">
        <v>11602208.689999999</v>
      </c>
      <c r="M4984">
        <v>14458514.58</v>
      </c>
      <c r="N4984">
        <v>11602208.689999999</v>
      </c>
      <c r="O4984">
        <v>14458514.58</v>
      </c>
      <c r="P4984">
        <v>11602208.689999999</v>
      </c>
      <c r="Q4984">
        <v>14458514.58</v>
      </c>
      <c r="R4984" s="14">
        <f>_xlfn.XLOOKUP(Table2[[#This Row],[LoanID]],Table1[G-L ID],Table1[ManagerCode],-99)</f>
        <v>183</v>
      </c>
      <c r="T4984"/>
    </row>
    <row r="4985" spans="1:20" x14ac:dyDescent="0.25">
      <c r="A4985">
        <v>20161031</v>
      </c>
      <c r="B4985">
        <v>2016</v>
      </c>
      <c r="C4985">
        <v>10</v>
      </c>
      <c r="D4985">
        <v>1</v>
      </c>
      <c r="E4985">
        <v>10480</v>
      </c>
      <c r="F4985">
        <v>183490.86</v>
      </c>
      <c r="G4985">
        <v>0</v>
      </c>
      <c r="H4985">
        <v>0</v>
      </c>
      <c r="I4985">
        <v>0</v>
      </c>
      <c r="J4985">
        <v>-407783.11</v>
      </c>
      <c r="K4985">
        <v>0</v>
      </c>
      <c r="L4985">
        <v>26764037.739999998</v>
      </c>
      <c r="M4985">
        <v>27171820.850000001</v>
      </c>
      <c r="N4985">
        <v>26764037.739999998</v>
      </c>
      <c r="O4985">
        <v>27171820.850000001</v>
      </c>
      <c r="P4985">
        <v>26764037.739999998</v>
      </c>
      <c r="Q4985">
        <v>27171820.850000001</v>
      </c>
      <c r="R4985" s="14">
        <f>_xlfn.XLOOKUP(Table2[[#This Row],[LoanID]],Table1[G-L ID],Table1[ManagerCode],-99)</f>
        <v>119</v>
      </c>
      <c r="T4985"/>
    </row>
    <row r="4986" spans="1:20" x14ac:dyDescent="0.25">
      <c r="A4986">
        <v>20161031</v>
      </c>
      <c r="B4986">
        <v>2016</v>
      </c>
      <c r="C4986">
        <v>10</v>
      </c>
      <c r="D4986">
        <v>1</v>
      </c>
      <c r="E4986">
        <v>10500</v>
      </c>
      <c r="F4986">
        <v>275388.37</v>
      </c>
      <c r="G4986">
        <v>0</v>
      </c>
      <c r="H4986">
        <v>636612.06000000006</v>
      </c>
      <c r="I4986">
        <v>0</v>
      </c>
      <c r="J4986">
        <v>0</v>
      </c>
      <c r="K4986">
        <v>9392637</v>
      </c>
      <c r="L4986">
        <v>28604042.440000001</v>
      </c>
      <c r="M4986">
        <v>19211405.440000001</v>
      </c>
      <c r="N4986">
        <v>28604042.440000001</v>
      </c>
      <c r="O4986">
        <v>19211405.440000001</v>
      </c>
      <c r="P4986">
        <v>28604042.440000001</v>
      </c>
      <c r="Q4986">
        <v>19211405.440000001</v>
      </c>
      <c r="R4986" s="14">
        <f>_xlfn.XLOOKUP(Table2[[#This Row],[LoanID]],Table1[G-L ID],Table1[ManagerCode],-99)</f>
        <v>119</v>
      </c>
      <c r="T4986"/>
    </row>
    <row r="4987" spans="1:20" x14ac:dyDescent="0.25">
      <c r="A4987">
        <v>20161031</v>
      </c>
      <c r="B4987">
        <v>2016</v>
      </c>
      <c r="C4987">
        <v>10</v>
      </c>
      <c r="D4987">
        <v>1</v>
      </c>
      <c r="E4987">
        <v>10620</v>
      </c>
      <c r="F4987">
        <v>105315.59</v>
      </c>
      <c r="G4987">
        <v>0</v>
      </c>
      <c r="H4987">
        <v>0</v>
      </c>
      <c r="I4987">
        <v>0</v>
      </c>
      <c r="J4987">
        <v>0</v>
      </c>
      <c r="K4987">
        <v>0</v>
      </c>
      <c r="L4987">
        <v>11315131.58</v>
      </c>
      <c r="M4987">
        <v>11315131.58</v>
      </c>
      <c r="N4987">
        <v>11315131.58</v>
      </c>
      <c r="O4987">
        <v>11315131.58</v>
      </c>
      <c r="P4987">
        <v>11315131.58</v>
      </c>
      <c r="Q4987">
        <v>11315131.58</v>
      </c>
      <c r="R4987" s="14">
        <f>_xlfn.XLOOKUP(Table2[[#This Row],[LoanID]],Table1[G-L ID],Table1[ManagerCode],-99)</f>
        <v>119</v>
      </c>
      <c r="T4987"/>
    </row>
    <row r="4988" spans="1:20" x14ac:dyDescent="0.25">
      <c r="A4988">
        <v>20161031</v>
      </c>
      <c r="B4988">
        <v>2016</v>
      </c>
      <c r="C4988">
        <v>10</v>
      </c>
      <c r="D4988">
        <v>1</v>
      </c>
      <c r="E4988">
        <v>10670</v>
      </c>
      <c r="F4988">
        <v>253125</v>
      </c>
      <c r="G4988">
        <v>0</v>
      </c>
      <c r="H4988">
        <v>0</v>
      </c>
      <c r="I4988">
        <v>0</v>
      </c>
      <c r="J4988">
        <v>0</v>
      </c>
      <c r="K4988">
        <v>0</v>
      </c>
      <c r="L4988">
        <v>30000000</v>
      </c>
      <c r="M4988">
        <v>30000000</v>
      </c>
      <c r="N4988">
        <v>30000000</v>
      </c>
      <c r="O4988">
        <v>30000000</v>
      </c>
      <c r="P4988">
        <v>30000000</v>
      </c>
      <c r="Q4988">
        <v>30000000</v>
      </c>
      <c r="R4988" s="14">
        <f>_xlfn.XLOOKUP(Table2[[#This Row],[LoanID]],Table1[G-L ID],Table1[ManagerCode],-99)</f>
        <v>119</v>
      </c>
      <c r="T4988"/>
    </row>
    <row r="4989" spans="1:20" x14ac:dyDescent="0.25">
      <c r="A4989">
        <v>20161031</v>
      </c>
      <c r="B4989">
        <v>2016</v>
      </c>
      <c r="C4989">
        <v>10</v>
      </c>
      <c r="D4989">
        <v>1</v>
      </c>
      <c r="E4989">
        <v>10680</v>
      </c>
      <c r="F4989">
        <v>94411.1</v>
      </c>
      <c r="G4989">
        <v>0</v>
      </c>
      <c r="H4989">
        <v>0</v>
      </c>
      <c r="I4989">
        <v>0</v>
      </c>
      <c r="J4989">
        <v>-134801.44</v>
      </c>
      <c r="K4989">
        <v>0</v>
      </c>
      <c r="L4989">
        <v>11269155.83</v>
      </c>
      <c r="M4989">
        <v>11403957.27</v>
      </c>
      <c r="N4989">
        <v>11269155.83</v>
      </c>
      <c r="O4989">
        <v>11403957.27</v>
      </c>
      <c r="P4989">
        <v>11269155.83</v>
      </c>
      <c r="Q4989">
        <v>11403957.27</v>
      </c>
      <c r="R4989" s="14">
        <f>_xlfn.XLOOKUP(Table2[[#This Row],[LoanID]],Table1[G-L ID],Table1[ManagerCode],-99)</f>
        <v>119</v>
      </c>
      <c r="T4989"/>
    </row>
    <row r="4990" spans="1:20" x14ac:dyDescent="0.25">
      <c r="A4990">
        <v>20161031</v>
      </c>
      <c r="B4990">
        <v>2016</v>
      </c>
      <c r="C4990">
        <v>10</v>
      </c>
      <c r="D4990">
        <v>1</v>
      </c>
      <c r="E4990">
        <v>10730</v>
      </c>
      <c r="F4990">
        <v>96766.2</v>
      </c>
      <c r="G4990">
        <v>0</v>
      </c>
      <c r="H4990">
        <v>0</v>
      </c>
      <c r="I4990">
        <v>0</v>
      </c>
      <c r="J4990">
        <v>0</v>
      </c>
      <c r="K4990">
        <v>0</v>
      </c>
      <c r="L4990">
        <v>9500000</v>
      </c>
      <c r="M4990">
        <v>9500000</v>
      </c>
      <c r="N4990">
        <v>9500000</v>
      </c>
      <c r="O4990">
        <v>9500000</v>
      </c>
      <c r="P4990">
        <v>9500000</v>
      </c>
      <c r="Q4990">
        <v>9500000</v>
      </c>
      <c r="R4990" s="14">
        <f>_xlfn.XLOOKUP(Table2[[#This Row],[LoanID]],Table1[G-L ID],Table1[ManagerCode],-99)</f>
        <v>119</v>
      </c>
      <c r="T4990"/>
    </row>
    <row r="4991" spans="1:20" x14ac:dyDescent="0.25">
      <c r="A4991">
        <v>20161031</v>
      </c>
      <c r="B4991">
        <v>2016</v>
      </c>
      <c r="C4991">
        <v>10</v>
      </c>
      <c r="D4991">
        <v>1</v>
      </c>
      <c r="E4991">
        <v>10740</v>
      </c>
      <c r="F4991">
        <v>5077849.3099999996</v>
      </c>
      <c r="G4991">
        <v>0</v>
      </c>
      <c r="H4991">
        <v>0</v>
      </c>
      <c r="I4991">
        <v>0</v>
      </c>
      <c r="J4991">
        <v>0</v>
      </c>
      <c r="K4991">
        <v>20000000</v>
      </c>
      <c r="L4991">
        <v>455224852</v>
      </c>
      <c r="M4991">
        <v>436620058</v>
      </c>
      <c r="N4991">
        <v>455224852</v>
      </c>
      <c r="O4991">
        <v>436620058</v>
      </c>
      <c r="P4991">
        <v>461801475</v>
      </c>
      <c r="Q4991">
        <v>441801475</v>
      </c>
      <c r="R4991" s="14">
        <f>_xlfn.XLOOKUP(Table2[[#This Row],[LoanID]],Table1[G-L ID],Table1[ManagerCode],-99)</f>
        <v>103</v>
      </c>
      <c r="T4991"/>
    </row>
    <row r="4992" spans="1:20" x14ac:dyDescent="0.25">
      <c r="A4992">
        <v>20161031</v>
      </c>
      <c r="B4992">
        <v>2016</v>
      </c>
      <c r="C4992">
        <v>10</v>
      </c>
      <c r="D4992">
        <v>1</v>
      </c>
      <c r="E4992">
        <v>10750</v>
      </c>
      <c r="F4992">
        <v>78193.98</v>
      </c>
      <c r="G4992">
        <v>0</v>
      </c>
      <c r="H4992">
        <v>0</v>
      </c>
      <c r="I4992">
        <v>0</v>
      </c>
      <c r="J4992">
        <v>-316000.75</v>
      </c>
      <c r="K4992">
        <v>0</v>
      </c>
      <c r="L4992">
        <v>10129621.84</v>
      </c>
      <c r="M4992">
        <v>10445622.59</v>
      </c>
      <c r="N4992">
        <v>10129621.84</v>
      </c>
      <c r="O4992">
        <v>10445622.59</v>
      </c>
      <c r="P4992">
        <v>10129621.84</v>
      </c>
      <c r="Q4992">
        <v>10445622.59</v>
      </c>
      <c r="R4992" s="14">
        <f>_xlfn.XLOOKUP(Table2[[#This Row],[LoanID]],Table1[G-L ID],Table1[ManagerCode],-99)</f>
        <v>119</v>
      </c>
      <c r="T4992"/>
    </row>
    <row r="4993" spans="1:20" x14ac:dyDescent="0.25">
      <c r="A4993">
        <v>20161031</v>
      </c>
      <c r="B4993">
        <v>2016</v>
      </c>
      <c r="C4993">
        <v>10</v>
      </c>
      <c r="D4993">
        <v>1</v>
      </c>
      <c r="E4993">
        <v>10780</v>
      </c>
      <c r="F4993">
        <v>314437.5</v>
      </c>
      <c r="G4993">
        <v>0</v>
      </c>
      <c r="H4993">
        <v>107330.58</v>
      </c>
      <c r="I4993">
        <v>0</v>
      </c>
      <c r="J4993">
        <v>0</v>
      </c>
      <c r="K4993">
        <v>67769.53</v>
      </c>
      <c r="L4993">
        <v>43000000</v>
      </c>
      <c r="M4993">
        <v>42932230.469999999</v>
      </c>
      <c r="N4993">
        <v>43000000</v>
      </c>
      <c r="O4993">
        <v>42932230.469999999</v>
      </c>
      <c r="P4993">
        <v>43000000</v>
      </c>
      <c r="Q4993">
        <v>42932230.469999999</v>
      </c>
      <c r="R4993" s="14">
        <f>_xlfn.XLOOKUP(Table2[[#This Row],[LoanID]],Table1[G-L ID],Table1[ManagerCode],-99)</f>
        <v>220</v>
      </c>
      <c r="T4993"/>
    </row>
    <row r="4994" spans="1:20" x14ac:dyDescent="0.25">
      <c r="A4994">
        <v>20161031</v>
      </c>
      <c r="B4994">
        <v>2016</v>
      </c>
      <c r="C4994">
        <v>10</v>
      </c>
      <c r="D4994">
        <v>1</v>
      </c>
      <c r="E4994">
        <v>10800</v>
      </c>
      <c r="F4994">
        <v>401000</v>
      </c>
      <c r="G4994">
        <v>0</v>
      </c>
      <c r="H4994">
        <v>0</v>
      </c>
      <c r="I4994">
        <v>0</v>
      </c>
      <c r="J4994">
        <v>0</v>
      </c>
      <c r="K4994">
        <v>0</v>
      </c>
      <c r="L4994">
        <v>48000000</v>
      </c>
      <c r="M4994">
        <v>48000000</v>
      </c>
      <c r="N4994">
        <v>48000000</v>
      </c>
      <c r="O4994">
        <v>48000000</v>
      </c>
      <c r="P4994">
        <v>48000000</v>
      </c>
      <c r="Q4994">
        <v>48000000</v>
      </c>
      <c r="R4994" s="14">
        <f>_xlfn.XLOOKUP(Table2[[#This Row],[LoanID]],Table1[G-L ID],Table1[ManagerCode],-99)</f>
        <v>220</v>
      </c>
      <c r="T4994"/>
    </row>
    <row r="4995" spans="1:20" x14ac:dyDescent="0.25">
      <c r="A4995">
        <v>20161031</v>
      </c>
      <c r="B4995">
        <v>2016</v>
      </c>
      <c r="C4995">
        <v>10</v>
      </c>
      <c r="D4995">
        <v>1</v>
      </c>
      <c r="E4995">
        <v>10810</v>
      </c>
      <c r="F4995">
        <v>81795.03</v>
      </c>
      <c r="G4995">
        <v>0</v>
      </c>
      <c r="H4995">
        <v>0</v>
      </c>
      <c r="I4995">
        <v>0</v>
      </c>
      <c r="J4995">
        <v>0</v>
      </c>
      <c r="K4995">
        <v>0</v>
      </c>
      <c r="L4995">
        <v>9905000</v>
      </c>
      <c r="M4995">
        <v>9905000</v>
      </c>
      <c r="N4995">
        <v>9905000</v>
      </c>
      <c r="O4995">
        <v>9905000</v>
      </c>
      <c r="P4995">
        <v>9905000</v>
      </c>
      <c r="Q4995">
        <v>9905000</v>
      </c>
      <c r="R4995" s="14">
        <f>_xlfn.XLOOKUP(Table2[[#This Row],[LoanID]],Table1[G-L ID],Table1[ManagerCode],-99)</f>
        <v>119</v>
      </c>
      <c r="T4995"/>
    </row>
    <row r="4996" spans="1:20" x14ac:dyDescent="0.25">
      <c r="A4996">
        <v>20161031</v>
      </c>
      <c r="B4996">
        <v>2016</v>
      </c>
      <c r="C4996">
        <v>10</v>
      </c>
      <c r="D4996">
        <v>1</v>
      </c>
      <c r="E4996">
        <v>10820</v>
      </c>
      <c r="F4996">
        <v>191008.09</v>
      </c>
      <c r="G4996">
        <v>0</v>
      </c>
      <c r="H4996">
        <v>0</v>
      </c>
      <c r="I4996">
        <v>0</v>
      </c>
      <c r="J4996">
        <v>0</v>
      </c>
      <c r="K4996">
        <v>0</v>
      </c>
      <c r="L4996">
        <v>24344483.780000001</v>
      </c>
      <c r="M4996">
        <v>24344483.780000001</v>
      </c>
      <c r="N4996">
        <v>24344483.780000001</v>
      </c>
      <c r="O4996">
        <v>24344483.780000001</v>
      </c>
      <c r="P4996">
        <v>24127337.739999998</v>
      </c>
      <c r="Q4996">
        <v>24127337.739999998</v>
      </c>
      <c r="R4996" s="14">
        <f>_xlfn.XLOOKUP(Table2[[#This Row],[LoanID]],Table1[G-L ID],Table1[ManagerCode],-99)</f>
        <v>220</v>
      </c>
      <c r="T4996"/>
    </row>
    <row r="4997" spans="1:20" x14ac:dyDescent="0.25">
      <c r="A4997">
        <v>20161031</v>
      </c>
      <c r="B4997">
        <v>2016</v>
      </c>
      <c r="C4997">
        <v>10</v>
      </c>
      <c r="D4997">
        <v>1</v>
      </c>
      <c r="E4997">
        <v>10830</v>
      </c>
      <c r="F4997">
        <v>61797.84</v>
      </c>
      <c r="G4997">
        <v>0</v>
      </c>
      <c r="H4997">
        <v>0</v>
      </c>
      <c r="I4997">
        <v>0</v>
      </c>
      <c r="J4997">
        <v>0</v>
      </c>
      <c r="K4997">
        <v>0</v>
      </c>
      <c r="L4997">
        <v>7876297.5300000003</v>
      </c>
      <c r="M4997">
        <v>7876297.5300000003</v>
      </c>
      <c r="N4997">
        <v>7876297.5300000003</v>
      </c>
      <c r="O4997">
        <v>7876297.5300000003</v>
      </c>
      <c r="P4997">
        <v>7806043.1399999997</v>
      </c>
      <c r="Q4997">
        <v>7806043.1399999997</v>
      </c>
      <c r="R4997" s="14">
        <f>_xlfn.XLOOKUP(Table2[[#This Row],[LoanID]],Table1[G-L ID],Table1[ManagerCode],-99)</f>
        <v>220</v>
      </c>
      <c r="T4997"/>
    </row>
    <row r="4998" spans="1:20" x14ac:dyDescent="0.25">
      <c r="A4998">
        <v>20161031</v>
      </c>
      <c r="B4998">
        <v>2016</v>
      </c>
      <c r="C4998">
        <v>10</v>
      </c>
      <c r="D4998">
        <v>1</v>
      </c>
      <c r="E4998">
        <v>10840</v>
      </c>
      <c r="F4998">
        <v>100614.41</v>
      </c>
      <c r="G4998">
        <v>0</v>
      </c>
      <c r="H4998">
        <v>0</v>
      </c>
      <c r="I4998">
        <v>0</v>
      </c>
      <c r="J4998">
        <v>0</v>
      </c>
      <c r="K4998">
        <v>0</v>
      </c>
      <c r="L4998">
        <v>12823571.699999999</v>
      </c>
      <c r="M4998">
        <v>12823571.699999999</v>
      </c>
      <c r="N4998">
        <v>12823571.699999999</v>
      </c>
      <c r="O4998">
        <v>12823571.699999999</v>
      </c>
      <c r="P4998">
        <v>12709189</v>
      </c>
      <c r="Q4998">
        <v>12709189</v>
      </c>
      <c r="R4998" s="14">
        <f>_xlfn.XLOOKUP(Table2[[#This Row],[LoanID]],Table1[G-L ID],Table1[ManagerCode],-99)</f>
        <v>220</v>
      </c>
      <c r="T4998"/>
    </row>
    <row r="4999" spans="1:20" x14ac:dyDescent="0.25">
      <c r="A4999">
        <v>20161031</v>
      </c>
      <c r="B4999">
        <v>2016</v>
      </c>
      <c r="C4999">
        <v>10</v>
      </c>
      <c r="D4999">
        <v>1</v>
      </c>
      <c r="E4999">
        <v>10850</v>
      </c>
      <c r="F4999">
        <v>106969.15</v>
      </c>
      <c r="G4999">
        <v>0</v>
      </c>
      <c r="H4999">
        <v>0</v>
      </c>
      <c r="I4999">
        <v>0</v>
      </c>
      <c r="J4999">
        <v>0</v>
      </c>
      <c r="K4999">
        <v>0</v>
      </c>
      <c r="L4999">
        <v>13633499.029999999</v>
      </c>
      <c r="M4999">
        <v>13633499.029999999</v>
      </c>
      <c r="N4999">
        <v>13633499.029999999</v>
      </c>
      <c r="O4999">
        <v>13633499.029999999</v>
      </c>
      <c r="P4999">
        <v>13511892</v>
      </c>
      <c r="Q4999">
        <v>13511892</v>
      </c>
      <c r="R4999" s="14">
        <f>_xlfn.XLOOKUP(Table2[[#This Row],[LoanID]],Table1[G-L ID],Table1[ManagerCode],-99)</f>
        <v>220</v>
      </c>
      <c r="T4999"/>
    </row>
    <row r="5000" spans="1:20" x14ac:dyDescent="0.25">
      <c r="A5000">
        <v>20161031</v>
      </c>
      <c r="B5000">
        <v>2016</v>
      </c>
      <c r="C5000">
        <v>10</v>
      </c>
      <c r="D5000">
        <v>1</v>
      </c>
      <c r="E5000">
        <v>10860</v>
      </c>
      <c r="F5000">
        <v>120010.41</v>
      </c>
      <c r="G5000">
        <v>0</v>
      </c>
      <c r="H5000">
        <v>0</v>
      </c>
      <c r="I5000">
        <v>0</v>
      </c>
      <c r="J5000">
        <v>0</v>
      </c>
      <c r="K5000">
        <v>0</v>
      </c>
      <c r="L5000">
        <v>19475000</v>
      </c>
      <c r="M5000">
        <v>19475000</v>
      </c>
      <c r="N5000">
        <v>19475000</v>
      </c>
      <c r="O5000">
        <v>19475000</v>
      </c>
      <c r="P5000">
        <v>20500000</v>
      </c>
      <c r="Q5000">
        <v>20500000</v>
      </c>
      <c r="R5000" s="14">
        <f>_xlfn.XLOOKUP(Table2[[#This Row],[LoanID]],Table1[G-L ID],Table1[ManagerCode],-99)</f>
        <v>103</v>
      </c>
      <c r="T5000"/>
    </row>
    <row r="5001" spans="1:20" x14ac:dyDescent="0.25">
      <c r="A5001">
        <v>20161031</v>
      </c>
      <c r="B5001">
        <v>2016</v>
      </c>
      <c r="C5001">
        <v>10</v>
      </c>
      <c r="D5001">
        <v>1</v>
      </c>
      <c r="E5001">
        <v>10890</v>
      </c>
      <c r="F5001">
        <v>105269.8</v>
      </c>
      <c r="G5001">
        <v>88528.98</v>
      </c>
      <c r="H5001">
        <v>0</v>
      </c>
      <c r="I5001">
        <v>0</v>
      </c>
      <c r="J5001">
        <v>-105269.8</v>
      </c>
      <c r="K5001">
        <v>0</v>
      </c>
      <c r="L5001">
        <v>21141686.030000001</v>
      </c>
      <c r="M5001">
        <v>21335484.809999999</v>
      </c>
      <c r="N5001">
        <v>21141686.030000001</v>
      </c>
      <c r="O5001">
        <v>21335484.809999999</v>
      </c>
      <c r="P5001">
        <v>21141686.030000001</v>
      </c>
      <c r="Q5001">
        <v>21335484.809999999</v>
      </c>
      <c r="R5001" s="14">
        <f>_xlfn.XLOOKUP(Table2[[#This Row],[LoanID]],Table1[G-L ID],Table1[ManagerCode],-99)</f>
        <v>183</v>
      </c>
      <c r="T5001"/>
    </row>
    <row r="5002" spans="1:20" x14ac:dyDescent="0.25">
      <c r="A5002">
        <v>20161031</v>
      </c>
      <c r="B5002">
        <v>2016</v>
      </c>
      <c r="C5002">
        <v>10</v>
      </c>
      <c r="D5002">
        <v>1</v>
      </c>
      <c r="E5002">
        <v>10910</v>
      </c>
      <c r="F5002">
        <v>206783.61</v>
      </c>
      <c r="G5002">
        <v>0</v>
      </c>
      <c r="H5002">
        <v>0</v>
      </c>
      <c r="I5002">
        <v>0</v>
      </c>
      <c r="J5002">
        <v>0</v>
      </c>
      <c r="K5002">
        <v>0</v>
      </c>
      <c r="L5002">
        <v>22500000</v>
      </c>
      <c r="M5002">
        <v>22500000</v>
      </c>
      <c r="N5002">
        <v>22500000</v>
      </c>
      <c r="O5002">
        <v>22500000</v>
      </c>
      <c r="P5002">
        <v>22500000</v>
      </c>
      <c r="Q5002">
        <v>22500000</v>
      </c>
      <c r="R5002" s="14">
        <f>_xlfn.XLOOKUP(Table2[[#This Row],[LoanID]],Table1[G-L ID],Table1[ManagerCode],-99)</f>
        <v>119</v>
      </c>
      <c r="T5002"/>
    </row>
    <row r="5003" spans="1:20" x14ac:dyDescent="0.25">
      <c r="A5003">
        <v>20161031</v>
      </c>
      <c r="B5003">
        <v>2016</v>
      </c>
      <c r="C5003">
        <v>10</v>
      </c>
      <c r="D5003">
        <v>1</v>
      </c>
      <c r="E5003">
        <v>10930</v>
      </c>
      <c r="F5003">
        <v>0</v>
      </c>
      <c r="G5003">
        <v>178943.14</v>
      </c>
      <c r="H5003">
        <v>0</v>
      </c>
      <c r="I5003">
        <v>0</v>
      </c>
      <c r="J5003">
        <v>0</v>
      </c>
      <c r="K5003">
        <v>0</v>
      </c>
      <c r="L5003">
        <v>16207009.289999999</v>
      </c>
      <c r="M5003">
        <v>16385952.43</v>
      </c>
      <c r="N5003">
        <v>16207009.289999999</v>
      </c>
      <c r="O5003">
        <v>16385952.43</v>
      </c>
      <c r="P5003">
        <v>16207009.289999999</v>
      </c>
      <c r="Q5003">
        <v>16385952.43</v>
      </c>
      <c r="R5003" s="14">
        <f>_xlfn.XLOOKUP(Table2[[#This Row],[LoanID]],Table1[G-L ID],Table1[ManagerCode],-99)</f>
        <v>183</v>
      </c>
      <c r="T5003"/>
    </row>
    <row r="5004" spans="1:20" x14ac:dyDescent="0.25">
      <c r="A5004">
        <v>20161031</v>
      </c>
      <c r="B5004">
        <v>2016</v>
      </c>
      <c r="C5004">
        <v>10</v>
      </c>
      <c r="D5004">
        <v>1</v>
      </c>
      <c r="E5004">
        <v>10960</v>
      </c>
      <c r="F5004">
        <v>154391.81</v>
      </c>
      <c r="G5004">
        <v>0</v>
      </c>
      <c r="H5004">
        <v>0</v>
      </c>
      <c r="I5004">
        <v>0</v>
      </c>
      <c r="J5004">
        <v>0</v>
      </c>
      <c r="K5004">
        <v>7027740.5300000003</v>
      </c>
      <c r="L5004">
        <v>7027740.5300000003</v>
      </c>
      <c r="M5004">
        <v>0</v>
      </c>
      <c r="N5004">
        <v>7027740.5300000003</v>
      </c>
      <c r="O5004">
        <v>0</v>
      </c>
      <c r="P5004">
        <v>7027740.5300000003</v>
      </c>
      <c r="Q5004">
        <v>0</v>
      </c>
      <c r="R5004" s="14">
        <f>_xlfn.XLOOKUP(Table2[[#This Row],[LoanID]],Table1[G-L ID],Table1[ManagerCode],-99)</f>
        <v>119</v>
      </c>
      <c r="T5004"/>
    </row>
    <row r="5005" spans="1:20" x14ac:dyDescent="0.25">
      <c r="A5005">
        <v>20161031</v>
      </c>
      <c r="B5005">
        <v>2016</v>
      </c>
      <c r="C5005">
        <v>10</v>
      </c>
      <c r="D5005">
        <v>1</v>
      </c>
      <c r="E5005">
        <v>10970</v>
      </c>
      <c r="F5005">
        <v>20933.5</v>
      </c>
      <c r="G5005">
        <v>22843.32</v>
      </c>
      <c r="H5005">
        <v>0</v>
      </c>
      <c r="I5005">
        <v>0</v>
      </c>
      <c r="J5005">
        <v>-20933.5</v>
      </c>
      <c r="K5005">
        <v>0</v>
      </c>
      <c r="L5005">
        <v>4209377.96</v>
      </c>
      <c r="M5005">
        <v>4253154.78</v>
      </c>
      <c r="N5005">
        <v>4209377.96</v>
      </c>
      <c r="O5005">
        <v>4253154.78</v>
      </c>
      <c r="P5005">
        <v>4209377.96</v>
      </c>
      <c r="Q5005">
        <v>4253154.78</v>
      </c>
      <c r="R5005" s="14">
        <f>_xlfn.XLOOKUP(Table2[[#This Row],[LoanID]],Table1[G-L ID],Table1[ManagerCode],-99)</f>
        <v>183</v>
      </c>
      <c r="T5005"/>
    </row>
    <row r="5006" spans="1:20" x14ac:dyDescent="0.25">
      <c r="A5006">
        <v>20161031</v>
      </c>
      <c r="B5006">
        <v>2016</v>
      </c>
      <c r="C5006">
        <v>10</v>
      </c>
      <c r="D5006">
        <v>1</v>
      </c>
      <c r="E5006">
        <v>11010</v>
      </c>
      <c r="F5006">
        <v>210304.44</v>
      </c>
      <c r="G5006">
        <v>0</v>
      </c>
      <c r="H5006">
        <v>0</v>
      </c>
      <c r="I5006">
        <v>0</v>
      </c>
      <c r="J5006">
        <v>0</v>
      </c>
      <c r="K5006">
        <v>0</v>
      </c>
      <c r="L5006">
        <v>26500000</v>
      </c>
      <c r="M5006">
        <v>26500000</v>
      </c>
      <c r="N5006">
        <v>26500000</v>
      </c>
      <c r="O5006">
        <v>26500000</v>
      </c>
      <c r="P5006">
        <v>26500000</v>
      </c>
      <c r="Q5006">
        <v>26500000</v>
      </c>
      <c r="R5006" s="14">
        <f>_xlfn.XLOOKUP(Table2[[#This Row],[LoanID]],Table1[G-L ID],Table1[ManagerCode],-99)</f>
        <v>119</v>
      </c>
      <c r="T5006"/>
    </row>
    <row r="5007" spans="1:20" x14ac:dyDescent="0.25">
      <c r="A5007">
        <v>20161031</v>
      </c>
      <c r="B5007">
        <v>2016</v>
      </c>
      <c r="C5007">
        <v>10</v>
      </c>
      <c r="D5007">
        <v>1</v>
      </c>
      <c r="E5007">
        <v>11030</v>
      </c>
      <c r="F5007">
        <v>68658.73</v>
      </c>
      <c r="G5007">
        <v>0</v>
      </c>
      <c r="H5007">
        <v>0</v>
      </c>
      <c r="I5007">
        <v>0</v>
      </c>
      <c r="J5007">
        <v>0</v>
      </c>
      <c r="K5007">
        <v>9777.7800000000007</v>
      </c>
      <c r="L5007">
        <v>7863111.0800000001</v>
      </c>
      <c r="M5007">
        <v>7853333.2999999998</v>
      </c>
      <c r="N5007">
        <v>7863111.0800000001</v>
      </c>
      <c r="O5007">
        <v>7853333.2999999998</v>
      </c>
      <c r="P5007">
        <v>7863111.0800000001</v>
      </c>
      <c r="Q5007">
        <v>7853333.2999999998</v>
      </c>
      <c r="R5007" s="14">
        <f>_xlfn.XLOOKUP(Table2[[#This Row],[LoanID]],Table1[G-L ID],Table1[ManagerCode],-99)</f>
        <v>119</v>
      </c>
      <c r="T5007"/>
    </row>
    <row r="5008" spans="1:20" x14ac:dyDescent="0.25">
      <c r="A5008">
        <v>20161031</v>
      </c>
      <c r="B5008">
        <v>2016</v>
      </c>
      <c r="C5008">
        <v>10</v>
      </c>
      <c r="D5008">
        <v>1</v>
      </c>
      <c r="E5008">
        <v>11040</v>
      </c>
      <c r="F5008">
        <v>489174.26</v>
      </c>
      <c r="G5008">
        <v>0</v>
      </c>
      <c r="H5008">
        <v>0</v>
      </c>
      <c r="I5008">
        <v>0</v>
      </c>
      <c r="J5008">
        <v>0</v>
      </c>
      <c r="K5008">
        <v>0</v>
      </c>
      <c r="L5008">
        <v>46866994.979999997</v>
      </c>
      <c r="M5008">
        <v>46866994.979999997</v>
      </c>
      <c r="N5008">
        <v>46866994.979999997</v>
      </c>
      <c r="O5008">
        <v>46866994.979999997</v>
      </c>
      <c r="P5008">
        <v>46866994.979999997</v>
      </c>
      <c r="Q5008">
        <v>46866994.979999997</v>
      </c>
      <c r="R5008" s="14">
        <f>_xlfn.XLOOKUP(Table2[[#This Row],[LoanID]],Table1[G-L ID],Table1[ManagerCode],-99)</f>
        <v>220</v>
      </c>
      <c r="T5008"/>
    </row>
    <row r="5009" spans="1:20" x14ac:dyDescent="0.25">
      <c r="A5009">
        <v>20161031</v>
      </c>
      <c r="B5009">
        <v>2016</v>
      </c>
      <c r="C5009">
        <v>10</v>
      </c>
      <c r="D5009">
        <v>1</v>
      </c>
      <c r="E5009">
        <v>11060</v>
      </c>
      <c r="F5009">
        <v>0</v>
      </c>
      <c r="G5009">
        <v>0</v>
      </c>
      <c r="H5009">
        <v>0</v>
      </c>
      <c r="I5009">
        <v>0</v>
      </c>
      <c r="J5009">
        <v>0</v>
      </c>
      <c r="K5009">
        <v>0</v>
      </c>
      <c r="L5009">
        <v>14000000</v>
      </c>
      <c r="M5009">
        <v>14000000</v>
      </c>
      <c r="N5009">
        <v>14000000</v>
      </c>
      <c r="O5009">
        <v>14000000</v>
      </c>
      <c r="P5009">
        <v>14000000</v>
      </c>
      <c r="Q5009">
        <v>14000000</v>
      </c>
      <c r="R5009" s="14">
        <f>_xlfn.XLOOKUP(Table2[[#This Row],[LoanID]],Table1[G-L ID],Table1[ManagerCode],-99)</f>
        <v>119</v>
      </c>
      <c r="T5009"/>
    </row>
    <row r="5010" spans="1:20" x14ac:dyDescent="0.25">
      <c r="A5010">
        <v>20161031</v>
      </c>
      <c r="B5010">
        <v>2016</v>
      </c>
      <c r="C5010">
        <v>10</v>
      </c>
      <c r="D5010">
        <v>1</v>
      </c>
      <c r="E5010">
        <v>11080</v>
      </c>
      <c r="F5010">
        <v>351047.82</v>
      </c>
      <c r="G5010">
        <v>0</v>
      </c>
      <c r="H5010">
        <v>0</v>
      </c>
      <c r="I5010">
        <v>0</v>
      </c>
      <c r="J5010">
        <v>0</v>
      </c>
      <c r="K5010">
        <v>0</v>
      </c>
      <c r="L5010">
        <v>40000000</v>
      </c>
      <c r="M5010">
        <v>40000000</v>
      </c>
      <c r="N5010">
        <v>40000000</v>
      </c>
      <c r="O5010">
        <v>40000000</v>
      </c>
      <c r="P5010">
        <v>40000000</v>
      </c>
      <c r="Q5010">
        <v>40000000</v>
      </c>
      <c r="R5010" s="14">
        <f>_xlfn.XLOOKUP(Table2[[#This Row],[LoanID]],Table1[G-L ID],Table1[ManagerCode],-99)</f>
        <v>119</v>
      </c>
      <c r="T5010"/>
    </row>
    <row r="5011" spans="1:20" x14ac:dyDescent="0.25">
      <c r="A5011">
        <v>20161031</v>
      </c>
      <c r="B5011">
        <v>2016</v>
      </c>
      <c r="C5011">
        <v>10</v>
      </c>
      <c r="D5011">
        <v>1</v>
      </c>
      <c r="E5011">
        <v>11090</v>
      </c>
      <c r="F5011">
        <v>91959.32</v>
      </c>
      <c r="G5011">
        <v>0</v>
      </c>
      <c r="H5011">
        <v>0</v>
      </c>
      <c r="I5011">
        <v>0</v>
      </c>
      <c r="J5011">
        <v>0</v>
      </c>
      <c r="K5011">
        <v>0</v>
      </c>
      <c r="L5011">
        <v>11000000</v>
      </c>
      <c r="M5011">
        <v>11000000</v>
      </c>
      <c r="N5011">
        <v>11000000</v>
      </c>
      <c r="O5011">
        <v>11000000</v>
      </c>
      <c r="P5011">
        <v>11000000</v>
      </c>
      <c r="Q5011">
        <v>11000000</v>
      </c>
      <c r="R5011" s="14">
        <f>_xlfn.XLOOKUP(Table2[[#This Row],[LoanID]],Table1[G-L ID],Table1[ManagerCode],-99)</f>
        <v>119</v>
      </c>
      <c r="T5011"/>
    </row>
    <row r="5012" spans="1:20" x14ac:dyDescent="0.25">
      <c r="A5012">
        <v>20161031</v>
      </c>
      <c r="B5012">
        <v>2016</v>
      </c>
      <c r="C5012">
        <v>10</v>
      </c>
      <c r="D5012">
        <v>1</v>
      </c>
      <c r="E5012">
        <v>11130</v>
      </c>
      <c r="F5012">
        <v>0</v>
      </c>
      <c r="G5012">
        <v>0</v>
      </c>
      <c r="H5012">
        <v>0</v>
      </c>
      <c r="I5012">
        <v>0</v>
      </c>
      <c r="J5012">
        <v>0</v>
      </c>
      <c r="K5012">
        <v>0</v>
      </c>
      <c r="L5012">
        <v>150847756.30000001</v>
      </c>
      <c r="M5012">
        <v>155047589.90000001</v>
      </c>
      <c r="N5012">
        <v>150847756.30000001</v>
      </c>
      <c r="O5012">
        <v>155047589.90000001</v>
      </c>
      <c r="P5012">
        <v>177000000</v>
      </c>
      <c r="Q5012">
        <v>177000000</v>
      </c>
      <c r="R5012" s="14">
        <f>_xlfn.XLOOKUP(Table2[[#This Row],[LoanID]],Table1[G-L ID],Table1[ManagerCode],-99)</f>
        <v>103</v>
      </c>
      <c r="T5012"/>
    </row>
    <row r="5013" spans="1:20" x14ac:dyDescent="0.25">
      <c r="A5013">
        <v>20161031</v>
      </c>
      <c r="B5013">
        <v>2016</v>
      </c>
      <c r="C5013">
        <v>10</v>
      </c>
      <c r="D5013">
        <v>1</v>
      </c>
      <c r="E5013">
        <v>11150</v>
      </c>
      <c r="F5013">
        <v>0</v>
      </c>
      <c r="G5013">
        <v>0</v>
      </c>
      <c r="H5013">
        <v>0</v>
      </c>
      <c r="I5013">
        <v>0</v>
      </c>
      <c r="J5013">
        <v>0</v>
      </c>
      <c r="K5013">
        <v>0</v>
      </c>
      <c r="L5013">
        <v>35760000</v>
      </c>
      <c r="M5013">
        <v>35760000</v>
      </c>
      <c r="N5013">
        <v>35760000</v>
      </c>
      <c r="O5013">
        <v>35760000</v>
      </c>
      <c r="P5013">
        <v>35760000</v>
      </c>
      <c r="Q5013">
        <v>35760000</v>
      </c>
      <c r="R5013" s="14">
        <f>_xlfn.XLOOKUP(Table2[[#This Row],[LoanID]],Table1[G-L ID],Table1[ManagerCode],-99)</f>
        <v>119</v>
      </c>
      <c r="T5013"/>
    </row>
    <row r="5014" spans="1:20" x14ac:dyDescent="0.25">
      <c r="A5014">
        <v>20161031</v>
      </c>
      <c r="B5014">
        <v>2016</v>
      </c>
      <c r="C5014">
        <v>10</v>
      </c>
      <c r="D5014">
        <v>1</v>
      </c>
      <c r="E5014">
        <v>11160</v>
      </c>
      <c r="F5014">
        <v>233518.82</v>
      </c>
      <c r="G5014">
        <v>158501.78</v>
      </c>
      <c r="H5014">
        <v>0</v>
      </c>
      <c r="I5014">
        <v>0</v>
      </c>
      <c r="J5014">
        <v>-5177433.5</v>
      </c>
      <c r="K5014">
        <v>2470908.13</v>
      </c>
      <c r="L5014">
        <v>53022196.850000001</v>
      </c>
      <c r="M5014">
        <v>58358132.130000003</v>
      </c>
      <c r="N5014">
        <v>40596248.359999999</v>
      </c>
      <c r="O5014">
        <v>43461275.509999998</v>
      </c>
      <c r="P5014">
        <v>53022196.850000001</v>
      </c>
      <c r="Q5014">
        <v>58358132.130000003</v>
      </c>
      <c r="R5014" s="14">
        <f>_xlfn.XLOOKUP(Table2[[#This Row],[LoanID]],Table1[G-L ID],Table1[ManagerCode],-99)</f>
        <v>183</v>
      </c>
      <c r="T5014"/>
    </row>
    <row r="5015" spans="1:20" x14ac:dyDescent="0.25">
      <c r="A5015">
        <v>20161031</v>
      </c>
      <c r="B5015">
        <v>2016</v>
      </c>
      <c r="C5015">
        <v>10</v>
      </c>
      <c r="D5015">
        <v>1</v>
      </c>
      <c r="E5015">
        <v>11210</v>
      </c>
      <c r="F5015">
        <v>30177.119999999999</v>
      </c>
      <c r="G5015">
        <v>0</v>
      </c>
      <c r="H5015">
        <v>0</v>
      </c>
      <c r="I5015">
        <v>0</v>
      </c>
      <c r="J5015">
        <v>0</v>
      </c>
      <c r="K5015">
        <v>0</v>
      </c>
      <c r="L5015">
        <v>7500000</v>
      </c>
      <c r="M5015">
        <v>7500000</v>
      </c>
      <c r="N5015">
        <v>7500000</v>
      </c>
      <c r="O5015">
        <v>7500000</v>
      </c>
      <c r="P5015">
        <v>7500000</v>
      </c>
      <c r="Q5015">
        <v>7500000</v>
      </c>
      <c r="R5015" s="14">
        <f>_xlfn.XLOOKUP(Table2[[#This Row],[LoanID]],Table1[G-L ID],Table1[ManagerCode],-99)</f>
        <v>119</v>
      </c>
      <c r="T5015"/>
    </row>
    <row r="5016" spans="1:20" x14ac:dyDescent="0.25">
      <c r="A5016">
        <v>20161031</v>
      </c>
      <c r="B5016">
        <v>2016</v>
      </c>
      <c r="C5016">
        <v>10</v>
      </c>
      <c r="D5016">
        <v>1</v>
      </c>
      <c r="E5016">
        <v>11250</v>
      </c>
      <c r="F5016">
        <v>228165.31</v>
      </c>
      <c r="G5016">
        <v>0</v>
      </c>
      <c r="H5016">
        <v>0</v>
      </c>
      <c r="I5016">
        <v>0</v>
      </c>
      <c r="J5016">
        <v>0</v>
      </c>
      <c r="K5016">
        <v>0</v>
      </c>
      <c r="L5016">
        <v>18253225.030000001</v>
      </c>
      <c r="M5016">
        <v>18253225.030000001</v>
      </c>
      <c r="N5016">
        <v>18253225.030000001</v>
      </c>
      <c r="O5016">
        <v>18253225.030000001</v>
      </c>
      <c r="P5016">
        <v>18253225.030000001</v>
      </c>
      <c r="Q5016">
        <v>18253225.030000001</v>
      </c>
      <c r="R5016" s="14">
        <f>_xlfn.XLOOKUP(Table2[[#This Row],[LoanID]],Table1[G-L ID],Table1[ManagerCode],-99)</f>
        <v>183</v>
      </c>
      <c r="T5016"/>
    </row>
    <row r="5017" spans="1:20" x14ac:dyDescent="0.25">
      <c r="A5017">
        <v>20161031</v>
      </c>
      <c r="B5017">
        <v>2016</v>
      </c>
      <c r="C5017">
        <v>10</v>
      </c>
      <c r="D5017">
        <v>1</v>
      </c>
      <c r="E5017">
        <v>11330</v>
      </c>
      <c r="F5017">
        <v>70581.55</v>
      </c>
      <c r="G5017">
        <v>0</v>
      </c>
      <c r="H5017">
        <v>0</v>
      </c>
      <c r="I5017">
        <v>0</v>
      </c>
      <c r="J5017">
        <v>0</v>
      </c>
      <c r="K5017">
        <v>0</v>
      </c>
      <c r="L5017">
        <v>7468012.9000000004</v>
      </c>
      <c r="M5017">
        <v>7468012.9000000004</v>
      </c>
      <c r="N5017">
        <v>7468012.9000000004</v>
      </c>
      <c r="O5017">
        <v>7468012.9000000004</v>
      </c>
      <c r="P5017">
        <v>7468012.9000000004</v>
      </c>
      <c r="Q5017">
        <v>7468012.9000000004</v>
      </c>
      <c r="R5017" s="14">
        <f>_xlfn.XLOOKUP(Table2[[#This Row],[LoanID]],Table1[G-L ID],Table1[ManagerCode],-99)</f>
        <v>119</v>
      </c>
      <c r="T5017"/>
    </row>
    <row r="5018" spans="1:20" x14ac:dyDescent="0.25">
      <c r="A5018">
        <v>20161031</v>
      </c>
      <c r="B5018">
        <v>2016</v>
      </c>
      <c r="C5018">
        <v>10</v>
      </c>
      <c r="D5018">
        <v>1</v>
      </c>
      <c r="E5018">
        <v>11340</v>
      </c>
      <c r="F5018">
        <v>288274.21000000002</v>
      </c>
      <c r="G5018">
        <v>0</v>
      </c>
      <c r="H5018">
        <v>0</v>
      </c>
      <c r="I5018">
        <v>0</v>
      </c>
      <c r="J5018">
        <v>0</v>
      </c>
      <c r="K5018">
        <v>69179.520000000004</v>
      </c>
      <c r="L5018">
        <v>48924251.710000001</v>
      </c>
      <c r="M5018">
        <v>48855763.990000002</v>
      </c>
      <c r="N5018">
        <v>48924251.710000001</v>
      </c>
      <c r="O5018">
        <v>48855763.990000002</v>
      </c>
      <c r="P5018">
        <v>49418436.039999999</v>
      </c>
      <c r="Q5018">
        <v>49349256.520000003</v>
      </c>
      <c r="R5018" s="14">
        <f>_xlfn.XLOOKUP(Table2[[#This Row],[LoanID]],Table1[G-L ID],Table1[ManagerCode],-99)</f>
        <v>103</v>
      </c>
      <c r="T5018"/>
    </row>
    <row r="5019" spans="1:20" x14ac:dyDescent="0.25">
      <c r="A5019">
        <v>20161031</v>
      </c>
      <c r="B5019">
        <v>2016</v>
      </c>
      <c r="C5019">
        <v>10</v>
      </c>
      <c r="D5019">
        <v>1</v>
      </c>
      <c r="E5019">
        <v>11350</v>
      </c>
      <c r="F5019">
        <v>320833.33</v>
      </c>
      <c r="G5019">
        <v>0</v>
      </c>
      <c r="H5019">
        <v>0</v>
      </c>
      <c r="I5019">
        <v>0</v>
      </c>
      <c r="J5019">
        <v>0</v>
      </c>
      <c r="K5019">
        <v>0</v>
      </c>
      <c r="L5019">
        <v>54449945.549999997</v>
      </c>
      <c r="M5019">
        <v>54449945.549999997</v>
      </c>
      <c r="N5019">
        <v>54449945.549999997</v>
      </c>
      <c r="O5019">
        <v>54449945.549999997</v>
      </c>
      <c r="P5019">
        <v>55000000</v>
      </c>
      <c r="Q5019">
        <v>55000000</v>
      </c>
      <c r="R5019" s="14">
        <f>_xlfn.XLOOKUP(Table2[[#This Row],[LoanID]],Table1[G-L ID],Table1[ManagerCode],-99)</f>
        <v>103</v>
      </c>
      <c r="T5019"/>
    </row>
    <row r="5020" spans="1:20" x14ac:dyDescent="0.25">
      <c r="A5020">
        <v>20161031</v>
      </c>
      <c r="B5020">
        <v>2016</v>
      </c>
      <c r="C5020">
        <v>10</v>
      </c>
      <c r="D5020">
        <v>1</v>
      </c>
      <c r="E5020">
        <v>11360</v>
      </c>
      <c r="F5020">
        <v>60453.99</v>
      </c>
      <c r="G5020">
        <v>0</v>
      </c>
      <c r="H5020">
        <v>0</v>
      </c>
      <c r="I5020">
        <v>0</v>
      </c>
      <c r="J5020">
        <v>0</v>
      </c>
      <c r="K5020">
        <v>0</v>
      </c>
      <c r="L5020">
        <v>7537500</v>
      </c>
      <c r="M5020">
        <v>7537500</v>
      </c>
      <c r="N5020">
        <v>7537500</v>
      </c>
      <c r="O5020">
        <v>7537500</v>
      </c>
      <c r="P5020">
        <v>7537500</v>
      </c>
      <c r="Q5020">
        <v>7537500</v>
      </c>
      <c r="R5020" s="14">
        <f>_xlfn.XLOOKUP(Table2[[#This Row],[LoanID]],Table1[G-L ID],Table1[ManagerCode],-99)</f>
        <v>119</v>
      </c>
      <c r="T5020"/>
    </row>
    <row r="5021" spans="1:20" x14ac:dyDescent="0.25">
      <c r="A5021">
        <v>20161031</v>
      </c>
      <c r="B5021">
        <v>2016</v>
      </c>
      <c r="C5021">
        <v>10</v>
      </c>
      <c r="D5021">
        <v>1</v>
      </c>
      <c r="E5021">
        <v>11410</v>
      </c>
      <c r="F5021">
        <v>106250</v>
      </c>
      <c r="G5021">
        <v>0</v>
      </c>
      <c r="H5021">
        <v>0</v>
      </c>
      <c r="I5021">
        <v>0</v>
      </c>
      <c r="J5021">
        <v>0</v>
      </c>
      <c r="K5021">
        <v>0</v>
      </c>
      <c r="L5021">
        <v>12000000</v>
      </c>
      <c r="M5021">
        <v>12000000</v>
      </c>
      <c r="N5021">
        <v>12000000</v>
      </c>
      <c r="O5021">
        <v>12000000</v>
      </c>
      <c r="P5021">
        <v>12000000</v>
      </c>
      <c r="Q5021">
        <v>12000000</v>
      </c>
      <c r="R5021" s="14">
        <f>_xlfn.XLOOKUP(Table2[[#This Row],[LoanID]],Table1[G-L ID],Table1[ManagerCode],-99)</f>
        <v>119</v>
      </c>
      <c r="T5021"/>
    </row>
    <row r="5022" spans="1:20" x14ac:dyDescent="0.25">
      <c r="A5022">
        <v>20161031</v>
      </c>
      <c r="B5022">
        <v>2016</v>
      </c>
      <c r="C5022">
        <v>10</v>
      </c>
      <c r="D5022">
        <v>1</v>
      </c>
      <c r="E5022">
        <v>11440</v>
      </c>
      <c r="F5022">
        <v>156250</v>
      </c>
      <c r="G5022">
        <v>0</v>
      </c>
      <c r="H5022">
        <v>0</v>
      </c>
      <c r="I5022">
        <v>0</v>
      </c>
      <c r="J5022">
        <v>0</v>
      </c>
      <c r="K5022">
        <v>0</v>
      </c>
      <c r="L5022">
        <v>18750000</v>
      </c>
      <c r="M5022">
        <v>18750000</v>
      </c>
      <c r="N5022">
        <v>18750000</v>
      </c>
      <c r="O5022">
        <v>18750000</v>
      </c>
      <c r="P5022">
        <v>18750000</v>
      </c>
      <c r="Q5022">
        <v>18750000</v>
      </c>
      <c r="R5022" s="14">
        <f>_xlfn.XLOOKUP(Table2[[#This Row],[LoanID]],Table1[G-L ID],Table1[ManagerCode],-99)</f>
        <v>183</v>
      </c>
      <c r="T5022"/>
    </row>
    <row r="5023" spans="1:20" x14ac:dyDescent="0.25">
      <c r="A5023">
        <v>20161031</v>
      </c>
      <c r="B5023">
        <v>2016</v>
      </c>
      <c r="C5023">
        <v>10</v>
      </c>
      <c r="D5023">
        <v>1</v>
      </c>
      <c r="E5023">
        <v>11450</v>
      </c>
      <c r="F5023">
        <v>122399.97</v>
      </c>
      <c r="G5023">
        <v>0</v>
      </c>
      <c r="H5023">
        <v>0</v>
      </c>
      <c r="I5023">
        <v>0</v>
      </c>
      <c r="J5023">
        <v>0</v>
      </c>
      <c r="K5023">
        <v>0</v>
      </c>
      <c r="L5023">
        <v>15438297.869999999</v>
      </c>
      <c r="M5023">
        <v>15438297.869999999</v>
      </c>
      <c r="N5023">
        <v>15438297.869999999</v>
      </c>
      <c r="O5023">
        <v>15438297.869999999</v>
      </c>
      <c r="P5023">
        <v>15438297.869999999</v>
      </c>
      <c r="Q5023">
        <v>15438297.869999999</v>
      </c>
      <c r="R5023" s="14">
        <f>_xlfn.XLOOKUP(Table2[[#This Row],[LoanID]],Table1[G-L ID],Table1[ManagerCode],-99)</f>
        <v>119</v>
      </c>
      <c r="T5023"/>
    </row>
    <row r="5024" spans="1:20" x14ac:dyDescent="0.25">
      <c r="A5024">
        <v>20161031</v>
      </c>
      <c r="B5024">
        <v>2016</v>
      </c>
      <c r="C5024">
        <v>10</v>
      </c>
      <c r="D5024">
        <v>1</v>
      </c>
      <c r="E5024">
        <v>11480</v>
      </c>
      <c r="F5024">
        <v>366041.67</v>
      </c>
      <c r="G5024">
        <v>0</v>
      </c>
      <c r="H5024">
        <v>0</v>
      </c>
      <c r="I5024">
        <v>0</v>
      </c>
      <c r="J5024">
        <v>0</v>
      </c>
      <c r="K5024">
        <v>0</v>
      </c>
      <c r="L5024">
        <v>66500000</v>
      </c>
      <c r="M5024">
        <v>66500000</v>
      </c>
      <c r="N5024">
        <v>66500000</v>
      </c>
      <c r="O5024">
        <v>66500000</v>
      </c>
      <c r="P5024">
        <v>70000000</v>
      </c>
      <c r="Q5024">
        <v>70000000</v>
      </c>
      <c r="R5024" s="14">
        <f>_xlfn.XLOOKUP(Table2[[#This Row],[LoanID]],Table1[G-L ID],Table1[ManagerCode],-99)</f>
        <v>103</v>
      </c>
      <c r="T5024"/>
    </row>
    <row r="5025" spans="1:20" x14ac:dyDescent="0.25">
      <c r="A5025">
        <v>20161031</v>
      </c>
      <c r="B5025">
        <v>2016</v>
      </c>
      <c r="C5025">
        <v>10</v>
      </c>
      <c r="D5025">
        <v>1</v>
      </c>
      <c r="E5025">
        <v>11490</v>
      </c>
      <c r="F5025">
        <v>344895.83</v>
      </c>
      <c r="G5025">
        <v>0</v>
      </c>
      <c r="H5025">
        <v>0</v>
      </c>
      <c r="I5025">
        <v>0</v>
      </c>
      <c r="J5025">
        <v>0</v>
      </c>
      <c r="K5025">
        <v>0</v>
      </c>
      <c r="L5025">
        <v>49500000</v>
      </c>
      <c r="M5025">
        <v>49500000</v>
      </c>
      <c r="N5025">
        <v>49500000</v>
      </c>
      <c r="O5025">
        <v>49500000</v>
      </c>
      <c r="P5025">
        <v>55000000</v>
      </c>
      <c r="Q5025">
        <v>55000000</v>
      </c>
      <c r="R5025" s="14">
        <f>_xlfn.XLOOKUP(Table2[[#This Row],[LoanID]],Table1[G-L ID],Table1[ManagerCode],-99)</f>
        <v>103</v>
      </c>
      <c r="T5025"/>
    </row>
    <row r="5026" spans="1:20" x14ac:dyDescent="0.25">
      <c r="A5026">
        <v>20161031</v>
      </c>
      <c r="B5026">
        <v>2016</v>
      </c>
      <c r="C5026">
        <v>10</v>
      </c>
      <c r="D5026">
        <v>1</v>
      </c>
      <c r="E5026">
        <v>11520</v>
      </c>
      <c r="F5026">
        <v>39538.83</v>
      </c>
      <c r="G5026">
        <v>0</v>
      </c>
      <c r="H5026">
        <v>0</v>
      </c>
      <c r="I5026">
        <v>0</v>
      </c>
      <c r="J5026">
        <v>-251542.67</v>
      </c>
      <c r="K5026">
        <v>0</v>
      </c>
      <c r="L5026">
        <v>4972784.2</v>
      </c>
      <c r="M5026">
        <v>5224326.87</v>
      </c>
      <c r="N5026">
        <v>4972784.2</v>
      </c>
      <c r="O5026">
        <v>5224326.87</v>
      </c>
      <c r="P5026">
        <v>4972784.2</v>
      </c>
      <c r="Q5026">
        <v>5224326.87</v>
      </c>
      <c r="R5026" s="14">
        <f>_xlfn.XLOOKUP(Table2[[#This Row],[LoanID]],Table1[G-L ID],Table1[ManagerCode],-99)</f>
        <v>119</v>
      </c>
      <c r="T5026"/>
    </row>
    <row r="5027" spans="1:20" x14ac:dyDescent="0.25">
      <c r="A5027">
        <v>20161031</v>
      </c>
      <c r="B5027">
        <v>2016</v>
      </c>
      <c r="C5027">
        <v>10</v>
      </c>
      <c r="D5027">
        <v>1</v>
      </c>
      <c r="E5027">
        <v>11530</v>
      </c>
      <c r="F5027">
        <v>116393.4</v>
      </c>
      <c r="G5027">
        <v>0</v>
      </c>
      <c r="H5027">
        <v>0</v>
      </c>
      <c r="I5027">
        <v>0</v>
      </c>
      <c r="J5027">
        <v>0</v>
      </c>
      <c r="K5027">
        <v>0</v>
      </c>
      <c r="L5027">
        <v>13239804.41</v>
      </c>
      <c r="M5027">
        <v>13239804.41</v>
      </c>
      <c r="N5027">
        <v>13239804.41</v>
      </c>
      <c r="O5027">
        <v>13239804.41</v>
      </c>
      <c r="P5027">
        <v>13239804.41</v>
      </c>
      <c r="Q5027">
        <v>13239804.41</v>
      </c>
      <c r="R5027" s="14">
        <f>_xlfn.XLOOKUP(Table2[[#This Row],[LoanID]],Table1[G-L ID],Table1[ManagerCode],-99)</f>
        <v>119</v>
      </c>
      <c r="T5027"/>
    </row>
    <row r="5028" spans="1:20" x14ac:dyDescent="0.25">
      <c r="A5028">
        <v>20161031</v>
      </c>
      <c r="B5028">
        <v>2016</v>
      </c>
      <c r="C5028">
        <v>10</v>
      </c>
      <c r="D5028">
        <v>1</v>
      </c>
      <c r="E5028">
        <v>11590</v>
      </c>
      <c r="F5028">
        <v>23439.95</v>
      </c>
      <c r="G5028">
        <v>0</v>
      </c>
      <c r="H5028">
        <v>0</v>
      </c>
      <c r="I5028">
        <v>0</v>
      </c>
      <c r="J5028">
        <v>0</v>
      </c>
      <c r="K5028">
        <v>0</v>
      </c>
      <c r="L5028">
        <v>3507224.44</v>
      </c>
      <c r="M5028">
        <v>3507224.44</v>
      </c>
      <c r="N5028">
        <v>3507224.44</v>
      </c>
      <c r="O5028">
        <v>3507224.44</v>
      </c>
      <c r="P5028">
        <v>3507224.44</v>
      </c>
      <c r="Q5028">
        <v>3507224.44</v>
      </c>
      <c r="R5028" s="14">
        <f>_xlfn.XLOOKUP(Table2[[#This Row],[LoanID]],Table1[G-L ID],Table1[ManagerCode],-99)</f>
        <v>119</v>
      </c>
      <c r="T5028"/>
    </row>
    <row r="5029" spans="1:20" x14ac:dyDescent="0.25">
      <c r="A5029">
        <v>20161031</v>
      </c>
      <c r="B5029">
        <v>2016</v>
      </c>
      <c r="C5029">
        <v>10</v>
      </c>
      <c r="D5029">
        <v>1</v>
      </c>
      <c r="E5029">
        <v>11650</v>
      </c>
      <c r="F5029">
        <v>75000</v>
      </c>
      <c r="G5029">
        <v>0</v>
      </c>
      <c r="H5029">
        <v>0</v>
      </c>
      <c r="I5029">
        <v>0</v>
      </c>
      <c r="J5029">
        <v>0</v>
      </c>
      <c r="K5029">
        <v>0</v>
      </c>
      <c r="L5029">
        <v>9600000</v>
      </c>
      <c r="M5029">
        <v>9687909.8699999992</v>
      </c>
      <c r="N5029">
        <v>9600000</v>
      </c>
      <c r="O5029">
        <v>9687909.8699999992</v>
      </c>
      <c r="P5029">
        <v>12000000</v>
      </c>
      <c r="Q5029">
        <v>12000000</v>
      </c>
      <c r="R5029" s="14">
        <f>_xlfn.XLOOKUP(Table2[[#This Row],[LoanID]],Table1[G-L ID],Table1[ManagerCode],-99)</f>
        <v>103</v>
      </c>
      <c r="T5029"/>
    </row>
    <row r="5030" spans="1:20" x14ac:dyDescent="0.25">
      <c r="A5030">
        <v>20161031</v>
      </c>
      <c r="B5030">
        <v>2016</v>
      </c>
      <c r="C5030">
        <v>10</v>
      </c>
      <c r="D5030">
        <v>1</v>
      </c>
      <c r="E5030">
        <v>11680</v>
      </c>
      <c r="F5030">
        <v>57126.559999999998</v>
      </c>
      <c r="G5030">
        <v>0</v>
      </c>
      <c r="H5030">
        <v>0</v>
      </c>
      <c r="I5030">
        <v>0</v>
      </c>
      <c r="J5030">
        <v>0</v>
      </c>
      <c r="K5030">
        <v>0</v>
      </c>
      <c r="L5030">
        <v>6600000</v>
      </c>
      <c r="M5030">
        <v>6600000</v>
      </c>
      <c r="N5030">
        <v>6600000</v>
      </c>
      <c r="O5030">
        <v>6600000</v>
      </c>
      <c r="P5030">
        <v>6600000</v>
      </c>
      <c r="Q5030">
        <v>6600000</v>
      </c>
      <c r="R5030" s="14">
        <f>_xlfn.XLOOKUP(Table2[[#This Row],[LoanID]],Table1[G-L ID],Table1[ManagerCode],-99)</f>
        <v>183</v>
      </c>
      <c r="T5030"/>
    </row>
    <row r="5031" spans="1:20" x14ac:dyDescent="0.25">
      <c r="A5031">
        <v>20161031</v>
      </c>
      <c r="B5031">
        <v>2016</v>
      </c>
      <c r="C5031">
        <v>10</v>
      </c>
      <c r="D5031">
        <v>1</v>
      </c>
      <c r="E5031">
        <v>11690</v>
      </c>
      <c r="F5031">
        <v>134937.5</v>
      </c>
      <c r="G5031">
        <v>0</v>
      </c>
      <c r="H5031">
        <v>0</v>
      </c>
      <c r="I5031">
        <v>0</v>
      </c>
      <c r="J5031">
        <v>0</v>
      </c>
      <c r="K5031">
        <v>0</v>
      </c>
      <c r="L5031">
        <v>17000000</v>
      </c>
      <c r="M5031">
        <v>17000000</v>
      </c>
      <c r="N5031">
        <v>17000000</v>
      </c>
      <c r="O5031">
        <v>17000000</v>
      </c>
      <c r="P5031">
        <v>17000000</v>
      </c>
      <c r="Q5031">
        <v>17000000</v>
      </c>
      <c r="R5031" s="14">
        <f>_xlfn.XLOOKUP(Table2[[#This Row],[LoanID]],Table1[G-L ID],Table1[ManagerCode],-99)</f>
        <v>119</v>
      </c>
      <c r="T5031"/>
    </row>
    <row r="5032" spans="1:20" x14ac:dyDescent="0.25">
      <c r="A5032">
        <v>20161031</v>
      </c>
      <c r="B5032">
        <v>2016</v>
      </c>
      <c r="C5032">
        <v>10</v>
      </c>
      <c r="D5032">
        <v>1</v>
      </c>
      <c r="E5032">
        <v>11710</v>
      </c>
      <c r="F5032">
        <v>131709.29</v>
      </c>
      <c r="G5032">
        <v>0</v>
      </c>
      <c r="H5032">
        <v>0</v>
      </c>
      <c r="I5032">
        <v>0</v>
      </c>
      <c r="J5032">
        <v>0</v>
      </c>
      <c r="K5032">
        <v>15000</v>
      </c>
      <c r="L5032">
        <v>14565000</v>
      </c>
      <c r="M5032">
        <v>14550000</v>
      </c>
      <c r="N5032">
        <v>14565000</v>
      </c>
      <c r="O5032">
        <v>14550000</v>
      </c>
      <c r="P5032">
        <v>14565000</v>
      </c>
      <c r="Q5032">
        <v>14550000</v>
      </c>
      <c r="R5032" s="14">
        <f>_xlfn.XLOOKUP(Table2[[#This Row],[LoanID]],Table1[G-L ID],Table1[ManagerCode],-99)</f>
        <v>119</v>
      </c>
      <c r="T5032"/>
    </row>
    <row r="5033" spans="1:20" x14ac:dyDescent="0.25">
      <c r="A5033">
        <v>20161031</v>
      </c>
      <c r="B5033">
        <v>2016</v>
      </c>
      <c r="C5033">
        <v>10</v>
      </c>
      <c r="D5033">
        <v>1</v>
      </c>
      <c r="E5033">
        <v>11720</v>
      </c>
      <c r="F5033">
        <v>125000</v>
      </c>
      <c r="G5033">
        <v>0</v>
      </c>
      <c r="H5033">
        <v>0</v>
      </c>
      <c r="I5033">
        <v>0</v>
      </c>
      <c r="J5033">
        <v>0</v>
      </c>
      <c r="K5033">
        <v>0</v>
      </c>
      <c r="L5033">
        <v>19800000</v>
      </c>
      <c r="M5033">
        <v>19800000</v>
      </c>
      <c r="N5033">
        <v>19800000</v>
      </c>
      <c r="O5033">
        <v>19800000</v>
      </c>
      <c r="P5033">
        <v>20000000</v>
      </c>
      <c r="Q5033">
        <v>20000000</v>
      </c>
      <c r="R5033" s="14">
        <f>_xlfn.XLOOKUP(Table2[[#This Row],[LoanID]],Table1[G-L ID],Table1[ManagerCode],-99)</f>
        <v>103</v>
      </c>
      <c r="T5033"/>
    </row>
    <row r="5034" spans="1:20" x14ac:dyDescent="0.25">
      <c r="A5034">
        <v>20161031</v>
      </c>
      <c r="B5034">
        <v>2016</v>
      </c>
      <c r="C5034">
        <v>10</v>
      </c>
      <c r="D5034">
        <v>1</v>
      </c>
      <c r="E5034">
        <v>11730</v>
      </c>
      <c r="F5034">
        <v>53630.61</v>
      </c>
      <c r="G5034">
        <v>0</v>
      </c>
      <c r="H5034">
        <v>0</v>
      </c>
      <c r="I5034">
        <v>0</v>
      </c>
      <c r="J5034">
        <v>0</v>
      </c>
      <c r="K5034">
        <v>0</v>
      </c>
      <c r="L5034">
        <v>5750000</v>
      </c>
      <c r="M5034">
        <v>5750000</v>
      </c>
      <c r="N5034">
        <v>5750000</v>
      </c>
      <c r="O5034">
        <v>5750000</v>
      </c>
      <c r="P5034">
        <v>5750000</v>
      </c>
      <c r="Q5034">
        <v>5750000</v>
      </c>
      <c r="R5034" s="14">
        <f>_xlfn.XLOOKUP(Table2[[#This Row],[LoanID]],Table1[G-L ID],Table1[ManagerCode],-99)</f>
        <v>119</v>
      </c>
      <c r="T5034"/>
    </row>
    <row r="5035" spans="1:20" x14ac:dyDescent="0.25">
      <c r="A5035">
        <v>20161031</v>
      </c>
      <c r="B5035">
        <v>2016</v>
      </c>
      <c r="C5035">
        <v>10</v>
      </c>
      <c r="D5035">
        <v>1</v>
      </c>
      <c r="E5035">
        <v>11750</v>
      </c>
      <c r="F5035">
        <v>142158.28</v>
      </c>
      <c r="G5035">
        <v>113274.8</v>
      </c>
      <c r="H5035">
        <v>0</v>
      </c>
      <c r="I5035">
        <v>0</v>
      </c>
      <c r="J5035">
        <v>-4510280.5</v>
      </c>
      <c r="K5035">
        <v>0</v>
      </c>
      <c r="L5035">
        <v>30974243.670000002</v>
      </c>
      <c r="M5035">
        <v>35597798.969999999</v>
      </c>
      <c r="N5035">
        <v>30974243.670000002</v>
      </c>
      <c r="O5035">
        <v>35597798.969999999</v>
      </c>
      <c r="P5035">
        <v>30974243.670000002</v>
      </c>
      <c r="Q5035">
        <v>35597798.969999999</v>
      </c>
      <c r="R5035" s="14">
        <f>_xlfn.XLOOKUP(Table2[[#This Row],[LoanID]],Table1[G-L ID],Table1[ManagerCode],-99)</f>
        <v>183</v>
      </c>
      <c r="T5035"/>
    </row>
    <row r="5036" spans="1:20" x14ac:dyDescent="0.25">
      <c r="A5036">
        <v>20161031</v>
      </c>
      <c r="B5036">
        <v>2016</v>
      </c>
      <c r="C5036">
        <v>10</v>
      </c>
      <c r="D5036">
        <v>1</v>
      </c>
      <c r="E5036">
        <v>11810</v>
      </c>
      <c r="F5036">
        <v>48221.08</v>
      </c>
      <c r="G5036">
        <v>0</v>
      </c>
      <c r="H5036">
        <v>0</v>
      </c>
      <c r="I5036">
        <v>0</v>
      </c>
      <c r="J5036">
        <v>0</v>
      </c>
      <c r="K5036">
        <v>12637.01</v>
      </c>
      <c r="L5036">
        <v>9330072.7400000002</v>
      </c>
      <c r="M5036">
        <v>9317562.0999999996</v>
      </c>
      <c r="N5036">
        <v>9330072.7400000002</v>
      </c>
      <c r="O5036">
        <v>9317562.0999999996</v>
      </c>
      <c r="P5036">
        <v>9328963.9600000009</v>
      </c>
      <c r="Q5036">
        <v>9316326.9499999993</v>
      </c>
      <c r="R5036" s="14">
        <f>_xlfn.XLOOKUP(Table2[[#This Row],[LoanID]],Table1[G-L ID],Table1[ManagerCode],-99)</f>
        <v>103</v>
      </c>
      <c r="T5036"/>
    </row>
    <row r="5037" spans="1:20" x14ac:dyDescent="0.25">
      <c r="A5037">
        <v>20161031</v>
      </c>
      <c r="B5037">
        <v>2016</v>
      </c>
      <c r="C5037">
        <v>10</v>
      </c>
      <c r="D5037">
        <v>1</v>
      </c>
      <c r="E5037">
        <v>11830</v>
      </c>
      <c r="F5037">
        <v>64357.42</v>
      </c>
      <c r="G5037">
        <v>0</v>
      </c>
      <c r="H5037">
        <v>0</v>
      </c>
      <c r="I5037">
        <v>0</v>
      </c>
      <c r="J5037">
        <v>0</v>
      </c>
      <c r="K5037">
        <v>0</v>
      </c>
      <c r="L5037">
        <v>6775000</v>
      </c>
      <c r="M5037">
        <v>6775000</v>
      </c>
      <c r="N5037">
        <v>6775000</v>
      </c>
      <c r="O5037">
        <v>6775000</v>
      </c>
      <c r="P5037">
        <v>6775000</v>
      </c>
      <c r="Q5037">
        <v>6775000</v>
      </c>
      <c r="R5037" s="14">
        <f>_xlfn.XLOOKUP(Table2[[#This Row],[LoanID]],Table1[G-L ID],Table1[ManagerCode],-99)</f>
        <v>119</v>
      </c>
      <c r="T5037"/>
    </row>
    <row r="5038" spans="1:20" x14ac:dyDescent="0.25">
      <c r="A5038">
        <v>20161031</v>
      </c>
      <c r="B5038">
        <v>2016</v>
      </c>
      <c r="C5038">
        <v>10</v>
      </c>
      <c r="D5038">
        <v>1</v>
      </c>
      <c r="E5038">
        <v>11850</v>
      </c>
      <c r="F5038">
        <v>97500</v>
      </c>
      <c r="G5038">
        <v>0</v>
      </c>
      <c r="H5038">
        <v>0</v>
      </c>
      <c r="I5038">
        <v>0</v>
      </c>
      <c r="J5038">
        <v>0</v>
      </c>
      <c r="K5038">
        <v>0</v>
      </c>
      <c r="L5038">
        <v>9000000</v>
      </c>
      <c r="M5038">
        <v>9000000</v>
      </c>
      <c r="N5038">
        <v>9000000</v>
      </c>
      <c r="O5038">
        <v>9000000</v>
      </c>
      <c r="P5038">
        <v>9000000</v>
      </c>
      <c r="Q5038">
        <v>9000000</v>
      </c>
      <c r="R5038" s="14">
        <f>_xlfn.XLOOKUP(Table2[[#This Row],[LoanID]],Table1[G-L ID],Table1[ManagerCode],-99)</f>
        <v>183</v>
      </c>
      <c r="T5038"/>
    </row>
    <row r="5039" spans="1:20" x14ac:dyDescent="0.25">
      <c r="A5039">
        <v>20161031</v>
      </c>
      <c r="B5039">
        <v>2016</v>
      </c>
      <c r="C5039">
        <v>10</v>
      </c>
      <c r="D5039">
        <v>1</v>
      </c>
      <c r="E5039">
        <v>11980</v>
      </c>
      <c r="F5039">
        <v>72048.09</v>
      </c>
      <c r="G5039">
        <v>0</v>
      </c>
      <c r="H5039">
        <v>0</v>
      </c>
      <c r="I5039">
        <v>0</v>
      </c>
      <c r="J5039">
        <v>0</v>
      </c>
      <c r="K5039">
        <v>0</v>
      </c>
      <c r="L5039">
        <v>7400000</v>
      </c>
      <c r="M5039">
        <v>7400000</v>
      </c>
      <c r="N5039">
        <v>7400000</v>
      </c>
      <c r="O5039">
        <v>7400000</v>
      </c>
      <c r="P5039">
        <v>7400000</v>
      </c>
      <c r="Q5039">
        <v>7400000</v>
      </c>
      <c r="R5039" s="14">
        <f>_xlfn.XLOOKUP(Table2[[#This Row],[LoanID]],Table1[G-L ID],Table1[ManagerCode],-99)</f>
        <v>119</v>
      </c>
      <c r="T5039"/>
    </row>
    <row r="5040" spans="1:20" x14ac:dyDescent="0.25">
      <c r="A5040">
        <v>20161031</v>
      </c>
      <c r="B5040">
        <v>2016</v>
      </c>
      <c r="C5040">
        <v>10</v>
      </c>
      <c r="D5040">
        <v>1</v>
      </c>
      <c r="E5040">
        <v>11990</v>
      </c>
      <c r="F5040">
        <v>101425</v>
      </c>
      <c r="G5040">
        <v>0</v>
      </c>
      <c r="H5040">
        <v>0</v>
      </c>
      <c r="I5040">
        <v>0</v>
      </c>
      <c r="J5040">
        <v>0</v>
      </c>
      <c r="K5040">
        <v>0</v>
      </c>
      <c r="L5040">
        <v>14700000</v>
      </c>
      <c r="M5040">
        <v>14700000</v>
      </c>
      <c r="N5040">
        <v>14700000</v>
      </c>
      <c r="O5040">
        <v>14700000</v>
      </c>
      <c r="P5040">
        <v>15000000</v>
      </c>
      <c r="Q5040">
        <v>15000000</v>
      </c>
      <c r="R5040" s="14">
        <f>_xlfn.XLOOKUP(Table2[[#This Row],[LoanID]],Table1[G-L ID],Table1[ManagerCode],-99)</f>
        <v>220</v>
      </c>
      <c r="T5040"/>
    </row>
    <row r="5041" spans="1:20" x14ac:dyDescent="0.25">
      <c r="A5041">
        <v>20161031</v>
      </c>
      <c r="B5041">
        <v>2016</v>
      </c>
      <c r="C5041">
        <v>10</v>
      </c>
      <c r="D5041">
        <v>1</v>
      </c>
      <c r="E5041">
        <v>12010</v>
      </c>
      <c r="F5041">
        <v>182257.26</v>
      </c>
      <c r="G5041">
        <v>0</v>
      </c>
      <c r="H5041">
        <v>0</v>
      </c>
      <c r="I5041">
        <v>0</v>
      </c>
      <c r="J5041">
        <v>0</v>
      </c>
      <c r="K5041">
        <v>0</v>
      </c>
      <c r="L5041">
        <v>19458765.719999999</v>
      </c>
      <c r="M5041">
        <v>19458765.719999999</v>
      </c>
      <c r="N5041">
        <v>19458765.719999999</v>
      </c>
      <c r="O5041">
        <v>19458765.719999999</v>
      </c>
      <c r="P5041">
        <v>19458765.719999999</v>
      </c>
      <c r="Q5041">
        <v>19458765.719999999</v>
      </c>
      <c r="R5041" s="14">
        <f>_xlfn.XLOOKUP(Table2[[#This Row],[LoanID]],Table1[G-L ID],Table1[ManagerCode],-99)</f>
        <v>119</v>
      </c>
      <c r="T5041"/>
    </row>
    <row r="5042" spans="1:20" x14ac:dyDescent="0.25">
      <c r="A5042">
        <v>20161031</v>
      </c>
      <c r="B5042">
        <v>2016</v>
      </c>
      <c r="C5042">
        <v>10</v>
      </c>
      <c r="D5042">
        <v>1</v>
      </c>
      <c r="E5042">
        <v>12030</v>
      </c>
      <c r="F5042">
        <v>22865.41</v>
      </c>
      <c r="G5042">
        <v>0</v>
      </c>
      <c r="H5042">
        <v>0</v>
      </c>
      <c r="I5042">
        <v>0</v>
      </c>
      <c r="J5042">
        <v>0</v>
      </c>
      <c r="K5042">
        <v>0</v>
      </c>
      <c r="L5042">
        <v>6375000</v>
      </c>
      <c r="M5042">
        <v>6375000</v>
      </c>
      <c r="N5042">
        <v>6375000</v>
      </c>
      <c r="O5042">
        <v>6375000</v>
      </c>
      <c r="P5042">
        <v>6375000</v>
      </c>
      <c r="Q5042">
        <v>6375000</v>
      </c>
      <c r="R5042" s="14">
        <f>_xlfn.XLOOKUP(Table2[[#This Row],[LoanID]],Table1[G-L ID],Table1[ManagerCode],-99)</f>
        <v>119</v>
      </c>
      <c r="T5042"/>
    </row>
    <row r="5043" spans="1:20" x14ac:dyDescent="0.25">
      <c r="A5043">
        <v>20161031</v>
      </c>
      <c r="B5043">
        <v>2016</v>
      </c>
      <c r="C5043">
        <v>10</v>
      </c>
      <c r="D5043">
        <v>1</v>
      </c>
      <c r="E5043">
        <v>12160</v>
      </c>
      <c r="F5043">
        <v>239901.2</v>
      </c>
      <c r="G5043">
        <v>0</v>
      </c>
      <c r="H5043">
        <v>890665.43</v>
      </c>
      <c r="I5043">
        <v>0</v>
      </c>
      <c r="J5043">
        <v>0</v>
      </c>
      <c r="K5043">
        <v>18350446.640000001</v>
      </c>
      <c r="L5043">
        <v>18350446.640000001</v>
      </c>
      <c r="M5043">
        <v>0</v>
      </c>
      <c r="N5043">
        <v>18350446.640000001</v>
      </c>
      <c r="O5043">
        <v>0</v>
      </c>
      <c r="P5043">
        <v>18350446.640000001</v>
      </c>
      <c r="Q5043">
        <v>0</v>
      </c>
      <c r="R5043" s="14">
        <f>_xlfn.XLOOKUP(Table2[[#This Row],[LoanID]],Table1[G-L ID],Table1[ManagerCode],-99)</f>
        <v>183</v>
      </c>
      <c r="T5043"/>
    </row>
    <row r="5044" spans="1:20" x14ac:dyDescent="0.25">
      <c r="A5044">
        <v>20161031</v>
      </c>
      <c r="B5044">
        <v>2016</v>
      </c>
      <c r="C5044">
        <v>10</v>
      </c>
      <c r="D5044">
        <v>1</v>
      </c>
      <c r="E5044">
        <v>12180</v>
      </c>
      <c r="F5044">
        <v>234062.5</v>
      </c>
      <c r="G5044">
        <v>0</v>
      </c>
      <c r="H5044">
        <v>0</v>
      </c>
      <c r="I5044">
        <v>0</v>
      </c>
      <c r="J5044">
        <v>0</v>
      </c>
      <c r="K5044">
        <v>0</v>
      </c>
      <c r="L5044">
        <v>35000000</v>
      </c>
      <c r="M5044">
        <v>35000000</v>
      </c>
      <c r="N5044">
        <v>35000000</v>
      </c>
      <c r="O5044">
        <v>35000000</v>
      </c>
      <c r="P5044">
        <v>35000000</v>
      </c>
      <c r="Q5044">
        <v>35000000</v>
      </c>
      <c r="R5044" s="14">
        <f>_xlfn.XLOOKUP(Table2[[#This Row],[LoanID]],Table1[G-L ID],Table1[ManagerCode],-99)</f>
        <v>220</v>
      </c>
      <c r="T5044"/>
    </row>
    <row r="5045" spans="1:20" x14ac:dyDescent="0.25">
      <c r="A5045">
        <v>20161031</v>
      </c>
      <c r="B5045">
        <v>2016</v>
      </c>
      <c r="C5045">
        <v>10</v>
      </c>
      <c r="D5045">
        <v>1</v>
      </c>
      <c r="E5045">
        <v>12190</v>
      </c>
      <c r="F5045">
        <v>261598.22</v>
      </c>
      <c r="G5045">
        <v>0</v>
      </c>
      <c r="H5045">
        <v>0</v>
      </c>
      <c r="I5045">
        <v>0</v>
      </c>
      <c r="J5045">
        <v>0</v>
      </c>
      <c r="K5045">
        <v>0</v>
      </c>
      <c r="L5045">
        <v>34383117</v>
      </c>
      <c r="M5045">
        <v>34383117</v>
      </c>
      <c r="N5045">
        <v>34383117</v>
      </c>
      <c r="O5045">
        <v>34383117</v>
      </c>
      <c r="P5045">
        <v>34383117</v>
      </c>
      <c r="Q5045">
        <v>34383117</v>
      </c>
      <c r="R5045" s="14">
        <f>_xlfn.XLOOKUP(Table2[[#This Row],[LoanID]],Table1[G-L ID],Table1[ManagerCode],-99)</f>
        <v>220</v>
      </c>
      <c r="T5045"/>
    </row>
    <row r="5046" spans="1:20" x14ac:dyDescent="0.25">
      <c r="A5046">
        <v>20161031</v>
      </c>
      <c r="B5046">
        <v>2016</v>
      </c>
      <c r="C5046">
        <v>10</v>
      </c>
      <c r="D5046">
        <v>1</v>
      </c>
      <c r="E5046">
        <v>12210</v>
      </c>
      <c r="F5046">
        <v>645530.82999999996</v>
      </c>
      <c r="G5046">
        <v>0</v>
      </c>
      <c r="H5046">
        <v>0</v>
      </c>
      <c r="I5046">
        <v>0</v>
      </c>
      <c r="J5046">
        <v>0</v>
      </c>
      <c r="K5046">
        <v>248829.42</v>
      </c>
      <c r="L5046">
        <v>110058125.7</v>
      </c>
      <c r="M5046">
        <v>109371063.2</v>
      </c>
      <c r="N5046">
        <v>110058125.7</v>
      </c>
      <c r="O5046">
        <v>109371063.2</v>
      </c>
      <c r="P5046">
        <v>104447930.3</v>
      </c>
      <c r="Q5046">
        <v>104199100.90000001</v>
      </c>
      <c r="R5046" s="14">
        <f>_xlfn.XLOOKUP(Table2[[#This Row],[LoanID]],Table1[G-L ID],Table1[ManagerCode],-99)</f>
        <v>103</v>
      </c>
      <c r="T5046"/>
    </row>
    <row r="5047" spans="1:20" x14ac:dyDescent="0.25">
      <c r="A5047">
        <v>20161031</v>
      </c>
      <c r="B5047">
        <v>2016</v>
      </c>
      <c r="C5047">
        <v>10</v>
      </c>
      <c r="D5047">
        <v>1</v>
      </c>
      <c r="E5047">
        <v>12230</v>
      </c>
      <c r="F5047">
        <v>110243.35</v>
      </c>
      <c r="G5047">
        <v>0</v>
      </c>
      <c r="H5047">
        <v>0</v>
      </c>
      <c r="I5047">
        <v>0</v>
      </c>
      <c r="J5047">
        <v>0</v>
      </c>
      <c r="K5047">
        <v>0</v>
      </c>
      <c r="L5047">
        <v>20420768.75</v>
      </c>
      <c r="M5047">
        <v>20420768.75</v>
      </c>
      <c r="N5047">
        <v>13905316.25</v>
      </c>
      <c r="O5047">
        <v>13905316.25</v>
      </c>
      <c r="P5047">
        <v>20420768.75</v>
      </c>
      <c r="Q5047">
        <v>20420768.75</v>
      </c>
      <c r="R5047" s="14">
        <f>_xlfn.XLOOKUP(Table2[[#This Row],[LoanID]],Table1[G-L ID],Table1[ManagerCode],-99)</f>
        <v>183</v>
      </c>
      <c r="T5047"/>
    </row>
    <row r="5048" spans="1:20" x14ac:dyDescent="0.25">
      <c r="A5048">
        <v>20161031</v>
      </c>
      <c r="B5048">
        <v>2016</v>
      </c>
      <c r="C5048">
        <v>10</v>
      </c>
      <c r="D5048">
        <v>1</v>
      </c>
      <c r="E5048">
        <v>12240</v>
      </c>
      <c r="F5048">
        <v>0</v>
      </c>
      <c r="G5048">
        <v>1608653.49</v>
      </c>
      <c r="H5048">
        <v>0</v>
      </c>
      <c r="I5048">
        <v>0</v>
      </c>
      <c r="J5048">
        <v>0</v>
      </c>
      <c r="K5048">
        <v>0</v>
      </c>
      <c r="L5048">
        <v>144598066.40000001</v>
      </c>
      <c r="M5048">
        <v>146206719.90000001</v>
      </c>
      <c r="N5048">
        <v>144598066.40000001</v>
      </c>
      <c r="O5048">
        <v>146206719.90000001</v>
      </c>
      <c r="P5048">
        <v>144598066.40000001</v>
      </c>
      <c r="Q5048">
        <v>146206719.90000001</v>
      </c>
      <c r="R5048" s="14">
        <f>_xlfn.XLOOKUP(Table2[[#This Row],[LoanID]],Table1[G-L ID],Table1[ManagerCode],-99)</f>
        <v>183</v>
      </c>
      <c r="T5048"/>
    </row>
    <row r="5049" spans="1:20" x14ac:dyDescent="0.25">
      <c r="A5049">
        <v>20161031</v>
      </c>
      <c r="B5049">
        <v>2016</v>
      </c>
      <c r="C5049">
        <v>10</v>
      </c>
      <c r="D5049">
        <v>1</v>
      </c>
      <c r="E5049">
        <v>12410</v>
      </c>
      <c r="F5049">
        <v>1030737.69</v>
      </c>
      <c r="G5049">
        <v>0</v>
      </c>
      <c r="H5049">
        <v>0</v>
      </c>
      <c r="I5049">
        <v>0</v>
      </c>
      <c r="J5049">
        <v>0</v>
      </c>
      <c r="K5049">
        <v>0</v>
      </c>
      <c r="L5049">
        <v>75000000</v>
      </c>
      <c r="M5049">
        <v>74250000</v>
      </c>
      <c r="N5049">
        <v>75000000</v>
      </c>
      <c r="O5049">
        <v>74250000</v>
      </c>
      <c r="P5049">
        <v>75000000</v>
      </c>
      <c r="Q5049">
        <v>75000000</v>
      </c>
      <c r="R5049" s="14">
        <f>_xlfn.XLOOKUP(Table2[[#This Row],[LoanID]],Table1[G-L ID],Table1[ManagerCode],-99)</f>
        <v>103</v>
      </c>
      <c r="T5049"/>
    </row>
    <row r="5050" spans="1:20" x14ac:dyDescent="0.25">
      <c r="A5050">
        <v>20161031</v>
      </c>
      <c r="B5050">
        <v>2016</v>
      </c>
      <c r="C5050">
        <v>10</v>
      </c>
      <c r="D5050">
        <v>1</v>
      </c>
      <c r="E5050">
        <v>13630</v>
      </c>
      <c r="F5050">
        <v>211458.33</v>
      </c>
      <c r="G5050">
        <v>0</v>
      </c>
      <c r="H5050">
        <v>0</v>
      </c>
      <c r="I5050">
        <v>0</v>
      </c>
      <c r="J5050">
        <v>0</v>
      </c>
      <c r="K5050">
        <v>0</v>
      </c>
      <c r="L5050">
        <v>33468087</v>
      </c>
      <c r="M5050">
        <v>33468087</v>
      </c>
      <c r="N5050">
        <v>33468087</v>
      </c>
      <c r="O5050">
        <v>33468087</v>
      </c>
      <c r="P5050">
        <v>35000000</v>
      </c>
      <c r="Q5050">
        <v>35000000</v>
      </c>
      <c r="R5050" s="14">
        <f>_xlfn.XLOOKUP(Table2[[#This Row],[LoanID]],Table1[G-L ID],Table1[ManagerCode],-99)</f>
        <v>298</v>
      </c>
      <c r="T5050"/>
    </row>
    <row r="5051" spans="1:20" x14ac:dyDescent="0.25">
      <c r="A5051">
        <v>20161031</v>
      </c>
      <c r="B5051">
        <v>2016</v>
      </c>
      <c r="C5051">
        <v>10</v>
      </c>
      <c r="D5051">
        <v>1</v>
      </c>
      <c r="E5051">
        <v>13660</v>
      </c>
      <c r="F5051">
        <v>114166.67</v>
      </c>
      <c r="G5051">
        <v>0</v>
      </c>
      <c r="H5051">
        <v>0</v>
      </c>
      <c r="I5051">
        <v>0</v>
      </c>
      <c r="J5051">
        <v>0</v>
      </c>
      <c r="K5051">
        <v>0</v>
      </c>
      <c r="L5051">
        <v>20000000</v>
      </c>
      <c r="M5051">
        <v>20000000</v>
      </c>
      <c r="N5051">
        <v>20000000</v>
      </c>
      <c r="O5051">
        <v>20000000</v>
      </c>
      <c r="P5051">
        <v>20000000</v>
      </c>
      <c r="Q5051">
        <v>20000000</v>
      </c>
      <c r="R5051" s="14">
        <f>_xlfn.XLOOKUP(Table2[[#This Row],[LoanID]],Table1[G-L ID],Table1[ManagerCode],-99)</f>
        <v>298</v>
      </c>
      <c r="T5051"/>
    </row>
    <row r="5052" spans="1:20" x14ac:dyDescent="0.25">
      <c r="A5052">
        <v>20161031</v>
      </c>
      <c r="B5052">
        <v>2016</v>
      </c>
      <c r="C5052">
        <v>10</v>
      </c>
      <c r="D5052">
        <v>1</v>
      </c>
      <c r="E5052">
        <v>13670</v>
      </c>
      <c r="F5052">
        <v>282031.25</v>
      </c>
      <c r="G5052">
        <v>0</v>
      </c>
      <c r="H5052">
        <v>0</v>
      </c>
      <c r="I5052">
        <v>0</v>
      </c>
      <c r="J5052">
        <v>0</v>
      </c>
      <c r="K5052">
        <v>0</v>
      </c>
      <c r="L5052">
        <v>37369414</v>
      </c>
      <c r="M5052">
        <v>37369414</v>
      </c>
      <c r="N5052">
        <v>37369414</v>
      </c>
      <c r="O5052">
        <v>37369414</v>
      </c>
      <c r="P5052">
        <v>37500000</v>
      </c>
      <c r="Q5052">
        <v>37500000</v>
      </c>
      <c r="R5052" s="14">
        <f>_xlfn.XLOOKUP(Table2[[#This Row],[LoanID]],Table1[G-L ID],Table1[ManagerCode],-99)</f>
        <v>298</v>
      </c>
      <c r="T5052"/>
    </row>
    <row r="5053" spans="1:20" x14ac:dyDescent="0.25">
      <c r="A5053">
        <v>20161031</v>
      </c>
      <c r="B5053">
        <v>2016</v>
      </c>
      <c r="C5053">
        <v>10</v>
      </c>
      <c r="D5053">
        <v>1</v>
      </c>
      <c r="E5053">
        <v>13680</v>
      </c>
      <c r="F5053">
        <v>153000</v>
      </c>
      <c r="G5053">
        <v>0</v>
      </c>
      <c r="H5053">
        <v>0</v>
      </c>
      <c r="I5053">
        <v>0</v>
      </c>
      <c r="J5053">
        <v>0</v>
      </c>
      <c r="K5053">
        <v>0</v>
      </c>
      <c r="L5053">
        <v>18283364</v>
      </c>
      <c r="M5053">
        <v>18283364</v>
      </c>
      <c r="N5053">
        <v>18283364</v>
      </c>
      <c r="O5053">
        <v>18283364</v>
      </c>
      <c r="P5053">
        <v>18000000</v>
      </c>
      <c r="Q5053">
        <v>18000000</v>
      </c>
      <c r="R5053" s="14">
        <f>_xlfn.XLOOKUP(Table2[[#This Row],[LoanID]],Table1[G-L ID],Table1[ManagerCode],-99)</f>
        <v>298</v>
      </c>
      <c r="T5053"/>
    </row>
    <row r="5054" spans="1:20" x14ac:dyDescent="0.25">
      <c r="A5054">
        <v>20161031</v>
      </c>
      <c r="B5054">
        <v>2016</v>
      </c>
      <c r="C5054">
        <v>10</v>
      </c>
      <c r="D5054">
        <v>1</v>
      </c>
      <c r="E5054">
        <v>13690</v>
      </c>
      <c r="F5054">
        <v>129166.67</v>
      </c>
      <c r="G5054">
        <v>0</v>
      </c>
      <c r="H5054">
        <v>0</v>
      </c>
      <c r="I5054">
        <v>0</v>
      </c>
      <c r="J5054">
        <v>0</v>
      </c>
      <c r="K5054">
        <v>0</v>
      </c>
      <c r="L5054">
        <v>19169472</v>
      </c>
      <c r="M5054">
        <v>19169472</v>
      </c>
      <c r="N5054">
        <v>19169472</v>
      </c>
      <c r="O5054">
        <v>19169472</v>
      </c>
      <c r="P5054">
        <v>20000000</v>
      </c>
      <c r="Q5054">
        <v>20000000</v>
      </c>
      <c r="R5054" s="14">
        <f>_xlfn.XLOOKUP(Table2[[#This Row],[LoanID]],Table1[G-L ID],Table1[ManagerCode],-99)</f>
        <v>298</v>
      </c>
      <c r="T5054"/>
    </row>
    <row r="5055" spans="1:20" x14ac:dyDescent="0.25">
      <c r="A5055">
        <v>20161031</v>
      </c>
      <c r="B5055">
        <v>2016</v>
      </c>
      <c r="C5055">
        <v>10</v>
      </c>
      <c r="D5055">
        <v>1</v>
      </c>
      <c r="E5055">
        <v>15540</v>
      </c>
      <c r="F5055">
        <v>200068.75</v>
      </c>
      <c r="G5055">
        <v>6940.21</v>
      </c>
      <c r="H5055">
        <v>0</v>
      </c>
      <c r="I5055">
        <v>-2187.5</v>
      </c>
      <c r="J5055">
        <v>0</v>
      </c>
      <c r="K5055">
        <v>0</v>
      </c>
      <c r="L5055">
        <v>52700068.75</v>
      </c>
      <c r="M5055">
        <v>52707008.960000001</v>
      </c>
      <c r="N5055">
        <v>52700068.75</v>
      </c>
      <c r="O5055">
        <v>52707008.960000001</v>
      </c>
      <c r="P5055">
        <v>52700068.75</v>
      </c>
      <c r="Q5055">
        <v>52707008.960000001</v>
      </c>
      <c r="R5055" s="14">
        <f>_xlfn.XLOOKUP(Table2[[#This Row],[LoanID]],Table1[G-L ID],Table1[ManagerCode],-99)</f>
        <v>212</v>
      </c>
      <c r="T5055"/>
    </row>
    <row r="5056" spans="1:20" x14ac:dyDescent="0.25">
      <c r="A5056">
        <v>20161031</v>
      </c>
      <c r="B5056">
        <v>2016</v>
      </c>
      <c r="C5056">
        <v>10</v>
      </c>
      <c r="D5056">
        <v>1</v>
      </c>
      <c r="E5056">
        <v>15580</v>
      </c>
      <c r="F5056">
        <v>113602.09</v>
      </c>
      <c r="G5056">
        <v>3708.68</v>
      </c>
      <c r="H5056">
        <v>0</v>
      </c>
      <c r="I5056">
        <v>0</v>
      </c>
      <c r="J5056">
        <v>0</v>
      </c>
      <c r="K5056">
        <v>9799.2199999999993</v>
      </c>
      <c r="L5056">
        <v>14851170.539999999</v>
      </c>
      <c r="M5056">
        <v>14845080</v>
      </c>
      <c r="N5056">
        <v>14851170.539999999</v>
      </c>
      <c r="O5056">
        <v>14845080</v>
      </c>
      <c r="P5056">
        <v>14851170.539999999</v>
      </c>
      <c r="Q5056">
        <v>14845080</v>
      </c>
      <c r="R5056" s="14">
        <f>_xlfn.XLOOKUP(Table2[[#This Row],[LoanID]],Table1[G-L ID],Table1[ManagerCode],-99)</f>
        <v>212</v>
      </c>
      <c r="T5056"/>
    </row>
    <row r="5057" spans="1:20" x14ac:dyDescent="0.25">
      <c r="A5057">
        <v>20161130</v>
      </c>
      <c r="B5057">
        <v>2016</v>
      </c>
      <c r="C5057">
        <v>11</v>
      </c>
      <c r="D5057">
        <v>1</v>
      </c>
      <c r="E5057">
        <v>10010</v>
      </c>
      <c r="F5057">
        <v>164403.25</v>
      </c>
      <c r="G5057">
        <v>0</v>
      </c>
      <c r="H5057">
        <v>0</v>
      </c>
      <c r="I5057">
        <v>0</v>
      </c>
      <c r="J5057">
        <v>-568699.81999999995</v>
      </c>
      <c r="K5057">
        <v>0</v>
      </c>
      <c r="L5057">
        <v>17026755.140000001</v>
      </c>
      <c r="M5057">
        <v>17595454.960000001</v>
      </c>
      <c r="N5057">
        <v>17026755.140000001</v>
      </c>
      <c r="O5057">
        <v>17595454.960000001</v>
      </c>
      <c r="P5057">
        <v>17026755.140000001</v>
      </c>
      <c r="Q5057">
        <v>17595454.960000001</v>
      </c>
      <c r="R5057" s="14">
        <f>_xlfn.XLOOKUP(Table2[[#This Row],[LoanID]],Table1[G-L ID],Table1[ManagerCode],-99)</f>
        <v>119</v>
      </c>
      <c r="T5057"/>
    </row>
    <row r="5058" spans="1:20" x14ac:dyDescent="0.25">
      <c r="A5058">
        <v>20161130</v>
      </c>
      <c r="B5058">
        <v>2016</v>
      </c>
      <c r="C5058">
        <v>11</v>
      </c>
      <c r="D5058">
        <v>1</v>
      </c>
      <c r="E5058">
        <v>10030</v>
      </c>
      <c r="F5058">
        <v>67779.34</v>
      </c>
      <c r="G5058">
        <v>0</v>
      </c>
      <c r="H5058">
        <v>0</v>
      </c>
      <c r="I5058">
        <v>0</v>
      </c>
      <c r="J5058">
        <v>3090260</v>
      </c>
      <c r="K5058">
        <v>0</v>
      </c>
      <c r="L5058">
        <v>9670955.1500000004</v>
      </c>
      <c r="M5058">
        <v>6580695.1500000004</v>
      </c>
      <c r="N5058">
        <v>9670955.1500000004</v>
      </c>
      <c r="O5058">
        <v>6580695.1500000004</v>
      </c>
      <c r="P5058">
        <v>9670955.1500000004</v>
      </c>
      <c r="Q5058">
        <v>6580695.1500000004</v>
      </c>
      <c r="R5058" s="14">
        <f>_xlfn.XLOOKUP(Table2[[#This Row],[LoanID]],Table1[G-L ID],Table1[ManagerCode],-99)</f>
        <v>119</v>
      </c>
      <c r="T5058"/>
    </row>
    <row r="5059" spans="1:20" x14ac:dyDescent="0.25">
      <c r="A5059">
        <v>20161130</v>
      </c>
      <c r="B5059">
        <v>2016</v>
      </c>
      <c r="C5059">
        <v>11</v>
      </c>
      <c r="D5059">
        <v>1</v>
      </c>
      <c r="E5059">
        <v>10040</v>
      </c>
      <c r="F5059">
        <v>45337.5</v>
      </c>
      <c r="G5059">
        <v>0</v>
      </c>
      <c r="H5059">
        <v>0</v>
      </c>
      <c r="I5059">
        <v>0</v>
      </c>
      <c r="J5059">
        <v>0</v>
      </c>
      <c r="K5059">
        <v>0</v>
      </c>
      <c r="L5059">
        <v>5000000</v>
      </c>
      <c r="M5059">
        <v>5000000</v>
      </c>
      <c r="N5059">
        <v>5000000</v>
      </c>
      <c r="O5059">
        <v>5000000</v>
      </c>
      <c r="P5059">
        <v>5000000</v>
      </c>
      <c r="Q5059">
        <v>5000000</v>
      </c>
      <c r="R5059" s="14">
        <f>_xlfn.XLOOKUP(Table2[[#This Row],[LoanID]],Table1[G-L ID],Table1[ManagerCode],-99)</f>
        <v>119</v>
      </c>
      <c r="T5059"/>
    </row>
    <row r="5060" spans="1:20" x14ac:dyDescent="0.25">
      <c r="A5060">
        <v>20161130</v>
      </c>
      <c r="B5060">
        <v>2016</v>
      </c>
      <c r="C5060">
        <v>11</v>
      </c>
      <c r="D5060">
        <v>1</v>
      </c>
      <c r="E5060">
        <v>10050</v>
      </c>
      <c r="F5060">
        <v>-153981.01999999999</v>
      </c>
      <c r="G5060">
        <v>0</v>
      </c>
      <c r="H5060">
        <v>0</v>
      </c>
      <c r="I5060">
        <v>0</v>
      </c>
      <c r="J5060">
        <v>0</v>
      </c>
      <c r="K5060">
        <v>0</v>
      </c>
      <c r="L5060">
        <v>38300667.130000003</v>
      </c>
      <c r="M5060">
        <v>36884644.829999998</v>
      </c>
      <c r="N5060">
        <v>38300667.130000003</v>
      </c>
      <c r="O5060">
        <v>36884644.829999998</v>
      </c>
      <c r="P5060">
        <v>33333334</v>
      </c>
      <c r="Q5060">
        <v>33333334</v>
      </c>
      <c r="R5060" s="14">
        <f>_xlfn.XLOOKUP(Table2[[#This Row],[LoanID]],Table1[G-L ID],Table1[ManagerCode],-99)</f>
        <v>103</v>
      </c>
      <c r="T5060"/>
    </row>
    <row r="5061" spans="1:20" x14ac:dyDescent="0.25">
      <c r="A5061">
        <v>20161130</v>
      </c>
      <c r="B5061">
        <v>2016</v>
      </c>
      <c r="C5061">
        <v>11</v>
      </c>
      <c r="D5061">
        <v>1</v>
      </c>
      <c r="E5061">
        <v>10070</v>
      </c>
      <c r="F5061">
        <v>79843.86</v>
      </c>
      <c r="G5061">
        <v>0</v>
      </c>
      <c r="H5061">
        <v>250000</v>
      </c>
      <c r="I5061">
        <v>0</v>
      </c>
      <c r="J5061">
        <v>-23500000</v>
      </c>
      <c r="K5061">
        <v>0</v>
      </c>
      <c r="L5061">
        <v>0</v>
      </c>
      <c r="M5061">
        <v>23500000</v>
      </c>
      <c r="N5061">
        <v>0</v>
      </c>
      <c r="O5061">
        <v>23500000</v>
      </c>
      <c r="P5061">
        <v>0</v>
      </c>
      <c r="Q5061">
        <v>23500000</v>
      </c>
      <c r="R5061" s="14">
        <f>_xlfn.XLOOKUP(Table2[[#This Row],[LoanID]],Table1[G-L ID],Table1[ManagerCode],-99)</f>
        <v>119</v>
      </c>
      <c r="T5061"/>
    </row>
    <row r="5062" spans="1:20" x14ac:dyDescent="0.25">
      <c r="A5062">
        <v>20161130</v>
      </c>
      <c r="B5062">
        <v>2016</v>
      </c>
      <c r="C5062">
        <v>11</v>
      </c>
      <c r="D5062">
        <v>1</v>
      </c>
      <c r="E5062">
        <v>10100</v>
      </c>
      <c r="F5062">
        <v>192133.06</v>
      </c>
      <c r="G5062">
        <v>0</v>
      </c>
      <c r="H5062">
        <v>0</v>
      </c>
      <c r="I5062">
        <v>0</v>
      </c>
      <c r="J5062">
        <v>0</v>
      </c>
      <c r="K5062">
        <v>0</v>
      </c>
      <c r="L5062">
        <v>30500000</v>
      </c>
      <c r="M5062">
        <v>30500000</v>
      </c>
      <c r="N5062">
        <v>30500000</v>
      </c>
      <c r="O5062">
        <v>30500000</v>
      </c>
      <c r="P5062">
        <v>30500000</v>
      </c>
      <c r="Q5062">
        <v>30500000</v>
      </c>
      <c r="R5062" s="14">
        <f>_xlfn.XLOOKUP(Table2[[#This Row],[LoanID]],Table1[G-L ID],Table1[ManagerCode],-99)</f>
        <v>220</v>
      </c>
      <c r="T5062"/>
    </row>
    <row r="5063" spans="1:20" x14ac:dyDescent="0.25">
      <c r="A5063">
        <v>20161130</v>
      </c>
      <c r="B5063">
        <v>2016</v>
      </c>
      <c r="C5063">
        <v>11</v>
      </c>
      <c r="D5063">
        <v>1</v>
      </c>
      <c r="E5063">
        <v>10110</v>
      </c>
      <c r="F5063">
        <v>143269.94</v>
      </c>
      <c r="G5063">
        <v>0</v>
      </c>
      <c r="H5063">
        <v>0</v>
      </c>
      <c r="I5063">
        <v>0</v>
      </c>
      <c r="J5063">
        <v>0</v>
      </c>
      <c r="K5063">
        <v>0</v>
      </c>
      <c r="L5063">
        <v>16400000</v>
      </c>
      <c r="M5063">
        <v>16400000</v>
      </c>
      <c r="N5063">
        <v>16400000</v>
      </c>
      <c r="O5063">
        <v>16400000</v>
      </c>
      <c r="P5063">
        <v>16400000</v>
      </c>
      <c r="Q5063">
        <v>16400000</v>
      </c>
      <c r="R5063" s="14">
        <f>_xlfn.XLOOKUP(Table2[[#This Row],[LoanID]],Table1[G-L ID],Table1[ManagerCode],-99)</f>
        <v>119</v>
      </c>
      <c r="T5063"/>
    </row>
    <row r="5064" spans="1:20" x14ac:dyDescent="0.25">
      <c r="A5064">
        <v>20161130</v>
      </c>
      <c r="B5064">
        <v>2016</v>
      </c>
      <c r="C5064">
        <v>11</v>
      </c>
      <c r="D5064">
        <v>1</v>
      </c>
      <c r="E5064">
        <v>10120</v>
      </c>
      <c r="F5064">
        <v>55203.61</v>
      </c>
      <c r="G5064">
        <v>60424.95</v>
      </c>
      <c r="H5064">
        <v>0</v>
      </c>
      <c r="I5064">
        <v>0</v>
      </c>
      <c r="J5064">
        <v>-55203.61</v>
      </c>
      <c r="K5064">
        <v>0</v>
      </c>
      <c r="L5064">
        <v>11134674.43</v>
      </c>
      <c r="M5064">
        <v>11250302.99</v>
      </c>
      <c r="N5064">
        <v>11134674.43</v>
      </c>
      <c r="O5064">
        <v>11250302.99</v>
      </c>
      <c r="P5064">
        <v>11134674.43</v>
      </c>
      <c r="Q5064">
        <v>11250302.99</v>
      </c>
      <c r="R5064" s="14">
        <f>_xlfn.XLOOKUP(Table2[[#This Row],[LoanID]],Table1[G-L ID],Table1[ManagerCode],-99)</f>
        <v>183</v>
      </c>
      <c r="T5064"/>
    </row>
    <row r="5065" spans="1:20" x14ac:dyDescent="0.25">
      <c r="A5065">
        <v>20161130</v>
      </c>
      <c r="B5065">
        <v>2016</v>
      </c>
      <c r="C5065">
        <v>11</v>
      </c>
      <c r="D5065">
        <v>1</v>
      </c>
      <c r="E5065">
        <v>10160</v>
      </c>
      <c r="F5065">
        <v>123723.19</v>
      </c>
      <c r="G5065">
        <v>0</v>
      </c>
      <c r="H5065">
        <v>0</v>
      </c>
      <c r="I5065">
        <v>0</v>
      </c>
      <c r="J5065">
        <v>0</v>
      </c>
      <c r="K5065">
        <v>0</v>
      </c>
      <c r="L5065">
        <v>15076447.77</v>
      </c>
      <c r="M5065">
        <v>15076447.77</v>
      </c>
      <c r="N5065">
        <v>15076447.77</v>
      </c>
      <c r="O5065">
        <v>15076447.77</v>
      </c>
      <c r="P5065">
        <v>15076447.77</v>
      </c>
      <c r="Q5065">
        <v>15076447.77</v>
      </c>
      <c r="R5065" s="14">
        <f>_xlfn.XLOOKUP(Table2[[#This Row],[LoanID]],Table1[G-L ID],Table1[ManagerCode],-99)</f>
        <v>119</v>
      </c>
      <c r="T5065"/>
    </row>
    <row r="5066" spans="1:20" x14ac:dyDescent="0.25">
      <c r="A5066">
        <v>20161130</v>
      </c>
      <c r="B5066">
        <v>2016</v>
      </c>
      <c r="C5066">
        <v>11</v>
      </c>
      <c r="D5066">
        <v>1</v>
      </c>
      <c r="E5066">
        <v>10220</v>
      </c>
      <c r="F5066">
        <v>559722.22</v>
      </c>
      <c r="G5066">
        <v>0</v>
      </c>
      <c r="H5066">
        <v>0</v>
      </c>
      <c r="I5066">
        <v>0</v>
      </c>
      <c r="J5066">
        <v>0</v>
      </c>
      <c r="K5066">
        <v>0</v>
      </c>
      <c r="L5066">
        <v>116309074.40000001</v>
      </c>
      <c r="M5066">
        <v>113309380.3</v>
      </c>
      <c r="N5066">
        <v>116309074.40000001</v>
      </c>
      <c r="O5066">
        <v>113309380.3</v>
      </c>
      <c r="P5066">
        <v>100000000</v>
      </c>
      <c r="Q5066">
        <v>100000000</v>
      </c>
      <c r="R5066" s="14">
        <f>_xlfn.XLOOKUP(Table2[[#This Row],[LoanID]],Table1[G-L ID],Table1[ManagerCode],-99)</f>
        <v>103</v>
      </c>
      <c r="T5066"/>
    </row>
    <row r="5067" spans="1:20" x14ac:dyDescent="0.25">
      <c r="A5067">
        <v>20161130</v>
      </c>
      <c r="B5067">
        <v>2016</v>
      </c>
      <c r="C5067">
        <v>11</v>
      </c>
      <c r="D5067">
        <v>1</v>
      </c>
      <c r="E5067">
        <v>10240</v>
      </c>
      <c r="F5067">
        <v>91869.79</v>
      </c>
      <c r="G5067">
        <v>0</v>
      </c>
      <c r="H5067">
        <v>0</v>
      </c>
      <c r="I5067">
        <v>0</v>
      </c>
      <c r="J5067">
        <v>0</v>
      </c>
      <c r="K5067">
        <v>0</v>
      </c>
      <c r="L5067">
        <v>12500000</v>
      </c>
      <c r="M5067">
        <v>12500000</v>
      </c>
      <c r="N5067">
        <v>12500000</v>
      </c>
      <c r="O5067">
        <v>12500000</v>
      </c>
      <c r="P5067">
        <v>12500000</v>
      </c>
      <c r="Q5067">
        <v>12500000</v>
      </c>
      <c r="R5067" s="14">
        <f>_xlfn.XLOOKUP(Table2[[#This Row],[LoanID]],Table1[G-L ID],Table1[ManagerCode],-99)</f>
        <v>220</v>
      </c>
      <c r="T5067"/>
    </row>
    <row r="5068" spans="1:20" x14ac:dyDescent="0.25">
      <c r="A5068">
        <v>20161130</v>
      </c>
      <c r="B5068">
        <v>2016</v>
      </c>
      <c r="C5068">
        <v>11</v>
      </c>
      <c r="D5068">
        <v>1</v>
      </c>
      <c r="E5068">
        <v>10250</v>
      </c>
      <c r="F5068">
        <v>50870.14</v>
      </c>
      <c r="G5068">
        <v>0</v>
      </c>
      <c r="H5068">
        <v>0</v>
      </c>
      <c r="I5068">
        <v>0</v>
      </c>
      <c r="J5068">
        <v>0</v>
      </c>
      <c r="K5068">
        <v>0</v>
      </c>
      <c r="L5068">
        <v>5000000</v>
      </c>
      <c r="M5068">
        <v>5000000</v>
      </c>
      <c r="N5068">
        <v>5000000</v>
      </c>
      <c r="O5068">
        <v>5000000</v>
      </c>
      <c r="P5068">
        <v>5000000</v>
      </c>
      <c r="Q5068">
        <v>5000000</v>
      </c>
      <c r="R5068" s="14">
        <f>_xlfn.XLOOKUP(Table2[[#This Row],[LoanID]],Table1[G-L ID],Table1[ManagerCode],-99)</f>
        <v>119</v>
      </c>
      <c r="T5068"/>
    </row>
    <row r="5069" spans="1:20" x14ac:dyDescent="0.25">
      <c r="A5069">
        <v>20161130</v>
      </c>
      <c r="B5069">
        <v>2016</v>
      </c>
      <c r="C5069">
        <v>11</v>
      </c>
      <c r="D5069">
        <v>1</v>
      </c>
      <c r="E5069">
        <v>10260</v>
      </c>
      <c r="F5069">
        <v>97478.91</v>
      </c>
      <c r="G5069">
        <v>0</v>
      </c>
      <c r="H5069">
        <v>0</v>
      </c>
      <c r="I5069">
        <v>0</v>
      </c>
      <c r="J5069">
        <v>0</v>
      </c>
      <c r="K5069">
        <v>0</v>
      </c>
      <c r="L5069">
        <v>15000000</v>
      </c>
      <c r="M5069">
        <v>15000000</v>
      </c>
      <c r="N5069">
        <v>15000000</v>
      </c>
      <c r="O5069">
        <v>15000000</v>
      </c>
      <c r="P5069">
        <v>15000000</v>
      </c>
      <c r="Q5069">
        <v>15000000</v>
      </c>
      <c r="R5069" s="14">
        <f>_xlfn.XLOOKUP(Table2[[#This Row],[LoanID]],Table1[G-L ID],Table1[ManagerCode],-99)</f>
        <v>220</v>
      </c>
      <c r="T5069"/>
    </row>
    <row r="5070" spans="1:20" x14ac:dyDescent="0.25">
      <c r="A5070">
        <v>20161130</v>
      </c>
      <c r="B5070">
        <v>2016</v>
      </c>
      <c r="C5070">
        <v>11</v>
      </c>
      <c r="D5070">
        <v>1</v>
      </c>
      <c r="E5070">
        <v>10270</v>
      </c>
      <c r="F5070">
        <v>44809.75</v>
      </c>
      <c r="G5070">
        <v>0</v>
      </c>
      <c r="H5070">
        <v>0</v>
      </c>
      <c r="I5070">
        <v>0</v>
      </c>
      <c r="J5070">
        <v>0</v>
      </c>
      <c r="K5070">
        <v>0</v>
      </c>
      <c r="L5070">
        <v>5400000</v>
      </c>
      <c r="M5070">
        <v>5400000</v>
      </c>
      <c r="N5070">
        <v>5400000</v>
      </c>
      <c r="O5070">
        <v>5400000</v>
      </c>
      <c r="P5070">
        <v>5400000</v>
      </c>
      <c r="Q5070">
        <v>5400000</v>
      </c>
      <c r="R5070" s="14">
        <f>_xlfn.XLOOKUP(Table2[[#This Row],[LoanID]],Table1[G-L ID],Table1[ManagerCode],-99)</f>
        <v>119</v>
      </c>
      <c r="T5070"/>
    </row>
    <row r="5071" spans="1:20" x14ac:dyDescent="0.25">
      <c r="A5071">
        <v>20161130</v>
      </c>
      <c r="B5071">
        <v>2016</v>
      </c>
      <c r="C5071">
        <v>11</v>
      </c>
      <c r="D5071">
        <v>1</v>
      </c>
      <c r="E5071">
        <v>10330</v>
      </c>
      <c r="F5071">
        <v>-36803.07</v>
      </c>
      <c r="G5071">
        <v>0</v>
      </c>
      <c r="H5071">
        <v>-269025</v>
      </c>
      <c r="I5071">
        <v>0</v>
      </c>
      <c r="J5071">
        <v>25958279.210000001</v>
      </c>
      <c r="K5071">
        <v>0</v>
      </c>
      <c r="L5071">
        <v>34611038.950000003</v>
      </c>
      <c r="M5071">
        <v>8652759.6999999993</v>
      </c>
      <c r="N5071">
        <v>34611038.950000003</v>
      </c>
      <c r="O5071">
        <v>8652759.6999999993</v>
      </c>
      <c r="P5071">
        <v>34611038.950000003</v>
      </c>
      <c r="Q5071">
        <v>8652759.6999999993</v>
      </c>
      <c r="R5071" s="14">
        <f>_xlfn.XLOOKUP(Table2[[#This Row],[LoanID]],Table1[G-L ID],Table1[ManagerCode],-99)</f>
        <v>119</v>
      </c>
      <c r="T5071"/>
    </row>
    <row r="5072" spans="1:20" x14ac:dyDescent="0.25">
      <c r="A5072">
        <v>20161130</v>
      </c>
      <c r="B5072">
        <v>2016</v>
      </c>
      <c r="C5072">
        <v>11</v>
      </c>
      <c r="D5072">
        <v>1</v>
      </c>
      <c r="E5072">
        <v>10350</v>
      </c>
      <c r="F5072">
        <v>174805.56</v>
      </c>
      <c r="G5072">
        <v>0</v>
      </c>
      <c r="H5072">
        <v>0</v>
      </c>
      <c r="I5072">
        <v>0</v>
      </c>
      <c r="J5072">
        <v>0</v>
      </c>
      <c r="K5072">
        <v>0</v>
      </c>
      <c r="L5072">
        <v>24800000</v>
      </c>
      <c r="M5072">
        <v>24800000</v>
      </c>
      <c r="N5072">
        <v>24800000</v>
      </c>
      <c r="O5072">
        <v>24800000</v>
      </c>
      <c r="P5072">
        <v>24800000</v>
      </c>
      <c r="Q5072">
        <v>24800000</v>
      </c>
      <c r="R5072" s="14">
        <f>_xlfn.XLOOKUP(Table2[[#This Row],[LoanID]],Table1[G-L ID],Table1[ManagerCode],-99)</f>
        <v>220</v>
      </c>
      <c r="T5072"/>
    </row>
    <row r="5073" spans="1:20" x14ac:dyDescent="0.25">
      <c r="A5073">
        <v>20161130</v>
      </c>
      <c r="B5073">
        <v>2016</v>
      </c>
      <c r="C5073">
        <v>11</v>
      </c>
      <c r="D5073">
        <v>1</v>
      </c>
      <c r="E5073">
        <v>10360</v>
      </c>
      <c r="F5073">
        <v>57858.96</v>
      </c>
      <c r="G5073">
        <v>0</v>
      </c>
      <c r="H5073">
        <v>0</v>
      </c>
      <c r="I5073">
        <v>0</v>
      </c>
      <c r="J5073">
        <v>0</v>
      </c>
      <c r="K5073">
        <v>0</v>
      </c>
      <c r="L5073">
        <v>5909000</v>
      </c>
      <c r="M5073">
        <v>5909000</v>
      </c>
      <c r="N5073">
        <v>5909000</v>
      </c>
      <c r="O5073">
        <v>5909000</v>
      </c>
      <c r="P5073">
        <v>5909000</v>
      </c>
      <c r="Q5073">
        <v>5909000</v>
      </c>
      <c r="R5073" s="14">
        <f>_xlfn.XLOOKUP(Table2[[#This Row],[LoanID]],Table1[G-L ID],Table1[ManagerCode],-99)</f>
        <v>183</v>
      </c>
      <c r="T5073"/>
    </row>
    <row r="5074" spans="1:20" x14ac:dyDescent="0.25">
      <c r="A5074">
        <v>20161130</v>
      </c>
      <c r="B5074">
        <v>2016</v>
      </c>
      <c r="C5074">
        <v>11</v>
      </c>
      <c r="D5074">
        <v>1</v>
      </c>
      <c r="E5074">
        <v>10410</v>
      </c>
      <c r="F5074">
        <v>64197.74</v>
      </c>
      <c r="G5074">
        <v>48673.77</v>
      </c>
      <c r="H5074">
        <v>0</v>
      </c>
      <c r="I5074">
        <v>0</v>
      </c>
      <c r="J5074">
        <v>-2885383.96</v>
      </c>
      <c r="K5074">
        <v>0</v>
      </c>
      <c r="L5074">
        <v>14458514.58</v>
      </c>
      <c r="M5074">
        <v>17392572.309999999</v>
      </c>
      <c r="N5074">
        <v>14458514.58</v>
      </c>
      <c r="O5074">
        <v>17392572.309999999</v>
      </c>
      <c r="P5074">
        <v>14458514.58</v>
      </c>
      <c r="Q5074">
        <v>17392572.309999999</v>
      </c>
      <c r="R5074" s="14">
        <f>_xlfn.XLOOKUP(Table2[[#This Row],[LoanID]],Table1[G-L ID],Table1[ManagerCode],-99)</f>
        <v>183</v>
      </c>
      <c r="T5074"/>
    </row>
    <row r="5075" spans="1:20" x14ac:dyDescent="0.25">
      <c r="A5075">
        <v>20161130</v>
      </c>
      <c r="B5075">
        <v>2016</v>
      </c>
      <c r="C5075">
        <v>11</v>
      </c>
      <c r="D5075">
        <v>1</v>
      </c>
      <c r="E5075">
        <v>10480</v>
      </c>
      <c r="F5075">
        <v>191071.57</v>
      </c>
      <c r="G5075">
        <v>0</v>
      </c>
      <c r="H5075">
        <v>0</v>
      </c>
      <c r="I5075">
        <v>0</v>
      </c>
      <c r="J5075">
        <v>-427093</v>
      </c>
      <c r="K5075">
        <v>0</v>
      </c>
      <c r="L5075">
        <v>27171820.850000001</v>
      </c>
      <c r="M5075">
        <v>27598913.850000001</v>
      </c>
      <c r="N5075">
        <v>27171820.850000001</v>
      </c>
      <c r="O5075">
        <v>27598913.850000001</v>
      </c>
      <c r="P5075">
        <v>27171820.850000001</v>
      </c>
      <c r="Q5075">
        <v>27598913.850000001</v>
      </c>
      <c r="R5075" s="14">
        <f>_xlfn.XLOOKUP(Table2[[#This Row],[LoanID]],Table1[G-L ID],Table1[ManagerCode],-99)</f>
        <v>119</v>
      </c>
      <c r="T5075"/>
    </row>
    <row r="5076" spans="1:20" x14ac:dyDescent="0.25">
      <c r="A5076">
        <v>20161130</v>
      </c>
      <c r="B5076">
        <v>2016</v>
      </c>
      <c r="C5076">
        <v>11</v>
      </c>
      <c r="D5076">
        <v>1</v>
      </c>
      <c r="E5076">
        <v>10500</v>
      </c>
      <c r="F5076">
        <v>91900.88</v>
      </c>
      <c r="G5076">
        <v>0</v>
      </c>
      <c r="H5076">
        <v>0</v>
      </c>
      <c r="I5076">
        <v>0</v>
      </c>
      <c r="J5076">
        <v>0</v>
      </c>
      <c r="K5076">
        <v>0</v>
      </c>
      <c r="L5076">
        <v>19211405.440000001</v>
      </c>
      <c r="M5076">
        <v>19211405.440000001</v>
      </c>
      <c r="N5076">
        <v>19211405.440000001</v>
      </c>
      <c r="O5076">
        <v>19211405.440000001</v>
      </c>
      <c r="P5076">
        <v>19211405.440000001</v>
      </c>
      <c r="Q5076">
        <v>19211405.440000001</v>
      </c>
      <c r="R5076" s="14">
        <f>_xlfn.XLOOKUP(Table2[[#This Row],[LoanID]],Table1[G-L ID],Table1[ManagerCode],-99)</f>
        <v>119</v>
      </c>
      <c r="T5076"/>
    </row>
    <row r="5077" spans="1:20" x14ac:dyDescent="0.25">
      <c r="A5077">
        <v>20161130</v>
      </c>
      <c r="B5077">
        <v>2016</v>
      </c>
      <c r="C5077">
        <v>11</v>
      </c>
      <c r="D5077">
        <v>1</v>
      </c>
      <c r="E5077">
        <v>10620</v>
      </c>
      <c r="F5077">
        <v>108923.55</v>
      </c>
      <c r="G5077">
        <v>0</v>
      </c>
      <c r="H5077">
        <v>0</v>
      </c>
      <c r="I5077">
        <v>0</v>
      </c>
      <c r="J5077">
        <v>0</v>
      </c>
      <c r="K5077">
        <v>0</v>
      </c>
      <c r="L5077">
        <v>11315131.58</v>
      </c>
      <c r="M5077">
        <v>11315131.58</v>
      </c>
      <c r="N5077">
        <v>11315131.58</v>
      </c>
      <c r="O5077">
        <v>11315131.58</v>
      </c>
      <c r="P5077">
        <v>11315131.58</v>
      </c>
      <c r="Q5077">
        <v>11315131.58</v>
      </c>
      <c r="R5077" s="14">
        <f>_xlfn.XLOOKUP(Table2[[#This Row],[LoanID]],Table1[G-L ID],Table1[ManagerCode],-99)</f>
        <v>119</v>
      </c>
      <c r="T5077"/>
    </row>
    <row r="5078" spans="1:20" x14ac:dyDescent="0.25">
      <c r="A5078">
        <v>20161130</v>
      </c>
      <c r="B5078">
        <v>2016</v>
      </c>
      <c r="C5078">
        <v>11</v>
      </c>
      <c r="D5078">
        <v>1</v>
      </c>
      <c r="E5078">
        <v>10670</v>
      </c>
      <c r="F5078">
        <v>261820.83</v>
      </c>
      <c r="G5078">
        <v>0</v>
      </c>
      <c r="H5078">
        <v>0</v>
      </c>
      <c r="I5078">
        <v>0</v>
      </c>
      <c r="J5078">
        <v>0</v>
      </c>
      <c r="K5078">
        <v>0</v>
      </c>
      <c r="L5078">
        <v>30000000</v>
      </c>
      <c r="M5078">
        <v>30000000</v>
      </c>
      <c r="N5078">
        <v>30000000</v>
      </c>
      <c r="O5078">
        <v>30000000</v>
      </c>
      <c r="P5078">
        <v>30000000</v>
      </c>
      <c r="Q5078">
        <v>30000000</v>
      </c>
      <c r="R5078" s="14">
        <f>_xlfn.XLOOKUP(Table2[[#This Row],[LoanID]],Table1[G-L ID],Table1[ManagerCode],-99)</f>
        <v>119</v>
      </c>
      <c r="T5078"/>
    </row>
    <row r="5079" spans="1:20" x14ac:dyDescent="0.25">
      <c r="A5079">
        <v>20161130</v>
      </c>
      <c r="B5079">
        <v>2016</v>
      </c>
      <c r="C5079">
        <v>11</v>
      </c>
      <c r="D5079">
        <v>1</v>
      </c>
      <c r="E5079">
        <v>10680</v>
      </c>
      <c r="F5079">
        <v>98078.67</v>
      </c>
      <c r="G5079">
        <v>0</v>
      </c>
      <c r="H5079">
        <v>0</v>
      </c>
      <c r="I5079">
        <v>0</v>
      </c>
      <c r="J5079">
        <v>0</v>
      </c>
      <c r="K5079">
        <v>0</v>
      </c>
      <c r="L5079">
        <v>11403957.27</v>
      </c>
      <c r="M5079">
        <v>11403957.27</v>
      </c>
      <c r="N5079">
        <v>11403957.27</v>
      </c>
      <c r="O5079">
        <v>11403957.27</v>
      </c>
      <c r="P5079">
        <v>11403957.27</v>
      </c>
      <c r="Q5079">
        <v>11403957.27</v>
      </c>
      <c r="R5079" s="14">
        <f>_xlfn.XLOOKUP(Table2[[#This Row],[LoanID]],Table1[G-L ID],Table1[ManagerCode],-99)</f>
        <v>119</v>
      </c>
      <c r="T5079"/>
    </row>
    <row r="5080" spans="1:20" x14ac:dyDescent="0.25">
      <c r="A5080">
        <v>20161130</v>
      </c>
      <c r="B5080">
        <v>2016</v>
      </c>
      <c r="C5080">
        <v>11</v>
      </c>
      <c r="D5080">
        <v>1</v>
      </c>
      <c r="E5080">
        <v>10730</v>
      </c>
      <c r="F5080">
        <v>100104.93</v>
      </c>
      <c r="G5080">
        <v>0</v>
      </c>
      <c r="H5080">
        <v>0</v>
      </c>
      <c r="I5080">
        <v>0</v>
      </c>
      <c r="J5080">
        <v>0</v>
      </c>
      <c r="K5080">
        <v>0</v>
      </c>
      <c r="L5080">
        <v>9500000</v>
      </c>
      <c r="M5080">
        <v>9500000</v>
      </c>
      <c r="N5080">
        <v>9500000</v>
      </c>
      <c r="O5080">
        <v>9500000</v>
      </c>
      <c r="P5080">
        <v>9500000</v>
      </c>
      <c r="Q5080">
        <v>9500000</v>
      </c>
      <c r="R5080" s="14">
        <f>_xlfn.XLOOKUP(Table2[[#This Row],[LoanID]],Table1[G-L ID],Table1[ManagerCode],-99)</f>
        <v>119</v>
      </c>
      <c r="T5080"/>
    </row>
    <row r="5081" spans="1:20" x14ac:dyDescent="0.25">
      <c r="A5081">
        <v>20161130</v>
      </c>
      <c r="B5081">
        <v>2016</v>
      </c>
      <c r="C5081">
        <v>11</v>
      </c>
      <c r="D5081">
        <v>1</v>
      </c>
      <c r="E5081">
        <v>10740</v>
      </c>
      <c r="F5081">
        <v>1037837.02</v>
      </c>
      <c r="G5081">
        <v>0</v>
      </c>
      <c r="H5081">
        <v>0</v>
      </c>
      <c r="I5081">
        <v>0</v>
      </c>
      <c r="J5081">
        <v>0</v>
      </c>
      <c r="K5081">
        <v>0</v>
      </c>
      <c r="L5081">
        <v>436620058</v>
      </c>
      <c r="M5081">
        <v>437380243.89999998</v>
      </c>
      <c r="N5081">
        <v>436620058</v>
      </c>
      <c r="O5081">
        <v>437380243.89999998</v>
      </c>
      <c r="P5081">
        <v>441801475</v>
      </c>
      <c r="Q5081">
        <v>441801475</v>
      </c>
      <c r="R5081" s="14">
        <f>_xlfn.XLOOKUP(Table2[[#This Row],[LoanID]],Table1[G-L ID],Table1[ManagerCode],-99)</f>
        <v>103</v>
      </c>
      <c r="T5081"/>
    </row>
    <row r="5082" spans="1:20" x14ac:dyDescent="0.25">
      <c r="A5082">
        <v>20161130</v>
      </c>
      <c r="B5082">
        <v>2016</v>
      </c>
      <c r="C5082">
        <v>11</v>
      </c>
      <c r="D5082">
        <v>1</v>
      </c>
      <c r="E5082">
        <v>10750</v>
      </c>
      <c r="F5082">
        <v>81641.740000000005</v>
      </c>
      <c r="G5082">
        <v>0</v>
      </c>
      <c r="H5082">
        <v>0</v>
      </c>
      <c r="I5082">
        <v>0</v>
      </c>
      <c r="J5082">
        <v>0</v>
      </c>
      <c r="K5082">
        <v>0</v>
      </c>
      <c r="L5082">
        <v>10445622.59</v>
      </c>
      <c r="M5082">
        <v>10445622.59</v>
      </c>
      <c r="N5082">
        <v>10445622.59</v>
      </c>
      <c r="O5082">
        <v>10445622.59</v>
      </c>
      <c r="P5082">
        <v>10445622.59</v>
      </c>
      <c r="Q5082">
        <v>10445622.59</v>
      </c>
      <c r="R5082" s="14">
        <f>_xlfn.XLOOKUP(Table2[[#This Row],[LoanID]],Table1[G-L ID],Table1[ManagerCode],-99)</f>
        <v>119</v>
      </c>
      <c r="T5082"/>
    </row>
    <row r="5083" spans="1:20" x14ac:dyDescent="0.25">
      <c r="A5083">
        <v>20161130</v>
      </c>
      <c r="B5083">
        <v>2016</v>
      </c>
      <c r="C5083">
        <v>11</v>
      </c>
      <c r="D5083">
        <v>1</v>
      </c>
      <c r="E5083">
        <v>10780</v>
      </c>
      <c r="F5083">
        <v>324594.65999999997</v>
      </c>
      <c r="G5083">
        <v>0</v>
      </c>
      <c r="H5083">
        <v>0</v>
      </c>
      <c r="I5083">
        <v>0</v>
      </c>
      <c r="J5083">
        <v>0</v>
      </c>
      <c r="K5083">
        <v>0</v>
      </c>
      <c r="L5083">
        <v>42932230.469999999</v>
      </c>
      <c r="M5083">
        <v>42932230.469999999</v>
      </c>
      <c r="N5083">
        <v>42932230.469999999</v>
      </c>
      <c r="O5083">
        <v>42932230.469999999</v>
      </c>
      <c r="P5083">
        <v>42932230.469999999</v>
      </c>
      <c r="Q5083">
        <v>42932230.469999999</v>
      </c>
      <c r="R5083" s="14">
        <f>_xlfn.XLOOKUP(Table2[[#This Row],[LoanID]],Table1[G-L ID],Table1[ManagerCode],-99)</f>
        <v>220</v>
      </c>
      <c r="T5083"/>
    </row>
    <row r="5084" spans="1:20" x14ac:dyDescent="0.25">
      <c r="A5084">
        <v>20161130</v>
      </c>
      <c r="B5084">
        <v>2016</v>
      </c>
      <c r="C5084">
        <v>11</v>
      </c>
      <c r="D5084">
        <v>1</v>
      </c>
      <c r="E5084">
        <v>10800</v>
      </c>
      <c r="F5084">
        <v>414780</v>
      </c>
      <c r="G5084">
        <v>0</v>
      </c>
      <c r="H5084">
        <v>0</v>
      </c>
      <c r="I5084">
        <v>0</v>
      </c>
      <c r="J5084">
        <v>0</v>
      </c>
      <c r="K5084">
        <v>0</v>
      </c>
      <c r="L5084">
        <v>48000000</v>
      </c>
      <c r="M5084">
        <v>48000000</v>
      </c>
      <c r="N5084">
        <v>48000000</v>
      </c>
      <c r="O5084">
        <v>48000000</v>
      </c>
      <c r="P5084">
        <v>48000000</v>
      </c>
      <c r="Q5084">
        <v>48000000</v>
      </c>
      <c r="R5084" s="14">
        <f>_xlfn.XLOOKUP(Table2[[#This Row],[LoanID]],Table1[G-L ID],Table1[ManagerCode],-99)</f>
        <v>220</v>
      </c>
      <c r="T5084"/>
    </row>
    <row r="5085" spans="1:20" x14ac:dyDescent="0.25">
      <c r="A5085">
        <v>20161130</v>
      </c>
      <c r="B5085">
        <v>2016</v>
      </c>
      <c r="C5085">
        <v>11</v>
      </c>
      <c r="D5085">
        <v>1</v>
      </c>
      <c r="E5085">
        <v>10810</v>
      </c>
      <c r="F5085">
        <v>84627.07</v>
      </c>
      <c r="G5085">
        <v>0</v>
      </c>
      <c r="H5085">
        <v>0</v>
      </c>
      <c r="I5085">
        <v>0</v>
      </c>
      <c r="J5085">
        <v>0</v>
      </c>
      <c r="K5085">
        <v>0</v>
      </c>
      <c r="L5085">
        <v>9905000</v>
      </c>
      <c r="M5085">
        <v>9905000</v>
      </c>
      <c r="N5085">
        <v>9905000</v>
      </c>
      <c r="O5085">
        <v>9905000</v>
      </c>
      <c r="P5085">
        <v>9905000</v>
      </c>
      <c r="Q5085">
        <v>9905000</v>
      </c>
      <c r="R5085" s="14">
        <f>_xlfn.XLOOKUP(Table2[[#This Row],[LoanID]],Table1[G-L ID],Table1[ManagerCode],-99)</f>
        <v>119</v>
      </c>
      <c r="T5085"/>
    </row>
    <row r="5086" spans="1:20" x14ac:dyDescent="0.25">
      <c r="A5086">
        <v>20161130</v>
      </c>
      <c r="B5086">
        <v>2016</v>
      </c>
      <c r="C5086">
        <v>11</v>
      </c>
      <c r="D5086">
        <v>1</v>
      </c>
      <c r="E5086">
        <v>10820</v>
      </c>
      <c r="F5086">
        <v>197375.03</v>
      </c>
      <c r="G5086">
        <v>0</v>
      </c>
      <c r="H5086">
        <v>0</v>
      </c>
      <c r="I5086">
        <v>0</v>
      </c>
      <c r="J5086">
        <v>0</v>
      </c>
      <c r="K5086">
        <v>0</v>
      </c>
      <c r="L5086">
        <v>24344483.780000001</v>
      </c>
      <c r="M5086">
        <v>24344483.780000001</v>
      </c>
      <c r="N5086">
        <v>24344483.780000001</v>
      </c>
      <c r="O5086">
        <v>24344483.780000001</v>
      </c>
      <c r="P5086">
        <v>24127337.739999998</v>
      </c>
      <c r="Q5086">
        <v>24127337.739999998</v>
      </c>
      <c r="R5086" s="14">
        <f>_xlfn.XLOOKUP(Table2[[#This Row],[LoanID]],Table1[G-L ID],Table1[ManagerCode],-99)</f>
        <v>220</v>
      </c>
      <c r="T5086"/>
    </row>
    <row r="5087" spans="1:20" x14ac:dyDescent="0.25">
      <c r="A5087">
        <v>20161130</v>
      </c>
      <c r="B5087">
        <v>2016</v>
      </c>
      <c r="C5087">
        <v>11</v>
      </c>
      <c r="D5087">
        <v>1</v>
      </c>
      <c r="E5087">
        <v>10830</v>
      </c>
      <c r="F5087">
        <v>63857.77</v>
      </c>
      <c r="G5087">
        <v>0</v>
      </c>
      <c r="H5087">
        <v>0</v>
      </c>
      <c r="I5087">
        <v>0</v>
      </c>
      <c r="J5087">
        <v>0</v>
      </c>
      <c r="K5087">
        <v>0</v>
      </c>
      <c r="L5087">
        <v>7876297.5300000003</v>
      </c>
      <c r="M5087">
        <v>7876297.5300000003</v>
      </c>
      <c r="N5087">
        <v>7876297.5300000003</v>
      </c>
      <c r="O5087">
        <v>7876297.5300000003</v>
      </c>
      <c r="P5087">
        <v>7806043.1399999997</v>
      </c>
      <c r="Q5087">
        <v>7806043.1399999997</v>
      </c>
      <c r="R5087" s="14">
        <f>_xlfn.XLOOKUP(Table2[[#This Row],[LoanID]],Table1[G-L ID],Table1[ManagerCode],-99)</f>
        <v>220</v>
      </c>
      <c r="T5087"/>
    </row>
    <row r="5088" spans="1:20" x14ac:dyDescent="0.25">
      <c r="A5088">
        <v>20161130</v>
      </c>
      <c r="B5088">
        <v>2016</v>
      </c>
      <c r="C5088">
        <v>11</v>
      </c>
      <c r="D5088">
        <v>1</v>
      </c>
      <c r="E5088">
        <v>10840</v>
      </c>
      <c r="F5088">
        <v>103968.23</v>
      </c>
      <c r="G5088">
        <v>0</v>
      </c>
      <c r="H5088">
        <v>0</v>
      </c>
      <c r="I5088">
        <v>0</v>
      </c>
      <c r="J5088">
        <v>0</v>
      </c>
      <c r="K5088">
        <v>0</v>
      </c>
      <c r="L5088">
        <v>12823571.699999999</v>
      </c>
      <c r="M5088">
        <v>12823571.699999999</v>
      </c>
      <c r="N5088">
        <v>12823571.699999999</v>
      </c>
      <c r="O5088">
        <v>12823571.699999999</v>
      </c>
      <c r="P5088">
        <v>12709189</v>
      </c>
      <c r="Q5088">
        <v>12709189</v>
      </c>
      <c r="R5088" s="14">
        <f>_xlfn.XLOOKUP(Table2[[#This Row],[LoanID]],Table1[G-L ID],Table1[ManagerCode],-99)</f>
        <v>220</v>
      </c>
      <c r="T5088"/>
    </row>
    <row r="5089" spans="1:20" x14ac:dyDescent="0.25">
      <c r="A5089">
        <v>20161130</v>
      </c>
      <c r="B5089">
        <v>2016</v>
      </c>
      <c r="C5089">
        <v>11</v>
      </c>
      <c r="D5089">
        <v>1</v>
      </c>
      <c r="E5089">
        <v>10850</v>
      </c>
      <c r="F5089">
        <v>110534.78</v>
      </c>
      <c r="G5089">
        <v>0</v>
      </c>
      <c r="H5089">
        <v>0</v>
      </c>
      <c r="I5089">
        <v>0</v>
      </c>
      <c r="J5089">
        <v>0</v>
      </c>
      <c r="K5089">
        <v>0</v>
      </c>
      <c r="L5089">
        <v>13633499.029999999</v>
      </c>
      <c r="M5089">
        <v>13633499.029999999</v>
      </c>
      <c r="N5089">
        <v>13633499.029999999</v>
      </c>
      <c r="O5089">
        <v>13633499.029999999</v>
      </c>
      <c r="P5089">
        <v>13511892</v>
      </c>
      <c r="Q5089">
        <v>13511892</v>
      </c>
      <c r="R5089" s="14">
        <f>_xlfn.XLOOKUP(Table2[[#This Row],[LoanID]],Table1[G-L ID],Table1[ManagerCode],-99)</f>
        <v>220</v>
      </c>
      <c r="T5089"/>
    </row>
    <row r="5090" spans="1:20" x14ac:dyDescent="0.25">
      <c r="A5090">
        <v>20161130</v>
      </c>
      <c r="B5090">
        <v>2016</v>
      </c>
      <c r="C5090">
        <v>11</v>
      </c>
      <c r="D5090">
        <v>1</v>
      </c>
      <c r="E5090">
        <v>10860</v>
      </c>
      <c r="F5090">
        <v>124187.29</v>
      </c>
      <c r="G5090">
        <v>0</v>
      </c>
      <c r="H5090">
        <v>0</v>
      </c>
      <c r="I5090">
        <v>0</v>
      </c>
      <c r="J5090">
        <v>0</v>
      </c>
      <c r="K5090">
        <v>0</v>
      </c>
      <c r="L5090">
        <v>19475000</v>
      </c>
      <c r="M5090">
        <v>19475000</v>
      </c>
      <c r="N5090">
        <v>19475000</v>
      </c>
      <c r="O5090">
        <v>19475000</v>
      </c>
      <c r="P5090">
        <v>20500000</v>
      </c>
      <c r="Q5090">
        <v>20500000</v>
      </c>
      <c r="R5090" s="14">
        <f>_xlfn.XLOOKUP(Table2[[#This Row],[LoanID]],Table1[G-L ID],Table1[ManagerCode],-99)</f>
        <v>103</v>
      </c>
      <c r="T5090"/>
    </row>
    <row r="5091" spans="1:20" x14ac:dyDescent="0.25">
      <c r="A5091">
        <v>20161130</v>
      </c>
      <c r="B5091">
        <v>2016</v>
      </c>
      <c r="C5091">
        <v>11</v>
      </c>
      <c r="D5091">
        <v>1</v>
      </c>
      <c r="E5091">
        <v>10890</v>
      </c>
      <c r="F5091">
        <v>106234.78</v>
      </c>
      <c r="G5091">
        <v>89340.5</v>
      </c>
      <c r="H5091">
        <v>0</v>
      </c>
      <c r="I5091">
        <v>0</v>
      </c>
      <c r="J5091">
        <v>-106234.78</v>
      </c>
      <c r="K5091">
        <v>0</v>
      </c>
      <c r="L5091">
        <v>21335484.809999999</v>
      </c>
      <c r="M5091">
        <v>21531060.09</v>
      </c>
      <c r="N5091">
        <v>21335484.809999999</v>
      </c>
      <c r="O5091">
        <v>21531060.09</v>
      </c>
      <c r="P5091">
        <v>21335484.809999999</v>
      </c>
      <c r="Q5091">
        <v>21531060.09</v>
      </c>
      <c r="R5091" s="14">
        <f>_xlfn.XLOOKUP(Table2[[#This Row],[LoanID]],Table1[G-L ID],Table1[ManagerCode],-99)</f>
        <v>183</v>
      </c>
      <c r="T5091"/>
    </row>
    <row r="5092" spans="1:20" x14ac:dyDescent="0.25">
      <c r="A5092">
        <v>20161130</v>
      </c>
      <c r="B5092">
        <v>2016</v>
      </c>
      <c r="C5092">
        <v>11</v>
      </c>
      <c r="D5092">
        <v>1</v>
      </c>
      <c r="E5092">
        <v>10910</v>
      </c>
      <c r="F5092">
        <v>203183.47</v>
      </c>
      <c r="G5092">
        <v>0</v>
      </c>
      <c r="H5092">
        <v>0</v>
      </c>
      <c r="I5092">
        <v>0</v>
      </c>
      <c r="J5092">
        <v>0</v>
      </c>
      <c r="K5092">
        <v>0</v>
      </c>
      <c r="L5092">
        <v>22500000</v>
      </c>
      <c r="M5092">
        <v>22500000</v>
      </c>
      <c r="N5092">
        <v>22500000</v>
      </c>
      <c r="O5092">
        <v>22500000</v>
      </c>
      <c r="P5092">
        <v>22500000</v>
      </c>
      <c r="Q5092">
        <v>22500000</v>
      </c>
      <c r="R5092" s="14">
        <f>_xlfn.XLOOKUP(Table2[[#This Row],[LoanID]],Table1[G-L ID],Table1[ManagerCode],-99)</f>
        <v>119</v>
      </c>
      <c r="T5092"/>
    </row>
    <row r="5093" spans="1:20" x14ac:dyDescent="0.25">
      <c r="A5093">
        <v>20161130</v>
      </c>
      <c r="B5093">
        <v>2016</v>
      </c>
      <c r="C5093">
        <v>11</v>
      </c>
      <c r="D5093">
        <v>1</v>
      </c>
      <c r="E5093">
        <v>10930</v>
      </c>
      <c r="F5093">
        <v>0</v>
      </c>
      <c r="G5093">
        <v>175082.78</v>
      </c>
      <c r="H5093">
        <v>0</v>
      </c>
      <c r="I5093">
        <v>0</v>
      </c>
      <c r="J5093">
        <v>0</v>
      </c>
      <c r="K5093">
        <v>0</v>
      </c>
      <c r="L5093">
        <v>16385952.43</v>
      </c>
      <c r="M5093">
        <v>16561035.210000001</v>
      </c>
      <c r="N5093">
        <v>16385952.43</v>
      </c>
      <c r="O5093">
        <v>16561035.210000001</v>
      </c>
      <c r="P5093">
        <v>16385952.43</v>
      </c>
      <c r="Q5093">
        <v>16561035.210000001</v>
      </c>
      <c r="R5093" s="14">
        <f>_xlfn.XLOOKUP(Table2[[#This Row],[LoanID]],Table1[G-L ID],Table1[ManagerCode],-99)</f>
        <v>183</v>
      </c>
      <c r="T5093"/>
    </row>
    <row r="5094" spans="1:20" x14ac:dyDescent="0.25">
      <c r="A5094">
        <v>20161130</v>
      </c>
      <c r="B5094">
        <v>2016</v>
      </c>
      <c r="C5094">
        <v>11</v>
      </c>
      <c r="D5094">
        <v>1</v>
      </c>
      <c r="E5094">
        <v>10970</v>
      </c>
      <c r="F5094">
        <v>21086.14</v>
      </c>
      <c r="G5094">
        <v>23080.75</v>
      </c>
      <c r="H5094">
        <v>0</v>
      </c>
      <c r="I5094">
        <v>0</v>
      </c>
      <c r="J5094">
        <v>-21086.14</v>
      </c>
      <c r="K5094">
        <v>0</v>
      </c>
      <c r="L5094">
        <v>4253154.78</v>
      </c>
      <c r="M5094">
        <v>4297321.67</v>
      </c>
      <c r="N5094">
        <v>4253154.78</v>
      </c>
      <c r="O5094">
        <v>4297321.67</v>
      </c>
      <c r="P5094">
        <v>4253154.78</v>
      </c>
      <c r="Q5094">
        <v>4297321.67</v>
      </c>
      <c r="R5094" s="14">
        <f>_xlfn.XLOOKUP(Table2[[#This Row],[LoanID]],Table1[G-L ID],Table1[ManagerCode],-99)</f>
        <v>183</v>
      </c>
      <c r="T5094"/>
    </row>
    <row r="5095" spans="1:20" x14ac:dyDescent="0.25">
      <c r="A5095">
        <v>20161130</v>
      </c>
      <c r="B5095">
        <v>2016</v>
      </c>
      <c r="C5095">
        <v>11</v>
      </c>
      <c r="D5095">
        <v>1</v>
      </c>
      <c r="E5095">
        <v>11010</v>
      </c>
      <c r="F5095">
        <v>217405.87</v>
      </c>
      <c r="G5095">
        <v>0</v>
      </c>
      <c r="H5095">
        <v>0</v>
      </c>
      <c r="I5095">
        <v>0</v>
      </c>
      <c r="J5095">
        <v>0</v>
      </c>
      <c r="K5095">
        <v>0</v>
      </c>
      <c r="L5095">
        <v>26500000</v>
      </c>
      <c r="M5095">
        <v>26500000</v>
      </c>
      <c r="N5095">
        <v>26500000</v>
      </c>
      <c r="O5095">
        <v>26500000</v>
      </c>
      <c r="P5095">
        <v>26500000</v>
      </c>
      <c r="Q5095">
        <v>26500000</v>
      </c>
      <c r="R5095" s="14">
        <f>_xlfn.XLOOKUP(Table2[[#This Row],[LoanID]],Table1[G-L ID],Table1[ManagerCode],-99)</f>
        <v>119</v>
      </c>
      <c r="T5095"/>
    </row>
    <row r="5096" spans="1:20" x14ac:dyDescent="0.25">
      <c r="A5096">
        <v>20161130</v>
      </c>
      <c r="B5096">
        <v>2016</v>
      </c>
      <c r="C5096">
        <v>11</v>
      </c>
      <c r="D5096">
        <v>1</v>
      </c>
      <c r="E5096">
        <v>11030</v>
      </c>
      <c r="F5096">
        <v>62169.91</v>
      </c>
      <c r="G5096">
        <v>0</v>
      </c>
      <c r="H5096">
        <v>0</v>
      </c>
      <c r="I5096">
        <v>0</v>
      </c>
      <c r="J5096">
        <v>0</v>
      </c>
      <c r="K5096">
        <v>9777.7800000000007</v>
      </c>
      <c r="L5096">
        <v>7853333.2999999998</v>
      </c>
      <c r="M5096">
        <v>7843555.5199999996</v>
      </c>
      <c r="N5096">
        <v>7853333.2999999998</v>
      </c>
      <c r="O5096">
        <v>7843555.5199999996</v>
      </c>
      <c r="P5096">
        <v>7853333.2999999998</v>
      </c>
      <c r="Q5096">
        <v>7843555.5199999996</v>
      </c>
      <c r="R5096" s="14">
        <f>_xlfn.XLOOKUP(Table2[[#This Row],[LoanID]],Table1[G-L ID],Table1[ManagerCode],-99)</f>
        <v>119</v>
      </c>
      <c r="T5096"/>
    </row>
    <row r="5097" spans="1:20" x14ac:dyDescent="0.25">
      <c r="A5097">
        <v>20161130</v>
      </c>
      <c r="B5097">
        <v>2016</v>
      </c>
      <c r="C5097">
        <v>11</v>
      </c>
      <c r="D5097">
        <v>1</v>
      </c>
      <c r="E5097">
        <v>11040</v>
      </c>
      <c r="F5097">
        <v>505883.65</v>
      </c>
      <c r="G5097">
        <v>0</v>
      </c>
      <c r="H5097">
        <v>0</v>
      </c>
      <c r="I5097">
        <v>0</v>
      </c>
      <c r="J5097">
        <v>0</v>
      </c>
      <c r="K5097">
        <v>0</v>
      </c>
      <c r="L5097">
        <v>46866994.979999997</v>
      </c>
      <c r="M5097">
        <v>46866994.979999997</v>
      </c>
      <c r="N5097">
        <v>46866994.979999997</v>
      </c>
      <c r="O5097">
        <v>46866994.979999997</v>
      </c>
      <c r="P5097">
        <v>46866994.979999997</v>
      </c>
      <c r="Q5097">
        <v>46866994.979999997</v>
      </c>
      <c r="R5097" s="14">
        <f>_xlfn.XLOOKUP(Table2[[#This Row],[LoanID]],Table1[G-L ID],Table1[ManagerCode],-99)</f>
        <v>220</v>
      </c>
      <c r="T5097"/>
    </row>
    <row r="5098" spans="1:20" x14ac:dyDescent="0.25">
      <c r="A5098">
        <v>20161130</v>
      </c>
      <c r="B5098">
        <v>2016</v>
      </c>
      <c r="C5098">
        <v>11</v>
      </c>
      <c r="D5098">
        <v>1</v>
      </c>
      <c r="E5098">
        <v>11060</v>
      </c>
      <c r="F5098">
        <v>120972.2</v>
      </c>
      <c r="G5098">
        <v>0</v>
      </c>
      <c r="H5098">
        <v>0</v>
      </c>
      <c r="I5098">
        <v>0</v>
      </c>
      <c r="J5098">
        <v>0</v>
      </c>
      <c r="K5098">
        <v>0</v>
      </c>
      <c r="L5098">
        <v>14000000</v>
      </c>
      <c r="M5098">
        <v>14000000</v>
      </c>
      <c r="N5098">
        <v>14000000</v>
      </c>
      <c r="O5098">
        <v>14000000</v>
      </c>
      <c r="P5098">
        <v>14000000</v>
      </c>
      <c r="Q5098">
        <v>14000000</v>
      </c>
      <c r="R5098" s="14">
        <f>_xlfn.XLOOKUP(Table2[[#This Row],[LoanID]],Table1[G-L ID],Table1[ManagerCode],-99)</f>
        <v>119</v>
      </c>
      <c r="T5098"/>
    </row>
    <row r="5099" spans="1:20" x14ac:dyDescent="0.25">
      <c r="A5099">
        <v>20161130</v>
      </c>
      <c r="B5099">
        <v>2016</v>
      </c>
      <c r="C5099">
        <v>11</v>
      </c>
      <c r="D5099">
        <v>1</v>
      </c>
      <c r="E5099">
        <v>11080</v>
      </c>
      <c r="F5099">
        <v>318265.98</v>
      </c>
      <c r="G5099">
        <v>0</v>
      </c>
      <c r="H5099">
        <v>0</v>
      </c>
      <c r="I5099">
        <v>0</v>
      </c>
      <c r="J5099">
        <v>0</v>
      </c>
      <c r="K5099">
        <v>0</v>
      </c>
      <c r="L5099">
        <v>40000000</v>
      </c>
      <c r="M5099">
        <v>40000000</v>
      </c>
      <c r="N5099">
        <v>40000000</v>
      </c>
      <c r="O5099">
        <v>40000000</v>
      </c>
      <c r="P5099">
        <v>40000000</v>
      </c>
      <c r="Q5099">
        <v>40000000</v>
      </c>
      <c r="R5099" s="14">
        <f>_xlfn.XLOOKUP(Table2[[#This Row],[LoanID]],Table1[G-L ID],Table1[ManagerCode],-99)</f>
        <v>119</v>
      </c>
      <c r="T5099"/>
    </row>
    <row r="5100" spans="1:20" x14ac:dyDescent="0.25">
      <c r="A5100">
        <v>20161130</v>
      </c>
      <c r="B5100">
        <v>2016</v>
      </c>
      <c r="C5100">
        <v>11</v>
      </c>
      <c r="D5100">
        <v>1</v>
      </c>
      <c r="E5100">
        <v>11090</v>
      </c>
      <c r="F5100">
        <v>94992.54</v>
      </c>
      <c r="G5100">
        <v>0</v>
      </c>
      <c r="H5100">
        <v>0</v>
      </c>
      <c r="I5100">
        <v>0</v>
      </c>
      <c r="J5100">
        <v>0</v>
      </c>
      <c r="K5100">
        <v>0</v>
      </c>
      <c r="L5100">
        <v>11000000</v>
      </c>
      <c r="M5100">
        <v>11000000</v>
      </c>
      <c r="N5100">
        <v>11000000</v>
      </c>
      <c r="O5100">
        <v>11000000</v>
      </c>
      <c r="P5100">
        <v>11000000</v>
      </c>
      <c r="Q5100">
        <v>11000000</v>
      </c>
      <c r="R5100" s="14">
        <f>_xlfn.XLOOKUP(Table2[[#This Row],[LoanID]],Table1[G-L ID],Table1[ManagerCode],-99)</f>
        <v>119</v>
      </c>
      <c r="T5100"/>
    </row>
    <row r="5101" spans="1:20" x14ac:dyDescent="0.25">
      <c r="A5101">
        <v>20161130</v>
      </c>
      <c r="B5101">
        <v>2016</v>
      </c>
      <c r="C5101">
        <v>11</v>
      </c>
      <c r="D5101">
        <v>1</v>
      </c>
      <c r="E5101">
        <v>11130</v>
      </c>
      <c r="F5101">
        <v>2050153.44</v>
      </c>
      <c r="G5101">
        <v>0</v>
      </c>
      <c r="H5101">
        <v>0</v>
      </c>
      <c r="I5101">
        <v>0</v>
      </c>
      <c r="J5101">
        <v>0</v>
      </c>
      <c r="K5101">
        <v>0</v>
      </c>
      <c r="L5101">
        <v>155047589.90000001</v>
      </c>
      <c r="M5101">
        <v>150980011.30000001</v>
      </c>
      <c r="N5101">
        <v>155047589.90000001</v>
      </c>
      <c r="O5101">
        <v>150980011.30000001</v>
      </c>
      <c r="P5101">
        <v>177000000</v>
      </c>
      <c r="Q5101">
        <v>177000000</v>
      </c>
      <c r="R5101" s="14">
        <f>_xlfn.XLOOKUP(Table2[[#This Row],[LoanID]],Table1[G-L ID],Table1[ManagerCode],-99)</f>
        <v>103</v>
      </c>
      <c r="T5101"/>
    </row>
    <row r="5102" spans="1:20" x14ac:dyDescent="0.25">
      <c r="A5102">
        <v>20161130</v>
      </c>
      <c r="B5102">
        <v>2016</v>
      </c>
      <c r="C5102">
        <v>11</v>
      </c>
      <c r="D5102">
        <v>1</v>
      </c>
      <c r="E5102">
        <v>11150</v>
      </c>
      <c r="F5102">
        <v>145213.56</v>
      </c>
      <c r="G5102">
        <v>0</v>
      </c>
      <c r="H5102">
        <v>-350700</v>
      </c>
      <c r="I5102">
        <v>0</v>
      </c>
      <c r="J5102">
        <v>26820000</v>
      </c>
      <c r="K5102">
        <v>0</v>
      </c>
      <c r="L5102">
        <v>35760000</v>
      </c>
      <c r="M5102">
        <v>8940000</v>
      </c>
      <c r="N5102">
        <v>35760000</v>
      </c>
      <c r="O5102">
        <v>8940000</v>
      </c>
      <c r="P5102">
        <v>35760000</v>
      </c>
      <c r="Q5102">
        <v>8940000</v>
      </c>
      <c r="R5102" s="14">
        <f>_xlfn.XLOOKUP(Table2[[#This Row],[LoanID]],Table1[G-L ID],Table1[ManagerCode],-99)</f>
        <v>119</v>
      </c>
      <c r="T5102"/>
    </row>
    <row r="5103" spans="1:20" x14ac:dyDescent="0.25">
      <c r="A5103">
        <v>20161130</v>
      </c>
      <c r="B5103">
        <v>2016</v>
      </c>
      <c r="C5103">
        <v>11</v>
      </c>
      <c r="D5103">
        <v>1</v>
      </c>
      <c r="E5103">
        <v>11160</v>
      </c>
      <c r="F5103">
        <v>252367.27</v>
      </c>
      <c r="G5103">
        <v>160270.39999999999</v>
      </c>
      <c r="H5103">
        <v>0</v>
      </c>
      <c r="I5103">
        <v>0</v>
      </c>
      <c r="J5103">
        <v>-4692972.05</v>
      </c>
      <c r="K5103">
        <v>2110871.2400000002</v>
      </c>
      <c r="L5103">
        <v>58358132.130000003</v>
      </c>
      <c r="M5103">
        <v>63211374.579999998</v>
      </c>
      <c r="N5103">
        <v>43461275.509999998</v>
      </c>
      <c r="O5103">
        <v>46203646.719999999</v>
      </c>
      <c r="P5103">
        <v>58358132.130000003</v>
      </c>
      <c r="Q5103">
        <v>63211374.579999998</v>
      </c>
      <c r="R5103" s="14">
        <f>_xlfn.XLOOKUP(Table2[[#This Row],[LoanID]],Table1[G-L ID],Table1[ManagerCode],-99)</f>
        <v>183</v>
      </c>
      <c r="T5103"/>
    </row>
    <row r="5104" spans="1:20" x14ac:dyDescent="0.25">
      <c r="A5104">
        <v>20161130</v>
      </c>
      <c r="B5104">
        <v>2016</v>
      </c>
      <c r="C5104">
        <v>11</v>
      </c>
      <c r="D5104">
        <v>1</v>
      </c>
      <c r="E5104">
        <v>11210</v>
      </c>
      <c r="F5104">
        <v>59158.34</v>
      </c>
      <c r="G5104">
        <v>0</v>
      </c>
      <c r="H5104">
        <v>0</v>
      </c>
      <c r="I5104">
        <v>0</v>
      </c>
      <c r="J5104">
        <v>0</v>
      </c>
      <c r="K5104">
        <v>0</v>
      </c>
      <c r="L5104">
        <v>7500000</v>
      </c>
      <c r="M5104">
        <v>7500000</v>
      </c>
      <c r="N5104">
        <v>7500000</v>
      </c>
      <c r="O5104">
        <v>7500000</v>
      </c>
      <c r="P5104">
        <v>7500000</v>
      </c>
      <c r="Q5104">
        <v>7500000</v>
      </c>
      <c r="R5104" s="14">
        <f>_xlfn.XLOOKUP(Table2[[#This Row],[LoanID]],Table1[G-L ID],Table1[ManagerCode],-99)</f>
        <v>119</v>
      </c>
      <c r="T5104"/>
    </row>
    <row r="5105" spans="1:20" x14ac:dyDescent="0.25">
      <c r="A5105">
        <v>20161130</v>
      </c>
      <c r="B5105">
        <v>2016</v>
      </c>
      <c r="C5105">
        <v>11</v>
      </c>
      <c r="D5105">
        <v>1</v>
      </c>
      <c r="E5105">
        <v>11250</v>
      </c>
      <c r="F5105">
        <v>228165.31</v>
      </c>
      <c r="G5105">
        <v>0</v>
      </c>
      <c r="H5105">
        <v>0</v>
      </c>
      <c r="I5105">
        <v>0</v>
      </c>
      <c r="J5105">
        <v>0</v>
      </c>
      <c r="K5105">
        <v>0</v>
      </c>
      <c r="L5105">
        <v>18253225.030000001</v>
      </c>
      <c r="M5105">
        <v>18253225.030000001</v>
      </c>
      <c r="N5105">
        <v>18253225.030000001</v>
      </c>
      <c r="O5105">
        <v>18253225.030000001</v>
      </c>
      <c r="P5105">
        <v>18253225.030000001</v>
      </c>
      <c r="Q5105">
        <v>18253225.030000001</v>
      </c>
      <c r="R5105" s="14">
        <f>_xlfn.XLOOKUP(Table2[[#This Row],[LoanID]],Table1[G-L ID],Table1[ManagerCode],-99)</f>
        <v>183</v>
      </c>
      <c r="T5105"/>
    </row>
    <row r="5106" spans="1:20" x14ac:dyDescent="0.25">
      <c r="A5106">
        <v>20161130</v>
      </c>
      <c r="B5106">
        <v>2016</v>
      </c>
      <c r="C5106">
        <v>11</v>
      </c>
      <c r="D5106">
        <v>1</v>
      </c>
      <c r="E5106">
        <v>11330</v>
      </c>
      <c r="F5106">
        <v>69005.440000000002</v>
      </c>
      <c r="G5106">
        <v>0</v>
      </c>
      <c r="H5106">
        <v>0</v>
      </c>
      <c r="I5106">
        <v>0</v>
      </c>
      <c r="J5106">
        <v>848215</v>
      </c>
      <c r="K5106">
        <v>0</v>
      </c>
      <c r="L5106">
        <v>7468012.9000000004</v>
      </c>
      <c r="M5106">
        <v>6619797.9000000004</v>
      </c>
      <c r="N5106">
        <v>7468012.9000000004</v>
      </c>
      <c r="O5106">
        <v>6619797.9000000004</v>
      </c>
      <c r="P5106">
        <v>7468012.9000000004</v>
      </c>
      <c r="Q5106">
        <v>6619797.9000000004</v>
      </c>
      <c r="R5106" s="14">
        <f>_xlfn.XLOOKUP(Table2[[#This Row],[LoanID]],Table1[G-L ID],Table1[ManagerCode],-99)</f>
        <v>119</v>
      </c>
      <c r="T5106"/>
    </row>
    <row r="5107" spans="1:20" x14ac:dyDescent="0.25">
      <c r="A5107">
        <v>20161130</v>
      </c>
      <c r="B5107">
        <v>2016</v>
      </c>
      <c r="C5107">
        <v>11</v>
      </c>
      <c r="D5107">
        <v>1</v>
      </c>
      <c r="E5107">
        <v>11340</v>
      </c>
      <c r="F5107">
        <v>297466.34999999998</v>
      </c>
      <c r="G5107">
        <v>0</v>
      </c>
      <c r="H5107">
        <v>0</v>
      </c>
      <c r="I5107">
        <v>0</v>
      </c>
      <c r="J5107">
        <v>0</v>
      </c>
      <c r="K5107">
        <v>63401.61</v>
      </c>
      <c r="L5107">
        <v>48855763.990000002</v>
      </c>
      <c r="M5107">
        <v>48792996.380000003</v>
      </c>
      <c r="N5107">
        <v>48855763.990000002</v>
      </c>
      <c r="O5107">
        <v>48792996.380000003</v>
      </c>
      <c r="P5107">
        <v>49349256.520000003</v>
      </c>
      <c r="Q5107">
        <v>49285854.909999996</v>
      </c>
      <c r="R5107" s="14">
        <f>_xlfn.XLOOKUP(Table2[[#This Row],[LoanID]],Table1[G-L ID],Table1[ManagerCode],-99)</f>
        <v>103</v>
      </c>
      <c r="T5107"/>
    </row>
    <row r="5108" spans="1:20" x14ac:dyDescent="0.25">
      <c r="A5108">
        <v>20161130</v>
      </c>
      <c r="B5108">
        <v>2016</v>
      </c>
      <c r="C5108">
        <v>11</v>
      </c>
      <c r="D5108">
        <v>1</v>
      </c>
      <c r="E5108">
        <v>11350</v>
      </c>
      <c r="F5108">
        <v>331527.78000000003</v>
      </c>
      <c r="G5108">
        <v>0</v>
      </c>
      <c r="H5108">
        <v>0</v>
      </c>
      <c r="I5108">
        <v>0</v>
      </c>
      <c r="J5108">
        <v>0</v>
      </c>
      <c r="K5108">
        <v>0</v>
      </c>
      <c r="L5108">
        <v>54449945.549999997</v>
      </c>
      <c r="M5108">
        <v>54449945.549999997</v>
      </c>
      <c r="N5108">
        <v>54449945.549999997</v>
      </c>
      <c r="O5108">
        <v>54449945.549999997</v>
      </c>
      <c r="P5108">
        <v>55000000</v>
      </c>
      <c r="Q5108">
        <v>55000000</v>
      </c>
      <c r="R5108" s="14">
        <f>_xlfn.XLOOKUP(Table2[[#This Row],[LoanID]],Table1[G-L ID],Table1[ManagerCode],-99)</f>
        <v>103</v>
      </c>
      <c r="T5108"/>
    </row>
    <row r="5109" spans="1:20" x14ac:dyDescent="0.25">
      <c r="A5109">
        <v>20161130</v>
      </c>
      <c r="B5109">
        <v>2016</v>
      </c>
      <c r="C5109">
        <v>11</v>
      </c>
      <c r="D5109">
        <v>1</v>
      </c>
      <c r="E5109">
        <v>11360</v>
      </c>
      <c r="F5109">
        <v>62553.4</v>
      </c>
      <c r="G5109">
        <v>0</v>
      </c>
      <c r="H5109">
        <v>0</v>
      </c>
      <c r="I5109">
        <v>0</v>
      </c>
      <c r="J5109">
        <v>0</v>
      </c>
      <c r="K5109">
        <v>0</v>
      </c>
      <c r="L5109">
        <v>7537500</v>
      </c>
      <c r="M5109">
        <v>7537500</v>
      </c>
      <c r="N5109">
        <v>7537500</v>
      </c>
      <c r="O5109">
        <v>7537500</v>
      </c>
      <c r="P5109">
        <v>7537500</v>
      </c>
      <c r="Q5109">
        <v>7537500</v>
      </c>
      <c r="R5109" s="14">
        <f>_xlfn.XLOOKUP(Table2[[#This Row],[LoanID]],Table1[G-L ID],Table1[ManagerCode],-99)</f>
        <v>119</v>
      </c>
      <c r="T5109"/>
    </row>
    <row r="5110" spans="1:20" x14ac:dyDescent="0.25">
      <c r="A5110">
        <v>20161130</v>
      </c>
      <c r="B5110">
        <v>2016</v>
      </c>
      <c r="C5110">
        <v>11</v>
      </c>
      <c r="D5110">
        <v>1</v>
      </c>
      <c r="E5110">
        <v>11410</v>
      </c>
      <c r="F5110">
        <v>109895</v>
      </c>
      <c r="G5110">
        <v>0</v>
      </c>
      <c r="H5110">
        <v>0</v>
      </c>
      <c r="I5110">
        <v>0</v>
      </c>
      <c r="J5110">
        <v>0</v>
      </c>
      <c r="K5110">
        <v>0</v>
      </c>
      <c r="L5110">
        <v>12000000</v>
      </c>
      <c r="M5110">
        <v>12000000</v>
      </c>
      <c r="N5110">
        <v>12000000</v>
      </c>
      <c r="O5110">
        <v>12000000</v>
      </c>
      <c r="P5110">
        <v>12000000</v>
      </c>
      <c r="Q5110">
        <v>12000000</v>
      </c>
      <c r="R5110" s="14">
        <f>_xlfn.XLOOKUP(Table2[[#This Row],[LoanID]],Table1[G-L ID],Table1[ManagerCode],-99)</f>
        <v>119</v>
      </c>
      <c r="T5110"/>
    </row>
    <row r="5111" spans="1:20" x14ac:dyDescent="0.25">
      <c r="A5111">
        <v>20161130</v>
      </c>
      <c r="B5111">
        <v>2016</v>
      </c>
      <c r="C5111">
        <v>11</v>
      </c>
      <c r="D5111">
        <v>1</v>
      </c>
      <c r="E5111">
        <v>11440</v>
      </c>
      <c r="F5111">
        <v>156250</v>
      </c>
      <c r="G5111">
        <v>0</v>
      </c>
      <c r="H5111">
        <v>0</v>
      </c>
      <c r="I5111">
        <v>0</v>
      </c>
      <c r="J5111">
        <v>0</v>
      </c>
      <c r="K5111">
        <v>0</v>
      </c>
      <c r="L5111">
        <v>18750000</v>
      </c>
      <c r="M5111">
        <v>18750000</v>
      </c>
      <c r="N5111">
        <v>18750000</v>
      </c>
      <c r="O5111">
        <v>18750000</v>
      </c>
      <c r="P5111">
        <v>18750000</v>
      </c>
      <c r="Q5111">
        <v>18750000</v>
      </c>
      <c r="R5111" s="14">
        <f>_xlfn.XLOOKUP(Table2[[#This Row],[LoanID]],Table1[G-L ID],Table1[ManagerCode],-99)</f>
        <v>183</v>
      </c>
      <c r="T5111"/>
    </row>
    <row r="5112" spans="1:20" x14ac:dyDescent="0.25">
      <c r="A5112">
        <v>20161130</v>
      </c>
      <c r="B5112">
        <v>2016</v>
      </c>
      <c r="C5112">
        <v>11</v>
      </c>
      <c r="D5112">
        <v>1</v>
      </c>
      <c r="E5112">
        <v>11450</v>
      </c>
      <c r="F5112">
        <v>126692.68</v>
      </c>
      <c r="G5112">
        <v>0</v>
      </c>
      <c r="H5112">
        <v>0</v>
      </c>
      <c r="I5112">
        <v>0</v>
      </c>
      <c r="J5112">
        <v>0</v>
      </c>
      <c r="K5112">
        <v>0</v>
      </c>
      <c r="L5112">
        <v>15438297.869999999</v>
      </c>
      <c r="M5112">
        <v>15438297.869999999</v>
      </c>
      <c r="N5112">
        <v>15438297.869999999</v>
      </c>
      <c r="O5112">
        <v>15438297.869999999</v>
      </c>
      <c r="P5112">
        <v>15438297.869999999</v>
      </c>
      <c r="Q5112">
        <v>15438297.869999999</v>
      </c>
      <c r="R5112" s="14">
        <f>_xlfn.XLOOKUP(Table2[[#This Row],[LoanID]],Table1[G-L ID],Table1[ManagerCode],-99)</f>
        <v>119</v>
      </c>
      <c r="T5112"/>
    </row>
    <row r="5113" spans="1:20" x14ac:dyDescent="0.25">
      <c r="A5113">
        <v>20161130</v>
      </c>
      <c r="B5113">
        <v>2016</v>
      </c>
      <c r="C5113">
        <v>11</v>
      </c>
      <c r="D5113">
        <v>1</v>
      </c>
      <c r="E5113">
        <v>11480</v>
      </c>
      <c r="F5113">
        <v>378845.83</v>
      </c>
      <c r="G5113">
        <v>0</v>
      </c>
      <c r="H5113">
        <v>0</v>
      </c>
      <c r="I5113">
        <v>0</v>
      </c>
      <c r="J5113">
        <v>0</v>
      </c>
      <c r="K5113">
        <v>0</v>
      </c>
      <c r="L5113">
        <v>66500000</v>
      </c>
      <c r="M5113">
        <v>66500000</v>
      </c>
      <c r="N5113">
        <v>66500000</v>
      </c>
      <c r="O5113">
        <v>66500000</v>
      </c>
      <c r="P5113">
        <v>70000000</v>
      </c>
      <c r="Q5113">
        <v>70000000</v>
      </c>
      <c r="R5113" s="14">
        <f>_xlfn.XLOOKUP(Table2[[#This Row],[LoanID]],Table1[G-L ID],Table1[ManagerCode],-99)</f>
        <v>103</v>
      </c>
      <c r="T5113"/>
    </row>
    <row r="5114" spans="1:20" x14ac:dyDescent="0.25">
      <c r="A5114">
        <v>20161130</v>
      </c>
      <c r="B5114">
        <v>2016</v>
      </c>
      <c r="C5114">
        <v>11</v>
      </c>
      <c r="D5114">
        <v>1</v>
      </c>
      <c r="E5114">
        <v>11490</v>
      </c>
      <c r="F5114">
        <v>356865.97</v>
      </c>
      <c r="G5114">
        <v>0</v>
      </c>
      <c r="H5114">
        <v>0</v>
      </c>
      <c r="I5114">
        <v>0</v>
      </c>
      <c r="J5114">
        <v>0</v>
      </c>
      <c r="K5114">
        <v>0</v>
      </c>
      <c r="L5114">
        <v>49500000</v>
      </c>
      <c r="M5114">
        <v>49500000</v>
      </c>
      <c r="N5114">
        <v>49500000</v>
      </c>
      <c r="O5114">
        <v>49500000</v>
      </c>
      <c r="P5114">
        <v>55000000</v>
      </c>
      <c r="Q5114">
        <v>55000000</v>
      </c>
      <c r="R5114" s="14">
        <f>_xlfn.XLOOKUP(Table2[[#This Row],[LoanID]],Table1[G-L ID],Table1[ManagerCode],-99)</f>
        <v>103</v>
      </c>
      <c r="T5114"/>
    </row>
    <row r="5115" spans="1:20" x14ac:dyDescent="0.25">
      <c r="A5115">
        <v>20161130</v>
      </c>
      <c r="B5115">
        <v>2016</v>
      </c>
      <c r="C5115">
        <v>11</v>
      </c>
      <c r="D5115">
        <v>1</v>
      </c>
      <c r="E5115">
        <v>11520</v>
      </c>
      <c r="F5115">
        <v>36824.080000000002</v>
      </c>
      <c r="G5115">
        <v>0</v>
      </c>
      <c r="H5115">
        <v>0</v>
      </c>
      <c r="I5115">
        <v>0</v>
      </c>
      <c r="J5115">
        <v>820150.54</v>
      </c>
      <c r="K5115">
        <v>0</v>
      </c>
      <c r="L5115">
        <v>5224326.87</v>
      </c>
      <c r="M5115">
        <v>4404176.33</v>
      </c>
      <c r="N5115">
        <v>5224326.87</v>
      </c>
      <c r="O5115">
        <v>4404176.33</v>
      </c>
      <c r="P5115">
        <v>5224326.87</v>
      </c>
      <c r="Q5115">
        <v>4404176.33</v>
      </c>
      <c r="R5115" s="14">
        <f>_xlfn.XLOOKUP(Table2[[#This Row],[LoanID]],Table1[G-L ID],Table1[ManagerCode],-99)</f>
        <v>119</v>
      </c>
      <c r="T5115"/>
    </row>
    <row r="5116" spans="1:20" x14ac:dyDescent="0.25">
      <c r="A5116">
        <v>20161130</v>
      </c>
      <c r="B5116">
        <v>2016</v>
      </c>
      <c r="C5116">
        <v>11</v>
      </c>
      <c r="D5116">
        <v>1</v>
      </c>
      <c r="E5116">
        <v>11530</v>
      </c>
      <c r="F5116">
        <v>118543.65</v>
      </c>
      <c r="G5116">
        <v>0</v>
      </c>
      <c r="H5116">
        <v>0</v>
      </c>
      <c r="I5116">
        <v>0</v>
      </c>
      <c r="J5116">
        <v>0</v>
      </c>
      <c r="K5116">
        <v>0</v>
      </c>
      <c r="L5116">
        <v>13239804.41</v>
      </c>
      <c r="M5116">
        <v>13239804.41</v>
      </c>
      <c r="N5116">
        <v>13239804.41</v>
      </c>
      <c r="O5116">
        <v>13239804.41</v>
      </c>
      <c r="P5116">
        <v>13239804.41</v>
      </c>
      <c r="Q5116">
        <v>13239804.41</v>
      </c>
      <c r="R5116" s="14">
        <f>_xlfn.XLOOKUP(Table2[[#This Row],[LoanID]],Table1[G-L ID],Table1[ManagerCode],-99)</f>
        <v>119</v>
      </c>
      <c r="T5116"/>
    </row>
    <row r="5117" spans="1:20" x14ac:dyDescent="0.25">
      <c r="A5117">
        <v>20161130</v>
      </c>
      <c r="B5117">
        <v>2016</v>
      </c>
      <c r="C5117">
        <v>11</v>
      </c>
      <c r="D5117">
        <v>1</v>
      </c>
      <c r="E5117">
        <v>11590</v>
      </c>
      <c r="F5117">
        <v>24251.48</v>
      </c>
      <c r="G5117">
        <v>0</v>
      </c>
      <c r="H5117">
        <v>0</v>
      </c>
      <c r="I5117">
        <v>0</v>
      </c>
      <c r="J5117">
        <v>0</v>
      </c>
      <c r="K5117">
        <v>0</v>
      </c>
      <c r="L5117">
        <v>3507224.44</v>
      </c>
      <c r="M5117">
        <v>3507224.44</v>
      </c>
      <c r="N5117">
        <v>3507224.44</v>
      </c>
      <c r="O5117">
        <v>3507224.44</v>
      </c>
      <c r="P5117">
        <v>3507224.44</v>
      </c>
      <c r="Q5117">
        <v>3507224.44</v>
      </c>
      <c r="R5117" s="14">
        <f>_xlfn.XLOOKUP(Table2[[#This Row],[LoanID]],Table1[G-L ID],Table1[ManagerCode],-99)</f>
        <v>119</v>
      </c>
      <c r="T5117"/>
    </row>
    <row r="5118" spans="1:20" x14ac:dyDescent="0.25">
      <c r="A5118">
        <v>20161130</v>
      </c>
      <c r="B5118">
        <v>2016</v>
      </c>
      <c r="C5118">
        <v>11</v>
      </c>
      <c r="D5118">
        <v>1</v>
      </c>
      <c r="E5118">
        <v>11650</v>
      </c>
      <c r="F5118">
        <v>75000</v>
      </c>
      <c r="G5118">
        <v>0</v>
      </c>
      <c r="H5118">
        <v>0</v>
      </c>
      <c r="I5118">
        <v>0</v>
      </c>
      <c r="J5118">
        <v>0</v>
      </c>
      <c r="K5118">
        <v>0</v>
      </c>
      <c r="L5118">
        <v>9687909.8699999992</v>
      </c>
      <c r="M5118">
        <v>9701586.0700000003</v>
      </c>
      <c r="N5118">
        <v>9687909.8699999992</v>
      </c>
      <c r="O5118">
        <v>9701586.0700000003</v>
      </c>
      <c r="P5118">
        <v>12000000</v>
      </c>
      <c r="Q5118">
        <v>12000000</v>
      </c>
      <c r="R5118" s="14">
        <f>_xlfn.XLOOKUP(Table2[[#This Row],[LoanID]],Table1[G-L ID],Table1[ManagerCode],-99)</f>
        <v>103</v>
      </c>
      <c r="T5118"/>
    </row>
    <row r="5119" spans="1:20" x14ac:dyDescent="0.25">
      <c r="A5119">
        <v>20161130</v>
      </c>
      <c r="B5119">
        <v>2016</v>
      </c>
      <c r="C5119">
        <v>11</v>
      </c>
      <c r="D5119">
        <v>1</v>
      </c>
      <c r="E5119">
        <v>11680</v>
      </c>
      <c r="F5119">
        <v>57126.559999999998</v>
      </c>
      <c r="G5119">
        <v>0</v>
      </c>
      <c r="H5119">
        <v>0</v>
      </c>
      <c r="I5119">
        <v>0</v>
      </c>
      <c r="J5119">
        <v>0</v>
      </c>
      <c r="K5119">
        <v>0</v>
      </c>
      <c r="L5119">
        <v>6600000</v>
      </c>
      <c r="M5119">
        <v>6600000</v>
      </c>
      <c r="N5119">
        <v>6600000</v>
      </c>
      <c r="O5119">
        <v>6600000</v>
      </c>
      <c r="P5119">
        <v>6600000</v>
      </c>
      <c r="Q5119">
        <v>6600000</v>
      </c>
      <c r="R5119" s="14">
        <f>_xlfn.XLOOKUP(Table2[[#This Row],[LoanID]],Table1[G-L ID],Table1[ManagerCode],-99)</f>
        <v>183</v>
      </c>
      <c r="T5119"/>
    </row>
    <row r="5120" spans="1:20" x14ac:dyDescent="0.25">
      <c r="A5120">
        <v>20161130</v>
      </c>
      <c r="B5120">
        <v>2016</v>
      </c>
      <c r="C5120">
        <v>11</v>
      </c>
      <c r="D5120">
        <v>1</v>
      </c>
      <c r="E5120">
        <v>11690</v>
      </c>
      <c r="F5120">
        <v>139581.81</v>
      </c>
      <c r="G5120">
        <v>0</v>
      </c>
      <c r="H5120">
        <v>0</v>
      </c>
      <c r="I5120">
        <v>0</v>
      </c>
      <c r="J5120">
        <v>0</v>
      </c>
      <c r="K5120">
        <v>0</v>
      </c>
      <c r="L5120">
        <v>17000000</v>
      </c>
      <c r="M5120">
        <v>17000000</v>
      </c>
      <c r="N5120">
        <v>17000000</v>
      </c>
      <c r="O5120">
        <v>17000000</v>
      </c>
      <c r="P5120">
        <v>17000000</v>
      </c>
      <c r="Q5120">
        <v>17000000</v>
      </c>
      <c r="R5120" s="14">
        <f>_xlfn.XLOOKUP(Table2[[#This Row],[LoanID]],Table1[G-L ID],Table1[ManagerCode],-99)</f>
        <v>119</v>
      </c>
      <c r="T5120"/>
    </row>
    <row r="5121" spans="1:20" x14ac:dyDescent="0.25">
      <c r="A5121">
        <v>20161130</v>
      </c>
      <c r="B5121">
        <v>2016</v>
      </c>
      <c r="C5121">
        <v>11</v>
      </c>
      <c r="D5121">
        <v>1</v>
      </c>
      <c r="E5121">
        <v>11710</v>
      </c>
      <c r="F5121">
        <v>119285.5</v>
      </c>
      <c r="G5121">
        <v>0</v>
      </c>
      <c r="H5121">
        <v>0</v>
      </c>
      <c r="I5121">
        <v>0</v>
      </c>
      <c r="J5121">
        <v>0</v>
      </c>
      <c r="K5121">
        <v>15000</v>
      </c>
      <c r="L5121">
        <v>14550000</v>
      </c>
      <c r="M5121">
        <v>14535000</v>
      </c>
      <c r="N5121">
        <v>14550000</v>
      </c>
      <c r="O5121">
        <v>14535000</v>
      </c>
      <c r="P5121">
        <v>14550000</v>
      </c>
      <c r="Q5121">
        <v>14535000</v>
      </c>
      <c r="R5121" s="14">
        <f>_xlfn.XLOOKUP(Table2[[#This Row],[LoanID]],Table1[G-L ID],Table1[ManagerCode],-99)</f>
        <v>119</v>
      </c>
      <c r="T5121"/>
    </row>
    <row r="5122" spans="1:20" x14ac:dyDescent="0.25">
      <c r="A5122">
        <v>20161130</v>
      </c>
      <c r="B5122">
        <v>2016</v>
      </c>
      <c r="C5122">
        <v>11</v>
      </c>
      <c r="D5122">
        <v>1</v>
      </c>
      <c r="E5122">
        <v>11720</v>
      </c>
      <c r="F5122">
        <v>129166.67</v>
      </c>
      <c r="G5122">
        <v>0</v>
      </c>
      <c r="H5122">
        <v>0</v>
      </c>
      <c r="I5122">
        <v>0</v>
      </c>
      <c r="J5122">
        <v>0</v>
      </c>
      <c r="K5122">
        <v>0</v>
      </c>
      <c r="L5122">
        <v>19800000</v>
      </c>
      <c r="M5122">
        <v>19800000</v>
      </c>
      <c r="N5122">
        <v>19800000</v>
      </c>
      <c r="O5122">
        <v>19800000</v>
      </c>
      <c r="P5122">
        <v>20000000</v>
      </c>
      <c r="Q5122">
        <v>20000000</v>
      </c>
      <c r="R5122" s="14">
        <f>_xlfn.XLOOKUP(Table2[[#This Row],[LoanID]],Table1[G-L ID],Table1[ManagerCode],-99)</f>
        <v>103</v>
      </c>
      <c r="T5122"/>
    </row>
    <row r="5123" spans="1:20" x14ac:dyDescent="0.25">
      <c r="A5123">
        <v>20161130</v>
      </c>
      <c r="B5123">
        <v>2016</v>
      </c>
      <c r="C5123">
        <v>11</v>
      </c>
      <c r="D5123">
        <v>1</v>
      </c>
      <c r="E5123">
        <v>11730</v>
      </c>
      <c r="F5123">
        <v>52665.94</v>
      </c>
      <c r="G5123">
        <v>0</v>
      </c>
      <c r="H5123">
        <v>0</v>
      </c>
      <c r="I5123">
        <v>0</v>
      </c>
      <c r="J5123">
        <v>0</v>
      </c>
      <c r="K5123">
        <v>0</v>
      </c>
      <c r="L5123">
        <v>5750000</v>
      </c>
      <c r="M5123">
        <v>5750000</v>
      </c>
      <c r="N5123">
        <v>5750000</v>
      </c>
      <c r="O5123">
        <v>5750000</v>
      </c>
      <c r="P5123">
        <v>5750000</v>
      </c>
      <c r="Q5123">
        <v>5750000</v>
      </c>
      <c r="R5123" s="14">
        <f>_xlfn.XLOOKUP(Table2[[#This Row],[LoanID]],Table1[G-L ID],Table1[ManagerCode],-99)</f>
        <v>119</v>
      </c>
      <c r="T5123"/>
    </row>
    <row r="5124" spans="1:20" x14ac:dyDescent="0.25">
      <c r="A5124">
        <v>20161130</v>
      </c>
      <c r="B5124">
        <v>2016</v>
      </c>
      <c r="C5124">
        <v>11</v>
      </c>
      <c r="D5124">
        <v>1</v>
      </c>
      <c r="E5124">
        <v>11750</v>
      </c>
      <c r="F5124">
        <v>158444.07999999999</v>
      </c>
      <c r="G5124">
        <v>114538.78</v>
      </c>
      <c r="H5124">
        <v>0</v>
      </c>
      <c r="I5124">
        <v>0</v>
      </c>
      <c r="J5124">
        <v>-5345341.3099999996</v>
      </c>
      <c r="K5124">
        <v>0</v>
      </c>
      <c r="L5124">
        <v>35597798.969999999</v>
      </c>
      <c r="M5124">
        <v>41057679.060000002</v>
      </c>
      <c r="N5124">
        <v>35597798.969999999</v>
      </c>
      <c r="O5124">
        <v>41057679.060000002</v>
      </c>
      <c r="P5124">
        <v>35597798.969999999</v>
      </c>
      <c r="Q5124">
        <v>41057679.060000002</v>
      </c>
      <c r="R5124" s="14">
        <f>_xlfn.XLOOKUP(Table2[[#This Row],[LoanID]],Table1[G-L ID],Table1[ManagerCode],-99)</f>
        <v>183</v>
      </c>
      <c r="T5124"/>
    </row>
    <row r="5125" spans="1:20" x14ac:dyDescent="0.25">
      <c r="A5125">
        <v>20161130</v>
      </c>
      <c r="B5125">
        <v>2016</v>
      </c>
      <c r="C5125">
        <v>11</v>
      </c>
      <c r="D5125">
        <v>1</v>
      </c>
      <c r="E5125">
        <v>11810</v>
      </c>
      <c r="F5125">
        <v>48156.42</v>
      </c>
      <c r="G5125">
        <v>0</v>
      </c>
      <c r="H5125">
        <v>0</v>
      </c>
      <c r="I5125">
        <v>0</v>
      </c>
      <c r="J5125">
        <v>0</v>
      </c>
      <c r="K5125">
        <v>12701.67</v>
      </c>
      <c r="L5125">
        <v>9317562.0999999996</v>
      </c>
      <c r="M5125">
        <v>9304987.4399999995</v>
      </c>
      <c r="N5125">
        <v>9317562.0999999996</v>
      </c>
      <c r="O5125">
        <v>9304987.4399999995</v>
      </c>
      <c r="P5125">
        <v>9316326.9499999993</v>
      </c>
      <c r="Q5125">
        <v>9303625.2799999993</v>
      </c>
      <c r="R5125" s="14">
        <f>_xlfn.XLOOKUP(Table2[[#This Row],[LoanID]],Table1[G-L ID],Table1[ManagerCode],-99)</f>
        <v>103</v>
      </c>
      <c r="T5125"/>
    </row>
    <row r="5126" spans="1:20" x14ac:dyDescent="0.25">
      <c r="A5126">
        <v>20161130</v>
      </c>
      <c r="B5126">
        <v>2016</v>
      </c>
      <c r="C5126">
        <v>11</v>
      </c>
      <c r="D5126">
        <v>1</v>
      </c>
      <c r="E5126">
        <v>11830</v>
      </c>
      <c r="F5126">
        <v>66583.39</v>
      </c>
      <c r="G5126">
        <v>0</v>
      </c>
      <c r="H5126">
        <v>0</v>
      </c>
      <c r="I5126">
        <v>0</v>
      </c>
      <c r="J5126">
        <v>0</v>
      </c>
      <c r="K5126">
        <v>0</v>
      </c>
      <c r="L5126">
        <v>6775000</v>
      </c>
      <c r="M5126">
        <v>6775000</v>
      </c>
      <c r="N5126">
        <v>6775000</v>
      </c>
      <c r="O5126">
        <v>6775000</v>
      </c>
      <c r="P5126">
        <v>6775000</v>
      </c>
      <c r="Q5126">
        <v>6775000</v>
      </c>
      <c r="R5126" s="14">
        <f>_xlfn.XLOOKUP(Table2[[#This Row],[LoanID]],Table1[G-L ID],Table1[ManagerCode],-99)</f>
        <v>119</v>
      </c>
      <c r="T5126"/>
    </row>
    <row r="5127" spans="1:20" x14ac:dyDescent="0.25">
      <c r="A5127">
        <v>20161130</v>
      </c>
      <c r="B5127">
        <v>2016</v>
      </c>
      <c r="C5127">
        <v>11</v>
      </c>
      <c r="D5127">
        <v>1</v>
      </c>
      <c r="E5127">
        <v>11850</v>
      </c>
      <c r="F5127">
        <v>97500</v>
      </c>
      <c r="G5127">
        <v>0</v>
      </c>
      <c r="H5127">
        <v>0</v>
      </c>
      <c r="I5127">
        <v>0</v>
      </c>
      <c r="J5127">
        <v>0</v>
      </c>
      <c r="K5127">
        <v>0</v>
      </c>
      <c r="L5127">
        <v>9000000</v>
      </c>
      <c r="M5127">
        <v>9000000</v>
      </c>
      <c r="N5127">
        <v>9000000</v>
      </c>
      <c r="O5127">
        <v>9000000</v>
      </c>
      <c r="P5127">
        <v>9000000</v>
      </c>
      <c r="Q5127">
        <v>9000000</v>
      </c>
      <c r="R5127" s="14">
        <f>_xlfn.XLOOKUP(Table2[[#This Row],[LoanID]],Table1[G-L ID],Table1[ManagerCode],-99)</f>
        <v>183</v>
      </c>
      <c r="T5127"/>
    </row>
    <row r="5128" spans="1:20" x14ac:dyDescent="0.25">
      <c r="A5128">
        <v>20161130</v>
      </c>
      <c r="B5128">
        <v>2016</v>
      </c>
      <c r="C5128">
        <v>11</v>
      </c>
      <c r="D5128">
        <v>1</v>
      </c>
      <c r="E5128">
        <v>11980</v>
      </c>
      <c r="F5128">
        <v>70290.02</v>
      </c>
      <c r="G5128">
        <v>0</v>
      </c>
      <c r="H5128">
        <v>0</v>
      </c>
      <c r="I5128">
        <v>0</v>
      </c>
      <c r="J5128">
        <v>0</v>
      </c>
      <c r="K5128">
        <v>0</v>
      </c>
      <c r="L5128">
        <v>7400000</v>
      </c>
      <c r="M5128">
        <v>7400000</v>
      </c>
      <c r="N5128">
        <v>7400000</v>
      </c>
      <c r="O5128">
        <v>7400000</v>
      </c>
      <c r="P5128">
        <v>7400000</v>
      </c>
      <c r="Q5128">
        <v>7400000</v>
      </c>
      <c r="R5128" s="14">
        <f>_xlfn.XLOOKUP(Table2[[#This Row],[LoanID]],Table1[G-L ID],Table1[ManagerCode],-99)</f>
        <v>119</v>
      </c>
      <c r="T5128"/>
    </row>
    <row r="5129" spans="1:20" x14ac:dyDescent="0.25">
      <c r="A5129">
        <v>20161130</v>
      </c>
      <c r="B5129">
        <v>2016</v>
      </c>
      <c r="C5129">
        <v>11</v>
      </c>
      <c r="D5129">
        <v>1</v>
      </c>
      <c r="E5129">
        <v>11990</v>
      </c>
      <c r="F5129">
        <v>105012.5</v>
      </c>
      <c r="G5129">
        <v>0</v>
      </c>
      <c r="H5129">
        <v>0</v>
      </c>
      <c r="I5129">
        <v>0</v>
      </c>
      <c r="J5129">
        <v>0</v>
      </c>
      <c r="K5129">
        <v>0</v>
      </c>
      <c r="L5129">
        <v>14700000</v>
      </c>
      <c r="M5129">
        <v>14700000</v>
      </c>
      <c r="N5129">
        <v>14700000</v>
      </c>
      <c r="O5129">
        <v>14700000</v>
      </c>
      <c r="P5129">
        <v>15000000</v>
      </c>
      <c r="Q5129">
        <v>15000000</v>
      </c>
      <c r="R5129" s="14">
        <f>_xlfn.XLOOKUP(Table2[[#This Row],[LoanID]],Table1[G-L ID],Table1[ManagerCode],-99)</f>
        <v>220</v>
      </c>
      <c r="T5129"/>
    </row>
    <row r="5130" spans="1:20" x14ac:dyDescent="0.25">
      <c r="A5130">
        <v>20161130</v>
      </c>
      <c r="B5130">
        <v>2016</v>
      </c>
      <c r="C5130">
        <v>11</v>
      </c>
      <c r="D5130">
        <v>1</v>
      </c>
      <c r="E5130">
        <v>12010</v>
      </c>
      <c r="F5130">
        <v>187354.03</v>
      </c>
      <c r="G5130">
        <v>0</v>
      </c>
      <c r="H5130">
        <v>100000</v>
      </c>
      <c r="I5130">
        <v>0</v>
      </c>
      <c r="J5130">
        <v>-1500000</v>
      </c>
      <c r="K5130">
        <v>0</v>
      </c>
      <c r="L5130">
        <v>19458765.719999999</v>
      </c>
      <c r="M5130">
        <v>20958765.719999999</v>
      </c>
      <c r="N5130">
        <v>19458765.719999999</v>
      </c>
      <c r="O5130">
        <v>20958765.719999999</v>
      </c>
      <c r="P5130">
        <v>19458765.719999999</v>
      </c>
      <c r="Q5130">
        <v>20958765.719999999</v>
      </c>
      <c r="R5130" s="14">
        <f>_xlfn.XLOOKUP(Table2[[#This Row],[LoanID]],Table1[G-L ID],Table1[ManagerCode],-99)</f>
        <v>119</v>
      </c>
      <c r="T5130"/>
    </row>
    <row r="5131" spans="1:20" x14ac:dyDescent="0.25">
      <c r="A5131">
        <v>20161130</v>
      </c>
      <c r="B5131">
        <v>2016</v>
      </c>
      <c r="C5131">
        <v>11</v>
      </c>
      <c r="D5131">
        <v>1</v>
      </c>
      <c r="E5131">
        <v>12030</v>
      </c>
      <c r="F5131">
        <v>44528.6</v>
      </c>
      <c r="G5131">
        <v>0</v>
      </c>
      <c r="H5131">
        <v>0</v>
      </c>
      <c r="I5131">
        <v>0</v>
      </c>
      <c r="J5131">
        <v>0</v>
      </c>
      <c r="K5131">
        <v>0</v>
      </c>
      <c r="L5131">
        <v>6375000</v>
      </c>
      <c r="M5131">
        <v>6375000</v>
      </c>
      <c r="N5131">
        <v>6375000</v>
      </c>
      <c r="O5131">
        <v>6375000</v>
      </c>
      <c r="P5131">
        <v>6375000</v>
      </c>
      <c r="Q5131">
        <v>6375000</v>
      </c>
      <c r="R5131" s="14">
        <f>_xlfn.XLOOKUP(Table2[[#This Row],[LoanID]],Table1[G-L ID],Table1[ManagerCode],-99)</f>
        <v>119</v>
      </c>
      <c r="T5131"/>
    </row>
    <row r="5132" spans="1:20" x14ac:dyDescent="0.25">
      <c r="A5132">
        <v>20161130</v>
      </c>
      <c r="B5132">
        <v>2016</v>
      </c>
      <c r="C5132">
        <v>11</v>
      </c>
      <c r="D5132">
        <v>1</v>
      </c>
      <c r="E5132">
        <v>12180</v>
      </c>
      <c r="F5132">
        <v>242165.97</v>
      </c>
      <c r="G5132">
        <v>0</v>
      </c>
      <c r="H5132">
        <v>0</v>
      </c>
      <c r="I5132">
        <v>0</v>
      </c>
      <c r="J5132">
        <v>0</v>
      </c>
      <c r="K5132">
        <v>0</v>
      </c>
      <c r="L5132">
        <v>35000000</v>
      </c>
      <c r="M5132">
        <v>35000000</v>
      </c>
      <c r="N5132">
        <v>35000000</v>
      </c>
      <c r="O5132">
        <v>35000000</v>
      </c>
      <c r="P5132">
        <v>35000000</v>
      </c>
      <c r="Q5132">
        <v>35000000</v>
      </c>
      <c r="R5132" s="14">
        <f>_xlfn.XLOOKUP(Table2[[#This Row],[LoanID]],Table1[G-L ID],Table1[ManagerCode],-99)</f>
        <v>220</v>
      </c>
      <c r="T5132"/>
    </row>
    <row r="5133" spans="1:20" x14ac:dyDescent="0.25">
      <c r="A5133">
        <v>20161130</v>
      </c>
      <c r="B5133">
        <v>2016</v>
      </c>
      <c r="C5133">
        <v>11</v>
      </c>
      <c r="D5133">
        <v>1</v>
      </c>
      <c r="E5133">
        <v>12190</v>
      </c>
      <c r="F5133">
        <v>270614.23</v>
      </c>
      <c r="G5133">
        <v>0</v>
      </c>
      <c r="H5133">
        <v>0</v>
      </c>
      <c r="I5133">
        <v>0</v>
      </c>
      <c r="J5133">
        <v>0</v>
      </c>
      <c r="K5133">
        <v>0</v>
      </c>
      <c r="L5133">
        <v>34383117</v>
      </c>
      <c r="M5133">
        <v>34383117</v>
      </c>
      <c r="N5133">
        <v>34383117</v>
      </c>
      <c r="O5133">
        <v>34383117</v>
      </c>
      <c r="P5133">
        <v>34383117</v>
      </c>
      <c r="Q5133">
        <v>34383117</v>
      </c>
      <c r="R5133" s="14">
        <f>_xlfn.XLOOKUP(Table2[[#This Row],[LoanID]],Table1[G-L ID],Table1[ManagerCode],-99)</f>
        <v>220</v>
      </c>
      <c r="T5133"/>
    </row>
    <row r="5134" spans="1:20" x14ac:dyDescent="0.25">
      <c r="A5134">
        <v>20161130</v>
      </c>
      <c r="B5134">
        <v>2016</v>
      </c>
      <c r="C5134">
        <v>11</v>
      </c>
      <c r="D5134">
        <v>1</v>
      </c>
      <c r="E5134">
        <v>12210</v>
      </c>
      <c r="F5134">
        <v>643992.96</v>
      </c>
      <c r="G5134">
        <v>0</v>
      </c>
      <c r="H5134">
        <v>0</v>
      </c>
      <c r="I5134">
        <v>0</v>
      </c>
      <c r="J5134">
        <v>0</v>
      </c>
      <c r="K5134">
        <v>250183.47</v>
      </c>
      <c r="L5134">
        <v>109371063.2</v>
      </c>
      <c r="M5134">
        <v>108604304.8</v>
      </c>
      <c r="N5134">
        <v>109371063.2</v>
      </c>
      <c r="O5134">
        <v>108604304.8</v>
      </c>
      <c r="P5134">
        <v>104199100.90000001</v>
      </c>
      <c r="Q5134">
        <v>103948917.40000001</v>
      </c>
      <c r="R5134" s="14">
        <f>_xlfn.XLOOKUP(Table2[[#This Row],[LoanID]],Table1[G-L ID],Table1[ManagerCode],-99)</f>
        <v>103</v>
      </c>
      <c r="T5134"/>
    </row>
    <row r="5135" spans="1:20" x14ac:dyDescent="0.25">
      <c r="A5135">
        <v>20161130</v>
      </c>
      <c r="B5135">
        <v>2016</v>
      </c>
      <c r="C5135">
        <v>11</v>
      </c>
      <c r="D5135">
        <v>1</v>
      </c>
      <c r="E5135">
        <v>12230</v>
      </c>
      <c r="F5135">
        <v>109880.03</v>
      </c>
      <c r="G5135">
        <v>0</v>
      </c>
      <c r="H5135">
        <v>0</v>
      </c>
      <c r="I5135">
        <v>0</v>
      </c>
      <c r="J5135">
        <v>0</v>
      </c>
      <c r="K5135">
        <v>0</v>
      </c>
      <c r="L5135">
        <v>20420768.75</v>
      </c>
      <c r="M5135">
        <v>20420768.75</v>
      </c>
      <c r="N5135">
        <v>13905316.25</v>
      </c>
      <c r="O5135">
        <v>13905316.25</v>
      </c>
      <c r="P5135">
        <v>20420768.75</v>
      </c>
      <c r="Q5135">
        <v>20420768.75</v>
      </c>
      <c r="R5135" s="14">
        <f>_xlfn.XLOOKUP(Table2[[#This Row],[LoanID]],Table1[G-L ID],Table1[ManagerCode],-99)</f>
        <v>183</v>
      </c>
      <c r="T5135"/>
    </row>
    <row r="5136" spans="1:20" x14ac:dyDescent="0.25">
      <c r="A5136">
        <v>20161130</v>
      </c>
      <c r="B5136">
        <v>2016</v>
      </c>
      <c r="C5136">
        <v>11</v>
      </c>
      <c r="D5136">
        <v>1</v>
      </c>
      <c r="E5136">
        <v>12240</v>
      </c>
      <c r="F5136">
        <v>0</v>
      </c>
      <c r="G5136">
        <v>1626549.76</v>
      </c>
      <c r="H5136">
        <v>0</v>
      </c>
      <c r="I5136">
        <v>0</v>
      </c>
      <c r="J5136">
        <v>0</v>
      </c>
      <c r="K5136">
        <v>0</v>
      </c>
      <c r="L5136">
        <v>146206719.90000001</v>
      </c>
      <c r="M5136">
        <v>147833269.59999999</v>
      </c>
      <c r="N5136">
        <v>146206719.90000001</v>
      </c>
      <c r="O5136">
        <v>147833269.59999999</v>
      </c>
      <c r="P5136">
        <v>146206719.90000001</v>
      </c>
      <c r="Q5136">
        <v>147833269.59999999</v>
      </c>
      <c r="R5136" s="14">
        <f>_xlfn.XLOOKUP(Table2[[#This Row],[LoanID]],Table1[G-L ID],Table1[ManagerCode],-99)</f>
        <v>183</v>
      </c>
      <c r="T5136"/>
    </row>
    <row r="5137" spans="1:20" x14ac:dyDescent="0.25">
      <c r="A5137">
        <v>20161130</v>
      </c>
      <c r="B5137">
        <v>2016</v>
      </c>
      <c r="C5137">
        <v>11</v>
      </c>
      <c r="D5137">
        <v>1</v>
      </c>
      <c r="E5137">
        <v>12410</v>
      </c>
      <c r="F5137">
        <v>563333.34</v>
      </c>
      <c r="G5137">
        <v>0</v>
      </c>
      <c r="H5137">
        <v>0</v>
      </c>
      <c r="I5137">
        <v>0</v>
      </c>
      <c r="J5137">
        <v>0</v>
      </c>
      <c r="K5137">
        <v>0</v>
      </c>
      <c r="L5137">
        <v>74250000</v>
      </c>
      <c r="M5137">
        <v>74083117.599999994</v>
      </c>
      <c r="N5137">
        <v>74250000</v>
      </c>
      <c r="O5137">
        <v>74083117.599999994</v>
      </c>
      <c r="P5137">
        <v>75000000</v>
      </c>
      <c r="Q5137">
        <v>75000000</v>
      </c>
      <c r="R5137" s="14">
        <f>_xlfn.XLOOKUP(Table2[[#This Row],[LoanID]],Table1[G-L ID],Table1[ManagerCode],-99)</f>
        <v>103</v>
      </c>
      <c r="T5137"/>
    </row>
    <row r="5138" spans="1:20" x14ac:dyDescent="0.25">
      <c r="A5138">
        <v>20161130</v>
      </c>
      <c r="B5138">
        <v>2016</v>
      </c>
      <c r="C5138">
        <v>11</v>
      </c>
      <c r="D5138">
        <v>1</v>
      </c>
      <c r="E5138">
        <v>13630</v>
      </c>
      <c r="F5138">
        <v>218506.94</v>
      </c>
      <c r="G5138">
        <v>0</v>
      </c>
      <c r="H5138">
        <v>0</v>
      </c>
      <c r="I5138">
        <v>0</v>
      </c>
      <c r="J5138">
        <v>0</v>
      </c>
      <c r="K5138">
        <v>0</v>
      </c>
      <c r="L5138">
        <v>33468087</v>
      </c>
      <c r="M5138">
        <v>33468087</v>
      </c>
      <c r="N5138">
        <v>33468087</v>
      </c>
      <c r="O5138">
        <v>33468087</v>
      </c>
      <c r="P5138">
        <v>35000000</v>
      </c>
      <c r="Q5138">
        <v>35000000</v>
      </c>
      <c r="R5138" s="14">
        <f>_xlfn.XLOOKUP(Table2[[#This Row],[LoanID]],Table1[G-L ID],Table1[ManagerCode],-99)</f>
        <v>298</v>
      </c>
      <c r="T5138"/>
    </row>
    <row r="5139" spans="1:20" x14ac:dyDescent="0.25">
      <c r="A5139">
        <v>20161130</v>
      </c>
      <c r="B5139">
        <v>2016</v>
      </c>
      <c r="C5139">
        <v>11</v>
      </c>
      <c r="D5139">
        <v>1</v>
      </c>
      <c r="E5139">
        <v>13660</v>
      </c>
      <c r="F5139">
        <v>117972.22</v>
      </c>
      <c r="G5139">
        <v>0</v>
      </c>
      <c r="H5139">
        <v>0</v>
      </c>
      <c r="I5139">
        <v>0</v>
      </c>
      <c r="J5139">
        <v>0</v>
      </c>
      <c r="K5139">
        <v>0</v>
      </c>
      <c r="L5139">
        <v>20000000</v>
      </c>
      <c r="M5139">
        <v>20000000</v>
      </c>
      <c r="N5139">
        <v>20000000</v>
      </c>
      <c r="O5139">
        <v>20000000</v>
      </c>
      <c r="P5139">
        <v>20000000</v>
      </c>
      <c r="Q5139">
        <v>20000000</v>
      </c>
      <c r="R5139" s="14">
        <f>_xlfn.XLOOKUP(Table2[[#This Row],[LoanID]],Table1[G-L ID],Table1[ManagerCode],-99)</f>
        <v>298</v>
      </c>
      <c r="T5139"/>
    </row>
    <row r="5140" spans="1:20" x14ac:dyDescent="0.25">
      <c r="A5140">
        <v>20161130</v>
      </c>
      <c r="B5140">
        <v>2016</v>
      </c>
      <c r="C5140">
        <v>11</v>
      </c>
      <c r="D5140">
        <v>1</v>
      </c>
      <c r="E5140">
        <v>13670</v>
      </c>
      <c r="F5140">
        <v>291755.2</v>
      </c>
      <c r="G5140">
        <v>0</v>
      </c>
      <c r="H5140">
        <v>0</v>
      </c>
      <c r="I5140">
        <v>0</v>
      </c>
      <c r="J5140">
        <v>0</v>
      </c>
      <c r="K5140">
        <v>0</v>
      </c>
      <c r="L5140">
        <v>37369414</v>
      </c>
      <c r="M5140">
        <v>37369414</v>
      </c>
      <c r="N5140">
        <v>37369414</v>
      </c>
      <c r="O5140">
        <v>37369414</v>
      </c>
      <c r="P5140">
        <v>37500000</v>
      </c>
      <c r="Q5140">
        <v>37500000</v>
      </c>
      <c r="R5140" s="14">
        <f>_xlfn.XLOOKUP(Table2[[#This Row],[LoanID]],Table1[G-L ID],Table1[ManagerCode],-99)</f>
        <v>298</v>
      </c>
      <c r="T5140"/>
    </row>
    <row r="5141" spans="1:20" x14ac:dyDescent="0.25">
      <c r="A5141">
        <v>20161130</v>
      </c>
      <c r="B5141">
        <v>2016</v>
      </c>
      <c r="C5141">
        <v>11</v>
      </c>
      <c r="D5141">
        <v>1</v>
      </c>
      <c r="E5141">
        <v>13680</v>
      </c>
      <c r="F5141">
        <v>138656.25</v>
      </c>
      <c r="G5141">
        <v>0</v>
      </c>
      <c r="H5141">
        <v>0</v>
      </c>
      <c r="I5141">
        <v>0</v>
      </c>
      <c r="J5141">
        <v>0</v>
      </c>
      <c r="K5141">
        <v>0</v>
      </c>
      <c r="L5141">
        <v>18283364</v>
      </c>
      <c r="M5141">
        <v>18283364</v>
      </c>
      <c r="N5141">
        <v>18283364</v>
      </c>
      <c r="O5141">
        <v>18283364</v>
      </c>
      <c r="P5141">
        <v>18000000</v>
      </c>
      <c r="Q5141">
        <v>18000000</v>
      </c>
      <c r="R5141" s="14">
        <f>_xlfn.XLOOKUP(Table2[[#This Row],[LoanID]],Table1[G-L ID],Table1[ManagerCode],-99)</f>
        <v>298</v>
      </c>
      <c r="T5141"/>
    </row>
    <row r="5142" spans="1:20" x14ac:dyDescent="0.25">
      <c r="A5142">
        <v>20161130</v>
      </c>
      <c r="B5142">
        <v>2016</v>
      </c>
      <c r="C5142">
        <v>11</v>
      </c>
      <c r="D5142">
        <v>1</v>
      </c>
      <c r="E5142">
        <v>13690</v>
      </c>
      <c r="F5142">
        <v>133472.22</v>
      </c>
      <c r="G5142">
        <v>0</v>
      </c>
      <c r="H5142">
        <v>0</v>
      </c>
      <c r="I5142">
        <v>0</v>
      </c>
      <c r="J5142">
        <v>0</v>
      </c>
      <c r="K5142">
        <v>0</v>
      </c>
      <c r="L5142">
        <v>19169472</v>
      </c>
      <c r="M5142">
        <v>19169472</v>
      </c>
      <c r="N5142">
        <v>19169472</v>
      </c>
      <c r="O5142">
        <v>19169472</v>
      </c>
      <c r="P5142">
        <v>20000000</v>
      </c>
      <c r="Q5142">
        <v>20000000</v>
      </c>
      <c r="R5142" s="14">
        <f>_xlfn.XLOOKUP(Table2[[#This Row],[LoanID]],Table1[G-L ID],Table1[ManagerCode],-99)</f>
        <v>298</v>
      </c>
      <c r="T5142"/>
    </row>
    <row r="5143" spans="1:20" x14ac:dyDescent="0.25">
      <c r="A5143">
        <v>20161130</v>
      </c>
      <c r="B5143">
        <v>2016</v>
      </c>
      <c r="C5143">
        <v>11</v>
      </c>
      <c r="D5143">
        <v>1</v>
      </c>
      <c r="E5143">
        <v>15540</v>
      </c>
      <c r="F5143">
        <v>207008.96</v>
      </c>
      <c r="G5143">
        <v>-6502.71</v>
      </c>
      <c r="H5143">
        <v>0</v>
      </c>
      <c r="I5143">
        <v>-2260.42</v>
      </c>
      <c r="J5143">
        <v>0</v>
      </c>
      <c r="K5143">
        <v>0</v>
      </c>
      <c r="L5143">
        <v>52707008.960000001</v>
      </c>
      <c r="M5143">
        <v>52700506.25</v>
      </c>
      <c r="N5143">
        <v>52707008.960000001</v>
      </c>
      <c r="O5143">
        <v>52700506.25</v>
      </c>
      <c r="P5143">
        <v>52707008.960000001</v>
      </c>
      <c r="Q5143">
        <v>52700506.25</v>
      </c>
      <c r="R5143" s="14">
        <f>_xlfn.XLOOKUP(Table2[[#This Row],[LoanID]],Table1[G-L ID],Table1[ManagerCode],-99)</f>
        <v>212</v>
      </c>
      <c r="T5143"/>
    </row>
    <row r="5144" spans="1:20" x14ac:dyDescent="0.25">
      <c r="A5144">
        <v>20161130</v>
      </c>
      <c r="B5144">
        <v>2016</v>
      </c>
      <c r="C5144">
        <v>11</v>
      </c>
      <c r="D5144">
        <v>1</v>
      </c>
      <c r="E5144">
        <v>15580</v>
      </c>
      <c r="F5144">
        <v>117310.77</v>
      </c>
      <c r="G5144">
        <v>-3831.16</v>
      </c>
      <c r="H5144">
        <v>0</v>
      </c>
      <c r="I5144">
        <v>0</v>
      </c>
      <c r="J5144">
        <v>0</v>
      </c>
      <c r="K5144">
        <v>6090.54</v>
      </c>
      <c r="L5144">
        <v>14845080</v>
      </c>
      <c r="M5144">
        <v>14835158.300000001</v>
      </c>
      <c r="N5144">
        <v>14845080</v>
      </c>
      <c r="O5144">
        <v>14835158.300000001</v>
      </c>
      <c r="P5144">
        <v>14845080</v>
      </c>
      <c r="Q5144">
        <v>14835158.300000001</v>
      </c>
      <c r="R5144" s="14">
        <f>_xlfn.XLOOKUP(Table2[[#This Row],[LoanID]],Table1[G-L ID],Table1[ManagerCode],-99)</f>
        <v>212</v>
      </c>
      <c r="T5144"/>
    </row>
    <row r="5145" spans="1:20" x14ac:dyDescent="0.25">
      <c r="A5145">
        <v>20161231</v>
      </c>
      <c r="B5145">
        <v>2016</v>
      </c>
      <c r="C5145">
        <v>12</v>
      </c>
      <c r="D5145">
        <v>1</v>
      </c>
      <c r="E5145">
        <v>10010</v>
      </c>
      <c r="F5145">
        <v>161831.54999999999</v>
      </c>
      <c r="G5145">
        <v>0</v>
      </c>
      <c r="H5145">
        <v>0</v>
      </c>
      <c r="I5145">
        <v>0</v>
      </c>
      <c r="J5145">
        <v>0</v>
      </c>
      <c r="K5145">
        <v>0</v>
      </c>
      <c r="L5145">
        <v>17595454.960000001</v>
      </c>
      <c r="M5145">
        <v>17595454.960000001</v>
      </c>
      <c r="N5145">
        <v>17595454.960000001</v>
      </c>
      <c r="O5145">
        <v>17595454.960000001</v>
      </c>
      <c r="P5145">
        <v>17595454.960000001</v>
      </c>
      <c r="Q5145">
        <v>17595454.960000001</v>
      </c>
      <c r="R5145" s="14">
        <f>_xlfn.XLOOKUP(Table2[[#This Row],[LoanID]],Table1[G-L ID],Table1[ManagerCode],-99)</f>
        <v>119</v>
      </c>
      <c r="T5145"/>
    </row>
    <row r="5146" spans="1:20" x14ac:dyDescent="0.25">
      <c r="A5146">
        <v>20161231</v>
      </c>
      <c r="B5146">
        <v>2016</v>
      </c>
      <c r="C5146">
        <v>12</v>
      </c>
      <c r="D5146">
        <v>1</v>
      </c>
      <c r="E5146">
        <v>10030</v>
      </c>
      <c r="F5146">
        <v>59441.4</v>
      </c>
      <c r="G5146">
        <v>0</v>
      </c>
      <c r="H5146">
        <v>0</v>
      </c>
      <c r="I5146">
        <v>0</v>
      </c>
      <c r="J5146">
        <v>-1693509.79</v>
      </c>
      <c r="K5146">
        <v>0</v>
      </c>
      <c r="L5146">
        <v>6580695.1500000004</v>
      </c>
      <c r="M5146">
        <v>8274204.9400000004</v>
      </c>
      <c r="N5146">
        <v>6580695.1500000004</v>
      </c>
      <c r="O5146">
        <v>8274204.9400000004</v>
      </c>
      <c r="P5146">
        <v>6580695.1500000004</v>
      </c>
      <c r="Q5146">
        <v>8274204.9400000004</v>
      </c>
      <c r="R5146" s="14">
        <f>_xlfn.XLOOKUP(Table2[[#This Row],[LoanID]],Table1[G-L ID],Table1[ManagerCode],-99)</f>
        <v>119</v>
      </c>
      <c r="T5146"/>
    </row>
    <row r="5147" spans="1:20" x14ac:dyDescent="0.25">
      <c r="A5147">
        <v>20161231</v>
      </c>
      <c r="B5147">
        <v>2016</v>
      </c>
      <c r="C5147">
        <v>12</v>
      </c>
      <c r="D5147">
        <v>1</v>
      </c>
      <c r="E5147">
        <v>10040</v>
      </c>
      <c r="F5147">
        <v>43904.17</v>
      </c>
      <c r="G5147">
        <v>0</v>
      </c>
      <c r="H5147">
        <v>0</v>
      </c>
      <c r="I5147">
        <v>0</v>
      </c>
      <c r="J5147">
        <v>0</v>
      </c>
      <c r="K5147">
        <v>0</v>
      </c>
      <c r="L5147">
        <v>5000000</v>
      </c>
      <c r="M5147">
        <v>5000000</v>
      </c>
      <c r="N5147">
        <v>5000000</v>
      </c>
      <c r="O5147">
        <v>5000000</v>
      </c>
      <c r="P5147">
        <v>5000000</v>
      </c>
      <c r="Q5147">
        <v>5000000</v>
      </c>
      <c r="R5147" s="14">
        <f>_xlfn.XLOOKUP(Table2[[#This Row],[LoanID]],Table1[G-L ID],Table1[ManagerCode],-99)</f>
        <v>119</v>
      </c>
      <c r="T5147"/>
    </row>
    <row r="5148" spans="1:20" x14ac:dyDescent="0.25">
      <c r="A5148">
        <v>20161231</v>
      </c>
      <c r="B5148">
        <v>2016</v>
      </c>
      <c r="C5148">
        <v>12</v>
      </c>
      <c r="D5148">
        <v>1</v>
      </c>
      <c r="E5148">
        <v>10050</v>
      </c>
      <c r="F5148">
        <v>-149013.89000000001</v>
      </c>
      <c r="G5148">
        <v>0</v>
      </c>
      <c r="H5148">
        <v>0</v>
      </c>
      <c r="I5148">
        <v>0</v>
      </c>
      <c r="J5148">
        <v>0</v>
      </c>
      <c r="K5148">
        <v>0</v>
      </c>
      <c r="L5148">
        <v>36884644.829999998</v>
      </c>
      <c r="M5148">
        <v>36884644.829999998</v>
      </c>
      <c r="N5148">
        <v>36884644.829999998</v>
      </c>
      <c r="O5148">
        <v>36884644.829999998</v>
      </c>
      <c r="P5148">
        <v>33333334</v>
      </c>
      <c r="Q5148">
        <v>33333334</v>
      </c>
      <c r="R5148" s="14">
        <f>_xlfn.XLOOKUP(Table2[[#This Row],[LoanID]],Table1[G-L ID],Table1[ManagerCode],-99)</f>
        <v>103</v>
      </c>
      <c r="T5148"/>
    </row>
    <row r="5149" spans="1:20" x14ac:dyDescent="0.25">
      <c r="A5149">
        <v>20161231</v>
      </c>
      <c r="B5149">
        <v>2016</v>
      </c>
      <c r="C5149">
        <v>12</v>
      </c>
      <c r="D5149">
        <v>1</v>
      </c>
      <c r="E5149">
        <v>10070</v>
      </c>
      <c r="F5149">
        <v>0</v>
      </c>
      <c r="G5149">
        <v>0</v>
      </c>
      <c r="H5149">
        <v>-187500</v>
      </c>
      <c r="I5149">
        <v>0</v>
      </c>
      <c r="J5149">
        <v>17625000</v>
      </c>
      <c r="K5149">
        <v>0</v>
      </c>
      <c r="L5149">
        <v>23500000</v>
      </c>
      <c r="M5149">
        <v>5875000</v>
      </c>
      <c r="N5149">
        <v>23500000</v>
      </c>
      <c r="O5149">
        <v>5875000</v>
      </c>
      <c r="P5149">
        <v>23500000</v>
      </c>
      <c r="Q5149">
        <v>5875000</v>
      </c>
      <c r="R5149" s="14">
        <f>_xlfn.XLOOKUP(Table2[[#This Row],[LoanID]],Table1[G-L ID],Table1[ManagerCode],-99)</f>
        <v>119</v>
      </c>
      <c r="T5149"/>
    </row>
    <row r="5150" spans="1:20" x14ac:dyDescent="0.25">
      <c r="A5150">
        <v>20161231</v>
      </c>
      <c r="B5150">
        <v>2016</v>
      </c>
      <c r="C5150">
        <v>12</v>
      </c>
      <c r="D5150">
        <v>1</v>
      </c>
      <c r="E5150">
        <v>10100</v>
      </c>
      <c r="F5150">
        <v>322893.33</v>
      </c>
      <c r="G5150">
        <v>0</v>
      </c>
      <c r="H5150">
        <v>0</v>
      </c>
      <c r="I5150">
        <v>0</v>
      </c>
      <c r="J5150">
        <v>0</v>
      </c>
      <c r="K5150">
        <v>30500000</v>
      </c>
      <c r="L5150">
        <v>30500000</v>
      </c>
      <c r="M5150">
        <v>0</v>
      </c>
      <c r="N5150">
        <v>30500000</v>
      </c>
      <c r="O5150">
        <v>0</v>
      </c>
      <c r="P5150">
        <v>30500000</v>
      </c>
      <c r="Q5150">
        <v>0</v>
      </c>
      <c r="R5150" s="14">
        <f>_xlfn.XLOOKUP(Table2[[#This Row],[LoanID]],Table1[G-L ID],Table1[ManagerCode],-99)</f>
        <v>220</v>
      </c>
      <c r="T5150"/>
    </row>
    <row r="5151" spans="1:20" x14ac:dyDescent="0.25">
      <c r="A5151">
        <v>20161231</v>
      </c>
      <c r="B5151">
        <v>2016</v>
      </c>
      <c r="C5151">
        <v>12</v>
      </c>
      <c r="D5151">
        <v>1</v>
      </c>
      <c r="E5151">
        <v>10110</v>
      </c>
      <c r="F5151">
        <v>138703</v>
      </c>
      <c r="G5151">
        <v>0</v>
      </c>
      <c r="H5151">
        <v>0</v>
      </c>
      <c r="I5151">
        <v>0</v>
      </c>
      <c r="J5151">
        <v>0</v>
      </c>
      <c r="K5151">
        <v>0</v>
      </c>
      <c r="L5151">
        <v>16400000</v>
      </c>
      <c r="M5151">
        <v>16400000</v>
      </c>
      <c r="N5151">
        <v>16400000</v>
      </c>
      <c r="O5151">
        <v>16400000</v>
      </c>
      <c r="P5151">
        <v>16400000</v>
      </c>
      <c r="Q5151">
        <v>16400000</v>
      </c>
      <c r="R5151" s="14">
        <f>_xlfn.XLOOKUP(Table2[[#This Row],[LoanID]],Table1[G-L ID],Table1[ManagerCode],-99)</f>
        <v>119</v>
      </c>
      <c r="T5151"/>
    </row>
    <row r="5152" spans="1:20" x14ac:dyDescent="0.25">
      <c r="A5152">
        <v>20161231</v>
      </c>
      <c r="B5152">
        <v>2016</v>
      </c>
      <c r="C5152">
        <v>12</v>
      </c>
      <c r="D5152">
        <v>1</v>
      </c>
      <c r="E5152">
        <v>10120</v>
      </c>
      <c r="F5152">
        <v>55776.88</v>
      </c>
      <c r="G5152">
        <v>61052.44</v>
      </c>
      <c r="H5152">
        <v>0</v>
      </c>
      <c r="I5152">
        <v>0</v>
      </c>
      <c r="J5152">
        <v>-55776.88</v>
      </c>
      <c r="K5152">
        <v>0</v>
      </c>
      <c r="L5152">
        <v>11250302.99</v>
      </c>
      <c r="M5152">
        <v>11367132.310000001</v>
      </c>
      <c r="N5152">
        <v>11250302.99</v>
      </c>
      <c r="O5152">
        <v>11367132.310000001</v>
      </c>
      <c r="P5152">
        <v>11250302.99</v>
      </c>
      <c r="Q5152">
        <v>11367132.310000001</v>
      </c>
      <c r="R5152" s="14">
        <f>_xlfn.XLOOKUP(Table2[[#This Row],[LoanID]],Table1[G-L ID],Table1[ManagerCode],-99)</f>
        <v>183</v>
      </c>
      <c r="T5152"/>
    </row>
    <row r="5153" spans="1:20" x14ac:dyDescent="0.25">
      <c r="A5153">
        <v>20161231</v>
      </c>
      <c r="B5153">
        <v>2016</v>
      </c>
      <c r="C5153">
        <v>12</v>
      </c>
      <c r="D5153">
        <v>1</v>
      </c>
      <c r="E5153">
        <v>10160</v>
      </c>
      <c r="F5153">
        <v>119857.76</v>
      </c>
      <c r="G5153">
        <v>0</v>
      </c>
      <c r="H5153">
        <v>0</v>
      </c>
      <c r="I5153">
        <v>0</v>
      </c>
      <c r="J5153">
        <v>0</v>
      </c>
      <c r="K5153">
        <v>0</v>
      </c>
      <c r="L5153">
        <v>15076447.77</v>
      </c>
      <c r="M5153">
        <v>15076447.77</v>
      </c>
      <c r="N5153">
        <v>15076447.77</v>
      </c>
      <c r="O5153">
        <v>15076447.77</v>
      </c>
      <c r="P5153">
        <v>15076447.77</v>
      </c>
      <c r="Q5153">
        <v>15076447.77</v>
      </c>
      <c r="R5153" s="14">
        <f>_xlfn.XLOOKUP(Table2[[#This Row],[LoanID]],Table1[G-L ID],Table1[ManagerCode],-99)</f>
        <v>119</v>
      </c>
      <c r="T5153"/>
    </row>
    <row r="5154" spans="1:20" x14ac:dyDescent="0.25">
      <c r="A5154">
        <v>20161231</v>
      </c>
      <c r="B5154">
        <v>2016</v>
      </c>
      <c r="C5154">
        <v>12</v>
      </c>
      <c r="D5154">
        <v>1</v>
      </c>
      <c r="E5154">
        <v>10220</v>
      </c>
      <c r="F5154">
        <v>1101388.8899999999</v>
      </c>
      <c r="G5154">
        <v>0</v>
      </c>
      <c r="H5154">
        <v>0</v>
      </c>
      <c r="I5154">
        <v>0</v>
      </c>
      <c r="J5154">
        <v>0</v>
      </c>
      <c r="K5154">
        <v>0</v>
      </c>
      <c r="L5154">
        <v>113309380.3</v>
      </c>
      <c r="M5154">
        <v>113309380.3</v>
      </c>
      <c r="N5154">
        <v>113309380.3</v>
      </c>
      <c r="O5154">
        <v>113309380.3</v>
      </c>
      <c r="P5154">
        <v>100000000</v>
      </c>
      <c r="Q5154">
        <v>100000000</v>
      </c>
      <c r="R5154" s="14">
        <f>_xlfn.XLOOKUP(Table2[[#This Row],[LoanID]],Table1[G-L ID],Table1[ManagerCode],-99)</f>
        <v>103</v>
      </c>
      <c r="T5154"/>
    </row>
    <row r="5155" spans="1:20" x14ac:dyDescent="0.25">
      <c r="A5155">
        <v>20161231</v>
      </c>
      <c r="B5155">
        <v>2016</v>
      </c>
      <c r="C5155">
        <v>12</v>
      </c>
      <c r="D5155">
        <v>1</v>
      </c>
      <c r="E5155">
        <v>10240</v>
      </c>
      <c r="F5155">
        <v>88947.92</v>
      </c>
      <c r="G5155">
        <v>0</v>
      </c>
      <c r="H5155">
        <v>0</v>
      </c>
      <c r="I5155">
        <v>0</v>
      </c>
      <c r="J5155">
        <v>0</v>
      </c>
      <c r="K5155">
        <v>0</v>
      </c>
      <c r="L5155">
        <v>12500000</v>
      </c>
      <c r="M5155">
        <v>12500000</v>
      </c>
      <c r="N5155">
        <v>12500000</v>
      </c>
      <c r="O5155">
        <v>12500000</v>
      </c>
      <c r="P5155">
        <v>12500000</v>
      </c>
      <c r="Q5155">
        <v>12500000</v>
      </c>
      <c r="R5155" s="14">
        <f>_xlfn.XLOOKUP(Table2[[#This Row],[LoanID]],Table1[G-L ID],Table1[ManagerCode],-99)</f>
        <v>220</v>
      </c>
      <c r="T5155"/>
    </row>
    <row r="5156" spans="1:20" x14ac:dyDescent="0.25">
      <c r="A5156">
        <v>20161231</v>
      </c>
      <c r="B5156">
        <v>2016</v>
      </c>
      <c r="C5156">
        <v>12</v>
      </c>
      <c r="D5156">
        <v>1</v>
      </c>
      <c r="E5156">
        <v>10250</v>
      </c>
      <c r="F5156">
        <v>49245.83</v>
      </c>
      <c r="G5156">
        <v>0</v>
      </c>
      <c r="H5156">
        <v>0</v>
      </c>
      <c r="I5156">
        <v>0</v>
      </c>
      <c r="J5156">
        <v>0</v>
      </c>
      <c r="K5156">
        <v>0</v>
      </c>
      <c r="L5156">
        <v>5000000</v>
      </c>
      <c r="M5156">
        <v>5000000</v>
      </c>
      <c r="N5156">
        <v>5000000</v>
      </c>
      <c r="O5156">
        <v>5000000</v>
      </c>
      <c r="P5156">
        <v>5000000</v>
      </c>
      <c r="Q5156">
        <v>5000000</v>
      </c>
      <c r="R5156" s="14">
        <f>_xlfn.XLOOKUP(Table2[[#This Row],[LoanID]],Table1[G-L ID],Table1[ManagerCode],-99)</f>
        <v>119</v>
      </c>
      <c r="T5156"/>
    </row>
    <row r="5157" spans="1:20" x14ac:dyDescent="0.25">
      <c r="A5157">
        <v>20161231</v>
      </c>
      <c r="B5157">
        <v>2016</v>
      </c>
      <c r="C5157">
        <v>12</v>
      </c>
      <c r="D5157">
        <v>1</v>
      </c>
      <c r="E5157">
        <v>10260</v>
      </c>
      <c r="F5157">
        <v>100908.38</v>
      </c>
      <c r="G5157">
        <v>0</v>
      </c>
      <c r="H5157">
        <v>0</v>
      </c>
      <c r="I5157">
        <v>0</v>
      </c>
      <c r="J5157">
        <v>0</v>
      </c>
      <c r="K5157">
        <v>0</v>
      </c>
      <c r="L5157">
        <v>15000000</v>
      </c>
      <c r="M5157">
        <v>15000000</v>
      </c>
      <c r="N5157">
        <v>15000000</v>
      </c>
      <c r="O5157">
        <v>15000000</v>
      </c>
      <c r="P5157">
        <v>15000000</v>
      </c>
      <c r="Q5157">
        <v>15000000</v>
      </c>
      <c r="R5157" s="14">
        <f>_xlfn.XLOOKUP(Table2[[#This Row],[LoanID]],Table1[G-L ID],Table1[ManagerCode],-99)</f>
        <v>220</v>
      </c>
      <c r="T5157"/>
    </row>
    <row r="5158" spans="1:20" x14ac:dyDescent="0.25">
      <c r="A5158">
        <v>20161231</v>
      </c>
      <c r="B5158">
        <v>2016</v>
      </c>
      <c r="C5158">
        <v>12</v>
      </c>
      <c r="D5158">
        <v>1</v>
      </c>
      <c r="E5158">
        <v>10270</v>
      </c>
      <c r="F5158">
        <v>43277.5</v>
      </c>
      <c r="G5158">
        <v>0</v>
      </c>
      <c r="H5158">
        <v>0</v>
      </c>
      <c r="I5158">
        <v>0</v>
      </c>
      <c r="J5158">
        <v>0</v>
      </c>
      <c r="K5158">
        <v>0</v>
      </c>
      <c r="L5158">
        <v>5400000</v>
      </c>
      <c r="M5158">
        <v>5400000</v>
      </c>
      <c r="N5158">
        <v>5400000</v>
      </c>
      <c r="O5158">
        <v>5400000</v>
      </c>
      <c r="P5158">
        <v>5400000</v>
      </c>
      <c r="Q5158">
        <v>5400000</v>
      </c>
      <c r="R5158" s="14">
        <f>_xlfn.XLOOKUP(Table2[[#This Row],[LoanID]],Table1[G-L ID],Table1[ManagerCode],-99)</f>
        <v>119</v>
      </c>
      <c r="T5158"/>
    </row>
    <row r="5159" spans="1:20" x14ac:dyDescent="0.25">
      <c r="A5159">
        <v>20161231</v>
      </c>
      <c r="B5159">
        <v>2016</v>
      </c>
      <c r="C5159">
        <v>12</v>
      </c>
      <c r="D5159">
        <v>1</v>
      </c>
      <c r="E5159">
        <v>10330</v>
      </c>
      <c r="F5159">
        <v>71171.58</v>
      </c>
      <c r="G5159">
        <v>0</v>
      </c>
      <c r="H5159">
        <v>0</v>
      </c>
      <c r="I5159">
        <v>0</v>
      </c>
      <c r="J5159">
        <v>0</v>
      </c>
      <c r="K5159">
        <v>0</v>
      </c>
      <c r="L5159">
        <v>8652759.6999999993</v>
      </c>
      <c r="M5159">
        <v>8652759.6999999993</v>
      </c>
      <c r="N5159">
        <v>8652759.6999999993</v>
      </c>
      <c r="O5159">
        <v>8652759.6999999993</v>
      </c>
      <c r="P5159">
        <v>8652759.6999999993</v>
      </c>
      <c r="Q5159">
        <v>8652759.6999999993</v>
      </c>
      <c r="R5159" s="14">
        <f>_xlfn.XLOOKUP(Table2[[#This Row],[LoanID]],Table1[G-L ID],Table1[ManagerCode],-99)</f>
        <v>119</v>
      </c>
      <c r="T5159"/>
    </row>
    <row r="5160" spans="1:20" x14ac:dyDescent="0.25">
      <c r="A5160">
        <v>20161231</v>
      </c>
      <c r="B5160">
        <v>2016</v>
      </c>
      <c r="C5160">
        <v>12</v>
      </c>
      <c r="D5160">
        <v>1</v>
      </c>
      <c r="E5160">
        <v>10350</v>
      </c>
      <c r="F5160">
        <v>180833.33</v>
      </c>
      <c r="G5160">
        <v>0</v>
      </c>
      <c r="H5160">
        <v>0</v>
      </c>
      <c r="I5160">
        <v>0</v>
      </c>
      <c r="J5160">
        <v>0</v>
      </c>
      <c r="K5160">
        <v>0</v>
      </c>
      <c r="L5160">
        <v>24800000</v>
      </c>
      <c r="M5160">
        <v>24800000</v>
      </c>
      <c r="N5160">
        <v>24800000</v>
      </c>
      <c r="O5160">
        <v>24800000</v>
      </c>
      <c r="P5160">
        <v>24800000</v>
      </c>
      <c r="Q5160">
        <v>24800000</v>
      </c>
      <c r="R5160" s="14">
        <f>_xlfn.XLOOKUP(Table2[[#This Row],[LoanID]],Table1[G-L ID],Table1[ManagerCode],-99)</f>
        <v>220</v>
      </c>
      <c r="T5160"/>
    </row>
    <row r="5161" spans="1:20" x14ac:dyDescent="0.25">
      <c r="A5161">
        <v>20161231</v>
      </c>
      <c r="B5161">
        <v>2016</v>
      </c>
      <c r="C5161">
        <v>12</v>
      </c>
      <c r="D5161">
        <v>1</v>
      </c>
      <c r="E5161">
        <v>10360</v>
      </c>
      <c r="F5161">
        <v>57858.96</v>
      </c>
      <c r="G5161">
        <v>0</v>
      </c>
      <c r="H5161">
        <v>0</v>
      </c>
      <c r="I5161">
        <v>0</v>
      </c>
      <c r="J5161">
        <v>0</v>
      </c>
      <c r="K5161">
        <v>0</v>
      </c>
      <c r="L5161">
        <v>5909000</v>
      </c>
      <c r="M5161">
        <v>5909000</v>
      </c>
      <c r="N5161">
        <v>5909000</v>
      </c>
      <c r="O5161">
        <v>5909000</v>
      </c>
      <c r="P5161">
        <v>5909000</v>
      </c>
      <c r="Q5161">
        <v>5909000</v>
      </c>
      <c r="R5161" s="14">
        <f>_xlfn.XLOOKUP(Table2[[#This Row],[LoanID]],Table1[G-L ID],Table1[ManagerCode],-99)</f>
        <v>183</v>
      </c>
      <c r="T5161"/>
    </row>
    <row r="5162" spans="1:20" x14ac:dyDescent="0.25">
      <c r="A5162">
        <v>20161231</v>
      </c>
      <c r="B5162">
        <v>2016</v>
      </c>
      <c r="C5162">
        <v>12</v>
      </c>
      <c r="D5162">
        <v>1</v>
      </c>
      <c r="E5162">
        <v>10410</v>
      </c>
      <c r="F5162">
        <v>72565.75</v>
      </c>
      <c r="G5162">
        <v>54276.54</v>
      </c>
      <c r="H5162">
        <v>0</v>
      </c>
      <c r="I5162">
        <v>0</v>
      </c>
      <c r="J5162">
        <v>-1981857.1</v>
      </c>
      <c r="K5162">
        <v>0</v>
      </c>
      <c r="L5162">
        <v>17392572.309999999</v>
      </c>
      <c r="M5162">
        <v>19428705.949999999</v>
      </c>
      <c r="N5162">
        <v>17392572.309999999</v>
      </c>
      <c r="O5162">
        <v>19428705.949999999</v>
      </c>
      <c r="P5162">
        <v>17392572.309999999</v>
      </c>
      <c r="Q5162">
        <v>19428705.949999999</v>
      </c>
      <c r="R5162" s="14">
        <f>_xlfn.XLOOKUP(Table2[[#This Row],[LoanID]],Table1[G-L ID],Table1[ManagerCode],-99)</f>
        <v>183</v>
      </c>
      <c r="T5162"/>
    </row>
    <row r="5163" spans="1:20" x14ac:dyDescent="0.25">
      <c r="A5163">
        <v>20161231</v>
      </c>
      <c r="B5163">
        <v>2016</v>
      </c>
      <c r="C5163">
        <v>12</v>
      </c>
      <c r="D5163">
        <v>1</v>
      </c>
      <c r="E5163">
        <v>10480</v>
      </c>
      <c r="F5163">
        <v>180169.75</v>
      </c>
      <c r="G5163">
        <v>0</v>
      </c>
      <c r="H5163">
        <v>0</v>
      </c>
      <c r="I5163">
        <v>0</v>
      </c>
      <c r="J5163">
        <v>4494288.8099999996</v>
      </c>
      <c r="K5163">
        <v>0</v>
      </c>
      <c r="L5163">
        <v>27598913.850000001</v>
      </c>
      <c r="M5163">
        <v>23104625.039999999</v>
      </c>
      <c r="N5163">
        <v>27598913.850000001</v>
      </c>
      <c r="O5163">
        <v>23104625.039999999</v>
      </c>
      <c r="P5163">
        <v>27598913.850000001</v>
      </c>
      <c r="Q5163">
        <v>23104625.039999999</v>
      </c>
      <c r="R5163" s="14">
        <f>_xlfn.XLOOKUP(Table2[[#This Row],[LoanID]],Table1[G-L ID],Table1[ManagerCode],-99)</f>
        <v>119</v>
      </c>
      <c r="T5163"/>
    </row>
    <row r="5164" spans="1:20" x14ac:dyDescent="0.25">
      <c r="A5164">
        <v>20161231</v>
      </c>
      <c r="B5164">
        <v>2016</v>
      </c>
      <c r="C5164">
        <v>12</v>
      </c>
      <c r="D5164">
        <v>1</v>
      </c>
      <c r="E5164">
        <v>10500</v>
      </c>
      <c r="F5164">
        <v>168724.17</v>
      </c>
      <c r="G5164">
        <v>0</v>
      </c>
      <c r="H5164">
        <v>0</v>
      </c>
      <c r="I5164">
        <v>0</v>
      </c>
      <c r="J5164">
        <v>0</v>
      </c>
      <c r="K5164">
        <v>0</v>
      </c>
      <c r="L5164">
        <v>19211405.440000001</v>
      </c>
      <c r="M5164">
        <v>19211405.440000001</v>
      </c>
      <c r="N5164">
        <v>19211405.440000001</v>
      </c>
      <c r="O5164">
        <v>19211405.440000001</v>
      </c>
      <c r="P5164">
        <v>19211405.440000001</v>
      </c>
      <c r="Q5164">
        <v>19211405.440000001</v>
      </c>
      <c r="R5164" s="14">
        <f>_xlfn.XLOOKUP(Table2[[#This Row],[LoanID]],Table1[G-L ID],Table1[ManagerCode],-99)</f>
        <v>119</v>
      </c>
      <c r="T5164"/>
    </row>
    <row r="5165" spans="1:20" x14ac:dyDescent="0.25">
      <c r="A5165">
        <v>20161231</v>
      </c>
      <c r="B5165">
        <v>2016</v>
      </c>
      <c r="C5165">
        <v>12</v>
      </c>
      <c r="D5165">
        <v>1</v>
      </c>
      <c r="E5165">
        <v>10620</v>
      </c>
      <c r="F5165">
        <v>105485.32</v>
      </c>
      <c r="G5165">
        <v>0</v>
      </c>
      <c r="H5165">
        <v>0</v>
      </c>
      <c r="I5165">
        <v>0</v>
      </c>
      <c r="J5165">
        <v>0</v>
      </c>
      <c r="K5165">
        <v>0</v>
      </c>
      <c r="L5165">
        <v>11315131.58</v>
      </c>
      <c r="M5165">
        <v>11315131.58</v>
      </c>
      <c r="N5165">
        <v>11315131.58</v>
      </c>
      <c r="O5165">
        <v>11315131.58</v>
      </c>
      <c r="P5165">
        <v>11315131.58</v>
      </c>
      <c r="Q5165">
        <v>11315131.58</v>
      </c>
      <c r="R5165" s="14">
        <f>_xlfn.XLOOKUP(Table2[[#This Row],[LoanID]],Table1[G-L ID],Table1[ManagerCode],-99)</f>
        <v>119</v>
      </c>
      <c r="T5165"/>
    </row>
    <row r="5166" spans="1:20" x14ac:dyDescent="0.25">
      <c r="A5166">
        <v>20161231</v>
      </c>
      <c r="B5166">
        <v>2016</v>
      </c>
      <c r="C5166">
        <v>12</v>
      </c>
      <c r="D5166">
        <v>1</v>
      </c>
      <c r="E5166">
        <v>10670</v>
      </c>
      <c r="F5166">
        <v>253475</v>
      </c>
      <c r="G5166">
        <v>0</v>
      </c>
      <c r="H5166">
        <v>0</v>
      </c>
      <c r="I5166">
        <v>0</v>
      </c>
      <c r="J5166">
        <v>0</v>
      </c>
      <c r="K5166">
        <v>0</v>
      </c>
      <c r="L5166">
        <v>30000000</v>
      </c>
      <c r="M5166">
        <v>30000000</v>
      </c>
      <c r="N5166">
        <v>30000000</v>
      </c>
      <c r="O5166">
        <v>30000000</v>
      </c>
      <c r="P5166">
        <v>30000000</v>
      </c>
      <c r="Q5166">
        <v>30000000</v>
      </c>
      <c r="R5166" s="14">
        <f>_xlfn.XLOOKUP(Table2[[#This Row],[LoanID]],Table1[G-L ID],Table1[ManagerCode],-99)</f>
        <v>119</v>
      </c>
      <c r="T5166"/>
    </row>
    <row r="5167" spans="1:20" x14ac:dyDescent="0.25">
      <c r="A5167">
        <v>20161231</v>
      </c>
      <c r="B5167">
        <v>2016</v>
      </c>
      <c r="C5167">
        <v>12</v>
      </c>
      <c r="D5167">
        <v>1</v>
      </c>
      <c r="E5167">
        <v>10680</v>
      </c>
      <c r="F5167">
        <v>95684.52</v>
      </c>
      <c r="G5167">
        <v>0</v>
      </c>
      <c r="H5167">
        <v>0</v>
      </c>
      <c r="I5167">
        <v>0</v>
      </c>
      <c r="J5167">
        <v>-22628.720000000001</v>
      </c>
      <c r="K5167">
        <v>0</v>
      </c>
      <c r="L5167">
        <v>11403957.27</v>
      </c>
      <c r="M5167">
        <v>11426585.99</v>
      </c>
      <c r="N5167">
        <v>11403957.27</v>
      </c>
      <c r="O5167">
        <v>11426585.99</v>
      </c>
      <c r="P5167">
        <v>11403957.27</v>
      </c>
      <c r="Q5167">
        <v>11426585.99</v>
      </c>
      <c r="R5167" s="14">
        <f>_xlfn.XLOOKUP(Table2[[#This Row],[LoanID]],Table1[G-L ID],Table1[ManagerCode],-99)</f>
        <v>119</v>
      </c>
      <c r="T5167"/>
    </row>
    <row r="5168" spans="1:20" x14ac:dyDescent="0.25">
      <c r="A5168">
        <v>20161231</v>
      </c>
      <c r="B5168">
        <v>2016</v>
      </c>
      <c r="C5168">
        <v>12</v>
      </c>
      <c r="D5168">
        <v>1</v>
      </c>
      <c r="E5168">
        <v>10730</v>
      </c>
      <c r="F5168">
        <v>96670.41</v>
      </c>
      <c r="G5168">
        <v>0</v>
      </c>
      <c r="H5168">
        <v>0</v>
      </c>
      <c r="I5168">
        <v>0</v>
      </c>
      <c r="J5168">
        <v>0</v>
      </c>
      <c r="K5168">
        <v>0</v>
      </c>
      <c r="L5168">
        <v>9500000</v>
      </c>
      <c r="M5168">
        <v>9500000</v>
      </c>
      <c r="N5168">
        <v>9500000</v>
      </c>
      <c r="O5168">
        <v>9500000</v>
      </c>
      <c r="P5168">
        <v>9500000</v>
      </c>
      <c r="Q5168">
        <v>9500000</v>
      </c>
      <c r="R5168" s="14">
        <f>_xlfn.XLOOKUP(Table2[[#This Row],[LoanID]],Table1[G-L ID],Table1[ManagerCode],-99)</f>
        <v>119</v>
      </c>
      <c r="T5168"/>
    </row>
    <row r="5169" spans="1:20" x14ac:dyDescent="0.25">
      <c r="A5169">
        <v>20161231</v>
      </c>
      <c r="B5169">
        <v>2016</v>
      </c>
      <c r="C5169">
        <v>12</v>
      </c>
      <c r="D5169">
        <v>1</v>
      </c>
      <c r="E5169">
        <v>10740</v>
      </c>
      <c r="F5169">
        <v>0</v>
      </c>
      <c r="G5169">
        <v>0</v>
      </c>
      <c r="H5169">
        <v>0</v>
      </c>
      <c r="I5169">
        <v>0</v>
      </c>
      <c r="J5169">
        <v>0</v>
      </c>
      <c r="K5169">
        <v>0</v>
      </c>
      <c r="L5169">
        <v>437380243.89999998</v>
      </c>
      <c r="M5169">
        <v>437380243.89999998</v>
      </c>
      <c r="N5169">
        <v>437380243.89999998</v>
      </c>
      <c r="O5169">
        <v>437380243.89999998</v>
      </c>
      <c r="P5169">
        <v>441801475</v>
      </c>
      <c r="Q5169">
        <v>441801475</v>
      </c>
      <c r="R5169" s="14">
        <f>_xlfn.XLOOKUP(Table2[[#This Row],[LoanID]],Table1[G-L ID],Table1[ManagerCode],-99)</f>
        <v>103</v>
      </c>
      <c r="T5169"/>
    </row>
    <row r="5170" spans="1:20" x14ac:dyDescent="0.25">
      <c r="A5170">
        <v>20161231</v>
      </c>
      <c r="B5170">
        <v>2016</v>
      </c>
      <c r="C5170">
        <v>12</v>
      </c>
      <c r="D5170">
        <v>1</v>
      </c>
      <c r="E5170">
        <v>10750</v>
      </c>
      <c r="F5170">
        <v>78265.69</v>
      </c>
      <c r="G5170">
        <v>0</v>
      </c>
      <c r="H5170">
        <v>0</v>
      </c>
      <c r="I5170">
        <v>0</v>
      </c>
      <c r="J5170">
        <v>1049994.74</v>
      </c>
      <c r="K5170">
        <v>0</v>
      </c>
      <c r="L5170">
        <v>10445622.59</v>
      </c>
      <c r="M5170">
        <v>9395627.8499999996</v>
      </c>
      <c r="N5170">
        <v>10445622.59</v>
      </c>
      <c r="O5170">
        <v>9395627.8499999996</v>
      </c>
      <c r="P5170">
        <v>10445622.59</v>
      </c>
      <c r="Q5170">
        <v>9395627.8499999996</v>
      </c>
      <c r="R5170" s="14">
        <f>_xlfn.XLOOKUP(Table2[[#This Row],[LoanID]],Table1[G-L ID],Table1[ManagerCode],-99)</f>
        <v>119</v>
      </c>
      <c r="T5170"/>
    </row>
    <row r="5171" spans="1:20" x14ac:dyDescent="0.25">
      <c r="A5171">
        <v>20161231</v>
      </c>
      <c r="B5171">
        <v>2016</v>
      </c>
      <c r="C5171">
        <v>12</v>
      </c>
      <c r="D5171">
        <v>1</v>
      </c>
      <c r="E5171">
        <v>10780</v>
      </c>
      <c r="F5171">
        <v>314442.81</v>
      </c>
      <c r="G5171">
        <v>0</v>
      </c>
      <c r="H5171">
        <v>0</v>
      </c>
      <c r="I5171">
        <v>0</v>
      </c>
      <c r="J5171">
        <v>0</v>
      </c>
      <c r="K5171">
        <v>0</v>
      </c>
      <c r="L5171">
        <v>42932230.469999999</v>
      </c>
      <c r="M5171">
        <v>42932230.469999999</v>
      </c>
      <c r="N5171">
        <v>42932230.469999999</v>
      </c>
      <c r="O5171">
        <v>42932230.469999999</v>
      </c>
      <c r="P5171">
        <v>42932230.469999999</v>
      </c>
      <c r="Q5171">
        <v>42932230.469999999</v>
      </c>
      <c r="R5171" s="14">
        <f>_xlfn.XLOOKUP(Table2[[#This Row],[LoanID]],Table1[G-L ID],Table1[ManagerCode],-99)</f>
        <v>220</v>
      </c>
      <c r="T5171"/>
    </row>
    <row r="5172" spans="1:20" x14ac:dyDescent="0.25">
      <c r="A5172">
        <v>20161231</v>
      </c>
      <c r="B5172">
        <v>2016</v>
      </c>
      <c r="C5172">
        <v>12</v>
      </c>
      <c r="D5172">
        <v>1</v>
      </c>
      <c r="E5172">
        <v>10800</v>
      </c>
      <c r="F5172">
        <v>401560</v>
      </c>
      <c r="G5172">
        <v>0</v>
      </c>
      <c r="H5172">
        <v>0</v>
      </c>
      <c r="I5172">
        <v>0</v>
      </c>
      <c r="J5172">
        <v>0</v>
      </c>
      <c r="K5172">
        <v>0</v>
      </c>
      <c r="L5172">
        <v>48000000</v>
      </c>
      <c r="M5172">
        <v>48000000</v>
      </c>
      <c r="N5172">
        <v>48000000</v>
      </c>
      <c r="O5172">
        <v>48000000</v>
      </c>
      <c r="P5172">
        <v>48000000</v>
      </c>
      <c r="Q5172">
        <v>48000000</v>
      </c>
      <c r="R5172" s="14">
        <f>_xlfn.XLOOKUP(Table2[[#This Row],[LoanID]],Table1[G-L ID],Table1[ManagerCode],-99)</f>
        <v>220</v>
      </c>
      <c r="T5172"/>
    </row>
    <row r="5173" spans="1:20" x14ac:dyDescent="0.25">
      <c r="A5173">
        <v>20161231</v>
      </c>
      <c r="B5173">
        <v>2016</v>
      </c>
      <c r="C5173">
        <v>12</v>
      </c>
      <c r="D5173">
        <v>1</v>
      </c>
      <c r="E5173">
        <v>10810</v>
      </c>
      <c r="F5173">
        <v>81777.23</v>
      </c>
      <c r="G5173">
        <v>0</v>
      </c>
      <c r="H5173">
        <v>0</v>
      </c>
      <c r="I5173">
        <v>0</v>
      </c>
      <c r="J5173">
        <v>-79523.23</v>
      </c>
      <c r="K5173">
        <v>0</v>
      </c>
      <c r="L5173">
        <v>9905000</v>
      </c>
      <c r="M5173">
        <v>9984523.2300000004</v>
      </c>
      <c r="N5173">
        <v>9905000</v>
      </c>
      <c r="O5173">
        <v>9984523.2300000004</v>
      </c>
      <c r="P5173">
        <v>9905000</v>
      </c>
      <c r="Q5173">
        <v>9984523.2300000004</v>
      </c>
      <c r="R5173" s="14">
        <f>_xlfn.XLOOKUP(Table2[[#This Row],[LoanID]],Table1[G-L ID],Table1[ManagerCode],-99)</f>
        <v>119</v>
      </c>
      <c r="T5173"/>
    </row>
    <row r="5174" spans="1:20" x14ac:dyDescent="0.25">
      <c r="A5174">
        <v>20161231</v>
      </c>
      <c r="B5174">
        <v>2016</v>
      </c>
      <c r="C5174">
        <v>12</v>
      </c>
      <c r="D5174">
        <v>1</v>
      </c>
      <c r="E5174">
        <v>10820</v>
      </c>
      <c r="F5174">
        <v>191008.09</v>
      </c>
      <c r="G5174">
        <v>0</v>
      </c>
      <c r="H5174">
        <v>0</v>
      </c>
      <c r="I5174">
        <v>0</v>
      </c>
      <c r="J5174">
        <v>0</v>
      </c>
      <c r="K5174">
        <v>0</v>
      </c>
      <c r="L5174">
        <v>24344483.780000001</v>
      </c>
      <c r="M5174">
        <v>24127337.739999998</v>
      </c>
      <c r="N5174">
        <v>24344483.780000001</v>
      </c>
      <c r="O5174">
        <v>24127337.739999998</v>
      </c>
      <c r="P5174">
        <v>24127337.739999998</v>
      </c>
      <c r="Q5174">
        <v>24127337.739999998</v>
      </c>
      <c r="R5174" s="14">
        <f>_xlfn.XLOOKUP(Table2[[#This Row],[LoanID]],Table1[G-L ID],Table1[ManagerCode],-99)</f>
        <v>220</v>
      </c>
      <c r="T5174"/>
    </row>
    <row r="5175" spans="1:20" x14ac:dyDescent="0.25">
      <c r="A5175">
        <v>20161231</v>
      </c>
      <c r="B5175">
        <v>2016</v>
      </c>
      <c r="C5175">
        <v>12</v>
      </c>
      <c r="D5175">
        <v>1</v>
      </c>
      <c r="E5175">
        <v>10830</v>
      </c>
      <c r="F5175">
        <v>61797.84</v>
      </c>
      <c r="G5175">
        <v>0</v>
      </c>
      <c r="H5175">
        <v>0</v>
      </c>
      <c r="I5175">
        <v>0</v>
      </c>
      <c r="J5175">
        <v>0</v>
      </c>
      <c r="K5175">
        <v>0</v>
      </c>
      <c r="L5175">
        <v>7876297.5300000003</v>
      </c>
      <c r="M5175">
        <v>7806043.1399999997</v>
      </c>
      <c r="N5175">
        <v>7876297.5300000003</v>
      </c>
      <c r="O5175">
        <v>7806043.1399999997</v>
      </c>
      <c r="P5175">
        <v>7806043.1399999997</v>
      </c>
      <c r="Q5175">
        <v>7806043.1399999997</v>
      </c>
      <c r="R5175" s="14">
        <f>_xlfn.XLOOKUP(Table2[[#This Row],[LoanID]],Table1[G-L ID],Table1[ManagerCode],-99)</f>
        <v>220</v>
      </c>
      <c r="T5175"/>
    </row>
    <row r="5176" spans="1:20" x14ac:dyDescent="0.25">
      <c r="A5176">
        <v>20161231</v>
      </c>
      <c r="B5176">
        <v>2016</v>
      </c>
      <c r="C5176">
        <v>12</v>
      </c>
      <c r="D5176">
        <v>1</v>
      </c>
      <c r="E5176">
        <v>10840</v>
      </c>
      <c r="F5176">
        <v>100614.41</v>
      </c>
      <c r="G5176">
        <v>0</v>
      </c>
      <c r="H5176">
        <v>0</v>
      </c>
      <c r="I5176">
        <v>0</v>
      </c>
      <c r="J5176">
        <v>0</v>
      </c>
      <c r="K5176">
        <v>0</v>
      </c>
      <c r="L5176">
        <v>12823571.699999999</v>
      </c>
      <c r="M5176">
        <v>12709189</v>
      </c>
      <c r="N5176">
        <v>12823571.699999999</v>
      </c>
      <c r="O5176">
        <v>12709189</v>
      </c>
      <c r="P5176">
        <v>12709189</v>
      </c>
      <c r="Q5176">
        <v>12709189</v>
      </c>
      <c r="R5176" s="14">
        <f>_xlfn.XLOOKUP(Table2[[#This Row],[LoanID]],Table1[G-L ID],Table1[ManagerCode],-99)</f>
        <v>220</v>
      </c>
      <c r="T5176"/>
    </row>
    <row r="5177" spans="1:20" x14ac:dyDescent="0.25">
      <c r="A5177">
        <v>20161231</v>
      </c>
      <c r="B5177">
        <v>2016</v>
      </c>
      <c r="C5177">
        <v>12</v>
      </c>
      <c r="D5177">
        <v>1</v>
      </c>
      <c r="E5177">
        <v>10850</v>
      </c>
      <c r="F5177">
        <v>106969.15</v>
      </c>
      <c r="G5177">
        <v>0</v>
      </c>
      <c r="H5177">
        <v>0</v>
      </c>
      <c r="I5177">
        <v>0</v>
      </c>
      <c r="J5177">
        <v>0</v>
      </c>
      <c r="K5177">
        <v>0</v>
      </c>
      <c r="L5177">
        <v>13633499.029999999</v>
      </c>
      <c r="M5177">
        <v>13511892</v>
      </c>
      <c r="N5177">
        <v>13633499.029999999</v>
      </c>
      <c r="O5177">
        <v>13511892</v>
      </c>
      <c r="P5177">
        <v>13511892</v>
      </c>
      <c r="Q5177">
        <v>13511892</v>
      </c>
      <c r="R5177" s="14">
        <f>_xlfn.XLOOKUP(Table2[[#This Row],[LoanID]],Table1[G-L ID],Table1[ManagerCode],-99)</f>
        <v>220</v>
      </c>
      <c r="T5177"/>
    </row>
    <row r="5178" spans="1:20" x14ac:dyDescent="0.25">
      <c r="A5178">
        <v>20161231</v>
      </c>
      <c r="B5178">
        <v>2016</v>
      </c>
      <c r="C5178">
        <v>12</v>
      </c>
      <c r="D5178">
        <v>1</v>
      </c>
      <c r="E5178">
        <v>10860</v>
      </c>
      <c r="F5178">
        <v>120249.59</v>
      </c>
      <c r="G5178">
        <v>0</v>
      </c>
      <c r="H5178">
        <v>0</v>
      </c>
      <c r="I5178">
        <v>0</v>
      </c>
      <c r="J5178">
        <v>0</v>
      </c>
      <c r="K5178">
        <v>0</v>
      </c>
      <c r="L5178">
        <v>19475000</v>
      </c>
      <c r="M5178">
        <v>19475000</v>
      </c>
      <c r="N5178">
        <v>19475000</v>
      </c>
      <c r="O5178">
        <v>19475000</v>
      </c>
      <c r="P5178">
        <v>20500000</v>
      </c>
      <c r="Q5178">
        <v>20500000</v>
      </c>
      <c r="R5178" s="14">
        <f>_xlfn.XLOOKUP(Table2[[#This Row],[LoanID]],Table1[G-L ID],Table1[ManagerCode],-99)</f>
        <v>103</v>
      </c>
      <c r="T5178"/>
    </row>
    <row r="5179" spans="1:20" x14ac:dyDescent="0.25">
      <c r="A5179">
        <v>20161231</v>
      </c>
      <c r="B5179">
        <v>2016</v>
      </c>
      <c r="C5179">
        <v>12</v>
      </c>
      <c r="D5179">
        <v>1</v>
      </c>
      <c r="E5179">
        <v>10890</v>
      </c>
      <c r="F5179">
        <v>107208.6</v>
      </c>
      <c r="G5179">
        <v>90159.45</v>
      </c>
      <c r="H5179">
        <v>0</v>
      </c>
      <c r="I5179">
        <v>0</v>
      </c>
      <c r="J5179">
        <v>-107208.6</v>
      </c>
      <c r="K5179">
        <v>0</v>
      </c>
      <c r="L5179">
        <v>21531060.09</v>
      </c>
      <c r="M5179">
        <v>21728428.140000001</v>
      </c>
      <c r="N5179">
        <v>21531060.09</v>
      </c>
      <c r="O5179">
        <v>21728428.140000001</v>
      </c>
      <c r="P5179">
        <v>21531060.09</v>
      </c>
      <c r="Q5179">
        <v>21728428.140000001</v>
      </c>
      <c r="R5179" s="14">
        <f>_xlfn.XLOOKUP(Table2[[#This Row],[LoanID]],Table1[G-L ID],Table1[ManagerCode],-99)</f>
        <v>183</v>
      </c>
      <c r="T5179"/>
    </row>
    <row r="5180" spans="1:20" x14ac:dyDescent="0.25">
      <c r="A5180">
        <v>20161231</v>
      </c>
      <c r="B5180">
        <v>2016</v>
      </c>
      <c r="C5180">
        <v>12</v>
      </c>
      <c r="D5180">
        <v>1</v>
      </c>
      <c r="E5180">
        <v>10910</v>
      </c>
      <c r="F5180">
        <v>183090</v>
      </c>
      <c r="G5180">
        <v>0</v>
      </c>
      <c r="H5180">
        <v>0</v>
      </c>
      <c r="I5180">
        <v>0</v>
      </c>
      <c r="J5180">
        <v>0</v>
      </c>
      <c r="K5180">
        <v>0</v>
      </c>
      <c r="L5180">
        <v>22500000</v>
      </c>
      <c r="M5180">
        <v>22500000</v>
      </c>
      <c r="N5180">
        <v>22500000</v>
      </c>
      <c r="O5180">
        <v>22500000</v>
      </c>
      <c r="P5180">
        <v>22500000</v>
      </c>
      <c r="Q5180">
        <v>22500000</v>
      </c>
      <c r="R5180" s="14">
        <f>_xlfn.XLOOKUP(Table2[[#This Row],[LoanID]],Table1[G-L ID],Table1[ManagerCode],-99)</f>
        <v>119</v>
      </c>
      <c r="T5180"/>
    </row>
    <row r="5181" spans="1:20" x14ac:dyDescent="0.25">
      <c r="A5181">
        <v>20161231</v>
      </c>
      <c r="B5181">
        <v>2016</v>
      </c>
      <c r="C5181">
        <v>12</v>
      </c>
      <c r="D5181">
        <v>1</v>
      </c>
      <c r="E5181">
        <v>10930</v>
      </c>
      <c r="F5181">
        <v>0</v>
      </c>
      <c r="G5181">
        <v>182851.98</v>
      </c>
      <c r="H5181">
        <v>0</v>
      </c>
      <c r="I5181">
        <v>0</v>
      </c>
      <c r="J5181">
        <v>0</v>
      </c>
      <c r="K5181">
        <v>0</v>
      </c>
      <c r="L5181">
        <v>16561035.210000001</v>
      </c>
      <c r="M5181">
        <v>16743887.189999999</v>
      </c>
      <c r="N5181">
        <v>16561035.210000001</v>
      </c>
      <c r="O5181">
        <v>16743887.189999999</v>
      </c>
      <c r="P5181">
        <v>16561035.210000001</v>
      </c>
      <c r="Q5181">
        <v>16743887.189999999</v>
      </c>
      <c r="R5181" s="14">
        <f>_xlfn.XLOOKUP(Table2[[#This Row],[LoanID]],Table1[G-L ID],Table1[ManagerCode],-99)</f>
        <v>183</v>
      </c>
      <c r="T5181"/>
    </row>
    <row r="5182" spans="1:20" x14ac:dyDescent="0.25">
      <c r="A5182">
        <v>20161231</v>
      </c>
      <c r="B5182">
        <v>2016</v>
      </c>
      <c r="C5182">
        <v>12</v>
      </c>
      <c r="D5182">
        <v>1</v>
      </c>
      <c r="E5182">
        <v>10970</v>
      </c>
      <c r="F5182">
        <v>21305.31</v>
      </c>
      <c r="G5182">
        <v>23320.43</v>
      </c>
      <c r="H5182">
        <v>0</v>
      </c>
      <c r="I5182">
        <v>0</v>
      </c>
      <c r="J5182">
        <v>-21305.31</v>
      </c>
      <c r="K5182">
        <v>0</v>
      </c>
      <c r="L5182">
        <v>4297321.67</v>
      </c>
      <c r="M5182">
        <v>4341947.41</v>
      </c>
      <c r="N5182">
        <v>4297321.67</v>
      </c>
      <c r="O5182">
        <v>4341947.41</v>
      </c>
      <c r="P5182">
        <v>4297321.67</v>
      </c>
      <c r="Q5182">
        <v>4341947.41</v>
      </c>
      <c r="R5182" s="14">
        <f>_xlfn.XLOOKUP(Table2[[#This Row],[LoanID]],Table1[G-L ID],Table1[ManagerCode],-99)</f>
        <v>183</v>
      </c>
      <c r="T5182"/>
    </row>
    <row r="5183" spans="1:20" x14ac:dyDescent="0.25">
      <c r="A5183">
        <v>20161231</v>
      </c>
      <c r="B5183">
        <v>2016</v>
      </c>
      <c r="C5183">
        <v>12</v>
      </c>
      <c r="D5183">
        <v>1</v>
      </c>
      <c r="E5183">
        <v>11010</v>
      </c>
      <c r="F5183">
        <v>210513.13</v>
      </c>
      <c r="G5183">
        <v>0</v>
      </c>
      <c r="H5183">
        <v>0</v>
      </c>
      <c r="I5183">
        <v>0</v>
      </c>
      <c r="J5183">
        <v>0</v>
      </c>
      <c r="K5183">
        <v>0</v>
      </c>
      <c r="L5183">
        <v>26500000</v>
      </c>
      <c r="M5183">
        <v>26500000</v>
      </c>
      <c r="N5183">
        <v>26500000</v>
      </c>
      <c r="O5183">
        <v>26500000</v>
      </c>
      <c r="P5183">
        <v>26500000</v>
      </c>
      <c r="Q5183">
        <v>26500000</v>
      </c>
      <c r="R5183" s="14">
        <f>_xlfn.XLOOKUP(Table2[[#This Row],[LoanID]],Table1[G-L ID],Table1[ManagerCode],-99)</f>
        <v>119</v>
      </c>
      <c r="T5183"/>
    </row>
    <row r="5184" spans="1:20" x14ac:dyDescent="0.25">
      <c r="A5184">
        <v>20161231</v>
      </c>
      <c r="B5184">
        <v>2016</v>
      </c>
      <c r="C5184">
        <v>12</v>
      </c>
      <c r="D5184">
        <v>1</v>
      </c>
      <c r="E5184">
        <v>11030</v>
      </c>
      <c r="F5184">
        <v>109585.71</v>
      </c>
      <c r="G5184">
        <v>0</v>
      </c>
      <c r="H5184">
        <v>0</v>
      </c>
      <c r="I5184">
        <v>0</v>
      </c>
      <c r="J5184">
        <v>0</v>
      </c>
      <c r="K5184">
        <v>7843555.5199999996</v>
      </c>
      <c r="L5184">
        <v>7843555.5199999996</v>
      </c>
      <c r="M5184">
        <v>0</v>
      </c>
      <c r="N5184">
        <v>7843555.5199999996</v>
      </c>
      <c r="O5184">
        <v>0</v>
      </c>
      <c r="P5184">
        <v>7843555.5199999996</v>
      </c>
      <c r="Q5184">
        <v>0</v>
      </c>
      <c r="R5184" s="14">
        <f>_xlfn.XLOOKUP(Table2[[#This Row],[LoanID]],Table1[G-L ID],Table1[ManagerCode],-99)</f>
        <v>119</v>
      </c>
      <c r="T5184"/>
    </row>
    <row r="5185" spans="1:20" x14ac:dyDescent="0.25">
      <c r="A5185">
        <v>20161231</v>
      </c>
      <c r="B5185">
        <v>2016</v>
      </c>
      <c r="C5185">
        <v>12</v>
      </c>
      <c r="D5185">
        <v>1</v>
      </c>
      <c r="E5185">
        <v>11040</v>
      </c>
      <c r="F5185">
        <v>489721.04</v>
      </c>
      <c r="G5185">
        <v>0</v>
      </c>
      <c r="H5185">
        <v>0</v>
      </c>
      <c r="I5185">
        <v>0</v>
      </c>
      <c r="J5185">
        <v>0</v>
      </c>
      <c r="K5185">
        <v>0</v>
      </c>
      <c r="L5185">
        <v>46866994.979999997</v>
      </c>
      <c r="M5185">
        <v>46866994.979999997</v>
      </c>
      <c r="N5185">
        <v>46866994.979999997</v>
      </c>
      <c r="O5185">
        <v>46866994.979999997</v>
      </c>
      <c r="P5185">
        <v>46866994.979999997</v>
      </c>
      <c r="Q5185">
        <v>46866994.979999997</v>
      </c>
      <c r="R5185" s="14">
        <f>_xlfn.XLOOKUP(Table2[[#This Row],[LoanID]],Table1[G-L ID],Table1[ManagerCode],-99)</f>
        <v>220</v>
      </c>
      <c r="T5185"/>
    </row>
    <row r="5186" spans="1:20" x14ac:dyDescent="0.25">
      <c r="A5186">
        <v>20161231</v>
      </c>
      <c r="B5186">
        <v>2016</v>
      </c>
      <c r="C5186">
        <v>12</v>
      </c>
      <c r="D5186">
        <v>1</v>
      </c>
      <c r="E5186">
        <v>11060</v>
      </c>
      <c r="F5186">
        <v>117111.98</v>
      </c>
      <c r="G5186">
        <v>0</v>
      </c>
      <c r="H5186">
        <v>0</v>
      </c>
      <c r="I5186">
        <v>0</v>
      </c>
      <c r="J5186">
        <v>-8000000</v>
      </c>
      <c r="K5186">
        <v>0</v>
      </c>
      <c r="L5186">
        <v>14000000</v>
      </c>
      <c r="M5186">
        <v>22000000</v>
      </c>
      <c r="N5186">
        <v>14000000</v>
      </c>
      <c r="O5186">
        <v>22000000</v>
      </c>
      <c r="P5186">
        <v>14000000</v>
      </c>
      <c r="Q5186">
        <v>22000000</v>
      </c>
      <c r="R5186" s="14">
        <f>_xlfn.XLOOKUP(Table2[[#This Row],[LoanID]],Table1[G-L ID],Table1[ManagerCode],-99)</f>
        <v>119</v>
      </c>
      <c r="T5186"/>
    </row>
    <row r="5187" spans="1:20" x14ac:dyDescent="0.25">
      <c r="A5187">
        <v>20161231</v>
      </c>
      <c r="B5187">
        <v>2016</v>
      </c>
      <c r="C5187">
        <v>12</v>
      </c>
      <c r="D5187">
        <v>1</v>
      </c>
      <c r="E5187">
        <v>11080</v>
      </c>
      <c r="F5187">
        <v>329422.33</v>
      </c>
      <c r="G5187">
        <v>0</v>
      </c>
      <c r="H5187">
        <v>0</v>
      </c>
      <c r="I5187">
        <v>0</v>
      </c>
      <c r="J5187">
        <v>0</v>
      </c>
      <c r="K5187">
        <v>62068.97</v>
      </c>
      <c r="L5187">
        <v>40000000</v>
      </c>
      <c r="M5187">
        <v>39937931.030000001</v>
      </c>
      <c r="N5187">
        <v>40000000</v>
      </c>
      <c r="O5187">
        <v>39937931.030000001</v>
      </c>
      <c r="P5187">
        <v>40000000</v>
      </c>
      <c r="Q5187">
        <v>39937931.030000001</v>
      </c>
      <c r="R5187" s="14">
        <f>_xlfn.XLOOKUP(Table2[[#This Row],[LoanID]],Table1[G-L ID],Table1[ManagerCode],-99)</f>
        <v>119</v>
      </c>
      <c r="T5187"/>
    </row>
    <row r="5188" spans="1:20" x14ac:dyDescent="0.25">
      <c r="A5188">
        <v>20161231</v>
      </c>
      <c r="B5188">
        <v>2016</v>
      </c>
      <c r="C5188">
        <v>12</v>
      </c>
      <c r="D5188">
        <v>1</v>
      </c>
      <c r="E5188">
        <v>11090</v>
      </c>
      <c r="F5188">
        <v>92103.48</v>
      </c>
      <c r="G5188">
        <v>0</v>
      </c>
      <c r="H5188">
        <v>0</v>
      </c>
      <c r="I5188">
        <v>0</v>
      </c>
      <c r="J5188">
        <v>0</v>
      </c>
      <c r="K5188">
        <v>0</v>
      </c>
      <c r="L5188">
        <v>11000000</v>
      </c>
      <c r="M5188">
        <v>11000000</v>
      </c>
      <c r="N5188">
        <v>11000000</v>
      </c>
      <c r="O5188">
        <v>11000000</v>
      </c>
      <c r="P5188">
        <v>11000000</v>
      </c>
      <c r="Q5188">
        <v>11000000</v>
      </c>
      <c r="R5188" s="14">
        <f>_xlfn.XLOOKUP(Table2[[#This Row],[LoanID]],Table1[G-L ID],Table1[ManagerCode],-99)</f>
        <v>119</v>
      </c>
      <c r="T5188"/>
    </row>
    <row r="5189" spans="1:20" x14ac:dyDescent="0.25">
      <c r="A5189">
        <v>20161231</v>
      </c>
      <c r="B5189">
        <v>2016</v>
      </c>
      <c r="C5189">
        <v>12</v>
      </c>
      <c r="D5189">
        <v>1</v>
      </c>
      <c r="E5189">
        <v>11130</v>
      </c>
      <c r="F5189">
        <v>0</v>
      </c>
      <c r="G5189">
        <v>0</v>
      </c>
      <c r="H5189">
        <v>0</v>
      </c>
      <c r="I5189">
        <v>0</v>
      </c>
      <c r="J5189">
        <v>0</v>
      </c>
      <c r="K5189">
        <v>0</v>
      </c>
      <c r="L5189">
        <v>150980011.30000001</v>
      </c>
      <c r="M5189">
        <v>151074019.90000001</v>
      </c>
      <c r="N5189">
        <v>150980011.30000001</v>
      </c>
      <c r="O5189">
        <v>151074019.90000001</v>
      </c>
      <c r="P5189">
        <v>177000000</v>
      </c>
      <c r="Q5189">
        <v>177000000</v>
      </c>
      <c r="R5189" s="14">
        <f>_xlfn.XLOOKUP(Table2[[#This Row],[LoanID]],Table1[G-L ID],Table1[ManagerCode],-99)</f>
        <v>103</v>
      </c>
      <c r="T5189"/>
    </row>
    <row r="5190" spans="1:20" x14ac:dyDescent="0.25">
      <c r="A5190">
        <v>20161231</v>
      </c>
      <c r="B5190">
        <v>2016</v>
      </c>
      <c r="C5190">
        <v>12</v>
      </c>
      <c r="D5190">
        <v>1</v>
      </c>
      <c r="E5190">
        <v>11150</v>
      </c>
      <c r="F5190">
        <v>90592</v>
      </c>
      <c r="G5190">
        <v>0</v>
      </c>
      <c r="H5190">
        <v>0</v>
      </c>
      <c r="I5190">
        <v>0</v>
      </c>
      <c r="J5190">
        <v>0</v>
      </c>
      <c r="K5190">
        <v>0</v>
      </c>
      <c r="L5190">
        <v>8940000</v>
      </c>
      <c r="M5190">
        <v>8940000</v>
      </c>
      <c r="N5190">
        <v>8940000</v>
      </c>
      <c r="O5190">
        <v>8940000</v>
      </c>
      <c r="P5190">
        <v>8940000</v>
      </c>
      <c r="Q5190">
        <v>8940000</v>
      </c>
      <c r="R5190" s="14">
        <f>_xlfn.XLOOKUP(Table2[[#This Row],[LoanID]],Table1[G-L ID],Table1[ManagerCode],-99)</f>
        <v>119</v>
      </c>
      <c r="T5190"/>
    </row>
    <row r="5191" spans="1:20" x14ac:dyDescent="0.25">
      <c r="A5191">
        <v>20161231</v>
      </c>
      <c r="B5191">
        <v>2016</v>
      </c>
      <c r="C5191">
        <v>12</v>
      </c>
      <c r="D5191">
        <v>1</v>
      </c>
      <c r="E5191">
        <v>11160</v>
      </c>
      <c r="F5191">
        <v>267460.58</v>
      </c>
      <c r="G5191">
        <v>162058.79</v>
      </c>
      <c r="H5191">
        <v>0</v>
      </c>
      <c r="I5191">
        <v>0</v>
      </c>
      <c r="J5191">
        <v>-1790121.95</v>
      </c>
      <c r="K5191">
        <v>789378.99</v>
      </c>
      <c r="L5191">
        <v>63211374.579999998</v>
      </c>
      <c r="M5191">
        <v>65163555.32</v>
      </c>
      <c r="N5191">
        <v>46203646.719999999</v>
      </c>
      <c r="O5191">
        <v>47366448.469999999</v>
      </c>
      <c r="P5191">
        <v>63211374.579999998</v>
      </c>
      <c r="Q5191">
        <v>65163555.32</v>
      </c>
      <c r="R5191" s="14">
        <f>_xlfn.XLOOKUP(Table2[[#This Row],[LoanID]],Table1[G-L ID],Table1[ManagerCode],-99)</f>
        <v>183</v>
      </c>
      <c r="T5191"/>
    </row>
    <row r="5192" spans="1:20" x14ac:dyDescent="0.25">
      <c r="A5192">
        <v>20161231</v>
      </c>
      <c r="B5192">
        <v>2016</v>
      </c>
      <c r="C5192">
        <v>12</v>
      </c>
      <c r="D5192">
        <v>1</v>
      </c>
      <c r="E5192">
        <v>11210</v>
      </c>
      <c r="F5192">
        <v>57275</v>
      </c>
      <c r="G5192">
        <v>0</v>
      </c>
      <c r="H5192">
        <v>0</v>
      </c>
      <c r="I5192">
        <v>0</v>
      </c>
      <c r="J5192">
        <v>0</v>
      </c>
      <c r="K5192">
        <v>0</v>
      </c>
      <c r="L5192">
        <v>7500000</v>
      </c>
      <c r="M5192">
        <v>7500000</v>
      </c>
      <c r="N5192">
        <v>7500000</v>
      </c>
      <c r="O5192">
        <v>7500000</v>
      </c>
      <c r="P5192">
        <v>7500000</v>
      </c>
      <c r="Q5192">
        <v>7500000</v>
      </c>
      <c r="R5192" s="14">
        <f>_xlfn.XLOOKUP(Table2[[#This Row],[LoanID]],Table1[G-L ID],Table1[ManagerCode],-99)</f>
        <v>119</v>
      </c>
      <c r="T5192"/>
    </row>
    <row r="5193" spans="1:20" x14ac:dyDescent="0.25">
      <c r="A5193">
        <v>20161231</v>
      </c>
      <c r="B5193">
        <v>2016</v>
      </c>
      <c r="C5193">
        <v>12</v>
      </c>
      <c r="D5193">
        <v>1</v>
      </c>
      <c r="E5193">
        <v>11250</v>
      </c>
      <c r="F5193">
        <v>228165.31</v>
      </c>
      <c r="G5193">
        <v>0</v>
      </c>
      <c r="H5193">
        <v>0</v>
      </c>
      <c r="I5193">
        <v>0</v>
      </c>
      <c r="J5193">
        <v>0</v>
      </c>
      <c r="K5193">
        <v>0</v>
      </c>
      <c r="L5193">
        <v>18253225.030000001</v>
      </c>
      <c r="M5193">
        <v>18253225.030000001</v>
      </c>
      <c r="N5193">
        <v>18253225.030000001</v>
      </c>
      <c r="O5193">
        <v>18253225.030000001</v>
      </c>
      <c r="P5193">
        <v>18253225.030000001</v>
      </c>
      <c r="Q5193">
        <v>18253225.030000001</v>
      </c>
      <c r="R5193" s="14">
        <f>_xlfn.XLOOKUP(Table2[[#This Row],[LoanID]],Table1[G-L ID],Table1[ManagerCode],-99)</f>
        <v>183</v>
      </c>
      <c r="T5193"/>
    </row>
    <row r="5194" spans="1:20" x14ac:dyDescent="0.25">
      <c r="A5194">
        <v>20161231</v>
      </c>
      <c r="B5194">
        <v>2016</v>
      </c>
      <c r="C5194">
        <v>12</v>
      </c>
      <c r="D5194">
        <v>1</v>
      </c>
      <c r="E5194">
        <v>11330</v>
      </c>
      <c r="F5194">
        <v>61937.84</v>
      </c>
      <c r="G5194">
        <v>0</v>
      </c>
      <c r="H5194">
        <v>0</v>
      </c>
      <c r="I5194">
        <v>0</v>
      </c>
      <c r="J5194">
        <v>0</v>
      </c>
      <c r="K5194">
        <v>0</v>
      </c>
      <c r="L5194">
        <v>6619797.9000000004</v>
      </c>
      <c r="M5194">
        <v>6619797.9000000004</v>
      </c>
      <c r="N5194">
        <v>6619797.9000000004</v>
      </c>
      <c r="O5194">
        <v>6619797.9000000004</v>
      </c>
      <c r="P5194">
        <v>6619797.9000000004</v>
      </c>
      <c r="Q5194">
        <v>6619797.9000000004</v>
      </c>
      <c r="R5194" s="14">
        <f>_xlfn.XLOOKUP(Table2[[#This Row],[LoanID]],Table1[G-L ID],Table1[ManagerCode],-99)</f>
        <v>119</v>
      </c>
      <c r="T5194"/>
    </row>
    <row r="5195" spans="1:20" x14ac:dyDescent="0.25">
      <c r="A5195">
        <v>20161231</v>
      </c>
      <c r="B5195">
        <v>2016</v>
      </c>
      <c r="C5195">
        <v>12</v>
      </c>
      <c r="D5195">
        <v>1</v>
      </c>
      <c r="E5195">
        <v>11340</v>
      </c>
      <c r="F5195">
        <v>287500.82</v>
      </c>
      <c r="G5195">
        <v>0</v>
      </c>
      <c r="H5195">
        <v>0</v>
      </c>
      <c r="I5195">
        <v>0</v>
      </c>
      <c r="J5195">
        <v>0</v>
      </c>
      <c r="K5195">
        <v>69665.649999999994</v>
      </c>
      <c r="L5195">
        <v>48792996.380000003</v>
      </c>
      <c r="M5195">
        <v>48724027.369999997</v>
      </c>
      <c r="N5195">
        <v>48792996.380000003</v>
      </c>
      <c r="O5195">
        <v>48724027.369999997</v>
      </c>
      <c r="P5195">
        <v>49285854.909999996</v>
      </c>
      <c r="Q5195">
        <v>49216189.259999998</v>
      </c>
      <c r="R5195" s="14">
        <f>_xlfn.XLOOKUP(Table2[[#This Row],[LoanID]],Table1[G-L ID],Table1[ManagerCode],-99)</f>
        <v>103</v>
      </c>
      <c r="T5195"/>
    </row>
    <row r="5196" spans="1:20" x14ac:dyDescent="0.25">
      <c r="A5196">
        <v>20161231</v>
      </c>
      <c r="B5196">
        <v>2016</v>
      </c>
      <c r="C5196">
        <v>12</v>
      </c>
      <c r="D5196">
        <v>1</v>
      </c>
      <c r="E5196">
        <v>11350</v>
      </c>
      <c r="F5196">
        <v>320833.33</v>
      </c>
      <c r="G5196">
        <v>0</v>
      </c>
      <c r="H5196">
        <v>0</v>
      </c>
      <c r="I5196">
        <v>0</v>
      </c>
      <c r="J5196">
        <v>0</v>
      </c>
      <c r="K5196">
        <v>4949995</v>
      </c>
      <c r="L5196">
        <v>54449945.549999997</v>
      </c>
      <c r="M5196">
        <v>54449945.549999997</v>
      </c>
      <c r="N5196">
        <v>54449945.549999997</v>
      </c>
      <c r="O5196">
        <v>54449945.549999997</v>
      </c>
      <c r="P5196">
        <v>55000000</v>
      </c>
      <c r="Q5196">
        <v>55000000</v>
      </c>
      <c r="R5196" s="14">
        <f>_xlfn.XLOOKUP(Table2[[#This Row],[LoanID]],Table1[G-L ID],Table1[ManagerCode],-99)</f>
        <v>103</v>
      </c>
      <c r="T5196"/>
    </row>
    <row r="5197" spans="1:20" x14ac:dyDescent="0.25">
      <c r="A5197">
        <v>20161231</v>
      </c>
      <c r="B5197">
        <v>2016</v>
      </c>
      <c r="C5197">
        <v>12</v>
      </c>
      <c r="D5197">
        <v>1</v>
      </c>
      <c r="E5197">
        <v>11360</v>
      </c>
      <c r="F5197">
        <v>60414.43</v>
      </c>
      <c r="G5197">
        <v>0</v>
      </c>
      <c r="H5197">
        <v>0</v>
      </c>
      <c r="I5197">
        <v>0</v>
      </c>
      <c r="J5197">
        <v>0</v>
      </c>
      <c r="K5197">
        <v>0</v>
      </c>
      <c r="L5197">
        <v>7537500</v>
      </c>
      <c r="M5197">
        <v>7537500</v>
      </c>
      <c r="N5197">
        <v>7537500</v>
      </c>
      <c r="O5197">
        <v>7537500</v>
      </c>
      <c r="P5197">
        <v>7537500</v>
      </c>
      <c r="Q5197">
        <v>7537500</v>
      </c>
      <c r="R5197" s="14">
        <f>_xlfn.XLOOKUP(Table2[[#This Row],[LoanID]],Table1[G-L ID],Table1[ManagerCode],-99)</f>
        <v>119</v>
      </c>
      <c r="T5197"/>
    </row>
    <row r="5198" spans="1:20" x14ac:dyDescent="0.25">
      <c r="A5198">
        <v>20161231</v>
      </c>
      <c r="B5198">
        <v>2016</v>
      </c>
      <c r="C5198">
        <v>12</v>
      </c>
      <c r="D5198">
        <v>1</v>
      </c>
      <c r="E5198">
        <v>11410</v>
      </c>
      <c r="F5198">
        <v>106390</v>
      </c>
      <c r="G5198">
        <v>0</v>
      </c>
      <c r="H5198">
        <v>0</v>
      </c>
      <c r="I5198">
        <v>0</v>
      </c>
      <c r="J5198">
        <v>0</v>
      </c>
      <c r="K5198">
        <v>0</v>
      </c>
      <c r="L5198">
        <v>12000000</v>
      </c>
      <c r="M5198">
        <v>12000000</v>
      </c>
      <c r="N5198">
        <v>12000000</v>
      </c>
      <c r="O5198">
        <v>12000000</v>
      </c>
      <c r="P5198">
        <v>12000000</v>
      </c>
      <c r="Q5198">
        <v>12000000</v>
      </c>
      <c r="R5198" s="14">
        <f>_xlfn.XLOOKUP(Table2[[#This Row],[LoanID]],Table1[G-L ID],Table1[ManagerCode],-99)</f>
        <v>119</v>
      </c>
      <c r="T5198"/>
    </row>
    <row r="5199" spans="1:20" x14ac:dyDescent="0.25">
      <c r="A5199">
        <v>20161231</v>
      </c>
      <c r="B5199">
        <v>2016</v>
      </c>
      <c r="C5199">
        <v>12</v>
      </c>
      <c r="D5199">
        <v>1</v>
      </c>
      <c r="E5199">
        <v>11440</v>
      </c>
      <c r="F5199">
        <v>156250</v>
      </c>
      <c r="G5199">
        <v>0</v>
      </c>
      <c r="H5199">
        <v>0</v>
      </c>
      <c r="I5199">
        <v>0</v>
      </c>
      <c r="J5199">
        <v>0</v>
      </c>
      <c r="K5199">
        <v>0</v>
      </c>
      <c r="L5199">
        <v>18750000</v>
      </c>
      <c r="M5199">
        <v>18750000</v>
      </c>
      <c r="N5199">
        <v>18750000</v>
      </c>
      <c r="O5199">
        <v>18750000</v>
      </c>
      <c r="P5199">
        <v>18750000</v>
      </c>
      <c r="Q5199">
        <v>18750000</v>
      </c>
      <c r="R5199" s="14">
        <f>_xlfn.XLOOKUP(Table2[[#This Row],[LoanID]],Table1[G-L ID],Table1[ManagerCode],-99)</f>
        <v>183</v>
      </c>
      <c r="T5199"/>
    </row>
    <row r="5200" spans="1:20" x14ac:dyDescent="0.25">
      <c r="A5200">
        <v>20161231</v>
      </c>
      <c r="B5200">
        <v>2016</v>
      </c>
      <c r="C5200">
        <v>12</v>
      </c>
      <c r="D5200">
        <v>1</v>
      </c>
      <c r="E5200">
        <v>11450</v>
      </c>
      <c r="F5200">
        <v>122683.01</v>
      </c>
      <c r="G5200">
        <v>0</v>
      </c>
      <c r="H5200">
        <v>0</v>
      </c>
      <c r="I5200">
        <v>0</v>
      </c>
      <c r="J5200">
        <v>0</v>
      </c>
      <c r="K5200">
        <v>0</v>
      </c>
      <c r="L5200">
        <v>15438297.869999999</v>
      </c>
      <c r="M5200">
        <v>15438297.869999999</v>
      </c>
      <c r="N5200">
        <v>15438297.869999999</v>
      </c>
      <c r="O5200">
        <v>15438297.869999999</v>
      </c>
      <c r="P5200">
        <v>15438297.869999999</v>
      </c>
      <c r="Q5200">
        <v>15438297.869999999</v>
      </c>
      <c r="R5200" s="14">
        <f>_xlfn.XLOOKUP(Table2[[#This Row],[LoanID]],Table1[G-L ID],Table1[ManagerCode],-99)</f>
        <v>119</v>
      </c>
      <c r="T5200"/>
    </row>
    <row r="5201" spans="1:20" x14ac:dyDescent="0.25">
      <c r="A5201">
        <v>20161231</v>
      </c>
      <c r="B5201">
        <v>2016</v>
      </c>
      <c r="C5201">
        <v>12</v>
      </c>
      <c r="D5201">
        <v>1</v>
      </c>
      <c r="E5201">
        <v>11480</v>
      </c>
      <c r="F5201">
        <v>366858.33</v>
      </c>
      <c r="G5201">
        <v>0</v>
      </c>
      <c r="H5201">
        <v>0</v>
      </c>
      <c r="I5201">
        <v>0</v>
      </c>
      <c r="J5201">
        <v>0</v>
      </c>
      <c r="K5201">
        <v>0</v>
      </c>
      <c r="L5201">
        <v>66500000</v>
      </c>
      <c r="M5201">
        <v>66500000</v>
      </c>
      <c r="N5201">
        <v>66500000</v>
      </c>
      <c r="O5201">
        <v>66500000</v>
      </c>
      <c r="P5201">
        <v>70000000</v>
      </c>
      <c r="Q5201">
        <v>70000000</v>
      </c>
      <c r="R5201" s="14">
        <f>_xlfn.XLOOKUP(Table2[[#This Row],[LoanID]],Table1[G-L ID],Table1[ManagerCode],-99)</f>
        <v>103</v>
      </c>
      <c r="T5201"/>
    </row>
    <row r="5202" spans="1:20" x14ac:dyDescent="0.25">
      <c r="A5202">
        <v>20161231</v>
      </c>
      <c r="B5202">
        <v>2016</v>
      </c>
      <c r="C5202">
        <v>12</v>
      </c>
      <c r="D5202">
        <v>1</v>
      </c>
      <c r="E5202">
        <v>11490</v>
      </c>
      <c r="F5202">
        <v>345537.5</v>
      </c>
      <c r="G5202">
        <v>0</v>
      </c>
      <c r="H5202">
        <v>0</v>
      </c>
      <c r="I5202">
        <v>0</v>
      </c>
      <c r="J5202">
        <v>0</v>
      </c>
      <c r="K5202">
        <v>0</v>
      </c>
      <c r="L5202">
        <v>49500000</v>
      </c>
      <c r="M5202">
        <v>52250000</v>
      </c>
      <c r="N5202">
        <v>49500000</v>
      </c>
      <c r="O5202">
        <v>52250000</v>
      </c>
      <c r="P5202">
        <v>55000000</v>
      </c>
      <c r="Q5202">
        <v>55000000</v>
      </c>
      <c r="R5202" s="14">
        <f>_xlfn.XLOOKUP(Table2[[#This Row],[LoanID]],Table1[G-L ID],Table1[ManagerCode],-99)</f>
        <v>103</v>
      </c>
      <c r="T5202"/>
    </row>
    <row r="5203" spans="1:20" x14ac:dyDescent="0.25">
      <c r="A5203">
        <v>20161231</v>
      </c>
      <c r="B5203">
        <v>2016</v>
      </c>
      <c r="C5203">
        <v>12</v>
      </c>
      <c r="D5203">
        <v>1</v>
      </c>
      <c r="E5203">
        <v>11520</v>
      </c>
      <c r="F5203">
        <v>30995.41</v>
      </c>
      <c r="G5203">
        <v>0</v>
      </c>
      <c r="H5203">
        <v>0</v>
      </c>
      <c r="I5203">
        <v>0</v>
      </c>
      <c r="J5203">
        <v>-344320.55</v>
      </c>
      <c r="K5203">
        <v>0</v>
      </c>
      <c r="L5203">
        <v>4404176.33</v>
      </c>
      <c r="M5203">
        <v>4748496.88</v>
      </c>
      <c r="N5203">
        <v>4404176.33</v>
      </c>
      <c r="O5203">
        <v>4748496.88</v>
      </c>
      <c r="P5203">
        <v>4404176.33</v>
      </c>
      <c r="Q5203">
        <v>4748496.88</v>
      </c>
      <c r="R5203" s="14">
        <f>_xlfn.XLOOKUP(Table2[[#This Row],[LoanID]],Table1[G-L ID],Table1[ManagerCode],-99)</f>
        <v>119</v>
      </c>
      <c r="T5203"/>
    </row>
    <row r="5204" spans="1:20" x14ac:dyDescent="0.25">
      <c r="A5204">
        <v>20161231</v>
      </c>
      <c r="B5204">
        <v>2016</v>
      </c>
      <c r="C5204">
        <v>12</v>
      </c>
      <c r="D5204">
        <v>1</v>
      </c>
      <c r="E5204">
        <v>11530</v>
      </c>
      <c r="F5204">
        <v>114476.46</v>
      </c>
      <c r="G5204">
        <v>0</v>
      </c>
      <c r="H5204">
        <v>0</v>
      </c>
      <c r="I5204">
        <v>0</v>
      </c>
      <c r="J5204">
        <v>0</v>
      </c>
      <c r="K5204">
        <v>0</v>
      </c>
      <c r="L5204">
        <v>13239804.41</v>
      </c>
      <c r="M5204">
        <v>13239804.41</v>
      </c>
      <c r="N5204">
        <v>13239804.41</v>
      </c>
      <c r="O5204">
        <v>13239804.41</v>
      </c>
      <c r="P5204">
        <v>13239804.41</v>
      </c>
      <c r="Q5204">
        <v>13239804.41</v>
      </c>
      <c r="R5204" s="14">
        <f>_xlfn.XLOOKUP(Table2[[#This Row],[LoanID]],Table1[G-L ID],Table1[ManagerCode],-99)</f>
        <v>119</v>
      </c>
      <c r="T5204"/>
    </row>
    <row r="5205" spans="1:20" x14ac:dyDescent="0.25">
      <c r="A5205">
        <v>20161231</v>
      </c>
      <c r="B5205">
        <v>2016</v>
      </c>
      <c r="C5205">
        <v>12</v>
      </c>
      <c r="D5205">
        <v>1</v>
      </c>
      <c r="E5205">
        <v>11590</v>
      </c>
      <c r="F5205">
        <v>23498.400000000001</v>
      </c>
      <c r="G5205">
        <v>0</v>
      </c>
      <c r="H5205">
        <v>0</v>
      </c>
      <c r="I5205">
        <v>0</v>
      </c>
      <c r="J5205">
        <v>0</v>
      </c>
      <c r="K5205">
        <v>0</v>
      </c>
      <c r="L5205">
        <v>3507224.44</v>
      </c>
      <c r="M5205">
        <v>3507224.44</v>
      </c>
      <c r="N5205">
        <v>3507224.44</v>
      </c>
      <c r="O5205">
        <v>3507224.44</v>
      </c>
      <c r="P5205">
        <v>3507224.44</v>
      </c>
      <c r="Q5205">
        <v>3507224.44</v>
      </c>
      <c r="R5205" s="14">
        <f>_xlfn.XLOOKUP(Table2[[#This Row],[LoanID]],Table1[G-L ID],Table1[ManagerCode],-99)</f>
        <v>119</v>
      </c>
      <c r="T5205"/>
    </row>
    <row r="5206" spans="1:20" x14ac:dyDescent="0.25">
      <c r="A5206">
        <v>20161231</v>
      </c>
      <c r="B5206">
        <v>2016</v>
      </c>
      <c r="C5206">
        <v>12</v>
      </c>
      <c r="D5206">
        <v>1</v>
      </c>
      <c r="E5206">
        <v>11650</v>
      </c>
      <c r="F5206">
        <v>75000</v>
      </c>
      <c r="G5206">
        <v>0</v>
      </c>
      <c r="H5206">
        <v>0</v>
      </c>
      <c r="I5206">
        <v>0</v>
      </c>
      <c r="J5206">
        <v>0</v>
      </c>
      <c r="K5206">
        <v>0</v>
      </c>
      <c r="L5206">
        <v>9701586.0700000003</v>
      </c>
      <c r="M5206">
        <v>11880000</v>
      </c>
      <c r="N5206">
        <v>9701586.0700000003</v>
      </c>
      <c r="O5206">
        <v>11880000</v>
      </c>
      <c r="P5206">
        <v>12000000</v>
      </c>
      <c r="Q5206">
        <v>12000000</v>
      </c>
      <c r="R5206" s="14">
        <f>_xlfn.XLOOKUP(Table2[[#This Row],[LoanID]],Table1[G-L ID],Table1[ManagerCode],-99)</f>
        <v>103</v>
      </c>
      <c r="T5206"/>
    </row>
    <row r="5207" spans="1:20" x14ac:dyDescent="0.25">
      <c r="A5207">
        <v>20161231</v>
      </c>
      <c r="B5207">
        <v>2016</v>
      </c>
      <c r="C5207">
        <v>12</v>
      </c>
      <c r="D5207">
        <v>1</v>
      </c>
      <c r="E5207">
        <v>11680</v>
      </c>
      <c r="F5207">
        <v>57126.559999999998</v>
      </c>
      <c r="G5207">
        <v>0</v>
      </c>
      <c r="H5207">
        <v>0</v>
      </c>
      <c r="I5207">
        <v>0</v>
      </c>
      <c r="J5207">
        <v>0</v>
      </c>
      <c r="K5207">
        <v>0</v>
      </c>
      <c r="L5207">
        <v>6600000</v>
      </c>
      <c r="M5207">
        <v>6600000</v>
      </c>
      <c r="N5207">
        <v>6600000</v>
      </c>
      <c r="O5207">
        <v>6600000</v>
      </c>
      <c r="P5207">
        <v>6600000</v>
      </c>
      <c r="Q5207">
        <v>6600000</v>
      </c>
      <c r="R5207" s="14">
        <f>_xlfn.XLOOKUP(Table2[[#This Row],[LoanID]],Table1[G-L ID],Table1[ManagerCode],-99)</f>
        <v>183</v>
      </c>
      <c r="T5207"/>
    </row>
    <row r="5208" spans="1:20" x14ac:dyDescent="0.25">
      <c r="A5208">
        <v>20161231</v>
      </c>
      <c r="B5208">
        <v>2016</v>
      </c>
      <c r="C5208">
        <v>12</v>
      </c>
      <c r="D5208">
        <v>1</v>
      </c>
      <c r="E5208">
        <v>11690</v>
      </c>
      <c r="F5208">
        <v>135135.82999999999</v>
      </c>
      <c r="G5208">
        <v>0</v>
      </c>
      <c r="H5208">
        <v>0</v>
      </c>
      <c r="I5208">
        <v>0</v>
      </c>
      <c r="J5208">
        <v>0</v>
      </c>
      <c r="K5208">
        <v>0</v>
      </c>
      <c r="L5208">
        <v>17000000</v>
      </c>
      <c r="M5208">
        <v>17000000</v>
      </c>
      <c r="N5208">
        <v>17000000</v>
      </c>
      <c r="O5208">
        <v>17000000</v>
      </c>
      <c r="P5208">
        <v>17000000</v>
      </c>
      <c r="Q5208">
        <v>17000000</v>
      </c>
      <c r="R5208" s="14">
        <f>_xlfn.XLOOKUP(Table2[[#This Row],[LoanID]],Table1[G-L ID],Table1[ManagerCode],-99)</f>
        <v>119</v>
      </c>
      <c r="T5208"/>
    </row>
    <row r="5209" spans="1:20" x14ac:dyDescent="0.25">
      <c r="A5209">
        <v>20161231</v>
      </c>
      <c r="B5209">
        <v>2016</v>
      </c>
      <c r="C5209">
        <v>12</v>
      </c>
      <c r="D5209">
        <v>1</v>
      </c>
      <c r="E5209">
        <v>11710</v>
      </c>
      <c r="F5209">
        <v>123337.59</v>
      </c>
      <c r="G5209">
        <v>0</v>
      </c>
      <c r="H5209">
        <v>0</v>
      </c>
      <c r="I5209">
        <v>0</v>
      </c>
      <c r="J5209">
        <v>0</v>
      </c>
      <c r="K5209">
        <v>15000</v>
      </c>
      <c r="L5209">
        <v>14535000</v>
      </c>
      <c r="M5209">
        <v>14520000</v>
      </c>
      <c r="N5209">
        <v>14535000</v>
      </c>
      <c r="O5209">
        <v>14520000</v>
      </c>
      <c r="P5209">
        <v>14535000</v>
      </c>
      <c r="Q5209">
        <v>14520000</v>
      </c>
      <c r="R5209" s="14">
        <f>_xlfn.XLOOKUP(Table2[[#This Row],[LoanID]],Table1[G-L ID],Table1[ManagerCode],-99)</f>
        <v>119</v>
      </c>
      <c r="T5209"/>
    </row>
    <row r="5210" spans="1:20" x14ac:dyDescent="0.25">
      <c r="A5210">
        <v>20161231</v>
      </c>
      <c r="B5210">
        <v>2016</v>
      </c>
      <c r="C5210">
        <v>12</v>
      </c>
      <c r="D5210">
        <v>1</v>
      </c>
      <c r="E5210">
        <v>11720</v>
      </c>
      <c r="F5210">
        <v>125000</v>
      </c>
      <c r="G5210">
        <v>0</v>
      </c>
      <c r="H5210">
        <v>0</v>
      </c>
      <c r="I5210">
        <v>0</v>
      </c>
      <c r="J5210">
        <v>0</v>
      </c>
      <c r="K5210">
        <v>0</v>
      </c>
      <c r="L5210">
        <v>19800000</v>
      </c>
      <c r="M5210">
        <v>19800000</v>
      </c>
      <c r="N5210">
        <v>19800000</v>
      </c>
      <c r="O5210">
        <v>19800000</v>
      </c>
      <c r="P5210">
        <v>20000000</v>
      </c>
      <c r="Q5210">
        <v>20000000</v>
      </c>
      <c r="R5210" s="14">
        <f>_xlfn.XLOOKUP(Table2[[#This Row],[LoanID]],Table1[G-L ID],Table1[ManagerCode],-99)</f>
        <v>103</v>
      </c>
      <c r="T5210"/>
    </row>
    <row r="5211" spans="1:20" x14ac:dyDescent="0.25">
      <c r="A5211">
        <v>20161231</v>
      </c>
      <c r="B5211">
        <v>2016</v>
      </c>
      <c r="C5211">
        <v>12</v>
      </c>
      <c r="D5211">
        <v>1</v>
      </c>
      <c r="E5211">
        <v>11730</v>
      </c>
      <c r="F5211">
        <v>50867.72</v>
      </c>
      <c r="G5211">
        <v>0</v>
      </c>
      <c r="H5211">
        <v>0</v>
      </c>
      <c r="I5211">
        <v>0</v>
      </c>
      <c r="J5211">
        <v>0</v>
      </c>
      <c r="K5211">
        <v>7976.25</v>
      </c>
      <c r="L5211">
        <v>5750000</v>
      </c>
      <c r="M5211">
        <v>5742023.75</v>
      </c>
      <c r="N5211">
        <v>5750000</v>
      </c>
      <c r="O5211">
        <v>5742023.75</v>
      </c>
      <c r="P5211">
        <v>5750000</v>
      </c>
      <c r="Q5211">
        <v>5742023.75</v>
      </c>
      <c r="R5211" s="14">
        <f>_xlfn.XLOOKUP(Table2[[#This Row],[LoanID]],Table1[G-L ID],Table1[ManagerCode],-99)</f>
        <v>119</v>
      </c>
      <c r="T5211"/>
    </row>
    <row r="5212" spans="1:20" x14ac:dyDescent="0.25">
      <c r="A5212">
        <v>20161231</v>
      </c>
      <c r="B5212">
        <v>2016</v>
      </c>
      <c r="C5212">
        <v>12</v>
      </c>
      <c r="D5212">
        <v>1</v>
      </c>
      <c r="E5212">
        <v>11750</v>
      </c>
      <c r="F5212">
        <v>175653.12</v>
      </c>
      <c r="G5212">
        <v>115816.86</v>
      </c>
      <c r="H5212">
        <v>0</v>
      </c>
      <c r="I5212">
        <v>0</v>
      </c>
      <c r="J5212">
        <v>-1962692.79</v>
      </c>
      <c r="K5212">
        <v>0</v>
      </c>
      <c r="L5212">
        <v>41057679.060000002</v>
      </c>
      <c r="M5212">
        <v>43136188.710000001</v>
      </c>
      <c r="N5212">
        <v>41057679.060000002</v>
      </c>
      <c r="O5212">
        <v>43136188.710000001</v>
      </c>
      <c r="P5212">
        <v>41057679.060000002</v>
      </c>
      <c r="Q5212">
        <v>43136188.710000001</v>
      </c>
      <c r="R5212" s="14">
        <f>_xlfn.XLOOKUP(Table2[[#This Row],[LoanID]],Table1[G-L ID],Table1[ManagerCode],-99)</f>
        <v>183</v>
      </c>
      <c r="T5212"/>
    </row>
    <row r="5213" spans="1:20" x14ac:dyDescent="0.25">
      <c r="A5213">
        <v>20161231</v>
      </c>
      <c r="B5213">
        <v>2016</v>
      </c>
      <c r="C5213">
        <v>12</v>
      </c>
      <c r="D5213">
        <v>1</v>
      </c>
      <c r="E5213">
        <v>11810</v>
      </c>
      <c r="F5213">
        <v>48091.43</v>
      </c>
      <c r="G5213">
        <v>0</v>
      </c>
      <c r="H5213">
        <v>0</v>
      </c>
      <c r="I5213">
        <v>0</v>
      </c>
      <c r="J5213">
        <v>0</v>
      </c>
      <c r="K5213">
        <v>25240</v>
      </c>
      <c r="L5213">
        <v>9304987.4399999995</v>
      </c>
      <c r="M5213">
        <v>9185601.1899999995</v>
      </c>
      <c r="N5213">
        <v>9304987.4399999995</v>
      </c>
      <c r="O5213">
        <v>9185601.1899999995</v>
      </c>
      <c r="P5213">
        <v>9303625.2799999993</v>
      </c>
      <c r="Q5213">
        <v>9278385.2799999993</v>
      </c>
      <c r="R5213" s="14">
        <f>_xlfn.XLOOKUP(Table2[[#This Row],[LoanID]],Table1[G-L ID],Table1[ManagerCode],-99)</f>
        <v>103</v>
      </c>
      <c r="T5213"/>
    </row>
    <row r="5214" spans="1:20" x14ac:dyDescent="0.25">
      <c r="A5214">
        <v>20161231</v>
      </c>
      <c r="B5214">
        <v>2016</v>
      </c>
      <c r="C5214">
        <v>12</v>
      </c>
      <c r="D5214">
        <v>1</v>
      </c>
      <c r="E5214">
        <v>11830</v>
      </c>
      <c r="F5214">
        <v>64379.43</v>
      </c>
      <c r="G5214">
        <v>0</v>
      </c>
      <c r="H5214">
        <v>0</v>
      </c>
      <c r="I5214">
        <v>0</v>
      </c>
      <c r="J5214">
        <v>-1172544.31</v>
      </c>
      <c r="K5214">
        <v>0</v>
      </c>
      <c r="L5214">
        <v>6775000</v>
      </c>
      <c r="M5214">
        <v>7947544.3099999996</v>
      </c>
      <c r="N5214">
        <v>6775000</v>
      </c>
      <c r="O5214">
        <v>7947544.3099999996</v>
      </c>
      <c r="P5214">
        <v>6775000</v>
      </c>
      <c r="Q5214">
        <v>7947544.3099999996</v>
      </c>
      <c r="R5214" s="14">
        <f>_xlfn.XLOOKUP(Table2[[#This Row],[LoanID]],Table1[G-L ID],Table1[ManagerCode],-99)</f>
        <v>119</v>
      </c>
      <c r="T5214"/>
    </row>
    <row r="5215" spans="1:20" x14ac:dyDescent="0.25">
      <c r="A5215">
        <v>20161231</v>
      </c>
      <c r="B5215">
        <v>2016</v>
      </c>
      <c r="C5215">
        <v>12</v>
      </c>
      <c r="D5215">
        <v>1</v>
      </c>
      <c r="E5215">
        <v>11850</v>
      </c>
      <c r="F5215">
        <v>97500</v>
      </c>
      <c r="G5215">
        <v>0</v>
      </c>
      <c r="H5215">
        <v>0</v>
      </c>
      <c r="I5215">
        <v>0</v>
      </c>
      <c r="J5215">
        <v>0</v>
      </c>
      <c r="K5215">
        <v>0</v>
      </c>
      <c r="L5215">
        <v>9000000</v>
      </c>
      <c r="M5215">
        <v>9000000</v>
      </c>
      <c r="N5215">
        <v>9000000</v>
      </c>
      <c r="O5215">
        <v>9000000</v>
      </c>
      <c r="P5215">
        <v>9000000</v>
      </c>
      <c r="Q5215">
        <v>9000000</v>
      </c>
      <c r="R5215" s="14">
        <f>_xlfn.XLOOKUP(Table2[[#This Row],[LoanID]],Table1[G-L ID],Table1[ManagerCode],-99)</f>
        <v>183</v>
      </c>
      <c r="T5215"/>
    </row>
    <row r="5216" spans="1:20" x14ac:dyDescent="0.25">
      <c r="A5216">
        <v>20161231</v>
      </c>
      <c r="B5216">
        <v>2016</v>
      </c>
      <c r="C5216">
        <v>12</v>
      </c>
      <c r="D5216">
        <v>1</v>
      </c>
      <c r="E5216">
        <v>11980</v>
      </c>
      <c r="F5216">
        <v>62423.519999999997</v>
      </c>
      <c r="G5216">
        <v>0</v>
      </c>
      <c r="H5216">
        <v>0</v>
      </c>
      <c r="I5216">
        <v>0</v>
      </c>
      <c r="J5216">
        <v>0</v>
      </c>
      <c r="K5216">
        <v>0</v>
      </c>
      <c r="L5216">
        <v>7400000</v>
      </c>
      <c r="M5216">
        <v>7400000</v>
      </c>
      <c r="N5216">
        <v>7400000</v>
      </c>
      <c r="O5216">
        <v>7400000</v>
      </c>
      <c r="P5216">
        <v>7400000</v>
      </c>
      <c r="Q5216">
        <v>7400000</v>
      </c>
      <c r="R5216" s="14">
        <f>_xlfn.XLOOKUP(Table2[[#This Row],[LoanID]],Table1[G-L ID],Table1[ManagerCode],-99)</f>
        <v>119</v>
      </c>
      <c r="T5216"/>
    </row>
    <row r="5217" spans="1:20" x14ac:dyDescent="0.25">
      <c r="A5217">
        <v>20161231</v>
      </c>
      <c r="B5217">
        <v>2016</v>
      </c>
      <c r="C5217">
        <v>12</v>
      </c>
      <c r="D5217">
        <v>1</v>
      </c>
      <c r="E5217">
        <v>11990</v>
      </c>
      <c r="F5217">
        <v>101700</v>
      </c>
      <c r="G5217">
        <v>0</v>
      </c>
      <c r="H5217">
        <v>0</v>
      </c>
      <c r="I5217">
        <v>0</v>
      </c>
      <c r="J5217">
        <v>0</v>
      </c>
      <c r="K5217">
        <v>0</v>
      </c>
      <c r="L5217">
        <v>14700000</v>
      </c>
      <c r="M5217">
        <v>14805000</v>
      </c>
      <c r="N5217">
        <v>14700000</v>
      </c>
      <c r="O5217">
        <v>14805000</v>
      </c>
      <c r="P5217">
        <v>15000000</v>
      </c>
      <c r="Q5217">
        <v>15000000</v>
      </c>
      <c r="R5217" s="14">
        <f>_xlfn.XLOOKUP(Table2[[#This Row],[LoanID]],Table1[G-L ID],Table1[ManagerCode],-99)</f>
        <v>220</v>
      </c>
      <c r="T5217"/>
    </row>
    <row r="5218" spans="1:20" x14ac:dyDescent="0.25">
      <c r="A5218">
        <v>20161231</v>
      </c>
      <c r="B5218">
        <v>2016</v>
      </c>
      <c r="C5218">
        <v>12</v>
      </c>
      <c r="D5218">
        <v>1</v>
      </c>
      <c r="E5218">
        <v>12010</v>
      </c>
      <c r="F5218">
        <v>173794.68</v>
      </c>
      <c r="G5218">
        <v>0</v>
      </c>
      <c r="H5218">
        <v>0</v>
      </c>
      <c r="I5218">
        <v>0</v>
      </c>
      <c r="J5218">
        <v>0</v>
      </c>
      <c r="K5218">
        <v>0</v>
      </c>
      <c r="L5218">
        <v>20958765.719999999</v>
      </c>
      <c r="M5218">
        <v>20958765.719999999</v>
      </c>
      <c r="N5218">
        <v>20958765.719999999</v>
      </c>
      <c r="O5218">
        <v>20958765.719999999</v>
      </c>
      <c r="P5218">
        <v>20958765.719999999</v>
      </c>
      <c r="Q5218">
        <v>20958765.719999999</v>
      </c>
      <c r="R5218" s="14">
        <f>_xlfn.XLOOKUP(Table2[[#This Row],[LoanID]],Table1[G-L ID],Table1[ManagerCode],-99)</f>
        <v>119</v>
      </c>
      <c r="T5218"/>
    </row>
    <row r="5219" spans="1:20" x14ac:dyDescent="0.25">
      <c r="A5219">
        <v>20161231</v>
      </c>
      <c r="B5219">
        <v>2016</v>
      </c>
      <c r="C5219">
        <v>12</v>
      </c>
      <c r="D5219">
        <v>1</v>
      </c>
      <c r="E5219">
        <v>12030</v>
      </c>
      <c r="F5219">
        <v>43113.440000000002</v>
      </c>
      <c r="G5219">
        <v>0</v>
      </c>
      <c r="H5219">
        <v>0</v>
      </c>
      <c r="I5219">
        <v>0</v>
      </c>
      <c r="J5219">
        <v>0</v>
      </c>
      <c r="K5219">
        <v>0</v>
      </c>
      <c r="L5219">
        <v>6375000</v>
      </c>
      <c r="M5219">
        <v>6375000</v>
      </c>
      <c r="N5219">
        <v>6375000</v>
      </c>
      <c r="O5219">
        <v>6375000</v>
      </c>
      <c r="P5219">
        <v>6375000</v>
      </c>
      <c r="Q5219">
        <v>6375000</v>
      </c>
      <c r="R5219" s="14">
        <f>_xlfn.XLOOKUP(Table2[[#This Row],[LoanID]],Table1[G-L ID],Table1[ManagerCode],-99)</f>
        <v>119</v>
      </c>
      <c r="T5219"/>
    </row>
    <row r="5220" spans="1:20" x14ac:dyDescent="0.25">
      <c r="A5220">
        <v>20161231</v>
      </c>
      <c r="B5220">
        <v>2016</v>
      </c>
      <c r="C5220">
        <v>12</v>
      </c>
      <c r="D5220">
        <v>1</v>
      </c>
      <c r="E5220">
        <v>12180</v>
      </c>
      <c r="F5220">
        <v>234470.83</v>
      </c>
      <c r="G5220">
        <v>0</v>
      </c>
      <c r="H5220">
        <v>0</v>
      </c>
      <c r="I5220">
        <v>0</v>
      </c>
      <c r="J5220">
        <v>0</v>
      </c>
      <c r="K5220">
        <v>0</v>
      </c>
      <c r="L5220">
        <v>35000000</v>
      </c>
      <c r="M5220">
        <v>35000000</v>
      </c>
      <c r="N5220">
        <v>35000000</v>
      </c>
      <c r="O5220">
        <v>35000000</v>
      </c>
      <c r="P5220">
        <v>35000000</v>
      </c>
      <c r="Q5220">
        <v>35000000</v>
      </c>
      <c r="R5220" s="14">
        <f>_xlfn.XLOOKUP(Table2[[#This Row],[LoanID]],Table1[G-L ID],Table1[ManagerCode],-99)</f>
        <v>220</v>
      </c>
      <c r="T5220"/>
    </row>
    <row r="5221" spans="1:20" x14ac:dyDescent="0.25">
      <c r="A5221">
        <v>20161231</v>
      </c>
      <c r="B5221">
        <v>2016</v>
      </c>
      <c r="C5221">
        <v>12</v>
      </c>
      <c r="D5221">
        <v>1</v>
      </c>
      <c r="E5221">
        <v>12190</v>
      </c>
      <c r="F5221">
        <v>261884.74</v>
      </c>
      <c r="G5221">
        <v>0</v>
      </c>
      <c r="H5221">
        <v>0</v>
      </c>
      <c r="I5221">
        <v>0</v>
      </c>
      <c r="J5221">
        <v>0</v>
      </c>
      <c r="K5221">
        <v>0</v>
      </c>
      <c r="L5221">
        <v>34383117</v>
      </c>
      <c r="M5221">
        <v>34383117</v>
      </c>
      <c r="N5221">
        <v>34383117</v>
      </c>
      <c r="O5221">
        <v>34383117</v>
      </c>
      <c r="P5221">
        <v>34383117</v>
      </c>
      <c r="Q5221">
        <v>34383117</v>
      </c>
      <c r="R5221" s="14">
        <f>_xlfn.XLOOKUP(Table2[[#This Row],[LoanID]],Table1[G-L ID],Table1[ManagerCode],-99)</f>
        <v>220</v>
      </c>
      <c r="T5221"/>
    </row>
    <row r="5222" spans="1:20" x14ac:dyDescent="0.25">
      <c r="A5222">
        <v>20161231</v>
      </c>
      <c r="B5222">
        <v>2016</v>
      </c>
      <c r="C5222">
        <v>12</v>
      </c>
      <c r="D5222">
        <v>1</v>
      </c>
      <c r="E5222">
        <v>12210</v>
      </c>
      <c r="F5222">
        <v>642446.73</v>
      </c>
      <c r="G5222">
        <v>0</v>
      </c>
      <c r="H5222">
        <v>0</v>
      </c>
      <c r="I5222">
        <v>0</v>
      </c>
      <c r="J5222">
        <v>0</v>
      </c>
      <c r="K5222">
        <v>251544.88</v>
      </c>
      <c r="L5222">
        <v>108604304.8</v>
      </c>
      <c r="M5222">
        <v>107931331.59999999</v>
      </c>
      <c r="N5222">
        <v>108604304.8</v>
      </c>
      <c r="O5222">
        <v>107931331.59999999</v>
      </c>
      <c r="P5222">
        <v>103948917.40000001</v>
      </c>
      <c r="Q5222">
        <v>103697372.59999999</v>
      </c>
      <c r="R5222" s="14">
        <f>_xlfn.XLOOKUP(Table2[[#This Row],[LoanID]],Table1[G-L ID],Table1[ManagerCode],-99)</f>
        <v>103</v>
      </c>
      <c r="T5222"/>
    </row>
    <row r="5223" spans="1:20" x14ac:dyDescent="0.25">
      <c r="A5223">
        <v>20161231</v>
      </c>
      <c r="B5223">
        <v>2016</v>
      </c>
      <c r="C5223">
        <v>12</v>
      </c>
      <c r="D5223">
        <v>1</v>
      </c>
      <c r="E5223">
        <v>12220</v>
      </c>
      <c r="F5223">
        <v>0</v>
      </c>
      <c r="G5223">
        <v>0</v>
      </c>
      <c r="H5223">
        <v>545000</v>
      </c>
      <c r="I5223">
        <v>0</v>
      </c>
      <c r="J5223">
        <v>-54500000</v>
      </c>
      <c r="K5223">
        <v>0</v>
      </c>
      <c r="L5223">
        <v>0</v>
      </c>
      <c r="M5223">
        <v>54500000</v>
      </c>
      <c r="N5223">
        <v>0</v>
      </c>
      <c r="O5223">
        <v>54500000</v>
      </c>
      <c r="P5223">
        <v>0</v>
      </c>
      <c r="Q5223">
        <v>54500000</v>
      </c>
      <c r="R5223" s="14">
        <f>_xlfn.XLOOKUP(Table2[[#This Row],[LoanID]],Table1[G-L ID],Table1[ManagerCode],-99)</f>
        <v>183</v>
      </c>
      <c r="T5223"/>
    </row>
    <row r="5224" spans="1:20" x14ac:dyDescent="0.25">
      <c r="A5224">
        <v>20161231</v>
      </c>
      <c r="B5224">
        <v>2016</v>
      </c>
      <c r="C5224">
        <v>12</v>
      </c>
      <c r="D5224">
        <v>1</v>
      </c>
      <c r="E5224">
        <v>12230</v>
      </c>
      <c r="F5224">
        <v>110610.19</v>
      </c>
      <c r="G5224">
        <v>0</v>
      </c>
      <c r="H5224">
        <v>0</v>
      </c>
      <c r="I5224">
        <v>0</v>
      </c>
      <c r="J5224">
        <v>0</v>
      </c>
      <c r="K5224">
        <v>0</v>
      </c>
      <c r="L5224">
        <v>20420768.75</v>
      </c>
      <c r="M5224">
        <v>20420768.75</v>
      </c>
      <c r="N5224">
        <v>13905316.25</v>
      </c>
      <c r="O5224">
        <v>13905316.25</v>
      </c>
      <c r="P5224">
        <v>20420768.75</v>
      </c>
      <c r="Q5224">
        <v>20420768.75</v>
      </c>
      <c r="R5224" s="14">
        <f>_xlfn.XLOOKUP(Table2[[#This Row],[LoanID]],Table1[G-L ID],Table1[ManagerCode],-99)</f>
        <v>183</v>
      </c>
      <c r="T5224"/>
    </row>
    <row r="5225" spans="1:20" x14ac:dyDescent="0.25">
      <c r="A5225">
        <v>20161231</v>
      </c>
      <c r="B5225">
        <v>2016</v>
      </c>
      <c r="C5225">
        <v>12</v>
      </c>
      <c r="D5225">
        <v>1</v>
      </c>
      <c r="E5225">
        <v>12240</v>
      </c>
      <c r="F5225">
        <v>0</v>
      </c>
      <c r="G5225">
        <v>1644645.12</v>
      </c>
      <c r="H5225">
        <v>0</v>
      </c>
      <c r="I5225">
        <v>0</v>
      </c>
      <c r="J5225">
        <v>0</v>
      </c>
      <c r="K5225">
        <v>0</v>
      </c>
      <c r="L5225">
        <v>147833269.59999999</v>
      </c>
      <c r="M5225">
        <v>149477914.80000001</v>
      </c>
      <c r="N5225">
        <v>147833269.59999999</v>
      </c>
      <c r="O5225">
        <v>149477914.80000001</v>
      </c>
      <c r="P5225">
        <v>147833269.59999999</v>
      </c>
      <c r="Q5225">
        <v>149477914.80000001</v>
      </c>
      <c r="R5225" s="14">
        <f>_xlfn.XLOOKUP(Table2[[#This Row],[LoanID]],Table1[G-L ID],Table1[ManagerCode],-99)</f>
        <v>183</v>
      </c>
      <c r="T5225"/>
    </row>
    <row r="5226" spans="1:20" x14ac:dyDescent="0.25">
      <c r="A5226">
        <v>20161231</v>
      </c>
      <c r="B5226">
        <v>2016</v>
      </c>
      <c r="C5226">
        <v>12</v>
      </c>
      <c r="D5226">
        <v>1</v>
      </c>
      <c r="E5226">
        <v>12250</v>
      </c>
      <c r="F5226">
        <v>114582.17</v>
      </c>
      <c r="G5226">
        <v>0</v>
      </c>
      <c r="H5226">
        <v>451800</v>
      </c>
      <c r="I5226">
        <v>0</v>
      </c>
      <c r="J5226">
        <v>-42100000</v>
      </c>
      <c r="K5226">
        <v>0</v>
      </c>
      <c r="L5226">
        <v>0</v>
      </c>
      <c r="M5226">
        <v>42100000</v>
      </c>
      <c r="N5226">
        <v>0</v>
      </c>
      <c r="O5226">
        <v>42100000</v>
      </c>
      <c r="P5226">
        <v>0</v>
      </c>
      <c r="Q5226">
        <v>42100000</v>
      </c>
      <c r="R5226" s="14">
        <f>_xlfn.XLOOKUP(Table2[[#This Row],[LoanID]],Table1[G-L ID],Table1[ManagerCode],-99)</f>
        <v>119</v>
      </c>
      <c r="T5226"/>
    </row>
    <row r="5227" spans="1:20" x14ac:dyDescent="0.25">
      <c r="A5227">
        <v>20161231</v>
      </c>
      <c r="B5227">
        <v>2016</v>
      </c>
      <c r="C5227">
        <v>12</v>
      </c>
      <c r="D5227">
        <v>1</v>
      </c>
      <c r="E5227">
        <v>12410</v>
      </c>
      <c r="F5227">
        <v>313541.67</v>
      </c>
      <c r="G5227">
        <v>0</v>
      </c>
      <c r="H5227">
        <v>0</v>
      </c>
      <c r="I5227">
        <v>0</v>
      </c>
      <c r="J5227">
        <v>0</v>
      </c>
      <c r="K5227">
        <v>0</v>
      </c>
      <c r="L5227">
        <v>74083117.599999994</v>
      </c>
      <c r="M5227">
        <v>74250000</v>
      </c>
      <c r="N5227">
        <v>74083117.599999994</v>
      </c>
      <c r="O5227">
        <v>74250000</v>
      </c>
      <c r="P5227">
        <v>75000000</v>
      </c>
      <c r="Q5227">
        <v>75000000</v>
      </c>
      <c r="R5227" s="14">
        <f>_xlfn.XLOOKUP(Table2[[#This Row],[LoanID]],Table1[G-L ID],Table1[ManagerCode],-99)</f>
        <v>103</v>
      </c>
      <c r="T5227"/>
    </row>
    <row r="5228" spans="1:20" x14ac:dyDescent="0.25">
      <c r="A5228">
        <v>20161231</v>
      </c>
      <c r="B5228">
        <v>2016</v>
      </c>
      <c r="C5228">
        <v>12</v>
      </c>
      <c r="D5228">
        <v>1</v>
      </c>
      <c r="E5228">
        <v>12420</v>
      </c>
      <c r="F5228">
        <v>0</v>
      </c>
      <c r="G5228">
        <v>0</v>
      </c>
      <c r="H5228">
        <v>0</v>
      </c>
      <c r="I5228">
        <v>0</v>
      </c>
      <c r="J5228">
        <v>-68724</v>
      </c>
      <c r="K5228">
        <v>0</v>
      </c>
      <c r="L5228">
        <v>0</v>
      </c>
      <c r="M5228">
        <v>68724</v>
      </c>
      <c r="N5228">
        <v>0</v>
      </c>
      <c r="O5228">
        <v>68724</v>
      </c>
      <c r="P5228">
        <v>0</v>
      </c>
      <c r="Q5228">
        <v>68724</v>
      </c>
      <c r="R5228" s="14">
        <f>_xlfn.XLOOKUP(Table2[[#This Row],[LoanID]],Table1[G-L ID],Table1[ManagerCode],-99)</f>
        <v>103</v>
      </c>
      <c r="T5228"/>
    </row>
    <row r="5229" spans="1:20" x14ac:dyDescent="0.25">
      <c r="A5229">
        <v>20161231</v>
      </c>
      <c r="B5229">
        <v>2016</v>
      </c>
      <c r="C5229">
        <v>12</v>
      </c>
      <c r="D5229">
        <v>1</v>
      </c>
      <c r="E5229">
        <v>13630</v>
      </c>
      <c r="F5229">
        <v>211458.33</v>
      </c>
      <c r="G5229">
        <v>0</v>
      </c>
      <c r="H5229">
        <v>0</v>
      </c>
      <c r="I5229">
        <v>0</v>
      </c>
      <c r="J5229">
        <v>0</v>
      </c>
      <c r="K5229">
        <v>0</v>
      </c>
      <c r="L5229">
        <v>33468087</v>
      </c>
      <c r="M5229">
        <v>33569646.990000002</v>
      </c>
      <c r="N5229">
        <v>33468087</v>
      </c>
      <c r="O5229">
        <v>33569646.990000002</v>
      </c>
      <c r="P5229">
        <v>35000000</v>
      </c>
      <c r="Q5229">
        <v>35000000</v>
      </c>
      <c r="R5229" s="14">
        <f>_xlfn.XLOOKUP(Table2[[#This Row],[LoanID]],Table1[G-L ID],Table1[ManagerCode],-99)</f>
        <v>298</v>
      </c>
      <c r="T5229"/>
    </row>
    <row r="5230" spans="1:20" x14ac:dyDescent="0.25">
      <c r="A5230">
        <v>20161231</v>
      </c>
      <c r="B5230">
        <v>2016</v>
      </c>
      <c r="C5230">
        <v>12</v>
      </c>
      <c r="D5230">
        <v>1</v>
      </c>
      <c r="E5230">
        <v>13650</v>
      </c>
      <c r="F5230">
        <v>0</v>
      </c>
      <c r="G5230">
        <v>0</v>
      </c>
      <c r="H5230">
        <v>0</v>
      </c>
      <c r="I5230">
        <v>0</v>
      </c>
      <c r="J5230">
        <v>-40000000</v>
      </c>
      <c r="K5230">
        <v>0</v>
      </c>
      <c r="L5230">
        <v>0</v>
      </c>
      <c r="M5230">
        <v>40000000</v>
      </c>
      <c r="N5230">
        <v>0</v>
      </c>
      <c r="O5230">
        <v>40000000</v>
      </c>
      <c r="P5230">
        <v>0</v>
      </c>
      <c r="Q5230">
        <v>40000000</v>
      </c>
      <c r="R5230" s="14">
        <f>_xlfn.XLOOKUP(Table2[[#This Row],[LoanID]],Table1[G-L ID],Table1[ManagerCode],-99)</f>
        <v>298</v>
      </c>
      <c r="T5230"/>
    </row>
    <row r="5231" spans="1:20" x14ac:dyDescent="0.25">
      <c r="A5231">
        <v>20161231</v>
      </c>
      <c r="B5231">
        <v>2016</v>
      </c>
      <c r="C5231">
        <v>12</v>
      </c>
      <c r="D5231">
        <v>1</v>
      </c>
      <c r="E5231">
        <v>13660</v>
      </c>
      <c r="F5231">
        <v>114166.67</v>
      </c>
      <c r="G5231">
        <v>0</v>
      </c>
      <c r="H5231">
        <v>0</v>
      </c>
      <c r="I5231">
        <v>0</v>
      </c>
      <c r="J5231">
        <v>0</v>
      </c>
      <c r="K5231">
        <v>0</v>
      </c>
      <c r="L5231">
        <v>20000000</v>
      </c>
      <c r="M5231">
        <v>20000000</v>
      </c>
      <c r="N5231">
        <v>20000000</v>
      </c>
      <c r="O5231">
        <v>20000000</v>
      </c>
      <c r="P5231">
        <v>20000000</v>
      </c>
      <c r="Q5231">
        <v>20000000</v>
      </c>
      <c r="R5231" s="14">
        <f>_xlfn.XLOOKUP(Table2[[#This Row],[LoanID]],Table1[G-L ID],Table1[ManagerCode],-99)</f>
        <v>298</v>
      </c>
      <c r="T5231"/>
    </row>
    <row r="5232" spans="1:20" x14ac:dyDescent="0.25">
      <c r="A5232">
        <v>20161231</v>
      </c>
      <c r="B5232">
        <v>2016</v>
      </c>
      <c r="C5232">
        <v>12</v>
      </c>
      <c r="D5232">
        <v>1</v>
      </c>
      <c r="E5232">
        <v>13670</v>
      </c>
      <c r="F5232">
        <v>282468.75</v>
      </c>
      <c r="G5232">
        <v>0</v>
      </c>
      <c r="H5232">
        <v>0</v>
      </c>
      <c r="I5232">
        <v>0</v>
      </c>
      <c r="J5232">
        <v>0</v>
      </c>
      <c r="K5232">
        <v>0</v>
      </c>
      <c r="L5232">
        <v>37369414</v>
      </c>
      <c r="M5232">
        <v>37322264.049999997</v>
      </c>
      <c r="N5232">
        <v>37369414</v>
      </c>
      <c r="O5232">
        <v>37322264.049999997</v>
      </c>
      <c r="P5232">
        <v>37500000</v>
      </c>
      <c r="Q5232">
        <v>37500000</v>
      </c>
      <c r="R5232" s="14">
        <f>_xlfn.XLOOKUP(Table2[[#This Row],[LoanID]],Table1[G-L ID],Table1[ManagerCode],-99)</f>
        <v>298</v>
      </c>
      <c r="T5232"/>
    </row>
    <row r="5233" spans="1:20" x14ac:dyDescent="0.25">
      <c r="A5233">
        <v>20161231</v>
      </c>
      <c r="B5233">
        <v>2016</v>
      </c>
      <c r="C5233">
        <v>12</v>
      </c>
      <c r="D5233">
        <v>1</v>
      </c>
      <c r="E5233">
        <v>13680</v>
      </c>
      <c r="F5233">
        <v>145312.5</v>
      </c>
      <c r="G5233">
        <v>0</v>
      </c>
      <c r="H5233">
        <v>0</v>
      </c>
      <c r="I5233">
        <v>0</v>
      </c>
      <c r="J5233">
        <v>0</v>
      </c>
      <c r="K5233">
        <v>0</v>
      </c>
      <c r="L5233">
        <v>18283364</v>
      </c>
      <c r="M5233">
        <v>17989534.25</v>
      </c>
      <c r="N5233">
        <v>18283364</v>
      </c>
      <c r="O5233">
        <v>17989534.25</v>
      </c>
      <c r="P5233">
        <v>18000000</v>
      </c>
      <c r="Q5233">
        <v>18000000</v>
      </c>
      <c r="R5233" s="14">
        <f>_xlfn.XLOOKUP(Table2[[#This Row],[LoanID]],Table1[G-L ID],Table1[ManagerCode],-99)</f>
        <v>298</v>
      </c>
      <c r="T5233"/>
    </row>
    <row r="5234" spans="1:20" x14ac:dyDescent="0.25">
      <c r="A5234">
        <v>20161231</v>
      </c>
      <c r="B5234">
        <v>2016</v>
      </c>
      <c r="C5234">
        <v>12</v>
      </c>
      <c r="D5234">
        <v>1</v>
      </c>
      <c r="E5234">
        <v>13690</v>
      </c>
      <c r="F5234">
        <v>129166.67</v>
      </c>
      <c r="G5234">
        <v>0</v>
      </c>
      <c r="H5234">
        <v>0</v>
      </c>
      <c r="I5234">
        <v>0</v>
      </c>
      <c r="J5234">
        <v>0</v>
      </c>
      <c r="K5234">
        <v>0</v>
      </c>
      <c r="L5234">
        <v>19169472</v>
      </c>
      <c r="M5234">
        <v>18960334.350000001</v>
      </c>
      <c r="N5234">
        <v>19169472</v>
      </c>
      <c r="O5234">
        <v>18960334.350000001</v>
      </c>
      <c r="P5234">
        <v>20000000</v>
      </c>
      <c r="Q5234">
        <v>20000000</v>
      </c>
      <c r="R5234" s="14">
        <f>_xlfn.XLOOKUP(Table2[[#This Row],[LoanID]],Table1[G-L ID],Table1[ManagerCode],-99)</f>
        <v>298</v>
      </c>
      <c r="T5234"/>
    </row>
    <row r="5235" spans="1:20" x14ac:dyDescent="0.25">
      <c r="A5235">
        <v>20161231</v>
      </c>
      <c r="B5235">
        <v>2016</v>
      </c>
      <c r="C5235">
        <v>12</v>
      </c>
      <c r="D5235">
        <v>1</v>
      </c>
      <c r="E5235">
        <v>15540</v>
      </c>
      <c r="F5235">
        <v>200506.25</v>
      </c>
      <c r="G5235">
        <v>11294.79</v>
      </c>
      <c r="H5235">
        <v>0</v>
      </c>
      <c r="I5235">
        <v>-2187.5</v>
      </c>
      <c r="J5235">
        <v>0</v>
      </c>
      <c r="K5235">
        <v>0</v>
      </c>
      <c r="L5235">
        <v>52700506.25</v>
      </c>
      <c r="M5235">
        <v>52711801.039999999</v>
      </c>
      <c r="N5235">
        <v>52700506.25</v>
      </c>
      <c r="O5235">
        <v>52711801.039999999</v>
      </c>
      <c r="P5235">
        <v>52700506.25</v>
      </c>
      <c r="Q5235">
        <v>52711801.039999999</v>
      </c>
      <c r="R5235" s="14">
        <f>_xlfn.XLOOKUP(Table2[[#This Row],[LoanID]],Table1[G-L ID],Table1[ManagerCode],-99)</f>
        <v>212</v>
      </c>
      <c r="T5235"/>
    </row>
    <row r="5236" spans="1:20" x14ac:dyDescent="0.25">
      <c r="A5236">
        <v>20161231</v>
      </c>
      <c r="B5236">
        <v>2016</v>
      </c>
      <c r="C5236">
        <v>12</v>
      </c>
      <c r="D5236">
        <v>1</v>
      </c>
      <c r="E5236">
        <v>15580</v>
      </c>
      <c r="F5236">
        <v>113479.61</v>
      </c>
      <c r="G5236">
        <v>3703.62</v>
      </c>
      <c r="H5236">
        <v>0</v>
      </c>
      <c r="I5236">
        <v>0</v>
      </c>
      <c r="J5236">
        <v>0</v>
      </c>
      <c r="K5236">
        <v>9921.7000000000007</v>
      </c>
      <c r="L5236">
        <v>14835158.300000001</v>
      </c>
      <c r="M5236">
        <v>14828940.220000001</v>
      </c>
      <c r="N5236">
        <v>14835158.300000001</v>
      </c>
      <c r="O5236">
        <v>14828940.220000001</v>
      </c>
      <c r="P5236">
        <v>14835158.300000001</v>
      </c>
      <c r="Q5236">
        <v>14828940.220000001</v>
      </c>
      <c r="R5236" s="14">
        <f>_xlfn.XLOOKUP(Table2[[#This Row],[LoanID]],Table1[G-L ID],Table1[ManagerCode],-99)</f>
        <v>212</v>
      </c>
      <c r="T5236"/>
    </row>
    <row r="5237" spans="1:20" x14ac:dyDescent="0.25">
      <c r="A5237">
        <v>20170131</v>
      </c>
      <c r="B5237">
        <v>2017</v>
      </c>
      <c r="C5237">
        <v>1</v>
      </c>
      <c r="D5237">
        <v>1</v>
      </c>
      <c r="E5237">
        <v>10010</v>
      </c>
      <c r="F5237">
        <v>167661.04</v>
      </c>
      <c r="G5237">
        <v>0</v>
      </c>
      <c r="H5237">
        <v>0</v>
      </c>
      <c r="I5237">
        <v>0</v>
      </c>
      <c r="J5237">
        <v>0</v>
      </c>
      <c r="K5237">
        <v>0</v>
      </c>
      <c r="L5237">
        <v>17595454.960000001</v>
      </c>
      <c r="M5237">
        <v>17595454.960000001</v>
      </c>
      <c r="N5237">
        <v>17595454.960000001</v>
      </c>
      <c r="O5237">
        <v>17595454.960000001</v>
      </c>
      <c r="P5237">
        <v>17595454.960000001</v>
      </c>
      <c r="Q5237">
        <v>17595454.960000001</v>
      </c>
      <c r="R5237" s="14">
        <f>_xlfn.XLOOKUP(Table2[[#This Row],[LoanID]],Table1[G-L ID],Table1[ManagerCode],-99)</f>
        <v>119</v>
      </c>
      <c r="T5237"/>
    </row>
    <row r="5238" spans="1:20" x14ac:dyDescent="0.25">
      <c r="A5238">
        <v>20170131</v>
      </c>
      <c r="B5238">
        <v>2017</v>
      </c>
      <c r="C5238">
        <v>1</v>
      </c>
      <c r="D5238">
        <v>1</v>
      </c>
      <c r="E5238">
        <v>10030</v>
      </c>
      <c r="F5238">
        <v>78602.58</v>
      </c>
      <c r="G5238">
        <v>0</v>
      </c>
      <c r="H5238">
        <v>0</v>
      </c>
      <c r="I5238">
        <v>0</v>
      </c>
      <c r="J5238">
        <v>-816284.79</v>
      </c>
      <c r="K5238">
        <v>0</v>
      </c>
      <c r="L5238">
        <v>8274204.9400000004</v>
      </c>
      <c r="M5238">
        <v>9090489.7300000004</v>
      </c>
      <c r="N5238">
        <v>8274204.9400000004</v>
      </c>
      <c r="O5238">
        <v>9090489.7300000004</v>
      </c>
      <c r="P5238">
        <v>8274204.9400000004</v>
      </c>
      <c r="Q5238">
        <v>9090489.7300000004</v>
      </c>
      <c r="R5238" s="14">
        <f>_xlfn.XLOOKUP(Table2[[#This Row],[LoanID]],Table1[G-L ID],Table1[ManagerCode],-99)</f>
        <v>119</v>
      </c>
      <c r="T5238"/>
    </row>
    <row r="5239" spans="1:20" x14ac:dyDescent="0.25">
      <c r="A5239">
        <v>20170131</v>
      </c>
      <c r="B5239">
        <v>2017</v>
      </c>
      <c r="C5239">
        <v>1</v>
      </c>
      <c r="D5239">
        <v>1</v>
      </c>
      <c r="E5239">
        <v>10040</v>
      </c>
      <c r="F5239">
        <v>45914.44</v>
      </c>
      <c r="G5239">
        <v>0</v>
      </c>
      <c r="H5239">
        <v>0</v>
      </c>
      <c r="I5239">
        <v>0</v>
      </c>
      <c r="J5239">
        <v>0</v>
      </c>
      <c r="K5239">
        <v>0</v>
      </c>
      <c r="L5239">
        <v>5000000</v>
      </c>
      <c r="M5239">
        <v>5000000</v>
      </c>
      <c r="N5239">
        <v>5000000</v>
      </c>
      <c r="O5239">
        <v>5000000</v>
      </c>
      <c r="P5239">
        <v>5000000</v>
      </c>
      <c r="Q5239">
        <v>5000000</v>
      </c>
      <c r="R5239" s="14">
        <f>_xlfn.XLOOKUP(Table2[[#This Row],[LoanID]],Table1[G-L ID],Table1[ManagerCode],-99)</f>
        <v>119</v>
      </c>
      <c r="T5239"/>
    </row>
    <row r="5240" spans="1:20" x14ac:dyDescent="0.25">
      <c r="A5240">
        <v>20170131</v>
      </c>
      <c r="B5240">
        <v>2017</v>
      </c>
      <c r="C5240">
        <v>1</v>
      </c>
      <c r="D5240">
        <v>1</v>
      </c>
      <c r="E5240">
        <v>10050</v>
      </c>
      <c r="F5240">
        <v>133963.48000000001</v>
      </c>
      <c r="G5240">
        <v>0</v>
      </c>
      <c r="H5240">
        <v>0</v>
      </c>
      <c r="I5240">
        <v>0</v>
      </c>
      <c r="J5240">
        <v>0</v>
      </c>
      <c r="K5240">
        <v>0</v>
      </c>
      <c r="L5240">
        <v>36884644.829999998</v>
      </c>
      <c r="M5240">
        <v>36977409.409999996</v>
      </c>
      <c r="N5240">
        <v>36884644.829999998</v>
      </c>
      <c r="O5240">
        <v>36977409.409999996</v>
      </c>
      <c r="P5240">
        <v>33333334</v>
      </c>
      <c r="Q5240">
        <v>33333334</v>
      </c>
      <c r="R5240" s="14">
        <f>_xlfn.XLOOKUP(Table2[[#This Row],[LoanID]],Table1[G-L ID],Table1[ManagerCode],-99)</f>
        <v>103</v>
      </c>
      <c r="T5240"/>
    </row>
    <row r="5241" spans="1:20" x14ac:dyDescent="0.25">
      <c r="A5241">
        <v>20170131</v>
      </c>
      <c r="B5241">
        <v>2017</v>
      </c>
      <c r="C5241">
        <v>1</v>
      </c>
      <c r="D5241">
        <v>1</v>
      </c>
      <c r="E5241">
        <v>10070</v>
      </c>
      <c r="F5241">
        <v>66146.95</v>
      </c>
      <c r="G5241">
        <v>0</v>
      </c>
      <c r="H5241">
        <v>0</v>
      </c>
      <c r="I5241">
        <v>0</v>
      </c>
      <c r="J5241">
        <v>0</v>
      </c>
      <c r="K5241">
        <v>0</v>
      </c>
      <c r="L5241">
        <v>5875000</v>
      </c>
      <c r="M5241">
        <v>5875000</v>
      </c>
      <c r="N5241">
        <v>5875000</v>
      </c>
      <c r="O5241">
        <v>5875000</v>
      </c>
      <c r="P5241">
        <v>5875000</v>
      </c>
      <c r="Q5241">
        <v>5875000</v>
      </c>
      <c r="R5241" s="14">
        <f>_xlfn.XLOOKUP(Table2[[#This Row],[LoanID]],Table1[G-L ID],Table1[ManagerCode],-99)</f>
        <v>119</v>
      </c>
      <c r="T5241"/>
    </row>
    <row r="5242" spans="1:20" x14ac:dyDescent="0.25">
      <c r="A5242">
        <v>20170131</v>
      </c>
      <c r="B5242">
        <v>2017</v>
      </c>
      <c r="C5242">
        <v>1</v>
      </c>
      <c r="D5242">
        <v>1</v>
      </c>
      <c r="E5242">
        <v>10110</v>
      </c>
      <c r="F5242">
        <v>145656.6</v>
      </c>
      <c r="G5242">
        <v>0</v>
      </c>
      <c r="H5242">
        <v>0</v>
      </c>
      <c r="I5242">
        <v>0</v>
      </c>
      <c r="J5242">
        <v>0</v>
      </c>
      <c r="K5242">
        <v>0</v>
      </c>
      <c r="L5242">
        <v>16400000</v>
      </c>
      <c r="M5242">
        <v>16400000</v>
      </c>
      <c r="N5242">
        <v>16400000</v>
      </c>
      <c r="O5242">
        <v>16400000</v>
      </c>
      <c r="P5242">
        <v>16400000</v>
      </c>
      <c r="Q5242">
        <v>16400000</v>
      </c>
      <c r="R5242" s="14">
        <f>_xlfn.XLOOKUP(Table2[[#This Row],[LoanID]],Table1[G-L ID],Table1[ManagerCode],-99)</f>
        <v>119</v>
      </c>
      <c r="T5242"/>
    </row>
    <row r="5243" spans="1:20" x14ac:dyDescent="0.25">
      <c r="A5243">
        <v>20170131</v>
      </c>
      <c r="B5243">
        <v>2017</v>
      </c>
      <c r="C5243">
        <v>1</v>
      </c>
      <c r="D5243">
        <v>1</v>
      </c>
      <c r="E5243">
        <v>10120</v>
      </c>
      <c r="F5243">
        <v>56356.09</v>
      </c>
      <c r="G5243">
        <v>61686.44</v>
      </c>
      <c r="H5243">
        <v>0</v>
      </c>
      <c r="I5243">
        <v>0</v>
      </c>
      <c r="J5243">
        <v>-56356.09</v>
      </c>
      <c r="K5243">
        <v>0</v>
      </c>
      <c r="L5243">
        <v>11367132.310000001</v>
      </c>
      <c r="M5243">
        <v>11485174.84</v>
      </c>
      <c r="N5243">
        <v>11367132.310000001</v>
      </c>
      <c r="O5243">
        <v>11485174.84</v>
      </c>
      <c r="P5243">
        <v>11367132.310000001</v>
      </c>
      <c r="Q5243">
        <v>11485174.84</v>
      </c>
      <c r="R5243" s="14">
        <f>_xlfn.XLOOKUP(Table2[[#This Row],[LoanID]],Table1[G-L ID],Table1[ManagerCode],-99)</f>
        <v>183</v>
      </c>
      <c r="T5243"/>
    </row>
    <row r="5244" spans="1:20" x14ac:dyDescent="0.25">
      <c r="A5244">
        <v>20170131</v>
      </c>
      <c r="B5244">
        <v>2017</v>
      </c>
      <c r="C5244">
        <v>1</v>
      </c>
      <c r="D5244">
        <v>1</v>
      </c>
      <c r="E5244">
        <v>10160</v>
      </c>
      <c r="F5244">
        <v>125540.74</v>
      </c>
      <c r="G5244">
        <v>0</v>
      </c>
      <c r="H5244">
        <v>0</v>
      </c>
      <c r="I5244">
        <v>0</v>
      </c>
      <c r="J5244">
        <v>0</v>
      </c>
      <c r="K5244">
        <v>0</v>
      </c>
      <c r="L5244">
        <v>15076447.77</v>
      </c>
      <c r="M5244">
        <v>15076447.77</v>
      </c>
      <c r="N5244">
        <v>15076447.77</v>
      </c>
      <c r="O5244">
        <v>15076447.77</v>
      </c>
      <c r="P5244">
        <v>15076447.77</v>
      </c>
      <c r="Q5244">
        <v>15076447.77</v>
      </c>
      <c r="R5244" s="14">
        <f>_xlfn.XLOOKUP(Table2[[#This Row],[LoanID]],Table1[G-L ID],Table1[ManagerCode],-99)</f>
        <v>119</v>
      </c>
      <c r="T5244"/>
    </row>
    <row r="5245" spans="1:20" x14ac:dyDescent="0.25">
      <c r="A5245">
        <v>20170131</v>
      </c>
      <c r="B5245">
        <v>2017</v>
      </c>
      <c r="C5245">
        <v>1</v>
      </c>
      <c r="D5245">
        <v>1</v>
      </c>
      <c r="E5245">
        <v>10220</v>
      </c>
      <c r="F5245">
        <v>0</v>
      </c>
      <c r="G5245">
        <v>0</v>
      </c>
      <c r="H5245">
        <v>0</v>
      </c>
      <c r="I5245">
        <v>0</v>
      </c>
      <c r="J5245">
        <v>0</v>
      </c>
      <c r="K5245">
        <v>0</v>
      </c>
      <c r="L5245">
        <v>112612700</v>
      </c>
      <c r="M5245">
        <v>112684700</v>
      </c>
      <c r="N5245">
        <v>112612700</v>
      </c>
      <c r="O5245">
        <v>112684700</v>
      </c>
      <c r="P5245">
        <v>100000000</v>
      </c>
      <c r="Q5245">
        <v>100000000</v>
      </c>
      <c r="R5245" s="14">
        <f>_xlfn.XLOOKUP(Table2[[#This Row],[LoanID]],Table1[G-L ID],Table1[ManagerCode],-99)</f>
        <v>103</v>
      </c>
      <c r="T5245"/>
    </row>
    <row r="5246" spans="1:20" x14ac:dyDescent="0.25">
      <c r="A5246">
        <v>20170131</v>
      </c>
      <c r="B5246">
        <v>2017</v>
      </c>
      <c r="C5246">
        <v>1</v>
      </c>
      <c r="D5246">
        <v>1</v>
      </c>
      <c r="E5246">
        <v>10240</v>
      </c>
      <c r="F5246">
        <v>93688.89</v>
      </c>
      <c r="G5246">
        <v>0</v>
      </c>
      <c r="H5246">
        <v>0</v>
      </c>
      <c r="I5246">
        <v>0</v>
      </c>
      <c r="J5246">
        <v>0</v>
      </c>
      <c r="K5246">
        <v>0</v>
      </c>
      <c r="L5246">
        <v>12500000</v>
      </c>
      <c r="M5246">
        <v>12500000</v>
      </c>
      <c r="N5246">
        <v>12500000</v>
      </c>
      <c r="O5246">
        <v>12500000</v>
      </c>
      <c r="P5246">
        <v>12500000</v>
      </c>
      <c r="Q5246">
        <v>12500000</v>
      </c>
      <c r="R5246" s="14">
        <f>_xlfn.XLOOKUP(Table2[[#This Row],[LoanID]],Table1[G-L ID],Table1[ManagerCode],-99)</f>
        <v>220</v>
      </c>
      <c r="T5246"/>
    </row>
    <row r="5247" spans="1:20" x14ac:dyDescent="0.25">
      <c r="A5247">
        <v>20170131</v>
      </c>
      <c r="B5247">
        <v>2017</v>
      </c>
      <c r="C5247">
        <v>1</v>
      </c>
      <c r="D5247">
        <v>1</v>
      </c>
      <c r="E5247">
        <v>10250</v>
      </c>
      <c r="F5247">
        <v>51597.78</v>
      </c>
      <c r="G5247">
        <v>0</v>
      </c>
      <c r="H5247">
        <v>0</v>
      </c>
      <c r="I5247">
        <v>0</v>
      </c>
      <c r="J5247">
        <v>0</v>
      </c>
      <c r="K5247">
        <v>0</v>
      </c>
      <c r="L5247">
        <v>5000000</v>
      </c>
      <c r="M5247">
        <v>5000000</v>
      </c>
      <c r="N5247">
        <v>5000000</v>
      </c>
      <c r="O5247">
        <v>5000000</v>
      </c>
      <c r="P5247">
        <v>5000000</v>
      </c>
      <c r="Q5247">
        <v>5000000</v>
      </c>
      <c r="R5247" s="14">
        <f>_xlfn.XLOOKUP(Table2[[#This Row],[LoanID]],Table1[G-L ID],Table1[ManagerCode],-99)</f>
        <v>119</v>
      </c>
      <c r="T5247"/>
    </row>
    <row r="5248" spans="1:20" x14ac:dyDescent="0.25">
      <c r="A5248">
        <v>20170131</v>
      </c>
      <c r="B5248">
        <v>2017</v>
      </c>
      <c r="C5248">
        <v>1</v>
      </c>
      <c r="D5248">
        <v>1</v>
      </c>
      <c r="E5248">
        <v>10260</v>
      </c>
      <c r="F5248">
        <v>112154.9</v>
      </c>
      <c r="G5248">
        <v>0</v>
      </c>
      <c r="H5248">
        <v>0</v>
      </c>
      <c r="I5248">
        <v>0</v>
      </c>
      <c r="J5248">
        <v>0</v>
      </c>
      <c r="K5248">
        <v>0</v>
      </c>
      <c r="L5248">
        <v>15000000</v>
      </c>
      <c r="M5248">
        <v>15000000</v>
      </c>
      <c r="N5248">
        <v>15000000</v>
      </c>
      <c r="O5248">
        <v>15000000</v>
      </c>
      <c r="P5248">
        <v>15000000</v>
      </c>
      <c r="Q5248">
        <v>15000000</v>
      </c>
      <c r="R5248" s="14">
        <f>_xlfn.XLOOKUP(Table2[[#This Row],[LoanID]],Table1[G-L ID],Table1[ManagerCode],-99)</f>
        <v>220</v>
      </c>
      <c r="T5248"/>
    </row>
    <row r="5249" spans="1:20" x14ac:dyDescent="0.25">
      <c r="A5249">
        <v>20170131</v>
      </c>
      <c r="B5249">
        <v>2017</v>
      </c>
      <c r="C5249">
        <v>1</v>
      </c>
      <c r="D5249">
        <v>1</v>
      </c>
      <c r="E5249">
        <v>10270</v>
      </c>
      <c r="F5249">
        <v>45686.25</v>
      </c>
      <c r="G5249">
        <v>0</v>
      </c>
      <c r="H5249">
        <v>0</v>
      </c>
      <c r="I5249">
        <v>0</v>
      </c>
      <c r="J5249">
        <v>0</v>
      </c>
      <c r="K5249">
        <v>0</v>
      </c>
      <c r="L5249">
        <v>5400000</v>
      </c>
      <c r="M5249">
        <v>5400000</v>
      </c>
      <c r="N5249">
        <v>5400000</v>
      </c>
      <c r="O5249">
        <v>5400000</v>
      </c>
      <c r="P5249">
        <v>5400000</v>
      </c>
      <c r="Q5249">
        <v>5400000</v>
      </c>
      <c r="R5249" s="14">
        <f>_xlfn.XLOOKUP(Table2[[#This Row],[LoanID]],Table1[G-L ID],Table1[ManagerCode],-99)</f>
        <v>119</v>
      </c>
      <c r="T5249"/>
    </row>
    <row r="5250" spans="1:20" x14ac:dyDescent="0.25">
      <c r="A5250">
        <v>20170131</v>
      </c>
      <c r="B5250">
        <v>2017</v>
      </c>
      <c r="C5250">
        <v>1</v>
      </c>
      <c r="D5250">
        <v>1</v>
      </c>
      <c r="E5250">
        <v>10330</v>
      </c>
      <c r="F5250">
        <v>84839.35</v>
      </c>
      <c r="G5250">
        <v>0</v>
      </c>
      <c r="H5250">
        <v>0</v>
      </c>
      <c r="I5250">
        <v>0</v>
      </c>
      <c r="J5250">
        <v>0</v>
      </c>
      <c r="K5250">
        <v>0</v>
      </c>
      <c r="L5250">
        <v>8652759.6999999993</v>
      </c>
      <c r="M5250">
        <v>8652759.6999999993</v>
      </c>
      <c r="N5250">
        <v>8652759.6999999993</v>
      </c>
      <c r="O5250">
        <v>8652759.6999999993</v>
      </c>
      <c r="P5250">
        <v>8652759.6999999993</v>
      </c>
      <c r="Q5250">
        <v>8652759.6999999993</v>
      </c>
      <c r="R5250" s="14">
        <f>_xlfn.XLOOKUP(Table2[[#This Row],[LoanID]],Table1[G-L ID],Table1[ManagerCode],-99)</f>
        <v>119</v>
      </c>
      <c r="T5250"/>
    </row>
    <row r="5251" spans="1:20" x14ac:dyDescent="0.25">
      <c r="A5251">
        <v>20170131</v>
      </c>
      <c r="B5251">
        <v>2017</v>
      </c>
      <c r="C5251">
        <v>1</v>
      </c>
      <c r="D5251">
        <v>1</v>
      </c>
      <c r="E5251">
        <v>10350</v>
      </c>
      <c r="F5251">
        <v>198916.67</v>
      </c>
      <c r="G5251">
        <v>0</v>
      </c>
      <c r="H5251">
        <v>0</v>
      </c>
      <c r="I5251">
        <v>0</v>
      </c>
      <c r="J5251">
        <v>0</v>
      </c>
      <c r="K5251">
        <v>0</v>
      </c>
      <c r="L5251">
        <v>24800000</v>
      </c>
      <c r="M5251">
        <v>24800000</v>
      </c>
      <c r="N5251">
        <v>24800000</v>
      </c>
      <c r="O5251">
        <v>24800000</v>
      </c>
      <c r="P5251">
        <v>24800000</v>
      </c>
      <c r="Q5251">
        <v>24800000</v>
      </c>
      <c r="R5251" s="14">
        <f>_xlfn.XLOOKUP(Table2[[#This Row],[LoanID]],Table1[G-L ID],Table1[ManagerCode],-99)</f>
        <v>220</v>
      </c>
      <c r="T5251"/>
    </row>
    <row r="5252" spans="1:20" x14ac:dyDescent="0.25">
      <c r="A5252">
        <v>20170131</v>
      </c>
      <c r="B5252">
        <v>2017</v>
      </c>
      <c r="C5252">
        <v>1</v>
      </c>
      <c r="D5252">
        <v>1</v>
      </c>
      <c r="E5252">
        <v>10360</v>
      </c>
      <c r="F5252">
        <v>57858.96</v>
      </c>
      <c r="G5252">
        <v>0</v>
      </c>
      <c r="H5252">
        <v>0</v>
      </c>
      <c r="I5252">
        <v>0</v>
      </c>
      <c r="J5252">
        <v>0</v>
      </c>
      <c r="K5252">
        <v>0</v>
      </c>
      <c r="L5252">
        <v>5909000</v>
      </c>
      <c r="M5252">
        <v>5909000</v>
      </c>
      <c r="N5252">
        <v>5909000</v>
      </c>
      <c r="O5252">
        <v>5909000</v>
      </c>
      <c r="P5252">
        <v>5909000</v>
      </c>
      <c r="Q5252">
        <v>5909000</v>
      </c>
      <c r="R5252" s="14">
        <f>_xlfn.XLOOKUP(Table2[[#This Row],[LoanID]],Table1[G-L ID],Table1[ManagerCode],-99)</f>
        <v>183</v>
      </c>
      <c r="T5252"/>
    </row>
    <row r="5253" spans="1:20" x14ac:dyDescent="0.25">
      <c r="A5253">
        <v>20170131</v>
      </c>
      <c r="B5253">
        <v>2017</v>
      </c>
      <c r="C5253">
        <v>1</v>
      </c>
      <c r="D5253">
        <v>1</v>
      </c>
      <c r="E5253">
        <v>10410</v>
      </c>
      <c r="F5253">
        <v>86108.35</v>
      </c>
      <c r="G5253">
        <v>55806.61</v>
      </c>
      <c r="H5253">
        <v>0</v>
      </c>
      <c r="I5253">
        <v>0</v>
      </c>
      <c r="J5253">
        <v>-2131706.87</v>
      </c>
      <c r="K5253">
        <v>0</v>
      </c>
      <c r="L5253">
        <v>19428705.949999999</v>
      </c>
      <c r="M5253">
        <v>21616219.43</v>
      </c>
      <c r="N5253">
        <v>19428705.949999999</v>
      </c>
      <c r="O5253">
        <v>21616219.43</v>
      </c>
      <c r="P5253">
        <v>19428705.949999999</v>
      </c>
      <c r="Q5253">
        <v>21616219.43</v>
      </c>
      <c r="R5253" s="14">
        <f>_xlfn.XLOOKUP(Table2[[#This Row],[LoanID]],Table1[G-L ID],Table1[ManagerCode],-99)</f>
        <v>183</v>
      </c>
      <c r="T5253"/>
    </row>
    <row r="5254" spans="1:20" x14ac:dyDescent="0.25">
      <c r="A5254">
        <v>20170131</v>
      </c>
      <c r="B5254">
        <v>2017</v>
      </c>
      <c r="C5254">
        <v>1</v>
      </c>
      <c r="D5254">
        <v>1</v>
      </c>
      <c r="E5254">
        <v>10480</v>
      </c>
      <c r="F5254">
        <v>170108.52</v>
      </c>
      <c r="G5254">
        <v>0</v>
      </c>
      <c r="H5254">
        <v>0</v>
      </c>
      <c r="I5254">
        <v>0</v>
      </c>
      <c r="J5254">
        <v>-509952.54</v>
      </c>
      <c r="K5254">
        <v>0</v>
      </c>
      <c r="L5254">
        <v>23104625.039999999</v>
      </c>
      <c r="M5254">
        <v>23614577.579999998</v>
      </c>
      <c r="N5254">
        <v>23104625.039999999</v>
      </c>
      <c r="O5254">
        <v>23614577.579999998</v>
      </c>
      <c r="P5254">
        <v>23104625.039999999</v>
      </c>
      <c r="Q5254">
        <v>23614577.579999998</v>
      </c>
      <c r="R5254" s="14">
        <f>_xlfn.XLOOKUP(Table2[[#This Row],[LoanID]],Table1[G-L ID],Table1[ManagerCode],-99)</f>
        <v>119</v>
      </c>
      <c r="T5254"/>
    </row>
    <row r="5255" spans="1:20" x14ac:dyDescent="0.25">
      <c r="A5255">
        <v>20170131</v>
      </c>
      <c r="B5255">
        <v>2017</v>
      </c>
      <c r="C5255">
        <v>1</v>
      </c>
      <c r="D5255">
        <v>1</v>
      </c>
      <c r="E5255">
        <v>10500</v>
      </c>
      <c r="F5255">
        <v>177077.93</v>
      </c>
      <c r="G5255">
        <v>0</v>
      </c>
      <c r="H5255">
        <v>0</v>
      </c>
      <c r="I5255">
        <v>0</v>
      </c>
      <c r="J5255">
        <v>0</v>
      </c>
      <c r="K5255">
        <v>0</v>
      </c>
      <c r="L5255">
        <v>19211405.440000001</v>
      </c>
      <c r="M5255">
        <v>19211405.440000001</v>
      </c>
      <c r="N5255">
        <v>19211405.440000001</v>
      </c>
      <c r="O5255">
        <v>19211405.440000001</v>
      </c>
      <c r="P5255">
        <v>19211405.440000001</v>
      </c>
      <c r="Q5255">
        <v>19211405.440000001</v>
      </c>
      <c r="R5255" s="14">
        <f>_xlfn.XLOOKUP(Table2[[#This Row],[LoanID]],Table1[G-L ID],Table1[ManagerCode],-99)</f>
        <v>119</v>
      </c>
      <c r="T5255"/>
    </row>
    <row r="5256" spans="1:20" x14ac:dyDescent="0.25">
      <c r="A5256">
        <v>20170131</v>
      </c>
      <c r="B5256">
        <v>2017</v>
      </c>
      <c r="C5256">
        <v>1</v>
      </c>
      <c r="D5256">
        <v>1</v>
      </c>
      <c r="E5256">
        <v>10620</v>
      </c>
      <c r="F5256">
        <v>110238.93</v>
      </c>
      <c r="G5256">
        <v>0</v>
      </c>
      <c r="H5256">
        <v>0</v>
      </c>
      <c r="I5256">
        <v>0</v>
      </c>
      <c r="J5256">
        <v>0</v>
      </c>
      <c r="K5256">
        <v>0</v>
      </c>
      <c r="L5256">
        <v>11315131.58</v>
      </c>
      <c r="M5256">
        <v>11315131.58</v>
      </c>
      <c r="N5256">
        <v>11315131.58</v>
      </c>
      <c r="O5256">
        <v>11315131.58</v>
      </c>
      <c r="P5256">
        <v>11315131.58</v>
      </c>
      <c r="Q5256">
        <v>11315131.58</v>
      </c>
      <c r="R5256" s="14">
        <f>_xlfn.XLOOKUP(Table2[[#This Row],[LoanID]],Table1[G-L ID],Table1[ManagerCode],-99)</f>
        <v>119</v>
      </c>
      <c r="T5256"/>
    </row>
    <row r="5257" spans="1:20" x14ac:dyDescent="0.25">
      <c r="A5257">
        <v>20170131</v>
      </c>
      <c r="B5257">
        <v>2017</v>
      </c>
      <c r="C5257">
        <v>1</v>
      </c>
      <c r="D5257">
        <v>1</v>
      </c>
      <c r="E5257">
        <v>10670</v>
      </c>
      <c r="F5257">
        <v>266186.67</v>
      </c>
      <c r="G5257">
        <v>0</v>
      </c>
      <c r="H5257">
        <v>0</v>
      </c>
      <c r="I5257">
        <v>0</v>
      </c>
      <c r="J5257">
        <v>0</v>
      </c>
      <c r="K5257">
        <v>0</v>
      </c>
      <c r="L5257">
        <v>30000000</v>
      </c>
      <c r="M5257">
        <v>30000000</v>
      </c>
      <c r="N5257">
        <v>30000000</v>
      </c>
      <c r="O5257">
        <v>30000000</v>
      </c>
      <c r="P5257">
        <v>30000000</v>
      </c>
      <c r="Q5257">
        <v>30000000</v>
      </c>
      <c r="R5257" s="14">
        <f>_xlfn.XLOOKUP(Table2[[#This Row],[LoanID]],Table1[G-L ID],Table1[ManagerCode],-99)</f>
        <v>119</v>
      </c>
      <c r="T5257"/>
    </row>
    <row r="5258" spans="1:20" x14ac:dyDescent="0.25">
      <c r="A5258">
        <v>20170131</v>
      </c>
      <c r="B5258">
        <v>2017</v>
      </c>
      <c r="C5258">
        <v>1</v>
      </c>
      <c r="D5258">
        <v>1</v>
      </c>
      <c r="E5258">
        <v>10680</v>
      </c>
      <c r="F5258">
        <v>99686.06</v>
      </c>
      <c r="G5258">
        <v>0</v>
      </c>
      <c r="H5258">
        <v>0</v>
      </c>
      <c r="I5258">
        <v>0</v>
      </c>
      <c r="J5258">
        <v>0</v>
      </c>
      <c r="K5258">
        <v>0</v>
      </c>
      <c r="L5258">
        <v>11426585.99</v>
      </c>
      <c r="M5258">
        <v>11426585.99</v>
      </c>
      <c r="N5258">
        <v>11426585.99</v>
      </c>
      <c r="O5258">
        <v>11426585.99</v>
      </c>
      <c r="P5258">
        <v>11426585.99</v>
      </c>
      <c r="Q5258">
        <v>11426585.99</v>
      </c>
      <c r="R5258" s="14">
        <f>_xlfn.XLOOKUP(Table2[[#This Row],[LoanID]],Table1[G-L ID],Table1[ManagerCode],-99)</f>
        <v>119</v>
      </c>
      <c r="T5258"/>
    </row>
    <row r="5259" spans="1:20" x14ac:dyDescent="0.25">
      <c r="A5259">
        <v>20170131</v>
      </c>
      <c r="B5259">
        <v>2017</v>
      </c>
      <c r="C5259">
        <v>1</v>
      </c>
      <c r="D5259">
        <v>1</v>
      </c>
      <c r="E5259">
        <v>10730</v>
      </c>
      <c r="F5259">
        <v>101692.49</v>
      </c>
      <c r="G5259">
        <v>0</v>
      </c>
      <c r="H5259">
        <v>0</v>
      </c>
      <c r="I5259">
        <v>0</v>
      </c>
      <c r="J5259">
        <v>0</v>
      </c>
      <c r="K5259">
        <v>0</v>
      </c>
      <c r="L5259">
        <v>9500000</v>
      </c>
      <c r="M5259">
        <v>9500000</v>
      </c>
      <c r="N5259">
        <v>9500000</v>
      </c>
      <c r="O5259">
        <v>9500000</v>
      </c>
      <c r="P5259">
        <v>9500000</v>
      </c>
      <c r="Q5259">
        <v>9500000</v>
      </c>
      <c r="R5259" s="14">
        <f>_xlfn.XLOOKUP(Table2[[#This Row],[LoanID]],Table1[G-L ID],Table1[ManagerCode],-99)</f>
        <v>119</v>
      </c>
      <c r="T5259"/>
    </row>
    <row r="5260" spans="1:20" x14ac:dyDescent="0.25">
      <c r="A5260">
        <v>20170131</v>
      </c>
      <c r="B5260">
        <v>2017</v>
      </c>
      <c r="C5260">
        <v>1</v>
      </c>
      <c r="D5260">
        <v>1</v>
      </c>
      <c r="E5260">
        <v>10750</v>
      </c>
      <c r="F5260">
        <v>78388.639999999999</v>
      </c>
      <c r="G5260">
        <v>0</v>
      </c>
      <c r="H5260">
        <v>0</v>
      </c>
      <c r="I5260">
        <v>0</v>
      </c>
      <c r="J5260">
        <v>0</v>
      </c>
      <c r="K5260">
        <v>0</v>
      </c>
      <c r="L5260">
        <v>9395627.8499999996</v>
      </c>
      <c r="M5260">
        <v>9395627.8499999996</v>
      </c>
      <c r="N5260">
        <v>9395627.8499999996</v>
      </c>
      <c r="O5260">
        <v>9395627.8499999996</v>
      </c>
      <c r="P5260">
        <v>9395627.8499999996</v>
      </c>
      <c r="Q5260">
        <v>9395627.8499999996</v>
      </c>
      <c r="R5260" s="14">
        <f>_xlfn.XLOOKUP(Table2[[#This Row],[LoanID]],Table1[G-L ID],Table1[ManagerCode],-99)</f>
        <v>119</v>
      </c>
      <c r="T5260"/>
    </row>
    <row r="5261" spans="1:20" x14ac:dyDescent="0.25">
      <c r="A5261">
        <v>20170131</v>
      </c>
      <c r="B5261">
        <v>2017</v>
      </c>
      <c r="C5261">
        <v>1</v>
      </c>
      <c r="D5261">
        <v>1</v>
      </c>
      <c r="E5261">
        <v>10780</v>
      </c>
      <c r="F5261">
        <v>331024.19</v>
      </c>
      <c r="G5261">
        <v>0</v>
      </c>
      <c r="H5261">
        <v>0</v>
      </c>
      <c r="I5261">
        <v>0</v>
      </c>
      <c r="J5261">
        <v>0</v>
      </c>
      <c r="K5261">
        <v>0</v>
      </c>
      <c r="L5261">
        <v>42932230.469999999</v>
      </c>
      <c r="M5261">
        <v>42932230</v>
      </c>
      <c r="N5261">
        <v>42932230.469999999</v>
      </c>
      <c r="O5261">
        <v>42932230</v>
      </c>
      <c r="P5261">
        <v>42932230.469999999</v>
      </c>
      <c r="Q5261">
        <v>42932230</v>
      </c>
      <c r="R5261" s="14">
        <f>_xlfn.XLOOKUP(Table2[[#This Row],[LoanID]],Table1[G-L ID],Table1[ManagerCode],-99)</f>
        <v>220</v>
      </c>
      <c r="T5261"/>
    </row>
    <row r="5262" spans="1:20" x14ac:dyDescent="0.25">
      <c r="A5262">
        <v>20170131</v>
      </c>
      <c r="B5262">
        <v>2017</v>
      </c>
      <c r="C5262">
        <v>1</v>
      </c>
      <c r="D5262">
        <v>1</v>
      </c>
      <c r="E5262">
        <v>10800</v>
      </c>
      <c r="F5262">
        <v>421765.33</v>
      </c>
      <c r="G5262">
        <v>0</v>
      </c>
      <c r="H5262">
        <v>0</v>
      </c>
      <c r="I5262">
        <v>0</v>
      </c>
      <c r="J5262">
        <v>0</v>
      </c>
      <c r="K5262">
        <v>0</v>
      </c>
      <c r="L5262">
        <v>48000000</v>
      </c>
      <c r="M5262">
        <v>48000000</v>
      </c>
      <c r="N5262">
        <v>48000000</v>
      </c>
      <c r="O5262">
        <v>48000000</v>
      </c>
      <c r="P5262">
        <v>48000000</v>
      </c>
      <c r="Q5262">
        <v>48000000</v>
      </c>
      <c r="R5262" s="14">
        <f>_xlfn.XLOOKUP(Table2[[#This Row],[LoanID]],Table1[G-L ID],Table1[ManagerCode],-99)</f>
        <v>220</v>
      </c>
      <c r="T5262"/>
    </row>
    <row r="5263" spans="1:20" x14ac:dyDescent="0.25">
      <c r="A5263">
        <v>20170131</v>
      </c>
      <c r="B5263">
        <v>2017</v>
      </c>
      <c r="C5263">
        <v>1</v>
      </c>
      <c r="D5263">
        <v>1</v>
      </c>
      <c r="E5263">
        <v>10810</v>
      </c>
      <c r="F5263">
        <v>86659.19</v>
      </c>
      <c r="G5263">
        <v>0</v>
      </c>
      <c r="H5263">
        <v>0</v>
      </c>
      <c r="I5263">
        <v>0</v>
      </c>
      <c r="J5263">
        <v>-162135.62</v>
      </c>
      <c r="K5263">
        <v>0</v>
      </c>
      <c r="L5263">
        <v>9984523.2300000004</v>
      </c>
      <c r="M5263">
        <v>10146658.85</v>
      </c>
      <c r="N5263">
        <v>9984523.2300000004</v>
      </c>
      <c r="O5263">
        <v>10146658.85</v>
      </c>
      <c r="P5263">
        <v>9984523.2300000004</v>
      </c>
      <c r="Q5263">
        <v>10146658.85</v>
      </c>
      <c r="R5263" s="14">
        <f>_xlfn.XLOOKUP(Table2[[#This Row],[LoanID]],Table1[G-L ID],Table1[ManagerCode],-99)</f>
        <v>119</v>
      </c>
      <c r="T5263"/>
    </row>
    <row r="5264" spans="1:20" x14ac:dyDescent="0.25">
      <c r="A5264">
        <v>20170131</v>
      </c>
      <c r="B5264">
        <v>2017</v>
      </c>
      <c r="C5264">
        <v>1</v>
      </c>
      <c r="D5264">
        <v>1</v>
      </c>
      <c r="E5264">
        <v>10820</v>
      </c>
      <c r="F5264">
        <v>197375.03</v>
      </c>
      <c r="G5264">
        <v>0</v>
      </c>
      <c r="H5264">
        <v>0</v>
      </c>
      <c r="I5264">
        <v>0</v>
      </c>
      <c r="J5264">
        <v>0</v>
      </c>
      <c r="K5264">
        <v>0</v>
      </c>
      <c r="L5264">
        <v>24127337.739999998</v>
      </c>
      <c r="M5264">
        <v>24127338</v>
      </c>
      <c r="N5264">
        <v>24127337.739999998</v>
      </c>
      <c r="O5264">
        <v>24127338</v>
      </c>
      <c r="P5264">
        <v>24127337.739999998</v>
      </c>
      <c r="Q5264">
        <v>24127337.739999998</v>
      </c>
      <c r="R5264" s="14">
        <f>_xlfn.XLOOKUP(Table2[[#This Row],[LoanID]],Table1[G-L ID],Table1[ManagerCode],-99)</f>
        <v>220</v>
      </c>
      <c r="T5264"/>
    </row>
    <row r="5265" spans="1:20" x14ac:dyDescent="0.25">
      <c r="A5265">
        <v>20170131</v>
      </c>
      <c r="B5265">
        <v>2017</v>
      </c>
      <c r="C5265">
        <v>1</v>
      </c>
      <c r="D5265">
        <v>1</v>
      </c>
      <c r="E5265">
        <v>10830</v>
      </c>
      <c r="F5265">
        <v>63857.77</v>
      </c>
      <c r="G5265">
        <v>0</v>
      </c>
      <c r="H5265">
        <v>0</v>
      </c>
      <c r="I5265">
        <v>0</v>
      </c>
      <c r="J5265">
        <v>0</v>
      </c>
      <c r="K5265">
        <v>0</v>
      </c>
      <c r="L5265">
        <v>7806043.1399999997</v>
      </c>
      <c r="M5265">
        <v>7806043.1399999997</v>
      </c>
      <c r="N5265">
        <v>7806043.1399999997</v>
      </c>
      <c r="O5265">
        <v>7806043.1399999997</v>
      </c>
      <c r="P5265">
        <v>7806043.1399999997</v>
      </c>
      <c r="Q5265">
        <v>7806043.1399999997</v>
      </c>
      <c r="R5265" s="14">
        <f>_xlfn.XLOOKUP(Table2[[#This Row],[LoanID]],Table1[G-L ID],Table1[ManagerCode],-99)</f>
        <v>220</v>
      </c>
      <c r="T5265"/>
    </row>
    <row r="5266" spans="1:20" x14ac:dyDescent="0.25">
      <c r="A5266">
        <v>20170131</v>
      </c>
      <c r="B5266">
        <v>2017</v>
      </c>
      <c r="C5266">
        <v>1</v>
      </c>
      <c r="D5266">
        <v>1</v>
      </c>
      <c r="E5266">
        <v>10840</v>
      </c>
      <c r="F5266">
        <v>103968.23</v>
      </c>
      <c r="G5266">
        <v>0</v>
      </c>
      <c r="H5266">
        <v>0</v>
      </c>
      <c r="I5266">
        <v>0</v>
      </c>
      <c r="J5266">
        <v>0</v>
      </c>
      <c r="K5266">
        <v>0</v>
      </c>
      <c r="L5266">
        <v>12709189</v>
      </c>
      <c r="M5266">
        <v>12709189</v>
      </c>
      <c r="N5266">
        <v>12709189</v>
      </c>
      <c r="O5266">
        <v>12709189</v>
      </c>
      <c r="P5266">
        <v>12709189</v>
      </c>
      <c r="Q5266">
        <v>12709189</v>
      </c>
      <c r="R5266" s="14">
        <f>_xlfn.XLOOKUP(Table2[[#This Row],[LoanID]],Table1[G-L ID],Table1[ManagerCode],-99)</f>
        <v>220</v>
      </c>
      <c r="T5266"/>
    </row>
    <row r="5267" spans="1:20" x14ac:dyDescent="0.25">
      <c r="A5267">
        <v>20170131</v>
      </c>
      <c r="B5267">
        <v>2017</v>
      </c>
      <c r="C5267">
        <v>1</v>
      </c>
      <c r="D5267">
        <v>1</v>
      </c>
      <c r="E5267">
        <v>10850</v>
      </c>
      <c r="F5267">
        <v>110534.78</v>
      </c>
      <c r="G5267">
        <v>0</v>
      </c>
      <c r="H5267">
        <v>0</v>
      </c>
      <c r="I5267">
        <v>0</v>
      </c>
      <c r="J5267">
        <v>0</v>
      </c>
      <c r="K5267">
        <v>0</v>
      </c>
      <c r="L5267">
        <v>13511892</v>
      </c>
      <c r="M5267">
        <v>13511892</v>
      </c>
      <c r="N5267">
        <v>13511892</v>
      </c>
      <c r="O5267">
        <v>13511892</v>
      </c>
      <c r="P5267">
        <v>13511892</v>
      </c>
      <c r="Q5267">
        <v>13511892</v>
      </c>
      <c r="R5267" s="14">
        <f>_xlfn.XLOOKUP(Table2[[#This Row],[LoanID]],Table1[G-L ID],Table1[ManagerCode],-99)</f>
        <v>220</v>
      </c>
      <c r="T5267"/>
    </row>
    <row r="5268" spans="1:20" x14ac:dyDescent="0.25">
      <c r="A5268">
        <v>20170131</v>
      </c>
      <c r="B5268">
        <v>2017</v>
      </c>
      <c r="C5268">
        <v>1</v>
      </c>
      <c r="D5268">
        <v>1</v>
      </c>
      <c r="E5268">
        <v>10860</v>
      </c>
      <c r="F5268">
        <v>127170.61</v>
      </c>
      <c r="G5268">
        <v>0</v>
      </c>
      <c r="H5268">
        <v>0</v>
      </c>
      <c r="I5268">
        <v>0</v>
      </c>
      <c r="J5268">
        <v>0</v>
      </c>
      <c r="K5268">
        <v>0</v>
      </c>
      <c r="L5268">
        <v>19475000</v>
      </c>
      <c r="M5268">
        <v>19475000</v>
      </c>
      <c r="N5268">
        <v>19475000</v>
      </c>
      <c r="O5268">
        <v>19475000</v>
      </c>
      <c r="P5268">
        <v>20500000</v>
      </c>
      <c r="Q5268">
        <v>20500000</v>
      </c>
      <c r="R5268" s="14">
        <f>_xlfn.XLOOKUP(Table2[[#This Row],[LoanID]],Table1[G-L ID],Table1[ManagerCode],-99)</f>
        <v>103</v>
      </c>
      <c r="T5268"/>
    </row>
    <row r="5269" spans="1:20" x14ac:dyDescent="0.25">
      <c r="A5269">
        <v>20170131</v>
      </c>
      <c r="B5269">
        <v>2017</v>
      </c>
      <c r="C5269">
        <v>1</v>
      </c>
      <c r="D5269">
        <v>1</v>
      </c>
      <c r="E5269">
        <v>10890</v>
      </c>
      <c r="F5269">
        <v>108191.35</v>
      </c>
      <c r="G5269">
        <v>90985.91</v>
      </c>
      <c r="H5269">
        <v>0</v>
      </c>
      <c r="I5269">
        <v>0</v>
      </c>
      <c r="J5269">
        <v>-108191.35</v>
      </c>
      <c r="K5269">
        <v>0</v>
      </c>
      <c r="L5269">
        <v>21728428.140000001</v>
      </c>
      <c r="M5269">
        <v>21927605.399999999</v>
      </c>
      <c r="N5269">
        <v>21728428.140000001</v>
      </c>
      <c r="O5269">
        <v>21927605.399999999</v>
      </c>
      <c r="P5269">
        <v>21728428.140000001</v>
      </c>
      <c r="Q5269">
        <v>21927605.399999999</v>
      </c>
      <c r="R5269" s="14">
        <f>_xlfn.XLOOKUP(Table2[[#This Row],[LoanID]],Table1[G-L ID],Table1[ManagerCode],-99)</f>
        <v>183</v>
      </c>
      <c r="T5269"/>
    </row>
    <row r="5270" spans="1:20" x14ac:dyDescent="0.25">
      <c r="A5270">
        <v>20170131</v>
      </c>
      <c r="B5270">
        <v>2017</v>
      </c>
      <c r="C5270">
        <v>1</v>
      </c>
      <c r="D5270">
        <v>1</v>
      </c>
      <c r="E5270">
        <v>10910</v>
      </c>
      <c r="F5270">
        <v>215781.53</v>
      </c>
      <c r="G5270">
        <v>0</v>
      </c>
      <c r="H5270">
        <v>0</v>
      </c>
      <c r="I5270">
        <v>0</v>
      </c>
      <c r="J5270">
        <v>0</v>
      </c>
      <c r="K5270">
        <v>0</v>
      </c>
      <c r="L5270">
        <v>22500000</v>
      </c>
      <c r="M5270">
        <v>22500000</v>
      </c>
      <c r="N5270">
        <v>22500000</v>
      </c>
      <c r="O5270">
        <v>22500000</v>
      </c>
      <c r="P5270">
        <v>22500000</v>
      </c>
      <c r="Q5270">
        <v>22500000</v>
      </c>
      <c r="R5270" s="14">
        <f>_xlfn.XLOOKUP(Table2[[#This Row],[LoanID]],Table1[G-L ID],Table1[ManagerCode],-99)</f>
        <v>119</v>
      </c>
      <c r="T5270"/>
    </row>
    <row r="5271" spans="1:20" x14ac:dyDescent="0.25">
      <c r="A5271">
        <v>20170131</v>
      </c>
      <c r="B5271">
        <v>2017</v>
      </c>
      <c r="C5271">
        <v>1</v>
      </c>
      <c r="D5271">
        <v>1</v>
      </c>
      <c r="E5271">
        <v>10930</v>
      </c>
      <c r="F5271">
        <v>0</v>
      </c>
      <c r="G5271">
        <v>184870.86</v>
      </c>
      <c r="H5271">
        <v>0</v>
      </c>
      <c r="I5271">
        <v>0</v>
      </c>
      <c r="J5271">
        <v>0</v>
      </c>
      <c r="K5271">
        <v>0</v>
      </c>
      <c r="L5271">
        <v>16743887.189999999</v>
      </c>
      <c r="M5271">
        <v>16928758.050000001</v>
      </c>
      <c r="N5271">
        <v>16743887.189999999</v>
      </c>
      <c r="O5271">
        <v>16928758.050000001</v>
      </c>
      <c r="P5271">
        <v>16743887.189999999</v>
      </c>
      <c r="Q5271">
        <v>16928758.050000001</v>
      </c>
      <c r="R5271" s="14">
        <f>_xlfn.XLOOKUP(Table2[[#This Row],[LoanID]],Table1[G-L ID],Table1[ManagerCode],-99)</f>
        <v>183</v>
      </c>
      <c r="T5271"/>
    </row>
    <row r="5272" spans="1:20" x14ac:dyDescent="0.25">
      <c r="A5272">
        <v>20170131</v>
      </c>
      <c r="B5272">
        <v>2017</v>
      </c>
      <c r="C5272">
        <v>1</v>
      </c>
      <c r="D5272">
        <v>1</v>
      </c>
      <c r="E5272">
        <v>10970</v>
      </c>
      <c r="F5272">
        <v>21526.560000000001</v>
      </c>
      <c r="G5272">
        <v>23562.61</v>
      </c>
      <c r="H5272">
        <v>0</v>
      </c>
      <c r="I5272">
        <v>0</v>
      </c>
      <c r="J5272">
        <v>-21526.560000000001</v>
      </c>
      <c r="K5272">
        <v>0</v>
      </c>
      <c r="L5272">
        <v>4341947.41</v>
      </c>
      <c r="M5272">
        <v>4387036.58</v>
      </c>
      <c r="N5272">
        <v>4341947.41</v>
      </c>
      <c r="O5272">
        <v>4387036.58</v>
      </c>
      <c r="P5272">
        <v>4341947.41</v>
      </c>
      <c r="Q5272">
        <v>4387036.58</v>
      </c>
      <c r="R5272" s="14">
        <f>_xlfn.XLOOKUP(Table2[[#This Row],[LoanID]],Table1[G-L ID],Table1[ManagerCode],-99)</f>
        <v>183</v>
      </c>
      <c r="T5272"/>
    </row>
    <row r="5273" spans="1:20" x14ac:dyDescent="0.25">
      <c r="A5273">
        <v>20170131</v>
      </c>
      <c r="B5273">
        <v>2017</v>
      </c>
      <c r="C5273">
        <v>1</v>
      </c>
      <c r="D5273">
        <v>1</v>
      </c>
      <c r="E5273">
        <v>11010</v>
      </c>
      <c r="F5273">
        <v>219448.21</v>
      </c>
      <c r="G5273">
        <v>0</v>
      </c>
      <c r="H5273">
        <v>0</v>
      </c>
      <c r="I5273">
        <v>0</v>
      </c>
      <c r="J5273">
        <v>0</v>
      </c>
      <c r="K5273">
        <v>0</v>
      </c>
      <c r="L5273">
        <v>26500000</v>
      </c>
      <c r="M5273">
        <v>26500000</v>
      </c>
      <c r="N5273">
        <v>26500000</v>
      </c>
      <c r="O5273">
        <v>26500000</v>
      </c>
      <c r="P5273">
        <v>26500000</v>
      </c>
      <c r="Q5273">
        <v>26500000</v>
      </c>
      <c r="R5273" s="14">
        <f>_xlfn.XLOOKUP(Table2[[#This Row],[LoanID]],Table1[G-L ID],Table1[ManagerCode],-99)</f>
        <v>119</v>
      </c>
      <c r="T5273"/>
    </row>
    <row r="5274" spans="1:20" x14ac:dyDescent="0.25">
      <c r="A5274">
        <v>20170131</v>
      </c>
      <c r="B5274">
        <v>2017</v>
      </c>
      <c r="C5274">
        <v>1</v>
      </c>
      <c r="D5274">
        <v>1</v>
      </c>
      <c r="E5274">
        <v>11040</v>
      </c>
      <c r="F5274">
        <v>512704.1</v>
      </c>
      <c r="G5274">
        <v>0</v>
      </c>
      <c r="H5274">
        <v>0</v>
      </c>
      <c r="I5274">
        <v>0</v>
      </c>
      <c r="J5274">
        <v>0</v>
      </c>
      <c r="K5274">
        <v>0</v>
      </c>
      <c r="L5274">
        <v>46866994.979999997</v>
      </c>
      <c r="M5274">
        <v>46866994.979999997</v>
      </c>
      <c r="N5274">
        <v>46866994.979999997</v>
      </c>
      <c r="O5274">
        <v>46866994.979999997</v>
      </c>
      <c r="P5274">
        <v>46866994.979999997</v>
      </c>
      <c r="Q5274">
        <v>46866994.979999997</v>
      </c>
      <c r="R5274" s="14">
        <f>_xlfn.XLOOKUP(Table2[[#This Row],[LoanID]],Table1[G-L ID],Table1[ManagerCode],-99)</f>
        <v>220</v>
      </c>
      <c r="T5274"/>
    </row>
    <row r="5275" spans="1:20" x14ac:dyDescent="0.25">
      <c r="A5275">
        <v>20170131</v>
      </c>
      <c r="B5275">
        <v>2017</v>
      </c>
      <c r="C5275">
        <v>1</v>
      </c>
      <c r="D5275">
        <v>1</v>
      </c>
      <c r="E5275">
        <v>11060</v>
      </c>
      <c r="F5275">
        <v>123013.56</v>
      </c>
      <c r="G5275">
        <v>0</v>
      </c>
      <c r="H5275">
        <v>0</v>
      </c>
      <c r="I5275">
        <v>0</v>
      </c>
      <c r="J5275">
        <v>0</v>
      </c>
      <c r="K5275">
        <v>0</v>
      </c>
      <c r="L5275">
        <v>22000000</v>
      </c>
      <c r="M5275">
        <v>22000000</v>
      </c>
      <c r="N5275">
        <v>22000000</v>
      </c>
      <c r="O5275">
        <v>22000000</v>
      </c>
      <c r="P5275">
        <v>22000000</v>
      </c>
      <c r="Q5275">
        <v>22000000</v>
      </c>
      <c r="R5275" s="14">
        <f>_xlfn.XLOOKUP(Table2[[#This Row],[LoanID]],Table1[G-L ID],Table1[ManagerCode],-99)</f>
        <v>119</v>
      </c>
      <c r="T5275"/>
    </row>
    <row r="5276" spans="1:20" x14ac:dyDescent="0.25">
      <c r="A5276">
        <v>20170131</v>
      </c>
      <c r="B5276">
        <v>2017</v>
      </c>
      <c r="C5276">
        <v>1</v>
      </c>
      <c r="D5276">
        <v>1</v>
      </c>
      <c r="E5276">
        <v>11080</v>
      </c>
      <c r="F5276">
        <v>365446.40000000002</v>
      </c>
      <c r="G5276">
        <v>0</v>
      </c>
      <c r="H5276">
        <v>0</v>
      </c>
      <c r="I5276">
        <v>0</v>
      </c>
      <c r="J5276">
        <v>0</v>
      </c>
      <c r="K5276">
        <v>0</v>
      </c>
      <c r="L5276">
        <v>39937931.030000001</v>
      </c>
      <c r="M5276">
        <v>39937931.030000001</v>
      </c>
      <c r="N5276">
        <v>39937931.030000001</v>
      </c>
      <c r="O5276">
        <v>39937931.030000001</v>
      </c>
      <c r="P5276">
        <v>39937931.030000001</v>
      </c>
      <c r="Q5276">
        <v>39937931.030000001</v>
      </c>
      <c r="R5276" s="14">
        <f>_xlfn.XLOOKUP(Table2[[#This Row],[LoanID]],Table1[G-L ID],Table1[ManagerCode],-99)</f>
        <v>119</v>
      </c>
      <c r="T5276"/>
    </row>
    <row r="5277" spans="1:20" x14ac:dyDescent="0.25">
      <c r="A5277">
        <v>20170131</v>
      </c>
      <c r="B5277">
        <v>2017</v>
      </c>
      <c r="C5277">
        <v>1</v>
      </c>
      <c r="D5277">
        <v>1</v>
      </c>
      <c r="E5277">
        <v>11090</v>
      </c>
      <c r="F5277">
        <v>96832.29</v>
      </c>
      <c r="G5277">
        <v>0</v>
      </c>
      <c r="H5277">
        <v>0</v>
      </c>
      <c r="I5277">
        <v>0</v>
      </c>
      <c r="J5277">
        <v>0</v>
      </c>
      <c r="K5277">
        <v>0</v>
      </c>
      <c r="L5277">
        <v>11000000</v>
      </c>
      <c r="M5277">
        <v>11000000</v>
      </c>
      <c r="N5277">
        <v>11000000</v>
      </c>
      <c r="O5277">
        <v>11000000</v>
      </c>
      <c r="P5277">
        <v>11000000</v>
      </c>
      <c r="Q5277">
        <v>11000000</v>
      </c>
      <c r="R5277" s="14">
        <f>_xlfn.XLOOKUP(Table2[[#This Row],[LoanID]],Table1[G-L ID],Table1[ManagerCode],-99)</f>
        <v>119</v>
      </c>
      <c r="T5277"/>
    </row>
    <row r="5278" spans="1:20" x14ac:dyDescent="0.25">
      <c r="A5278">
        <v>20170131</v>
      </c>
      <c r="B5278">
        <v>2017</v>
      </c>
      <c r="C5278">
        <v>1</v>
      </c>
      <c r="D5278">
        <v>1</v>
      </c>
      <c r="E5278">
        <v>11150</v>
      </c>
      <c r="F5278">
        <v>103996.04</v>
      </c>
      <c r="G5278">
        <v>0</v>
      </c>
      <c r="H5278">
        <v>0</v>
      </c>
      <c r="I5278">
        <v>0</v>
      </c>
      <c r="J5278">
        <v>0</v>
      </c>
      <c r="K5278">
        <v>0</v>
      </c>
      <c r="L5278">
        <v>8940000</v>
      </c>
      <c r="M5278">
        <v>8940000</v>
      </c>
      <c r="N5278">
        <v>8940000</v>
      </c>
      <c r="O5278">
        <v>8940000</v>
      </c>
      <c r="P5278">
        <v>8940000</v>
      </c>
      <c r="Q5278">
        <v>8940000</v>
      </c>
      <c r="R5278" s="14">
        <f>_xlfn.XLOOKUP(Table2[[#This Row],[LoanID]],Table1[G-L ID],Table1[ManagerCode],-99)</f>
        <v>119</v>
      </c>
      <c r="T5278"/>
    </row>
    <row r="5279" spans="1:20" x14ac:dyDescent="0.25">
      <c r="A5279">
        <v>20170131</v>
      </c>
      <c r="B5279">
        <v>2017</v>
      </c>
      <c r="C5279">
        <v>1</v>
      </c>
      <c r="D5279">
        <v>1</v>
      </c>
      <c r="E5279">
        <v>11160</v>
      </c>
      <c r="F5279">
        <v>287723.27</v>
      </c>
      <c r="G5279">
        <v>163750.74</v>
      </c>
      <c r="H5279">
        <v>0</v>
      </c>
      <c r="I5279">
        <v>0</v>
      </c>
      <c r="J5279">
        <v>-1164942.73</v>
      </c>
      <c r="K5279">
        <v>490328.62</v>
      </c>
      <c r="L5279">
        <v>65163555.32</v>
      </c>
      <c r="M5279">
        <v>66492248.789999999</v>
      </c>
      <c r="N5279">
        <v>47366448.469999999</v>
      </c>
      <c r="O5279">
        <v>48204813.32</v>
      </c>
      <c r="P5279">
        <v>65163555.32</v>
      </c>
      <c r="Q5279">
        <v>66492248.789999999</v>
      </c>
      <c r="R5279" s="14">
        <f>_xlfn.XLOOKUP(Table2[[#This Row],[LoanID]],Table1[G-L ID],Table1[ManagerCode],-99)</f>
        <v>183</v>
      </c>
      <c r="T5279"/>
    </row>
    <row r="5280" spans="1:20" x14ac:dyDescent="0.25">
      <c r="A5280">
        <v>20170131</v>
      </c>
      <c r="B5280">
        <v>2017</v>
      </c>
      <c r="C5280">
        <v>1</v>
      </c>
      <c r="D5280">
        <v>1</v>
      </c>
      <c r="E5280">
        <v>11210</v>
      </c>
      <c r="F5280">
        <v>55371.040000000001</v>
      </c>
      <c r="G5280">
        <v>0</v>
      </c>
      <c r="H5280">
        <v>0</v>
      </c>
      <c r="I5280">
        <v>0</v>
      </c>
      <c r="J5280">
        <v>0</v>
      </c>
      <c r="K5280">
        <v>0</v>
      </c>
      <c r="L5280">
        <v>7500000</v>
      </c>
      <c r="M5280">
        <v>7500000</v>
      </c>
      <c r="N5280">
        <v>7500000</v>
      </c>
      <c r="O5280">
        <v>7500000</v>
      </c>
      <c r="P5280">
        <v>7500000</v>
      </c>
      <c r="Q5280">
        <v>7500000</v>
      </c>
      <c r="R5280" s="14">
        <f>_xlfn.XLOOKUP(Table2[[#This Row],[LoanID]],Table1[G-L ID],Table1[ManagerCode],-99)</f>
        <v>119</v>
      </c>
      <c r="T5280"/>
    </row>
    <row r="5281" spans="1:20" x14ac:dyDescent="0.25">
      <c r="A5281">
        <v>20170131</v>
      </c>
      <c r="B5281">
        <v>2017</v>
      </c>
      <c r="C5281">
        <v>1</v>
      </c>
      <c r="D5281">
        <v>1</v>
      </c>
      <c r="E5281">
        <v>11250</v>
      </c>
      <c r="F5281">
        <v>228165.31</v>
      </c>
      <c r="G5281">
        <v>0</v>
      </c>
      <c r="H5281">
        <v>0</v>
      </c>
      <c r="I5281">
        <v>0</v>
      </c>
      <c r="J5281">
        <v>0</v>
      </c>
      <c r="K5281">
        <v>0</v>
      </c>
      <c r="L5281">
        <v>18253225.030000001</v>
      </c>
      <c r="M5281">
        <v>18253225.030000001</v>
      </c>
      <c r="N5281">
        <v>18253225.030000001</v>
      </c>
      <c r="O5281">
        <v>18253225.030000001</v>
      </c>
      <c r="P5281">
        <v>18253225.030000001</v>
      </c>
      <c r="Q5281">
        <v>18253225.030000001</v>
      </c>
      <c r="R5281" s="14">
        <f>_xlfn.XLOOKUP(Table2[[#This Row],[LoanID]],Table1[G-L ID],Table1[ManagerCode],-99)</f>
        <v>183</v>
      </c>
      <c r="T5281"/>
    </row>
    <row r="5282" spans="1:20" x14ac:dyDescent="0.25">
      <c r="A5282">
        <v>20170131</v>
      </c>
      <c r="B5282">
        <v>2017</v>
      </c>
      <c r="C5282">
        <v>1</v>
      </c>
      <c r="D5282">
        <v>1</v>
      </c>
      <c r="E5282">
        <v>11330</v>
      </c>
      <c r="F5282">
        <v>71727.55</v>
      </c>
      <c r="G5282">
        <v>0</v>
      </c>
      <c r="H5282">
        <v>0</v>
      </c>
      <c r="I5282">
        <v>0</v>
      </c>
      <c r="J5282">
        <v>-146416.57999999999</v>
      </c>
      <c r="K5282">
        <v>0</v>
      </c>
      <c r="L5282">
        <v>6619797.9000000004</v>
      </c>
      <c r="M5282">
        <v>6766214.4800000004</v>
      </c>
      <c r="N5282">
        <v>6619797.9000000004</v>
      </c>
      <c r="O5282">
        <v>6766214.4800000004</v>
      </c>
      <c r="P5282">
        <v>6619797.9000000004</v>
      </c>
      <c r="Q5282">
        <v>6766214.4800000004</v>
      </c>
      <c r="R5282" s="14">
        <f>_xlfn.XLOOKUP(Table2[[#This Row],[LoanID]],Table1[G-L ID],Table1[ManagerCode],-99)</f>
        <v>119</v>
      </c>
      <c r="T5282"/>
    </row>
    <row r="5283" spans="1:20" x14ac:dyDescent="0.25">
      <c r="A5283">
        <v>20170131</v>
      </c>
      <c r="B5283">
        <v>2017</v>
      </c>
      <c r="C5283">
        <v>1</v>
      </c>
      <c r="D5283">
        <v>1</v>
      </c>
      <c r="E5283">
        <v>11340</v>
      </c>
      <c r="F5283">
        <v>296664.25</v>
      </c>
      <c r="G5283">
        <v>0</v>
      </c>
      <c r="H5283">
        <v>0</v>
      </c>
      <c r="I5283">
        <v>0</v>
      </c>
      <c r="J5283">
        <v>0</v>
      </c>
      <c r="K5283">
        <v>63905.78</v>
      </c>
      <c r="L5283">
        <v>48724027.369999997</v>
      </c>
      <c r="M5283">
        <v>48660760.68</v>
      </c>
      <c r="N5283">
        <v>48724027.369999997</v>
      </c>
      <c r="O5283">
        <v>48660760.68</v>
      </c>
      <c r="P5283">
        <v>49216189.259999998</v>
      </c>
      <c r="Q5283">
        <v>49152283.479999997</v>
      </c>
      <c r="R5283" s="14">
        <f>_xlfn.XLOOKUP(Table2[[#This Row],[LoanID]],Table1[G-L ID],Table1[ManagerCode],-99)</f>
        <v>103</v>
      </c>
      <c r="T5283"/>
    </row>
    <row r="5284" spans="1:20" x14ac:dyDescent="0.25">
      <c r="A5284">
        <v>20170131</v>
      </c>
      <c r="B5284">
        <v>2017</v>
      </c>
      <c r="C5284">
        <v>1</v>
      </c>
      <c r="D5284">
        <v>1</v>
      </c>
      <c r="E5284">
        <v>11350</v>
      </c>
      <c r="F5284">
        <v>301388.89</v>
      </c>
      <c r="G5284">
        <v>0</v>
      </c>
      <c r="H5284">
        <v>0</v>
      </c>
      <c r="I5284">
        <v>0</v>
      </c>
      <c r="J5284">
        <v>0</v>
      </c>
      <c r="K5284">
        <v>0</v>
      </c>
      <c r="L5284">
        <v>54449945.549999997</v>
      </c>
      <c r="M5284">
        <v>54449945.549999997</v>
      </c>
      <c r="N5284">
        <v>54449945.549999997</v>
      </c>
      <c r="O5284">
        <v>54449945.549999997</v>
      </c>
      <c r="P5284">
        <v>55000000</v>
      </c>
      <c r="Q5284">
        <v>55000000</v>
      </c>
      <c r="R5284" s="14">
        <f>_xlfn.XLOOKUP(Table2[[#This Row],[LoanID]],Table1[G-L ID],Table1[ManagerCode],-99)</f>
        <v>103</v>
      </c>
      <c r="T5284"/>
    </row>
    <row r="5285" spans="1:20" x14ac:dyDescent="0.25">
      <c r="A5285">
        <v>20170131</v>
      </c>
      <c r="B5285">
        <v>2017</v>
      </c>
      <c r="C5285">
        <v>1</v>
      </c>
      <c r="D5285">
        <v>1</v>
      </c>
      <c r="E5285">
        <v>11360</v>
      </c>
      <c r="F5285">
        <v>63776.85</v>
      </c>
      <c r="G5285">
        <v>0</v>
      </c>
      <c r="H5285">
        <v>0</v>
      </c>
      <c r="I5285">
        <v>0</v>
      </c>
      <c r="J5285">
        <v>0</v>
      </c>
      <c r="K5285">
        <v>0</v>
      </c>
      <c r="L5285">
        <v>7537500</v>
      </c>
      <c r="M5285">
        <v>7537500</v>
      </c>
      <c r="N5285">
        <v>7537500</v>
      </c>
      <c r="O5285">
        <v>7537500</v>
      </c>
      <c r="P5285">
        <v>7537500</v>
      </c>
      <c r="Q5285">
        <v>7537500</v>
      </c>
      <c r="R5285" s="14">
        <f>_xlfn.XLOOKUP(Table2[[#This Row],[LoanID]],Table1[G-L ID],Table1[ManagerCode],-99)</f>
        <v>119</v>
      </c>
      <c r="T5285"/>
    </row>
    <row r="5286" spans="1:20" x14ac:dyDescent="0.25">
      <c r="A5286">
        <v>20170131</v>
      </c>
      <c r="B5286">
        <v>2017</v>
      </c>
      <c r="C5286">
        <v>1</v>
      </c>
      <c r="D5286">
        <v>1</v>
      </c>
      <c r="E5286">
        <v>11410</v>
      </c>
      <c r="F5286">
        <v>111641.33</v>
      </c>
      <c r="G5286">
        <v>0</v>
      </c>
      <c r="H5286">
        <v>0</v>
      </c>
      <c r="I5286">
        <v>0</v>
      </c>
      <c r="J5286">
        <v>0</v>
      </c>
      <c r="K5286">
        <v>0</v>
      </c>
      <c r="L5286">
        <v>12000000</v>
      </c>
      <c r="M5286">
        <v>12000000</v>
      </c>
      <c r="N5286">
        <v>12000000</v>
      </c>
      <c r="O5286">
        <v>12000000</v>
      </c>
      <c r="P5286">
        <v>12000000</v>
      </c>
      <c r="Q5286">
        <v>12000000</v>
      </c>
      <c r="R5286" s="14">
        <f>_xlfn.XLOOKUP(Table2[[#This Row],[LoanID]],Table1[G-L ID],Table1[ManagerCode],-99)</f>
        <v>119</v>
      </c>
      <c r="T5286"/>
    </row>
    <row r="5287" spans="1:20" x14ac:dyDescent="0.25">
      <c r="A5287">
        <v>20170131</v>
      </c>
      <c r="B5287">
        <v>2017</v>
      </c>
      <c r="C5287">
        <v>1</v>
      </c>
      <c r="D5287">
        <v>1</v>
      </c>
      <c r="E5287">
        <v>11440</v>
      </c>
      <c r="F5287">
        <v>156250</v>
      </c>
      <c r="G5287">
        <v>0</v>
      </c>
      <c r="H5287">
        <v>0</v>
      </c>
      <c r="I5287">
        <v>0</v>
      </c>
      <c r="J5287">
        <v>0</v>
      </c>
      <c r="K5287">
        <v>0</v>
      </c>
      <c r="L5287">
        <v>18750000</v>
      </c>
      <c r="M5287">
        <v>18750000</v>
      </c>
      <c r="N5287">
        <v>18750000</v>
      </c>
      <c r="O5287">
        <v>18750000</v>
      </c>
      <c r="P5287">
        <v>18750000</v>
      </c>
      <c r="Q5287">
        <v>18750000</v>
      </c>
      <c r="R5287" s="14">
        <f>_xlfn.XLOOKUP(Table2[[#This Row],[LoanID]],Table1[G-L ID],Table1[ManagerCode],-99)</f>
        <v>183</v>
      </c>
      <c r="T5287"/>
    </row>
    <row r="5288" spans="1:20" x14ac:dyDescent="0.25">
      <c r="A5288">
        <v>20170131</v>
      </c>
      <c r="B5288">
        <v>2017</v>
      </c>
      <c r="C5288">
        <v>1</v>
      </c>
      <c r="D5288">
        <v>1</v>
      </c>
      <c r="E5288">
        <v>11450</v>
      </c>
      <c r="F5288">
        <v>128354.44</v>
      </c>
      <c r="G5288">
        <v>0</v>
      </c>
      <c r="H5288">
        <v>0</v>
      </c>
      <c r="I5288">
        <v>0</v>
      </c>
      <c r="J5288">
        <v>-105124.06</v>
      </c>
      <c r="K5288">
        <v>0</v>
      </c>
      <c r="L5288">
        <v>15438297.869999999</v>
      </c>
      <c r="M5288">
        <v>15543421.93</v>
      </c>
      <c r="N5288">
        <v>15438297.869999999</v>
      </c>
      <c r="O5288">
        <v>15543421.93</v>
      </c>
      <c r="P5288">
        <v>15438297.869999999</v>
      </c>
      <c r="Q5288">
        <v>15543421.93</v>
      </c>
      <c r="R5288" s="14">
        <f>_xlfn.XLOOKUP(Table2[[#This Row],[LoanID]],Table1[G-L ID],Table1[ManagerCode],-99)</f>
        <v>119</v>
      </c>
      <c r="T5288"/>
    </row>
    <row r="5289" spans="1:20" x14ac:dyDescent="0.25">
      <c r="A5289">
        <v>20170131</v>
      </c>
      <c r="B5289">
        <v>2017</v>
      </c>
      <c r="C5289">
        <v>1</v>
      </c>
      <c r="D5289">
        <v>1</v>
      </c>
      <c r="E5289">
        <v>11480</v>
      </c>
      <c r="F5289">
        <v>389032.78</v>
      </c>
      <c r="G5289">
        <v>0</v>
      </c>
      <c r="H5289">
        <v>0</v>
      </c>
      <c r="I5289">
        <v>0</v>
      </c>
      <c r="J5289">
        <v>0</v>
      </c>
      <c r="K5289">
        <v>0</v>
      </c>
      <c r="L5289">
        <v>66500000</v>
      </c>
      <c r="M5289">
        <v>66500000</v>
      </c>
      <c r="N5289">
        <v>66500000</v>
      </c>
      <c r="O5289">
        <v>66500000</v>
      </c>
      <c r="P5289">
        <v>70000000</v>
      </c>
      <c r="Q5289">
        <v>70000000</v>
      </c>
      <c r="R5289" s="14">
        <f>_xlfn.XLOOKUP(Table2[[#This Row],[LoanID]],Table1[G-L ID],Table1[ManagerCode],-99)</f>
        <v>103</v>
      </c>
      <c r="T5289"/>
    </row>
    <row r="5290" spans="1:20" x14ac:dyDescent="0.25">
      <c r="A5290">
        <v>20170131</v>
      </c>
      <c r="B5290">
        <v>2017</v>
      </c>
      <c r="C5290">
        <v>1</v>
      </c>
      <c r="D5290">
        <v>1</v>
      </c>
      <c r="E5290">
        <v>11490</v>
      </c>
      <c r="F5290">
        <v>364870</v>
      </c>
      <c r="G5290">
        <v>0</v>
      </c>
      <c r="H5290">
        <v>0</v>
      </c>
      <c r="I5290">
        <v>0</v>
      </c>
      <c r="J5290">
        <v>0</v>
      </c>
      <c r="K5290">
        <v>0</v>
      </c>
      <c r="L5290">
        <v>52250000</v>
      </c>
      <c r="M5290">
        <v>52250000</v>
      </c>
      <c r="N5290">
        <v>52250000</v>
      </c>
      <c r="O5290">
        <v>52250000</v>
      </c>
      <c r="P5290">
        <v>55000000</v>
      </c>
      <c r="Q5290">
        <v>55000000</v>
      </c>
      <c r="R5290" s="14">
        <f>_xlfn.XLOOKUP(Table2[[#This Row],[LoanID]],Table1[G-L ID],Table1[ManagerCode],-99)</f>
        <v>103</v>
      </c>
      <c r="T5290"/>
    </row>
    <row r="5291" spans="1:20" x14ac:dyDescent="0.25">
      <c r="A5291">
        <v>20170131</v>
      </c>
      <c r="B5291">
        <v>2017</v>
      </c>
      <c r="C5291">
        <v>1</v>
      </c>
      <c r="D5291">
        <v>1</v>
      </c>
      <c r="E5291">
        <v>11520</v>
      </c>
      <c r="F5291">
        <v>40865.019999999997</v>
      </c>
      <c r="G5291">
        <v>0</v>
      </c>
      <c r="H5291">
        <v>0</v>
      </c>
      <c r="I5291">
        <v>0</v>
      </c>
      <c r="J5291">
        <v>0</v>
      </c>
      <c r="K5291">
        <v>0</v>
      </c>
      <c r="L5291">
        <v>4748496.88</v>
      </c>
      <c r="M5291">
        <v>4748496.88</v>
      </c>
      <c r="N5291">
        <v>4748496.88</v>
      </c>
      <c r="O5291">
        <v>4748496.88</v>
      </c>
      <c r="P5291">
        <v>4748496.88</v>
      </c>
      <c r="Q5291">
        <v>4748496.88</v>
      </c>
      <c r="R5291" s="14">
        <f>_xlfn.XLOOKUP(Table2[[#This Row],[LoanID]],Table1[G-L ID],Table1[ManagerCode],-99)</f>
        <v>119</v>
      </c>
      <c r="T5291"/>
    </row>
    <row r="5292" spans="1:20" x14ac:dyDescent="0.25">
      <c r="A5292">
        <v>20170131</v>
      </c>
      <c r="B5292">
        <v>2017</v>
      </c>
      <c r="C5292">
        <v>1</v>
      </c>
      <c r="D5292">
        <v>1</v>
      </c>
      <c r="E5292">
        <v>11530</v>
      </c>
      <c r="F5292">
        <v>120718.99</v>
      </c>
      <c r="G5292">
        <v>0</v>
      </c>
      <c r="H5292">
        <v>0</v>
      </c>
      <c r="I5292">
        <v>0</v>
      </c>
      <c r="J5292">
        <v>0</v>
      </c>
      <c r="K5292">
        <v>0</v>
      </c>
      <c r="L5292">
        <v>13239804.41</v>
      </c>
      <c r="M5292">
        <v>13239804.41</v>
      </c>
      <c r="N5292">
        <v>13239804.41</v>
      </c>
      <c r="O5292">
        <v>13239804.41</v>
      </c>
      <c r="P5292">
        <v>13239804.41</v>
      </c>
      <c r="Q5292">
        <v>13239804.41</v>
      </c>
      <c r="R5292" s="14">
        <f>_xlfn.XLOOKUP(Table2[[#This Row],[LoanID]],Table1[G-L ID],Table1[ManagerCode],-99)</f>
        <v>119</v>
      </c>
      <c r="T5292"/>
    </row>
    <row r="5293" spans="1:20" x14ac:dyDescent="0.25">
      <c r="A5293">
        <v>20170131</v>
      </c>
      <c r="B5293">
        <v>2017</v>
      </c>
      <c r="C5293">
        <v>1</v>
      </c>
      <c r="D5293">
        <v>1</v>
      </c>
      <c r="E5293">
        <v>11590</v>
      </c>
      <c r="F5293">
        <v>24764.9</v>
      </c>
      <c r="G5293">
        <v>0</v>
      </c>
      <c r="H5293">
        <v>0</v>
      </c>
      <c r="I5293">
        <v>0</v>
      </c>
      <c r="J5293">
        <v>0</v>
      </c>
      <c r="K5293">
        <v>0</v>
      </c>
      <c r="L5293">
        <v>3507224.44</v>
      </c>
      <c r="M5293">
        <v>3507224.44</v>
      </c>
      <c r="N5293">
        <v>3507224.44</v>
      </c>
      <c r="O5293">
        <v>3507224.44</v>
      </c>
      <c r="P5293">
        <v>3507224.44</v>
      </c>
      <c r="Q5293">
        <v>3507224.44</v>
      </c>
      <c r="R5293" s="14">
        <f>_xlfn.XLOOKUP(Table2[[#This Row],[LoanID]],Table1[G-L ID],Table1[ManagerCode],-99)</f>
        <v>119</v>
      </c>
      <c r="T5293"/>
    </row>
    <row r="5294" spans="1:20" x14ac:dyDescent="0.25">
      <c r="A5294">
        <v>20170131</v>
      </c>
      <c r="B5294">
        <v>2017</v>
      </c>
      <c r="C5294">
        <v>1</v>
      </c>
      <c r="D5294">
        <v>1</v>
      </c>
      <c r="E5294">
        <v>11650</v>
      </c>
      <c r="F5294">
        <v>75000</v>
      </c>
      <c r="G5294">
        <v>0</v>
      </c>
      <c r="H5294">
        <v>0</v>
      </c>
      <c r="I5294">
        <v>0</v>
      </c>
      <c r="J5294">
        <v>0</v>
      </c>
      <c r="K5294">
        <v>0</v>
      </c>
      <c r="L5294">
        <v>11880000</v>
      </c>
      <c r="M5294">
        <v>11880000</v>
      </c>
      <c r="N5294">
        <v>11880000</v>
      </c>
      <c r="O5294">
        <v>11880000</v>
      </c>
      <c r="P5294">
        <v>12000000</v>
      </c>
      <c r="Q5294">
        <v>12000000</v>
      </c>
      <c r="R5294" s="14">
        <f>_xlfn.XLOOKUP(Table2[[#This Row],[LoanID]],Table1[G-L ID],Table1[ManagerCode],-99)</f>
        <v>103</v>
      </c>
      <c r="T5294"/>
    </row>
    <row r="5295" spans="1:20" x14ac:dyDescent="0.25">
      <c r="A5295">
        <v>20170131</v>
      </c>
      <c r="B5295">
        <v>2017</v>
      </c>
      <c r="C5295">
        <v>1</v>
      </c>
      <c r="D5295">
        <v>1</v>
      </c>
      <c r="E5295">
        <v>11680</v>
      </c>
      <c r="F5295">
        <v>57126.559999999998</v>
      </c>
      <c r="G5295">
        <v>0</v>
      </c>
      <c r="H5295">
        <v>0</v>
      </c>
      <c r="I5295">
        <v>0</v>
      </c>
      <c r="J5295">
        <v>0</v>
      </c>
      <c r="K5295">
        <v>0</v>
      </c>
      <c r="L5295">
        <v>6600000</v>
      </c>
      <c r="M5295">
        <v>6600000</v>
      </c>
      <c r="N5295">
        <v>6600000</v>
      </c>
      <c r="O5295">
        <v>6600000</v>
      </c>
      <c r="P5295">
        <v>6600000</v>
      </c>
      <c r="Q5295">
        <v>6600000</v>
      </c>
      <c r="R5295" s="14">
        <f>_xlfn.XLOOKUP(Table2[[#This Row],[LoanID]],Table1[G-L ID],Table1[ManagerCode],-99)</f>
        <v>183</v>
      </c>
      <c r="T5295"/>
    </row>
    <row r="5296" spans="1:20" x14ac:dyDescent="0.25">
      <c r="A5296">
        <v>20170131</v>
      </c>
      <c r="B5296">
        <v>2017</v>
      </c>
      <c r="C5296">
        <v>1</v>
      </c>
      <c r="D5296">
        <v>1</v>
      </c>
      <c r="E5296">
        <v>11690</v>
      </c>
      <c r="F5296">
        <v>142055.78</v>
      </c>
      <c r="G5296">
        <v>0</v>
      </c>
      <c r="H5296">
        <v>0</v>
      </c>
      <c r="I5296">
        <v>0</v>
      </c>
      <c r="J5296">
        <v>0</v>
      </c>
      <c r="K5296">
        <v>0</v>
      </c>
      <c r="L5296">
        <v>17000000</v>
      </c>
      <c r="M5296">
        <v>17000000</v>
      </c>
      <c r="N5296">
        <v>17000000</v>
      </c>
      <c r="O5296">
        <v>17000000</v>
      </c>
      <c r="P5296">
        <v>17000000</v>
      </c>
      <c r="Q5296">
        <v>17000000</v>
      </c>
      <c r="R5296" s="14">
        <f>_xlfn.XLOOKUP(Table2[[#This Row],[LoanID]],Table1[G-L ID],Table1[ManagerCode],-99)</f>
        <v>119</v>
      </c>
      <c r="T5296"/>
    </row>
    <row r="5297" spans="1:20" x14ac:dyDescent="0.25">
      <c r="A5297">
        <v>20170131</v>
      </c>
      <c r="B5297">
        <v>2017</v>
      </c>
      <c r="C5297">
        <v>1</v>
      </c>
      <c r="D5297">
        <v>1</v>
      </c>
      <c r="E5297">
        <v>11710</v>
      </c>
      <c r="F5297">
        <v>136650.04</v>
      </c>
      <c r="G5297">
        <v>0</v>
      </c>
      <c r="H5297">
        <v>0</v>
      </c>
      <c r="I5297">
        <v>0</v>
      </c>
      <c r="J5297">
        <v>0</v>
      </c>
      <c r="K5297">
        <v>15000</v>
      </c>
      <c r="L5297">
        <v>14520000</v>
      </c>
      <c r="M5297">
        <v>14505000</v>
      </c>
      <c r="N5297">
        <v>14520000</v>
      </c>
      <c r="O5297">
        <v>14505000</v>
      </c>
      <c r="P5297">
        <v>14520000</v>
      </c>
      <c r="Q5297">
        <v>14505000</v>
      </c>
      <c r="R5297" s="14">
        <f>_xlfn.XLOOKUP(Table2[[#This Row],[LoanID]],Table1[G-L ID],Table1[ManagerCode],-99)</f>
        <v>119</v>
      </c>
      <c r="T5297"/>
    </row>
    <row r="5298" spans="1:20" x14ac:dyDescent="0.25">
      <c r="A5298">
        <v>20170131</v>
      </c>
      <c r="B5298">
        <v>2017</v>
      </c>
      <c r="C5298">
        <v>1</v>
      </c>
      <c r="D5298">
        <v>1</v>
      </c>
      <c r="E5298">
        <v>11720</v>
      </c>
      <c r="F5298">
        <v>129166.67</v>
      </c>
      <c r="G5298">
        <v>0</v>
      </c>
      <c r="H5298">
        <v>0</v>
      </c>
      <c r="I5298">
        <v>0</v>
      </c>
      <c r="J5298">
        <v>0</v>
      </c>
      <c r="K5298">
        <v>0</v>
      </c>
      <c r="L5298">
        <v>19800000</v>
      </c>
      <c r="M5298">
        <v>19800000</v>
      </c>
      <c r="N5298">
        <v>19800000</v>
      </c>
      <c r="O5298">
        <v>19800000</v>
      </c>
      <c r="P5298">
        <v>20000000</v>
      </c>
      <c r="Q5298">
        <v>20000000</v>
      </c>
      <c r="R5298" s="14">
        <f>_xlfn.XLOOKUP(Table2[[#This Row],[LoanID]],Table1[G-L ID],Table1[ManagerCode],-99)</f>
        <v>103</v>
      </c>
      <c r="T5298"/>
    </row>
    <row r="5299" spans="1:20" x14ac:dyDescent="0.25">
      <c r="A5299">
        <v>20170131</v>
      </c>
      <c r="B5299">
        <v>2017</v>
      </c>
      <c r="C5299">
        <v>1</v>
      </c>
      <c r="D5299">
        <v>1</v>
      </c>
      <c r="E5299">
        <v>11730</v>
      </c>
      <c r="F5299">
        <v>53510.28</v>
      </c>
      <c r="G5299">
        <v>0</v>
      </c>
      <c r="H5299">
        <v>0</v>
      </c>
      <c r="I5299">
        <v>0</v>
      </c>
      <c r="J5299">
        <v>0</v>
      </c>
      <c r="K5299">
        <v>8009.75</v>
      </c>
      <c r="L5299">
        <v>5742023.75</v>
      </c>
      <c r="M5299">
        <v>5734014</v>
      </c>
      <c r="N5299">
        <v>5742023.75</v>
      </c>
      <c r="O5299">
        <v>5734014</v>
      </c>
      <c r="P5299">
        <v>5742023.75</v>
      </c>
      <c r="Q5299">
        <v>5734014</v>
      </c>
      <c r="R5299" s="14">
        <f>_xlfn.XLOOKUP(Table2[[#This Row],[LoanID]],Table1[G-L ID],Table1[ManagerCode],-99)</f>
        <v>119</v>
      </c>
      <c r="T5299"/>
    </row>
    <row r="5300" spans="1:20" x14ac:dyDescent="0.25">
      <c r="A5300">
        <v>20170131</v>
      </c>
      <c r="B5300">
        <v>2017</v>
      </c>
      <c r="C5300">
        <v>1</v>
      </c>
      <c r="D5300">
        <v>1</v>
      </c>
      <c r="E5300">
        <v>11750</v>
      </c>
      <c r="F5300">
        <v>186956.94</v>
      </c>
      <c r="G5300">
        <v>117026.02</v>
      </c>
      <c r="H5300">
        <v>0</v>
      </c>
      <c r="I5300">
        <v>0</v>
      </c>
      <c r="J5300">
        <v>-1972882.51</v>
      </c>
      <c r="K5300">
        <v>0</v>
      </c>
      <c r="L5300">
        <v>43136188.710000001</v>
      </c>
      <c r="M5300">
        <v>45226097.240000002</v>
      </c>
      <c r="N5300">
        <v>43136188.710000001</v>
      </c>
      <c r="O5300">
        <v>45226097.240000002</v>
      </c>
      <c r="P5300">
        <v>43136188.710000001</v>
      </c>
      <c r="Q5300">
        <v>45226097.240000002</v>
      </c>
      <c r="R5300" s="14">
        <f>_xlfn.XLOOKUP(Table2[[#This Row],[LoanID]],Table1[G-L ID],Table1[ManagerCode],-99)</f>
        <v>183</v>
      </c>
      <c r="T5300"/>
    </row>
    <row r="5301" spans="1:20" x14ac:dyDescent="0.25">
      <c r="A5301">
        <v>20170131</v>
      </c>
      <c r="B5301">
        <v>2017</v>
      </c>
      <c r="C5301">
        <v>1</v>
      </c>
      <c r="D5301">
        <v>1</v>
      </c>
      <c r="E5301">
        <v>11810</v>
      </c>
      <c r="F5301">
        <v>47474.39</v>
      </c>
      <c r="G5301">
        <v>0</v>
      </c>
      <c r="H5301">
        <v>0</v>
      </c>
      <c r="I5301">
        <v>0</v>
      </c>
      <c r="J5301">
        <v>0</v>
      </c>
      <c r="K5301">
        <v>12684.57</v>
      </c>
      <c r="L5301">
        <v>9185601.1899999995</v>
      </c>
      <c r="M5301">
        <v>9173043.4700000007</v>
      </c>
      <c r="N5301">
        <v>9185601.1899999995</v>
      </c>
      <c r="O5301">
        <v>9173043.4700000007</v>
      </c>
      <c r="P5301">
        <v>9278385.2799999993</v>
      </c>
      <c r="Q5301">
        <v>9265700.7100000009</v>
      </c>
      <c r="R5301" s="14">
        <f>_xlfn.XLOOKUP(Table2[[#This Row],[LoanID]],Table1[G-L ID],Table1[ManagerCode],-99)</f>
        <v>103</v>
      </c>
      <c r="T5301"/>
    </row>
    <row r="5302" spans="1:20" x14ac:dyDescent="0.25">
      <c r="A5302">
        <v>20170131</v>
      </c>
      <c r="B5302">
        <v>2017</v>
      </c>
      <c r="C5302">
        <v>1</v>
      </c>
      <c r="D5302">
        <v>1</v>
      </c>
      <c r="E5302">
        <v>11830</v>
      </c>
      <c r="F5302">
        <v>68842.009999999995</v>
      </c>
      <c r="G5302">
        <v>0</v>
      </c>
      <c r="H5302">
        <v>0</v>
      </c>
      <c r="I5302">
        <v>0</v>
      </c>
      <c r="J5302">
        <v>-291041.96999999997</v>
      </c>
      <c r="K5302">
        <v>0</v>
      </c>
      <c r="L5302">
        <v>7947544.3099999996</v>
      </c>
      <c r="M5302">
        <v>8238586.2800000003</v>
      </c>
      <c r="N5302">
        <v>7947544.3099999996</v>
      </c>
      <c r="O5302">
        <v>8238586.2800000003</v>
      </c>
      <c r="P5302">
        <v>7947544.3099999996</v>
      </c>
      <c r="Q5302">
        <v>8238586.2800000003</v>
      </c>
      <c r="R5302" s="14">
        <f>_xlfn.XLOOKUP(Table2[[#This Row],[LoanID]],Table1[G-L ID],Table1[ManagerCode],-99)</f>
        <v>119</v>
      </c>
      <c r="T5302"/>
    </row>
    <row r="5303" spans="1:20" x14ac:dyDescent="0.25">
      <c r="A5303">
        <v>20170131</v>
      </c>
      <c r="B5303">
        <v>2017</v>
      </c>
      <c r="C5303">
        <v>1</v>
      </c>
      <c r="D5303">
        <v>1</v>
      </c>
      <c r="E5303">
        <v>11850</v>
      </c>
      <c r="F5303">
        <v>97500</v>
      </c>
      <c r="G5303">
        <v>0</v>
      </c>
      <c r="H5303">
        <v>0</v>
      </c>
      <c r="I5303">
        <v>0</v>
      </c>
      <c r="J5303">
        <v>0</v>
      </c>
      <c r="K5303">
        <v>0</v>
      </c>
      <c r="L5303">
        <v>9000000</v>
      </c>
      <c r="M5303">
        <v>9000000</v>
      </c>
      <c r="N5303">
        <v>9000000</v>
      </c>
      <c r="O5303">
        <v>9000000</v>
      </c>
      <c r="P5303">
        <v>9000000</v>
      </c>
      <c r="Q5303">
        <v>9000000</v>
      </c>
      <c r="R5303" s="14">
        <f>_xlfn.XLOOKUP(Table2[[#This Row],[LoanID]],Table1[G-L ID],Table1[ManagerCode],-99)</f>
        <v>183</v>
      </c>
      <c r="T5303"/>
    </row>
    <row r="5304" spans="1:20" x14ac:dyDescent="0.25">
      <c r="A5304">
        <v>20170131</v>
      </c>
      <c r="B5304">
        <v>2017</v>
      </c>
      <c r="C5304">
        <v>1</v>
      </c>
      <c r="D5304">
        <v>1</v>
      </c>
      <c r="E5304">
        <v>11980</v>
      </c>
      <c r="F5304">
        <v>73131.600000000006</v>
      </c>
      <c r="G5304">
        <v>0</v>
      </c>
      <c r="H5304">
        <v>0</v>
      </c>
      <c r="I5304">
        <v>0</v>
      </c>
      <c r="J5304">
        <v>0</v>
      </c>
      <c r="K5304">
        <v>0</v>
      </c>
      <c r="L5304">
        <v>7400000</v>
      </c>
      <c r="M5304">
        <v>7400000</v>
      </c>
      <c r="N5304">
        <v>7400000</v>
      </c>
      <c r="O5304">
        <v>7400000</v>
      </c>
      <c r="P5304">
        <v>7400000</v>
      </c>
      <c r="Q5304">
        <v>7400000</v>
      </c>
      <c r="R5304" s="14">
        <f>_xlfn.XLOOKUP(Table2[[#This Row],[LoanID]],Table1[G-L ID],Table1[ManagerCode],-99)</f>
        <v>119</v>
      </c>
      <c r="T5304"/>
    </row>
    <row r="5305" spans="1:20" x14ac:dyDescent="0.25">
      <c r="A5305">
        <v>20170131</v>
      </c>
      <c r="B5305">
        <v>2017</v>
      </c>
      <c r="C5305">
        <v>1</v>
      </c>
      <c r="D5305">
        <v>1</v>
      </c>
      <c r="E5305">
        <v>11990</v>
      </c>
      <c r="F5305">
        <v>106627.08</v>
      </c>
      <c r="G5305">
        <v>0</v>
      </c>
      <c r="H5305">
        <v>0</v>
      </c>
      <c r="I5305">
        <v>0</v>
      </c>
      <c r="J5305">
        <v>0</v>
      </c>
      <c r="K5305">
        <v>0</v>
      </c>
      <c r="L5305">
        <v>14805000</v>
      </c>
      <c r="M5305">
        <v>14805000</v>
      </c>
      <c r="N5305">
        <v>14805000</v>
      </c>
      <c r="O5305">
        <v>14805000</v>
      </c>
      <c r="P5305">
        <v>15000000</v>
      </c>
      <c r="Q5305">
        <v>15000000</v>
      </c>
      <c r="R5305" s="14">
        <f>_xlfn.XLOOKUP(Table2[[#This Row],[LoanID]],Table1[G-L ID],Table1[ManagerCode],-99)</f>
        <v>220</v>
      </c>
      <c r="T5305"/>
    </row>
    <row r="5306" spans="1:20" x14ac:dyDescent="0.25">
      <c r="A5306">
        <v>20170131</v>
      </c>
      <c r="B5306">
        <v>2017</v>
      </c>
      <c r="C5306">
        <v>1</v>
      </c>
      <c r="D5306">
        <v>1</v>
      </c>
      <c r="E5306">
        <v>12010</v>
      </c>
      <c r="F5306">
        <v>239151.63</v>
      </c>
      <c r="G5306">
        <v>0</v>
      </c>
      <c r="H5306">
        <v>0</v>
      </c>
      <c r="I5306">
        <v>0</v>
      </c>
      <c r="J5306">
        <v>-810307.17</v>
      </c>
      <c r="K5306">
        <v>0</v>
      </c>
      <c r="L5306">
        <v>20958765.719999999</v>
      </c>
      <c r="M5306">
        <v>21769072.890000001</v>
      </c>
      <c r="N5306">
        <v>20958765.719999999</v>
      </c>
      <c r="O5306">
        <v>21769072.890000001</v>
      </c>
      <c r="P5306">
        <v>20958765.719999999</v>
      </c>
      <c r="Q5306">
        <v>21769072.890000001</v>
      </c>
      <c r="R5306" s="14">
        <f>_xlfn.XLOOKUP(Table2[[#This Row],[LoanID]],Table1[G-L ID],Table1[ManagerCode],-99)</f>
        <v>119</v>
      </c>
      <c r="T5306"/>
    </row>
    <row r="5307" spans="1:20" x14ac:dyDescent="0.25">
      <c r="A5307">
        <v>20170131</v>
      </c>
      <c r="B5307">
        <v>2017</v>
      </c>
      <c r="C5307">
        <v>1</v>
      </c>
      <c r="D5307">
        <v>1</v>
      </c>
      <c r="E5307">
        <v>12030</v>
      </c>
      <c r="F5307">
        <v>41309.39</v>
      </c>
      <c r="G5307">
        <v>0</v>
      </c>
      <c r="H5307">
        <v>0</v>
      </c>
      <c r="I5307">
        <v>0</v>
      </c>
      <c r="J5307">
        <v>0</v>
      </c>
      <c r="K5307">
        <v>0</v>
      </c>
      <c r="L5307">
        <v>6375000</v>
      </c>
      <c r="M5307">
        <v>6375000</v>
      </c>
      <c r="N5307">
        <v>6375000</v>
      </c>
      <c r="O5307">
        <v>6375000</v>
      </c>
      <c r="P5307">
        <v>6375000</v>
      </c>
      <c r="Q5307">
        <v>6375000</v>
      </c>
      <c r="R5307" s="14">
        <f>_xlfn.XLOOKUP(Table2[[#This Row],[LoanID]],Table1[G-L ID],Table1[ManagerCode],-99)</f>
        <v>119</v>
      </c>
      <c r="T5307"/>
    </row>
    <row r="5308" spans="1:20" x14ac:dyDescent="0.25">
      <c r="A5308">
        <v>20170131</v>
      </c>
      <c r="B5308">
        <v>2017</v>
      </c>
      <c r="C5308">
        <v>1</v>
      </c>
      <c r="D5308">
        <v>1</v>
      </c>
      <c r="E5308">
        <v>12180</v>
      </c>
      <c r="F5308">
        <v>247259.44</v>
      </c>
      <c r="G5308">
        <v>0</v>
      </c>
      <c r="H5308">
        <v>0</v>
      </c>
      <c r="I5308">
        <v>0</v>
      </c>
      <c r="J5308">
        <v>0</v>
      </c>
      <c r="K5308">
        <v>0</v>
      </c>
      <c r="L5308">
        <v>35000000</v>
      </c>
      <c r="M5308">
        <v>35000000</v>
      </c>
      <c r="N5308">
        <v>35000000</v>
      </c>
      <c r="O5308">
        <v>35000000</v>
      </c>
      <c r="P5308">
        <v>35000000</v>
      </c>
      <c r="Q5308">
        <v>35000000</v>
      </c>
      <c r="R5308" s="14">
        <f>_xlfn.XLOOKUP(Table2[[#This Row],[LoanID]],Table1[G-L ID],Table1[ManagerCode],-99)</f>
        <v>220</v>
      </c>
      <c r="T5308"/>
    </row>
    <row r="5309" spans="1:20" x14ac:dyDescent="0.25">
      <c r="A5309">
        <v>20170131</v>
      </c>
      <c r="B5309">
        <v>2017</v>
      </c>
      <c r="C5309">
        <v>1</v>
      </c>
      <c r="D5309">
        <v>1</v>
      </c>
      <c r="E5309">
        <v>12190</v>
      </c>
      <c r="F5309">
        <v>275647.53999999998</v>
      </c>
      <c r="G5309">
        <v>0</v>
      </c>
      <c r="H5309">
        <v>0</v>
      </c>
      <c r="I5309">
        <v>0</v>
      </c>
      <c r="J5309">
        <v>0</v>
      </c>
      <c r="K5309">
        <v>0</v>
      </c>
      <c r="L5309">
        <v>34383117</v>
      </c>
      <c r="M5309">
        <v>34383117</v>
      </c>
      <c r="N5309">
        <v>34383117</v>
      </c>
      <c r="O5309">
        <v>34383117</v>
      </c>
      <c r="P5309">
        <v>34383117</v>
      </c>
      <c r="Q5309">
        <v>34383117</v>
      </c>
      <c r="R5309" s="14">
        <f>_xlfn.XLOOKUP(Table2[[#This Row],[LoanID]],Table1[G-L ID],Table1[ManagerCode],-99)</f>
        <v>220</v>
      </c>
      <c r="T5309"/>
    </row>
    <row r="5310" spans="1:20" x14ac:dyDescent="0.25">
      <c r="A5310">
        <v>20170131</v>
      </c>
      <c r="B5310">
        <v>2017</v>
      </c>
      <c r="C5310">
        <v>1</v>
      </c>
      <c r="D5310">
        <v>1</v>
      </c>
      <c r="E5310">
        <v>12220</v>
      </c>
      <c r="F5310">
        <v>-34523.68</v>
      </c>
      <c r="G5310">
        <v>0</v>
      </c>
      <c r="H5310">
        <v>0</v>
      </c>
      <c r="I5310">
        <v>0</v>
      </c>
      <c r="J5310">
        <v>0</v>
      </c>
      <c r="K5310">
        <v>27250000</v>
      </c>
      <c r="L5310">
        <v>54500000</v>
      </c>
      <c r="M5310">
        <v>54500000</v>
      </c>
      <c r="N5310">
        <v>54500000</v>
      </c>
      <c r="O5310">
        <v>27250000</v>
      </c>
      <c r="P5310">
        <v>54500000</v>
      </c>
      <c r="Q5310">
        <v>54500000</v>
      </c>
      <c r="R5310" s="14">
        <f>_xlfn.XLOOKUP(Table2[[#This Row],[LoanID]],Table1[G-L ID],Table1[ManagerCode],-99)</f>
        <v>183</v>
      </c>
      <c r="T5310"/>
    </row>
    <row r="5311" spans="1:20" x14ac:dyDescent="0.25">
      <c r="A5311">
        <v>20170131</v>
      </c>
      <c r="B5311">
        <v>2017</v>
      </c>
      <c r="C5311">
        <v>1</v>
      </c>
      <c r="D5311">
        <v>1</v>
      </c>
      <c r="E5311">
        <v>12230</v>
      </c>
      <c r="F5311">
        <v>110876.62</v>
      </c>
      <c r="G5311">
        <v>0</v>
      </c>
      <c r="H5311">
        <v>0</v>
      </c>
      <c r="I5311">
        <v>0</v>
      </c>
      <c r="J5311">
        <v>0</v>
      </c>
      <c r="K5311">
        <v>0</v>
      </c>
      <c r="L5311">
        <v>20420768.75</v>
      </c>
      <c r="M5311">
        <v>20472262.73</v>
      </c>
      <c r="N5311">
        <v>13905316.25</v>
      </c>
      <c r="O5311">
        <v>13956810.23</v>
      </c>
      <c r="P5311">
        <v>20420768.75</v>
      </c>
      <c r="Q5311">
        <v>20472262.73</v>
      </c>
      <c r="R5311" s="14">
        <f>_xlfn.XLOOKUP(Table2[[#This Row],[LoanID]],Table1[G-L ID],Table1[ManagerCode],-99)</f>
        <v>183</v>
      </c>
      <c r="T5311"/>
    </row>
    <row r="5312" spans="1:20" x14ac:dyDescent="0.25">
      <c r="A5312">
        <v>20170131</v>
      </c>
      <c r="B5312">
        <v>2017</v>
      </c>
      <c r="C5312">
        <v>1</v>
      </c>
      <c r="D5312">
        <v>1</v>
      </c>
      <c r="E5312">
        <v>12240</v>
      </c>
      <c r="F5312">
        <v>0</v>
      </c>
      <c r="G5312">
        <v>1662941.8</v>
      </c>
      <c r="H5312">
        <v>0</v>
      </c>
      <c r="I5312">
        <v>0</v>
      </c>
      <c r="J5312">
        <v>0</v>
      </c>
      <c r="K5312">
        <v>0</v>
      </c>
      <c r="L5312">
        <v>149477914.80000001</v>
      </c>
      <c r="M5312">
        <v>151140856.59999999</v>
      </c>
      <c r="N5312">
        <v>149477914.80000001</v>
      </c>
      <c r="O5312">
        <v>151140856.59999999</v>
      </c>
      <c r="P5312">
        <v>149477914.80000001</v>
      </c>
      <c r="Q5312">
        <v>151140856.59999999</v>
      </c>
      <c r="R5312" s="14">
        <f>_xlfn.XLOOKUP(Table2[[#This Row],[LoanID]],Table1[G-L ID],Table1[ManagerCode],-99)</f>
        <v>183</v>
      </c>
      <c r="T5312"/>
    </row>
    <row r="5313" spans="1:20" x14ac:dyDescent="0.25">
      <c r="A5313">
        <v>20170131</v>
      </c>
      <c r="B5313">
        <v>2017</v>
      </c>
      <c r="C5313">
        <v>1</v>
      </c>
      <c r="D5313">
        <v>1</v>
      </c>
      <c r="E5313">
        <v>12250</v>
      </c>
      <c r="F5313">
        <v>0</v>
      </c>
      <c r="G5313">
        <v>0</v>
      </c>
      <c r="H5313">
        <v>-376500</v>
      </c>
      <c r="I5313">
        <v>0</v>
      </c>
      <c r="J5313">
        <v>31575000</v>
      </c>
      <c r="K5313">
        <v>0</v>
      </c>
      <c r="L5313">
        <v>42100000</v>
      </c>
      <c r="M5313">
        <v>10525000</v>
      </c>
      <c r="N5313">
        <v>42100000</v>
      </c>
      <c r="O5313">
        <v>10525000</v>
      </c>
      <c r="P5313">
        <v>42100000</v>
      </c>
      <c r="Q5313">
        <v>10525000</v>
      </c>
      <c r="R5313" s="14">
        <f>_xlfn.XLOOKUP(Table2[[#This Row],[LoanID]],Table1[G-L ID],Table1[ManagerCode],-99)</f>
        <v>119</v>
      </c>
      <c r="T5313"/>
    </row>
    <row r="5314" spans="1:20" x14ac:dyDescent="0.25">
      <c r="A5314">
        <v>20170131</v>
      </c>
      <c r="B5314">
        <v>2017</v>
      </c>
      <c r="C5314">
        <v>1</v>
      </c>
      <c r="D5314">
        <v>1</v>
      </c>
      <c r="E5314">
        <v>12410</v>
      </c>
      <c r="F5314">
        <v>563333.32999999996</v>
      </c>
      <c r="G5314">
        <v>250000</v>
      </c>
      <c r="H5314">
        <v>0</v>
      </c>
      <c r="I5314">
        <v>0</v>
      </c>
      <c r="J5314">
        <v>0</v>
      </c>
      <c r="K5314">
        <v>0</v>
      </c>
      <c r="L5314">
        <v>74250000</v>
      </c>
      <c r="M5314">
        <v>74497500</v>
      </c>
      <c r="N5314">
        <v>74250000</v>
      </c>
      <c r="O5314">
        <v>74497500</v>
      </c>
      <c r="P5314">
        <v>75000000</v>
      </c>
      <c r="Q5314">
        <v>75250000</v>
      </c>
      <c r="R5314" s="14">
        <f>_xlfn.XLOOKUP(Table2[[#This Row],[LoanID]],Table1[G-L ID],Table1[ManagerCode],-99)</f>
        <v>103</v>
      </c>
      <c r="T5314"/>
    </row>
    <row r="5315" spans="1:20" x14ac:dyDescent="0.25">
      <c r="A5315">
        <v>20170131</v>
      </c>
      <c r="B5315">
        <v>2017</v>
      </c>
      <c r="C5315">
        <v>1</v>
      </c>
      <c r="D5315">
        <v>1</v>
      </c>
      <c r="E5315">
        <v>12420</v>
      </c>
      <c r="F5315">
        <v>983.86</v>
      </c>
      <c r="G5315">
        <v>0</v>
      </c>
      <c r="H5315">
        <v>0</v>
      </c>
      <c r="I5315">
        <v>0</v>
      </c>
      <c r="J5315">
        <v>-98177</v>
      </c>
      <c r="K5315">
        <v>0</v>
      </c>
      <c r="L5315">
        <v>68724</v>
      </c>
      <c r="M5315">
        <v>166901</v>
      </c>
      <c r="N5315">
        <v>68724</v>
      </c>
      <c r="O5315">
        <v>166901</v>
      </c>
      <c r="P5315">
        <v>68724</v>
      </c>
      <c r="Q5315">
        <v>166901</v>
      </c>
      <c r="R5315" s="14">
        <f>_xlfn.XLOOKUP(Table2[[#This Row],[LoanID]],Table1[G-L ID],Table1[ManagerCode],-99)</f>
        <v>103</v>
      </c>
      <c r="T5315"/>
    </row>
    <row r="5316" spans="1:20" x14ac:dyDescent="0.25">
      <c r="A5316">
        <v>20170131</v>
      </c>
      <c r="B5316">
        <v>2017</v>
      </c>
      <c r="C5316">
        <v>1</v>
      </c>
      <c r="D5316">
        <v>1</v>
      </c>
      <c r="E5316">
        <v>13020</v>
      </c>
      <c r="F5316">
        <v>0</v>
      </c>
      <c r="G5316">
        <v>0</v>
      </c>
      <c r="H5316">
        <v>140000</v>
      </c>
      <c r="I5316">
        <v>0</v>
      </c>
      <c r="J5316">
        <v>-0.01</v>
      </c>
      <c r="K5316">
        <v>0</v>
      </c>
      <c r="L5316">
        <v>0</v>
      </c>
      <c r="M5316">
        <v>0.01</v>
      </c>
      <c r="N5316">
        <v>0</v>
      </c>
      <c r="O5316">
        <v>0.01</v>
      </c>
      <c r="P5316">
        <v>0</v>
      </c>
      <c r="Q5316">
        <v>0.01</v>
      </c>
      <c r="R5316" s="14">
        <f>_xlfn.XLOOKUP(Table2[[#This Row],[LoanID]],Table1[G-L ID],Table1[ManagerCode],-99)</f>
        <v>103</v>
      </c>
      <c r="T5316"/>
    </row>
    <row r="5317" spans="1:20" x14ac:dyDescent="0.25">
      <c r="A5317">
        <v>20170131</v>
      </c>
      <c r="B5317">
        <v>2017</v>
      </c>
      <c r="C5317">
        <v>1</v>
      </c>
      <c r="D5317">
        <v>1</v>
      </c>
      <c r="E5317">
        <v>13630</v>
      </c>
      <c r="F5317">
        <v>218506.94</v>
      </c>
      <c r="G5317">
        <v>0</v>
      </c>
      <c r="H5317">
        <v>0</v>
      </c>
      <c r="I5317">
        <v>0</v>
      </c>
      <c r="J5317">
        <v>0</v>
      </c>
      <c r="K5317">
        <v>0</v>
      </c>
      <c r="L5317">
        <v>33569646.990000002</v>
      </c>
      <c r="M5317">
        <v>33569646.990000002</v>
      </c>
      <c r="N5317">
        <v>33569646.990000002</v>
      </c>
      <c r="O5317">
        <v>33569646.990000002</v>
      </c>
      <c r="P5317">
        <v>35000000</v>
      </c>
      <c r="Q5317">
        <v>35000000</v>
      </c>
      <c r="R5317" s="14">
        <f>_xlfn.XLOOKUP(Table2[[#This Row],[LoanID]],Table1[G-L ID],Table1[ManagerCode],-99)</f>
        <v>298</v>
      </c>
      <c r="T5317"/>
    </row>
    <row r="5318" spans="1:20" x14ac:dyDescent="0.25">
      <c r="A5318">
        <v>20170131</v>
      </c>
      <c r="B5318">
        <v>2017</v>
      </c>
      <c r="C5318">
        <v>1</v>
      </c>
      <c r="D5318">
        <v>1</v>
      </c>
      <c r="E5318">
        <v>13650</v>
      </c>
      <c r="F5318">
        <v>0</v>
      </c>
      <c r="G5318">
        <v>0</v>
      </c>
      <c r="H5318">
        <v>0</v>
      </c>
      <c r="I5318">
        <v>0</v>
      </c>
      <c r="J5318">
        <v>0</v>
      </c>
      <c r="K5318">
        <v>0</v>
      </c>
      <c r="L5318">
        <v>40000000</v>
      </c>
      <c r="M5318">
        <v>40000000</v>
      </c>
      <c r="N5318">
        <v>40000000</v>
      </c>
      <c r="O5318">
        <v>40000000</v>
      </c>
      <c r="P5318">
        <v>40000000</v>
      </c>
      <c r="Q5318">
        <v>40000000</v>
      </c>
      <c r="R5318" s="14">
        <f>_xlfn.XLOOKUP(Table2[[#This Row],[LoanID]],Table1[G-L ID],Table1[ManagerCode],-99)</f>
        <v>298</v>
      </c>
      <c r="T5318"/>
    </row>
    <row r="5319" spans="1:20" x14ac:dyDescent="0.25">
      <c r="A5319">
        <v>20170131</v>
      </c>
      <c r="B5319">
        <v>2017</v>
      </c>
      <c r="C5319">
        <v>1</v>
      </c>
      <c r="D5319">
        <v>1</v>
      </c>
      <c r="E5319">
        <v>13660</v>
      </c>
      <c r="F5319">
        <v>117972.22</v>
      </c>
      <c r="G5319">
        <v>0</v>
      </c>
      <c r="H5319">
        <v>0</v>
      </c>
      <c r="I5319">
        <v>0</v>
      </c>
      <c r="J5319">
        <v>0</v>
      </c>
      <c r="K5319">
        <v>0</v>
      </c>
      <c r="L5319">
        <v>20000000</v>
      </c>
      <c r="M5319">
        <v>20000000</v>
      </c>
      <c r="N5319">
        <v>20000000</v>
      </c>
      <c r="O5319">
        <v>20000000</v>
      </c>
      <c r="P5319">
        <v>20000000</v>
      </c>
      <c r="Q5319">
        <v>20000000</v>
      </c>
      <c r="R5319" s="14">
        <f>_xlfn.XLOOKUP(Table2[[#This Row],[LoanID]],Table1[G-L ID],Table1[ManagerCode],-99)</f>
        <v>298</v>
      </c>
      <c r="T5319"/>
    </row>
    <row r="5320" spans="1:20" x14ac:dyDescent="0.25">
      <c r="A5320">
        <v>20170131</v>
      </c>
      <c r="B5320">
        <v>2017</v>
      </c>
      <c r="C5320">
        <v>1</v>
      </c>
      <c r="D5320">
        <v>1</v>
      </c>
      <c r="E5320">
        <v>13670</v>
      </c>
      <c r="F5320">
        <v>297212.5</v>
      </c>
      <c r="G5320">
        <v>0</v>
      </c>
      <c r="H5320">
        <v>0</v>
      </c>
      <c r="I5320">
        <v>0</v>
      </c>
      <c r="J5320">
        <v>0</v>
      </c>
      <c r="K5320">
        <v>0</v>
      </c>
      <c r="L5320">
        <v>37322264.049999997</v>
      </c>
      <c r="M5320">
        <v>37322264.049999997</v>
      </c>
      <c r="N5320">
        <v>37322264.049999997</v>
      </c>
      <c r="O5320">
        <v>37322264.049999997</v>
      </c>
      <c r="P5320">
        <v>37500000</v>
      </c>
      <c r="Q5320">
        <v>37500000</v>
      </c>
      <c r="R5320" s="14">
        <f>_xlfn.XLOOKUP(Table2[[#This Row],[LoanID]],Table1[G-L ID],Table1[ManagerCode],-99)</f>
        <v>298</v>
      </c>
      <c r="T5320"/>
    </row>
    <row r="5321" spans="1:20" x14ac:dyDescent="0.25">
      <c r="A5321">
        <v>20170131</v>
      </c>
      <c r="B5321">
        <v>2017</v>
      </c>
      <c r="C5321">
        <v>1</v>
      </c>
      <c r="D5321">
        <v>1</v>
      </c>
      <c r="E5321">
        <v>13680</v>
      </c>
      <c r="F5321">
        <v>159843.75</v>
      </c>
      <c r="G5321">
        <v>0</v>
      </c>
      <c r="H5321">
        <v>0</v>
      </c>
      <c r="I5321">
        <v>0</v>
      </c>
      <c r="J5321">
        <v>0</v>
      </c>
      <c r="K5321">
        <v>0</v>
      </c>
      <c r="L5321">
        <v>17989534.25</v>
      </c>
      <c r="M5321">
        <v>17989534.25</v>
      </c>
      <c r="N5321">
        <v>17989534.25</v>
      </c>
      <c r="O5321">
        <v>17989534.25</v>
      </c>
      <c r="P5321">
        <v>18000000</v>
      </c>
      <c r="Q5321">
        <v>18000000</v>
      </c>
      <c r="R5321" s="14">
        <f>_xlfn.XLOOKUP(Table2[[#This Row],[LoanID]],Table1[G-L ID],Table1[ManagerCode],-99)</f>
        <v>298</v>
      </c>
      <c r="T5321"/>
    </row>
    <row r="5322" spans="1:20" x14ac:dyDescent="0.25">
      <c r="A5322">
        <v>20170131</v>
      </c>
      <c r="B5322">
        <v>2017</v>
      </c>
      <c r="C5322">
        <v>1</v>
      </c>
      <c r="D5322">
        <v>1</v>
      </c>
      <c r="E5322">
        <v>13690</v>
      </c>
      <c r="F5322">
        <v>133472.22</v>
      </c>
      <c r="G5322">
        <v>0</v>
      </c>
      <c r="H5322">
        <v>0</v>
      </c>
      <c r="I5322">
        <v>0</v>
      </c>
      <c r="J5322">
        <v>0</v>
      </c>
      <c r="K5322">
        <v>0</v>
      </c>
      <c r="L5322">
        <v>18960334.350000001</v>
      </c>
      <c r="M5322">
        <v>18960334.350000001</v>
      </c>
      <c r="N5322">
        <v>18960334.350000001</v>
      </c>
      <c r="O5322">
        <v>18960334.350000001</v>
      </c>
      <c r="P5322">
        <v>20000000</v>
      </c>
      <c r="Q5322">
        <v>20000000</v>
      </c>
      <c r="R5322" s="14">
        <f>_xlfn.XLOOKUP(Table2[[#This Row],[LoanID]],Table1[G-L ID],Table1[ManagerCode],-99)</f>
        <v>298</v>
      </c>
      <c r="T5322"/>
    </row>
    <row r="5323" spans="1:20" x14ac:dyDescent="0.25">
      <c r="A5323">
        <v>20170131</v>
      </c>
      <c r="B5323">
        <v>2017</v>
      </c>
      <c r="C5323">
        <v>1</v>
      </c>
      <c r="D5323">
        <v>1</v>
      </c>
      <c r="E5323">
        <v>15540</v>
      </c>
      <c r="F5323">
        <v>211801.04</v>
      </c>
      <c r="G5323">
        <v>6283.96</v>
      </c>
      <c r="H5323">
        <v>0</v>
      </c>
      <c r="I5323">
        <v>-2260.42</v>
      </c>
      <c r="J5323">
        <v>0</v>
      </c>
      <c r="K5323">
        <v>0</v>
      </c>
      <c r="L5323">
        <v>52711801.039999999</v>
      </c>
      <c r="M5323">
        <v>52718085</v>
      </c>
      <c r="N5323">
        <v>52711801.039999999</v>
      </c>
      <c r="O5323">
        <v>52718085</v>
      </c>
      <c r="P5323">
        <v>52711801.039999999</v>
      </c>
      <c r="Q5323">
        <v>52718085</v>
      </c>
      <c r="R5323" s="14">
        <f>_xlfn.XLOOKUP(Table2[[#This Row],[LoanID]],Table1[G-L ID],Table1[ManagerCode],-99)</f>
        <v>212</v>
      </c>
      <c r="T5323"/>
    </row>
    <row r="5324" spans="1:20" x14ac:dyDescent="0.25">
      <c r="A5324">
        <v>20170131</v>
      </c>
      <c r="B5324">
        <v>2017</v>
      </c>
      <c r="C5324">
        <v>1</v>
      </c>
      <c r="D5324">
        <v>1</v>
      </c>
      <c r="E5324">
        <v>15580</v>
      </c>
      <c r="F5324">
        <v>117183.23</v>
      </c>
      <c r="G5324">
        <v>-49.53</v>
      </c>
      <c r="H5324">
        <v>0</v>
      </c>
      <c r="I5324">
        <v>0</v>
      </c>
      <c r="J5324">
        <v>0</v>
      </c>
      <c r="K5324">
        <v>6218.08</v>
      </c>
      <c r="L5324">
        <v>14828940.220000001</v>
      </c>
      <c r="M5324">
        <v>14822672.609999999</v>
      </c>
      <c r="N5324">
        <v>14828940.220000001</v>
      </c>
      <c r="O5324">
        <v>14822672.609999999</v>
      </c>
      <c r="P5324">
        <v>14828940.220000001</v>
      </c>
      <c r="Q5324">
        <v>14822672.609999999</v>
      </c>
      <c r="R5324" s="14">
        <f>_xlfn.XLOOKUP(Table2[[#This Row],[LoanID]],Table1[G-L ID],Table1[ManagerCode],-99)</f>
        <v>212</v>
      </c>
      <c r="T5324"/>
    </row>
    <row r="5325" spans="1:20" x14ac:dyDescent="0.25">
      <c r="A5325">
        <v>20170228</v>
      </c>
      <c r="B5325">
        <v>2017</v>
      </c>
      <c r="C5325">
        <v>2</v>
      </c>
      <c r="D5325">
        <v>1</v>
      </c>
      <c r="E5325">
        <v>10010</v>
      </c>
      <c r="F5325">
        <v>170379.87</v>
      </c>
      <c r="G5325">
        <v>0</v>
      </c>
      <c r="H5325">
        <v>0</v>
      </c>
      <c r="I5325">
        <v>0</v>
      </c>
      <c r="J5325">
        <v>426524.87</v>
      </c>
      <c r="K5325">
        <v>0</v>
      </c>
      <c r="L5325">
        <v>17595454.960000001</v>
      </c>
      <c r="M5325">
        <v>17168930.09</v>
      </c>
      <c r="N5325">
        <v>17595454.960000001</v>
      </c>
      <c r="O5325">
        <v>17168930.09</v>
      </c>
      <c r="P5325">
        <v>17595454.960000001</v>
      </c>
      <c r="Q5325">
        <v>17168930.09</v>
      </c>
      <c r="R5325" s="14">
        <f>_xlfn.XLOOKUP(Table2[[#This Row],[LoanID]],Table1[G-L ID],Table1[ManagerCode],-99)</f>
        <v>119</v>
      </c>
      <c r="T5325"/>
    </row>
    <row r="5326" spans="1:20" x14ac:dyDescent="0.25">
      <c r="A5326">
        <v>20170228</v>
      </c>
      <c r="B5326">
        <v>2017</v>
      </c>
      <c r="C5326">
        <v>2</v>
      </c>
      <c r="D5326">
        <v>1</v>
      </c>
      <c r="E5326">
        <v>10030</v>
      </c>
      <c r="F5326">
        <v>75814.52</v>
      </c>
      <c r="G5326">
        <v>0</v>
      </c>
      <c r="H5326">
        <v>0</v>
      </c>
      <c r="I5326">
        <v>0</v>
      </c>
      <c r="J5326">
        <v>28489.23</v>
      </c>
      <c r="K5326">
        <v>0</v>
      </c>
      <c r="L5326">
        <v>9090489.7300000004</v>
      </c>
      <c r="M5326">
        <v>9062000.5</v>
      </c>
      <c r="N5326">
        <v>9090489.7300000004</v>
      </c>
      <c r="O5326">
        <v>9062000.5</v>
      </c>
      <c r="P5326">
        <v>9090489.7300000004</v>
      </c>
      <c r="Q5326">
        <v>9062000.5</v>
      </c>
      <c r="R5326" s="14">
        <f>_xlfn.XLOOKUP(Table2[[#This Row],[LoanID]],Table1[G-L ID],Table1[ManagerCode],-99)</f>
        <v>119</v>
      </c>
      <c r="T5326"/>
    </row>
    <row r="5327" spans="1:20" x14ac:dyDescent="0.25">
      <c r="A5327">
        <v>20170228</v>
      </c>
      <c r="B5327">
        <v>2017</v>
      </c>
      <c r="C5327">
        <v>2</v>
      </c>
      <c r="D5327">
        <v>1</v>
      </c>
      <c r="E5327">
        <v>10040</v>
      </c>
      <c r="F5327">
        <v>46345</v>
      </c>
      <c r="G5327">
        <v>0</v>
      </c>
      <c r="H5327">
        <v>0</v>
      </c>
      <c r="I5327">
        <v>0</v>
      </c>
      <c r="J5327">
        <v>0</v>
      </c>
      <c r="K5327">
        <v>0</v>
      </c>
      <c r="L5327">
        <v>5000000</v>
      </c>
      <c r="M5327">
        <v>5000000</v>
      </c>
      <c r="N5327">
        <v>5000000</v>
      </c>
      <c r="O5327">
        <v>5000000</v>
      </c>
      <c r="P5327">
        <v>5000000</v>
      </c>
      <c r="Q5327">
        <v>5000000</v>
      </c>
      <c r="R5327" s="14">
        <f>_xlfn.XLOOKUP(Table2[[#This Row],[LoanID]],Table1[G-L ID],Table1[ManagerCode],-99)</f>
        <v>119</v>
      </c>
      <c r="T5327"/>
    </row>
    <row r="5328" spans="1:20" x14ac:dyDescent="0.25">
      <c r="A5328">
        <v>20170228</v>
      </c>
      <c r="B5328">
        <v>2017</v>
      </c>
      <c r="C5328">
        <v>2</v>
      </c>
      <c r="D5328">
        <v>1</v>
      </c>
      <c r="E5328">
        <v>10050</v>
      </c>
      <c r="F5328">
        <v>133963.48000000001</v>
      </c>
      <c r="G5328">
        <v>0</v>
      </c>
      <c r="H5328">
        <v>0</v>
      </c>
      <c r="I5328">
        <v>0</v>
      </c>
      <c r="J5328">
        <v>0</v>
      </c>
      <c r="K5328">
        <v>0</v>
      </c>
      <c r="L5328">
        <v>36977409.409999996</v>
      </c>
      <c r="M5328">
        <v>37272011.670000002</v>
      </c>
      <c r="N5328">
        <v>36977409.409999996</v>
      </c>
      <c r="O5328">
        <v>37272011.670000002</v>
      </c>
      <c r="P5328">
        <v>33333334</v>
      </c>
      <c r="Q5328">
        <v>33333334</v>
      </c>
      <c r="R5328" s="14">
        <f>_xlfn.XLOOKUP(Table2[[#This Row],[LoanID]],Table1[G-L ID],Table1[ManagerCode],-99)</f>
        <v>103</v>
      </c>
      <c r="T5328"/>
    </row>
    <row r="5329" spans="1:20" x14ac:dyDescent="0.25">
      <c r="A5329">
        <v>20170228</v>
      </c>
      <c r="B5329">
        <v>2017</v>
      </c>
      <c r="C5329">
        <v>2</v>
      </c>
      <c r="D5329">
        <v>1</v>
      </c>
      <c r="E5329">
        <v>10070</v>
      </c>
      <c r="F5329">
        <v>63531.28</v>
      </c>
      <c r="G5329">
        <v>0</v>
      </c>
      <c r="H5329">
        <v>0</v>
      </c>
      <c r="I5329">
        <v>0</v>
      </c>
      <c r="J5329">
        <v>0</v>
      </c>
      <c r="K5329">
        <v>0</v>
      </c>
      <c r="L5329">
        <v>5875000</v>
      </c>
      <c r="M5329">
        <v>5875000</v>
      </c>
      <c r="N5329">
        <v>5875000</v>
      </c>
      <c r="O5329">
        <v>5875000</v>
      </c>
      <c r="P5329">
        <v>5875000</v>
      </c>
      <c r="Q5329">
        <v>5875000</v>
      </c>
      <c r="R5329" s="14">
        <f>_xlfn.XLOOKUP(Table2[[#This Row],[LoanID]],Table1[G-L ID],Table1[ManagerCode],-99)</f>
        <v>119</v>
      </c>
      <c r="T5329"/>
    </row>
    <row r="5330" spans="1:20" x14ac:dyDescent="0.25">
      <c r="A5330">
        <v>20170228</v>
      </c>
      <c r="B5330">
        <v>2017</v>
      </c>
      <c r="C5330">
        <v>2</v>
      </c>
      <c r="D5330">
        <v>1</v>
      </c>
      <c r="E5330">
        <v>10110</v>
      </c>
      <c r="F5330">
        <v>146560.42000000001</v>
      </c>
      <c r="G5330">
        <v>0</v>
      </c>
      <c r="H5330">
        <v>0</v>
      </c>
      <c r="I5330">
        <v>0</v>
      </c>
      <c r="J5330">
        <v>0</v>
      </c>
      <c r="K5330">
        <v>0</v>
      </c>
      <c r="L5330">
        <v>16400000</v>
      </c>
      <c r="M5330">
        <v>16400000</v>
      </c>
      <c r="N5330">
        <v>16400000</v>
      </c>
      <c r="O5330">
        <v>16400000</v>
      </c>
      <c r="P5330">
        <v>16400000</v>
      </c>
      <c r="Q5330">
        <v>16400000</v>
      </c>
      <c r="R5330" s="14">
        <f>_xlfn.XLOOKUP(Table2[[#This Row],[LoanID]],Table1[G-L ID],Table1[ManagerCode],-99)</f>
        <v>119</v>
      </c>
      <c r="T5330"/>
    </row>
    <row r="5331" spans="1:20" x14ac:dyDescent="0.25">
      <c r="A5331">
        <v>20170228</v>
      </c>
      <c r="B5331">
        <v>2017</v>
      </c>
      <c r="C5331">
        <v>2</v>
      </c>
      <c r="D5331">
        <v>1</v>
      </c>
      <c r="E5331">
        <v>10120</v>
      </c>
      <c r="F5331">
        <v>56941.33</v>
      </c>
      <c r="G5331">
        <v>62327.02</v>
      </c>
      <c r="H5331">
        <v>0</v>
      </c>
      <c r="I5331">
        <v>0</v>
      </c>
      <c r="J5331">
        <v>-56941.33</v>
      </c>
      <c r="K5331">
        <v>0</v>
      </c>
      <c r="L5331">
        <v>11485174.84</v>
      </c>
      <c r="M5331">
        <v>11604443.189999999</v>
      </c>
      <c r="N5331">
        <v>11485174.84</v>
      </c>
      <c r="O5331">
        <v>11604443.189999999</v>
      </c>
      <c r="P5331">
        <v>11485174.84</v>
      </c>
      <c r="Q5331">
        <v>11604443.189999999</v>
      </c>
      <c r="R5331" s="14">
        <f>_xlfn.XLOOKUP(Table2[[#This Row],[LoanID]],Table1[G-L ID],Table1[ManagerCode],-99)</f>
        <v>183</v>
      </c>
      <c r="T5331"/>
    </row>
    <row r="5332" spans="1:20" x14ac:dyDescent="0.25">
      <c r="A5332">
        <v>20170228</v>
      </c>
      <c r="B5332">
        <v>2017</v>
      </c>
      <c r="C5332">
        <v>2</v>
      </c>
      <c r="D5332">
        <v>1</v>
      </c>
      <c r="E5332">
        <v>10160</v>
      </c>
      <c r="F5332">
        <v>126838.99</v>
      </c>
      <c r="G5332">
        <v>0</v>
      </c>
      <c r="H5332">
        <v>0</v>
      </c>
      <c r="I5332">
        <v>0</v>
      </c>
      <c r="J5332">
        <v>-183909</v>
      </c>
      <c r="K5332">
        <v>0</v>
      </c>
      <c r="L5332">
        <v>15076447.77</v>
      </c>
      <c r="M5332">
        <v>15260356.77</v>
      </c>
      <c r="N5332">
        <v>15076447.77</v>
      </c>
      <c r="O5332">
        <v>15260356.77</v>
      </c>
      <c r="P5332">
        <v>15076447.77</v>
      </c>
      <c r="Q5332">
        <v>15260356.77</v>
      </c>
      <c r="R5332" s="14">
        <f>_xlfn.XLOOKUP(Table2[[#This Row],[LoanID]],Table1[G-L ID],Table1[ManagerCode],-99)</f>
        <v>119</v>
      </c>
      <c r="T5332"/>
    </row>
    <row r="5333" spans="1:20" x14ac:dyDescent="0.25">
      <c r="A5333">
        <v>20170228</v>
      </c>
      <c r="B5333">
        <v>2017</v>
      </c>
      <c r="C5333">
        <v>2</v>
      </c>
      <c r="D5333">
        <v>1</v>
      </c>
      <c r="E5333">
        <v>10220</v>
      </c>
      <c r="F5333">
        <v>307847.21999999997</v>
      </c>
      <c r="G5333">
        <v>0</v>
      </c>
      <c r="H5333">
        <v>0</v>
      </c>
      <c r="I5333">
        <v>0</v>
      </c>
      <c r="J5333">
        <v>0</v>
      </c>
      <c r="K5333">
        <v>0</v>
      </c>
      <c r="L5333">
        <v>112684700</v>
      </c>
      <c r="M5333">
        <v>112936925.59999999</v>
      </c>
      <c r="N5333">
        <v>112684700</v>
      </c>
      <c r="O5333">
        <v>112936925.59999999</v>
      </c>
      <c r="P5333">
        <v>100000000</v>
      </c>
      <c r="Q5333">
        <v>100000000</v>
      </c>
      <c r="R5333" s="14">
        <f>_xlfn.XLOOKUP(Table2[[#This Row],[LoanID]],Table1[G-L ID],Table1[ManagerCode],-99)</f>
        <v>103</v>
      </c>
      <c r="T5333"/>
    </row>
    <row r="5334" spans="1:20" x14ac:dyDescent="0.25">
      <c r="A5334">
        <v>20170228</v>
      </c>
      <c r="B5334">
        <v>2017</v>
      </c>
      <c r="C5334">
        <v>2</v>
      </c>
      <c r="D5334">
        <v>1</v>
      </c>
      <c r="E5334">
        <v>10240</v>
      </c>
      <c r="F5334">
        <v>94377.78</v>
      </c>
      <c r="G5334">
        <v>0</v>
      </c>
      <c r="H5334">
        <v>0</v>
      </c>
      <c r="I5334">
        <v>0</v>
      </c>
      <c r="J5334">
        <v>0</v>
      </c>
      <c r="K5334">
        <v>0</v>
      </c>
      <c r="L5334">
        <v>12500000</v>
      </c>
      <c r="M5334">
        <v>12500000</v>
      </c>
      <c r="N5334">
        <v>12500000</v>
      </c>
      <c r="O5334">
        <v>12500000</v>
      </c>
      <c r="P5334">
        <v>12500000</v>
      </c>
      <c r="Q5334">
        <v>12500000</v>
      </c>
      <c r="R5334" s="14">
        <f>_xlfn.XLOOKUP(Table2[[#This Row],[LoanID]],Table1[G-L ID],Table1[ManagerCode],-99)</f>
        <v>220</v>
      </c>
      <c r="T5334"/>
    </row>
    <row r="5335" spans="1:20" x14ac:dyDescent="0.25">
      <c r="A5335">
        <v>20170228</v>
      </c>
      <c r="B5335">
        <v>2017</v>
      </c>
      <c r="C5335">
        <v>2</v>
      </c>
      <c r="D5335">
        <v>1</v>
      </c>
      <c r="E5335">
        <v>10250</v>
      </c>
      <c r="F5335">
        <v>51873.33</v>
      </c>
      <c r="G5335">
        <v>0</v>
      </c>
      <c r="H5335">
        <v>0</v>
      </c>
      <c r="I5335">
        <v>0</v>
      </c>
      <c r="J5335">
        <v>0</v>
      </c>
      <c r="K5335">
        <v>0</v>
      </c>
      <c r="L5335">
        <v>5000000</v>
      </c>
      <c r="M5335">
        <v>5000000</v>
      </c>
      <c r="N5335">
        <v>5000000</v>
      </c>
      <c r="O5335">
        <v>5000000</v>
      </c>
      <c r="P5335">
        <v>5000000</v>
      </c>
      <c r="Q5335">
        <v>5000000</v>
      </c>
      <c r="R5335" s="14">
        <f>_xlfn.XLOOKUP(Table2[[#This Row],[LoanID]],Table1[G-L ID],Table1[ManagerCode],-99)</f>
        <v>119</v>
      </c>
      <c r="T5335"/>
    </row>
    <row r="5336" spans="1:20" x14ac:dyDescent="0.25">
      <c r="A5336">
        <v>20170228</v>
      </c>
      <c r="B5336">
        <v>2017</v>
      </c>
      <c r="C5336">
        <v>2</v>
      </c>
      <c r="D5336">
        <v>1</v>
      </c>
      <c r="E5336">
        <v>10260</v>
      </c>
      <c r="F5336">
        <v>100425.91</v>
      </c>
      <c r="G5336">
        <v>0</v>
      </c>
      <c r="H5336">
        <v>0</v>
      </c>
      <c r="I5336">
        <v>0</v>
      </c>
      <c r="J5336">
        <v>0</v>
      </c>
      <c r="K5336">
        <v>0</v>
      </c>
      <c r="L5336">
        <v>15000000</v>
      </c>
      <c r="M5336">
        <v>15000000</v>
      </c>
      <c r="N5336">
        <v>15000000</v>
      </c>
      <c r="O5336">
        <v>15000000</v>
      </c>
      <c r="P5336">
        <v>15000000</v>
      </c>
      <c r="Q5336">
        <v>15000000</v>
      </c>
      <c r="R5336" s="14">
        <f>_xlfn.XLOOKUP(Table2[[#This Row],[LoanID]],Table1[G-L ID],Table1[ManagerCode],-99)</f>
        <v>220</v>
      </c>
      <c r="T5336"/>
    </row>
    <row r="5337" spans="1:20" x14ac:dyDescent="0.25">
      <c r="A5337">
        <v>20170228</v>
      </c>
      <c r="B5337">
        <v>2017</v>
      </c>
      <c r="C5337">
        <v>2</v>
      </c>
      <c r="D5337">
        <v>1</v>
      </c>
      <c r="E5337">
        <v>10270</v>
      </c>
      <c r="F5337">
        <v>45940.45</v>
      </c>
      <c r="G5337">
        <v>0</v>
      </c>
      <c r="H5337">
        <v>0</v>
      </c>
      <c r="I5337">
        <v>0</v>
      </c>
      <c r="J5337">
        <v>0</v>
      </c>
      <c r="K5337">
        <v>0</v>
      </c>
      <c r="L5337">
        <v>5400000</v>
      </c>
      <c r="M5337">
        <v>5400000</v>
      </c>
      <c r="N5337">
        <v>5400000</v>
      </c>
      <c r="O5337">
        <v>5400000</v>
      </c>
      <c r="P5337">
        <v>5400000</v>
      </c>
      <c r="Q5337">
        <v>5400000</v>
      </c>
      <c r="R5337" s="14">
        <f>_xlfn.XLOOKUP(Table2[[#This Row],[LoanID]],Table1[G-L ID],Table1[ManagerCode],-99)</f>
        <v>119</v>
      </c>
      <c r="T5337"/>
    </row>
    <row r="5338" spans="1:20" x14ac:dyDescent="0.25">
      <c r="A5338">
        <v>20170228</v>
      </c>
      <c r="B5338">
        <v>2017</v>
      </c>
      <c r="C5338">
        <v>2</v>
      </c>
      <c r="D5338">
        <v>1</v>
      </c>
      <c r="E5338">
        <v>10330</v>
      </c>
      <c r="F5338">
        <v>80560.08</v>
      </c>
      <c r="G5338">
        <v>0</v>
      </c>
      <c r="H5338">
        <v>0</v>
      </c>
      <c r="I5338">
        <v>0</v>
      </c>
      <c r="J5338">
        <v>0</v>
      </c>
      <c r="K5338">
        <v>0</v>
      </c>
      <c r="L5338">
        <v>8652759.6999999993</v>
      </c>
      <c r="M5338">
        <v>8652759.6999999993</v>
      </c>
      <c r="N5338">
        <v>8652759.6999999993</v>
      </c>
      <c r="O5338">
        <v>8652759.6999999993</v>
      </c>
      <c r="P5338">
        <v>8652759.6999999993</v>
      </c>
      <c r="Q5338">
        <v>8652759.6999999993</v>
      </c>
      <c r="R5338" s="14">
        <f>_xlfn.XLOOKUP(Table2[[#This Row],[LoanID]],Table1[G-L ID],Table1[ManagerCode],-99)</f>
        <v>119</v>
      </c>
      <c r="T5338"/>
    </row>
    <row r="5339" spans="1:20" x14ac:dyDescent="0.25">
      <c r="A5339">
        <v>20170228</v>
      </c>
      <c r="B5339">
        <v>2017</v>
      </c>
      <c r="C5339">
        <v>2</v>
      </c>
      <c r="D5339">
        <v>1</v>
      </c>
      <c r="E5339">
        <v>10350</v>
      </c>
      <c r="F5339">
        <v>174805.56</v>
      </c>
      <c r="G5339">
        <v>0</v>
      </c>
      <c r="H5339">
        <v>0</v>
      </c>
      <c r="I5339">
        <v>0</v>
      </c>
      <c r="J5339">
        <v>0</v>
      </c>
      <c r="K5339">
        <v>0</v>
      </c>
      <c r="L5339">
        <v>24800000</v>
      </c>
      <c r="M5339">
        <v>24800000</v>
      </c>
      <c r="N5339">
        <v>24800000</v>
      </c>
      <c r="O5339">
        <v>24800000</v>
      </c>
      <c r="P5339">
        <v>24800000</v>
      </c>
      <c r="Q5339">
        <v>24800000</v>
      </c>
      <c r="R5339" s="14">
        <f>_xlfn.XLOOKUP(Table2[[#This Row],[LoanID]],Table1[G-L ID],Table1[ManagerCode],-99)</f>
        <v>220</v>
      </c>
      <c r="T5339"/>
    </row>
    <row r="5340" spans="1:20" x14ac:dyDescent="0.25">
      <c r="A5340">
        <v>20170228</v>
      </c>
      <c r="B5340">
        <v>2017</v>
      </c>
      <c r="C5340">
        <v>2</v>
      </c>
      <c r="D5340">
        <v>1</v>
      </c>
      <c r="E5340">
        <v>10360</v>
      </c>
      <c r="F5340">
        <v>57858.96</v>
      </c>
      <c r="G5340">
        <v>0</v>
      </c>
      <c r="H5340">
        <v>0</v>
      </c>
      <c r="I5340">
        <v>0</v>
      </c>
      <c r="J5340">
        <v>0</v>
      </c>
      <c r="K5340">
        <v>0</v>
      </c>
      <c r="L5340">
        <v>5909000</v>
      </c>
      <c r="M5340">
        <v>5909000</v>
      </c>
      <c r="N5340">
        <v>5909000</v>
      </c>
      <c r="O5340">
        <v>5909000</v>
      </c>
      <c r="P5340">
        <v>5909000</v>
      </c>
      <c r="Q5340">
        <v>5909000</v>
      </c>
      <c r="R5340" s="14">
        <f>_xlfn.XLOOKUP(Table2[[#This Row],[LoanID]],Table1[G-L ID],Table1[ManagerCode],-99)</f>
        <v>183</v>
      </c>
      <c r="T5340"/>
    </row>
    <row r="5341" spans="1:20" x14ac:dyDescent="0.25">
      <c r="A5341">
        <v>20170228</v>
      </c>
      <c r="B5341">
        <v>2017</v>
      </c>
      <c r="C5341">
        <v>2</v>
      </c>
      <c r="D5341">
        <v>1</v>
      </c>
      <c r="E5341">
        <v>10410</v>
      </c>
      <c r="F5341">
        <v>93285.28</v>
      </c>
      <c r="G5341">
        <v>56406.21</v>
      </c>
      <c r="H5341">
        <v>0</v>
      </c>
      <c r="I5341">
        <v>0</v>
      </c>
      <c r="J5341">
        <v>-2132650.58</v>
      </c>
      <c r="K5341">
        <v>0</v>
      </c>
      <c r="L5341">
        <v>21616219.43</v>
      </c>
      <c r="M5341">
        <v>23805276.219999999</v>
      </c>
      <c r="N5341">
        <v>21616219.43</v>
      </c>
      <c r="O5341">
        <v>23805276.219999999</v>
      </c>
      <c r="P5341">
        <v>21616219.43</v>
      </c>
      <c r="Q5341">
        <v>23805276.219999999</v>
      </c>
      <c r="R5341" s="14">
        <f>_xlfn.XLOOKUP(Table2[[#This Row],[LoanID]],Table1[G-L ID],Table1[ManagerCode],-99)</f>
        <v>183</v>
      </c>
      <c r="T5341"/>
    </row>
    <row r="5342" spans="1:20" x14ac:dyDescent="0.25">
      <c r="A5342">
        <v>20170228</v>
      </c>
      <c r="B5342">
        <v>2017</v>
      </c>
      <c r="C5342">
        <v>2</v>
      </c>
      <c r="D5342">
        <v>1</v>
      </c>
      <c r="E5342">
        <v>10480</v>
      </c>
      <c r="F5342">
        <v>173911.02</v>
      </c>
      <c r="G5342">
        <v>0</v>
      </c>
      <c r="H5342">
        <v>0</v>
      </c>
      <c r="I5342">
        <v>0</v>
      </c>
      <c r="J5342">
        <v>2551917.66</v>
      </c>
      <c r="K5342">
        <v>0</v>
      </c>
      <c r="L5342">
        <v>23614577.579999998</v>
      </c>
      <c r="M5342">
        <v>21062659.920000002</v>
      </c>
      <c r="N5342">
        <v>23614577.579999998</v>
      </c>
      <c r="O5342">
        <v>21062659.920000002</v>
      </c>
      <c r="P5342">
        <v>23614577.579999998</v>
      </c>
      <c r="Q5342">
        <v>21062659.920000002</v>
      </c>
      <c r="R5342" s="14">
        <f>_xlfn.XLOOKUP(Table2[[#This Row],[LoanID]],Table1[G-L ID],Table1[ManagerCode],-99)</f>
        <v>119</v>
      </c>
      <c r="T5342"/>
    </row>
    <row r="5343" spans="1:20" x14ac:dyDescent="0.25">
      <c r="A5343">
        <v>20170228</v>
      </c>
      <c r="B5343">
        <v>2017</v>
      </c>
      <c r="C5343">
        <v>2</v>
      </c>
      <c r="D5343">
        <v>1</v>
      </c>
      <c r="E5343">
        <v>10500</v>
      </c>
      <c r="F5343">
        <v>178136.69</v>
      </c>
      <c r="G5343">
        <v>0</v>
      </c>
      <c r="H5343">
        <v>0</v>
      </c>
      <c r="I5343">
        <v>0</v>
      </c>
      <c r="J5343">
        <v>0</v>
      </c>
      <c r="K5343">
        <v>0</v>
      </c>
      <c r="L5343">
        <v>19211405.440000001</v>
      </c>
      <c r="M5343">
        <v>19211405.440000001</v>
      </c>
      <c r="N5343">
        <v>19211405.440000001</v>
      </c>
      <c r="O5343">
        <v>19211405.440000001</v>
      </c>
      <c r="P5343">
        <v>19211405.440000001</v>
      </c>
      <c r="Q5343">
        <v>19211405.440000001</v>
      </c>
      <c r="R5343" s="14">
        <f>_xlfn.XLOOKUP(Table2[[#This Row],[LoanID]],Table1[G-L ID],Table1[ManagerCode],-99)</f>
        <v>119</v>
      </c>
      <c r="T5343"/>
    </row>
    <row r="5344" spans="1:20" x14ac:dyDescent="0.25">
      <c r="A5344">
        <v>20170228</v>
      </c>
      <c r="B5344">
        <v>2017</v>
      </c>
      <c r="C5344">
        <v>2</v>
      </c>
      <c r="D5344">
        <v>1</v>
      </c>
      <c r="E5344">
        <v>10620</v>
      </c>
      <c r="F5344">
        <v>111213.29</v>
      </c>
      <c r="G5344">
        <v>0</v>
      </c>
      <c r="H5344">
        <v>0</v>
      </c>
      <c r="I5344">
        <v>0</v>
      </c>
      <c r="J5344">
        <v>0</v>
      </c>
      <c r="K5344">
        <v>0</v>
      </c>
      <c r="L5344">
        <v>11315131.58</v>
      </c>
      <c r="M5344">
        <v>11315131.58</v>
      </c>
      <c r="N5344">
        <v>11315131.58</v>
      </c>
      <c r="O5344">
        <v>11315131.58</v>
      </c>
      <c r="P5344">
        <v>11315131.58</v>
      </c>
      <c r="Q5344">
        <v>11315131.58</v>
      </c>
      <c r="R5344" s="14">
        <f>_xlfn.XLOOKUP(Table2[[#This Row],[LoanID]],Table1[G-L ID],Table1[ManagerCode],-99)</f>
        <v>119</v>
      </c>
      <c r="T5344"/>
    </row>
    <row r="5345" spans="1:20" x14ac:dyDescent="0.25">
      <c r="A5345">
        <v>20170228</v>
      </c>
      <c r="B5345">
        <v>2017</v>
      </c>
      <c r="C5345">
        <v>2</v>
      </c>
      <c r="D5345">
        <v>1</v>
      </c>
      <c r="E5345">
        <v>10670</v>
      </c>
      <c r="F5345">
        <v>267840</v>
      </c>
      <c r="G5345">
        <v>0</v>
      </c>
      <c r="H5345">
        <v>0</v>
      </c>
      <c r="I5345">
        <v>0</v>
      </c>
      <c r="J5345">
        <v>0</v>
      </c>
      <c r="K5345">
        <v>0</v>
      </c>
      <c r="L5345">
        <v>30000000</v>
      </c>
      <c r="M5345">
        <v>30000000</v>
      </c>
      <c r="N5345">
        <v>30000000</v>
      </c>
      <c r="O5345">
        <v>30000000</v>
      </c>
      <c r="P5345">
        <v>30000000</v>
      </c>
      <c r="Q5345">
        <v>30000000</v>
      </c>
      <c r="R5345" s="14">
        <f>_xlfn.XLOOKUP(Table2[[#This Row],[LoanID]],Table1[G-L ID],Table1[ManagerCode],-99)</f>
        <v>119</v>
      </c>
      <c r="T5345"/>
    </row>
    <row r="5346" spans="1:20" x14ac:dyDescent="0.25">
      <c r="A5346">
        <v>20170228</v>
      </c>
      <c r="B5346">
        <v>2017</v>
      </c>
      <c r="C5346">
        <v>2</v>
      </c>
      <c r="D5346">
        <v>1</v>
      </c>
      <c r="E5346">
        <v>10680</v>
      </c>
      <c r="F5346">
        <v>101476.61</v>
      </c>
      <c r="G5346">
        <v>0</v>
      </c>
      <c r="H5346">
        <v>0</v>
      </c>
      <c r="I5346">
        <v>0</v>
      </c>
      <c r="J5346">
        <v>0</v>
      </c>
      <c r="K5346">
        <v>0</v>
      </c>
      <c r="L5346">
        <v>11426585.99</v>
      </c>
      <c r="M5346">
        <v>11426585.99</v>
      </c>
      <c r="N5346">
        <v>11426585.99</v>
      </c>
      <c r="O5346">
        <v>11426585.99</v>
      </c>
      <c r="P5346">
        <v>11426585.99</v>
      </c>
      <c r="Q5346">
        <v>11426585.99</v>
      </c>
      <c r="R5346" s="14">
        <f>_xlfn.XLOOKUP(Table2[[#This Row],[LoanID]],Table1[G-L ID],Table1[ManagerCode],-99)</f>
        <v>119</v>
      </c>
      <c r="T5346"/>
    </row>
    <row r="5347" spans="1:20" x14ac:dyDescent="0.25">
      <c r="A5347">
        <v>20170228</v>
      </c>
      <c r="B5347">
        <v>2017</v>
      </c>
      <c r="C5347">
        <v>2</v>
      </c>
      <c r="D5347">
        <v>1</v>
      </c>
      <c r="E5347">
        <v>10730</v>
      </c>
      <c r="F5347">
        <v>102117.87</v>
      </c>
      <c r="G5347">
        <v>0</v>
      </c>
      <c r="H5347">
        <v>0</v>
      </c>
      <c r="I5347">
        <v>0</v>
      </c>
      <c r="J5347">
        <v>0</v>
      </c>
      <c r="K5347">
        <v>0</v>
      </c>
      <c r="L5347">
        <v>9500000</v>
      </c>
      <c r="M5347">
        <v>9500000</v>
      </c>
      <c r="N5347">
        <v>9500000</v>
      </c>
      <c r="O5347">
        <v>9500000</v>
      </c>
      <c r="P5347">
        <v>9500000</v>
      </c>
      <c r="Q5347">
        <v>9500000</v>
      </c>
      <c r="R5347" s="14">
        <f>_xlfn.XLOOKUP(Table2[[#This Row],[LoanID]],Table1[G-L ID],Table1[ManagerCode],-99)</f>
        <v>119</v>
      </c>
      <c r="T5347"/>
    </row>
    <row r="5348" spans="1:20" x14ac:dyDescent="0.25">
      <c r="A5348">
        <v>20170228</v>
      </c>
      <c r="B5348">
        <v>2017</v>
      </c>
      <c r="C5348">
        <v>2</v>
      </c>
      <c r="D5348">
        <v>1</v>
      </c>
      <c r="E5348">
        <v>10750</v>
      </c>
      <c r="F5348">
        <v>78558.66</v>
      </c>
      <c r="G5348">
        <v>0</v>
      </c>
      <c r="H5348">
        <v>0</v>
      </c>
      <c r="I5348">
        <v>0</v>
      </c>
      <c r="J5348">
        <v>805795.74</v>
      </c>
      <c r="K5348">
        <v>0</v>
      </c>
      <c r="L5348">
        <v>9395627.8499999996</v>
      </c>
      <c r="M5348">
        <v>8589832.1099999994</v>
      </c>
      <c r="N5348">
        <v>9395627.8499999996</v>
      </c>
      <c r="O5348">
        <v>8589832.1099999994</v>
      </c>
      <c r="P5348">
        <v>9395627.8499999996</v>
      </c>
      <c r="Q5348">
        <v>8589832.1099999994</v>
      </c>
      <c r="R5348" s="14">
        <f>_xlfn.XLOOKUP(Table2[[#This Row],[LoanID]],Table1[G-L ID],Table1[ManagerCode],-99)</f>
        <v>119</v>
      </c>
      <c r="T5348"/>
    </row>
    <row r="5349" spans="1:20" x14ac:dyDescent="0.25">
      <c r="A5349">
        <v>20170228</v>
      </c>
      <c r="B5349">
        <v>2017</v>
      </c>
      <c r="C5349">
        <v>2</v>
      </c>
      <c r="D5349">
        <v>1</v>
      </c>
      <c r="E5349">
        <v>10780</v>
      </c>
      <c r="F5349">
        <v>333390.24</v>
      </c>
      <c r="G5349">
        <v>0</v>
      </c>
      <c r="H5349">
        <v>0</v>
      </c>
      <c r="I5349">
        <v>0</v>
      </c>
      <c r="J5349">
        <v>0</v>
      </c>
      <c r="K5349">
        <v>0</v>
      </c>
      <c r="L5349">
        <v>42932230</v>
      </c>
      <c r="M5349">
        <v>42932230</v>
      </c>
      <c r="N5349">
        <v>42932230</v>
      </c>
      <c r="O5349">
        <v>42932230</v>
      </c>
      <c r="P5349">
        <v>42932230</v>
      </c>
      <c r="Q5349">
        <v>42932230</v>
      </c>
      <c r="R5349" s="14">
        <f>_xlfn.XLOOKUP(Table2[[#This Row],[LoanID]],Table1[G-L ID],Table1[ManagerCode],-99)</f>
        <v>220</v>
      </c>
      <c r="T5349"/>
    </row>
    <row r="5350" spans="1:20" x14ac:dyDescent="0.25">
      <c r="A5350">
        <v>20170228</v>
      </c>
      <c r="B5350">
        <v>2017</v>
      </c>
      <c r="C5350">
        <v>2</v>
      </c>
      <c r="D5350">
        <v>1</v>
      </c>
      <c r="E5350">
        <v>10800</v>
      </c>
      <c r="F5350">
        <v>424410.67</v>
      </c>
      <c r="G5350">
        <v>0</v>
      </c>
      <c r="H5350">
        <v>0</v>
      </c>
      <c r="I5350">
        <v>0</v>
      </c>
      <c r="J5350">
        <v>0</v>
      </c>
      <c r="K5350">
        <v>0</v>
      </c>
      <c r="L5350">
        <v>48000000</v>
      </c>
      <c r="M5350">
        <v>48000000</v>
      </c>
      <c r="N5350">
        <v>48000000</v>
      </c>
      <c r="O5350">
        <v>48000000</v>
      </c>
      <c r="P5350">
        <v>48000000</v>
      </c>
      <c r="Q5350">
        <v>48000000</v>
      </c>
      <c r="R5350" s="14">
        <f>_xlfn.XLOOKUP(Table2[[#This Row],[LoanID]],Table1[G-L ID],Table1[ManagerCode],-99)</f>
        <v>220</v>
      </c>
      <c r="T5350"/>
    </row>
    <row r="5351" spans="1:20" x14ac:dyDescent="0.25">
      <c r="A5351">
        <v>20170228</v>
      </c>
      <c r="B5351">
        <v>2017</v>
      </c>
      <c r="C5351">
        <v>2</v>
      </c>
      <c r="D5351">
        <v>1</v>
      </c>
      <c r="E5351">
        <v>10810</v>
      </c>
      <c r="F5351">
        <v>87613.75</v>
      </c>
      <c r="G5351">
        <v>0</v>
      </c>
      <c r="H5351">
        <v>0</v>
      </c>
      <c r="I5351">
        <v>0</v>
      </c>
      <c r="J5351">
        <v>-310227.63</v>
      </c>
      <c r="K5351">
        <v>0</v>
      </c>
      <c r="L5351">
        <v>10146658.85</v>
      </c>
      <c r="M5351">
        <v>10456886.48</v>
      </c>
      <c r="N5351">
        <v>10146658.85</v>
      </c>
      <c r="O5351">
        <v>10456886.48</v>
      </c>
      <c r="P5351">
        <v>10146658.85</v>
      </c>
      <c r="Q5351">
        <v>10456886.48</v>
      </c>
      <c r="R5351" s="14">
        <f>_xlfn.XLOOKUP(Table2[[#This Row],[LoanID]],Table1[G-L ID],Table1[ManagerCode],-99)</f>
        <v>119</v>
      </c>
      <c r="T5351"/>
    </row>
    <row r="5352" spans="1:20" x14ac:dyDescent="0.25">
      <c r="A5352">
        <v>20170228</v>
      </c>
      <c r="B5352">
        <v>2017</v>
      </c>
      <c r="C5352">
        <v>2</v>
      </c>
      <c r="D5352">
        <v>1</v>
      </c>
      <c r="E5352">
        <v>10820</v>
      </c>
      <c r="F5352">
        <v>197375.03</v>
      </c>
      <c r="G5352">
        <v>0</v>
      </c>
      <c r="H5352">
        <v>0</v>
      </c>
      <c r="I5352">
        <v>0</v>
      </c>
      <c r="J5352">
        <v>0</v>
      </c>
      <c r="K5352">
        <v>0</v>
      </c>
      <c r="L5352">
        <v>24127338</v>
      </c>
      <c r="M5352">
        <v>24127338</v>
      </c>
      <c r="N5352">
        <v>24127338</v>
      </c>
      <c r="O5352">
        <v>24127338</v>
      </c>
      <c r="P5352">
        <v>24127337.739999998</v>
      </c>
      <c r="Q5352">
        <v>24127337.739999998</v>
      </c>
      <c r="R5352" s="14">
        <f>_xlfn.XLOOKUP(Table2[[#This Row],[LoanID]],Table1[G-L ID],Table1[ManagerCode],-99)</f>
        <v>220</v>
      </c>
      <c r="T5352"/>
    </row>
    <row r="5353" spans="1:20" x14ac:dyDescent="0.25">
      <c r="A5353">
        <v>20170228</v>
      </c>
      <c r="B5353">
        <v>2017</v>
      </c>
      <c r="C5353">
        <v>2</v>
      </c>
      <c r="D5353">
        <v>1</v>
      </c>
      <c r="E5353">
        <v>10830</v>
      </c>
      <c r="F5353">
        <v>63857.77</v>
      </c>
      <c r="G5353">
        <v>0</v>
      </c>
      <c r="H5353">
        <v>0</v>
      </c>
      <c r="I5353">
        <v>0</v>
      </c>
      <c r="J5353">
        <v>0</v>
      </c>
      <c r="K5353">
        <v>0</v>
      </c>
      <c r="L5353">
        <v>7806043.1399999997</v>
      </c>
      <c r="M5353">
        <v>7806043.1399999997</v>
      </c>
      <c r="N5353">
        <v>7806043.1399999997</v>
      </c>
      <c r="O5353">
        <v>7806043.1399999997</v>
      </c>
      <c r="P5353">
        <v>7806043.1399999997</v>
      </c>
      <c r="Q5353">
        <v>7806043.1399999997</v>
      </c>
      <c r="R5353" s="14">
        <f>_xlfn.XLOOKUP(Table2[[#This Row],[LoanID]],Table1[G-L ID],Table1[ManagerCode],-99)</f>
        <v>220</v>
      </c>
      <c r="T5353"/>
    </row>
    <row r="5354" spans="1:20" x14ac:dyDescent="0.25">
      <c r="A5354">
        <v>20170228</v>
      </c>
      <c r="B5354">
        <v>2017</v>
      </c>
      <c r="C5354">
        <v>2</v>
      </c>
      <c r="D5354">
        <v>1</v>
      </c>
      <c r="E5354">
        <v>10840</v>
      </c>
      <c r="F5354">
        <v>103968.23</v>
      </c>
      <c r="G5354">
        <v>0</v>
      </c>
      <c r="H5354">
        <v>0</v>
      </c>
      <c r="I5354">
        <v>0</v>
      </c>
      <c r="J5354">
        <v>0</v>
      </c>
      <c r="K5354">
        <v>0</v>
      </c>
      <c r="L5354">
        <v>12709189</v>
      </c>
      <c r="M5354">
        <v>12709189</v>
      </c>
      <c r="N5354">
        <v>12709189</v>
      </c>
      <c r="O5354">
        <v>12709189</v>
      </c>
      <c r="P5354">
        <v>12709189</v>
      </c>
      <c r="Q5354">
        <v>12709189</v>
      </c>
      <c r="R5354" s="14">
        <f>_xlfn.XLOOKUP(Table2[[#This Row],[LoanID]],Table1[G-L ID],Table1[ManagerCode],-99)</f>
        <v>220</v>
      </c>
      <c r="T5354"/>
    </row>
    <row r="5355" spans="1:20" x14ac:dyDescent="0.25">
      <c r="A5355">
        <v>20170228</v>
      </c>
      <c r="B5355">
        <v>2017</v>
      </c>
      <c r="C5355">
        <v>2</v>
      </c>
      <c r="D5355">
        <v>1</v>
      </c>
      <c r="E5355">
        <v>10850</v>
      </c>
      <c r="F5355">
        <v>110534.78</v>
      </c>
      <c r="G5355">
        <v>0</v>
      </c>
      <c r="H5355">
        <v>0</v>
      </c>
      <c r="I5355">
        <v>0</v>
      </c>
      <c r="J5355">
        <v>0</v>
      </c>
      <c r="K5355">
        <v>0</v>
      </c>
      <c r="L5355">
        <v>13511892</v>
      </c>
      <c r="M5355">
        <v>13511892</v>
      </c>
      <c r="N5355">
        <v>13511892</v>
      </c>
      <c r="O5355">
        <v>13511892</v>
      </c>
      <c r="P5355">
        <v>13511892</v>
      </c>
      <c r="Q5355">
        <v>13511892</v>
      </c>
      <c r="R5355" s="14">
        <f>_xlfn.XLOOKUP(Table2[[#This Row],[LoanID]],Table1[G-L ID],Table1[ManagerCode],-99)</f>
        <v>220</v>
      </c>
      <c r="T5355"/>
    </row>
    <row r="5356" spans="1:20" x14ac:dyDescent="0.25">
      <c r="A5356">
        <v>20170228</v>
      </c>
      <c r="B5356">
        <v>2017</v>
      </c>
      <c r="C5356">
        <v>2</v>
      </c>
      <c r="D5356">
        <v>1</v>
      </c>
      <c r="E5356">
        <v>10860</v>
      </c>
      <c r="F5356">
        <v>128300.39</v>
      </c>
      <c r="G5356">
        <v>0</v>
      </c>
      <c r="H5356">
        <v>0</v>
      </c>
      <c r="I5356">
        <v>0</v>
      </c>
      <c r="J5356">
        <v>0</v>
      </c>
      <c r="K5356">
        <v>0</v>
      </c>
      <c r="L5356">
        <v>19475000</v>
      </c>
      <c r="M5356">
        <v>19475000</v>
      </c>
      <c r="N5356">
        <v>19475000</v>
      </c>
      <c r="O5356">
        <v>19475000</v>
      </c>
      <c r="P5356">
        <v>20500000</v>
      </c>
      <c r="Q5356">
        <v>20500000</v>
      </c>
      <c r="R5356" s="14">
        <f>_xlfn.XLOOKUP(Table2[[#This Row],[LoanID]],Table1[G-L ID],Table1[ManagerCode],-99)</f>
        <v>103</v>
      </c>
      <c r="T5356"/>
    </row>
    <row r="5357" spans="1:20" x14ac:dyDescent="0.25">
      <c r="A5357">
        <v>20170228</v>
      </c>
      <c r="B5357">
        <v>2017</v>
      </c>
      <c r="C5357">
        <v>2</v>
      </c>
      <c r="D5357">
        <v>1</v>
      </c>
      <c r="E5357">
        <v>10890</v>
      </c>
      <c r="F5357">
        <v>109183.1</v>
      </c>
      <c r="G5357">
        <v>91819.95</v>
      </c>
      <c r="H5357">
        <v>0</v>
      </c>
      <c r="I5357">
        <v>0</v>
      </c>
      <c r="J5357">
        <v>-109183.1</v>
      </c>
      <c r="K5357">
        <v>0</v>
      </c>
      <c r="L5357">
        <v>21927605.399999999</v>
      </c>
      <c r="M5357">
        <v>22128608.449999999</v>
      </c>
      <c r="N5357">
        <v>21927605.399999999</v>
      </c>
      <c r="O5357">
        <v>22128608.449999999</v>
      </c>
      <c r="P5357">
        <v>21927605.399999999</v>
      </c>
      <c r="Q5357">
        <v>22128608.449999999</v>
      </c>
      <c r="R5357" s="14">
        <f>_xlfn.XLOOKUP(Table2[[#This Row],[LoanID]],Table1[G-L ID],Table1[ManagerCode],-99)</f>
        <v>183</v>
      </c>
      <c r="T5357"/>
    </row>
    <row r="5358" spans="1:20" x14ac:dyDescent="0.25">
      <c r="A5358">
        <v>20170228</v>
      </c>
      <c r="B5358">
        <v>2017</v>
      </c>
      <c r="C5358">
        <v>2</v>
      </c>
      <c r="D5358">
        <v>1</v>
      </c>
      <c r="E5358">
        <v>10910</v>
      </c>
      <c r="F5358">
        <v>207097.23</v>
      </c>
      <c r="G5358">
        <v>0</v>
      </c>
      <c r="H5358">
        <v>0</v>
      </c>
      <c r="I5358">
        <v>0</v>
      </c>
      <c r="J5358">
        <v>0</v>
      </c>
      <c r="K5358">
        <v>0</v>
      </c>
      <c r="L5358">
        <v>22500000</v>
      </c>
      <c r="M5358">
        <v>22500000</v>
      </c>
      <c r="N5358">
        <v>22500000</v>
      </c>
      <c r="O5358">
        <v>22500000</v>
      </c>
      <c r="P5358">
        <v>22500000</v>
      </c>
      <c r="Q5358">
        <v>22500000</v>
      </c>
      <c r="R5358" s="14">
        <f>_xlfn.XLOOKUP(Table2[[#This Row],[LoanID]],Table1[G-L ID],Table1[ManagerCode],-99)</f>
        <v>119</v>
      </c>
      <c r="T5358"/>
    </row>
    <row r="5359" spans="1:20" x14ac:dyDescent="0.25">
      <c r="A5359">
        <v>20170228</v>
      </c>
      <c r="B5359">
        <v>2017</v>
      </c>
      <c r="C5359">
        <v>2</v>
      </c>
      <c r="D5359">
        <v>1</v>
      </c>
      <c r="E5359">
        <v>10930</v>
      </c>
      <c r="F5359">
        <v>0</v>
      </c>
      <c r="G5359">
        <v>168823.78</v>
      </c>
      <c r="H5359">
        <v>0</v>
      </c>
      <c r="I5359">
        <v>0</v>
      </c>
      <c r="J5359">
        <v>0</v>
      </c>
      <c r="K5359">
        <v>0</v>
      </c>
      <c r="L5359">
        <v>16928758.050000001</v>
      </c>
      <c r="M5359">
        <v>17097581.829999998</v>
      </c>
      <c r="N5359">
        <v>16928758.050000001</v>
      </c>
      <c r="O5359">
        <v>17097581.829999998</v>
      </c>
      <c r="P5359">
        <v>16928758.050000001</v>
      </c>
      <c r="Q5359">
        <v>17097581.829999998</v>
      </c>
      <c r="R5359" s="14">
        <f>_xlfn.XLOOKUP(Table2[[#This Row],[LoanID]],Table1[G-L ID],Table1[ManagerCode],-99)</f>
        <v>183</v>
      </c>
      <c r="T5359"/>
    </row>
    <row r="5360" spans="1:20" x14ac:dyDescent="0.25">
      <c r="A5360">
        <v>20170228</v>
      </c>
      <c r="B5360">
        <v>2017</v>
      </c>
      <c r="C5360">
        <v>2</v>
      </c>
      <c r="D5360">
        <v>1</v>
      </c>
      <c r="E5360">
        <v>10970</v>
      </c>
      <c r="F5360">
        <v>21750.1</v>
      </c>
      <c r="G5360">
        <v>23807.3</v>
      </c>
      <c r="H5360">
        <v>0</v>
      </c>
      <c r="I5360">
        <v>0</v>
      </c>
      <c r="J5360">
        <v>-21750.1</v>
      </c>
      <c r="K5360">
        <v>0</v>
      </c>
      <c r="L5360">
        <v>4387036.58</v>
      </c>
      <c r="M5360">
        <v>4432593.9800000004</v>
      </c>
      <c r="N5360">
        <v>4387036.58</v>
      </c>
      <c r="O5360">
        <v>4432593.9800000004</v>
      </c>
      <c r="P5360">
        <v>4387036.58</v>
      </c>
      <c r="Q5360">
        <v>4432593.9800000004</v>
      </c>
      <c r="R5360" s="14">
        <f>_xlfn.XLOOKUP(Table2[[#This Row],[LoanID]],Table1[G-L ID],Table1[ManagerCode],-99)</f>
        <v>183</v>
      </c>
      <c r="T5360"/>
    </row>
    <row r="5361" spans="1:20" x14ac:dyDescent="0.25">
      <c r="A5361">
        <v>20170228</v>
      </c>
      <c r="B5361">
        <v>2017</v>
      </c>
      <c r="C5361">
        <v>2</v>
      </c>
      <c r="D5361">
        <v>1</v>
      </c>
      <c r="E5361">
        <v>11010</v>
      </c>
      <c r="F5361">
        <v>222971.3</v>
      </c>
      <c r="G5361">
        <v>0</v>
      </c>
      <c r="H5361">
        <v>0</v>
      </c>
      <c r="I5361">
        <v>0</v>
      </c>
      <c r="J5361">
        <v>0</v>
      </c>
      <c r="K5361">
        <v>0</v>
      </c>
      <c r="L5361">
        <v>26500000</v>
      </c>
      <c r="M5361">
        <v>26500000</v>
      </c>
      <c r="N5361">
        <v>26500000</v>
      </c>
      <c r="O5361">
        <v>26500000</v>
      </c>
      <c r="P5361">
        <v>26500000</v>
      </c>
      <c r="Q5361">
        <v>26500000</v>
      </c>
      <c r="R5361" s="14">
        <f>_xlfn.XLOOKUP(Table2[[#This Row],[LoanID]],Table1[G-L ID],Table1[ManagerCode],-99)</f>
        <v>119</v>
      </c>
      <c r="T5361"/>
    </row>
    <row r="5362" spans="1:20" x14ac:dyDescent="0.25">
      <c r="A5362">
        <v>20170228</v>
      </c>
      <c r="B5362">
        <v>2017</v>
      </c>
      <c r="C5362">
        <v>2</v>
      </c>
      <c r="D5362">
        <v>1</v>
      </c>
      <c r="E5362">
        <v>11040</v>
      </c>
      <c r="F5362">
        <v>515286.98</v>
      </c>
      <c r="G5362">
        <v>0</v>
      </c>
      <c r="H5362">
        <v>0</v>
      </c>
      <c r="I5362">
        <v>0</v>
      </c>
      <c r="J5362">
        <v>0</v>
      </c>
      <c r="K5362">
        <v>46866994.979999997</v>
      </c>
      <c r="L5362">
        <v>46866994.979999997</v>
      </c>
      <c r="M5362">
        <v>0</v>
      </c>
      <c r="N5362">
        <v>46866994.979999997</v>
      </c>
      <c r="O5362">
        <v>0</v>
      </c>
      <c r="P5362">
        <v>46866994.979999997</v>
      </c>
      <c r="Q5362">
        <v>0</v>
      </c>
      <c r="R5362" s="14">
        <f>_xlfn.XLOOKUP(Table2[[#This Row],[LoanID]],Table1[G-L ID],Table1[ManagerCode],-99)</f>
        <v>220</v>
      </c>
      <c r="T5362"/>
    </row>
    <row r="5363" spans="1:20" x14ac:dyDescent="0.25">
      <c r="A5363">
        <v>20170228</v>
      </c>
      <c r="B5363">
        <v>2017</v>
      </c>
      <c r="C5363">
        <v>2</v>
      </c>
      <c r="D5363">
        <v>1</v>
      </c>
      <c r="E5363">
        <v>11060</v>
      </c>
      <c r="F5363">
        <v>219449.62</v>
      </c>
      <c r="G5363">
        <v>0</v>
      </c>
      <c r="H5363">
        <v>0</v>
      </c>
      <c r="I5363">
        <v>0</v>
      </c>
      <c r="J5363">
        <v>0</v>
      </c>
      <c r="K5363">
        <v>0</v>
      </c>
      <c r="L5363">
        <v>22000000</v>
      </c>
      <c r="M5363">
        <v>22000000</v>
      </c>
      <c r="N5363">
        <v>22000000</v>
      </c>
      <c r="O5363">
        <v>22000000</v>
      </c>
      <c r="P5363">
        <v>22000000</v>
      </c>
      <c r="Q5363">
        <v>22000000</v>
      </c>
      <c r="R5363" s="14">
        <f>_xlfn.XLOOKUP(Table2[[#This Row],[LoanID]],Table1[G-L ID],Table1[ManagerCode],-99)</f>
        <v>119</v>
      </c>
      <c r="T5363"/>
    </row>
    <row r="5364" spans="1:20" x14ac:dyDescent="0.25">
      <c r="A5364">
        <v>20170228</v>
      </c>
      <c r="B5364">
        <v>2017</v>
      </c>
      <c r="C5364">
        <v>2</v>
      </c>
      <c r="D5364">
        <v>1</v>
      </c>
      <c r="E5364">
        <v>11080</v>
      </c>
      <c r="F5364">
        <v>325618.59999999998</v>
      </c>
      <c r="G5364">
        <v>0</v>
      </c>
      <c r="H5364">
        <v>0</v>
      </c>
      <c r="I5364">
        <v>0</v>
      </c>
      <c r="J5364">
        <v>0</v>
      </c>
      <c r="K5364">
        <v>123838.54</v>
      </c>
      <c r="L5364">
        <v>39937931.030000001</v>
      </c>
      <c r="M5364">
        <v>39814092.490000002</v>
      </c>
      <c r="N5364">
        <v>39937931.030000001</v>
      </c>
      <c r="O5364">
        <v>39814092.490000002</v>
      </c>
      <c r="P5364">
        <v>39937931.030000001</v>
      </c>
      <c r="Q5364">
        <v>39814092.490000002</v>
      </c>
      <c r="R5364" s="14">
        <f>_xlfn.XLOOKUP(Table2[[#This Row],[LoanID]],Table1[G-L ID],Table1[ManagerCode],-99)</f>
        <v>119</v>
      </c>
      <c r="T5364"/>
    </row>
    <row r="5365" spans="1:20" x14ac:dyDescent="0.25">
      <c r="A5365">
        <v>20170228</v>
      </c>
      <c r="B5365">
        <v>2017</v>
      </c>
      <c r="C5365">
        <v>2</v>
      </c>
      <c r="D5365">
        <v>1</v>
      </c>
      <c r="E5365">
        <v>11090</v>
      </c>
      <c r="F5365">
        <v>97350.62</v>
      </c>
      <c r="G5365">
        <v>0</v>
      </c>
      <c r="H5365">
        <v>0</v>
      </c>
      <c r="I5365">
        <v>0</v>
      </c>
      <c r="J5365">
        <v>0</v>
      </c>
      <c r="K5365">
        <v>0</v>
      </c>
      <c r="L5365">
        <v>11000000</v>
      </c>
      <c r="M5365">
        <v>11000000</v>
      </c>
      <c r="N5365">
        <v>11000000</v>
      </c>
      <c r="O5365">
        <v>11000000</v>
      </c>
      <c r="P5365">
        <v>11000000</v>
      </c>
      <c r="Q5365">
        <v>11000000</v>
      </c>
      <c r="R5365" s="14">
        <f>_xlfn.XLOOKUP(Table2[[#This Row],[LoanID]],Table1[G-L ID],Table1[ManagerCode],-99)</f>
        <v>119</v>
      </c>
      <c r="T5365"/>
    </row>
    <row r="5366" spans="1:20" x14ac:dyDescent="0.25">
      <c r="A5366">
        <v>20170228</v>
      </c>
      <c r="B5366">
        <v>2017</v>
      </c>
      <c r="C5366">
        <v>2</v>
      </c>
      <c r="D5366">
        <v>1</v>
      </c>
      <c r="E5366">
        <v>11150</v>
      </c>
      <c r="F5366">
        <v>100170.71</v>
      </c>
      <c r="G5366">
        <v>0</v>
      </c>
      <c r="H5366">
        <v>0</v>
      </c>
      <c r="I5366">
        <v>0</v>
      </c>
      <c r="J5366">
        <v>0</v>
      </c>
      <c r="K5366">
        <v>0</v>
      </c>
      <c r="L5366">
        <v>8940000</v>
      </c>
      <c r="M5366">
        <v>8940000</v>
      </c>
      <c r="N5366">
        <v>8940000</v>
      </c>
      <c r="O5366">
        <v>8940000</v>
      </c>
      <c r="P5366">
        <v>8940000</v>
      </c>
      <c r="Q5366">
        <v>8940000</v>
      </c>
      <c r="R5366" s="14">
        <f>_xlfn.XLOOKUP(Table2[[#This Row],[LoanID]],Table1[G-L ID],Table1[ManagerCode],-99)</f>
        <v>119</v>
      </c>
      <c r="T5366"/>
    </row>
    <row r="5367" spans="1:20" x14ac:dyDescent="0.25">
      <c r="A5367">
        <v>20170228</v>
      </c>
      <c r="B5367">
        <v>2017</v>
      </c>
      <c r="C5367">
        <v>2</v>
      </c>
      <c r="D5367">
        <v>1</v>
      </c>
      <c r="E5367">
        <v>11160</v>
      </c>
      <c r="F5367">
        <v>226420.73</v>
      </c>
      <c r="G5367">
        <v>165519.21</v>
      </c>
      <c r="H5367">
        <v>0</v>
      </c>
      <c r="I5367">
        <v>0</v>
      </c>
      <c r="J5367">
        <v>-1778663.83</v>
      </c>
      <c r="K5367">
        <v>703510.32</v>
      </c>
      <c r="L5367">
        <v>66492248.789999999</v>
      </c>
      <c r="M5367">
        <v>68436431.829999998</v>
      </c>
      <c r="N5367">
        <v>48204813.32</v>
      </c>
      <c r="O5367">
        <v>49445486.039999999</v>
      </c>
      <c r="P5367">
        <v>66492248.789999999</v>
      </c>
      <c r="Q5367">
        <v>68436431.829999998</v>
      </c>
      <c r="R5367" s="14">
        <f>_xlfn.XLOOKUP(Table2[[#This Row],[LoanID]],Table1[G-L ID],Table1[ManagerCode],-99)</f>
        <v>183</v>
      </c>
      <c r="T5367"/>
    </row>
    <row r="5368" spans="1:20" x14ac:dyDescent="0.25">
      <c r="A5368">
        <v>20170228</v>
      </c>
      <c r="B5368">
        <v>2017</v>
      </c>
      <c r="C5368">
        <v>2</v>
      </c>
      <c r="D5368">
        <v>1</v>
      </c>
      <c r="E5368">
        <v>11210</v>
      </c>
      <c r="F5368">
        <v>65853.119999999995</v>
      </c>
      <c r="G5368">
        <v>0</v>
      </c>
      <c r="H5368">
        <v>0</v>
      </c>
      <c r="I5368">
        <v>0</v>
      </c>
      <c r="J5368">
        <v>0</v>
      </c>
      <c r="K5368">
        <v>0</v>
      </c>
      <c r="L5368">
        <v>7500000</v>
      </c>
      <c r="M5368">
        <v>7500000</v>
      </c>
      <c r="N5368">
        <v>7500000</v>
      </c>
      <c r="O5368">
        <v>7500000</v>
      </c>
      <c r="P5368">
        <v>7500000</v>
      </c>
      <c r="Q5368">
        <v>7500000</v>
      </c>
      <c r="R5368" s="14">
        <f>_xlfn.XLOOKUP(Table2[[#This Row],[LoanID]],Table1[G-L ID],Table1[ManagerCode],-99)</f>
        <v>119</v>
      </c>
      <c r="T5368"/>
    </row>
    <row r="5369" spans="1:20" x14ac:dyDescent="0.25">
      <c r="A5369">
        <v>20170228</v>
      </c>
      <c r="B5369">
        <v>2017</v>
      </c>
      <c r="C5369">
        <v>2</v>
      </c>
      <c r="D5369">
        <v>1</v>
      </c>
      <c r="E5369">
        <v>11250</v>
      </c>
      <c r="F5369">
        <v>228165.31</v>
      </c>
      <c r="G5369">
        <v>0</v>
      </c>
      <c r="H5369">
        <v>0</v>
      </c>
      <c r="I5369">
        <v>0</v>
      </c>
      <c r="J5369">
        <v>0</v>
      </c>
      <c r="K5369">
        <v>0</v>
      </c>
      <c r="L5369">
        <v>18253225.030000001</v>
      </c>
      <c r="M5369">
        <v>18253225.030000001</v>
      </c>
      <c r="N5369">
        <v>18253225.030000001</v>
      </c>
      <c r="O5369">
        <v>18253225.030000001</v>
      </c>
      <c r="P5369">
        <v>18253225.030000001</v>
      </c>
      <c r="Q5369">
        <v>18253225.030000001</v>
      </c>
      <c r="R5369" s="14">
        <f>_xlfn.XLOOKUP(Table2[[#This Row],[LoanID]],Table1[G-L ID],Table1[ManagerCode],-99)</f>
        <v>183</v>
      </c>
      <c r="T5369"/>
    </row>
    <row r="5370" spans="1:20" x14ac:dyDescent="0.25">
      <c r="A5370">
        <v>20170228</v>
      </c>
      <c r="B5370">
        <v>2017</v>
      </c>
      <c r="C5370">
        <v>2</v>
      </c>
      <c r="D5370">
        <v>1</v>
      </c>
      <c r="E5370">
        <v>11330</v>
      </c>
      <c r="F5370">
        <v>70068.210000000006</v>
      </c>
      <c r="G5370">
        <v>0</v>
      </c>
      <c r="H5370">
        <v>0</v>
      </c>
      <c r="I5370">
        <v>0</v>
      </c>
      <c r="J5370">
        <v>113107</v>
      </c>
      <c r="K5370">
        <v>0</v>
      </c>
      <c r="L5370">
        <v>6766214.4800000004</v>
      </c>
      <c r="M5370">
        <v>6653107.4800000004</v>
      </c>
      <c r="N5370">
        <v>6766214.4800000004</v>
      </c>
      <c r="O5370">
        <v>6653107.4800000004</v>
      </c>
      <c r="P5370">
        <v>6766214.4800000004</v>
      </c>
      <c r="Q5370">
        <v>6653107.4800000004</v>
      </c>
      <c r="R5370" s="14">
        <f>_xlfn.XLOOKUP(Table2[[#This Row],[LoanID]],Table1[G-L ID],Table1[ManagerCode],-99)</f>
        <v>119</v>
      </c>
      <c r="T5370"/>
    </row>
    <row r="5371" spans="1:20" x14ac:dyDescent="0.25">
      <c r="A5371">
        <v>20170228</v>
      </c>
      <c r="B5371">
        <v>2017</v>
      </c>
      <c r="C5371">
        <v>2</v>
      </c>
      <c r="D5371">
        <v>1</v>
      </c>
      <c r="E5371">
        <v>11340</v>
      </c>
      <c r="F5371">
        <v>296279.03999999998</v>
      </c>
      <c r="G5371">
        <v>0</v>
      </c>
      <c r="H5371">
        <v>0</v>
      </c>
      <c r="I5371">
        <v>0</v>
      </c>
      <c r="J5371">
        <v>0</v>
      </c>
      <c r="K5371">
        <v>64147.92</v>
      </c>
      <c r="L5371">
        <v>48660760.68</v>
      </c>
      <c r="M5371">
        <v>48597254.189999998</v>
      </c>
      <c r="N5371">
        <v>48660760.68</v>
      </c>
      <c r="O5371">
        <v>48597254.189999998</v>
      </c>
      <c r="P5371">
        <v>49152283.479999997</v>
      </c>
      <c r="Q5371">
        <v>49088135.560000002</v>
      </c>
      <c r="R5371" s="14">
        <f>_xlfn.XLOOKUP(Table2[[#This Row],[LoanID]],Table1[G-L ID],Table1[ManagerCode],-99)</f>
        <v>103</v>
      </c>
      <c r="T5371"/>
    </row>
    <row r="5372" spans="1:20" x14ac:dyDescent="0.25">
      <c r="A5372">
        <v>20170228</v>
      </c>
      <c r="B5372">
        <v>2017</v>
      </c>
      <c r="C5372">
        <v>2</v>
      </c>
      <c r="D5372">
        <v>1</v>
      </c>
      <c r="E5372">
        <v>11350</v>
      </c>
      <c r="F5372">
        <v>301388.89</v>
      </c>
      <c r="G5372">
        <v>0</v>
      </c>
      <c r="H5372">
        <v>0</v>
      </c>
      <c r="I5372">
        <v>0</v>
      </c>
      <c r="J5372">
        <v>0</v>
      </c>
      <c r="K5372">
        <v>0</v>
      </c>
      <c r="L5372">
        <v>54449945.549999997</v>
      </c>
      <c r="M5372">
        <v>54449945.549999997</v>
      </c>
      <c r="N5372">
        <v>54449945.549999997</v>
      </c>
      <c r="O5372">
        <v>54449945.549999997</v>
      </c>
      <c r="P5372">
        <v>55000000</v>
      </c>
      <c r="Q5372">
        <v>55000000</v>
      </c>
      <c r="R5372" s="14">
        <f>_xlfn.XLOOKUP(Table2[[#This Row],[LoanID]],Table1[G-L ID],Table1[ManagerCode],-99)</f>
        <v>103</v>
      </c>
      <c r="T5372"/>
    </row>
    <row r="5373" spans="1:20" x14ac:dyDescent="0.25">
      <c r="A5373">
        <v>20170228</v>
      </c>
      <c r="B5373">
        <v>2017</v>
      </c>
      <c r="C5373">
        <v>2</v>
      </c>
      <c r="D5373">
        <v>1</v>
      </c>
      <c r="E5373">
        <v>11360</v>
      </c>
      <c r="F5373">
        <v>64131.67</v>
      </c>
      <c r="G5373">
        <v>0</v>
      </c>
      <c r="H5373">
        <v>0</v>
      </c>
      <c r="I5373">
        <v>0</v>
      </c>
      <c r="J5373">
        <v>0</v>
      </c>
      <c r="K5373">
        <v>0</v>
      </c>
      <c r="L5373">
        <v>7537500</v>
      </c>
      <c r="M5373">
        <v>7537500</v>
      </c>
      <c r="N5373">
        <v>7537500</v>
      </c>
      <c r="O5373">
        <v>7537500</v>
      </c>
      <c r="P5373">
        <v>7537500</v>
      </c>
      <c r="Q5373">
        <v>7537500</v>
      </c>
      <c r="R5373" s="14">
        <f>_xlfn.XLOOKUP(Table2[[#This Row],[LoanID]],Table1[G-L ID],Table1[ManagerCode],-99)</f>
        <v>119</v>
      </c>
      <c r="T5373"/>
    </row>
    <row r="5374" spans="1:20" x14ac:dyDescent="0.25">
      <c r="A5374">
        <v>20170228</v>
      </c>
      <c r="B5374">
        <v>2017</v>
      </c>
      <c r="C5374">
        <v>2</v>
      </c>
      <c r="D5374">
        <v>1</v>
      </c>
      <c r="E5374">
        <v>11410</v>
      </c>
      <c r="F5374">
        <v>112302.67</v>
      </c>
      <c r="G5374">
        <v>0</v>
      </c>
      <c r="H5374">
        <v>0</v>
      </c>
      <c r="I5374">
        <v>0</v>
      </c>
      <c r="J5374">
        <v>0</v>
      </c>
      <c r="K5374">
        <v>0</v>
      </c>
      <c r="L5374">
        <v>12000000</v>
      </c>
      <c r="M5374">
        <v>12000000</v>
      </c>
      <c r="N5374">
        <v>12000000</v>
      </c>
      <c r="O5374">
        <v>12000000</v>
      </c>
      <c r="P5374">
        <v>12000000</v>
      </c>
      <c r="Q5374">
        <v>12000000</v>
      </c>
      <c r="R5374" s="14">
        <f>_xlfn.XLOOKUP(Table2[[#This Row],[LoanID]],Table1[G-L ID],Table1[ManagerCode],-99)</f>
        <v>119</v>
      </c>
      <c r="T5374"/>
    </row>
    <row r="5375" spans="1:20" x14ac:dyDescent="0.25">
      <c r="A5375">
        <v>20170228</v>
      </c>
      <c r="B5375">
        <v>2017</v>
      </c>
      <c r="C5375">
        <v>2</v>
      </c>
      <c r="D5375">
        <v>1</v>
      </c>
      <c r="E5375">
        <v>11440</v>
      </c>
      <c r="F5375">
        <v>156250</v>
      </c>
      <c r="G5375">
        <v>0</v>
      </c>
      <c r="H5375">
        <v>0</v>
      </c>
      <c r="I5375">
        <v>0</v>
      </c>
      <c r="J5375">
        <v>0</v>
      </c>
      <c r="K5375">
        <v>0</v>
      </c>
      <c r="L5375">
        <v>18750000</v>
      </c>
      <c r="M5375">
        <v>18750000</v>
      </c>
      <c r="N5375">
        <v>18750000</v>
      </c>
      <c r="O5375">
        <v>18750000</v>
      </c>
      <c r="P5375">
        <v>18750000</v>
      </c>
      <c r="Q5375">
        <v>18750000</v>
      </c>
      <c r="R5375" s="14">
        <f>_xlfn.XLOOKUP(Table2[[#This Row],[LoanID]],Table1[G-L ID],Table1[ManagerCode],-99)</f>
        <v>183</v>
      </c>
      <c r="T5375"/>
    </row>
    <row r="5376" spans="1:20" x14ac:dyDescent="0.25">
      <c r="A5376">
        <v>20170228</v>
      </c>
      <c r="B5376">
        <v>2017</v>
      </c>
      <c r="C5376">
        <v>2</v>
      </c>
      <c r="D5376">
        <v>1</v>
      </c>
      <c r="E5376">
        <v>11450</v>
      </c>
      <c r="F5376">
        <v>129830.08</v>
      </c>
      <c r="G5376">
        <v>0</v>
      </c>
      <c r="H5376">
        <v>0</v>
      </c>
      <c r="I5376">
        <v>0</v>
      </c>
      <c r="J5376">
        <v>0</v>
      </c>
      <c r="K5376">
        <v>0</v>
      </c>
      <c r="L5376">
        <v>15543421.93</v>
      </c>
      <c r="M5376">
        <v>15543421.93</v>
      </c>
      <c r="N5376">
        <v>15543421.93</v>
      </c>
      <c r="O5376">
        <v>15543421.93</v>
      </c>
      <c r="P5376">
        <v>15543421.93</v>
      </c>
      <c r="Q5376">
        <v>15543421.93</v>
      </c>
      <c r="R5376" s="14">
        <f>_xlfn.XLOOKUP(Table2[[#This Row],[LoanID]],Table1[G-L ID],Table1[ManagerCode],-99)</f>
        <v>119</v>
      </c>
      <c r="T5376"/>
    </row>
    <row r="5377" spans="1:20" x14ac:dyDescent="0.25">
      <c r="A5377">
        <v>20170228</v>
      </c>
      <c r="B5377">
        <v>2017</v>
      </c>
      <c r="C5377">
        <v>2</v>
      </c>
      <c r="D5377">
        <v>1</v>
      </c>
      <c r="E5377">
        <v>11480</v>
      </c>
      <c r="F5377">
        <v>392890.56</v>
      </c>
      <c r="G5377">
        <v>0</v>
      </c>
      <c r="H5377">
        <v>0</v>
      </c>
      <c r="I5377">
        <v>0</v>
      </c>
      <c r="J5377">
        <v>0</v>
      </c>
      <c r="K5377">
        <v>0</v>
      </c>
      <c r="L5377">
        <v>66500000</v>
      </c>
      <c r="M5377">
        <v>66500000</v>
      </c>
      <c r="N5377">
        <v>66500000</v>
      </c>
      <c r="O5377">
        <v>66500000</v>
      </c>
      <c r="P5377">
        <v>70000000</v>
      </c>
      <c r="Q5377">
        <v>70000000</v>
      </c>
      <c r="R5377" s="14">
        <f>_xlfn.XLOOKUP(Table2[[#This Row],[LoanID]],Table1[G-L ID],Table1[ManagerCode],-99)</f>
        <v>103</v>
      </c>
      <c r="T5377"/>
    </row>
    <row r="5378" spans="1:20" x14ac:dyDescent="0.25">
      <c r="A5378">
        <v>20170228</v>
      </c>
      <c r="B5378">
        <v>2017</v>
      </c>
      <c r="C5378">
        <v>2</v>
      </c>
      <c r="D5378">
        <v>1</v>
      </c>
      <c r="E5378">
        <v>11490</v>
      </c>
      <c r="F5378">
        <v>367901.11</v>
      </c>
      <c r="G5378">
        <v>0</v>
      </c>
      <c r="H5378">
        <v>0</v>
      </c>
      <c r="I5378">
        <v>0</v>
      </c>
      <c r="J5378">
        <v>0</v>
      </c>
      <c r="K5378">
        <v>0</v>
      </c>
      <c r="L5378">
        <v>52250000</v>
      </c>
      <c r="M5378">
        <v>52250000</v>
      </c>
      <c r="N5378">
        <v>52250000</v>
      </c>
      <c r="O5378">
        <v>52250000</v>
      </c>
      <c r="P5378">
        <v>55000000</v>
      </c>
      <c r="Q5378">
        <v>55000000</v>
      </c>
      <c r="R5378" s="14">
        <f>_xlfn.XLOOKUP(Table2[[#This Row],[LoanID]],Table1[G-L ID],Table1[ManagerCode],-99)</f>
        <v>103</v>
      </c>
      <c r="T5378"/>
    </row>
    <row r="5379" spans="1:20" x14ac:dyDescent="0.25">
      <c r="A5379">
        <v>20170228</v>
      </c>
      <c r="B5379">
        <v>2017</v>
      </c>
      <c r="C5379">
        <v>2</v>
      </c>
      <c r="D5379">
        <v>1</v>
      </c>
      <c r="E5379">
        <v>11520</v>
      </c>
      <c r="F5379">
        <v>38247.65</v>
      </c>
      <c r="G5379">
        <v>0</v>
      </c>
      <c r="H5379">
        <v>0</v>
      </c>
      <c r="I5379">
        <v>0</v>
      </c>
      <c r="J5379">
        <v>-529896.78</v>
      </c>
      <c r="K5379">
        <v>0</v>
      </c>
      <c r="L5379">
        <v>4748496.88</v>
      </c>
      <c r="M5379">
        <v>5278393.66</v>
      </c>
      <c r="N5379">
        <v>4748496.88</v>
      </c>
      <c r="O5379">
        <v>5278393.66</v>
      </c>
      <c r="P5379">
        <v>4748496.88</v>
      </c>
      <c r="Q5379">
        <v>5278393.66</v>
      </c>
      <c r="R5379" s="14">
        <f>_xlfn.XLOOKUP(Table2[[#This Row],[LoanID]],Table1[G-L ID],Table1[ManagerCode],-99)</f>
        <v>119</v>
      </c>
      <c r="T5379"/>
    </row>
    <row r="5380" spans="1:20" x14ac:dyDescent="0.25">
      <c r="A5380">
        <v>20170228</v>
      </c>
      <c r="B5380">
        <v>2017</v>
      </c>
      <c r="C5380">
        <v>2</v>
      </c>
      <c r="D5380">
        <v>1</v>
      </c>
      <c r="E5380">
        <v>11530</v>
      </c>
      <c r="F5380">
        <v>121329.64</v>
      </c>
      <c r="G5380">
        <v>0</v>
      </c>
      <c r="H5380">
        <v>0</v>
      </c>
      <c r="I5380">
        <v>0</v>
      </c>
      <c r="J5380">
        <v>0</v>
      </c>
      <c r="K5380">
        <v>0</v>
      </c>
      <c r="L5380">
        <v>13239804.41</v>
      </c>
      <c r="M5380">
        <v>13239804.41</v>
      </c>
      <c r="N5380">
        <v>13239804.41</v>
      </c>
      <c r="O5380">
        <v>13239804.41</v>
      </c>
      <c r="P5380">
        <v>13239804.41</v>
      </c>
      <c r="Q5380">
        <v>13239804.41</v>
      </c>
      <c r="R5380" s="14">
        <f>_xlfn.XLOOKUP(Table2[[#This Row],[LoanID]],Table1[G-L ID],Table1[ManagerCode],-99)</f>
        <v>119</v>
      </c>
      <c r="T5380"/>
    </row>
    <row r="5381" spans="1:20" x14ac:dyDescent="0.25">
      <c r="A5381">
        <v>20170228</v>
      </c>
      <c r="B5381">
        <v>2017</v>
      </c>
      <c r="C5381">
        <v>2</v>
      </c>
      <c r="D5381">
        <v>1</v>
      </c>
      <c r="E5381">
        <v>11590</v>
      </c>
      <c r="F5381">
        <v>24976.31</v>
      </c>
      <c r="G5381">
        <v>0</v>
      </c>
      <c r="H5381">
        <v>0</v>
      </c>
      <c r="I5381">
        <v>0</v>
      </c>
      <c r="J5381">
        <v>0</v>
      </c>
      <c r="K5381">
        <v>0</v>
      </c>
      <c r="L5381">
        <v>3507224.44</v>
      </c>
      <c r="M5381">
        <v>3507224.44</v>
      </c>
      <c r="N5381">
        <v>3507224.44</v>
      </c>
      <c r="O5381">
        <v>3507224.44</v>
      </c>
      <c r="P5381">
        <v>3507224.44</v>
      </c>
      <c r="Q5381">
        <v>3507224.44</v>
      </c>
      <c r="R5381" s="14">
        <f>_xlfn.XLOOKUP(Table2[[#This Row],[LoanID]],Table1[G-L ID],Table1[ManagerCode],-99)</f>
        <v>119</v>
      </c>
      <c r="T5381"/>
    </row>
    <row r="5382" spans="1:20" x14ac:dyDescent="0.25">
      <c r="A5382">
        <v>20170228</v>
      </c>
      <c r="B5382">
        <v>2017</v>
      </c>
      <c r="C5382">
        <v>2</v>
      </c>
      <c r="D5382">
        <v>1</v>
      </c>
      <c r="E5382">
        <v>11650</v>
      </c>
      <c r="F5382">
        <v>75000</v>
      </c>
      <c r="G5382">
        <v>0</v>
      </c>
      <c r="H5382">
        <v>0</v>
      </c>
      <c r="I5382">
        <v>0</v>
      </c>
      <c r="J5382">
        <v>0</v>
      </c>
      <c r="K5382">
        <v>0</v>
      </c>
      <c r="L5382">
        <v>11880000</v>
      </c>
      <c r="M5382">
        <v>11880000</v>
      </c>
      <c r="N5382">
        <v>11880000</v>
      </c>
      <c r="O5382">
        <v>11880000</v>
      </c>
      <c r="P5382">
        <v>12000000</v>
      </c>
      <c r="Q5382">
        <v>12000000</v>
      </c>
      <c r="R5382" s="14">
        <f>_xlfn.XLOOKUP(Table2[[#This Row],[LoanID]],Table1[G-L ID],Table1[ManagerCode],-99)</f>
        <v>103</v>
      </c>
      <c r="T5382"/>
    </row>
    <row r="5383" spans="1:20" x14ac:dyDescent="0.25">
      <c r="A5383">
        <v>20170228</v>
      </c>
      <c r="B5383">
        <v>2017</v>
      </c>
      <c r="C5383">
        <v>2</v>
      </c>
      <c r="D5383">
        <v>1</v>
      </c>
      <c r="E5383">
        <v>11680</v>
      </c>
      <c r="F5383">
        <v>57126.559999999998</v>
      </c>
      <c r="G5383">
        <v>0</v>
      </c>
      <c r="H5383">
        <v>0</v>
      </c>
      <c r="I5383">
        <v>0</v>
      </c>
      <c r="J5383">
        <v>0</v>
      </c>
      <c r="K5383">
        <v>0</v>
      </c>
      <c r="L5383">
        <v>6600000</v>
      </c>
      <c r="M5383">
        <v>6600000</v>
      </c>
      <c r="N5383">
        <v>6600000</v>
      </c>
      <c r="O5383">
        <v>6600000</v>
      </c>
      <c r="P5383">
        <v>6600000</v>
      </c>
      <c r="Q5383">
        <v>6600000</v>
      </c>
      <c r="R5383" s="14">
        <f>_xlfn.XLOOKUP(Table2[[#This Row],[LoanID]],Table1[G-L ID],Table1[ManagerCode],-99)</f>
        <v>183</v>
      </c>
      <c r="T5383"/>
    </row>
    <row r="5384" spans="1:20" x14ac:dyDescent="0.25">
      <c r="A5384">
        <v>20170228</v>
      </c>
      <c r="B5384">
        <v>2017</v>
      </c>
      <c r="C5384">
        <v>2</v>
      </c>
      <c r="D5384">
        <v>1</v>
      </c>
      <c r="E5384">
        <v>11690</v>
      </c>
      <c r="F5384">
        <v>142992.67000000001</v>
      </c>
      <c r="G5384">
        <v>0</v>
      </c>
      <c r="H5384">
        <v>0</v>
      </c>
      <c r="I5384">
        <v>0</v>
      </c>
      <c r="J5384">
        <v>0</v>
      </c>
      <c r="K5384">
        <v>0</v>
      </c>
      <c r="L5384">
        <v>17000000</v>
      </c>
      <c r="M5384">
        <v>17000000</v>
      </c>
      <c r="N5384">
        <v>17000000</v>
      </c>
      <c r="O5384">
        <v>17000000</v>
      </c>
      <c r="P5384">
        <v>17000000</v>
      </c>
      <c r="Q5384">
        <v>17000000</v>
      </c>
      <c r="R5384" s="14">
        <f>_xlfn.XLOOKUP(Table2[[#This Row],[LoanID]],Table1[G-L ID],Table1[ManagerCode],-99)</f>
        <v>119</v>
      </c>
      <c r="T5384"/>
    </row>
    <row r="5385" spans="1:20" x14ac:dyDescent="0.25">
      <c r="A5385">
        <v>20170228</v>
      </c>
      <c r="B5385">
        <v>2017</v>
      </c>
      <c r="C5385">
        <v>2</v>
      </c>
      <c r="D5385">
        <v>1</v>
      </c>
      <c r="E5385">
        <v>11710</v>
      </c>
      <c r="F5385">
        <v>121766.33</v>
      </c>
      <c r="G5385">
        <v>0</v>
      </c>
      <c r="H5385">
        <v>0</v>
      </c>
      <c r="I5385">
        <v>0</v>
      </c>
      <c r="J5385">
        <v>0</v>
      </c>
      <c r="K5385">
        <v>15000</v>
      </c>
      <c r="L5385">
        <v>14505000</v>
      </c>
      <c r="M5385">
        <v>14490000</v>
      </c>
      <c r="N5385">
        <v>14505000</v>
      </c>
      <c r="O5385">
        <v>14490000</v>
      </c>
      <c r="P5385">
        <v>14505000</v>
      </c>
      <c r="Q5385">
        <v>14490000</v>
      </c>
      <c r="R5385" s="14">
        <f>_xlfn.XLOOKUP(Table2[[#This Row],[LoanID]],Table1[G-L ID],Table1[ManagerCode],-99)</f>
        <v>119</v>
      </c>
      <c r="T5385"/>
    </row>
    <row r="5386" spans="1:20" x14ac:dyDescent="0.25">
      <c r="A5386">
        <v>20170228</v>
      </c>
      <c r="B5386">
        <v>2017</v>
      </c>
      <c r="C5386">
        <v>2</v>
      </c>
      <c r="D5386">
        <v>1</v>
      </c>
      <c r="E5386">
        <v>11720</v>
      </c>
      <c r="F5386">
        <v>129166.67</v>
      </c>
      <c r="G5386">
        <v>0</v>
      </c>
      <c r="H5386">
        <v>0</v>
      </c>
      <c r="I5386">
        <v>0</v>
      </c>
      <c r="J5386">
        <v>0</v>
      </c>
      <c r="K5386">
        <v>0</v>
      </c>
      <c r="L5386">
        <v>19800000</v>
      </c>
      <c r="M5386">
        <v>19800000</v>
      </c>
      <c r="N5386">
        <v>19800000</v>
      </c>
      <c r="O5386">
        <v>19800000</v>
      </c>
      <c r="P5386">
        <v>20000000</v>
      </c>
      <c r="Q5386">
        <v>20000000</v>
      </c>
      <c r="R5386" s="14">
        <f>_xlfn.XLOOKUP(Table2[[#This Row],[LoanID]],Table1[G-L ID],Table1[ManagerCode],-99)</f>
        <v>103</v>
      </c>
      <c r="T5386"/>
    </row>
    <row r="5387" spans="1:20" x14ac:dyDescent="0.25">
      <c r="A5387">
        <v>20170228</v>
      </c>
      <c r="B5387">
        <v>2017</v>
      </c>
      <c r="C5387">
        <v>2</v>
      </c>
      <c r="D5387">
        <v>1</v>
      </c>
      <c r="E5387">
        <v>11730</v>
      </c>
      <c r="F5387">
        <v>53348.21</v>
      </c>
      <c r="G5387">
        <v>0</v>
      </c>
      <c r="H5387">
        <v>0</v>
      </c>
      <c r="I5387">
        <v>0</v>
      </c>
      <c r="J5387">
        <v>750000</v>
      </c>
      <c r="K5387">
        <v>8043</v>
      </c>
      <c r="L5387">
        <v>5734014</v>
      </c>
      <c r="M5387">
        <v>4975971</v>
      </c>
      <c r="N5387">
        <v>5734014</v>
      </c>
      <c r="O5387">
        <v>4975971</v>
      </c>
      <c r="P5387">
        <v>5734014</v>
      </c>
      <c r="Q5387">
        <v>4975971</v>
      </c>
      <c r="R5387" s="14">
        <f>_xlfn.XLOOKUP(Table2[[#This Row],[LoanID]],Table1[G-L ID],Table1[ManagerCode],-99)</f>
        <v>119</v>
      </c>
      <c r="T5387"/>
    </row>
    <row r="5388" spans="1:20" x14ac:dyDescent="0.25">
      <c r="A5388">
        <v>20170228</v>
      </c>
      <c r="B5388">
        <v>2017</v>
      </c>
      <c r="C5388">
        <v>2</v>
      </c>
      <c r="D5388">
        <v>1</v>
      </c>
      <c r="E5388">
        <v>11750</v>
      </c>
      <c r="F5388">
        <v>198523.12</v>
      </c>
      <c r="G5388">
        <v>118194.74</v>
      </c>
      <c r="H5388">
        <v>0</v>
      </c>
      <c r="I5388">
        <v>0</v>
      </c>
      <c r="J5388">
        <v>-1625983.42</v>
      </c>
      <c r="K5388">
        <v>0</v>
      </c>
      <c r="L5388">
        <v>45226097.240000002</v>
      </c>
      <c r="M5388">
        <v>46970275.399999999</v>
      </c>
      <c r="N5388">
        <v>45226097.240000002</v>
      </c>
      <c r="O5388">
        <v>46970275.399999999</v>
      </c>
      <c r="P5388">
        <v>45226097.240000002</v>
      </c>
      <c r="Q5388">
        <v>46970275.399999999</v>
      </c>
      <c r="R5388" s="14">
        <f>_xlfn.XLOOKUP(Table2[[#This Row],[LoanID]],Table1[G-L ID],Table1[ManagerCode],-99)</f>
        <v>183</v>
      </c>
      <c r="T5388"/>
    </row>
    <row r="5389" spans="1:20" x14ac:dyDescent="0.25">
      <c r="A5389">
        <v>20170228</v>
      </c>
      <c r="B5389">
        <v>2017</v>
      </c>
      <c r="C5389">
        <v>2</v>
      </c>
      <c r="D5389">
        <v>1</v>
      </c>
      <c r="E5389">
        <v>11810</v>
      </c>
      <c r="F5389">
        <v>47409.49</v>
      </c>
      <c r="G5389">
        <v>0</v>
      </c>
      <c r="H5389">
        <v>0</v>
      </c>
      <c r="I5389">
        <v>0</v>
      </c>
      <c r="J5389">
        <v>0</v>
      </c>
      <c r="K5389">
        <v>12749.48</v>
      </c>
      <c r="L5389">
        <v>9173043.4700000007</v>
      </c>
      <c r="M5389">
        <v>9266875.8800000008</v>
      </c>
      <c r="N5389">
        <v>9173043.4700000007</v>
      </c>
      <c r="O5389">
        <v>9266875.8800000008</v>
      </c>
      <c r="P5389">
        <v>9265700.7100000009</v>
      </c>
      <c r="Q5389">
        <v>9252951.2300000004</v>
      </c>
      <c r="R5389" s="14">
        <f>_xlfn.XLOOKUP(Table2[[#This Row],[LoanID]],Table1[G-L ID],Table1[ManagerCode],-99)</f>
        <v>103</v>
      </c>
      <c r="T5389"/>
    </row>
    <row r="5390" spans="1:20" x14ac:dyDescent="0.25">
      <c r="A5390">
        <v>20170228</v>
      </c>
      <c r="B5390">
        <v>2017</v>
      </c>
      <c r="C5390">
        <v>2</v>
      </c>
      <c r="D5390">
        <v>1</v>
      </c>
      <c r="E5390">
        <v>11830</v>
      </c>
      <c r="F5390">
        <v>76735.289999999994</v>
      </c>
      <c r="G5390">
        <v>0</v>
      </c>
      <c r="H5390">
        <v>0</v>
      </c>
      <c r="I5390">
        <v>0</v>
      </c>
      <c r="J5390">
        <v>769048.34</v>
      </c>
      <c r="K5390">
        <v>0</v>
      </c>
      <c r="L5390">
        <v>8238586.2800000003</v>
      </c>
      <c r="M5390">
        <v>7469537.9400000004</v>
      </c>
      <c r="N5390">
        <v>8238586.2800000003</v>
      </c>
      <c r="O5390">
        <v>7469537.9400000004</v>
      </c>
      <c r="P5390">
        <v>8238586.2800000003</v>
      </c>
      <c r="Q5390">
        <v>7469537.9400000004</v>
      </c>
      <c r="R5390" s="14">
        <f>_xlfn.XLOOKUP(Table2[[#This Row],[LoanID]],Table1[G-L ID],Table1[ManagerCode],-99)</f>
        <v>119</v>
      </c>
      <c r="T5390"/>
    </row>
    <row r="5391" spans="1:20" x14ac:dyDescent="0.25">
      <c r="A5391">
        <v>20170228</v>
      </c>
      <c r="B5391">
        <v>2017</v>
      </c>
      <c r="C5391">
        <v>2</v>
      </c>
      <c r="D5391">
        <v>1</v>
      </c>
      <c r="E5391">
        <v>11850</v>
      </c>
      <c r="F5391">
        <v>97500</v>
      </c>
      <c r="G5391">
        <v>0</v>
      </c>
      <c r="H5391">
        <v>0</v>
      </c>
      <c r="I5391">
        <v>0</v>
      </c>
      <c r="J5391">
        <v>0</v>
      </c>
      <c r="K5391">
        <v>0</v>
      </c>
      <c r="L5391">
        <v>9000000</v>
      </c>
      <c r="M5391">
        <v>9000000</v>
      </c>
      <c r="N5391">
        <v>9000000</v>
      </c>
      <c r="O5391">
        <v>9000000</v>
      </c>
      <c r="P5391">
        <v>9000000</v>
      </c>
      <c r="Q5391">
        <v>9000000</v>
      </c>
      <c r="R5391" s="14">
        <f>_xlfn.XLOOKUP(Table2[[#This Row],[LoanID]],Table1[G-L ID],Table1[ManagerCode],-99)</f>
        <v>183</v>
      </c>
      <c r="T5391"/>
    </row>
    <row r="5392" spans="1:20" x14ac:dyDescent="0.25">
      <c r="A5392">
        <v>20170228</v>
      </c>
      <c r="B5392">
        <v>2017</v>
      </c>
      <c r="C5392">
        <v>2</v>
      </c>
      <c r="D5392">
        <v>1</v>
      </c>
      <c r="E5392">
        <v>11980</v>
      </c>
      <c r="F5392">
        <v>70325.22</v>
      </c>
      <c r="G5392">
        <v>0</v>
      </c>
      <c r="H5392">
        <v>0</v>
      </c>
      <c r="I5392">
        <v>0</v>
      </c>
      <c r="J5392">
        <v>0</v>
      </c>
      <c r="K5392">
        <v>0</v>
      </c>
      <c r="L5392">
        <v>7400000</v>
      </c>
      <c r="M5392">
        <v>7400000</v>
      </c>
      <c r="N5392">
        <v>7400000</v>
      </c>
      <c r="O5392">
        <v>7400000</v>
      </c>
      <c r="P5392">
        <v>7400000</v>
      </c>
      <c r="Q5392">
        <v>7400000</v>
      </c>
      <c r="R5392" s="14">
        <f>_xlfn.XLOOKUP(Table2[[#This Row],[LoanID]],Table1[G-L ID],Table1[ManagerCode],-99)</f>
        <v>119</v>
      </c>
      <c r="T5392"/>
    </row>
    <row r="5393" spans="1:20" x14ac:dyDescent="0.25">
      <c r="A5393">
        <v>20170228</v>
      </c>
      <c r="B5393">
        <v>2017</v>
      </c>
      <c r="C5393">
        <v>2</v>
      </c>
      <c r="D5393">
        <v>1</v>
      </c>
      <c r="E5393">
        <v>11990</v>
      </c>
      <c r="F5393">
        <v>108060.83</v>
      </c>
      <c r="G5393">
        <v>0</v>
      </c>
      <c r="H5393">
        <v>0</v>
      </c>
      <c r="I5393">
        <v>0</v>
      </c>
      <c r="J5393">
        <v>0</v>
      </c>
      <c r="K5393">
        <v>0</v>
      </c>
      <c r="L5393">
        <v>14805000</v>
      </c>
      <c r="M5393">
        <v>14805000</v>
      </c>
      <c r="N5393">
        <v>14805000</v>
      </c>
      <c r="O5393">
        <v>14805000</v>
      </c>
      <c r="P5393">
        <v>15000000</v>
      </c>
      <c r="Q5393">
        <v>15000000</v>
      </c>
      <c r="R5393" s="14">
        <f>_xlfn.XLOOKUP(Table2[[#This Row],[LoanID]],Table1[G-L ID],Table1[ManagerCode],-99)</f>
        <v>220</v>
      </c>
      <c r="T5393"/>
    </row>
    <row r="5394" spans="1:20" x14ac:dyDescent="0.25">
      <c r="A5394">
        <v>20170228</v>
      </c>
      <c r="B5394">
        <v>2017</v>
      </c>
      <c r="C5394">
        <v>2</v>
      </c>
      <c r="D5394">
        <v>1</v>
      </c>
      <c r="E5394">
        <v>12010</v>
      </c>
      <c r="F5394">
        <v>214117.01</v>
      </c>
      <c r="G5394">
        <v>0</v>
      </c>
      <c r="H5394">
        <v>0</v>
      </c>
      <c r="I5394">
        <v>0</v>
      </c>
      <c r="J5394">
        <v>1226869.77</v>
      </c>
      <c r="K5394">
        <v>0</v>
      </c>
      <c r="L5394">
        <v>21769072.890000001</v>
      </c>
      <c r="M5394">
        <v>20542203.120000001</v>
      </c>
      <c r="N5394">
        <v>21769072.890000001</v>
      </c>
      <c r="O5394">
        <v>20542203.120000001</v>
      </c>
      <c r="P5394">
        <v>21769072.890000001</v>
      </c>
      <c r="Q5394">
        <v>20542203.120000001</v>
      </c>
      <c r="R5394" s="14">
        <f>_xlfn.XLOOKUP(Table2[[#This Row],[LoanID]],Table1[G-L ID],Table1[ManagerCode],-99)</f>
        <v>119</v>
      </c>
      <c r="T5394"/>
    </row>
    <row r="5395" spans="1:20" x14ac:dyDescent="0.25">
      <c r="A5395">
        <v>20170228</v>
      </c>
      <c r="B5395">
        <v>2017</v>
      </c>
      <c r="C5395">
        <v>2</v>
      </c>
      <c r="D5395">
        <v>1</v>
      </c>
      <c r="E5395">
        <v>12030</v>
      </c>
      <c r="F5395">
        <v>50219.17</v>
      </c>
      <c r="G5395">
        <v>0</v>
      </c>
      <c r="H5395">
        <v>0</v>
      </c>
      <c r="I5395">
        <v>0</v>
      </c>
      <c r="J5395">
        <v>0</v>
      </c>
      <c r="K5395">
        <v>0</v>
      </c>
      <c r="L5395">
        <v>6375000</v>
      </c>
      <c r="M5395">
        <v>6375000</v>
      </c>
      <c r="N5395">
        <v>6375000</v>
      </c>
      <c r="O5395">
        <v>6375000</v>
      </c>
      <c r="P5395">
        <v>6375000</v>
      </c>
      <c r="Q5395">
        <v>6375000</v>
      </c>
      <c r="R5395" s="14">
        <f>_xlfn.XLOOKUP(Table2[[#This Row],[LoanID]],Table1[G-L ID],Table1[ManagerCode],-99)</f>
        <v>119</v>
      </c>
      <c r="T5395"/>
    </row>
    <row r="5396" spans="1:20" x14ac:dyDescent="0.25">
      <c r="A5396">
        <v>20170228</v>
      </c>
      <c r="B5396">
        <v>2017</v>
      </c>
      <c r="C5396">
        <v>2</v>
      </c>
      <c r="D5396">
        <v>1</v>
      </c>
      <c r="E5396">
        <v>12180</v>
      </c>
      <c r="F5396">
        <v>249188.33</v>
      </c>
      <c r="G5396">
        <v>0</v>
      </c>
      <c r="H5396">
        <v>0</v>
      </c>
      <c r="I5396">
        <v>0</v>
      </c>
      <c r="J5396">
        <v>0</v>
      </c>
      <c r="K5396">
        <v>0</v>
      </c>
      <c r="L5396">
        <v>35000000</v>
      </c>
      <c r="M5396">
        <v>35000000</v>
      </c>
      <c r="N5396">
        <v>35000000</v>
      </c>
      <c r="O5396">
        <v>35000000</v>
      </c>
      <c r="P5396">
        <v>35000000</v>
      </c>
      <c r="Q5396">
        <v>35000000</v>
      </c>
      <c r="R5396" s="14">
        <f>_xlfn.XLOOKUP(Table2[[#This Row],[LoanID]],Table1[G-L ID],Table1[ManagerCode],-99)</f>
        <v>220</v>
      </c>
      <c r="T5396"/>
    </row>
    <row r="5397" spans="1:20" x14ac:dyDescent="0.25">
      <c r="A5397">
        <v>20170228</v>
      </c>
      <c r="B5397">
        <v>2017</v>
      </c>
      <c r="C5397">
        <v>2</v>
      </c>
      <c r="D5397">
        <v>1</v>
      </c>
      <c r="E5397">
        <v>12190</v>
      </c>
      <c r="F5397">
        <v>277424</v>
      </c>
      <c r="G5397">
        <v>0</v>
      </c>
      <c r="H5397">
        <v>0</v>
      </c>
      <c r="I5397">
        <v>0</v>
      </c>
      <c r="J5397">
        <v>0</v>
      </c>
      <c r="K5397">
        <v>0</v>
      </c>
      <c r="L5397">
        <v>34383117</v>
      </c>
      <c r="M5397">
        <v>34383117</v>
      </c>
      <c r="N5397">
        <v>34383117</v>
      </c>
      <c r="O5397">
        <v>34383117</v>
      </c>
      <c r="P5397">
        <v>34383117</v>
      </c>
      <c r="Q5397">
        <v>34383117</v>
      </c>
      <c r="R5397" s="14">
        <f>_xlfn.XLOOKUP(Table2[[#This Row],[LoanID]],Table1[G-L ID],Table1[ManagerCode],-99)</f>
        <v>220</v>
      </c>
      <c r="T5397"/>
    </row>
    <row r="5398" spans="1:20" x14ac:dyDescent="0.25">
      <c r="A5398">
        <v>20170228</v>
      </c>
      <c r="B5398">
        <v>2017</v>
      </c>
      <c r="C5398">
        <v>2</v>
      </c>
      <c r="D5398">
        <v>1</v>
      </c>
      <c r="E5398">
        <v>12220</v>
      </c>
      <c r="F5398">
        <v>175040.07</v>
      </c>
      <c r="G5398">
        <v>0</v>
      </c>
      <c r="H5398">
        <v>0</v>
      </c>
      <c r="I5398">
        <v>0</v>
      </c>
      <c r="J5398">
        <v>0</v>
      </c>
      <c r="K5398">
        <v>0</v>
      </c>
      <c r="L5398">
        <v>54500000</v>
      </c>
      <c r="M5398">
        <v>54500000</v>
      </c>
      <c r="N5398">
        <v>27250000</v>
      </c>
      <c r="O5398">
        <v>27250000</v>
      </c>
      <c r="P5398">
        <v>54500000</v>
      </c>
      <c r="Q5398">
        <v>54500000</v>
      </c>
      <c r="R5398" s="14">
        <f>_xlfn.XLOOKUP(Table2[[#This Row],[LoanID]],Table1[G-L ID],Table1[ManagerCode],-99)</f>
        <v>183</v>
      </c>
      <c r="T5398"/>
    </row>
    <row r="5399" spans="1:20" x14ac:dyDescent="0.25">
      <c r="A5399">
        <v>20170228</v>
      </c>
      <c r="B5399">
        <v>2017</v>
      </c>
      <c r="C5399">
        <v>2</v>
      </c>
      <c r="D5399">
        <v>1</v>
      </c>
      <c r="E5399">
        <v>12230</v>
      </c>
      <c r="F5399">
        <v>112858.56</v>
      </c>
      <c r="G5399">
        <v>0</v>
      </c>
      <c r="H5399">
        <v>0</v>
      </c>
      <c r="I5399">
        <v>0</v>
      </c>
      <c r="J5399">
        <v>0</v>
      </c>
      <c r="K5399">
        <v>0</v>
      </c>
      <c r="L5399">
        <v>20472262.73</v>
      </c>
      <c r="M5399">
        <v>20472262.73</v>
      </c>
      <c r="N5399">
        <v>13956810.23</v>
      </c>
      <c r="O5399">
        <v>13956810.23</v>
      </c>
      <c r="P5399">
        <v>20472262.73</v>
      </c>
      <c r="Q5399">
        <v>20472262.73</v>
      </c>
      <c r="R5399" s="14">
        <f>_xlfn.XLOOKUP(Table2[[#This Row],[LoanID]],Table1[G-L ID],Table1[ManagerCode],-99)</f>
        <v>183</v>
      </c>
      <c r="T5399"/>
    </row>
    <row r="5400" spans="1:20" x14ac:dyDescent="0.25">
      <c r="A5400">
        <v>20170228</v>
      </c>
      <c r="B5400">
        <v>2017</v>
      </c>
      <c r="C5400">
        <v>2</v>
      </c>
      <c r="D5400">
        <v>1</v>
      </c>
      <c r="E5400">
        <v>12240</v>
      </c>
      <c r="F5400">
        <v>0</v>
      </c>
      <c r="G5400">
        <v>1681442.03</v>
      </c>
      <c r="H5400">
        <v>0</v>
      </c>
      <c r="I5400">
        <v>0</v>
      </c>
      <c r="J5400">
        <v>0</v>
      </c>
      <c r="K5400">
        <v>0</v>
      </c>
      <c r="L5400">
        <v>151140856.59999999</v>
      </c>
      <c r="M5400">
        <v>152822298.59999999</v>
      </c>
      <c r="N5400">
        <v>151140856.59999999</v>
      </c>
      <c r="O5400">
        <v>152822298.59999999</v>
      </c>
      <c r="P5400">
        <v>151140856.59999999</v>
      </c>
      <c r="Q5400">
        <v>152822298.59999999</v>
      </c>
      <c r="R5400" s="14">
        <f>_xlfn.XLOOKUP(Table2[[#This Row],[LoanID]],Table1[G-L ID],Table1[ManagerCode],-99)</f>
        <v>183</v>
      </c>
      <c r="T5400"/>
    </row>
    <row r="5401" spans="1:20" x14ac:dyDescent="0.25">
      <c r="A5401">
        <v>20170228</v>
      </c>
      <c r="B5401">
        <v>2017</v>
      </c>
      <c r="C5401">
        <v>2</v>
      </c>
      <c r="D5401">
        <v>1</v>
      </c>
      <c r="E5401">
        <v>12250</v>
      </c>
      <c r="F5401">
        <v>89236.21</v>
      </c>
      <c r="G5401">
        <v>0</v>
      </c>
      <c r="H5401">
        <v>0</v>
      </c>
      <c r="I5401">
        <v>0</v>
      </c>
      <c r="J5401">
        <v>-122924.21</v>
      </c>
      <c r="K5401">
        <v>0</v>
      </c>
      <c r="L5401">
        <v>10525000</v>
      </c>
      <c r="M5401">
        <v>10647924.210000001</v>
      </c>
      <c r="N5401">
        <v>10525000</v>
      </c>
      <c r="O5401">
        <v>10647924.210000001</v>
      </c>
      <c r="P5401">
        <v>10525000</v>
      </c>
      <c r="Q5401">
        <v>10647924.210000001</v>
      </c>
      <c r="R5401" s="14">
        <f>_xlfn.XLOOKUP(Table2[[#This Row],[LoanID]],Table1[G-L ID],Table1[ManagerCode],-99)</f>
        <v>119</v>
      </c>
      <c r="T5401"/>
    </row>
    <row r="5402" spans="1:20" x14ac:dyDescent="0.25">
      <c r="A5402">
        <v>20170228</v>
      </c>
      <c r="B5402">
        <v>2017</v>
      </c>
      <c r="C5402">
        <v>2</v>
      </c>
      <c r="D5402">
        <v>1</v>
      </c>
      <c r="E5402">
        <v>12260</v>
      </c>
      <c r="F5402">
        <v>177862.5</v>
      </c>
      <c r="G5402">
        <v>0</v>
      </c>
      <c r="H5402">
        <v>665000</v>
      </c>
      <c r="I5402">
        <v>0</v>
      </c>
      <c r="J5402">
        <v>-45000000</v>
      </c>
      <c r="K5402">
        <v>0</v>
      </c>
      <c r="L5402">
        <v>0</v>
      </c>
      <c r="M5402">
        <v>45000000</v>
      </c>
      <c r="N5402">
        <v>0</v>
      </c>
      <c r="O5402">
        <v>45000000</v>
      </c>
      <c r="P5402">
        <v>0</v>
      </c>
      <c r="Q5402">
        <v>45000000</v>
      </c>
      <c r="R5402" s="14">
        <f>_xlfn.XLOOKUP(Table2[[#This Row],[LoanID]],Table1[G-L ID],Table1[ManagerCode],-99)</f>
        <v>119</v>
      </c>
      <c r="T5402"/>
    </row>
    <row r="5403" spans="1:20" x14ac:dyDescent="0.25">
      <c r="A5403">
        <v>20170228</v>
      </c>
      <c r="B5403">
        <v>2017</v>
      </c>
      <c r="C5403">
        <v>2</v>
      </c>
      <c r="D5403">
        <v>1</v>
      </c>
      <c r="E5403">
        <v>12390</v>
      </c>
      <c r="F5403">
        <v>0</v>
      </c>
      <c r="G5403">
        <v>36254.92</v>
      </c>
      <c r="H5403">
        <v>1550000</v>
      </c>
      <c r="I5403">
        <v>0</v>
      </c>
      <c r="J5403">
        <v>-4728901.71</v>
      </c>
      <c r="K5403">
        <v>0</v>
      </c>
      <c r="L5403">
        <v>0</v>
      </c>
      <c r="M5403">
        <v>4765156.63</v>
      </c>
      <c r="N5403">
        <v>0</v>
      </c>
      <c r="O5403">
        <v>4765156.63</v>
      </c>
      <c r="P5403">
        <v>0</v>
      </c>
      <c r="Q5403">
        <v>4765156.63</v>
      </c>
      <c r="R5403" s="14">
        <f>_xlfn.XLOOKUP(Table2[[#This Row],[LoanID]],Table1[G-L ID],Table1[ManagerCode],-99)</f>
        <v>183</v>
      </c>
      <c r="T5403"/>
    </row>
    <row r="5404" spans="1:20" x14ac:dyDescent="0.25">
      <c r="A5404">
        <v>20170228</v>
      </c>
      <c r="B5404">
        <v>2017</v>
      </c>
      <c r="C5404">
        <v>2</v>
      </c>
      <c r="D5404">
        <v>1</v>
      </c>
      <c r="E5404">
        <v>12410</v>
      </c>
      <c r="F5404">
        <v>652301.28</v>
      </c>
      <c r="G5404">
        <v>250833.33</v>
      </c>
      <c r="H5404">
        <v>0</v>
      </c>
      <c r="I5404">
        <v>0</v>
      </c>
      <c r="J5404">
        <v>0</v>
      </c>
      <c r="K5404">
        <v>0</v>
      </c>
      <c r="L5404">
        <v>74497500</v>
      </c>
      <c r="M5404">
        <v>74745825.010000005</v>
      </c>
      <c r="N5404">
        <v>74497500</v>
      </c>
      <c r="O5404">
        <v>74745825.010000005</v>
      </c>
      <c r="P5404">
        <v>75250000</v>
      </c>
      <c r="Q5404">
        <v>75500833.329999998</v>
      </c>
      <c r="R5404" s="14">
        <f>_xlfn.XLOOKUP(Table2[[#This Row],[LoanID]],Table1[G-L ID],Table1[ManagerCode],-99)</f>
        <v>103</v>
      </c>
      <c r="T5404"/>
    </row>
    <row r="5405" spans="1:20" x14ac:dyDescent="0.25">
      <c r="A5405">
        <v>20170228</v>
      </c>
      <c r="B5405">
        <v>2017</v>
      </c>
      <c r="C5405">
        <v>2</v>
      </c>
      <c r="D5405">
        <v>1</v>
      </c>
      <c r="E5405">
        <v>12420</v>
      </c>
      <c r="F5405">
        <v>1196.9000000000001</v>
      </c>
      <c r="G5405">
        <v>0</v>
      </c>
      <c r="H5405">
        <v>0</v>
      </c>
      <c r="I5405">
        <v>0</v>
      </c>
      <c r="J5405">
        <v>-58905</v>
      </c>
      <c r="K5405">
        <v>0</v>
      </c>
      <c r="L5405">
        <v>166901</v>
      </c>
      <c r="M5405">
        <v>225806</v>
      </c>
      <c r="N5405">
        <v>166901</v>
      </c>
      <c r="O5405">
        <v>225806</v>
      </c>
      <c r="P5405">
        <v>166901</v>
      </c>
      <c r="Q5405">
        <v>225806</v>
      </c>
      <c r="R5405" s="14">
        <f>_xlfn.XLOOKUP(Table2[[#This Row],[LoanID]],Table1[G-L ID],Table1[ManagerCode],-99)</f>
        <v>103</v>
      </c>
      <c r="T5405"/>
    </row>
    <row r="5406" spans="1:20" x14ac:dyDescent="0.25">
      <c r="A5406">
        <v>20170228</v>
      </c>
      <c r="B5406">
        <v>2017</v>
      </c>
      <c r="C5406">
        <v>2</v>
      </c>
      <c r="D5406">
        <v>1</v>
      </c>
      <c r="E5406">
        <v>13020</v>
      </c>
      <c r="F5406">
        <v>0</v>
      </c>
      <c r="G5406">
        <v>0</v>
      </c>
      <c r="H5406">
        <v>0</v>
      </c>
      <c r="I5406">
        <v>0</v>
      </c>
      <c r="J5406">
        <v>0</v>
      </c>
      <c r="K5406">
        <v>0</v>
      </c>
      <c r="L5406">
        <v>0.01</v>
      </c>
      <c r="M5406">
        <v>0.01</v>
      </c>
      <c r="N5406">
        <v>0.01</v>
      </c>
      <c r="O5406">
        <v>0.01</v>
      </c>
      <c r="P5406">
        <v>0.01</v>
      </c>
      <c r="Q5406">
        <v>0.01</v>
      </c>
      <c r="R5406" s="14">
        <f>_xlfn.XLOOKUP(Table2[[#This Row],[LoanID]],Table1[G-L ID],Table1[ManagerCode],-99)</f>
        <v>103</v>
      </c>
      <c r="T5406"/>
    </row>
    <row r="5407" spans="1:20" x14ac:dyDescent="0.25">
      <c r="A5407">
        <v>20170228</v>
      </c>
      <c r="B5407">
        <v>2017</v>
      </c>
      <c r="C5407">
        <v>2</v>
      </c>
      <c r="D5407">
        <v>1</v>
      </c>
      <c r="E5407">
        <v>13630</v>
      </c>
      <c r="F5407">
        <v>218506.94</v>
      </c>
      <c r="G5407">
        <v>0</v>
      </c>
      <c r="H5407">
        <v>0</v>
      </c>
      <c r="I5407">
        <v>0</v>
      </c>
      <c r="J5407">
        <v>0</v>
      </c>
      <c r="K5407">
        <v>0</v>
      </c>
      <c r="L5407">
        <v>33569646.990000002</v>
      </c>
      <c r="M5407">
        <v>33569646.990000002</v>
      </c>
      <c r="N5407">
        <v>33569646.990000002</v>
      </c>
      <c r="O5407">
        <v>33569646.990000002</v>
      </c>
      <c r="P5407">
        <v>35000000</v>
      </c>
      <c r="Q5407">
        <v>35000000</v>
      </c>
      <c r="R5407" s="14">
        <f>_xlfn.XLOOKUP(Table2[[#This Row],[LoanID]],Table1[G-L ID],Table1[ManagerCode],-99)</f>
        <v>298</v>
      </c>
      <c r="T5407"/>
    </row>
    <row r="5408" spans="1:20" x14ac:dyDescent="0.25">
      <c r="A5408">
        <v>20170228</v>
      </c>
      <c r="B5408">
        <v>2017</v>
      </c>
      <c r="C5408">
        <v>2</v>
      </c>
      <c r="D5408">
        <v>1</v>
      </c>
      <c r="E5408">
        <v>13650</v>
      </c>
      <c r="F5408">
        <v>223888.89</v>
      </c>
      <c r="G5408">
        <v>0</v>
      </c>
      <c r="H5408">
        <v>0</v>
      </c>
      <c r="I5408">
        <v>0</v>
      </c>
      <c r="J5408">
        <v>0</v>
      </c>
      <c r="K5408">
        <v>0</v>
      </c>
      <c r="L5408">
        <v>40000000</v>
      </c>
      <c r="M5408">
        <v>40000000</v>
      </c>
      <c r="N5408">
        <v>40000000</v>
      </c>
      <c r="O5408">
        <v>40000000</v>
      </c>
      <c r="P5408">
        <v>40000000</v>
      </c>
      <c r="Q5408">
        <v>40000000</v>
      </c>
      <c r="R5408" s="14">
        <f>_xlfn.XLOOKUP(Table2[[#This Row],[LoanID]],Table1[G-L ID],Table1[ManagerCode],-99)</f>
        <v>298</v>
      </c>
      <c r="T5408"/>
    </row>
    <row r="5409" spans="1:20" x14ac:dyDescent="0.25">
      <c r="A5409">
        <v>20170228</v>
      </c>
      <c r="B5409">
        <v>2017</v>
      </c>
      <c r="C5409">
        <v>2</v>
      </c>
      <c r="D5409">
        <v>1</v>
      </c>
      <c r="E5409">
        <v>13660</v>
      </c>
      <c r="F5409">
        <v>117972.22</v>
      </c>
      <c r="G5409">
        <v>0</v>
      </c>
      <c r="H5409">
        <v>0</v>
      </c>
      <c r="I5409">
        <v>0</v>
      </c>
      <c r="J5409">
        <v>0</v>
      </c>
      <c r="K5409">
        <v>0</v>
      </c>
      <c r="L5409">
        <v>20000000</v>
      </c>
      <c r="M5409">
        <v>20000000</v>
      </c>
      <c r="N5409">
        <v>20000000</v>
      </c>
      <c r="O5409">
        <v>20000000</v>
      </c>
      <c r="P5409">
        <v>20000000</v>
      </c>
      <c r="Q5409">
        <v>20000000</v>
      </c>
      <c r="R5409" s="14">
        <f>_xlfn.XLOOKUP(Table2[[#This Row],[LoanID]],Table1[G-L ID],Table1[ManagerCode],-99)</f>
        <v>298</v>
      </c>
      <c r="T5409"/>
    </row>
    <row r="5410" spans="1:20" x14ac:dyDescent="0.25">
      <c r="A5410">
        <v>20170228</v>
      </c>
      <c r="B5410">
        <v>2017</v>
      </c>
      <c r="C5410">
        <v>2</v>
      </c>
      <c r="D5410">
        <v>1</v>
      </c>
      <c r="E5410">
        <v>13670</v>
      </c>
      <c r="F5410">
        <v>299279.17</v>
      </c>
      <c r="G5410">
        <v>0</v>
      </c>
      <c r="H5410">
        <v>0</v>
      </c>
      <c r="I5410">
        <v>0</v>
      </c>
      <c r="J5410">
        <v>0</v>
      </c>
      <c r="K5410">
        <v>0</v>
      </c>
      <c r="L5410">
        <v>37322264.049999997</v>
      </c>
      <c r="M5410">
        <v>37322264.049999997</v>
      </c>
      <c r="N5410">
        <v>37322264.049999997</v>
      </c>
      <c r="O5410">
        <v>37322264.049999997</v>
      </c>
      <c r="P5410">
        <v>37500000</v>
      </c>
      <c r="Q5410">
        <v>37500000</v>
      </c>
      <c r="R5410" s="14">
        <f>_xlfn.XLOOKUP(Table2[[#This Row],[LoanID]],Table1[G-L ID],Table1[ManagerCode],-99)</f>
        <v>298</v>
      </c>
      <c r="T5410"/>
    </row>
    <row r="5411" spans="1:20" x14ac:dyDescent="0.25">
      <c r="A5411">
        <v>20170228</v>
      </c>
      <c r="B5411">
        <v>2017</v>
      </c>
      <c r="C5411">
        <v>2</v>
      </c>
      <c r="D5411">
        <v>1</v>
      </c>
      <c r="E5411">
        <v>13680</v>
      </c>
      <c r="F5411">
        <v>140468.75</v>
      </c>
      <c r="G5411">
        <v>0</v>
      </c>
      <c r="H5411">
        <v>0</v>
      </c>
      <c r="I5411">
        <v>0</v>
      </c>
      <c r="J5411">
        <v>0</v>
      </c>
      <c r="K5411">
        <v>0</v>
      </c>
      <c r="L5411">
        <v>17989534.25</v>
      </c>
      <c r="M5411">
        <v>17989534.25</v>
      </c>
      <c r="N5411">
        <v>17989534.25</v>
      </c>
      <c r="O5411">
        <v>17989534.25</v>
      </c>
      <c r="P5411">
        <v>18000000</v>
      </c>
      <c r="Q5411">
        <v>18000000</v>
      </c>
      <c r="R5411" s="14">
        <f>_xlfn.XLOOKUP(Table2[[#This Row],[LoanID]],Table1[G-L ID],Table1[ManagerCode],-99)</f>
        <v>298</v>
      </c>
      <c r="T5411"/>
    </row>
    <row r="5412" spans="1:20" x14ac:dyDescent="0.25">
      <c r="A5412">
        <v>20170228</v>
      </c>
      <c r="B5412">
        <v>2017</v>
      </c>
      <c r="C5412">
        <v>2</v>
      </c>
      <c r="D5412">
        <v>1</v>
      </c>
      <c r="E5412">
        <v>13690</v>
      </c>
      <c r="F5412">
        <v>133472.22</v>
      </c>
      <c r="G5412">
        <v>0</v>
      </c>
      <c r="H5412">
        <v>0</v>
      </c>
      <c r="I5412">
        <v>0</v>
      </c>
      <c r="J5412">
        <v>0</v>
      </c>
      <c r="K5412">
        <v>0</v>
      </c>
      <c r="L5412">
        <v>18960334.350000001</v>
      </c>
      <c r="M5412">
        <v>18960334.350000001</v>
      </c>
      <c r="N5412">
        <v>18960334.350000001</v>
      </c>
      <c r="O5412">
        <v>18960334.350000001</v>
      </c>
      <c r="P5412">
        <v>20000000</v>
      </c>
      <c r="Q5412">
        <v>20000000</v>
      </c>
      <c r="R5412" s="14">
        <f>_xlfn.XLOOKUP(Table2[[#This Row],[LoanID]],Table1[G-L ID],Table1[ManagerCode],-99)</f>
        <v>298</v>
      </c>
      <c r="T5412"/>
    </row>
    <row r="5413" spans="1:20" x14ac:dyDescent="0.25">
      <c r="A5413">
        <v>20170228</v>
      </c>
      <c r="B5413">
        <v>2017</v>
      </c>
      <c r="C5413">
        <v>2</v>
      </c>
      <c r="D5413">
        <v>1</v>
      </c>
      <c r="E5413">
        <v>15540</v>
      </c>
      <c r="F5413">
        <v>218085</v>
      </c>
      <c r="G5413">
        <v>-20982.5</v>
      </c>
      <c r="H5413">
        <v>0</v>
      </c>
      <c r="I5413">
        <v>-2260.42</v>
      </c>
      <c r="J5413">
        <v>0</v>
      </c>
      <c r="K5413">
        <v>0</v>
      </c>
      <c r="L5413">
        <v>52718085</v>
      </c>
      <c r="M5413">
        <v>52697102.5</v>
      </c>
      <c r="N5413">
        <v>52718085</v>
      </c>
      <c r="O5413">
        <v>52697102.5</v>
      </c>
      <c r="P5413">
        <v>52718085</v>
      </c>
      <c r="Q5413">
        <v>52697102.5</v>
      </c>
      <c r="R5413" s="14">
        <f>_xlfn.XLOOKUP(Table2[[#This Row],[LoanID]],Table1[G-L ID],Table1[ManagerCode],-99)</f>
        <v>212</v>
      </c>
      <c r="T5413"/>
    </row>
    <row r="5414" spans="1:20" x14ac:dyDescent="0.25">
      <c r="A5414">
        <v>20170228</v>
      </c>
      <c r="B5414">
        <v>2017</v>
      </c>
      <c r="C5414">
        <v>2</v>
      </c>
      <c r="D5414">
        <v>1</v>
      </c>
      <c r="E5414">
        <v>15580</v>
      </c>
      <c r="F5414">
        <v>117133.7</v>
      </c>
      <c r="G5414">
        <v>-11380.61</v>
      </c>
      <c r="H5414">
        <v>0</v>
      </c>
      <c r="I5414">
        <v>0</v>
      </c>
      <c r="J5414">
        <v>0</v>
      </c>
      <c r="K5414">
        <v>6267.61</v>
      </c>
      <c r="L5414">
        <v>14822672.609999999</v>
      </c>
      <c r="M5414">
        <v>14805024.390000001</v>
      </c>
      <c r="N5414">
        <v>14822672.609999999</v>
      </c>
      <c r="O5414">
        <v>14805024.390000001</v>
      </c>
      <c r="P5414">
        <v>14822672.609999999</v>
      </c>
      <c r="Q5414">
        <v>14805024.390000001</v>
      </c>
      <c r="R5414" s="14">
        <f>_xlfn.XLOOKUP(Table2[[#This Row],[LoanID]],Table1[G-L ID],Table1[ManagerCode],-99)</f>
        <v>212</v>
      </c>
      <c r="T5414"/>
    </row>
    <row r="5415" spans="1:20" x14ac:dyDescent="0.25">
      <c r="A5415">
        <v>20170331</v>
      </c>
      <c r="B5415">
        <v>2017</v>
      </c>
      <c r="C5415">
        <v>3</v>
      </c>
      <c r="D5415">
        <v>1</v>
      </c>
      <c r="E5415">
        <v>10010</v>
      </c>
      <c r="F5415">
        <v>153134.94</v>
      </c>
      <c r="G5415">
        <v>0</v>
      </c>
      <c r="H5415">
        <v>0</v>
      </c>
      <c r="I5415">
        <v>0</v>
      </c>
      <c r="J5415">
        <v>0</v>
      </c>
      <c r="K5415">
        <v>0</v>
      </c>
      <c r="L5415">
        <v>17168930.09</v>
      </c>
      <c r="M5415">
        <v>17168930.09</v>
      </c>
      <c r="N5415">
        <v>17168930.09</v>
      </c>
      <c r="O5415">
        <v>17168930.09</v>
      </c>
      <c r="P5415">
        <v>17168930.09</v>
      </c>
      <c r="Q5415">
        <v>17168930.09</v>
      </c>
      <c r="R5415" s="14">
        <f>_xlfn.XLOOKUP(Table2[[#This Row],[LoanID]],Table1[G-L ID],Table1[ManagerCode],-99)</f>
        <v>119</v>
      </c>
      <c r="T5415"/>
    </row>
    <row r="5416" spans="1:20" x14ac:dyDescent="0.25">
      <c r="A5416">
        <v>20170331</v>
      </c>
      <c r="B5416">
        <v>2017</v>
      </c>
      <c r="C5416">
        <v>3</v>
      </c>
      <c r="D5416">
        <v>1</v>
      </c>
      <c r="E5416">
        <v>10030</v>
      </c>
      <c r="F5416">
        <v>71931.45</v>
      </c>
      <c r="G5416">
        <v>0</v>
      </c>
      <c r="H5416">
        <v>0</v>
      </c>
      <c r="I5416">
        <v>0</v>
      </c>
      <c r="J5416">
        <v>0</v>
      </c>
      <c r="K5416">
        <v>0</v>
      </c>
      <c r="L5416">
        <v>9062000.5</v>
      </c>
      <c r="M5416">
        <v>9062000.5</v>
      </c>
      <c r="N5416">
        <v>9062000.5</v>
      </c>
      <c r="O5416">
        <v>9062000.5</v>
      </c>
      <c r="P5416">
        <v>9062000.5</v>
      </c>
      <c r="Q5416">
        <v>9062000.5</v>
      </c>
      <c r="R5416" s="14">
        <f>_xlfn.XLOOKUP(Table2[[#This Row],[LoanID]],Table1[G-L ID],Table1[ManagerCode],-99)</f>
        <v>119</v>
      </c>
      <c r="T5416"/>
    </row>
    <row r="5417" spans="1:20" x14ac:dyDescent="0.25">
      <c r="A5417">
        <v>20170331</v>
      </c>
      <c r="B5417">
        <v>2017</v>
      </c>
      <c r="C5417">
        <v>3</v>
      </c>
      <c r="D5417">
        <v>1</v>
      </c>
      <c r="E5417">
        <v>10040</v>
      </c>
      <c r="F5417">
        <v>41891.11</v>
      </c>
      <c r="G5417">
        <v>0</v>
      </c>
      <c r="H5417">
        <v>0</v>
      </c>
      <c r="I5417">
        <v>0</v>
      </c>
      <c r="J5417">
        <v>0</v>
      </c>
      <c r="K5417">
        <v>0</v>
      </c>
      <c r="L5417">
        <v>5000000</v>
      </c>
      <c r="M5417">
        <v>5000000</v>
      </c>
      <c r="N5417">
        <v>5000000</v>
      </c>
      <c r="O5417">
        <v>5000000</v>
      </c>
      <c r="P5417">
        <v>5000000</v>
      </c>
      <c r="Q5417">
        <v>5000000</v>
      </c>
      <c r="R5417" s="14">
        <f>_xlfn.XLOOKUP(Table2[[#This Row],[LoanID]],Table1[G-L ID],Table1[ManagerCode],-99)</f>
        <v>119</v>
      </c>
      <c r="T5417"/>
    </row>
    <row r="5418" spans="1:20" x14ac:dyDescent="0.25">
      <c r="A5418">
        <v>20170331</v>
      </c>
      <c r="B5418">
        <v>2017</v>
      </c>
      <c r="C5418">
        <v>3</v>
      </c>
      <c r="D5418">
        <v>1</v>
      </c>
      <c r="E5418">
        <v>10050</v>
      </c>
      <c r="F5418">
        <v>120999.28</v>
      </c>
      <c r="G5418">
        <v>0</v>
      </c>
      <c r="H5418">
        <v>0</v>
      </c>
      <c r="I5418">
        <v>0</v>
      </c>
      <c r="J5418">
        <v>0</v>
      </c>
      <c r="K5418">
        <v>0</v>
      </c>
      <c r="L5418">
        <v>37272011.670000002</v>
      </c>
      <c r="M5418">
        <v>37214268.950000003</v>
      </c>
      <c r="N5418">
        <v>37272011.670000002</v>
      </c>
      <c r="O5418">
        <v>37214268.950000003</v>
      </c>
      <c r="P5418">
        <v>33333334</v>
      </c>
      <c r="Q5418">
        <v>33333334</v>
      </c>
      <c r="R5418" s="14">
        <f>_xlfn.XLOOKUP(Table2[[#This Row],[LoanID]],Table1[G-L ID],Table1[ManagerCode],-99)</f>
        <v>103</v>
      </c>
      <c r="T5418"/>
    </row>
    <row r="5419" spans="1:20" x14ac:dyDescent="0.25">
      <c r="A5419">
        <v>20170331</v>
      </c>
      <c r="B5419">
        <v>2017</v>
      </c>
      <c r="C5419">
        <v>3</v>
      </c>
      <c r="D5419">
        <v>1</v>
      </c>
      <c r="E5419">
        <v>10070</v>
      </c>
      <c r="F5419">
        <v>57282.55</v>
      </c>
      <c r="G5419">
        <v>0</v>
      </c>
      <c r="H5419">
        <v>0</v>
      </c>
      <c r="I5419">
        <v>0</v>
      </c>
      <c r="J5419">
        <v>0</v>
      </c>
      <c r="K5419">
        <v>0</v>
      </c>
      <c r="L5419">
        <v>5875000</v>
      </c>
      <c r="M5419">
        <v>5875000</v>
      </c>
      <c r="N5419">
        <v>5875000</v>
      </c>
      <c r="O5419">
        <v>5875000</v>
      </c>
      <c r="P5419">
        <v>5875000</v>
      </c>
      <c r="Q5419">
        <v>5875000</v>
      </c>
      <c r="R5419" s="14">
        <f>_xlfn.XLOOKUP(Table2[[#This Row],[LoanID]],Table1[G-L ID],Table1[ManagerCode],-99)</f>
        <v>119</v>
      </c>
      <c r="T5419"/>
    </row>
    <row r="5420" spans="1:20" x14ac:dyDescent="0.25">
      <c r="A5420">
        <v>20170331</v>
      </c>
      <c r="B5420">
        <v>2017</v>
      </c>
      <c r="C5420">
        <v>3</v>
      </c>
      <c r="D5420">
        <v>1</v>
      </c>
      <c r="E5420">
        <v>10110</v>
      </c>
      <c r="F5420">
        <v>132402.67000000001</v>
      </c>
      <c r="G5420">
        <v>0</v>
      </c>
      <c r="H5420">
        <v>0</v>
      </c>
      <c r="I5420">
        <v>0</v>
      </c>
      <c r="J5420">
        <v>0</v>
      </c>
      <c r="K5420">
        <v>0</v>
      </c>
      <c r="L5420">
        <v>16400000</v>
      </c>
      <c r="M5420">
        <v>16400000</v>
      </c>
      <c r="N5420">
        <v>16400000</v>
      </c>
      <c r="O5420">
        <v>16400000</v>
      </c>
      <c r="P5420">
        <v>16400000</v>
      </c>
      <c r="Q5420">
        <v>16400000</v>
      </c>
      <c r="R5420" s="14">
        <f>_xlfn.XLOOKUP(Table2[[#This Row],[LoanID]],Table1[G-L ID],Table1[ManagerCode],-99)</f>
        <v>119</v>
      </c>
      <c r="T5420"/>
    </row>
    <row r="5421" spans="1:20" x14ac:dyDescent="0.25">
      <c r="A5421">
        <v>20170331</v>
      </c>
      <c r="B5421">
        <v>2017</v>
      </c>
      <c r="C5421">
        <v>3</v>
      </c>
      <c r="D5421">
        <v>1</v>
      </c>
      <c r="E5421">
        <v>10120</v>
      </c>
      <c r="F5421">
        <v>57532.639999999999</v>
      </c>
      <c r="G5421">
        <v>62974.26</v>
      </c>
      <c r="H5421">
        <v>0</v>
      </c>
      <c r="I5421">
        <v>0</v>
      </c>
      <c r="J5421">
        <v>-57532.639999999999</v>
      </c>
      <c r="K5421">
        <v>0</v>
      </c>
      <c r="L5421">
        <v>11604443.189999999</v>
      </c>
      <c r="M5421">
        <v>11724950.09</v>
      </c>
      <c r="N5421">
        <v>11604443.189999999</v>
      </c>
      <c r="O5421">
        <v>11724950.09</v>
      </c>
      <c r="P5421">
        <v>11604443.189999999</v>
      </c>
      <c r="Q5421">
        <v>11724950.09</v>
      </c>
      <c r="R5421" s="14">
        <f>_xlfn.XLOOKUP(Table2[[#This Row],[LoanID]],Table1[G-L ID],Table1[ManagerCode],-99)</f>
        <v>183</v>
      </c>
      <c r="T5421"/>
    </row>
    <row r="5422" spans="1:20" x14ac:dyDescent="0.25">
      <c r="A5422">
        <v>20170331</v>
      </c>
      <c r="B5422">
        <v>2017</v>
      </c>
      <c r="C5422">
        <v>3</v>
      </c>
      <c r="D5422">
        <v>1</v>
      </c>
      <c r="E5422">
        <v>10160</v>
      </c>
      <c r="F5422">
        <v>116329.99</v>
      </c>
      <c r="G5422">
        <v>0</v>
      </c>
      <c r="H5422">
        <v>0</v>
      </c>
      <c r="I5422">
        <v>0</v>
      </c>
      <c r="J5422">
        <v>-190512.66</v>
      </c>
      <c r="K5422">
        <v>0</v>
      </c>
      <c r="L5422">
        <v>15260356.77</v>
      </c>
      <c r="M5422">
        <v>15450869.43</v>
      </c>
      <c r="N5422">
        <v>15260356.77</v>
      </c>
      <c r="O5422">
        <v>15450869.43</v>
      </c>
      <c r="P5422">
        <v>15260356.77</v>
      </c>
      <c r="Q5422">
        <v>15450869.43</v>
      </c>
      <c r="R5422" s="14">
        <f>_xlfn.XLOOKUP(Table2[[#This Row],[LoanID]],Table1[G-L ID],Table1[ManagerCode],-99)</f>
        <v>119</v>
      </c>
      <c r="T5422"/>
    </row>
    <row r="5423" spans="1:20" x14ac:dyDescent="0.25">
      <c r="A5423">
        <v>20170331</v>
      </c>
      <c r="B5423">
        <v>2017</v>
      </c>
      <c r="C5423">
        <v>3</v>
      </c>
      <c r="D5423">
        <v>1</v>
      </c>
      <c r="E5423">
        <v>10220</v>
      </c>
      <c r="F5423">
        <v>585902.78</v>
      </c>
      <c r="G5423">
        <v>0</v>
      </c>
      <c r="H5423">
        <v>0</v>
      </c>
      <c r="I5423">
        <v>0</v>
      </c>
      <c r="J5423">
        <v>0</v>
      </c>
      <c r="K5423">
        <v>0</v>
      </c>
      <c r="L5423">
        <v>112936925.59999999</v>
      </c>
      <c r="M5423">
        <v>112586990.7</v>
      </c>
      <c r="N5423">
        <v>112936925.59999999</v>
      </c>
      <c r="O5423">
        <v>112586990.7</v>
      </c>
      <c r="P5423">
        <v>100000000</v>
      </c>
      <c r="Q5423">
        <v>100000000</v>
      </c>
      <c r="R5423" s="14">
        <f>_xlfn.XLOOKUP(Table2[[#This Row],[LoanID]],Table1[G-L ID],Table1[ManagerCode],-99)</f>
        <v>103</v>
      </c>
      <c r="T5423"/>
    </row>
    <row r="5424" spans="1:20" x14ac:dyDescent="0.25">
      <c r="A5424">
        <v>20170331</v>
      </c>
      <c r="B5424">
        <v>2017</v>
      </c>
      <c r="C5424">
        <v>3</v>
      </c>
      <c r="D5424">
        <v>1</v>
      </c>
      <c r="E5424">
        <v>10240</v>
      </c>
      <c r="F5424">
        <v>85263.89</v>
      </c>
      <c r="G5424">
        <v>0</v>
      </c>
      <c r="H5424">
        <v>0</v>
      </c>
      <c r="I5424">
        <v>0</v>
      </c>
      <c r="J5424">
        <v>0</v>
      </c>
      <c r="K5424">
        <v>0</v>
      </c>
      <c r="L5424">
        <v>12500000</v>
      </c>
      <c r="M5424">
        <v>12500000</v>
      </c>
      <c r="N5424">
        <v>12500000</v>
      </c>
      <c r="O5424">
        <v>12500000</v>
      </c>
      <c r="P5424">
        <v>12500000</v>
      </c>
      <c r="Q5424">
        <v>12500000</v>
      </c>
      <c r="R5424" s="14">
        <f>_xlfn.XLOOKUP(Table2[[#This Row],[LoanID]],Table1[G-L ID],Table1[ManagerCode],-99)</f>
        <v>220</v>
      </c>
      <c r="T5424"/>
    </row>
    <row r="5425" spans="1:20" x14ac:dyDescent="0.25">
      <c r="A5425">
        <v>20170331</v>
      </c>
      <c r="B5425">
        <v>2017</v>
      </c>
      <c r="C5425">
        <v>3</v>
      </c>
      <c r="D5425">
        <v>1</v>
      </c>
      <c r="E5425">
        <v>10250</v>
      </c>
      <c r="F5425">
        <v>46861.11</v>
      </c>
      <c r="G5425">
        <v>0</v>
      </c>
      <c r="H5425">
        <v>0</v>
      </c>
      <c r="I5425">
        <v>0</v>
      </c>
      <c r="J5425">
        <v>0</v>
      </c>
      <c r="K5425">
        <v>0</v>
      </c>
      <c r="L5425">
        <v>5000000</v>
      </c>
      <c r="M5425">
        <v>5000000</v>
      </c>
      <c r="N5425">
        <v>5000000</v>
      </c>
      <c r="O5425">
        <v>5000000</v>
      </c>
      <c r="P5425">
        <v>5000000</v>
      </c>
      <c r="Q5425">
        <v>5000000</v>
      </c>
      <c r="R5425" s="14">
        <f>_xlfn.XLOOKUP(Table2[[#This Row],[LoanID]],Table1[G-L ID],Table1[ManagerCode],-99)</f>
        <v>119</v>
      </c>
      <c r="T5425"/>
    </row>
    <row r="5426" spans="1:20" x14ac:dyDescent="0.25">
      <c r="A5426">
        <v>20170331</v>
      </c>
      <c r="B5426">
        <v>2017</v>
      </c>
      <c r="C5426">
        <v>3</v>
      </c>
      <c r="D5426">
        <v>1</v>
      </c>
      <c r="E5426">
        <v>10260</v>
      </c>
      <c r="F5426">
        <v>97066.67</v>
      </c>
      <c r="G5426">
        <v>0</v>
      </c>
      <c r="H5426">
        <v>0</v>
      </c>
      <c r="I5426">
        <v>0</v>
      </c>
      <c r="J5426">
        <v>0</v>
      </c>
      <c r="K5426">
        <v>0</v>
      </c>
      <c r="L5426">
        <v>15000000</v>
      </c>
      <c r="M5426">
        <v>15000000</v>
      </c>
      <c r="N5426">
        <v>15000000</v>
      </c>
      <c r="O5426">
        <v>15000000</v>
      </c>
      <c r="P5426">
        <v>15000000</v>
      </c>
      <c r="Q5426">
        <v>15000000</v>
      </c>
      <c r="R5426" s="14">
        <f>_xlfn.XLOOKUP(Table2[[#This Row],[LoanID]],Table1[G-L ID],Table1[ManagerCode],-99)</f>
        <v>220</v>
      </c>
      <c r="T5426"/>
    </row>
    <row r="5427" spans="1:20" x14ac:dyDescent="0.25">
      <c r="A5427">
        <v>20170331</v>
      </c>
      <c r="B5427">
        <v>2017</v>
      </c>
      <c r="C5427">
        <v>3</v>
      </c>
      <c r="D5427">
        <v>1</v>
      </c>
      <c r="E5427">
        <v>10270</v>
      </c>
      <c r="F5427">
        <v>41433.35</v>
      </c>
      <c r="G5427">
        <v>0</v>
      </c>
      <c r="H5427">
        <v>0</v>
      </c>
      <c r="I5427">
        <v>0</v>
      </c>
      <c r="J5427">
        <v>0</v>
      </c>
      <c r="K5427">
        <v>0</v>
      </c>
      <c r="L5427">
        <v>5400000</v>
      </c>
      <c r="M5427">
        <v>5400000</v>
      </c>
      <c r="N5427">
        <v>5400000</v>
      </c>
      <c r="O5427">
        <v>5400000</v>
      </c>
      <c r="P5427">
        <v>5400000</v>
      </c>
      <c r="Q5427">
        <v>5400000</v>
      </c>
      <c r="R5427" s="14">
        <f>_xlfn.XLOOKUP(Table2[[#This Row],[LoanID]],Table1[G-L ID],Table1[ManagerCode],-99)</f>
        <v>119</v>
      </c>
      <c r="T5427"/>
    </row>
    <row r="5428" spans="1:20" x14ac:dyDescent="0.25">
      <c r="A5428">
        <v>20170331</v>
      </c>
      <c r="B5428">
        <v>2017</v>
      </c>
      <c r="C5428">
        <v>3</v>
      </c>
      <c r="D5428">
        <v>1</v>
      </c>
      <c r="E5428">
        <v>10330</v>
      </c>
      <c r="F5428">
        <v>72615.89</v>
      </c>
      <c r="G5428">
        <v>0</v>
      </c>
      <c r="H5428">
        <v>0</v>
      </c>
      <c r="I5428">
        <v>0</v>
      </c>
      <c r="J5428">
        <v>0</v>
      </c>
      <c r="K5428">
        <v>0</v>
      </c>
      <c r="L5428">
        <v>8652759.6999999993</v>
      </c>
      <c r="M5428">
        <v>8652759.6999999993</v>
      </c>
      <c r="N5428">
        <v>8652759.6999999993</v>
      </c>
      <c r="O5428">
        <v>8652759.6999999993</v>
      </c>
      <c r="P5428">
        <v>8652759.6999999993</v>
      </c>
      <c r="Q5428">
        <v>8652759.6999999993</v>
      </c>
      <c r="R5428" s="14">
        <f>_xlfn.XLOOKUP(Table2[[#This Row],[LoanID]],Table1[G-L ID],Table1[ManagerCode],-99)</f>
        <v>119</v>
      </c>
      <c r="T5428"/>
    </row>
    <row r="5429" spans="1:20" x14ac:dyDescent="0.25">
      <c r="A5429">
        <v>20170331</v>
      </c>
      <c r="B5429">
        <v>2017</v>
      </c>
      <c r="C5429">
        <v>3</v>
      </c>
      <c r="D5429">
        <v>1</v>
      </c>
      <c r="E5429">
        <v>10350</v>
      </c>
      <c r="F5429">
        <v>168777.78</v>
      </c>
      <c r="G5429">
        <v>0</v>
      </c>
      <c r="H5429">
        <v>0</v>
      </c>
      <c r="I5429">
        <v>0</v>
      </c>
      <c r="J5429">
        <v>0</v>
      </c>
      <c r="K5429">
        <v>0</v>
      </c>
      <c r="L5429">
        <v>24800000</v>
      </c>
      <c r="M5429">
        <v>24800000</v>
      </c>
      <c r="N5429">
        <v>24800000</v>
      </c>
      <c r="O5429">
        <v>24800000</v>
      </c>
      <c r="P5429">
        <v>24800000</v>
      </c>
      <c r="Q5429">
        <v>24800000</v>
      </c>
      <c r="R5429" s="14">
        <f>_xlfn.XLOOKUP(Table2[[#This Row],[LoanID]],Table1[G-L ID],Table1[ManagerCode],-99)</f>
        <v>220</v>
      </c>
      <c r="T5429"/>
    </row>
    <row r="5430" spans="1:20" x14ac:dyDescent="0.25">
      <c r="A5430">
        <v>20170331</v>
      </c>
      <c r="B5430">
        <v>2017</v>
      </c>
      <c r="C5430">
        <v>3</v>
      </c>
      <c r="D5430">
        <v>1</v>
      </c>
      <c r="E5430">
        <v>10360</v>
      </c>
      <c r="F5430">
        <v>57858.96</v>
      </c>
      <c r="G5430">
        <v>0</v>
      </c>
      <c r="H5430">
        <v>0</v>
      </c>
      <c r="I5430">
        <v>0</v>
      </c>
      <c r="J5430">
        <v>0</v>
      </c>
      <c r="K5430">
        <v>0</v>
      </c>
      <c r="L5430">
        <v>5909000</v>
      </c>
      <c r="M5430">
        <v>5909000</v>
      </c>
      <c r="N5430">
        <v>5909000</v>
      </c>
      <c r="O5430">
        <v>5909000</v>
      </c>
      <c r="P5430">
        <v>5909000</v>
      </c>
      <c r="Q5430">
        <v>5909000</v>
      </c>
      <c r="R5430" s="14">
        <f>_xlfn.XLOOKUP(Table2[[#This Row],[LoanID]],Table1[G-L ID],Table1[ManagerCode],-99)</f>
        <v>183</v>
      </c>
      <c r="T5430"/>
    </row>
    <row r="5431" spans="1:20" x14ac:dyDescent="0.25">
      <c r="A5431">
        <v>20170331</v>
      </c>
      <c r="B5431">
        <v>2017</v>
      </c>
      <c r="C5431">
        <v>3</v>
      </c>
      <c r="D5431">
        <v>1</v>
      </c>
      <c r="E5431">
        <v>10410</v>
      </c>
      <c r="F5431">
        <v>101192.32000000001</v>
      </c>
      <c r="G5431">
        <v>57015.33</v>
      </c>
      <c r="H5431">
        <v>0</v>
      </c>
      <c r="I5431">
        <v>0</v>
      </c>
      <c r="J5431">
        <v>-1430271.82</v>
      </c>
      <c r="K5431">
        <v>0</v>
      </c>
      <c r="L5431">
        <v>23805276.219999999</v>
      </c>
      <c r="M5431">
        <v>25292563.370000001</v>
      </c>
      <c r="N5431">
        <v>23805276.219999999</v>
      </c>
      <c r="O5431">
        <v>25292563.370000001</v>
      </c>
      <c r="P5431">
        <v>23805276.219999999</v>
      </c>
      <c r="Q5431">
        <v>25292563.370000001</v>
      </c>
      <c r="R5431" s="14">
        <f>_xlfn.XLOOKUP(Table2[[#This Row],[LoanID]],Table1[G-L ID],Table1[ManagerCode],-99)</f>
        <v>183</v>
      </c>
      <c r="T5431"/>
    </row>
    <row r="5432" spans="1:20" x14ac:dyDescent="0.25">
      <c r="A5432">
        <v>20170331</v>
      </c>
      <c r="B5432">
        <v>2017</v>
      </c>
      <c r="C5432">
        <v>3</v>
      </c>
      <c r="D5432">
        <v>1</v>
      </c>
      <c r="E5432">
        <v>10480</v>
      </c>
      <c r="F5432">
        <v>151283.99</v>
      </c>
      <c r="G5432">
        <v>0</v>
      </c>
      <c r="H5432">
        <v>0</v>
      </c>
      <c r="I5432">
        <v>0</v>
      </c>
      <c r="J5432">
        <v>-73823.7</v>
      </c>
      <c r="K5432">
        <v>0</v>
      </c>
      <c r="L5432">
        <v>21062659.920000002</v>
      </c>
      <c r="M5432">
        <v>21136483.620000001</v>
      </c>
      <c r="N5432">
        <v>21062659.920000002</v>
      </c>
      <c r="O5432">
        <v>21136483.620000001</v>
      </c>
      <c r="P5432">
        <v>21062659.920000002</v>
      </c>
      <c r="Q5432">
        <v>21136483.620000001</v>
      </c>
      <c r="R5432" s="14">
        <f>_xlfn.XLOOKUP(Table2[[#This Row],[LoanID]],Table1[G-L ID],Table1[ManagerCode],-99)</f>
        <v>119</v>
      </c>
      <c r="T5432"/>
    </row>
    <row r="5433" spans="1:20" x14ac:dyDescent="0.25">
      <c r="A5433">
        <v>20170331</v>
      </c>
      <c r="B5433">
        <v>2017</v>
      </c>
      <c r="C5433">
        <v>3</v>
      </c>
      <c r="D5433">
        <v>1</v>
      </c>
      <c r="E5433">
        <v>10500</v>
      </c>
      <c r="F5433">
        <v>160927.54</v>
      </c>
      <c r="G5433">
        <v>0</v>
      </c>
      <c r="H5433">
        <v>0</v>
      </c>
      <c r="I5433">
        <v>0</v>
      </c>
      <c r="J5433">
        <v>0</v>
      </c>
      <c r="K5433">
        <v>0</v>
      </c>
      <c r="L5433">
        <v>19211405.440000001</v>
      </c>
      <c r="M5433">
        <v>19211405.440000001</v>
      </c>
      <c r="N5433">
        <v>19211405.440000001</v>
      </c>
      <c r="O5433">
        <v>19211405.440000001</v>
      </c>
      <c r="P5433">
        <v>19211405.440000001</v>
      </c>
      <c r="Q5433">
        <v>19211405.440000001</v>
      </c>
      <c r="R5433" s="14">
        <f>_xlfn.XLOOKUP(Table2[[#This Row],[LoanID]],Table1[G-L ID],Table1[ManagerCode],-99)</f>
        <v>119</v>
      </c>
      <c r="T5433"/>
    </row>
    <row r="5434" spans="1:20" x14ac:dyDescent="0.25">
      <c r="A5434">
        <v>20170331</v>
      </c>
      <c r="B5434">
        <v>2017</v>
      </c>
      <c r="C5434">
        <v>3</v>
      </c>
      <c r="D5434">
        <v>1</v>
      </c>
      <c r="E5434">
        <v>10620</v>
      </c>
      <c r="F5434">
        <v>100512.32000000001</v>
      </c>
      <c r="G5434">
        <v>0</v>
      </c>
      <c r="H5434">
        <v>0</v>
      </c>
      <c r="I5434">
        <v>0</v>
      </c>
      <c r="J5434">
        <v>0</v>
      </c>
      <c r="K5434">
        <v>0</v>
      </c>
      <c r="L5434">
        <v>11315131.58</v>
      </c>
      <c r="M5434">
        <v>11315131.58</v>
      </c>
      <c r="N5434">
        <v>11315131.58</v>
      </c>
      <c r="O5434">
        <v>11315131.58</v>
      </c>
      <c r="P5434">
        <v>11315131.58</v>
      </c>
      <c r="Q5434">
        <v>11315131.58</v>
      </c>
      <c r="R5434" s="14">
        <f>_xlfn.XLOOKUP(Table2[[#This Row],[LoanID]],Table1[G-L ID],Table1[ManagerCode],-99)</f>
        <v>119</v>
      </c>
      <c r="T5434"/>
    </row>
    <row r="5435" spans="1:20" x14ac:dyDescent="0.25">
      <c r="A5435">
        <v>20170331</v>
      </c>
      <c r="B5435">
        <v>2017</v>
      </c>
      <c r="C5435">
        <v>3</v>
      </c>
      <c r="D5435">
        <v>1</v>
      </c>
      <c r="E5435">
        <v>10670</v>
      </c>
      <c r="F5435">
        <v>241966.67</v>
      </c>
      <c r="G5435">
        <v>0</v>
      </c>
      <c r="H5435">
        <v>0</v>
      </c>
      <c r="I5435">
        <v>0</v>
      </c>
      <c r="J5435">
        <v>0</v>
      </c>
      <c r="K5435">
        <v>0</v>
      </c>
      <c r="L5435">
        <v>30000000</v>
      </c>
      <c r="M5435">
        <v>30000000</v>
      </c>
      <c r="N5435">
        <v>30000000</v>
      </c>
      <c r="O5435">
        <v>30000000</v>
      </c>
      <c r="P5435">
        <v>30000000</v>
      </c>
      <c r="Q5435">
        <v>30000000</v>
      </c>
      <c r="R5435" s="14">
        <f>_xlfn.XLOOKUP(Table2[[#This Row],[LoanID]],Table1[G-L ID],Table1[ManagerCode],-99)</f>
        <v>119</v>
      </c>
      <c r="T5435"/>
    </row>
    <row r="5436" spans="1:20" x14ac:dyDescent="0.25">
      <c r="A5436">
        <v>20170331</v>
      </c>
      <c r="B5436">
        <v>2017</v>
      </c>
      <c r="C5436">
        <v>3</v>
      </c>
      <c r="D5436">
        <v>1</v>
      </c>
      <c r="E5436">
        <v>10680</v>
      </c>
      <c r="F5436">
        <v>91673.46</v>
      </c>
      <c r="G5436">
        <v>0</v>
      </c>
      <c r="H5436">
        <v>0</v>
      </c>
      <c r="I5436">
        <v>0</v>
      </c>
      <c r="J5436">
        <v>0</v>
      </c>
      <c r="K5436">
        <v>0</v>
      </c>
      <c r="L5436">
        <v>11426585.99</v>
      </c>
      <c r="M5436">
        <v>11426585.99</v>
      </c>
      <c r="N5436">
        <v>11426585.99</v>
      </c>
      <c r="O5436">
        <v>11426585.99</v>
      </c>
      <c r="P5436">
        <v>11426585.99</v>
      </c>
      <c r="Q5436">
        <v>11426585.99</v>
      </c>
      <c r="R5436" s="14">
        <f>_xlfn.XLOOKUP(Table2[[#This Row],[LoanID]],Table1[G-L ID],Table1[ManagerCode],-99)</f>
        <v>119</v>
      </c>
      <c r="T5436"/>
    </row>
    <row r="5437" spans="1:20" x14ac:dyDescent="0.25">
      <c r="A5437">
        <v>20170331</v>
      </c>
      <c r="B5437">
        <v>2017</v>
      </c>
      <c r="C5437">
        <v>3</v>
      </c>
      <c r="D5437">
        <v>1</v>
      </c>
      <c r="E5437">
        <v>10730</v>
      </c>
      <c r="F5437">
        <v>92092.74</v>
      </c>
      <c r="G5437">
        <v>0</v>
      </c>
      <c r="H5437">
        <v>0</v>
      </c>
      <c r="I5437">
        <v>0</v>
      </c>
      <c r="J5437">
        <v>0</v>
      </c>
      <c r="K5437">
        <v>0</v>
      </c>
      <c r="L5437">
        <v>9500000</v>
      </c>
      <c r="M5437">
        <v>9500000</v>
      </c>
      <c r="N5437">
        <v>9500000</v>
      </c>
      <c r="O5437">
        <v>9500000</v>
      </c>
      <c r="P5437">
        <v>9500000</v>
      </c>
      <c r="Q5437">
        <v>9500000</v>
      </c>
      <c r="R5437" s="14">
        <f>_xlfn.XLOOKUP(Table2[[#This Row],[LoanID]],Table1[G-L ID],Table1[ManagerCode],-99)</f>
        <v>119</v>
      </c>
      <c r="T5437"/>
    </row>
    <row r="5438" spans="1:20" x14ac:dyDescent="0.25">
      <c r="A5438">
        <v>20170331</v>
      </c>
      <c r="B5438">
        <v>2017</v>
      </c>
      <c r="C5438">
        <v>3</v>
      </c>
      <c r="D5438">
        <v>1</v>
      </c>
      <c r="E5438">
        <v>10750</v>
      </c>
      <c r="F5438">
        <v>69270.98</v>
      </c>
      <c r="G5438">
        <v>0</v>
      </c>
      <c r="H5438">
        <v>0</v>
      </c>
      <c r="I5438">
        <v>0</v>
      </c>
      <c r="J5438">
        <v>0</v>
      </c>
      <c r="K5438">
        <v>0</v>
      </c>
      <c r="L5438">
        <v>8589832.1099999994</v>
      </c>
      <c r="M5438">
        <v>8589832.1099999994</v>
      </c>
      <c r="N5438">
        <v>8589832.1099999994</v>
      </c>
      <c r="O5438">
        <v>8589832.1099999994</v>
      </c>
      <c r="P5438">
        <v>8589832.1099999994</v>
      </c>
      <c r="Q5438">
        <v>8589832.1099999994</v>
      </c>
      <c r="R5438" s="14">
        <f>_xlfn.XLOOKUP(Table2[[#This Row],[LoanID]],Table1[G-L ID],Table1[ManagerCode],-99)</f>
        <v>119</v>
      </c>
      <c r="T5438"/>
    </row>
    <row r="5439" spans="1:20" x14ac:dyDescent="0.25">
      <c r="A5439">
        <v>20170331</v>
      </c>
      <c r="B5439">
        <v>2017</v>
      </c>
      <c r="C5439">
        <v>3</v>
      </c>
      <c r="D5439">
        <v>1</v>
      </c>
      <c r="E5439">
        <v>10780</v>
      </c>
      <c r="F5439">
        <v>301193.45</v>
      </c>
      <c r="G5439">
        <v>0</v>
      </c>
      <c r="H5439">
        <v>0</v>
      </c>
      <c r="I5439">
        <v>0</v>
      </c>
      <c r="J5439">
        <v>0</v>
      </c>
      <c r="K5439">
        <v>0</v>
      </c>
      <c r="L5439">
        <v>42932230</v>
      </c>
      <c r="M5439">
        <v>42932230</v>
      </c>
      <c r="N5439">
        <v>42932230</v>
      </c>
      <c r="O5439">
        <v>42932230</v>
      </c>
      <c r="P5439">
        <v>42932230</v>
      </c>
      <c r="Q5439">
        <v>42932230</v>
      </c>
      <c r="R5439" s="14">
        <f>_xlfn.XLOOKUP(Table2[[#This Row],[LoanID]],Table1[G-L ID],Table1[ManagerCode],-99)</f>
        <v>220</v>
      </c>
      <c r="T5439"/>
    </row>
    <row r="5440" spans="1:20" x14ac:dyDescent="0.25">
      <c r="A5440">
        <v>20170331</v>
      </c>
      <c r="B5440">
        <v>2017</v>
      </c>
      <c r="C5440">
        <v>3</v>
      </c>
      <c r="D5440">
        <v>1</v>
      </c>
      <c r="E5440">
        <v>10800</v>
      </c>
      <c r="F5440">
        <v>383413.33</v>
      </c>
      <c r="G5440">
        <v>0</v>
      </c>
      <c r="H5440">
        <v>0</v>
      </c>
      <c r="I5440">
        <v>0</v>
      </c>
      <c r="J5440">
        <v>0</v>
      </c>
      <c r="K5440">
        <v>0</v>
      </c>
      <c r="L5440">
        <v>48000000</v>
      </c>
      <c r="M5440">
        <v>48000000</v>
      </c>
      <c r="N5440">
        <v>48000000</v>
      </c>
      <c r="O5440">
        <v>48000000</v>
      </c>
      <c r="P5440">
        <v>48000000</v>
      </c>
      <c r="Q5440">
        <v>48000000</v>
      </c>
      <c r="R5440" s="14">
        <f>_xlfn.XLOOKUP(Table2[[#This Row],[LoanID]],Table1[G-L ID],Table1[ManagerCode],-99)</f>
        <v>220</v>
      </c>
      <c r="T5440"/>
    </row>
    <row r="5441" spans="1:20" x14ac:dyDescent="0.25">
      <c r="A5441">
        <v>20170331</v>
      </c>
      <c r="B5441">
        <v>2017</v>
      </c>
      <c r="C5441">
        <v>3</v>
      </c>
      <c r="D5441">
        <v>1</v>
      </c>
      <c r="E5441">
        <v>10810</v>
      </c>
      <c r="F5441">
        <v>80424.06</v>
      </c>
      <c r="G5441">
        <v>0</v>
      </c>
      <c r="H5441">
        <v>0</v>
      </c>
      <c r="I5441">
        <v>0</v>
      </c>
      <c r="J5441">
        <v>0</v>
      </c>
      <c r="K5441">
        <v>0</v>
      </c>
      <c r="L5441">
        <v>10456886.48</v>
      </c>
      <c r="M5441">
        <v>10456886.48</v>
      </c>
      <c r="N5441">
        <v>10456886.48</v>
      </c>
      <c r="O5441">
        <v>10456886.48</v>
      </c>
      <c r="P5441">
        <v>10456886.48</v>
      </c>
      <c r="Q5441">
        <v>10456886.48</v>
      </c>
      <c r="R5441" s="14">
        <f>_xlfn.XLOOKUP(Table2[[#This Row],[LoanID]],Table1[G-L ID],Table1[ManagerCode],-99)</f>
        <v>119</v>
      </c>
      <c r="T5441"/>
    </row>
    <row r="5442" spans="1:20" x14ac:dyDescent="0.25">
      <c r="A5442">
        <v>20170331</v>
      </c>
      <c r="B5442">
        <v>2017</v>
      </c>
      <c r="C5442">
        <v>3</v>
      </c>
      <c r="D5442">
        <v>1</v>
      </c>
      <c r="E5442">
        <v>10820</v>
      </c>
      <c r="F5442">
        <v>178274.22</v>
      </c>
      <c r="G5442">
        <v>0</v>
      </c>
      <c r="H5442">
        <v>0</v>
      </c>
      <c r="I5442">
        <v>0</v>
      </c>
      <c r="J5442">
        <v>0</v>
      </c>
      <c r="K5442">
        <v>0</v>
      </c>
      <c r="L5442">
        <v>24127338</v>
      </c>
      <c r="M5442">
        <v>24127338</v>
      </c>
      <c r="N5442">
        <v>24127338</v>
      </c>
      <c r="O5442">
        <v>24127338</v>
      </c>
      <c r="P5442">
        <v>24127337.739999998</v>
      </c>
      <c r="Q5442">
        <v>24127337.739999998</v>
      </c>
      <c r="R5442" s="14">
        <f>_xlfn.XLOOKUP(Table2[[#This Row],[LoanID]],Table1[G-L ID],Table1[ManagerCode],-99)</f>
        <v>220</v>
      </c>
      <c r="T5442"/>
    </row>
    <row r="5443" spans="1:20" x14ac:dyDescent="0.25">
      <c r="A5443">
        <v>20170331</v>
      </c>
      <c r="B5443">
        <v>2017</v>
      </c>
      <c r="C5443">
        <v>3</v>
      </c>
      <c r="D5443">
        <v>1</v>
      </c>
      <c r="E5443">
        <v>10830</v>
      </c>
      <c r="F5443">
        <v>57677.99</v>
      </c>
      <c r="G5443">
        <v>0</v>
      </c>
      <c r="H5443">
        <v>0</v>
      </c>
      <c r="I5443">
        <v>0</v>
      </c>
      <c r="J5443">
        <v>0</v>
      </c>
      <c r="K5443">
        <v>0</v>
      </c>
      <c r="L5443">
        <v>7806043.1399999997</v>
      </c>
      <c r="M5443">
        <v>7806043.1399999997</v>
      </c>
      <c r="N5443">
        <v>7806043.1399999997</v>
      </c>
      <c r="O5443">
        <v>7806043.1399999997</v>
      </c>
      <c r="P5443">
        <v>7806043.1399999997</v>
      </c>
      <c r="Q5443">
        <v>7806043.1399999997</v>
      </c>
      <c r="R5443" s="14">
        <f>_xlfn.XLOOKUP(Table2[[#This Row],[LoanID]],Table1[G-L ID],Table1[ManagerCode],-99)</f>
        <v>220</v>
      </c>
      <c r="T5443"/>
    </row>
    <row r="5444" spans="1:20" x14ac:dyDescent="0.25">
      <c r="A5444">
        <v>20170331</v>
      </c>
      <c r="B5444">
        <v>2017</v>
      </c>
      <c r="C5444">
        <v>3</v>
      </c>
      <c r="D5444">
        <v>1</v>
      </c>
      <c r="E5444">
        <v>10840</v>
      </c>
      <c r="F5444">
        <v>93906.79</v>
      </c>
      <c r="G5444">
        <v>0</v>
      </c>
      <c r="H5444">
        <v>0</v>
      </c>
      <c r="I5444">
        <v>0</v>
      </c>
      <c r="J5444">
        <v>0</v>
      </c>
      <c r="K5444">
        <v>0</v>
      </c>
      <c r="L5444">
        <v>12709189</v>
      </c>
      <c r="M5444">
        <v>12709189</v>
      </c>
      <c r="N5444">
        <v>12709189</v>
      </c>
      <c r="O5444">
        <v>12709189</v>
      </c>
      <c r="P5444">
        <v>12709189</v>
      </c>
      <c r="Q5444">
        <v>12709189</v>
      </c>
      <c r="R5444" s="14">
        <f>_xlfn.XLOOKUP(Table2[[#This Row],[LoanID]],Table1[G-L ID],Table1[ManagerCode],-99)</f>
        <v>220</v>
      </c>
      <c r="T5444"/>
    </row>
    <row r="5445" spans="1:20" x14ac:dyDescent="0.25">
      <c r="A5445">
        <v>20170331</v>
      </c>
      <c r="B5445">
        <v>2017</v>
      </c>
      <c r="C5445">
        <v>3</v>
      </c>
      <c r="D5445">
        <v>1</v>
      </c>
      <c r="E5445">
        <v>10850</v>
      </c>
      <c r="F5445">
        <v>99837.87</v>
      </c>
      <c r="G5445">
        <v>0</v>
      </c>
      <c r="H5445">
        <v>0</v>
      </c>
      <c r="I5445">
        <v>0</v>
      </c>
      <c r="J5445">
        <v>0</v>
      </c>
      <c r="K5445">
        <v>0</v>
      </c>
      <c r="L5445">
        <v>13511892</v>
      </c>
      <c r="M5445">
        <v>13511892</v>
      </c>
      <c r="N5445">
        <v>13511892</v>
      </c>
      <c r="O5445">
        <v>13511892</v>
      </c>
      <c r="P5445">
        <v>13511892</v>
      </c>
      <c r="Q5445">
        <v>13511892</v>
      </c>
      <c r="R5445" s="14">
        <f>_xlfn.XLOOKUP(Table2[[#This Row],[LoanID]],Table1[G-L ID],Table1[ManagerCode],-99)</f>
        <v>220</v>
      </c>
      <c r="T5445"/>
    </row>
    <row r="5446" spans="1:20" x14ac:dyDescent="0.25">
      <c r="A5446">
        <v>20170331</v>
      </c>
      <c r="B5446">
        <v>2017</v>
      </c>
      <c r="C5446">
        <v>3</v>
      </c>
      <c r="D5446">
        <v>1</v>
      </c>
      <c r="E5446">
        <v>10860</v>
      </c>
      <c r="F5446">
        <v>115916.11</v>
      </c>
      <c r="G5446">
        <v>0</v>
      </c>
      <c r="H5446">
        <v>0</v>
      </c>
      <c r="I5446">
        <v>0</v>
      </c>
      <c r="J5446">
        <v>0</v>
      </c>
      <c r="K5446">
        <v>0</v>
      </c>
      <c r="L5446">
        <v>19475000</v>
      </c>
      <c r="M5446">
        <v>19475000</v>
      </c>
      <c r="N5446">
        <v>19475000</v>
      </c>
      <c r="O5446">
        <v>19475000</v>
      </c>
      <c r="P5446">
        <v>20500000</v>
      </c>
      <c r="Q5446">
        <v>20500000</v>
      </c>
      <c r="R5446" s="14">
        <f>_xlfn.XLOOKUP(Table2[[#This Row],[LoanID]],Table1[G-L ID],Table1[ManagerCode],-99)</f>
        <v>103</v>
      </c>
      <c r="T5446"/>
    </row>
    <row r="5447" spans="1:20" x14ac:dyDescent="0.25">
      <c r="A5447">
        <v>20170331</v>
      </c>
      <c r="B5447">
        <v>2017</v>
      </c>
      <c r="C5447">
        <v>3</v>
      </c>
      <c r="D5447">
        <v>1</v>
      </c>
      <c r="E5447">
        <v>10890</v>
      </c>
      <c r="F5447">
        <v>110183.94</v>
      </c>
      <c r="G5447">
        <v>92661.64</v>
      </c>
      <c r="H5447">
        <v>0</v>
      </c>
      <c r="I5447">
        <v>0</v>
      </c>
      <c r="J5447">
        <v>-110183.94</v>
      </c>
      <c r="K5447">
        <v>0</v>
      </c>
      <c r="L5447">
        <v>22128608.449999999</v>
      </c>
      <c r="M5447">
        <v>22331454.030000001</v>
      </c>
      <c r="N5447">
        <v>22128608.449999999</v>
      </c>
      <c r="O5447">
        <v>22331454.030000001</v>
      </c>
      <c r="P5447">
        <v>22128608.449999999</v>
      </c>
      <c r="Q5447">
        <v>22331454.030000001</v>
      </c>
      <c r="R5447" s="14">
        <f>_xlfn.XLOOKUP(Table2[[#This Row],[LoanID]],Table1[G-L ID],Table1[ManagerCode],-99)</f>
        <v>183</v>
      </c>
      <c r="T5447"/>
    </row>
    <row r="5448" spans="1:20" x14ac:dyDescent="0.25">
      <c r="A5448">
        <v>20170331</v>
      </c>
      <c r="B5448">
        <v>2017</v>
      </c>
      <c r="C5448">
        <v>3</v>
      </c>
      <c r="D5448">
        <v>1</v>
      </c>
      <c r="E5448">
        <v>10910</v>
      </c>
      <c r="F5448">
        <v>186608.33</v>
      </c>
      <c r="G5448">
        <v>0</v>
      </c>
      <c r="H5448">
        <v>0</v>
      </c>
      <c r="I5448">
        <v>0</v>
      </c>
      <c r="J5448">
        <v>0</v>
      </c>
      <c r="K5448">
        <v>0</v>
      </c>
      <c r="L5448">
        <v>22500000</v>
      </c>
      <c r="M5448">
        <v>22500000</v>
      </c>
      <c r="N5448">
        <v>22500000</v>
      </c>
      <c r="O5448">
        <v>22500000</v>
      </c>
      <c r="P5448">
        <v>22500000</v>
      </c>
      <c r="Q5448">
        <v>22500000</v>
      </c>
      <c r="R5448" s="14">
        <f>_xlfn.XLOOKUP(Table2[[#This Row],[LoanID]],Table1[G-L ID],Table1[ManagerCode],-99)</f>
        <v>119</v>
      </c>
      <c r="T5448"/>
    </row>
    <row r="5449" spans="1:20" x14ac:dyDescent="0.25">
      <c r="A5449">
        <v>20170331</v>
      </c>
      <c r="B5449">
        <v>2017</v>
      </c>
      <c r="C5449">
        <v>3</v>
      </c>
      <c r="D5449">
        <v>1</v>
      </c>
      <c r="E5449">
        <v>10930</v>
      </c>
      <c r="F5449">
        <v>0</v>
      </c>
      <c r="G5449">
        <v>188776.04</v>
      </c>
      <c r="H5449">
        <v>0</v>
      </c>
      <c r="I5449">
        <v>0</v>
      </c>
      <c r="J5449">
        <v>0</v>
      </c>
      <c r="K5449">
        <v>0</v>
      </c>
      <c r="L5449">
        <v>17097581.829999998</v>
      </c>
      <c r="M5449">
        <v>17286357.870000001</v>
      </c>
      <c r="N5449">
        <v>17097581.829999998</v>
      </c>
      <c r="O5449">
        <v>17286357.870000001</v>
      </c>
      <c r="P5449">
        <v>17097581.829999998</v>
      </c>
      <c r="Q5449">
        <v>17286357.870000001</v>
      </c>
      <c r="R5449" s="14">
        <f>_xlfn.XLOOKUP(Table2[[#This Row],[LoanID]],Table1[G-L ID],Table1[ManagerCode],-99)</f>
        <v>183</v>
      </c>
      <c r="T5449"/>
    </row>
    <row r="5450" spans="1:20" x14ac:dyDescent="0.25">
      <c r="A5450">
        <v>20170331</v>
      </c>
      <c r="B5450">
        <v>2017</v>
      </c>
      <c r="C5450">
        <v>3</v>
      </c>
      <c r="D5450">
        <v>1</v>
      </c>
      <c r="E5450">
        <v>10970</v>
      </c>
      <c r="F5450">
        <v>21975.96</v>
      </c>
      <c r="G5450">
        <v>24054.52</v>
      </c>
      <c r="H5450">
        <v>0</v>
      </c>
      <c r="I5450">
        <v>0</v>
      </c>
      <c r="J5450">
        <v>-21975.96</v>
      </c>
      <c r="K5450">
        <v>0</v>
      </c>
      <c r="L5450">
        <v>4432593.9800000004</v>
      </c>
      <c r="M5450">
        <v>4478624.46</v>
      </c>
      <c r="N5450">
        <v>4432593.9800000004</v>
      </c>
      <c r="O5450">
        <v>4478624.46</v>
      </c>
      <c r="P5450">
        <v>4432593.9800000004</v>
      </c>
      <c r="Q5450">
        <v>4478624.46</v>
      </c>
      <c r="R5450" s="14">
        <f>_xlfn.XLOOKUP(Table2[[#This Row],[LoanID]],Table1[G-L ID],Table1[ManagerCode],-99)</f>
        <v>183</v>
      </c>
      <c r="T5450"/>
    </row>
    <row r="5451" spans="1:20" x14ac:dyDescent="0.25">
      <c r="A5451">
        <v>20170331</v>
      </c>
      <c r="B5451">
        <v>2017</v>
      </c>
      <c r="C5451">
        <v>3</v>
      </c>
      <c r="D5451">
        <v>1</v>
      </c>
      <c r="E5451">
        <v>11010</v>
      </c>
      <c r="F5451">
        <v>201576.67</v>
      </c>
      <c r="G5451">
        <v>0</v>
      </c>
      <c r="H5451">
        <v>0</v>
      </c>
      <c r="I5451">
        <v>0</v>
      </c>
      <c r="J5451">
        <v>0</v>
      </c>
      <c r="K5451">
        <v>0</v>
      </c>
      <c r="L5451">
        <v>26500000</v>
      </c>
      <c r="M5451">
        <v>26500000</v>
      </c>
      <c r="N5451">
        <v>26500000</v>
      </c>
      <c r="O5451">
        <v>26500000</v>
      </c>
      <c r="P5451">
        <v>26500000</v>
      </c>
      <c r="Q5451">
        <v>26500000</v>
      </c>
      <c r="R5451" s="14">
        <f>_xlfn.XLOOKUP(Table2[[#This Row],[LoanID]],Table1[G-L ID],Table1[ManagerCode],-99)</f>
        <v>119</v>
      </c>
      <c r="T5451"/>
    </row>
    <row r="5452" spans="1:20" x14ac:dyDescent="0.25">
      <c r="A5452">
        <v>20170331</v>
      </c>
      <c r="B5452">
        <v>2017</v>
      </c>
      <c r="C5452">
        <v>3</v>
      </c>
      <c r="D5452">
        <v>1</v>
      </c>
      <c r="E5452">
        <v>11060</v>
      </c>
      <c r="F5452">
        <v>168031.11</v>
      </c>
      <c r="G5452">
        <v>0</v>
      </c>
      <c r="H5452">
        <v>0</v>
      </c>
      <c r="I5452">
        <v>0</v>
      </c>
      <c r="J5452">
        <v>0</v>
      </c>
      <c r="K5452">
        <v>0</v>
      </c>
      <c r="L5452">
        <v>22000000</v>
      </c>
      <c r="M5452">
        <v>22000000</v>
      </c>
      <c r="N5452">
        <v>22000000</v>
      </c>
      <c r="O5452">
        <v>22000000</v>
      </c>
      <c r="P5452">
        <v>22000000</v>
      </c>
      <c r="Q5452">
        <v>22000000</v>
      </c>
      <c r="R5452" s="14">
        <f>_xlfn.XLOOKUP(Table2[[#This Row],[LoanID]],Table1[G-L ID],Table1[ManagerCode],-99)</f>
        <v>119</v>
      </c>
      <c r="T5452"/>
    </row>
    <row r="5453" spans="1:20" x14ac:dyDescent="0.25">
      <c r="A5453">
        <v>20170331</v>
      </c>
      <c r="B5453">
        <v>2017</v>
      </c>
      <c r="C5453">
        <v>3</v>
      </c>
      <c r="D5453">
        <v>1</v>
      </c>
      <c r="E5453">
        <v>11080</v>
      </c>
      <c r="F5453">
        <v>314178.67</v>
      </c>
      <c r="G5453">
        <v>0</v>
      </c>
      <c r="H5453">
        <v>0</v>
      </c>
      <c r="I5453">
        <v>0</v>
      </c>
      <c r="J5453">
        <v>0</v>
      </c>
      <c r="K5453">
        <v>61919.27</v>
      </c>
      <c r="L5453">
        <v>39814092.490000002</v>
      </c>
      <c r="M5453">
        <v>39752173.219999999</v>
      </c>
      <c r="N5453">
        <v>39814092.490000002</v>
      </c>
      <c r="O5453">
        <v>39752173.219999999</v>
      </c>
      <c r="P5453">
        <v>39814092.490000002</v>
      </c>
      <c r="Q5453">
        <v>39752173.219999999</v>
      </c>
      <c r="R5453" s="14">
        <f>_xlfn.XLOOKUP(Table2[[#This Row],[LoanID]],Table1[G-L ID],Table1[ManagerCode],-99)</f>
        <v>119</v>
      </c>
      <c r="T5453"/>
    </row>
    <row r="5454" spans="1:20" x14ac:dyDescent="0.25">
      <c r="A5454">
        <v>20170331</v>
      </c>
      <c r="B5454">
        <v>2017</v>
      </c>
      <c r="C5454">
        <v>3</v>
      </c>
      <c r="D5454">
        <v>1</v>
      </c>
      <c r="E5454">
        <v>11090</v>
      </c>
      <c r="F5454">
        <v>186695.81</v>
      </c>
      <c r="G5454">
        <v>0</v>
      </c>
      <c r="H5454">
        <v>0</v>
      </c>
      <c r="I5454">
        <v>0</v>
      </c>
      <c r="J5454">
        <v>0</v>
      </c>
      <c r="K5454">
        <v>0</v>
      </c>
      <c r="L5454">
        <v>11000000</v>
      </c>
      <c r="M5454">
        <v>11000000</v>
      </c>
      <c r="N5454">
        <v>11000000</v>
      </c>
      <c r="O5454">
        <v>11000000</v>
      </c>
      <c r="P5454">
        <v>11000000</v>
      </c>
      <c r="Q5454">
        <v>11000000</v>
      </c>
      <c r="R5454" s="14">
        <f>_xlfn.XLOOKUP(Table2[[#This Row],[LoanID]],Table1[G-L ID],Table1[ManagerCode],-99)</f>
        <v>119</v>
      </c>
      <c r="T5454"/>
    </row>
    <row r="5455" spans="1:20" x14ac:dyDescent="0.25">
      <c r="A5455">
        <v>20170331</v>
      </c>
      <c r="B5455">
        <v>2017</v>
      </c>
      <c r="C5455">
        <v>3</v>
      </c>
      <c r="D5455">
        <v>1</v>
      </c>
      <c r="E5455">
        <v>11150</v>
      </c>
      <c r="F5455">
        <v>90323.8</v>
      </c>
      <c r="G5455">
        <v>0</v>
      </c>
      <c r="H5455">
        <v>0</v>
      </c>
      <c r="I5455">
        <v>0</v>
      </c>
      <c r="J5455">
        <v>0</v>
      </c>
      <c r="K5455">
        <v>0</v>
      </c>
      <c r="L5455">
        <v>8940000</v>
      </c>
      <c r="M5455">
        <v>8940000</v>
      </c>
      <c r="N5455">
        <v>8940000</v>
      </c>
      <c r="O5455">
        <v>8940000</v>
      </c>
      <c r="P5455">
        <v>8940000</v>
      </c>
      <c r="Q5455">
        <v>8940000</v>
      </c>
      <c r="R5455" s="14">
        <f>_xlfn.XLOOKUP(Table2[[#This Row],[LoanID]],Table1[G-L ID],Table1[ManagerCode],-99)</f>
        <v>119</v>
      </c>
      <c r="T5455"/>
    </row>
    <row r="5456" spans="1:20" x14ac:dyDescent="0.25">
      <c r="A5456">
        <v>20170331</v>
      </c>
      <c r="B5456">
        <v>2017</v>
      </c>
      <c r="C5456">
        <v>3</v>
      </c>
      <c r="D5456">
        <v>1</v>
      </c>
      <c r="E5456">
        <v>11160</v>
      </c>
      <c r="F5456">
        <v>240153.92</v>
      </c>
      <c r="G5456">
        <v>167306.59</v>
      </c>
      <c r="H5456">
        <v>0</v>
      </c>
      <c r="I5456">
        <v>0</v>
      </c>
      <c r="J5456">
        <v>-4750909.33</v>
      </c>
      <c r="K5456">
        <v>2198970.94</v>
      </c>
      <c r="L5456">
        <v>68436431.829999998</v>
      </c>
      <c r="M5456">
        <v>73354647.75</v>
      </c>
      <c r="N5456">
        <v>49445486.039999999</v>
      </c>
      <c r="O5456">
        <v>52164731.020000003</v>
      </c>
      <c r="P5456">
        <v>68436431.829999998</v>
      </c>
      <c r="Q5456">
        <v>73354647.75</v>
      </c>
      <c r="R5456" s="14">
        <f>_xlfn.XLOOKUP(Table2[[#This Row],[LoanID]],Table1[G-L ID],Table1[ManagerCode],-99)</f>
        <v>183</v>
      </c>
      <c r="T5456"/>
    </row>
    <row r="5457" spans="1:20" x14ac:dyDescent="0.25">
      <c r="A5457">
        <v>20170331</v>
      </c>
      <c r="B5457">
        <v>2017</v>
      </c>
      <c r="C5457">
        <v>3</v>
      </c>
      <c r="D5457">
        <v>1</v>
      </c>
      <c r="E5457">
        <v>11210</v>
      </c>
      <c r="F5457">
        <v>54769.17</v>
      </c>
      <c r="G5457">
        <v>0</v>
      </c>
      <c r="H5457">
        <v>0</v>
      </c>
      <c r="I5457">
        <v>0</v>
      </c>
      <c r="J5457">
        <v>0</v>
      </c>
      <c r="K5457">
        <v>0</v>
      </c>
      <c r="L5457">
        <v>7500000</v>
      </c>
      <c r="M5457">
        <v>7500000</v>
      </c>
      <c r="N5457">
        <v>7500000</v>
      </c>
      <c r="O5457">
        <v>7500000</v>
      </c>
      <c r="P5457">
        <v>7500000</v>
      </c>
      <c r="Q5457">
        <v>7500000</v>
      </c>
      <c r="R5457" s="14">
        <f>_xlfn.XLOOKUP(Table2[[#This Row],[LoanID]],Table1[G-L ID],Table1[ManagerCode],-99)</f>
        <v>119</v>
      </c>
      <c r="T5457"/>
    </row>
    <row r="5458" spans="1:20" x14ac:dyDescent="0.25">
      <c r="A5458">
        <v>20170331</v>
      </c>
      <c r="B5458">
        <v>2017</v>
      </c>
      <c r="C5458">
        <v>3</v>
      </c>
      <c r="D5458">
        <v>1</v>
      </c>
      <c r="E5458">
        <v>11250</v>
      </c>
      <c r="F5458">
        <v>228165.31</v>
      </c>
      <c r="G5458">
        <v>0</v>
      </c>
      <c r="H5458">
        <v>0</v>
      </c>
      <c r="I5458">
        <v>0</v>
      </c>
      <c r="J5458">
        <v>0</v>
      </c>
      <c r="K5458">
        <v>0</v>
      </c>
      <c r="L5458">
        <v>18253225.030000001</v>
      </c>
      <c r="M5458">
        <v>18253225.030000001</v>
      </c>
      <c r="N5458">
        <v>18253225.030000001</v>
      </c>
      <c r="O5458">
        <v>18253225.030000001</v>
      </c>
      <c r="P5458">
        <v>18253225.030000001</v>
      </c>
      <c r="Q5458">
        <v>18253225.030000001</v>
      </c>
      <c r="R5458" s="14">
        <f>_xlfn.XLOOKUP(Table2[[#This Row],[LoanID]],Table1[G-L ID],Table1[ManagerCode],-99)</f>
        <v>183</v>
      </c>
      <c r="T5458"/>
    </row>
    <row r="5459" spans="1:20" x14ac:dyDescent="0.25">
      <c r="A5459">
        <v>20170331</v>
      </c>
      <c r="B5459">
        <v>2017</v>
      </c>
      <c r="C5459">
        <v>3</v>
      </c>
      <c r="D5459">
        <v>1</v>
      </c>
      <c r="E5459">
        <v>11330</v>
      </c>
      <c r="F5459">
        <v>62700.13</v>
      </c>
      <c r="G5459">
        <v>0</v>
      </c>
      <c r="H5459">
        <v>0</v>
      </c>
      <c r="I5459">
        <v>0</v>
      </c>
      <c r="J5459">
        <v>0</v>
      </c>
      <c r="K5459">
        <v>0</v>
      </c>
      <c r="L5459">
        <v>6653107.4800000004</v>
      </c>
      <c r="M5459">
        <v>6653107.4800000004</v>
      </c>
      <c r="N5459">
        <v>6653107.4800000004</v>
      </c>
      <c r="O5459">
        <v>6653107.4800000004</v>
      </c>
      <c r="P5459">
        <v>6653107.4800000004</v>
      </c>
      <c r="Q5459">
        <v>6653107.4800000004</v>
      </c>
      <c r="R5459" s="14">
        <f>_xlfn.XLOOKUP(Table2[[#This Row],[LoanID]],Table1[G-L ID],Table1[ManagerCode],-99)</f>
        <v>119</v>
      </c>
      <c r="T5459"/>
    </row>
    <row r="5460" spans="1:20" x14ac:dyDescent="0.25">
      <c r="A5460">
        <v>20170331</v>
      </c>
      <c r="B5460">
        <v>2017</v>
      </c>
      <c r="C5460">
        <v>3</v>
      </c>
      <c r="D5460">
        <v>1</v>
      </c>
      <c r="E5460">
        <v>11340</v>
      </c>
      <c r="F5460">
        <v>267257.63</v>
      </c>
      <c r="G5460">
        <v>0</v>
      </c>
      <c r="H5460">
        <v>0</v>
      </c>
      <c r="I5460">
        <v>0</v>
      </c>
      <c r="J5460">
        <v>0</v>
      </c>
      <c r="K5460">
        <v>82389.94</v>
      </c>
      <c r="L5460">
        <v>48597254.189999998</v>
      </c>
      <c r="M5460">
        <v>48515688.189999998</v>
      </c>
      <c r="N5460">
        <v>48597254.189999998</v>
      </c>
      <c r="O5460">
        <v>48515688.189999998</v>
      </c>
      <c r="P5460">
        <v>49088135.560000002</v>
      </c>
      <c r="Q5460">
        <v>49005745.619999997</v>
      </c>
      <c r="R5460" s="14">
        <f>_xlfn.XLOOKUP(Table2[[#This Row],[LoanID]],Table1[G-L ID],Table1[ManagerCode],-99)</f>
        <v>103</v>
      </c>
      <c r="T5460"/>
    </row>
    <row r="5461" spans="1:20" x14ac:dyDescent="0.25">
      <c r="A5461">
        <v>20170331</v>
      </c>
      <c r="B5461">
        <v>2017</v>
      </c>
      <c r="C5461">
        <v>3</v>
      </c>
      <c r="D5461">
        <v>1</v>
      </c>
      <c r="E5461">
        <v>11350</v>
      </c>
      <c r="F5461">
        <v>272244.95</v>
      </c>
      <c r="G5461">
        <v>0</v>
      </c>
      <c r="H5461">
        <v>0</v>
      </c>
      <c r="I5461">
        <v>0</v>
      </c>
      <c r="J5461">
        <v>0</v>
      </c>
      <c r="K5461">
        <v>0</v>
      </c>
      <c r="L5461">
        <v>54449945.549999997</v>
      </c>
      <c r="M5461">
        <v>54449945.549999997</v>
      </c>
      <c r="N5461">
        <v>54449945.549999997</v>
      </c>
      <c r="O5461">
        <v>54449945.549999997</v>
      </c>
      <c r="P5461">
        <v>55000000</v>
      </c>
      <c r="Q5461">
        <v>55000000</v>
      </c>
      <c r="R5461" s="14">
        <f>_xlfn.XLOOKUP(Table2[[#This Row],[LoanID]],Table1[G-L ID],Table1[ManagerCode],-99)</f>
        <v>103</v>
      </c>
      <c r="T5461"/>
    </row>
    <row r="5462" spans="1:20" x14ac:dyDescent="0.25">
      <c r="A5462">
        <v>20170331</v>
      </c>
      <c r="B5462">
        <v>2017</v>
      </c>
      <c r="C5462">
        <v>3</v>
      </c>
      <c r="D5462">
        <v>1</v>
      </c>
      <c r="E5462">
        <v>11360</v>
      </c>
      <c r="F5462">
        <v>57839.89</v>
      </c>
      <c r="G5462">
        <v>0</v>
      </c>
      <c r="H5462">
        <v>0</v>
      </c>
      <c r="I5462">
        <v>0</v>
      </c>
      <c r="J5462">
        <v>0</v>
      </c>
      <c r="K5462">
        <v>0</v>
      </c>
      <c r="L5462">
        <v>7537500</v>
      </c>
      <c r="M5462">
        <v>7537500</v>
      </c>
      <c r="N5462">
        <v>7537500</v>
      </c>
      <c r="O5462">
        <v>7537500</v>
      </c>
      <c r="P5462">
        <v>7537500</v>
      </c>
      <c r="Q5462">
        <v>7537500</v>
      </c>
      <c r="R5462" s="14">
        <f>_xlfn.XLOOKUP(Table2[[#This Row],[LoanID]],Table1[G-L ID],Table1[ManagerCode],-99)</f>
        <v>119</v>
      </c>
      <c r="T5462"/>
    </row>
    <row r="5463" spans="1:20" x14ac:dyDescent="0.25">
      <c r="A5463">
        <v>20170331</v>
      </c>
      <c r="B5463">
        <v>2017</v>
      </c>
      <c r="C5463">
        <v>3</v>
      </c>
      <c r="D5463">
        <v>1</v>
      </c>
      <c r="E5463">
        <v>11410</v>
      </c>
      <c r="F5463">
        <v>101453.33</v>
      </c>
      <c r="G5463">
        <v>0</v>
      </c>
      <c r="H5463">
        <v>0</v>
      </c>
      <c r="I5463">
        <v>0</v>
      </c>
      <c r="J5463">
        <v>0</v>
      </c>
      <c r="K5463">
        <v>0</v>
      </c>
      <c r="L5463">
        <v>12000000</v>
      </c>
      <c r="M5463">
        <v>12000000</v>
      </c>
      <c r="N5463">
        <v>12000000</v>
      </c>
      <c r="O5463">
        <v>12000000</v>
      </c>
      <c r="P5463">
        <v>12000000</v>
      </c>
      <c r="Q5463">
        <v>12000000</v>
      </c>
      <c r="R5463" s="14">
        <f>_xlfn.XLOOKUP(Table2[[#This Row],[LoanID]],Table1[G-L ID],Table1[ManagerCode],-99)</f>
        <v>119</v>
      </c>
      <c r="T5463"/>
    </row>
    <row r="5464" spans="1:20" x14ac:dyDescent="0.25">
      <c r="A5464">
        <v>20170331</v>
      </c>
      <c r="B5464">
        <v>2017</v>
      </c>
      <c r="C5464">
        <v>3</v>
      </c>
      <c r="D5464">
        <v>1</v>
      </c>
      <c r="E5464">
        <v>11440</v>
      </c>
      <c r="F5464">
        <v>156250</v>
      </c>
      <c r="G5464">
        <v>0</v>
      </c>
      <c r="H5464">
        <v>0</v>
      </c>
      <c r="I5464">
        <v>0</v>
      </c>
      <c r="J5464">
        <v>0</v>
      </c>
      <c r="K5464">
        <v>0</v>
      </c>
      <c r="L5464">
        <v>18750000</v>
      </c>
      <c r="M5464">
        <v>18750000</v>
      </c>
      <c r="N5464">
        <v>18750000</v>
      </c>
      <c r="O5464">
        <v>18750000</v>
      </c>
      <c r="P5464">
        <v>18750000</v>
      </c>
      <c r="Q5464">
        <v>18750000</v>
      </c>
      <c r="R5464" s="14">
        <f>_xlfn.XLOOKUP(Table2[[#This Row],[LoanID]],Table1[G-L ID],Table1[ManagerCode],-99)</f>
        <v>183</v>
      </c>
      <c r="T5464"/>
    </row>
    <row r="5465" spans="1:20" x14ac:dyDescent="0.25">
      <c r="A5465">
        <v>20170331</v>
      </c>
      <c r="B5465">
        <v>2017</v>
      </c>
      <c r="C5465">
        <v>3</v>
      </c>
      <c r="D5465">
        <v>1</v>
      </c>
      <c r="E5465">
        <v>11450</v>
      </c>
      <c r="F5465">
        <v>118548.25</v>
      </c>
      <c r="G5465">
        <v>0</v>
      </c>
      <c r="H5465">
        <v>0</v>
      </c>
      <c r="I5465">
        <v>0</v>
      </c>
      <c r="J5465">
        <v>-134618.22</v>
      </c>
      <c r="K5465">
        <v>0</v>
      </c>
      <c r="L5465">
        <v>15543421.93</v>
      </c>
      <c r="M5465">
        <v>15678040.15</v>
      </c>
      <c r="N5465">
        <v>15543421.93</v>
      </c>
      <c r="O5465">
        <v>15678040.15</v>
      </c>
      <c r="P5465">
        <v>15543421.93</v>
      </c>
      <c r="Q5465">
        <v>15678040.15</v>
      </c>
      <c r="R5465" s="14">
        <f>_xlfn.XLOOKUP(Table2[[#This Row],[LoanID]],Table1[G-L ID],Table1[ManagerCode],-99)</f>
        <v>119</v>
      </c>
      <c r="T5465"/>
    </row>
    <row r="5466" spans="1:20" x14ac:dyDescent="0.25">
      <c r="A5466">
        <v>20170331</v>
      </c>
      <c r="B5466">
        <v>2017</v>
      </c>
      <c r="C5466">
        <v>3</v>
      </c>
      <c r="D5466">
        <v>1</v>
      </c>
      <c r="E5466">
        <v>11480</v>
      </c>
      <c r="F5466">
        <v>354977.78</v>
      </c>
      <c r="G5466">
        <v>0</v>
      </c>
      <c r="H5466">
        <v>0</v>
      </c>
      <c r="I5466">
        <v>0</v>
      </c>
      <c r="J5466">
        <v>0</v>
      </c>
      <c r="K5466">
        <v>0</v>
      </c>
      <c r="L5466">
        <v>66500000</v>
      </c>
      <c r="M5466">
        <v>66500000</v>
      </c>
      <c r="N5466">
        <v>66500000</v>
      </c>
      <c r="O5466">
        <v>66500000</v>
      </c>
      <c r="P5466">
        <v>70000000</v>
      </c>
      <c r="Q5466">
        <v>70000000</v>
      </c>
      <c r="R5466" s="14">
        <f>_xlfn.XLOOKUP(Table2[[#This Row],[LoanID]],Table1[G-L ID],Table1[ManagerCode],-99)</f>
        <v>103</v>
      </c>
      <c r="T5466"/>
    </row>
    <row r="5467" spans="1:20" x14ac:dyDescent="0.25">
      <c r="A5467">
        <v>20170331</v>
      </c>
      <c r="B5467">
        <v>2017</v>
      </c>
      <c r="C5467">
        <v>3</v>
      </c>
      <c r="D5467">
        <v>1</v>
      </c>
      <c r="E5467">
        <v>11490</v>
      </c>
      <c r="F5467">
        <v>332383.33</v>
      </c>
      <c r="G5467">
        <v>0</v>
      </c>
      <c r="H5467">
        <v>0</v>
      </c>
      <c r="I5467">
        <v>0</v>
      </c>
      <c r="J5467">
        <v>0</v>
      </c>
      <c r="K5467">
        <v>0</v>
      </c>
      <c r="L5467">
        <v>52250000</v>
      </c>
      <c r="M5467">
        <v>52250000</v>
      </c>
      <c r="N5467">
        <v>52250000</v>
      </c>
      <c r="O5467">
        <v>52250000</v>
      </c>
      <c r="P5467">
        <v>55000000</v>
      </c>
      <c r="Q5467">
        <v>55000000</v>
      </c>
      <c r="R5467" s="14">
        <f>_xlfn.XLOOKUP(Table2[[#This Row],[LoanID]],Table1[G-L ID],Table1[ManagerCode],-99)</f>
        <v>103</v>
      </c>
      <c r="T5467"/>
    </row>
    <row r="5468" spans="1:20" x14ac:dyDescent="0.25">
      <c r="A5468">
        <v>20170331</v>
      </c>
      <c r="B5468">
        <v>2017</v>
      </c>
      <c r="C5468">
        <v>3</v>
      </c>
      <c r="D5468">
        <v>1</v>
      </c>
      <c r="E5468">
        <v>11520</v>
      </c>
      <c r="F5468">
        <v>37119.19</v>
      </c>
      <c r="G5468">
        <v>0</v>
      </c>
      <c r="H5468">
        <v>0</v>
      </c>
      <c r="I5468">
        <v>0</v>
      </c>
      <c r="J5468">
        <v>-1427598.95</v>
      </c>
      <c r="K5468">
        <v>0</v>
      </c>
      <c r="L5468">
        <v>5278393.66</v>
      </c>
      <c r="M5468">
        <v>6705992.6100000003</v>
      </c>
      <c r="N5468">
        <v>5278393.66</v>
      </c>
      <c r="O5468">
        <v>6705992.6100000003</v>
      </c>
      <c r="P5468">
        <v>5278393.66</v>
      </c>
      <c r="Q5468">
        <v>6705992.6100000003</v>
      </c>
      <c r="R5468" s="14">
        <f>_xlfn.XLOOKUP(Table2[[#This Row],[LoanID]],Table1[G-L ID],Table1[ManagerCode],-99)</f>
        <v>119</v>
      </c>
      <c r="T5468"/>
    </row>
    <row r="5469" spans="1:20" x14ac:dyDescent="0.25">
      <c r="A5469">
        <v>20170331</v>
      </c>
      <c r="B5469">
        <v>2017</v>
      </c>
      <c r="C5469">
        <v>3</v>
      </c>
      <c r="D5469">
        <v>1</v>
      </c>
      <c r="E5469">
        <v>11530</v>
      </c>
      <c r="F5469">
        <v>109417.65</v>
      </c>
      <c r="G5469">
        <v>0</v>
      </c>
      <c r="H5469">
        <v>0</v>
      </c>
      <c r="I5469">
        <v>0</v>
      </c>
      <c r="J5469">
        <v>-1753546.01</v>
      </c>
      <c r="K5469">
        <v>0</v>
      </c>
      <c r="L5469">
        <v>13239804.41</v>
      </c>
      <c r="M5469">
        <v>14993350.42</v>
      </c>
      <c r="N5469">
        <v>13239804.41</v>
      </c>
      <c r="O5469">
        <v>14993350.42</v>
      </c>
      <c r="P5469">
        <v>13239804.41</v>
      </c>
      <c r="Q5469">
        <v>14993350.42</v>
      </c>
      <c r="R5469" s="14">
        <f>_xlfn.XLOOKUP(Table2[[#This Row],[LoanID]],Table1[G-L ID],Table1[ManagerCode],-99)</f>
        <v>119</v>
      </c>
      <c r="T5469"/>
    </row>
    <row r="5470" spans="1:20" x14ac:dyDescent="0.25">
      <c r="A5470">
        <v>20170331</v>
      </c>
      <c r="B5470">
        <v>2017</v>
      </c>
      <c r="C5470">
        <v>3</v>
      </c>
      <c r="D5470">
        <v>1</v>
      </c>
      <c r="E5470">
        <v>11590</v>
      </c>
      <c r="F5470">
        <v>22559.25</v>
      </c>
      <c r="G5470">
        <v>0</v>
      </c>
      <c r="H5470">
        <v>0</v>
      </c>
      <c r="I5470">
        <v>0</v>
      </c>
      <c r="J5470">
        <v>0</v>
      </c>
      <c r="K5470">
        <v>0</v>
      </c>
      <c r="L5470">
        <v>3507224.44</v>
      </c>
      <c r="M5470">
        <v>3507224.44</v>
      </c>
      <c r="N5470">
        <v>3507224.44</v>
      </c>
      <c r="O5470">
        <v>3507224.44</v>
      </c>
      <c r="P5470">
        <v>3507224.44</v>
      </c>
      <c r="Q5470">
        <v>3507224.44</v>
      </c>
      <c r="R5470" s="14">
        <f>_xlfn.XLOOKUP(Table2[[#This Row],[LoanID]],Table1[G-L ID],Table1[ManagerCode],-99)</f>
        <v>119</v>
      </c>
      <c r="T5470"/>
    </row>
    <row r="5471" spans="1:20" x14ac:dyDescent="0.25">
      <c r="A5471">
        <v>20170331</v>
      </c>
      <c r="B5471">
        <v>2017</v>
      </c>
      <c r="C5471">
        <v>3</v>
      </c>
      <c r="D5471">
        <v>1</v>
      </c>
      <c r="E5471">
        <v>11650</v>
      </c>
      <c r="F5471">
        <v>75000</v>
      </c>
      <c r="G5471">
        <v>0</v>
      </c>
      <c r="H5471">
        <v>0</v>
      </c>
      <c r="I5471">
        <v>0</v>
      </c>
      <c r="J5471">
        <v>0</v>
      </c>
      <c r="K5471">
        <v>0</v>
      </c>
      <c r="L5471">
        <v>11880000</v>
      </c>
      <c r="M5471">
        <v>11880000</v>
      </c>
      <c r="N5471">
        <v>11880000</v>
      </c>
      <c r="O5471">
        <v>11880000</v>
      </c>
      <c r="P5471">
        <v>12000000</v>
      </c>
      <c r="Q5471">
        <v>12000000</v>
      </c>
      <c r="R5471" s="14">
        <f>_xlfn.XLOOKUP(Table2[[#This Row],[LoanID]],Table1[G-L ID],Table1[ManagerCode],-99)</f>
        <v>103</v>
      </c>
      <c r="T5471"/>
    </row>
    <row r="5472" spans="1:20" x14ac:dyDescent="0.25">
      <c r="A5472">
        <v>20170331</v>
      </c>
      <c r="B5472">
        <v>2017</v>
      </c>
      <c r="C5472">
        <v>3</v>
      </c>
      <c r="D5472">
        <v>1</v>
      </c>
      <c r="E5472">
        <v>11680</v>
      </c>
      <c r="F5472">
        <v>57126.559999999998</v>
      </c>
      <c r="G5472">
        <v>0</v>
      </c>
      <c r="H5472">
        <v>0</v>
      </c>
      <c r="I5472">
        <v>0</v>
      </c>
      <c r="J5472">
        <v>0</v>
      </c>
      <c r="K5472">
        <v>0</v>
      </c>
      <c r="L5472">
        <v>6600000</v>
      </c>
      <c r="M5472">
        <v>6600000</v>
      </c>
      <c r="N5472">
        <v>6600000</v>
      </c>
      <c r="O5472">
        <v>6600000</v>
      </c>
      <c r="P5472">
        <v>6600000</v>
      </c>
      <c r="Q5472">
        <v>6600000</v>
      </c>
      <c r="R5472" s="14">
        <f>_xlfn.XLOOKUP(Table2[[#This Row],[LoanID]],Table1[G-L ID],Table1[ManagerCode],-99)</f>
        <v>183</v>
      </c>
      <c r="T5472"/>
    </row>
    <row r="5473" spans="1:20" x14ac:dyDescent="0.25">
      <c r="A5473">
        <v>20170331</v>
      </c>
      <c r="B5473">
        <v>2017</v>
      </c>
      <c r="C5473">
        <v>3</v>
      </c>
      <c r="D5473">
        <v>1</v>
      </c>
      <c r="E5473">
        <v>11690</v>
      </c>
      <c r="F5473">
        <v>129181.11</v>
      </c>
      <c r="G5473">
        <v>0</v>
      </c>
      <c r="H5473">
        <v>0</v>
      </c>
      <c r="I5473">
        <v>0</v>
      </c>
      <c r="J5473">
        <v>0</v>
      </c>
      <c r="K5473">
        <v>0</v>
      </c>
      <c r="L5473">
        <v>17000000</v>
      </c>
      <c r="M5473">
        <v>17000000</v>
      </c>
      <c r="N5473">
        <v>17000000</v>
      </c>
      <c r="O5473">
        <v>17000000</v>
      </c>
      <c r="P5473">
        <v>17000000</v>
      </c>
      <c r="Q5473">
        <v>17000000</v>
      </c>
      <c r="R5473" s="14">
        <f>_xlfn.XLOOKUP(Table2[[#This Row],[LoanID]],Table1[G-L ID],Table1[ManagerCode],-99)</f>
        <v>119</v>
      </c>
      <c r="T5473"/>
    </row>
    <row r="5474" spans="1:20" x14ac:dyDescent="0.25">
      <c r="A5474">
        <v>20170331</v>
      </c>
      <c r="B5474">
        <v>2017</v>
      </c>
      <c r="C5474">
        <v>3</v>
      </c>
      <c r="D5474">
        <v>1</v>
      </c>
      <c r="E5474">
        <v>11710</v>
      </c>
      <c r="F5474">
        <v>255998.07999999999</v>
      </c>
      <c r="G5474">
        <v>0</v>
      </c>
      <c r="H5474">
        <v>0</v>
      </c>
      <c r="I5474">
        <v>0</v>
      </c>
      <c r="J5474">
        <v>0</v>
      </c>
      <c r="K5474">
        <v>30000</v>
      </c>
      <c r="L5474">
        <v>14490000</v>
      </c>
      <c r="M5474">
        <v>14460000</v>
      </c>
      <c r="N5474">
        <v>14490000</v>
      </c>
      <c r="O5474">
        <v>14460000</v>
      </c>
      <c r="P5474">
        <v>14490000</v>
      </c>
      <c r="Q5474">
        <v>14460000</v>
      </c>
      <c r="R5474" s="14">
        <f>_xlfn.XLOOKUP(Table2[[#This Row],[LoanID]],Table1[G-L ID],Table1[ManagerCode],-99)</f>
        <v>119</v>
      </c>
      <c r="T5474"/>
    </row>
    <row r="5475" spans="1:20" x14ac:dyDescent="0.25">
      <c r="A5475">
        <v>20170331</v>
      </c>
      <c r="B5475">
        <v>2017</v>
      </c>
      <c r="C5475">
        <v>3</v>
      </c>
      <c r="D5475">
        <v>1</v>
      </c>
      <c r="E5475">
        <v>11720</v>
      </c>
      <c r="F5475">
        <v>245833.34</v>
      </c>
      <c r="G5475">
        <v>0</v>
      </c>
      <c r="H5475">
        <v>0</v>
      </c>
      <c r="I5475">
        <v>0</v>
      </c>
      <c r="J5475">
        <v>0</v>
      </c>
      <c r="K5475">
        <v>0</v>
      </c>
      <c r="L5475">
        <v>19800000</v>
      </c>
      <c r="M5475">
        <v>19800000</v>
      </c>
      <c r="N5475">
        <v>19800000</v>
      </c>
      <c r="O5475">
        <v>19800000</v>
      </c>
      <c r="P5475">
        <v>20000000</v>
      </c>
      <c r="Q5475">
        <v>20000000</v>
      </c>
      <c r="R5475" s="14">
        <f>_xlfn.XLOOKUP(Table2[[#This Row],[LoanID]],Table1[G-L ID],Table1[ManagerCode],-99)</f>
        <v>103</v>
      </c>
      <c r="T5475"/>
    </row>
    <row r="5476" spans="1:20" x14ac:dyDescent="0.25">
      <c r="A5476">
        <v>20170331</v>
      </c>
      <c r="B5476">
        <v>2017</v>
      </c>
      <c r="C5476">
        <v>3</v>
      </c>
      <c r="D5476">
        <v>1</v>
      </c>
      <c r="E5476">
        <v>11730</v>
      </c>
      <c r="F5476">
        <v>46679.23</v>
      </c>
      <c r="G5476">
        <v>0</v>
      </c>
      <c r="H5476">
        <v>0</v>
      </c>
      <c r="I5476">
        <v>0</v>
      </c>
      <c r="J5476">
        <v>0</v>
      </c>
      <c r="K5476">
        <v>8076.25</v>
      </c>
      <c r="L5476">
        <v>4975971</v>
      </c>
      <c r="M5476">
        <v>4967894.75</v>
      </c>
      <c r="N5476">
        <v>4975971</v>
      </c>
      <c r="O5476">
        <v>4967894.75</v>
      </c>
      <c r="P5476">
        <v>4975971</v>
      </c>
      <c r="Q5476">
        <v>4967894.75</v>
      </c>
      <c r="R5476" s="14">
        <f>_xlfn.XLOOKUP(Table2[[#This Row],[LoanID]],Table1[G-L ID],Table1[ManagerCode],-99)</f>
        <v>119</v>
      </c>
      <c r="T5476"/>
    </row>
    <row r="5477" spans="1:20" x14ac:dyDescent="0.25">
      <c r="A5477">
        <v>20170331</v>
      </c>
      <c r="B5477">
        <v>2017</v>
      </c>
      <c r="C5477">
        <v>3</v>
      </c>
      <c r="D5477">
        <v>1</v>
      </c>
      <c r="E5477">
        <v>11750</v>
      </c>
      <c r="F5477">
        <v>207737.03</v>
      </c>
      <c r="G5477">
        <v>119016.92</v>
      </c>
      <c r="H5477">
        <v>0</v>
      </c>
      <c r="I5477">
        <v>0</v>
      </c>
      <c r="J5477">
        <v>-856949.76000000001</v>
      </c>
      <c r="K5477">
        <v>0</v>
      </c>
      <c r="L5477">
        <v>46970275.399999999</v>
      </c>
      <c r="M5477">
        <v>47946242.079999998</v>
      </c>
      <c r="N5477">
        <v>46970275.399999999</v>
      </c>
      <c r="O5477">
        <v>47946242.079999998</v>
      </c>
      <c r="P5477">
        <v>46970275.399999999</v>
      </c>
      <c r="Q5477">
        <v>47946242.079999998</v>
      </c>
      <c r="R5477" s="14">
        <f>_xlfn.XLOOKUP(Table2[[#This Row],[LoanID]],Table1[G-L ID],Table1[ManagerCode],-99)</f>
        <v>183</v>
      </c>
      <c r="T5477"/>
    </row>
    <row r="5478" spans="1:20" x14ac:dyDescent="0.25">
      <c r="A5478">
        <v>20170331</v>
      </c>
      <c r="B5478">
        <v>2017</v>
      </c>
      <c r="C5478">
        <v>3</v>
      </c>
      <c r="D5478">
        <v>1</v>
      </c>
      <c r="E5478">
        <v>11810</v>
      </c>
      <c r="F5478">
        <v>71480.899999999994</v>
      </c>
      <c r="G5478">
        <v>0</v>
      </c>
      <c r="H5478">
        <v>0</v>
      </c>
      <c r="I5478">
        <v>0</v>
      </c>
      <c r="J5478">
        <v>0</v>
      </c>
      <c r="K5478">
        <v>9266875.8800000008</v>
      </c>
      <c r="L5478">
        <v>9266875.8800000008</v>
      </c>
      <c r="M5478">
        <v>0</v>
      </c>
      <c r="N5478">
        <v>9266875.8800000008</v>
      </c>
      <c r="O5478">
        <v>0</v>
      </c>
      <c r="P5478">
        <v>9266875.8800000008</v>
      </c>
      <c r="Q5478">
        <v>0</v>
      </c>
      <c r="R5478" s="14">
        <f>_xlfn.XLOOKUP(Table2[[#This Row],[LoanID]],Table1[G-L ID],Table1[ManagerCode],-99)</f>
        <v>103</v>
      </c>
      <c r="T5478"/>
    </row>
    <row r="5479" spans="1:20" x14ac:dyDescent="0.25">
      <c r="A5479">
        <v>20170331</v>
      </c>
      <c r="B5479">
        <v>2017</v>
      </c>
      <c r="C5479">
        <v>3</v>
      </c>
      <c r="D5479">
        <v>1</v>
      </c>
      <c r="E5479">
        <v>11830</v>
      </c>
      <c r="F5479">
        <v>64802.65</v>
      </c>
      <c r="G5479">
        <v>0</v>
      </c>
      <c r="H5479">
        <v>0</v>
      </c>
      <c r="I5479">
        <v>0</v>
      </c>
      <c r="J5479">
        <v>-597553.22</v>
      </c>
      <c r="K5479">
        <v>0</v>
      </c>
      <c r="L5479">
        <v>7469537.9400000004</v>
      </c>
      <c r="M5479">
        <v>8067091.1600000001</v>
      </c>
      <c r="N5479">
        <v>7469537.9400000004</v>
      </c>
      <c r="O5479">
        <v>8067091.1600000001</v>
      </c>
      <c r="P5479">
        <v>7469537.9400000004</v>
      </c>
      <c r="Q5479">
        <v>8067091.1600000001</v>
      </c>
      <c r="R5479" s="14">
        <f>_xlfn.XLOOKUP(Table2[[#This Row],[LoanID]],Table1[G-L ID],Table1[ManagerCode],-99)</f>
        <v>119</v>
      </c>
      <c r="T5479"/>
    </row>
    <row r="5480" spans="1:20" x14ac:dyDescent="0.25">
      <c r="A5480">
        <v>20170331</v>
      </c>
      <c r="B5480">
        <v>2017</v>
      </c>
      <c r="C5480">
        <v>3</v>
      </c>
      <c r="D5480">
        <v>1</v>
      </c>
      <c r="E5480">
        <v>11850</v>
      </c>
      <c r="F5480">
        <v>97500</v>
      </c>
      <c r="G5480">
        <v>0</v>
      </c>
      <c r="H5480">
        <v>0</v>
      </c>
      <c r="I5480">
        <v>0</v>
      </c>
      <c r="J5480">
        <v>0</v>
      </c>
      <c r="K5480">
        <v>0</v>
      </c>
      <c r="L5480">
        <v>9000000</v>
      </c>
      <c r="M5480">
        <v>9000000</v>
      </c>
      <c r="N5480">
        <v>9000000</v>
      </c>
      <c r="O5480">
        <v>9000000</v>
      </c>
      <c r="P5480">
        <v>9000000</v>
      </c>
      <c r="Q5480">
        <v>9000000</v>
      </c>
      <c r="R5480" s="14">
        <f>_xlfn.XLOOKUP(Table2[[#This Row],[LoanID]],Table1[G-L ID],Table1[ManagerCode],-99)</f>
        <v>183</v>
      </c>
      <c r="T5480"/>
    </row>
    <row r="5481" spans="1:20" x14ac:dyDescent="0.25">
      <c r="A5481">
        <v>20170331</v>
      </c>
      <c r="B5481">
        <v>2017</v>
      </c>
      <c r="C5481">
        <v>3</v>
      </c>
      <c r="D5481">
        <v>1</v>
      </c>
      <c r="E5481">
        <v>11980</v>
      </c>
      <c r="F5481">
        <v>63374.89</v>
      </c>
      <c r="G5481">
        <v>0</v>
      </c>
      <c r="H5481">
        <v>0</v>
      </c>
      <c r="I5481">
        <v>0</v>
      </c>
      <c r="J5481">
        <v>0</v>
      </c>
      <c r="K5481">
        <v>0</v>
      </c>
      <c r="L5481">
        <v>7400000</v>
      </c>
      <c r="M5481">
        <v>7400000</v>
      </c>
      <c r="N5481">
        <v>7400000</v>
      </c>
      <c r="O5481">
        <v>7400000</v>
      </c>
      <c r="P5481">
        <v>7400000</v>
      </c>
      <c r="Q5481">
        <v>7400000</v>
      </c>
      <c r="R5481" s="14">
        <f>_xlfn.XLOOKUP(Table2[[#This Row],[LoanID]],Table1[G-L ID],Table1[ManagerCode],-99)</f>
        <v>119</v>
      </c>
      <c r="T5481"/>
    </row>
    <row r="5482" spans="1:20" x14ac:dyDescent="0.25">
      <c r="A5482">
        <v>20170331</v>
      </c>
      <c r="B5482">
        <v>2017</v>
      </c>
      <c r="C5482">
        <v>3</v>
      </c>
      <c r="D5482">
        <v>1</v>
      </c>
      <c r="E5482">
        <v>11990</v>
      </c>
      <c r="F5482">
        <v>97685</v>
      </c>
      <c r="G5482">
        <v>0</v>
      </c>
      <c r="H5482">
        <v>0</v>
      </c>
      <c r="I5482">
        <v>0</v>
      </c>
      <c r="J5482">
        <v>0</v>
      </c>
      <c r="K5482">
        <v>0</v>
      </c>
      <c r="L5482">
        <v>14805000</v>
      </c>
      <c r="M5482">
        <v>14805000</v>
      </c>
      <c r="N5482">
        <v>14805000</v>
      </c>
      <c r="O5482">
        <v>14805000</v>
      </c>
      <c r="P5482">
        <v>15000000</v>
      </c>
      <c r="Q5482">
        <v>15000000</v>
      </c>
      <c r="R5482" s="14">
        <f>_xlfn.XLOOKUP(Table2[[#This Row],[LoanID]],Table1[G-L ID],Table1[ManagerCode],-99)</f>
        <v>220</v>
      </c>
      <c r="T5482"/>
    </row>
    <row r="5483" spans="1:20" x14ac:dyDescent="0.25">
      <c r="A5483">
        <v>20170331</v>
      </c>
      <c r="B5483">
        <v>2017</v>
      </c>
      <c r="C5483">
        <v>3</v>
      </c>
      <c r="D5483">
        <v>1</v>
      </c>
      <c r="E5483">
        <v>12010</v>
      </c>
      <c r="F5483">
        <v>190382.61</v>
      </c>
      <c r="G5483">
        <v>0</v>
      </c>
      <c r="H5483">
        <v>0</v>
      </c>
      <c r="I5483">
        <v>0</v>
      </c>
      <c r="J5483">
        <v>-245569.62</v>
      </c>
      <c r="K5483">
        <v>0</v>
      </c>
      <c r="L5483">
        <v>20542203.120000001</v>
      </c>
      <c r="M5483">
        <v>20787772.739999998</v>
      </c>
      <c r="N5483">
        <v>20542203.120000001</v>
      </c>
      <c r="O5483">
        <v>20787772.739999998</v>
      </c>
      <c r="P5483">
        <v>20542203.120000001</v>
      </c>
      <c r="Q5483">
        <v>20787772.739999998</v>
      </c>
      <c r="R5483" s="14">
        <f>_xlfn.XLOOKUP(Table2[[#This Row],[LoanID]],Table1[G-L ID],Table1[ManagerCode],-99)</f>
        <v>119</v>
      </c>
      <c r="T5483"/>
    </row>
    <row r="5484" spans="1:20" x14ac:dyDescent="0.25">
      <c r="A5484">
        <v>20170331</v>
      </c>
      <c r="B5484">
        <v>2017</v>
      </c>
      <c r="C5484">
        <v>3</v>
      </c>
      <c r="D5484">
        <v>1</v>
      </c>
      <c r="E5484">
        <v>12030</v>
      </c>
      <c r="F5484">
        <v>41354.83</v>
      </c>
      <c r="G5484">
        <v>0</v>
      </c>
      <c r="H5484">
        <v>0</v>
      </c>
      <c r="I5484">
        <v>0</v>
      </c>
      <c r="J5484">
        <v>0</v>
      </c>
      <c r="K5484">
        <v>0</v>
      </c>
      <c r="L5484">
        <v>6375000</v>
      </c>
      <c r="M5484">
        <v>6375000</v>
      </c>
      <c r="N5484">
        <v>6375000</v>
      </c>
      <c r="O5484">
        <v>6375000</v>
      </c>
      <c r="P5484">
        <v>6375000</v>
      </c>
      <c r="Q5484">
        <v>6375000</v>
      </c>
      <c r="R5484" s="14">
        <f>_xlfn.XLOOKUP(Table2[[#This Row],[LoanID]],Table1[G-L ID],Table1[ManagerCode],-99)</f>
        <v>119</v>
      </c>
      <c r="T5484"/>
    </row>
    <row r="5485" spans="1:20" x14ac:dyDescent="0.25">
      <c r="A5485">
        <v>20170331</v>
      </c>
      <c r="B5485">
        <v>2017</v>
      </c>
      <c r="C5485">
        <v>3</v>
      </c>
      <c r="D5485">
        <v>1</v>
      </c>
      <c r="E5485">
        <v>12180</v>
      </c>
      <c r="F5485">
        <v>225127.78</v>
      </c>
      <c r="G5485">
        <v>0</v>
      </c>
      <c r="H5485">
        <v>87500</v>
      </c>
      <c r="I5485">
        <v>0</v>
      </c>
      <c r="J5485">
        <v>0</v>
      </c>
      <c r="K5485">
        <v>0</v>
      </c>
      <c r="L5485">
        <v>35000000</v>
      </c>
      <c r="M5485">
        <v>35000000</v>
      </c>
      <c r="N5485">
        <v>35000000</v>
      </c>
      <c r="O5485">
        <v>35000000</v>
      </c>
      <c r="P5485">
        <v>35000000</v>
      </c>
      <c r="Q5485">
        <v>35000000</v>
      </c>
      <c r="R5485" s="14">
        <f>_xlfn.XLOOKUP(Table2[[#This Row],[LoanID]],Table1[G-L ID],Table1[ManagerCode],-99)</f>
        <v>220</v>
      </c>
      <c r="T5485"/>
    </row>
    <row r="5486" spans="1:20" x14ac:dyDescent="0.25">
      <c r="A5486">
        <v>20170331</v>
      </c>
      <c r="B5486">
        <v>2017</v>
      </c>
      <c r="C5486">
        <v>3</v>
      </c>
      <c r="D5486">
        <v>1</v>
      </c>
      <c r="E5486">
        <v>12190</v>
      </c>
      <c r="F5486">
        <v>250576.52</v>
      </c>
      <c r="G5486">
        <v>0</v>
      </c>
      <c r="H5486">
        <v>0</v>
      </c>
      <c r="I5486">
        <v>0</v>
      </c>
      <c r="J5486">
        <v>0</v>
      </c>
      <c r="K5486">
        <v>0</v>
      </c>
      <c r="L5486">
        <v>34383117</v>
      </c>
      <c r="M5486">
        <v>34383117</v>
      </c>
      <c r="N5486">
        <v>34383117</v>
      </c>
      <c r="O5486">
        <v>34383117</v>
      </c>
      <c r="P5486">
        <v>34383117</v>
      </c>
      <c r="Q5486">
        <v>34383117</v>
      </c>
      <c r="R5486" s="14">
        <f>_xlfn.XLOOKUP(Table2[[#This Row],[LoanID]],Table1[G-L ID],Table1[ManagerCode],-99)</f>
        <v>220</v>
      </c>
      <c r="T5486"/>
    </row>
    <row r="5487" spans="1:20" x14ac:dyDescent="0.25">
      <c r="A5487">
        <v>20170331</v>
      </c>
      <c r="B5487">
        <v>2017</v>
      </c>
      <c r="C5487">
        <v>3</v>
      </c>
      <c r="D5487">
        <v>1</v>
      </c>
      <c r="E5487">
        <v>12220</v>
      </c>
      <c r="F5487">
        <v>182822.29</v>
      </c>
      <c r="G5487">
        <v>0</v>
      </c>
      <c r="H5487">
        <v>0</v>
      </c>
      <c r="I5487">
        <v>0</v>
      </c>
      <c r="J5487">
        <v>0</v>
      </c>
      <c r="K5487">
        <v>0</v>
      </c>
      <c r="L5487">
        <v>54500000</v>
      </c>
      <c r="M5487">
        <v>54500000</v>
      </c>
      <c r="N5487">
        <v>27250000</v>
      </c>
      <c r="O5487">
        <v>27250000</v>
      </c>
      <c r="P5487">
        <v>54500000</v>
      </c>
      <c r="Q5487">
        <v>54500000</v>
      </c>
      <c r="R5487" s="14">
        <f>_xlfn.XLOOKUP(Table2[[#This Row],[LoanID]],Table1[G-L ID],Table1[ManagerCode],-99)</f>
        <v>183</v>
      </c>
      <c r="T5487"/>
    </row>
    <row r="5488" spans="1:20" x14ac:dyDescent="0.25">
      <c r="A5488">
        <v>20170331</v>
      </c>
      <c r="B5488">
        <v>2017</v>
      </c>
      <c r="C5488">
        <v>3</v>
      </c>
      <c r="D5488">
        <v>1</v>
      </c>
      <c r="E5488">
        <v>12230</v>
      </c>
      <c r="F5488">
        <v>114890.64</v>
      </c>
      <c r="G5488">
        <v>0</v>
      </c>
      <c r="H5488">
        <v>0</v>
      </c>
      <c r="I5488">
        <v>0</v>
      </c>
      <c r="J5488">
        <v>0</v>
      </c>
      <c r="K5488">
        <v>0</v>
      </c>
      <c r="L5488">
        <v>20472262.73</v>
      </c>
      <c r="M5488">
        <v>20472262.73</v>
      </c>
      <c r="N5488">
        <v>13956810.23</v>
      </c>
      <c r="O5488">
        <v>13956810.23</v>
      </c>
      <c r="P5488">
        <v>20472262.73</v>
      </c>
      <c r="Q5488">
        <v>20472262.73</v>
      </c>
      <c r="R5488" s="14">
        <f>_xlfn.XLOOKUP(Table2[[#This Row],[LoanID]],Table1[G-L ID],Table1[ManagerCode],-99)</f>
        <v>183</v>
      </c>
      <c r="T5488"/>
    </row>
    <row r="5489" spans="1:20" x14ac:dyDescent="0.25">
      <c r="A5489">
        <v>20170331</v>
      </c>
      <c r="B5489">
        <v>2017</v>
      </c>
      <c r="C5489">
        <v>3</v>
      </c>
      <c r="D5489">
        <v>1</v>
      </c>
      <c r="E5489">
        <v>12240</v>
      </c>
      <c r="F5489">
        <v>0</v>
      </c>
      <c r="G5489">
        <v>1700148.07</v>
      </c>
      <c r="H5489">
        <v>0</v>
      </c>
      <c r="I5489">
        <v>0</v>
      </c>
      <c r="J5489">
        <v>0</v>
      </c>
      <c r="K5489">
        <v>0</v>
      </c>
      <c r="L5489">
        <v>152822298.59999999</v>
      </c>
      <c r="M5489">
        <v>154522446.69999999</v>
      </c>
      <c r="N5489">
        <v>152822298.59999999</v>
      </c>
      <c r="O5489">
        <v>154522446.69999999</v>
      </c>
      <c r="P5489">
        <v>152822298.59999999</v>
      </c>
      <c r="Q5489">
        <v>154522446.69999999</v>
      </c>
      <c r="R5489" s="14">
        <f>_xlfn.XLOOKUP(Table2[[#This Row],[LoanID]],Table1[G-L ID],Table1[ManagerCode],-99)</f>
        <v>183</v>
      </c>
      <c r="T5489"/>
    </row>
    <row r="5490" spans="1:20" x14ac:dyDescent="0.25">
      <c r="A5490">
        <v>20170331</v>
      </c>
      <c r="B5490">
        <v>2017</v>
      </c>
      <c r="C5490">
        <v>3</v>
      </c>
      <c r="D5490">
        <v>1</v>
      </c>
      <c r="E5490">
        <v>12250</v>
      </c>
      <c r="F5490">
        <v>80987.360000000001</v>
      </c>
      <c r="G5490">
        <v>0</v>
      </c>
      <c r="H5490">
        <v>0</v>
      </c>
      <c r="I5490">
        <v>0</v>
      </c>
      <c r="J5490">
        <v>-111147.65</v>
      </c>
      <c r="K5490">
        <v>0</v>
      </c>
      <c r="L5490">
        <v>10647924.210000001</v>
      </c>
      <c r="M5490">
        <v>10759071.859999999</v>
      </c>
      <c r="N5490">
        <v>10647924.210000001</v>
      </c>
      <c r="O5490">
        <v>10759071.859999999</v>
      </c>
      <c r="P5490">
        <v>10647924.210000001</v>
      </c>
      <c r="Q5490">
        <v>10759071.859999999</v>
      </c>
      <c r="R5490" s="14">
        <f>_xlfn.XLOOKUP(Table2[[#This Row],[LoanID]],Table1[G-L ID],Table1[ManagerCode],-99)</f>
        <v>119</v>
      </c>
      <c r="T5490"/>
    </row>
    <row r="5491" spans="1:20" x14ac:dyDescent="0.25">
      <c r="A5491">
        <v>20170331</v>
      </c>
      <c r="B5491">
        <v>2017</v>
      </c>
      <c r="C5491">
        <v>3</v>
      </c>
      <c r="D5491">
        <v>1</v>
      </c>
      <c r="E5491">
        <v>12260</v>
      </c>
      <c r="F5491">
        <v>-10068.75</v>
      </c>
      <c r="G5491">
        <v>0</v>
      </c>
      <c r="H5491">
        <v>-525000</v>
      </c>
      <c r="I5491">
        <v>0</v>
      </c>
      <c r="J5491">
        <v>33750000</v>
      </c>
      <c r="K5491">
        <v>0</v>
      </c>
      <c r="L5491">
        <v>45000000</v>
      </c>
      <c r="M5491">
        <v>11250000</v>
      </c>
      <c r="N5491">
        <v>45000000</v>
      </c>
      <c r="O5491">
        <v>11250000</v>
      </c>
      <c r="P5491">
        <v>45000000</v>
      </c>
      <c r="Q5491">
        <v>11250000</v>
      </c>
      <c r="R5491" s="14">
        <f>_xlfn.XLOOKUP(Table2[[#This Row],[LoanID]],Table1[G-L ID],Table1[ManagerCode],-99)</f>
        <v>119</v>
      </c>
      <c r="T5491"/>
    </row>
    <row r="5492" spans="1:20" x14ac:dyDescent="0.25">
      <c r="A5492">
        <v>20170331</v>
      </c>
      <c r="B5492">
        <v>2017</v>
      </c>
      <c r="C5492">
        <v>3</v>
      </c>
      <c r="D5492">
        <v>1</v>
      </c>
      <c r="E5492">
        <v>12270</v>
      </c>
      <c r="F5492">
        <v>69310.69</v>
      </c>
      <c r="G5492">
        <v>0</v>
      </c>
      <c r="H5492">
        <v>246040.11</v>
      </c>
      <c r="I5492">
        <v>0</v>
      </c>
      <c r="J5492">
        <v>-22559395.399999999</v>
      </c>
      <c r="K5492">
        <v>0</v>
      </c>
      <c r="L5492">
        <v>0</v>
      </c>
      <c r="M5492">
        <v>22559395.399999999</v>
      </c>
      <c r="N5492">
        <v>0</v>
      </c>
      <c r="O5492">
        <v>22559395.399999999</v>
      </c>
      <c r="P5492">
        <v>0</v>
      </c>
      <c r="Q5492">
        <v>22559395.399999999</v>
      </c>
      <c r="R5492" s="14">
        <f>_xlfn.XLOOKUP(Table2[[#This Row],[LoanID]],Table1[G-L ID],Table1[ManagerCode],-99)</f>
        <v>119</v>
      </c>
      <c r="T5492"/>
    </row>
    <row r="5493" spans="1:20" x14ac:dyDescent="0.25">
      <c r="A5493">
        <v>20170331</v>
      </c>
      <c r="B5493">
        <v>2017</v>
      </c>
      <c r="C5493">
        <v>3</v>
      </c>
      <c r="D5493">
        <v>1</v>
      </c>
      <c r="E5493">
        <v>12280</v>
      </c>
      <c r="F5493">
        <v>225712.55</v>
      </c>
      <c r="G5493">
        <v>0</v>
      </c>
      <c r="H5493">
        <v>243250</v>
      </c>
      <c r="I5493">
        <v>0</v>
      </c>
      <c r="J5493">
        <v>-12818750</v>
      </c>
      <c r="K5493">
        <v>0</v>
      </c>
      <c r="L5493">
        <v>0</v>
      </c>
      <c r="M5493">
        <v>12818750</v>
      </c>
      <c r="N5493">
        <v>0</v>
      </c>
      <c r="O5493">
        <v>12818750</v>
      </c>
      <c r="P5493">
        <v>0</v>
      </c>
      <c r="Q5493">
        <v>12818750</v>
      </c>
      <c r="R5493" s="14">
        <f>_xlfn.XLOOKUP(Table2[[#This Row],[LoanID]],Table1[G-L ID],Table1[ManagerCode],-99)</f>
        <v>119</v>
      </c>
      <c r="T5493"/>
    </row>
    <row r="5494" spans="1:20" x14ac:dyDescent="0.25">
      <c r="A5494">
        <v>20170331</v>
      </c>
      <c r="B5494">
        <v>2017</v>
      </c>
      <c r="C5494">
        <v>3</v>
      </c>
      <c r="D5494">
        <v>1</v>
      </c>
      <c r="E5494">
        <v>12390</v>
      </c>
      <c r="F5494">
        <v>24169.94</v>
      </c>
      <c r="G5494">
        <v>54344.19</v>
      </c>
      <c r="H5494">
        <v>0</v>
      </c>
      <c r="I5494">
        <v>0</v>
      </c>
      <c r="J5494">
        <v>-2866539.92</v>
      </c>
      <c r="K5494">
        <v>0</v>
      </c>
      <c r="L5494">
        <v>4765156.63</v>
      </c>
      <c r="M5494">
        <v>7686040.7400000002</v>
      </c>
      <c r="N5494">
        <v>4765156.63</v>
      </c>
      <c r="O5494">
        <v>7686040.7400000002</v>
      </c>
      <c r="P5494">
        <v>4765156.63</v>
      </c>
      <c r="Q5494">
        <v>7686040.7400000002</v>
      </c>
      <c r="R5494" s="14">
        <f>_xlfn.XLOOKUP(Table2[[#This Row],[LoanID]],Table1[G-L ID],Table1[ManagerCode],-99)</f>
        <v>183</v>
      </c>
      <c r="T5494"/>
    </row>
    <row r="5495" spans="1:20" x14ac:dyDescent="0.25">
      <c r="A5495">
        <v>20170331</v>
      </c>
      <c r="B5495">
        <v>2017</v>
      </c>
      <c r="C5495">
        <v>3</v>
      </c>
      <c r="D5495">
        <v>1</v>
      </c>
      <c r="E5495">
        <v>12410</v>
      </c>
      <c r="F5495">
        <v>567095.15</v>
      </c>
      <c r="G5495">
        <v>251669.44</v>
      </c>
      <c r="H5495">
        <v>0</v>
      </c>
      <c r="I5495">
        <v>0</v>
      </c>
      <c r="J5495">
        <v>0</v>
      </c>
      <c r="K5495">
        <v>0</v>
      </c>
      <c r="L5495">
        <v>74745825.010000005</v>
      </c>
      <c r="M5495">
        <v>74994977.75</v>
      </c>
      <c r="N5495">
        <v>74745825.010000005</v>
      </c>
      <c r="O5495">
        <v>74994977.75</v>
      </c>
      <c r="P5495">
        <v>75500833.329999998</v>
      </c>
      <c r="Q5495">
        <v>75752502.769999996</v>
      </c>
      <c r="R5495" s="14">
        <f>_xlfn.XLOOKUP(Table2[[#This Row],[LoanID]],Table1[G-L ID],Table1[ManagerCode],-99)</f>
        <v>103</v>
      </c>
      <c r="T5495"/>
    </row>
    <row r="5496" spans="1:20" x14ac:dyDescent="0.25">
      <c r="A5496">
        <v>20170331</v>
      </c>
      <c r="B5496">
        <v>2017</v>
      </c>
      <c r="C5496">
        <v>3</v>
      </c>
      <c r="D5496">
        <v>1</v>
      </c>
      <c r="E5496">
        <v>12420</v>
      </c>
      <c r="F5496">
        <v>1862.01</v>
      </c>
      <c r="G5496">
        <v>0</v>
      </c>
      <c r="H5496">
        <v>0</v>
      </c>
      <c r="I5496">
        <v>0</v>
      </c>
      <c r="J5496">
        <v>-245440</v>
      </c>
      <c r="K5496">
        <v>0</v>
      </c>
      <c r="L5496">
        <v>225806</v>
      </c>
      <c r="M5496">
        <v>471246</v>
      </c>
      <c r="N5496">
        <v>225806</v>
      </c>
      <c r="O5496">
        <v>471246</v>
      </c>
      <c r="P5496">
        <v>225806</v>
      </c>
      <c r="Q5496">
        <v>471246</v>
      </c>
      <c r="R5496" s="14">
        <f>_xlfn.XLOOKUP(Table2[[#This Row],[LoanID]],Table1[G-L ID],Table1[ManagerCode],-99)</f>
        <v>103</v>
      </c>
      <c r="T5496"/>
    </row>
    <row r="5497" spans="1:20" x14ac:dyDescent="0.25">
      <c r="A5497">
        <v>20170331</v>
      </c>
      <c r="B5497">
        <v>2017</v>
      </c>
      <c r="C5497">
        <v>3</v>
      </c>
      <c r="D5497">
        <v>1</v>
      </c>
      <c r="E5497">
        <v>12430</v>
      </c>
      <c r="F5497">
        <v>0</v>
      </c>
      <c r="G5497">
        <v>0</v>
      </c>
      <c r="H5497">
        <v>0</v>
      </c>
      <c r="I5497">
        <v>0</v>
      </c>
      <c r="J5497">
        <v>-1</v>
      </c>
      <c r="K5497">
        <v>0</v>
      </c>
      <c r="L5497">
        <v>0</v>
      </c>
      <c r="M5497">
        <v>1</v>
      </c>
      <c r="N5497">
        <v>0</v>
      </c>
      <c r="O5497">
        <v>1</v>
      </c>
      <c r="P5497">
        <v>0</v>
      </c>
      <c r="Q5497">
        <v>1</v>
      </c>
      <c r="R5497" s="14">
        <f>_xlfn.XLOOKUP(Table2[[#This Row],[LoanID]],Table1[G-L ID],Table1[ManagerCode],-99)</f>
        <v>103</v>
      </c>
      <c r="T5497"/>
    </row>
    <row r="5498" spans="1:20" x14ac:dyDescent="0.25">
      <c r="A5498">
        <v>20170331</v>
      </c>
      <c r="B5498">
        <v>2017</v>
      </c>
      <c r="C5498">
        <v>3</v>
      </c>
      <c r="D5498">
        <v>1</v>
      </c>
      <c r="E5498">
        <v>13020</v>
      </c>
      <c r="F5498">
        <v>0</v>
      </c>
      <c r="G5498">
        <v>0</v>
      </c>
      <c r="H5498">
        <v>0</v>
      </c>
      <c r="I5498">
        <v>0</v>
      </c>
      <c r="J5498">
        <v>0</v>
      </c>
      <c r="K5498">
        <v>0</v>
      </c>
      <c r="L5498">
        <v>0.01</v>
      </c>
      <c r="M5498">
        <v>0.01</v>
      </c>
      <c r="N5498">
        <v>0.01</v>
      </c>
      <c r="O5498">
        <v>0.01</v>
      </c>
      <c r="P5498">
        <v>0.01</v>
      </c>
      <c r="Q5498">
        <v>0.01</v>
      </c>
      <c r="R5498" s="14">
        <f>_xlfn.XLOOKUP(Table2[[#This Row],[LoanID]],Table1[G-L ID],Table1[ManagerCode],-99)</f>
        <v>103</v>
      </c>
      <c r="T5498"/>
    </row>
    <row r="5499" spans="1:20" x14ac:dyDescent="0.25">
      <c r="A5499">
        <v>20170331</v>
      </c>
      <c r="B5499">
        <v>2017</v>
      </c>
      <c r="C5499">
        <v>3</v>
      </c>
      <c r="D5499">
        <v>1</v>
      </c>
      <c r="E5499">
        <v>13630</v>
      </c>
      <c r="F5499">
        <v>197361.11</v>
      </c>
      <c r="G5499">
        <v>0</v>
      </c>
      <c r="H5499">
        <v>0</v>
      </c>
      <c r="I5499">
        <v>0</v>
      </c>
      <c r="J5499">
        <v>0</v>
      </c>
      <c r="K5499">
        <v>0</v>
      </c>
      <c r="L5499">
        <v>33569646.990000002</v>
      </c>
      <c r="M5499">
        <v>33569646.990000002</v>
      </c>
      <c r="N5499">
        <v>33569646.990000002</v>
      </c>
      <c r="O5499">
        <v>33569646.990000002</v>
      </c>
      <c r="P5499">
        <v>35000000</v>
      </c>
      <c r="Q5499">
        <v>35000000</v>
      </c>
      <c r="R5499" s="14">
        <f>_xlfn.XLOOKUP(Table2[[#This Row],[LoanID]],Table1[G-L ID],Table1[ManagerCode],-99)</f>
        <v>298</v>
      </c>
      <c r="T5499"/>
    </row>
    <row r="5500" spans="1:20" x14ac:dyDescent="0.25">
      <c r="A5500">
        <v>20170331</v>
      </c>
      <c r="B5500">
        <v>2017</v>
      </c>
      <c r="C5500">
        <v>3</v>
      </c>
      <c r="D5500">
        <v>1</v>
      </c>
      <c r="E5500">
        <v>13650</v>
      </c>
      <c r="F5500">
        <v>202222.22</v>
      </c>
      <c r="G5500">
        <v>0</v>
      </c>
      <c r="H5500">
        <v>0</v>
      </c>
      <c r="I5500">
        <v>0</v>
      </c>
      <c r="J5500">
        <v>0</v>
      </c>
      <c r="K5500">
        <v>0</v>
      </c>
      <c r="L5500">
        <v>40000000</v>
      </c>
      <c r="M5500">
        <v>40000000</v>
      </c>
      <c r="N5500">
        <v>40000000</v>
      </c>
      <c r="O5500">
        <v>40000000</v>
      </c>
      <c r="P5500">
        <v>40000000</v>
      </c>
      <c r="Q5500">
        <v>40000000</v>
      </c>
      <c r="R5500" s="14">
        <f>_xlfn.XLOOKUP(Table2[[#This Row],[LoanID]],Table1[G-L ID],Table1[ManagerCode],-99)</f>
        <v>298</v>
      </c>
      <c r="T5500"/>
    </row>
    <row r="5501" spans="1:20" x14ac:dyDescent="0.25">
      <c r="A5501">
        <v>20170331</v>
      </c>
      <c r="B5501">
        <v>2017</v>
      </c>
      <c r="C5501">
        <v>3</v>
      </c>
      <c r="D5501">
        <v>1</v>
      </c>
      <c r="E5501">
        <v>13660</v>
      </c>
      <c r="F5501">
        <v>106555.56</v>
      </c>
      <c r="G5501">
        <v>0</v>
      </c>
      <c r="H5501">
        <v>0</v>
      </c>
      <c r="I5501">
        <v>0</v>
      </c>
      <c r="J5501">
        <v>0</v>
      </c>
      <c r="K5501">
        <v>0</v>
      </c>
      <c r="L5501">
        <v>20000000</v>
      </c>
      <c r="M5501">
        <v>20000000</v>
      </c>
      <c r="N5501">
        <v>20000000</v>
      </c>
      <c r="O5501">
        <v>20000000</v>
      </c>
      <c r="P5501">
        <v>20000000</v>
      </c>
      <c r="Q5501">
        <v>20000000</v>
      </c>
      <c r="R5501" s="14">
        <f>_xlfn.XLOOKUP(Table2[[#This Row],[LoanID]],Table1[G-L ID],Table1[ManagerCode],-99)</f>
        <v>298</v>
      </c>
      <c r="T5501"/>
    </row>
    <row r="5502" spans="1:20" x14ac:dyDescent="0.25">
      <c r="A5502">
        <v>20170331</v>
      </c>
      <c r="B5502">
        <v>2017</v>
      </c>
      <c r="C5502">
        <v>3</v>
      </c>
      <c r="D5502">
        <v>1</v>
      </c>
      <c r="E5502">
        <v>13670</v>
      </c>
      <c r="F5502">
        <v>270375</v>
      </c>
      <c r="G5502">
        <v>0</v>
      </c>
      <c r="H5502">
        <v>0</v>
      </c>
      <c r="I5502">
        <v>0</v>
      </c>
      <c r="J5502">
        <v>0</v>
      </c>
      <c r="K5502">
        <v>0</v>
      </c>
      <c r="L5502">
        <v>37322264.049999997</v>
      </c>
      <c r="M5502">
        <v>37322264.049999997</v>
      </c>
      <c r="N5502">
        <v>37322264.049999997</v>
      </c>
      <c r="O5502">
        <v>37322264.049999997</v>
      </c>
      <c r="P5502">
        <v>37500000</v>
      </c>
      <c r="Q5502">
        <v>37500000</v>
      </c>
      <c r="R5502" s="14">
        <f>_xlfn.XLOOKUP(Table2[[#This Row],[LoanID]],Table1[G-L ID],Table1[ManagerCode],-99)</f>
        <v>298</v>
      </c>
      <c r="T5502"/>
    </row>
    <row r="5503" spans="1:20" x14ac:dyDescent="0.25">
      <c r="A5503">
        <v>20170331</v>
      </c>
      <c r="B5503">
        <v>2017</v>
      </c>
      <c r="C5503">
        <v>3</v>
      </c>
      <c r="D5503">
        <v>1</v>
      </c>
      <c r="E5503">
        <v>13680</v>
      </c>
      <c r="F5503">
        <v>137375</v>
      </c>
      <c r="G5503">
        <v>0</v>
      </c>
      <c r="H5503">
        <v>0</v>
      </c>
      <c r="I5503">
        <v>0</v>
      </c>
      <c r="J5503">
        <v>0</v>
      </c>
      <c r="K5503">
        <v>0</v>
      </c>
      <c r="L5503">
        <v>17989534.25</v>
      </c>
      <c r="M5503">
        <v>17989534.25</v>
      </c>
      <c r="N5503">
        <v>17989534.25</v>
      </c>
      <c r="O5503">
        <v>17989534.25</v>
      </c>
      <c r="P5503">
        <v>18000000</v>
      </c>
      <c r="Q5503">
        <v>18000000</v>
      </c>
      <c r="R5503" s="14">
        <f>_xlfn.XLOOKUP(Table2[[#This Row],[LoanID]],Table1[G-L ID],Table1[ManagerCode],-99)</f>
        <v>298</v>
      </c>
      <c r="T5503"/>
    </row>
    <row r="5504" spans="1:20" x14ac:dyDescent="0.25">
      <c r="A5504">
        <v>20170331</v>
      </c>
      <c r="B5504">
        <v>2017</v>
      </c>
      <c r="C5504">
        <v>3</v>
      </c>
      <c r="D5504">
        <v>1</v>
      </c>
      <c r="E5504">
        <v>13690</v>
      </c>
      <c r="F5504">
        <v>120555.56</v>
      </c>
      <c r="G5504">
        <v>0</v>
      </c>
      <c r="H5504">
        <v>0</v>
      </c>
      <c r="I5504">
        <v>0</v>
      </c>
      <c r="J5504">
        <v>0</v>
      </c>
      <c r="K5504">
        <v>0</v>
      </c>
      <c r="L5504">
        <v>18960334.350000001</v>
      </c>
      <c r="M5504">
        <v>18960334.350000001</v>
      </c>
      <c r="N5504">
        <v>18960334.350000001</v>
      </c>
      <c r="O5504">
        <v>18960334.350000001</v>
      </c>
      <c r="P5504">
        <v>20000000</v>
      </c>
      <c r="Q5504">
        <v>20000000</v>
      </c>
      <c r="R5504" s="14">
        <f>_xlfn.XLOOKUP(Table2[[#This Row],[LoanID]],Table1[G-L ID],Table1[ManagerCode],-99)</f>
        <v>298</v>
      </c>
      <c r="T5504"/>
    </row>
    <row r="5505" spans="1:20" x14ac:dyDescent="0.25">
      <c r="A5505">
        <v>20170331</v>
      </c>
      <c r="B5505">
        <v>2017</v>
      </c>
      <c r="C5505">
        <v>3</v>
      </c>
      <c r="D5505">
        <v>1</v>
      </c>
      <c r="E5505">
        <v>15540</v>
      </c>
      <c r="F5505">
        <v>197102.5</v>
      </c>
      <c r="G5505">
        <v>23514.17</v>
      </c>
      <c r="H5505">
        <v>0</v>
      </c>
      <c r="I5505">
        <v>-2041.67</v>
      </c>
      <c r="J5505">
        <v>0</v>
      </c>
      <c r="K5505">
        <v>0</v>
      </c>
      <c r="L5505">
        <v>52697102.5</v>
      </c>
      <c r="M5505">
        <v>52720616.670000002</v>
      </c>
      <c r="N5505">
        <v>52697102.5</v>
      </c>
      <c r="O5505">
        <v>52720616.670000002</v>
      </c>
      <c r="P5505">
        <v>52697102.5</v>
      </c>
      <c r="Q5505">
        <v>52720616.670000002</v>
      </c>
      <c r="R5505" s="14">
        <f>_xlfn.XLOOKUP(Table2[[#This Row],[LoanID]],Table1[G-L ID],Table1[ManagerCode],-99)</f>
        <v>212</v>
      </c>
      <c r="T5505"/>
    </row>
    <row r="5506" spans="1:20" x14ac:dyDescent="0.25">
      <c r="A5506">
        <v>20170331</v>
      </c>
      <c r="B5506">
        <v>2017</v>
      </c>
      <c r="C5506">
        <v>3</v>
      </c>
      <c r="D5506">
        <v>1</v>
      </c>
      <c r="E5506">
        <v>15580</v>
      </c>
      <c r="F5506">
        <v>105753.09</v>
      </c>
      <c r="G5506">
        <v>11190.12</v>
      </c>
      <c r="H5506">
        <v>6170.07</v>
      </c>
      <c r="I5506">
        <v>0</v>
      </c>
      <c r="J5506">
        <v>0</v>
      </c>
      <c r="K5506">
        <v>17648.22</v>
      </c>
      <c r="L5506">
        <v>14805024.390000001</v>
      </c>
      <c r="M5506">
        <v>14798566.289999999</v>
      </c>
      <c r="N5506">
        <v>14805024.390000001</v>
      </c>
      <c r="O5506">
        <v>14798566.289999999</v>
      </c>
      <c r="P5506">
        <v>14805024.390000001</v>
      </c>
      <c r="Q5506">
        <v>14798566.289999999</v>
      </c>
      <c r="R5506" s="14">
        <f>_xlfn.XLOOKUP(Table2[[#This Row],[LoanID]],Table1[G-L ID],Table1[ManagerCode],-99)</f>
        <v>212</v>
      </c>
      <c r="T5506"/>
    </row>
    <row r="5507" spans="1:20" x14ac:dyDescent="0.25">
      <c r="A5507">
        <v>20170430</v>
      </c>
      <c r="B5507">
        <v>2017</v>
      </c>
      <c r="C5507">
        <v>4</v>
      </c>
      <c r="D5507">
        <v>1</v>
      </c>
      <c r="E5507">
        <v>10010</v>
      </c>
      <c r="F5507">
        <v>169743.01</v>
      </c>
      <c r="G5507">
        <v>0</v>
      </c>
      <c r="H5507">
        <v>0</v>
      </c>
      <c r="I5507">
        <v>0</v>
      </c>
      <c r="J5507">
        <v>0</v>
      </c>
      <c r="K5507">
        <v>0</v>
      </c>
      <c r="L5507">
        <v>17168930.09</v>
      </c>
      <c r="M5507">
        <v>17168930.09</v>
      </c>
      <c r="N5507">
        <v>17168930.09</v>
      </c>
      <c r="O5507">
        <v>17168930.09</v>
      </c>
      <c r="P5507">
        <v>17168930.09</v>
      </c>
      <c r="Q5507">
        <v>17168930.09</v>
      </c>
      <c r="R5507" s="14">
        <f>_xlfn.XLOOKUP(Table2[[#This Row],[LoanID]],Table1[G-L ID],Table1[ManagerCode],-99)</f>
        <v>119</v>
      </c>
      <c r="T5507"/>
    </row>
    <row r="5508" spans="1:20" x14ac:dyDescent="0.25">
      <c r="A5508">
        <v>20170430</v>
      </c>
      <c r="B5508">
        <v>2017</v>
      </c>
      <c r="C5508">
        <v>4</v>
      </c>
      <c r="D5508">
        <v>1</v>
      </c>
      <c r="E5508">
        <v>10030</v>
      </c>
      <c r="F5508">
        <v>77247.360000000001</v>
      </c>
      <c r="G5508">
        <v>0</v>
      </c>
      <c r="H5508">
        <v>0</v>
      </c>
      <c r="I5508">
        <v>0</v>
      </c>
      <c r="J5508">
        <v>-1886829.2</v>
      </c>
      <c r="K5508">
        <v>0</v>
      </c>
      <c r="L5508">
        <v>9062000.5</v>
      </c>
      <c r="M5508">
        <v>10948829.699999999</v>
      </c>
      <c r="N5508">
        <v>9062000.5</v>
      </c>
      <c r="O5508">
        <v>10948829.699999999</v>
      </c>
      <c r="P5508">
        <v>9062000.5</v>
      </c>
      <c r="Q5508">
        <v>10948829.699999999</v>
      </c>
      <c r="R5508" s="14">
        <f>_xlfn.XLOOKUP(Table2[[#This Row],[LoanID]],Table1[G-L ID],Table1[ManagerCode],-99)</f>
        <v>119</v>
      </c>
      <c r="T5508"/>
    </row>
    <row r="5509" spans="1:20" x14ac:dyDescent="0.25">
      <c r="A5509">
        <v>20170430</v>
      </c>
      <c r="B5509">
        <v>2017</v>
      </c>
      <c r="C5509">
        <v>4</v>
      </c>
      <c r="D5509">
        <v>1</v>
      </c>
      <c r="E5509">
        <v>10040</v>
      </c>
      <c r="F5509">
        <v>46749.72</v>
      </c>
      <c r="G5509">
        <v>0</v>
      </c>
      <c r="H5509">
        <v>0</v>
      </c>
      <c r="I5509">
        <v>0</v>
      </c>
      <c r="J5509">
        <v>0</v>
      </c>
      <c r="K5509">
        <v>0</v>
      </c>
      <c r="L5509">
        <v>5000000</v>
      </c>
      <c r="M5509">
        <v>5000000</v>
      </c>
      <c r="N5509">
        <v>5000000</v>
      </c>
      <c r="O5509">
        <v>5000000</v>
      </c>
      <c r="P5509">
        <v>5000000</v>
      </c>
      <c r="Q5509">
        <v>5000000</v>
      </c>
      <c r="R5509" s="14">
        <f>_xlfn.XLOOKUP(Table2[[#This Row],[LoanID]],Table1[G-L ID],Table1[ManagerCode],-99)</f>
        <v>119</v>
      </c>
      <c r="T5509"/>
    </row>
    <row r="5510" spans="1:20" x14ac:dyDescent="0.25">
      <c r="A5510">
        <v>20170430</v>
      </c>
      <c r="B5510">
        <v>2017</v>
      </c>
      <c r="C5510">
        <v>4</v>
      </c>
      <c r="D5510">
        <v>1</v>
      </c>
      <c r="E5510">
        <v>10050</v>
      </c>
      <c r="F5510">
        <v>133963.48000000001</v>
      </c>
      <c r="G5510">
        <v>0</v>
      </c>
      <c r="H5510">
        <v>0</v>
      </c>
      <c r="I5510">
        <v>0</v>
      </c>
      <c r="J5510">
        <v>0</v>
      </c>
      <c r="K5510">
        <v>0</v>
      </c>
      <c r="L5510">
        <v>37214268.950000003</v>
      </c>
      <c r="M5510">
        <v>37505415.539999999</v>
      </c>
      <c r="N5510">
        <v>37214268.950000003</v>
      </c>
      <c r="O5510">
        <v>37505415.539999999</v>
      </c>
      <c r="P5510">
        <v>33333334</v>
      </c>
      <c r="Q5510">
        <v>33333334</v>
      </c>
      <c r="R5510" s="14">
        <f>_xlfn.XLOOKUP(Table2[[#This Row],[LoanID]],Table1[G-L ID],Table1[ManagerCode],-99)</f>
        <v>103</v>
      </c>
      <c r="T5510"/>
    </row>
    <row r="5511" spans="1:20" x14ac:dyDescent="0.25">
      <c r="A5511">
        <v>20170430</v>
      </c>
      <c r="B5511">
        <v>2017</v>
      </c>
      <c r="C5511">
        <v>4</v>
      </c>
      <c r="D5511">
        <v>1</v>
      </c>
      <c r="E5511">
        <v>10070</v>
      </c>
      <c r="F5511">
        <v>63733.63</v>
      </c>
      <c r="G5511">
        <v>0</v>
      </c>
      <c r="H5511">
        <v>0</v>
      </c>
      <c r="I5511">
        <v>0</v>
      </c>
      <c r="J5511">
        <v>0</v>
      </c>
      <c r="K5511">
        <v>0</v>
      </c>
      <c r="L5511">
        <v>5875000</v>
      </c>
      <c r="M5511">
        <v>5875000</v>
      </c>
      <c r="N5511">
        <v>5875000</v>
      </c>
      <c r="O5511">
        <v>5875000</v>
      </c>
      <c r="P5511">
        <v>5875000</v>
      </c>
      <c r="Q5511">
        <v>5875000</v>
      </c>
      <c r="R5511" s="14">
        <f>_xlfn.XLOOKUP(Table2[[#This Row],[LoanID]],Table1[G-L ID],Table1[ManagerCode],-99)</f>
        <v>119</v>
      </c>
      <c r="T5511"/>
    </row>
    <row r="5512" spans="1:20" x14ac:dyDescent="0.25">
      <c r="A5512">
        <v>20170430</v>
      </c>
      <c r="B5512">
        <v>2017</v>
      </c>
      <c r="C5512">
        <v>4</v>
      </c>
      <c r="D5512">
        <v>1</v>
      </c>
      <c r="E5512">
        <v>10110</v>
      </c>
      <c r="F5512">
        <v>148608.14000000001</v>
      </c>
      <c r="G5512">
        <v>0</v>
      </c>
      <c r="H5512">
        <v>0</v>
      </c>
      <c r="I5512">
        <v>0</v>
      </c>
      <c r="J5512">
        <v>0</v>
      </c>
      <c r="K5512">
        <v>0</v>
      </c>
      <c r="L5512">
        <v>16400000</v>
      </c>
      <c r="M5512">
        <v>16400000</v>
      </c>
      <c r="N5512">
        <v>16400000</v>
      </c>
      <c r="O5512">
        <v>16400000</v>
      </c>
      <c r="P5512">
        <v>16400000</v>
      </c>
      <c r="Q5512">
        <v>16400000</v>
      </c>
      <c r="R5512" s="14">
        <f>_xlfn.XLOOKUP(Table2[[#This Row],[LoanID]],Table1[G-L ID],Table1[ManagerCode],-99)</f>
        <v>119</v>
      </c>
      <c r="T5512"/>
    </row>
    <row r="5513" spans="1:20" x14ac:dyDescent="0.25">
      <c r="A5513">
        <v>20170430</v>
      </c>
      <c r="B5513">
        <v>2017</v>
      </c>
      <c r="C5513">
        <v>4</v>
      </c>
      <c r="D5513">
        <v>1</v>
      </c>
      <c r="E5513">
        <v>10120</v>
      </c>
      <c r="F5513">
        <v>58130.09</v>
      </c>
      <c r="G5513">
        <v>63628.22</v>
      </c>
      <c r="H5513">
        <v>0</v>
      </c>
      <c r="I5513">
        <v>0</v>
      </c>
      <c r="J5513">
        <v>-58130.09</v>
      </c>
      <c r="K5513">
        <v>0</v>
      </c>
      <c r="L5513">
        <v>11724950.09</v>
      </c>
      <c r="M5513">
        <v>11846708.4</v>
      </c>
      <c r="N5513">
        <v>11724950.09</v>
      </c>
      <c r="O5513">
        <v>11846708.4</v>
      </c>
      <c r="P5513">
        <v>11724950.09</v>
      </c>
      <c r="Q5513">
        <v>11846708.4</v>
      </c>
      <c r="R5513" s="14">
        <f>_xlfn.XLOOKUP(Table2[[#This Row],[LoanID]],Table1[G-L ID],Table1[ManagerCode],-99)</f>
        <v>183</v>
      </c>
      <c r="T5513"/>
    </row>
    <row r="5514" spans="1:20" x14ac:dyDescent="0.25">
      <c r="A5514">
        <v>20170430</v>
      </c>
      <c r="B5514">
        <v>2017</v>
      </c>
      <c r="C5514">
        <v>4</v>
      </c>
      <c r="D5514">
        <v>1</v>
      </c>
      <c r="E5514">
        <v>10160</v>
      </c>
      <c r="F5514">
        <v>131376.26</v>
      </c>
      <c r="G5514">
        <v>0</v>
      </c>
      <c r="H5514">
        <v>0</v>
      </c>
      <c r="I5514">
        <v>0</v>
      </c>
      <c r="J5514">
        <v>0</v>
      </c>
      <c r="K5514">
        <v>0</v>
      </c>
      <c r="L5514">
        <v>15450869.43</v>
      </c>
      <c r="M5514">
        <v>15450869.43</v>
      </c>
      <c r="N5514">
        <v>15450869.43</v>
      </c>
      <c r="O5514">
        <v>15450869.43</v>
      </c>
      <c r="P5514">
        <v>15450869.43</v>
      </c>
      <c r="Q5514">
        <v>15450869.43</v>
      </c>
      <c r="R5514" s="14">
        <f>_xlfn.XLOOKUP(Table2[[#This Row],[LoanID]],Table1[G-L ID],Table1[ManagerCode],-99)</f>
        <v>119</v>
      </c>
      <c r="T5514"/>
    </row>
    <row r="5515" spans="1:20" x14ac:dyDescent="0.25">
      <c r="A5515">
        <v>20170430</v>
      </c>
      <c r="B5515">
        <v>2017</v>
      </c>
      <c r="C5515">
        <v>4</v>
      </c>
      <c r="D5515">
        <v>1</v>
      </c>
      <c r="E5515">
        <v>10220</v>
      </c>
      <c r="F5515">
        <v>0</v>
      </c>
      <c r="G5515">
        <v>0</v>
      </c>
      <c r="H5515">
        <v>0</v>
      </c>
      <c r="I5515">
        <v>0</v>
      </c>
      <c r="J5515">
        <v>0</v>
      </c>
      <c r="K5515">
        <v>0</v>
      </c>
      <c r="L5515">
        <v>112586990.7</v>
      </c>
      <c r="M5515">
        <v>113046319.90000001</v>
      </c>
      <c r="N5515">
        <v>112586990.7</v>
      </c>
      <c r="O5515">
        <v>113046319.90000001</v>
      </c>
      <c r="P5515">
        <v>100000000</v>
      </c>
      <c r="Q5515">
        <v>100000000</v>
      </c>
      <c r="R5515" s="14">
        <f>_xlfn.XLOOKUP(Table2[[#This Row],[LoanID]],Table1[G-L ID],Table1[ManagerCode],-99)</f>
        <v>103</v>
      </c>
      <c r="T5515"/>
    </row>
    <row r="5516" spans="1:20" x14ac:dyDescent="0.25">
      <c r="A5516">
        <v>20170430</v>
      </c>
      <c r="B5516">
        <v>2017</v>
      </c>
      <c r="C5516">
        <v>4</v>
      </c>
      <c r="D5516">
        <v>1</v>
      </c>
      <c r="E5516">
        <v>10240</v>
      </c>
      <c r="F5516">
        <v>95938.54</v>
      </c>
      <c r="G5516">
        <v>0</v>
      </c>
      <c r="H5516">
        <v>0</v>
      </c>
      <c r="I5516">
        <v>0</v>
      </c>
      <c r="J5516">
        <v>0</v>
      </c>
      <c r="K5516">
        <v>0</v>
      </c>
      <c r="L5516">
        <v>12500000</v>
      </c>
      <c r="M5516">
        <v>12500000</v>
      </c>
      <c r="N5516">
        <v>12500000</v>
      </c>
      <c r="O5516">
        <v>12500000</v>
      </c>
      <c r="P5516">
        <v>12500000</v>
      </c>
      <c r="Q5516">
        <v>12500000</v>
      </c>
      <c r="R5516" s="14">
        <f>_xlfn.XLOOKUP(Table2[[#This Row],[LoanID]],Table1[G-L ID],Table1[ManagerCode],-99)</f>
        <v>220</v>
      </c>
      <c r="T5516"/>
    </row>
    <row r="5517" spans="1:20" x14ac:dyDescent="0.25">
      <c r="A5517">
        <v>20170430</v>
      </c>
      <c r="B5517">
        <v>2017</v>
      </c>
      <c r="C5517">
        <v>4</v>
      </c>
      <c r="D5517">
        <v>1</v>
      </c>
      <c r="E5517">
        <v>10250</v>
      </c>
      <c r="F5517">
        <v>52497.64</v>
      </c>
      <c r="G5517">
        <v>0</v>
      </c>
      <c r="H5517">
        <v>0</v>
      </c>
      <c r="I5517">
        <v>0</v>
      </c>
      <c r="J5517">
        <v>0</v>
      </c>
      <c r="K5517">
        <v>0</v>
      </c>
      <c r="L5517">
        <v>5000000</v>
      </c>
      <c r="M5517">
        <v>5000000</v>
      </c>
      <c r="N5517">
        <v>5000000</v>
      </c>
      <c r="O5517">
        <v>5000000</v>
      </c>
      <c r="P5517">
        <v>5000000</v>
      </c>
      <c r="Q5517">
        <v>5000000</v>
      </c>
      <c r="R5517" s="14">
        <f>_xlfn.XLOOKUP(Table2[[#This Row],[LoanID]],Table1[G-L ID],Table1[ManagerCode],-99)</f>
        <v>119</v>
      </c>
      <c r="T5517"/>
    </row>
    <row r="5518" spans="1:20" x14ac:dyDescent="0.25">
      <c r="A5518">
        <v>20170430</v>
      </c>
      <c r="B5518">
        <v>2017</v>
      </c>
      <c r="C5518">
        <v>4</v>
      </c>
      <c r="D5518">
        <v>1</v>
      </c>
      <c r="E5518">
        <v>10260</v>
      </c>
      <c r="F5518">
        <v>114461.05</v>
      </c>
      <c r="G5518">
        <v>0</v>
      </c>
      <c r="H5518">
        <v>0</v>
      </c>
      <c r="I5518">
        <v>0</v>
      </c>
      <c r="J5518">
        <v>0</v>
      </c>
      <c r="K5518">
        <v>0</v>
      </c>
      <c r="L5518">
        <v>15000000</v>
      </c>
      <c r="M5518">
        <v>15000000</v>
      </c>
      <c r="N5518">
        <v>15000000</v>
      </c>
      <c r="O5518">
        <v>15000000</v>
      </c>
      <c r="P5518">
        <v>15000000</v>
      </c>
      <c r="Q5518">
        <v>15000000</v>
      </c>
      <c r="R5518" s="14">
        <f>_xlfn.XLOOKUP(Table2[[#This Row],[LoanID]],Table1[G-L ID],Table1[ManagerCode],-99)</f>
        <v>220</v>
      </c>
      <c r="T5518"/>
    </row>
    <row r="5519" spans="1:20" x14ac:dyDescent="0.25">
      <c r="A5519">
        <v>20170430</v>
      </c>
      <c r="B5519">
        <v>2017</v>
      </c>
      <c r="C5519">
        <v>4</v>
      </c>
      <c r="D5519">
        <v>1</v>
      </c>
      <c r="E5519">
        <v>10270</v>
      </c>
      <c r="F5519">
        <v>46532.45</v>
      </c>
      <c r="G5519">
        <v>0</v>
      </c>
      <c r="H5519">
        <v>0</v>
      </c>
      <c r="I5519">
        <v>0</v>
      </c>
      <c r="J5519">
        <v>0</v>
      </c>
      <c r="K5519">
        <v>0</v>
      </c>
      <c r="L5519">
        <v>5400000</v>
      </c>
      <c r="M5519">
        <v>5400000</v>
      </c>
      <c r="N5519">
        <v>5400000</v>
      </c>
      <c r="O5519">
        <v>5400000</v>
      </c>
      <c r="P5519">
        <v>5400000</v>
      </c>
      <c r="Q5519">
        <v>5400000</v>
      </c>
      <c r="R5519" s="14">
        <f>_xlfn.XLOOKUP(Table2[[#This Row],[LoanID]],Table1[G-L ID],Table1[ManagerCode],-99)</f>
        <v>119</v>
      </c>
      <c r="T5519"/>
    </row>
    <row r="5520" spans="1:20" x14ac:dyDescent="0.25">
      <c r="A5520">
        <v>20170430</v>
      </c>
      <c r="B5520">
        <v>2017</v>
      </c>
      <c r="C5520">
        <v>4</v>
      </c>
      <c r="D5520">
        <v>1</v>
      </c>
      <c r="E5520">
        <v>10330</v>
      </c>
      <c r="F5520">
        <v>80858.12</v>
      </c>
      <c r="G5520">
        <v>0</v>
      </c>
      <c r="H5520">
        <v>0</v>
      </c>
      <c r="I5520">
        <v>0</v>
      </c>
      <c r="J5520">
        <v>0</v>
      </c>
      <c r="K5520">
        <v>0</v>
      </c>
      <c r="L5520">
        <v>8652759.6999999993</v>
      </c>
      <c r="M5520">
        <v>8652759.6999999993</v>
      </c>
      <c r="N5520">
        <v>8652759.6999999993</v>
      </c>
      <c r="O5520">
        <v>8652759.6999999993</v>
      </c>
      <c r="P5520">
        <v>8652759.6999999993</v>
      </c>
      <c r="Q5520">
        <v>8652759.6999999993</v>
      </c>
      <c r="R5520" s="14">
        <f>_xlfn.XLOOKUP(Table2[[#This Row],[LoanID]],Table1[G-L ID],Table1[ManagerCode],-99)</f>
        <v>119</v>
      </c>
      <c r="T5520"/>
    </row>
    <row r="5521" spans="1:20" x14ac:dyDescent="0.25">
      <c r="A5521">
        <v>20170430</v>
      </c>
      <c r="B5521">
        <v>2017</v>
      </c>
      <c r="C5521">
        <v>4</v>
      </c>
      <c r="D5521">
        <v>1</v>
      </c>
      <c r="E5521">
        <v>10350</v>
      </c>
      <c r="F5521">
        <v>198916.67</v>
      </c>
      <c r="G5521">
        <v>0</v>
      </c>
      <c r="H5521">
        <v>0</v>
      </c>
      <c r="I5521">
        <v>0</v>
      </c>
      <c r="J5521">
        <v>0</v>
      </c>
      <c r="K5521">
        <v>0</v>
      </c>
      <c r="L5521">
        <v>24800000</v>
      </c>
      <c r="M5521">
        <v>24800000</v>
      </c>
      <c r="N5521">
        <v>24800000</v>
      </c>
      <c r="O5521">
        <v>24800000</v>
      </c>
      <c r="P5521">
        <v>24800000</v>
      </c>
      <c r="Q5521">
        <v>24800000</v>
      </c>
      <c r="R5521" s="14">
        <f>_xlfn.XLOOKUP(Table2[[#This Row],[LoanID]],Table1[G-L ID],Table1[ManagerCode],-99)</f>
        <v>220</v>
      </c>
      <c r="T5521"/>
    </row>
    <row r="5522" spans="1:20" x14ac:dyDescent="0.25">
      <c r="A5522">
        <v>20170430</v>
      </c>
      <c r="B5522">
        <v>2017</v>
      </c>
      <c r="C5522">
        <v>4</v>
      </c>
      <c r="D5522">
        <v>1</v>
      </c>
      <c r="E5522">
        <v>10360</v>
      </c>
      <c r="F5522">
        <v>57858.96</v>
      </c>
      <c r="G5522">
        <v>0</v>
      </c>
      <c r="H5522">
        <v>0</v>
      </c>
      <c r="I5522">
        <v>0</v>
      </c>
      <c r="J5522">
        <v>0</v>
      </c>
      <c r="K5522">
        <v>0</v>
      </c>
      <c r="L5522">
        <v>5909000</v>
      </c>
      <c r="M5522">
        <v>5909000</v>
      </c>
      <c r="N5522">
        <v>5909000</v>
      </c>
      <c r="O5522">
        <v>5909000</v>
      </c>
      <c r="P5522">
        <v>5909000</v>
      </c>
      <c r="Q5522">
        <v>5909000</v>
      </c>
      <c r="R5522" s="14">
        <f>_xlfn.XLOOKUP(Table2[[#This Row],[LoanID]],Table1[G-L ID],Table1[ManagerCode],-99)</f>
        <v>183</v>
      </c>
      <c r="T5522"/>
    </row>
    <row r="5523" spans="1:20" x14ac:dyDescent="0.25">
      <c r="A5523">
        <v>20170430</v>
      </c>
      <c r="B5523">
        <v>2017</v>
      </c>
      <c r="C5523">
        <v>4</v>
      </c>
      <c r="D5523">
        <v>1</v>
      </c>
      <c r="E5523">
        <v>10410</v>
      </c>
      <c r="F5523">
        <v>111263.87</v>
      </c>
      <c r="G5523">
        <v>57631.02</v>
      </c>
      <c r="H5523">
        <v>0</v>
      </c>
      <c r="I5523">
        <v>0</v>
      </c>
      <c r="J5523">
        <v>-3126129.72</v>
      </c>
      <c r="K5523">
        <v>0</v>
      </c>
      <c r="L5523">
        <v>25292563.370000001</v>
      </c>
      <c r="M5523">
        <v>28476324.109999999</v>
      </c>
      <c r="N5523">
        <v>25292563.370000001</v>
      </c>
      <c r="O5523">
        <v>28476324.109999999</v>
      </c>
      <c r="P5523">
        <v>25292563.370000001</v>
      </c>
      <c r="Q5523">
        <v>28476324.109999999</v>
      </c>
      <c r="R5523" s="14">
        <f>_xlfn.XLOOKUP(Table2[[#This Row],[LoanID]],Table1[G-L ID],Table1[ManagerCode],-99)</f>
        <v>183</v>
      </c>
      <c r="T5523"/>
    </row>
    <row r="5524" spans="1:20" x14ac:dyDescent="0.25">
      <c r="A5524">
        <v>20170430</v>
      </c>
      <c r="B5524">
        <v>2017</v>
      </c>
      <c r="C5524">
        <v>4</v>
      </c>
      <c r="D5524">
        <v>1</v>
      </c>
      <c r="E5524">
        <v>10480</v>
      </c>
      <c r="F5524">
        <v>168131.93</v>
      </c>
      <c r="G5524">
        <v>0</v>
      </c>
      <c r="H5524">
        <v>0</v>
      </c>
      <c r="I5524">
        <v>0</v>
      </c>
      <c r="J5524">
        <v>0</v>
      </c>
      <c r="K5524">
        <v>0</v>
      </c>
      <c r="L5524">
        <v>21136483.620000001</v>
      </c>
      <c r="M5524">
        <v>21136483.620000001</v>
      </c>
      <c r="N5524">
        <v>21136483.620000001</v>
      </c>
      <c r="O5524">
        <v>21136483.620000001</v>
      </c>
      <c r="P5524">
        <v>21136483.620000001</v>
      </c>
      <c r="Q5524">
        <v>21136483.620000001</v>
      </c>
      <c r="R5524" s="14">
        <f>_xlfn.XLOOKUP(Table2[[#This Row],[LoanID]],Table1[G-L ID],Table1[ManagerCode],-99)</f>
        <v>119</v>
      </c>
      <c r="T5524"/>
    </row>
    <row r="5525" spans="1:20" x14ac:dyDescent="0.25">
      <c r="A5525">
        <v>20170430</v>
      </c>
      <c r="B5525">
        <v>2017</v>
      </c>
      <c r="C5525">
        <v>4</v>
      </c>
      <c r="D5525">
        <v>1</v>
      </c>
      <c r="E5525">
        <v>10500</v>
      </c>
      <c r="F5525">
        <v>180535.45</v>
      </c>
      <c r="G5525">
        <v>0</v>
      </c>
      <c r="H5525">
        <v>0</v>
      </c>
      <c r="I5525">
        <v>0</v>
      </c>
      <c r="J5525">
        <v>0</v>
      </c>
      <c r="K5525">
        <v>0</v>
      </c>
      <c r="L5525">
        <v>19211405.440000001</v>
      </c>
      <c r="M5525">
        <v>19211405.440000001</v>
      </c>
      <c r="N5525">
        <v>19211405.440000001</v>
      </c>
      <c r="O5525">
        <v>19211405.440000001</v>
      </c>
      <c r="P5525">
        <v>19211405.440000001</v>
      </c>
      <c r="Q5525">
        <v>19211405.440000001</v>
      </c>
      <c r="R5525" s="14">
        <f>_xlfn.XLOOKUP(Table2[[#This Row],[LoanID]],Table1[G-L ID],Table1[ManagerCode],-99)</f>
        <v>119</v>
      </c>
      <c r="T5525"/>
    </row>
    <row r="5526" spans="1:20" x14ac:dyDescent="0.25">
      <c r="A5526">
        <v>20170430</v>
      </c>
      <c r="B5526">
        <v>2017</v>
      </c>
      <c r="C5526">
        <v>4</v>
      </c>
      <c r="D5526">
        <v>1</v>
      </c>
      <c r="E5526">
        <v>10620</v>
      </c>
      <c r="F5526">
        <v>112363.03</v>
      </c>
      <c r="G5526">
        <v>0</v>
      </c>
      <c r="H5526">
        <v>0</v>
      </c>
      <c r="I5526">
        <v>0</v>
      </c>
      <c r="J5526">
        <v>0</v>
      </c>
      <c r="K5526">
        <v>0</v>
      </c>
      <c r="L5526">
        <v>11315131.58</v>
      </c>
      <c r="M5526">
        <v>11315131.58</v>
      </c>
      <c r="N5526">
        <v>11315131.58</v>
      </c>
      <c r="O5526">
        <v>11315131.58</v>
      </c>
      <c r="P5526">
        <v>11315131.58</v>
      </c>
      <c r="Q5526">
        <v>11315131.58</v>
      </c>
      <c r="R5526" s="14">
        <f>_xlfn.XLOOKUP(Table2[[#This Row],[LoanID]],Table1[G-L ID],Table1[ManagerCode],-99)</f>
        <v>119</v>
      </c>
      <c r="T5526"/>
    </row>
    <row r="5527" spans="1:20" x14ac:dyDescent="0.25">
      <c r="A5527">
        <v>20170430</v>
      </c>
      <c r="B5527">
        <v>2017</v>
      </c>
      <c r="C5527">
        <v>4</v>
      </c>
      <c r="D5527">
        <v>1</v>
      </c>
      <c r="E5527">
        <v>10670</v>
      </c>
      <c r="F5527">
        <v>271585.83</v>
      </c>
      <c r="G5527">
        <v>0</v>
      </c>
      <c r="H5527">
        <v>0</v>
      </c>
      <c r="I5527">
        <v>0</v>
      </c>
      <c r="J5527">
        <v>0</v>
      </c>
      <c r="K5527">
        <v>0</v>
      </c>
      <c r="L5527">
        <v>30000000</v>
      </c>
      <c r="M5527">
        <v>30000000</v>
      </c>
      <c r="N5527">
        <v>30000000</v>
      </c>
      <c r="O5527">
        <v>30000000</v>
      </c>
      <c r="P5527">
        <v>30000000</v>
      </c>
      <c r="Q5527">
        <v>30000000</v>
      </c>
      <c r="R5527" s="14">
        <f>_xlfn.XLOOKUP(Table2[[#This Row],[LoanID]],Table1[G-L ID],Table1[ManagerCode],-99)</f>
        <v>119</v>
      </c>
      <c r="T5527"/>
    </row>
    <row r="5528" spans="1:20" x14ac:dyDescent="0.25">
      <c r="A5528">
        <v>20170430</v>
      </c>
      <c r="B5528">
        <v>2017</v>
      </c>
      <c r="C5528">
        <v>4</v>
      </c>
      <c r="D5528">
        <v>1</v>
      </c>
      <c r="E5528">
        <v>10680</v>
      </c>
      <c r="F5528">
        <v>101544.81</v>
      </c>
      <c r="G5528">
        <v>0</v>
      </c>
      <c r="H5528">
        <v>0</v>
      </c>
      <c r="I5528">
        <v>0</v>
      </c>
      <c r="J5528">
        <v>-15502.52</v>
      </c>
      <c r="K5528">
        <v>0</v>
      </c>
      <c r="L5528">
        <v>11426585.99</v>
      </c>
      <c r="M5528">
        <v>11442088.51</v>
      </c>
      <c r="N5528">
        <v>11426585.99</v>
      </c>
      <c r="O5528">
        <v>11442088.51</v>
      </c>
      <c r="P5528">
        <v>11426585.99</v>
      </c>
      <c r="Q5528">
        <v>11442088.51</v>
      </c>
      <c r="R5528" s="14">
        <f>_xlfn.XLOOKUP(Table2[[#This Row],[LoanID]],Table1[G-L ID],Table1[ManagerCode],-99)</f>
        <v>119</v>
      </c>
      <c r="T5528"/>
    </row>
    <row r="5529" spans="1:20" x14ac:dyDescent="0.25">
      <c r="A5529">
        <v>20170430</v>
      </c>
      <c r="B5529">
        <v>2017</v>
      </c>
      <c r="C5529">
        <v>4</v>
      </c>
      <c r="D5529">
        <v>1</v>
      </c>
      <c r="E5529">
        <v>10730</v>
      </c>
      <c r="F5529">
        <v>103118.01</v>
      </c>
      <c r="G5529">
        <v>0</v>
      </c>
      <c r="H5529">
        <v>0</v>
      </c>
      <c r="I5529">
        <v>0</v>
      </c>
      <c r="J5529">
        <v>0</v>
      </c>
      <c r="K5529">
        <v>0</v>
      </c>
      <c r="L5529">
        <v>9500000</v>
      </c>
      <c r="M5529">
        <v>9500000</v>
      </c>
      <c r="N5529">
        <v>9500000</v>
      </c>
      <c r="O5529">
        <v>9500000</v>
      </c>
      <c r="P5529">
        <v>9500000</v>
      </c>
      <c r="Q5529">
        <v>9500000</v>
      </c>
      <c r="R5529" s="14">
        <f>_xlfn.XLOOKUP(Table2[[#This Row],[LoanID]],Table1[G-L ID],Table1[ManagerCode],-99)</f>
        <v>119</v>
      </c>
      <c r="T5529"/>
    </row>
    <row r="5530" spans="1:20" x14ac:dyDescent="0.25">
      <c r="A5530">
        <v>20170430</v>
      </c>
      <c r="B5530">
        <v>2017</v>
      </c>
      <c r="C5530">
        <v>4</v>
      </c>
      <c r="D5530">
        <v>1</v>
      </c>
      <c r="E5530">
        <v>10750</v>
      </c>
      <c r="F5530">
        <v>76953.45</v>
      </c>
      <c r="G5530">
        <v>0</v>
      </c>
      <c r="H5530">
        <v>0</v>
      </c>
      <c r="I5530">
        <v>0</v>
      </c>
      <c r="J5530">
        <v>-349881.41</v>
      </c>
      <c r="K5530">
        <v>0</v>
      </c>
      <c r="L5530">
        <v>8589832.1099999994</v>
      </c>
      <c r="M5530">
        <v>8939713.5199999996</v>
      </c>
      <c r="N5530">
        <v>8589832.1099999994</v>
      </c>
      <c r="O5530">
        <v>8939713.5199999996</v>
      </c>
      <c r="P5530">
        <v>8589832.1099999994</v>
      </c>
      <c r="Q5530">
        <v>8939713.5199999996</v>
      </c>
      <c r="R5530" s="14">
        <f>_xlfn.XLOOKUP(Table2[[#This Row],[LoanID]],Table1[G-L ID],Table1[ManagerCode],-99)</f>
        <v>119</v>
      </c>
      <c r="T5530"/>
    </row>
    <row r="5531" spans="1:20" x14ac:dyDescent="0.25">
      <c r="A5531">
        <v>20170430</v>
      </c>
      <c r="B5531">
        <v>2017</v>
      </c>
      <c r="C5531">
        <v>4</v>
      </c>
      <c r="D5531">
        <v>1</v>
      </c>
      <c r="E5531">
        <v>10780</v>
      </c>
      <c r="F5531">
        <v>338750.8</v>
      </c>
      <c r="G5531">
        <v>0</v>
      </c>
      <c r="H5531">
        <v>0</v>
      </c>
      <c r="I5531">
        <v>0</v>
      </c>
      <c r="J5531">
        <v>0</v>
      </c>
      <c r="K5531">
        <v>0</v>
      </c>
      <c r="L5531">
        <v>42932230</v>
      </c>
      <c r="M5531">
        <v>42932230</v>
      </c>
      <c r="N5531">
        <v>42932230</v>
      </c>
      <c r="O5531">
        <v>42932230</v>
      </c>
      <c r="P5531">
        <v>42932230</v>
      </c>
      <c r="Q5531">
        <v>42932230</v>
      </c>
      <c r="R5531" s="14">
        <f>_xlfn.XLOOKUP(Table2[[#This Row],[LoanID]],Table1[G-L ID],Table1[ManagerCode],-99)</f>
        <v>220</v>
      </c>
      <c r="T5531"/>
    </row>
    <row r="5532" spans="1:20" x14ac:dyDescent="0.25">
      <c r="A5532">
        <v>20170430</v>
      </c>
      <c r="B5532">
        <v>2017</v>
      </c>
      <c r="C5532">
        <v>4</v>
      </c>
      <c r="D5532">
        <v>1</v>
      </c>
      <c r="E5532">
        <v>10800</v>
      </c>
      <c r="F5532">
        <v>430404</v>
      </c>
      <c r="G5532">
        <v>0</v>
      </c>
      <c r="H5532">
        <v>0</v>
      </c>
      <c r="I5532">
        <v>0</v>
      </c>
      <c r="J5532">
        <v>0</v>
      </c>
      <c r="K5532">
        <v>0</v>
      </c>
      <c r="L5532">
        <v>48000000</v>
      </c>
      <c r="M5532">
        <v>48000000</v>
      </c>
      <c r="N5532">
        <v>48000000</v>
      </c>
      <c r="O5532">
        <v>48000000</v>
      </c>
      <c r="P5532">
        <v>48000000</v>
      </c>
      <c r="Q5532">
        <v>48000000</v>
      </c>
      <c r="R5532" s="14">
        <f>_xlfn.XLOOKUP(Table2[[#This Row],[LoanID]],Table1[G-L ID],Table1[ManagerCode],-99)</f>
        <v>220</v>
      </c>
      <c r="T5532"/>
    </row>
    <row r="5533" spans="1:20" x14ac:dyDescent="0.25">
      <c r="A5533">
        <v>20170430</v>
      </c>
      <c r="B5533">
        <v>2017</v>
      </c>
      <c r="C5533">
        <v>4</v>
      </c>
      <c r="D5533">
        <v>1</v>
      </c>
      <c r="E5533">
        <v>10810</v>
      </c>
      <c r="F5533">
        <v>90788.38</v>
      </c>
      <c r="G5533">
        <v>0</v>
      </c>
      <c r="H5533">
        <v>0</v>
      </c>
      <c r="I5533">
        <v>0</v>
      </c>
      <c r="J5533">
        <v>0</v>
      </c>
      <c r="K5533">
        <v>0</v>
      </c>
      <c r="L5533">
        <v>10456886.48</v>
      </c>
      <c r="M5533">
        <v>10456886.48</v>
      </c>
      <c r="N5533">
        <v>10456886.48</v>
      </c>
      <c r="O5533">
        <v>10456886.48</v>
      </c>
      <c r="P5533">
        <v>10456886.48</v>
      </c>
      <c r="Q5533">
        <v>10456886.48</v>
      </c>
      <c r="R5533" s="14">
        <f>_xlfn.XLOOKUP(Table2[[#This Row],[LoanID]],Table1[G-L ID],Table1[ManagerCode],-99)</f>
        <v>119</v>
      </c>
      <c r="T5533"/>
    </row>
    <row r="5534" spans="1:20" x14ac:dyDescent="0.25">
      <c r="A5534">
        <v>20170430</v>
      </c>
      <c r="B5534">
        <v>2017</v>
      </c>
      <c r="C5534">
        <v>4</v>
      </c>
      <c r="D5534">
        <v>1</v>
      </c>
      <c r="E5534">
        <v>10820</v>
      </c>
      <c r="F5534">
        <v>197375.03</v>
      </c>
      <c r="G5534">
        <v>0</v>
      </c>
      <c r="H5534">
        <v>0</v>
      </c>
      <c r="I5534">
        <v>0</v>
      </c>
      <c r="J5534">
        <v>0</v>
      </c>
      <c r="K5534">
        <v>0</v>
      </c>
      <c r="L5534">
        <v>24127338</v>
      </c>
      <c r="M5534">
        <v>24127338</v>
      </c>
      <c r="N5534">
        <v>24127338</v>
      </c>
      <c r="O5534">
        <v>24127338</v>
      </c>
      <c r="P5534">
        <v>24127337.739999998</v>
      </c>
      <c r="Q5534">
        <v>24127337.739999998</v>
      </c>
      <c r="R5534" s="14">
        <f>_xlfn.XLOOKUP(Table2[[#This Row],[LoanID]],Table1[G-L ID],Table1[ManagerCode],-99)</f>
        <v>220</v>
      </c>
      <c r="T5534"/>
    </row>
    <row r="5535" spans="1:20" x14ac:dyDescent="0.25">
      <c r="A5535">
        <v>20170430</v>
      </c>
      <c r="B5535">
        <v>2017</v>
      </c>
      <c r="C5535">
        <v>4</v>
      </c>
      <c r="D5535">
        <v>1</v>
      </c>
      <c r="E5535">
        <v>10830</v>
      </c>
      <c r="F5535">
        <v>63857.77</v>
      </c>
      <c r="G5535">
        <v>0</v>
      </c>
      <c r="H5535">
        <v>0</v>
      </c>
      <c r="I5535">
        <v>0</v>
      </c>
      <c r="J5535">
        <v>0</v>
      </c>
      <c r="K5535">
        <v>0</v>
      </c>
      <c r="L5535">
        <v>7806043.1399999997</v>
      </c>
      <c r="M5535">
        <v>7806043.1399999997</v>
      </c>
      <c r="N5535">
        <v>7806043.1399999997</v>
      </c>
      <c r="O5535">
        <v>7806043.1399999997</v>
      </c>
      <c r="P5535">
        <v>7806043.1399999997</v>
      </c>
      <c r="Q5535">
        <v>7806043.1399999997</v>
      </c>
      <c r="R5535" s="14">
        <f>_xlfn.XLOOKUP(Table2[[#This Row],[LoanID]],Table1[G-L ID],Table1[ManagerCode],-99)</f>
        <v>220</v>
      </c>
      <c r="T5535"/>
    </row>
    <row r="5536" spans="1:20" x14ac:dyDescent="0.25">
      <c r="A5536">
        <v>20170430</v>
      </c>
      <c r="B5536">
        <v>2017</v>
      </c>
      <c r="C5536">
        <v>4</v>
      </c>
      <c r="D5536">
        <v>1</v>
      </c>
      <c r="E5536">
        <v>10840</v>
      </c>
      <c r="F5536">
        <v>103968.23</v>
      </c>
      <c r="G5536">
        <v>0</v>
      </c>
      <c r="H5536">
        <v>0</v>
      </c>
      <c r="I5536">
        <v>0</v>
      </c>
      <c r="J5536">
        <v>0</v>
      </c>
      <c r="K5536">
        <v>0</v>
      </c>
      <c r="L5536">
        <v>12709189</v>
      </c>
      <c r="M5536">
        <v>12709189</v>
      </c>
      <c r="N5536">
        <v>12709189</v>
      </c>
      <c r="O5536">
        <v>12709189</v>
      </c>
      <c r="P5536">
        <v>12709189</v>
      </c>
      <c r="Q5536">
        <v>12709189</v>
      </c>
      <c r="R5536" s="14">
        <f>_xlfn.XLOOKUP(Table2[[#This Row],[LoanID]],Table1[G-L ID],Table1[ManagerCode],-99)</f>
        <v>220</v>
      </c>
      <c r="T5536"/>
    </row>
    <row r="5537" spans="1:20" x14ac:dyDescent="0.25">
      <c r="A5537">
        <v>20170430</v>
      </c>
      <c r="B5537">
        <v>2017</v>
      </c>
      <c r="C5537">
        <v>4</v>
      </c>
      <c r="D5537">
        <v>1</v>
      </c>
      <c r="E5537">
        <v>10850</v>
      </c>
      <c r="F5537">
        <v>110534.78</v>
      </c>
      <c r="G5537">
        <v>0</v>
      </c>
      <c r="H5537">
        <v>0</v>
      </c>
      <c r="I5537">
        <v>0</v>
      </c>
      <c r="J5537">
        <v>0</v>
      </c>
      <c r="K5537">
        <v>0</v>
      </c>
      <c r="L5537">
        <v>13511892</v>
      </c>
      <c r="M5537">
        <v>13511892</v>
      </c>
      <c r="N5537">
        <v>13511892</v>
      </c>
      <c r="O5537">
        <v>13511892</v>
      </c>
      <c r="P5537">
        <v>13511892</v>
      </c>
      <c r="Q5537">
        <v>13511892</v>
      </c>
      <c r="R5537" s="14">
        <f>_xlfn.XLOOKUP(Table2[[#This Row],[LoanID]],Table1[G-L ID],Table1[ManagerCode],-99)</f>
        <v>220</v>
      </c>
      <c r="T5537"/>
    </row>
    <row r="5538" spans="1:20" x14ac:dyDescent="0.25">
      <c r="A5538">
        <v>20170430</v>
      </c>
      <c r="B5538">
        <v>2017</v>
      </c>
      <c r="C5538">
        <v>4</v>
      </c>
      <c r="D5538">
        <v>1</v>
      </c>
      <c r="E5538">
        <v>10860</v>
      </c>
      <c r="F5538">
        <v>130860.04</v>
      </c>
      <c r="G5538">
        <v>0</v>
      </c>
      <c r="H5538">
        <v>0</v>
      </c>
      <c r="I5538">
        <v>0</v>
      </c>
      <c r="J5538">
        <v>0</v>
      </c>
      <c r="K5538">
        <v>20500000</v>
      </c>
      <c r="L5538">
        <v>19475000</v>
      </c>
      <c r="M5538">
        <v>0</v>
      </c>
      <c r="N5538">
        <v>19475000</v>
      </c>
      <c r="O5538">
        <v>0</v>
      </c>
      <c r="P5538">
        <v>20500000</v>
      </c>
      <c r="Q5538">
        <v>0</v>
      </c>
      <c r="R5538" s="14">
        <f>_xlfn.XLOOKUP(Table2[[#This Row],[LoanID]],Table1[G-L ID],Table1[ManagerCode],-99)</f>
        <v>103</v>
      </c>
      <c r="T5538"/>
    </row>
    <row r="5539" spans="1:20" x14ac:dyDescent="0.25">
      <c r="A5539">
        <v>20170430</v>
      </c>
      <c r="B5539">
        <v>2017</v>
      </c>
      <c r="C5539">
        <v>4</v>
      </c>
      <c r="D5539">
        <v>1</v>
      </c>
      <c r="E5539">
        <v>10890</v>
      </c>
      <c r="F5539">
        <v>111193.96</v>
      </c>
      <c r="G5539">
        <v>93511.03</v>
      </c>
      <c r="H5539">
        <v>0</v>
      </c>
      <c r="I5539">
        <v>0</v>
      </c>
      <c r="J5539">
        <v>-111193.96</v>
      </c>
      <c r="K5539">
        <v>0</v>
      </c>
      <c r="L5539">
        <v>22331454.030000001</v>
      </c>
      <c r="M5539">
        <v>22536159.02</v>
      </c>
      <c r="N5539">
        <v>22331454.030000001</v>
      </c>
      <c r="O5539">
        <v>22536159.02</v>
      </c>
      <c r="P5539">
        <v>22331454.030000001</v>
      </c>
      <c r="Q5539">
        <v>22536159.02</v>
      </c>
      <c r="R5539" s="14">
        <f>_xlfn.XLOOKUP(Table2[[#This Row],[LoanID]],Table1[G-L ID],Table1[ManagerCode],-99)</f>
        <v>183</v>
      </c>
      <c r="T5539"/>
    </row>
    <row r="5540" spans="1:20" x14ac:dyDescent="0.25">
      <c r="A5540">
        <v>20170430</v>
      </c>
      <c r="B5540">
        <v>2017</v>
      </c>
      <c r="C5540">
        <v>4</v>
      </c>
      <c r="D5540">
        <v>1</v>
      </c>
      <c r="E5540">
        <v>10910</v>
      </c>
      <c r="F5540">
        <v>205768.95999999999</v>
      </c>
      <c r="G5540">
        <v>0</v>
      </c>
      <c r="H5540">
        <v>0</v>
      </c>
      <c r="I5540">
        <v>0</v>
      </c>
      <c r="J5540">
        <v>0</v>
      </c>
      <c r="K5540">
        <v>0</v>
      </c>
      <c r="L5540">
        <v>22500000</v>
      </c>
      <c r="M5540">
        <v>22500000</v>
      </c>
      <c r="N5540">
        <v>22500000</v>
      </c>
      <c r="O5540">
        <v>22500000</v>
      </c>
      <c r="P5540">
        <v>22500000</v>
      </c>
      <c r="Q5540">
        <v>22500000</v>
      </c>
      <c r="R5540" s="14">
        <f>_xlfn.XLOOKUP(Table2[[#This Row],[LoanID]],Table1[G-L ID],Table1[ManagerCode],-99)</f>
        <v>119</v>
      </c>
      <c r="T5540"/>
    </row>
    <row r="5541" spans="1:20" x14ac:dyDescent="0.25">
      <c r="A5541">
        <v>20170430</v>
      </c>
      <c r="B5541">
        <v>2017</v>
      </c>
      <c r="C5541">
        <v>4</v>
      </c>
      <c r="D5541">
        <v>1</v>
      </c>
      <c r="E5541">
        <v>10930</v>
      </c>
      <c r="F5541">
        <v>0</v>
      </c>
      <c r="G5541">
        <v>184703.55</v>
      </c>
      <c r="H5541">
        <v>0</v>
      </c>
      <c r="I5541">
        <v>0</v>
      </c>
      <c r="J5541">
        <v>0</v>
      </c>
      <c r="K5541">
        <v>0</v>
      </c>
      <c r="L5541">
        <v>17286357.870000001</v>
      </c>
      <c r="M5541">
        <v>17471061.420000002</v>
      </c>
      <c r="N5541">
        <v>17286357.870000001</v>
      </c>
      <c r="O5541">
        <v>17471061.420000002</v>
      </c>
      <c r="P5541">
        <v>17286357.870000001</v>
      </c>
      <c r="Q5541">
        <v>17471061.420000002</v>
      </c>
      <c r="R5541" s="14">
        <f>_xlfn.XLOOKUP(Table2[[#This Row],[LoanID]],Table1[G-L ID],Table1[ManagerCode],-99)</f>
        <v>183</v>
      </c>
      <c r="T5541"/>
    </row>
    <row r="5542" spans="1:20" x14ac:dyDescent="0.25">
      <c r="A5542">
        <v>20170430</v>
      </c>
      <c r="B5542">
        <v>2017</v>
      </c>
      <c r="C5542">
        <v>4</v>
      </c>
      <c r="D5542">
        <v>1</v>
      </c>
      <c r="E5542">
        <v>10970</v>
      </c>
      <c r="F5542">
        <v>22204.18</v>
      </c>
      <c r="G5542">
        <v>24304.32</v>
      </c>
      <c r="H5542">
        <v>0</v>
      </c>
      <c r="I5542">
        <v>0</v>
      </c>
      <c r="J5542">
        <v>-22204.18</v>
      </c>
      <c r="K5542">
        <v>0</v>
      </c>
      <c r="L5542">
        <v>4478624.46</v>
      </c>
      <c r="M5542">
        <v>4525132.96</v>
      </c>
      <c r="N5542">
        <v>4478624.46</v>
      </c>
      <c r="O5542">
        <v>4525132.96</v>
      </c>
      <c r="P5542">
        <v>4478624.46</v>
      </c>
      <c r="Q5542">
        <v>4525132.96</v>
      </c>
      <c r="R5542" s="14">
        <f>_xlfn.XLOOKUP(Table2[[#This Row],[LoanID]],Table1[G-L ID],Table1[ManagerCode],-99)</f>
        <v>183</v>
      </c>
      <c r="T5542"/>
    </row>
    <row r="5543" spans="1:20" x14ac:dyDescent="0.25">
      <c r="A5543">
        <v>20170430</v>
      </c>
      <c r="B5543">
        <v>2017</v>
      </c>
      <c r="C5543">
        <v>4</v>
      </c>
      <c r="D5543">
        <v>1</v>
      </c>
      <c r="E5543">
        <v>11010</v>
      </c>
      <c r="F5543">
        <v>223275.48</v>
      </c>
      <c r="G5543">
        <v>0</v>
      </c>
      <c r="H5543">
        <v>0</v>
      </c>
      <c r="I5543">
        <v>0</v>
      </c>
      <c r="J5543">
        <v>0</v>
      </c>
      <c r="K5543">
        <v>0</v>
      </c>
      <c r="L5543">
        <v>26500000</v>
      </c>
      <c r="M5543">
        <v>26500000</v>
      </c>
      <c r="N5543">
        <v>26500000</v>
      </c>
      <c r="O5543">
        <v>26500000</v>
      </c>
      <c r="P5543">
        <v>26500000</v>
      </c>
      <c r="Q5543">
        <v>26500000</v>
      </c>
      <c r="R5543" s="14">
        <f>_xlfn.XLOOKUP(Table2[[#This Row],[LoanID]],Table1[G-L ID],Table1[ManagerCode],-99)</f>
        <v>119</v>
      </c>
      <c r="T5543"/>
    </row>
    <row r="5544" spans="1:20" x14ac:dyDescent="0.25">
      <c r="A5544">
        <v>20170430</v>
      </c>
      <c r="B5544">
        <v>2017</v>
      </c>
      <c r="C5544">
        <v>4</v>
      </c>
      <c r="D5544">
        <v>1</v>
      </c>
      <c r="E5544">
        <v>11060</v>
      </c>
      <c r="F5544">
        <v>193843.72</v>
      </c>
      <c r="G5544">
        <v>0</v>
      </c>
      <c r="H5544">
        <v>0</v>
      </c>
      <c r="I5544">
        <v>0</v>
      </c>
      <c r="J5544">
        <v>0</v>
      </c>
      <c r="K5544">
        <v>0</v>
      </c>
      <c r="L5544">
        <v>22000000</v>
      </c>
      <c r="M5544">
        <v>22000000</v>
      </c>
      <c r="N5544">
        <v>22000000</v>
      </c>
      <c r="O5544">
        <v>22000000</v>
      </c>
      <c r="P5544">
        <v>22000000</v>
      </c>
      <c r="Q5544">
        <v>22000000</v>
      </c>
      <c r="R5544" s="14">
        <f>_xlfn.XLOOKUP(Table2[[#This Row],[LoanID]],Table1[G-L ID],Table1[ManagerCode],-99)</f>
        <v>119</v>
      </c>
      <c r="T5544"/>
    </row>
    <row r="5545" spans="1:20" x14ac:dyDescent="0.25">
      <c r="A5545">
        <v>20170430</v>
      </c>
      <c r="B5545">
        <v>2017</v>
      </c>
      <c r="C5545">
        <v>4</v>
      </c>
      <c r="D5545">
        <v>1</v>
      </c>
      <c r="E5545">
        <v>11080</v>
      </c>
      <c r="F5545">
        <v>369869.07</v>
      </c>
      <c r="G5545">
        <v>0</v>
      </c>
      <c r="H5545">
        <v>0</v>
      </c>
      <c r="I5545">
        <v>0</v>
      </c>
      <c r="J5545">
        <v>0</v>
      </c>
      <c r="K5545">
        <v>61919.27</v>
      </c>
      <c r="L5545">
        <v>39752173.219999999</v>
      </c>
      <c r="M5545">
        <v>39690253.950000003</v>
      </c>
      <c r="N5545">
        <v>39752173.219999999</v>
      </c>
      <c r="O5545">
        <v>39690253.950000003</v>
      </c>
      <c r="P5545">
        <v>39752173.219999999</v>
      </c>
      <c r="Q5545">
        <v>39690253.950000003</v>
      </c>
      <c r="R5545" s="14">
        <f>_xlfn.XLOOKUP(Table2[[#This Row],[LoanID]],Table1[G-L ID],Table1[ManagerCode],-99)</f>
        <v>119</v>
      </c>
      <c r="T5545"/>
    </row>
    <row r="5546" spans="1:20" x14ac:dyDescent="0.25">
      <c r="A5546">
        <v>20170430</v>
      </c>
      <c r="B5546">
        <v>2017</v>
      </c>
      <c r="C5546">
        <v>4</v>
      </c>
      <c r="D5546">
        <v>1</v>
      </c>
      <c r="E5546">
        <v>11090</v>
      </c>
      <c r="F5546">
        <v>0</v>
      </c>
      <c r="G5546">
        <v>0</v>
      </c>
      <c r="H5546">
        <v>0</v>
      </c>
      <c r="I5546">
        <v>0</v>
      </c>
      <c r="J5546">
        <v>0</v>
      </c>
      <c r="K5546">
        <v>0</v>
      </c>
      <c r="L5546">
        <v>11000000</v>
      </c>
      <c r="M5546">
        <v>11000000</v>
      </c>
      <c r="N5546">
        <v>11000000</v>
      </c>
      <c r="O5546">
        <v>11000000</v>
      </c>
      <c r="P5546">
        <v>11000000</v>
      </c>
      <c r="Q5546">
        <v>11000000</v>
      </c>
      <c r="R5546" s="14">
        <f>_xlfn.XLOOKUP(Table2[[#This Row],[LoanID]],Table1[G-L ID],Table1[ManagerCode],-99)</f>
        <v>119</v>
      </c>
      <c r="T5546"/>
    </row>
    <row r="5547" spans="1:20" x14ac:dyDescent="0.25">
      <c r="A5547">
        <v>20170430</v>
      </c>
      <c r="B5547">
        <v>2017</v>
      </c>
      <c r="C5547">
        <v>4</v>
      </c>
      <c r="D5547">
        <v>1</v>
      </c>
      <c r="E5547">
        <v>11150</v>
      </c>
      <c r="F5547">
        <v>100478.65</v>
      </c>
      <c r="G5547">
        <v>0</v>
      </c>
      <c r="H5547">
        <v>0</v>
      </c>
      <c r="I5547">
        <v>0</v>
      </c>
      <c r="J5547">
        <v>0</v>
      </c>
      <c r="K5547">
        <v>0</v>
      </c>
      <c r="L5547">
        <v>8940000</v>
      </c>
      <c r="M5547">
        <v>8940000</v>
      </c>
      <c r="N5547">
        <v>8940000</v>
      </c>
      <c r="O5547">
        <v>8940000</v>
      </c>
      <c r="P5547">
        <v>8940000</v>
      </c>
      <c r="Q5547">
        <v>8940000</v>
      </c>
      <c r="R5547" s="14">
        <f>_xlfn.XLOOKUP(Table2[[#This Row],[LoanID]],Table1[G-L ID],Table1[ManagerCode],-99)</f>
        <v>119</v>
      </c>
      <c r="T5547"/>
    </row>
    <row r="5548" spans="1:20" x14ac:dyDescent="0.25">
      <c r="A5548">
        <v>20170430</v>
      </c>
      <c r="B5548">
        <v>2017</v>
      </c>
      <c r="C5548">
        <v>4</v>
      </c>
      <c r="D5548">
        <v>1</v>
      </c>
      <c r="E5548">
        <v>11160</v>
      </c>
      <c r="F5548">
        <v>242618.67</v>
      </c>
      <c r="G5548">
        <v>169113.26</v>
      </c>
      <c r="H5548">
        <v>0</v>
      </c>
      <c r="I5548">
        <v>0</v>
      </c>
      <c r="J5548">
        <v>-1494750.22</v>
      </c>
      <c r="K5548">
        <v>644726.5</v>
      </c>
      <c r="L5548">
        <v>73354647.75</v>
      </c>
      <c r="M5548">
        <v>75018511.230000004</v>
      </c>
      <c r="N5548">
        <v>52164731.020000003</v>
      </c>
      <c r="O5548">
        <v>53183868</v>
      </c>
      <c r="P5548">
        <v>73354647.75</v>
      </c>
      <c r="Q5548">
        <v>75018511.230000004</v>
      </c>
      <c r="R5548" s="14">
        <f>_xlfn.XLOOKUP(Table2[[#This Row],[LoanID]],Table1[G-L ID],Table1[ManagerCode],-99)</f>
        <v>183</v>
      </c>
      <c r="T5548"/>
    </row>
    <row r="5549" spans="1:20" x14ac:dyDescent="0.25">
      <c r="A5549">
        <v>20170430</v>
      </c>
      <c r="B5549">
        <v>2017</v>
      </c>
      <c r="C5549">
        <v>4</v>
      </c>
      <c r="D5549">
        <v>1</v>
      </c>
      <c r="E5549">
        <v>11210</v>
      </c>
      <c r="F5549">
        <v>62025.84</v>
      </c>
      <c r="G5549">
        <v>0</v>
      </c>
      <c r="H5549">
        <v>0</v>
      </c>
      <c r="I5549">
        <v>0</v>
      </c>
      <c r="J5549">
        <v>0</v>
      </c>
      <c r="K5549">
        <v>0</v>
      </c>
      <c r="L5549">
        <v>7500000</v>
      </c>
      <c r="M5549">
        <v>7500000</v>
      </c>
      <c r="N5549">
        <v>7500000</v>
      </c>
      <c r="O5549">
        <v>7500000</v>
      </c>
      <c r="P5549">
        <v>7500000</v>
      </c>
      <c r="Q5549">
        <v>7500000</v>
      </c>
      <c r="R5549" s="14">
        <f>_xlfn.XLOOKUP(Table2[[#This Row],[LoanID]],Table1[G-L ID],Table1[ManagerCode],-99)</f>
        <v>119</v>
      </c>
      <c r="T5549"/>
    </row>
    <row r="5550" spans="1:20" x14ac:dyDescent="0.25">
      <c r="A5550">
        <v>20170430</v>
      </c>
      <c r="B5550">
        <v>2017</v>
      </c>
      <c r="C5550">
        <v>4</v>
      </c>
      <c r="D5550">
        <v>1</v>
      </c>
      <c r="E5550">
        <v>11250</v>
      </c>
      <c r="F5550">
        <v>228165.31</v>
      </c>
      <c r="G5550">
        <v>0</v>
      </c>
      <c r="H5550">
        <v>0</v>
      </c>
      <c r="I5550">
        <v>0</v>
      </c>
      <c r="J5550">
        <v>0</v>
      </c>
      <c r="K5550">
        <v>0</v>
      </c>
      <c r="L5550">
        <v>18253225.030000001</v>
      </c>
      <c r="M5550">
        <v>18253225.030000001</v>
      </c>
      <c r="N5550">
        <v>18253225.030000001</v>
      </c>
      <c r="O5550">
        <v>18253225.030000001</v>
      </c>
      <c r="P5550">
        <v>18253225.030000001</v>
      </c>
      <c r="Q5550">
        <v>18253225.030000001</v>
      </c>
      <c r="R5550" s="14">
        <f>_xlfn.XLOOKUP(Table2[[#This Row],[LoanID]],Table1[G-L ID],Table1[ManagerCode],-99)</f>
        <v>183</v>
      </c>
      <c r="T5550"/>
    </row>
    <row r="5551" spans="1:20" x14ac:dyDescent="0.25">
      <c r="A5551">
        <v>20170430</v>
      </c>
      <c r="B5551">
        <v>2017</v>
      </c>
      <c r="C5551">
        <v>4</v>
      </c>
      <c r="D5551">
        <v>1</v>
      </c>
      <c r="E5551">
        <v>11330</v>
      </c>
      <c r="F5551">
        <v>69186.759999999995</v>
      </c>
      <c r="G5551">
        <v>0</v>
      </c>
      <c r="H5551">
        <v>0</v>
      </c>
      <c r="I5551">
        <v>0</v>
      </c>
      <c r="J5551">
        <v>0</v>
      </c>
      <c r="K5551">
        <v>0</v>
      </c>
      <c r="L5551">
        <v>6653107.4800000004</v>
      </c>
      <c r="M5551">
        <v>6653107.4800000004</v>
      </c>
      <c r="N5551">
        <v>6653107.4800000004</v>
      </c>
      <c r="O5551">
        <v>6653107.4800000004</v>
      </c>
      <c r="P5551">
        <v>6653107.4800000004</v>
      </c>
      <c r="Q5551">
        <v>6653107.4800000004</v>
      </c>
      <c r="R5551" s="14">
        <f>_xlfn.XLOOKUP(Table2[[#This Row],[LoanID]],Table1[G-L ID],Table1[ManagerCode],-99)</f>
        <v>119</v>
      </c>
      <c r="T5551"/>
    </row>
    <row r="5552" spans="1:20" x14ac:dyDescent="0.25">
      <c r="A5552">
        <v>20170430</v>
      </c>
      <c r="B5552">
        <v>2017</v>
      </c>
      <c r="C5552">
        <v>4</v>
      </c>
      <c r="D5552">
        <v>1</v>
      </c>
      <c r="E5552">
        <v>11340</v>
      </c>
      <c r="F5552">
        <v>295395.74</v>
      </c>
      <c r="G5552">
        <v>0</v>
      </c>
      <c r="H5552">
        <v>0</v>
      </c>
      <c r="I5552">
        <v>0</v>
      </c>
      <c r="J5552">
        <v>0</v>
      </c>
      <c r="K5552">
        <v>64703.13</v>
      </c>
      <c r="L5552">
        <v>48515688.189999998</v>
      </c>
      <c r="M5552">
        <v>48451632.090000004</v>
      </c>
      <c r="N5552">
        <v>48515688.189999998</v>
      </c>
      <c r="O5552">
        <v>48451632.090000004</v>
      </c>
      <c r="P5552">
        <v>49005745.619999997</v>
      </c>
      <c r="Q5552">
        <v>48941042.490000002</v>
      </c>
      <c r="R5552" s="14">
        <f>_xlfn.XLOOKUP(Table2[[#This Row],[LoanID]],Table1[G-L ID],Table1[ManagerCode],-99)</f>
        <v>103</v>
      </c>
      <c r="T5552"/>
    </row>
    <row r="5553" spans="1:20" x14ac:dyDescent="0.25">
      <c r="A5553">
        <v>20170430</v>
      </c>
      <c r="B5553">
        <v>2017</v>
      </c>
      <c r="C5553">
        <v>4</v>
      </c>
      <c r="D5553">
        <v>1</v>
      </c>
      <c r="E5553">
        <v>11350</v>
      </c>
      <c r="F5553">
        <v>301388.89</v>
      </c>
      <c r="G5553">
        <v>0</v>
      </c>
      <c r="H5553">
        <v>0</v>
      </c>
      <c r="I5553">
        <v>0</v>
      </c>
      <c r="J5553">
        <v>0</v>
      </c>
      <c r="K5553">
        <v>0</v>
      </c>
      <c r="L5553">
        <v>54449945.549999997</v>
      </c>
      <c r="M5553">
        <v>54449945.549999997</v>
      </c>
      <c r="N5553">
        <v>54449945.549999997</v>
      </c>
      <c r="O5553">
        <v>54449945.549999997</v>
      </c>
      <c r="P5553">
        <v>55000000</v>
      </c>
      <c r="Q5553">
        <v>55000000</v>
      </c>
      <c r="R5553" s="14">
        <f>_xlfn.XLOOKUP(Table2[[#This Row],[LoanID]],Table1[G-L ID],Table1[ManagerCode],-99)</f>
        <v>103</v>
      </c>
      <c r="T5553"/>
    </row>
    <row r="5554" spans="1:20" x14ac:dyDescent="0.25">
      <c r="A5554">
        <v>20170430</v>
      </c>
      <c r="B5554">
        <v>2017</v>
      </c>
      <c r="C5554">
        <v>4</v>
      </c>
      <c r="D5554">
        <v>1</v>
      </c>
      <c r="E5554">
        <v>11360</v>
      </c>
      <c r="F5554">
        <v>64958</v>
      </c>
      <c r="G5554">
        <v>0</v>
      </c>
      <c r="H5554">
        <v>0</v>
      </c>
      <c r="I5554">
        <v>0</v>
      </c>
      <c r="J5554">
        <v>0</v>
      </c>
      <c r="K5554">
        <v>0</v>
      </c>
      <c r="L5554">
        <v>7537500</v>
      </c>
      <c r="M5554">
        <v>7537500</v>
      </c>
      <c r="N5554">
        <v>7537500</v>
      </c>
      <c r="O5554">
        <v>7537500</v>
      </c>
      <c r="P5554">
        <v>7537500</v>
      </c>
      <c r="Q5554">
        <v>7537500</v>
      </c>
      <c r="R5554" s="14">
        <f>_xlfn.XLOOKUP(Table2[[#This Row],[LoanID]],Table1[G-L ID],Table1[ManagerCode],-99)</f>
        <v>119</v>
      </c>
      <c r="T5554"/>
    </row>
    <row r="5555" spans="1:20" x14ac:dyDescent="0.25">
      <c r="A5555">
        <v>20170430</v>
      </c>
      <c r="B5555">
        <v>2017</v>
      </c>
      <c r="C5555">
        <v>4</v>
      </c>
      <c r="D5555">
        <v>1</v>
      </c>
      <c r="E5555">
        <v>11410</v>
      </c>
      <c r="F5555">
        <v>113801</v>
      </c>
      <c r="G5555">
        <v>0</v>
      </c>
      <c r="H5555">
        <v>0</v>
      </c>
      <c r="I5555">
        <v>0</v>
      </c>
      <c r="J5555">
        <v>0</v>
      </c>
      <c r="K5555">
        <v>0</v>
      </c>
      <c r="L5555">
        <v>12000000</v>
      </c>
      <c r="M5555">
        <v>12000000</v>
      </c>
      <c r="N5555">
        <v>12000000</v>
      </c>
      <c r="O5555">
        <v>12000000</v>
      </c>
      <c r="P5555">
        <v>12000000</v>
      </c>
      <c r="Q5555">
        <v>12000000</v>
      </c>
      <c r="R5555" s="14">
        <f>_xlfn.XLOOKUP(Table2[[#This Row],[LoanID]],Table1[G-L ID],Table1[ManagerCode],-99)</f>
        <v>119</v>
      </c>
      <c r="T5555"/>
    </row>
    <row r="5556" spans="1:20" x14ac:dyDescent="0.25">
      <c r="A5556">
        <v>20170430</v>
      </c>
      <c r="B5556">
        <v>2017</v>
      </c>
      <c r="C5556">
        <v>4</v>
      </c>
      <c r="D5556">
        <v>1</v>
      </c>
      <c r="E5556">
        <v>11440</v>
      </c>
      <c r="F5556">
        <v>156250</v>
      </c>
      <c r="G5556">
        <v>0</v>
      </c>
      <c r="H5556">
        <v>0</v>
      </c>
      <c r="I5556">
        <v>0</v>
      </c>
      <c r="J5556">
        <v>0</v>
      </c>
      <c r="K5556">
        <v>0</v>
      </c>
      <c r="L5556">
        <v>18750000</v>
      </c>
      <c r="M5556">
        <v>18750000</v>
      </c>
      <c r="N5556">
        <v>18750000</v>
      </c>
      <c r="O5556">
        <v>18750000</v>
      </c>
      <c r="P5556">
        <v>18750000</v>
      </c>
      <c r="Q5556">
        <v>18750000</v>
      </c>
      <c r="R5556" s="14">
        <f>_xlfn.XLOOKUP(Table2[[#This Row],[LoanID]],Table1[G-L ID],Table1[ManagerCode],-99)</f>
        <v>183</v>
      </c>
      <c r="T5556"/>
    </row>
    <row r="5557" spans="1:20" x14ac:dyDescent="0.25">
      <c r="A5557">
        <v>20170430</v>
      </c>
      <c r="B5557">
        <v>2017</v>
      </c>
      <c r="C5557">
        <v>4</v>
      </c>
      <c r="D5557">
        <v>1</v>
      </c>
      <c r="E5557">
        <v>11450</v>
      </c>
      <c r="F5557">
        <v>131905.35999999999</v>
      </c>
      <c r="G5557">
        <v>0</v>
      </c>
      <c r="H5557">
        <v>0</v>
      </c>
      <c r="I5557">
        <v>0</v>
      </c>
      <c r="J5557">
        <v>0</v>
      </c>
      <c r="K5557">
        <v>0</v>
      </c>
      <c r="L5557">
        <v>15678040.15</v>
      </c>
      <c r="M5557">
        <v>15678040.15</v>
      </c>
      <c r="N5557">
        <v>15678040.15</v>
      </c>
      <c r="O5557">
        <v>15678040.15</v>
      </c>
      <c r="P5557">
        <v>15678040.15</v>
      </c>
      <c r="Q5557">
        <v>15678040.15</v>
      </c>
      <c r="R5557" s="14">
        <f>_xlfn.XLOOKUP(Table2[[#This Row],[LoanID]],Table1[G-L ID],Table1[ManagerCode],-99)</f>
        <v>119</v>
      </c>
      <c r="T5557"/>
    </row>
    <row r="5558" spans="1:20" x14ac:dyDescent="0.25">
      <c r="A5558">
        <v>20170430</v>
      </c>
      <c r="B5558">
        <v>2017</v>
      </c>
      <c r="C5558">
        <v>4</v>
      </c>
      <c r="D5558">
        <v>1</v>
      </c>
      <c r="E5558">
        <v>11480</v>
      </c>
      <c r="F5558">
        <v>401630.83</v>
      </c>
      <c r="G5558">
        <v>0</v>
      </c>
      <c r="H5558">
        <v>0</v>
      </c>
      <c r="I5558">
        <v>0</v>
      </c>
      <c r="J5558">
        <v>0</v>
      </c>
      <c r="K5558">
        <v>0</v>
      </c>
      <c r="L5558">
        <v>66500000</v>
      </c>
      <c r="M5558">
        <v>66500000</v>
      </c>
      <c r="N5558">
        <v>66500000</v>
      </c>
      <c r="O5558">
        <v>66500000</v>
      </c>
      <c r="P5558">
        <v>70000000</v>
      </c>
      <c r="Q5558">
        <v>70000000</v>
      </c>
      <c r="R5558" s="14">
        <f>_xlfn.XLOOKUP(Table2[[#This Row],[LoanID]],Table1[G-L ID],Table1[ManagerCode],-99)</f>
        <v>103</v>
      </c>
      <c r="T5558"/>
    </row>
    <row r="5559" spans="1:20" x14ac:dyDescent="0.25">
      <c r="A5559">
        <v>20170430</v>
      </c>
      <c r="B5559">
        <v>2017</v>
      </c>
      <c r="C5559">
        <v>4</v>
      </c>
      <c r="D5559">
        <v>1</v>
      </c>
      <c r="E5559">
        <v>11490</v>
      </c>
      <c r="F5559">
        <v>374768.47</v>
      </c>
      <c r="G5559">
        <v>0</v>
      </c>
      <c r="H5559">
        <v>0</v>
      </c>
      <c r="I5559">
        <v>0</v>
      </c>
      <c r="J5559">
        <v>0</v>
      </c>
      <c r="K5559">
        <v>0</v>
      </c>
      <c r="L5559">
        <v>52250000</v>
      </c>
      <c r="M5559">
        <v>52250000</v>
      </c>
      <c r="N5559">
        <v>52250000</v>
      </c>
      <c r="O5559">
        <v>52250000</v>
      </c>
      <c r="P5559">
        <v>55000000</v>
      </c>
      <c r="Q5559">
        <v>55000000</v>
      </c>
      <c r="R5559" s="14">
        <f>_xlfn.XLOOKUP(Table2[[#This Row],[LoanID]],Table1[G-L ID],Table1[ManagerCode],-99)</f>
        <v>103</v>
      </c>
      <c r="T5559"/>
    </row>
    <row r="5560" spans="1:20" x14ac:dyDescent="0.25">
      <c r="A5560">
        <v>20170430</v>
      </c>
      <c r="B5560">
        <v>2017</v>
      </c>
      <c r="C5560">
        <v>4</v>
      </c>
      <c r="D5560">
        <v>1</v>
      </c>
      <c r="E5560">
        <v>11520</v>
      </c>
      <c r="F5560">
        <v>44687.75</v>
      </c>
      <c r="G5560">
        <v>0</v>
      </c>
      <c r="H5560">
        <v>0</v>
      </c>
      <c r="I5560">
        <v>0</v>
      </c>
      <c r="J5560">
        <v>0</v>
      </c>
      <c r="K5560">
        <v>0</v>
      </c>
      <c r="L5560">
        <v>6705992.6100000003</v>
      </c>
      <c r="M5560">
        <v>6705992.6100000003</v>
      </c>
      <c r="N5560">
        <v>6705992.6100000003</v>
      </c>
      <c r="O5560">
        <v>6705992.6100000003</v>
      </c>
      <c r="P5560">
        <v>6705992.6100000003</v>
      </c>
      <c r="Q5560">
        <v>6705992.6100000003</v>
      </c>
      <c r="R5560" s="14">
        <f>_xlfn.XLOOKUP(Table2[[#This Row],[LoanID]],Table1[G-L ID],Table1[ManagerCode],-99)</f>
        <v>119</v>
      </c>
      <c r="T5560"/>
    </row>
    <row r="5561" spans="1:20" x14ac:dyDescent="0.25">
      <c r="A5561">
        <v>20170430</v>
      </c>
      <c r="B5561">
        <v>2017</v>
      </c>
      <c r="C5561">
        <v>4</v>
      </c>
      <c r="D5561">
        <v>1</v>
      </c>
      <c r="E5561">
        <v>11530</v>
      </c>
      <c r="F5561">
        <v>133732.14000000001</v>
      </c>
      <c r="G5561">
        <v>0</v>
      </c>
      <c r="H5561">
        <v>0</v>
      </c>
      <c r="I5561">
        <v>0</v>
      </c>
      <c r="J5561">
        <v>0</v>
      </c>
      <c r="K5561">
        <v>0</v>
      </c>
      <c r="L5561">
        <v>14993350.42</v>
      </c>
      <c r="M5561">
        <v>14993350.42</v>
      </c>
      <c r="N5561">
        <v>14993350.42</v>
      </c>
      <c r="O5561">
        <v>14993350.42</v>
      </c>
      <c r="P5561">
        <v>14993350.42</v>
      </c>
      <c r="Q5561">
        <v>14993350.42</v>
      </c>
      <c r="R5561" s="14">
        <f>_xlfn.XLOOKUP(Table2[[#This Row],[LoanID]],Table1[G-L ID],Table1[ManagerCode],-99)</f>
        <v>119</v>
      </c>
      <c r="T5561"/>
    </row>
    <row r="5562" spans="1:20" x14ac:dyDescent="0.25">
      <c r="A5562">
        <v>20170430</v>
      </c>
      <c r="B5562">
        <v>2017</v>
      </c>
      <c r="C5562">
        <v>4</v>
      </c>
      <c r="D5562">
        <v>1</v>
      </c>
      <c r="E5562">
        <v>11590</v>
      </c>
      <c r="F5562">
        <v>25399.119999999999</v>
      </c>
      <c r="G5562">
        <v>0</v>
      </c>
      <c r="H5562">
        <v>0</v>
      </c>
      <c r="I5562">
        <v>0</v>
      </c>
      <c r="J5562">
        <v>0</v>
      </c>
      <c r="K5562">
        <v>0</v>
      </c>
      <c r="L5562">
        <v>3507224.44</v>
      </c>
      <c r="M5562">
        <v>3507224.44</v>
      </c>
      <c r="N5562">
        <v>3507224.44</v>
      </c>
      <c r="O5562">
        <v>3507224.44</v>
      </c>
      <c r="P5562">
        <v>3507224.44</v>
      </c>
      <c r="Q5562">
        <v>3507224.44</v>
      </c>
      <c r="R5562" s="14">
        <f>_xlfn.XLOOKUP(Table2[[#This Row],[LoanID]],Table1[G-L ID],Table1[ManagerCode],-99)</f>
        <v>119</v>
      </c>
      <c r="T5562"/>
    </row>
    <row r="5563" spans="1:20" x14ac:dyDescent="0.25">
      <c r="A5563">
        <v>20170430</v>
      </c>
      <c r="B5563">
        <v>2017</v>
      </c>
      <c r="C5563">
        <v>4</v>
      </c>
      <c r="D5563">
        <v>1</v>
      </c>
      <c r="E5563">
        <v>11650</v>
      </c>
      <c r="F5563">
        <v>75000</v>
      </c>
      <c r="G5563">
        <v>0</v>
      </c>
      <c r="H5563">
        <v>0</v>
      </c>
      <c r="I5563">
        <v>0</v>
      </c>
      <c r="J5563">
        <v>0</v>
      </c>
      <c r="K5563">
        <v>0</v>
      </c>
      <c r="L5563">
        <v>11880000</v>
      </c>
      <c r="M5563">
        <v>11880000</v>
      </c>
      <c r="N5563">
        <v>11880000</v>
      </c>
      <c r="O5563">
        <v>11880000</v>
      </c>
      <c r="P5563">
        <v>12000000</v>
      </c>
      <c r="Q5563">
        <v>12000000</v>
      </c>
      <c r="R5563" s="14">
        <f>_xlfn.XLOOKUP(Table2[[#This Row],[LoanID]],Table1[G-L ID],Table1[ManagerCode],-99)</f>
        <v>103</v>
      </c>
      <c r="T5563"/>
    </row>
    <row r="5564" spans="1:20" x14ac:dyDescent="0.25">
      <c r="A5564">
        <v>20170430</v>
      </c>
      <c r="B5564">
        <v>2017</v>
      </c>
      <c r="C5564">
        <v>4</v>
      </c>
      <c r="D5564">
        <v>1</v>
      </c>
      <c r="E5564">
        <v>11680</v>
      </c>
      <c r="F5564">
        <v>57126.559999999998</v>
      </c>
      <c r="G5564">
        <v>0</v>
      </c>
      <c r="H5564">
        <v>0</v>
      </c>
      <c r="I5564">
        <v>0</v>
      </c>
      <c r="J5564">
        <v>0</v>
      </c>
      <c r="K5564">
        <v>0</v>
      </c>
      <c r="L5564">
        <v>6600000</v>
      </c>
      <c r="M5564">
        <v>6600000</v>
      </c>
      <c r="N5564">
        <v>6600000</v>
      </c>
      <c r="O5564">
        <v>6600000</v>
      </c>
      <c r="P5564">
        <v>6600000</v>
      </c>
      <c r="Q5564">
        <v>6600000</v>
      </c>
      <c r="R5564" s="14">
        <f>_xlfn.XLOOKUP(Table2[[#This Row],[LoanID]],Table1[G-L ID],Table1[ManagerCode],-99)</f>
        <v>183</v>
      </c>
      <c r="T5564"/>
    </row>
    <row r="5565" spans="1:20" x14ac:dyDescent="0.25">
      <c r="A5565">
        <v>20170430</v>
      </c>
      <c r="B5565">
        <v>2017</v>
      </c>
      <c r="C5565">
        <v>4</v>
      </c>
      <c r="D5565">
        <v>1</v>
      </c>
      <c r="E5565">
        <v>11690</v>
      </c>
      <c r="F5565">
        <v>145115.31</v>
      </c>
      <c r="G5565">
        <v>0</v>
      </c>
      <c r="H5565">
        <v>0</v>
      </c>
      <c r="I5565">
        <v>0</v>
      </c>
      <c r="J5565">
        <v>0</v>
      </c>
      <c r="K5565">
        <v>0</v>
      </c>
      <c r="L5565">
        <v>17000000</v>
      </c>
      <c r="M5565">
        <v>17000000</v>
      </c>
      <c r="N5565">
        <v>17000000</v>
      </c>
      <c r="O5565">
        <v>17000000</v>
      </c>
      <c r="P5565">
        <v>17000000</v>
      </c>
      <c r="Q5565">
        <v>17000000</v>
      </c>
      <c r="R5565" s="14">
        <f>_xlfn.XLOOKUP(Table2[[#This Row],[LoanID]],Table1[G-L ID],Table1[ManagerCode],-99)</f>
        <v>119</v>
      </c>
      <c r="T5565"/>
    </row>
    <row r="5566" spans="1:20" x14ac:dyDescent="0.25">
      <c r="A5566">
        <v>20170430</v>
      </c>
      <c r="B5566">
        <v>2017</v>
      </c>
      <c r="C5566">
        <v>4</v>
      </c>
      <c r="D5566">
        <v>1</v>
      </c>
      <c r="E5566">
        <v>11710</v>
      </c>
      <c r="F5566">
        <v>119583.33</v>
      </c>
      <c r="G5566">
        <v>0</v>
      </c>
      <c r="H5566">
        <v>0</v>
      </c>
      <c r="I5566">
        <v>0</v>
      </c>
      <c r="J5566">
        <v>0</v>
      </c>
      <c r="K5566">
        <v>15000</v>
      </c>
      <c r="L5566">
        <v>14460000</v>
      </c>
      <c r="M5566">
        <v>14445000</v>
      </c>
      <c r="N5566">
        <v>14460000</v>
      </c>
      <c r="O5566">
        <v>14445000</v>
      </c>
      <c r="P5566">
        <v>14460000</v>
      </c>
      <c r="Q5566">
        <v>14445000</v>
      </c>
      <c r="R5566" s="14">
        <f>_xlfn.XLOOKUP(Table2[[#This Row],[LoanID]],Table1[G-L ID],Table1[ManagerCode],-99)</f>
        <v>119</v>
      </c>
      <c r="T5566"/>
    </row>
    <row r="5567" spans="1:20" x14ac:dyDescent="0.25">
      <c r="A5567">
        <v>20170430</v>
      </c>
      <c r="B5567">
        <v>2017</v>
      </c>
      <c r="C5567">
        <v>4</v>
      </c>
      <c r="D5567">
        <v>1</v>
      </c>
      <c r="E5567">
        <v>11720</v>
      </c>
      <c r="F5567">
        <v>0</v>
      </c>
      <c r="G5567">
        <v>0</v>
      </c>
      <c r="H5567">
        <v>0</v>
      </c>
      <c r="I5567">
        <v>0</v>
      </c>
      <c r="J5567">
        <v>0</v>
      </c>
      <c r="K5567">
        <v>0</v>
      </c>
      <c r="L5567">
        <v>19800000</v>
      </c>
      <c r="M5567">
        <v>19800000</v>
      </c>
      <c r="N5567">
        <v>19800000</v>
      </c>
      <c r="O5567">
        <v>19800000</v>
      </c>
      <c r="P5567">
        <v>20000000</v>
      </c>
      <c r="Q5567">
        <v>20000000</v>
      </c>
      <c r="R5567" s="14">
        <f>_xlfn.XLOOKUP(Table2[[#This Row],[LoanID]],Table1[G-L ID],Table1[ManagerCode],-99)</f>
        <v>103</v>
      </c>
      <c r="T5567"/>
    </row>
    <row r="5568" spans="1:20" x14ac:dyDescent="0.25">
      <c r="A5568">
        <v>20170430</v>
      </c>
      <c r="B5568">
        <v>2017</v>
      </c>
      <c r="C5568">
        <v>4</v>
      </c>
      <c r="D5568">
        <v>1</v>
      </c>
      <c r="E5568">
        <v>11730</v>
      </c>
      <c r="F5568">
        <v>52203.32</v>
      </c>
      <c r="G5568">
        <v>0</v>
      </c>
      <c r="H5568">
        <v>0</v>
      </c>
      <c r="I5568">
        <v>0</v>
      </c>
      <c r="J5568">
        <v>0</v>
      </c>
      <c r="K5568">
        <v>8110</v>
      </c>
      <c r="L5568">
        <v>4967894.75</v>
      </c>
      <c r="M5568">
        <v>4959784.75</v>
      </c>
      <c r="N5568">
        <v>4967894.75</v>
      </c>
      <c r="O5568">
        <v>4959784.75</v>
      </c>
      <c r="P5568">
        <v>4967894.75</v>
      </c>
      <c r="Q5568">
        <v>4959784.75</v>
      </c>
      <c r="R5568" s="14">
        <f>_xlfn.XLOOKUP(Table2[[#This Row],[LoanID]],Table1[G-L ID],Table1[ManagerCode],-99)</f>
        <v>119</v>
      </c>
      <c r="T5568"/>
    </row>
    <row r="5569" spans="1:20" x14ac:dyDescent="0.25">
      <c r="A5569">
        <v>20170430</v>
      </c>
      <c r="B5569">
        <v>2017</v>
      </c>
      <c r="C5569">
        <v>4</v>
      </c>
      <c r="D5569">
        <v>1</v>
      </c>
      <c r="E5569">
        <v>11750</v>
      </c>
      <c r="F5569">
        <v>214438.09</v>
      </c>
      <c r="G5569">
        <v>119709.75</v>
      </c>
      <c r="H5569">
        <v>0</v>
      </c>
      <c r="I5569">
        <v>0</v>
      </c>
      <c r="J5569">
        <v>-112423.58</v>
      </c>
      <c r="K5569">
        <v>0</v>
      </c>
      <c r="L5569">
        <v>47946242.079999998</v>
      </c>
      <c r="M5569">
        <v>48178375.409999996</v>
      </c>
      <c r="N5569">
        <v>47946242.079999998</v>
      </c>
      <c r="O5569">
        <v>48178375.409999996</v>
      </c>
      <c r="P5569">
        <v>47946242.079999998</v>
      </c>
      <c r="Q5569">
        <v>48178375.409999996</v>
      </c>
      <c r="R5569" s="14">
        <f>_xlfn.XLOOKUP(Table2[[#This Row],[LoanID]],Table1[G-L ID],Table1[ManagerCode],-99)</f>
        <v>183</v>
      </c>
      <c r="T5569"/>
    </row>
    <row r="5570" spans="1:20" x14ac:dyDescent="0.25">
      <c r="A5570">
        <v>20170430</v>
      </c>
      <c r="B5570">
        <v>2017</v>
      </c>
      <c r="C5570">
        <v>4</v>
      </c>
      <c r="D5570">
        <v>1</v>
      </c>
      <c r="E5570">
        <v>11830</v>
      </c>
      <c r="F5570">
        <v>76413.48</v>
      </c>
      <c r="G5570">
        <v>0</v>
      </c>
      <c r="H5570">
        <v>0</v>
      </c>
      <c r="I5570">
        <v>0</v>
      </c>
      <c r="J5570">
        <v>-633559.14</v>
      </c>
      <c r="K5570">
        <v>0</v>
      </c>
      <c r="L5570">
        <v>8067091.1600000001</v>
      </c>
      <c r="M5570">
        <v>8700650.3000000007</v>
      </c>
      <c r="N5570">
        <v>8067091.1600000001</v>
      </c>
      <c r="O5570">
        <v>8700650.3000000007</v>
      </c>
      <c r="P5570">
        <v>8067091.1600000001</v>
      </c>
      <c r="Q5570">
        <v>8700650.3000000007</v>
      </c>
      <c r="R5570" s="14">
        <f>_xlfn.XLOOKUP(Table2[[#This Row],[LoanID]],Table1[G-L ID],Table1[ManagerCode],-99)</f>
        <v>119</v>
      </c>
      <c r="T5570"/>
    </row>
    <row r="5571" spans="1:20" x14ac:dyDescent="0.25">
      <c r="A5571">
        <v>20170430</v>
      </c>
      <c r="B5571">
        <v>2017</v>
      </c>
      <c r="C5571">
        <v>4</v>
      </c>
      <c r="D5571">
        <v>1</v>
      </c>
      <c r="E5571">
        <v>11850</v>
      </c>
      <c r="F5571">
        <v>97500</v>
      </c>
      <c r="G5571">
        <v>0</v>
      </c>
      <c r="H5571">
        <v>0</v>
      </c>
      <c r="I5571">
        <v>0</v>
      </c>
      <c r="J5571">
        <v>0</v>
      </c>
      <c r="K5571">
        <v>0</v>
      </c>
      <c r="L5571">
        <v>9000000</v>
      </c>
      <c r="M5571">
        <v>9000000</v>
      </c>
      <c r="N5571">
        <v>9000000</v>
      </c>
      <c r="O5571">
        <v>9000000</v>
      </c>
      <c r="P5571">
        <v>9000000</v>
      </c>
      <c r="Q5571">
        <v>9000000</v>
      </c>
      <c r="R5571" s="14">
        <f>_xlfn.XLOOKUP(Table2[[#This Row],[LoanID]],Table1[G-L ID],Table1[ManagerCode],-99)</f>
        <v>183</v>
      </c>
      <c r="T5571"/>
    </row>
    <row r="5572" spans="1:20" x14ac:dyDescent="0.25">
      <c r="A5572">
        <v>20170430</v>
      </c>
      <c r="B5572">
        <v>2017</v>
      </c>
      <c r="C5572">
        <v>4</v>
      </c>
      <c r="D5572">
        <v>1</v>
      </c>
      <c r="E5572">
        <v>11980</v>
      </c>
      <c r="F5572">
        <v>69909.13</v>
      </c>
      <c r="G5572">
        <v>0</v>
      </c>
      <c r="H5572">
        <v>0</v>
      </c>
      <c r="I5572">
        <v>0</v>
      </c>
      <c r="J5572">
        <v>0</v>
      </c>
      <c r="K5572">
        <v>0</v>
      </c>
      <c r="L5572">
        <v>7400000</v>
      </c>
      <c r="M5572">
        <v>7400000</v>
      </c>
      <c r="N5572">
        <v>7400000</v>
      </c>
      <c r="O5572">
        <v>7400000</v>
      </c>
      <c r="P5572">
        <v>7400000</v>
      </c>
      <c r="Q5572">
        <v>7400000</v>
      </c>
      <c r="R5572" s="14">
        <f>_xlfn.XLOOKUP(Table2[[#This Row],[LoanID]],Table1[G-L ID],Table1[ManagerCode],-99)</f>
        <v>119</v>
      </c>
      <c r="T5572"/>
    </row>
    <row r="5573" spans="1:20" x14ac:dyDescent="0.25">
      <c r="A5573">
        <v>20170430</v>
      </c>
      <c r="B5573">
        <v>2017</v>
      </c>
      <c r="C5573">
        <v>4</v>
      </c>
      <c r="D5573">
        <v>1</v>
      </c>
      <c r="E5573">
        <v>11990</v>
      </c>
      <c r="F5573">
        <v>109210.42</v>
      </c>
      <c r="G5573">
        <v>0</v>
      </c>
      <c r="H5573">
        <v>0</v>
      </c>
      <c r="I5573">
        <v>0</v>
      </c>
      <c r="J5573">
        <v>0</v>
      </c>
      <c r="K5573">
        <v>0</v>
      </c>
      <c r="L5573">
        <v>14805000</v>
      </c>
      <c r="M5573">
        <v>14805000</v>
      </c>
      <c r="N5573">
        <v>14805000</v>
      </c>
      <c r="O5573">
        <v>14805000</v>
      </c>
      <c r="P5573">
        <v>15000000</v>
      </c>
      <c r="Q5573">
        <v>15000000</v>
      </c>
      <c r="R5573" s="14">
        <f>_xlfn.XLOOKUP(Table2[[#This Row],[LoanID]],Table1[G-L ID],Table1[ManagerCode],-99)</f>
        <v>220</v>
      </c>
      <c r="T5573"/>
    </row>
    <row r="5574" spans="1:20" x14ac:dyDescent="0.25">
      <c r="A5574">
        <v>20170430</v>
      </c>
      <c r="B5574">
        <v>2017</v>
      </c>
      <c r="C5574">
        <v>4</v>
      </c>
      <c r="D5574">
        <v>1</v>
      </c>
      <c r="E5574">
        <v>12010</v>
      </c>
      <c r="F5574">
        <v>214677.38</v>
      </c>
      <c r="G5574">
        <v>0</v>
      </c>
      <c r="H5574">
        <v>0</v>
      </c>
      <c r="I5574">
        <v>0</v>
      </c>
      <c r="J5574">
        <v>-830567.97</v>
      </c>
      <c r="K5574">
        <v>0</v>
      </c>
      <c r="L5574">
        <v>20787772.739999998</v>
      </c>
      <c r="M5574">
        <v>21618340.710000001</v>
      </c>
      <c r="N5574">
        <v>20787772.739999998</v>
      </c>
      <c r="O5574">
        <v>21618340.710000001</v>
      </c>
      <c r="P5574">
        <v>20787772.739999998</v>
      </c>
      <c r="Q5574">
        <v>21618340.710000001</v>
      </c>
      <c r="R5574" s="14">
        <f>_xlfn.XLOOKUP(Table2[[#This Row],[LoanID]],Table1[G-L ID],Table1[ManagerCode],-99)</f>
        <v>119</v>
      </c>
      <c r="T5574"/>
    </row>
    <row r="5575" spans="1:20" x14ac:dyDescent="0.25">
      <c r="A5575">
        <v>20170430</v>
      </c>
      <c r="B5575">
        <v>2017</v>
      </c>
      <c r="C5575">
        <v>4</v>
      </c>
      <c r="D5575">
        <v>1</v>
      </c>
      <c r="E5575">
        <v>12030</v>
      </c>
      <c r="F5575">
        <v>46965.97</v>
      </c>
      <c r="G5575">
        <v>0</v>
      </c>
      <c r="H5575">
        <v>0</v>
      </c>
      <c r="I5575">
        <v>0</v>
      </c>
      <c r="J5575">
        <v>0</v>
      </c>
      <c r="K5575">
        <v>0</v>
      </c>
      <c r="L5575">
        <v>6375000</v>
      </c>
      <c r="M5575">
        <v>6375000</v>
      </c>
      <c r="N5575">
        <v>6375000</v>
      </c>
      <c r="O5575">
        <v>6375000</v>
      </c>
      <c r="P5575">
        <v>6375000</v>
      </c>
      <c r="Q5575">
        <v>6375000</v>
      </c>
      <c r="R5575" s="14">
        <f>_xlfn.XLOOKUP(Table2[[#This Row],[LoanID]],Table1[G-L ID],Table1[ManagerCode],-99)</f>
        <v>119</v>
      </c>
      <c r="T5575"/>
    </row>
    <row r="5576" spans="1:20" x14ac:dyDescent="0.25">
      <c r="A5576">
        <v>20170430</v>
      </c>
      <c r="B5576">
        <v>2017</v>
      </c>
      <c r="C5576">
        <v>4</v>
      </c>
      <c r="D5576">
        <v>1</v>
      </c>
      <c r="E5576">
        <v>12180</v>
      </c>
      <c r="F5576">
        <v>253558.47</v>
      </c>
      <c r="G5576">
        <v>0</v>
      </c>
      <c r="H5576">
        <v>0</v>
      </c>
      <c r="I5576">
        <v>0</v>
      </c>
      <c r="J5576">
        <v>0</v>
      </c>
      <c r="K5576">
        <v>0</v>
      </c>
      <c r="L5576">
        <v>35000000</v>
      </c>
      <c r="M5576">
        <v>35000000</v>
      </c>
      <c r="N5576">
        <v>35000000</v>
      </c>
      <c r="O5576">
        <v>35000000</v>
      </c>
      <c r="P5576">
        <v>35000000</v>
      </c>
      <c r="Q5576">
        <v>35000000</v>
      </c>
      <c r="R5576" s="14">
        <f>_xlfn.XLOOKUP(Table2[[#This Row],[LoanID]],Table1[G-L ID],Table1[ManagerCode],-99)</f>
        <v>220</v>
      </c>
      <c r="T5576"/>
    </row>
    <row r="5577" spans="1:20" x14ac:dyDescent="0.25">
      <c r="A5577">
        <v>20170430</v>
      </c>
      <c r="B5577">
        <v>2017</v>
      </c>
      <c r="C5577">
        <v>4</v>
      </c>
      <c r="D5577">
        <v>1</v>
      </c>
      <c r="E5577">
        <v>12190</v>
      </c>
      <c r="F5577">
        <v>281865.15000000002</v>
      </c>
      <c r="G5577">
        <v>0</v>
      </c>
      <c r="H5577">
        <v>0</v>
      </c>
      <c r="I5577">
        <v>0</v>
      </c>
      <c r="J5577">
        <v>0</v>
      </c>
      <c r="K5577">
        <v>0</v>
      </c>
      <c r="L5577">
        <v>34383117</v>
      </c>
      <c r="M5577">
        <v>34383117</v>
      </c>
      <c r="N5577">
        <v>34383117</v>
      </c>
      <c r="O5577">
        <v>34383117</v>
      </c>
      <c r="P5577">
        <v>34383117</v>
      </c>
      <c r="Q5577">
        <v>34383117</v>
      </c>
      <c r="R5577" s="14">
        <f>_xlfn.XLOOKUP(Table2[[#This Row],[LoanID]],Table1[G-L ID],Table1[ManagerCode],-99)</f>
        <v>220</v>
      </c>
      <c r="T5577"/>
    </row>
    <row r="5578" spans="1:20" x14ac:dyDescent="0.25">
      <c r="A5578">
        <v>20170430</v>
      </c>
      <c r="B5578">
        <v>2017</v>
      </c>
      <c r="C5578">
        <v>4</v>
      </c>
      <c r="D5578">
        <v>1</v>
      </c>
      <c r="E5578">
        <v>12220</v>
      </c>
      <c r="F5578">
        <v>186987.04</v>
      </c>
      <c r="G5578">
        <v>0</v>
      </c>
      <c r="H5578">
        <v>0</v>
      </c>
      <c r="I5578">
        <v>0</v>
      </c>
      <c r="J5578">
        <v>0</v>
      </c>
      <c r="K5578">
        <v>0</v>
      </c>
      <c r="L5578">
        <v>54500000</v>
      </c>
      <c r="M5578">
        <v>54500000</v>
      </c>
      <c r="N5578">
        <v>27250000</v>
      </c>
      <c r="O5578">
        <v>27250000</v>
      </c>
      <c r="P5578">
        <v>54500000</v>
      </c>
      <c r="Q5578">
        <v>54500000</v>
      </c>
      <c r="R5578" s="14">
        <f>_xlfn.XLOOKUP(Table2[[#This Row],[LoanID]],Table1[G-L ID],Table1[ManagerCode],-99)</f>
        <v>183</v>
      </c>
      <c r="T5578"/>
    </row>
    <row r="5579" spans="1:20" x14ac:dyDescent="0.25">
      <c r="A5579">
        <v>20170430</v>
      </c>
      <c r="B5579">
        <v>2017</v>
      </c>
      <c r="C5579">
        <v>4</v>
      </c>
      <c r="D5579">
        <v>1</v>
      </c>
      <c r="E5579">
        <v>12230</v>
      </c>
      <c r="F5579">
        <v>112710.38</v>
      </c>
      <c r="G5579">
        <v>0</v>
      </c>
      <c r="H5579">
        <v>0</v>
      </c>
      <c r="I5579">
        <v>0</v>
      </c>
      <c r="J5579">
        <v>0</v>
      </c>
      <c r="K5579">
        <v>0</v>
      </c>
      <c r="L5579">
        <v>20472262.73</v>
      </c>
      <c r="M5579">
        <v>20472262.73</v>
      </c>
      <c r="N5579">
        <v>13956810.23</v>
      </c>
      <c r="O5579">
        <v>13956810.23</v>
      </c>
      <c r="P5579">
        <v>20472262.73</v>
      </c>
      <c r="Q5579">
        <v>20472262.73</v>
      </c>
      <c r="R5579" s="14">
        <f>_xlfn.XLOOKUP(Table2[[#This Row],[LoanID]],Table1[G-L ID],Table1[ManagerCode],-99)</f>
        <v>183</v>
      </c>
      <c r="T5579"/>
    </row>
    <row r="5580" spans="1:20" x14ac:dyDescent="0.25">
      <c r="A5580">
        <v>20170430</v>
      </c>
      <c r="B5580">
        <v>2017</v>
      </c>
      <c r="C5580">
        <v>4</v>
      </c>
      <c r="D5580">
        <v>1</v>
      </c>
      <c r="E5580">
        <v>12240</v>
      </c>
      <c r="F5580">
        <v>0</v>
      </c>
      <c r="G5580">
        <v>1719062.22</v>
      </c>
      <c r="H5580">
        <v>0</v>
      </c>
      <c r="I5580">
        <v>0</v>
      </c>
      <c r="J5580">
        <v>0</v>
      </c>
      <c r="K5580">
        <v>0</v>
      </c>
      <c r="L5580">
        <v>154522446.69999999</v>
      </c>
      <c r="M5580">
        <v>156241508.90000001</v>
      </c>
      <c r="N5580">
        <v>154522446.69999999</v>
      </c>
      <c r="O5580">
        <v>156241508.90000001</v>
      </c>
      <c r="P5580">
        <v>154522446.69999999</v>
      </c>
      <c r="Q5580">
        <v>156241508.90000001</v>
      </c>
      <c r="R5580" s="14">
        <f>_xlfn.XLOOKUP(Table2[[#This Row],[LoanID]],Table1[G-L ID],Table1[ManagerCode],-99)</f>
        <v>183</v>
      </c>
      <c r="T5580"/>
    </row>
    <row r="5581" spans="1:20" x14ac:dyDescent="0.25">
      <c r="A5581">
        <v>20170430</v>
      </c>
      <c r="B5581">
        <v>2017</v>
      </c>
      <c r="C5581">
        <v>4</v>
      </c>
      <c r="D5581">
        <v>1</v>
      </c>
      <c r="E5581">
        <v>12250</v>
      </c>
      <c r="F5581">
        <v>89694.95</v>
      </c>
      <c r="G5581">
        <v>0</v>
      </c>
      <c r="H5581">
        <v>0</v>
      </c>
      <c r="I5581">
        <v>0</v>
      </c>
      <c r="J5581">
        <v>-92891.34</v>
      </c>
      <c r="K5581">
        <v>0</v>
      </c>
      <c r="L5581">
        <v>10759071.859999999</v>
      </c>
      <c r="M5581">
        <v>10851963.199999999</v>
      </c>
      <c r="N5581">
        <v>10759071.859999999</v>
      </c>
      <c r="O5581">
        <v>10851963.199999999</v>
      </c>
      <c r="P5581">
        <v>10759071.859999999</v>
      </c>
      <c r="Q5581">
        <v>10851963.199999999</v>
      </c>
      <c r="R5581" s="14">
        <f>_xlfn.XLOOKUP(Table2[[#This Row],[LoanID]],Table1[G-L ID],Table1[ManagerCode],-99)</f>
        <v>119</v>
      </c>
      <c r="T5581"/>
    </row>
    <row r="5582" spans="1:20" x14ac:dyDescent="0.25">
      <c r="A5582">
        <v>20170430</v>
      </c>
      <c r="B5582">
        <v>2017</v>
      </c>
      <c r="C5582">
        <v>4</v>
      </c>
      <c r="D5582">
        <v>1</v>
      </c>
      <c r="E5582">
        <v>12260</v>
      </c>
      <c r="F5582">
        <v>105128.75</v>
      </c>
      <c r="G5582">
        <v>0</v>
      </c>
      <c r="H5582">
        <v>0</v>
      </c>
      <c r="I5582">
        <v>0</v>
      </c>
      <c r="J5582">
        <v>0</v>
      </c>
      <c r="K5582">
        <v>0</v>
      </c>
      <c r="L5582">
        <v>11250000</v>
      </c>
      <c r="M5582">
        <v>11250000</v>
      </c>
      <c r="N5582">
        <v>11250000</v>
      </c>
      <c r="O5582">
        <v>11250000</v>
      </c>
      <c r="P5582">
        <v>11250000</v>
      </c>
      <c r="Q5582">
        <v>11250000</v>
      </c>
      <c r="R5582" s="14">
        <f>_xlfn.XLOOKUP(Table2[[#This Row],[LoanID]],Table1[G-L ID],Table1[ManagerCode],-99)</f>
        <v>119</v>
      </c>
      <c r="T5582"/>
    </row>
    <row r="5583" spans="1:20" x14ac:dyDescent="0.25">
      <c r="A5583">
        <v>20170430</v>
      </c>
      <c r="B5583">
        <v>2017</v>
      </c>
      <c r="C5583">
        <v>4</v>
      </c>
      <c r="D5583">
        <v>1</v>
      </c>
      <c r="E5583">
        <v>12270</v>
      </c>
      <c r="F5583">
        <v>216819.31</v>
      </c>
      <c r="G5583">
        <v>0</v>
      </c>
      <c r="H5583">
        <v>0</v>
      </c>
      <c r="I5583">
        <v>0</v>
      </c>
      <c r="J5583">
        <v>0</v>
      </c>
      <c r="K5583">
        <v>0</v>
      </c>
      <c r="L5583">
        <v>22559395.399999999</v>
      </c>
      <c r="M5583">
        <v>22559395.399999999</v>
      </c>
      <c r="N5583">
        <v>22559395.399999999</v>
      </c>
      <c r="O5583">
        <v>22559395.399999999</v>
      </c>
      <c r="P5583">
        <v>22559395.399999999</v>
      </c>
      <c r="Q5583">
        <v>22559395.399999999</v>
      </c>
      <c r="R5583" s="14">
        <f>_xlfn.XLOOKUP(Table2[[#This Row],[LoanID]],Table1[G-L ID],Table1[ManagerCode],-99)</f>
        <v>119</v>
      </c>
      <c r="T5583"/>
    </row>
    <row r="5584" spans="1:20" x14ac:dyDescent="0.25">
      <c r="A5584">
        <v>20170430</v>
      </c>
      <c r="B5584">
        <v>2017</v>
      </c>
      <c r="C5584">
        <v>4</v>
      </c>
      <c r="D5584">
        <v>1</v>
      </c>
      <c r="E5584">
        <v>12280</v>
      </c>
      <c r="F5584">
        <v>-39520.21</v>
      </c>
      <c r="G5584">
        <v>0</v>
      </c>
      <c r="H5584">
        <v>0</v>
      </c>
      <c r="I5584">
        <v>0</v>
      </c>
      <c r="J5584">
        <v>0</v>
      </c>
      <c r="K5584">
        <v>0</v>
      </c>
      <c r="L5584">
        <v>12818750</v>
      </c>
      <c r="M5584">
        <v>12818750</v>
      </c>
      <c r="N5584">
        <v>12818750</v>
      </c>
      <c r="O5584">
        <v>12818750</v>
      </c>
      <c r="P5584">
        <v>12818750</v>
      </c>
      <c r="Q5584">
        <v>12818750</v>
      </c>
      <c r="R5584" s="14">
        <f>_xlfn.XLOOKUP(Table2[[#This Row],[LoanID]],Table1[G-L ID],Table1[ManagerCode],-99)</f>
        <v>119</v>
      </c>
      <c r="T5584"/>
    </row>
    <row r="5585" spans="1:20" x14ac:dyDescent="0.25">
      <c r="A5585">
        <v>20170430</v>
      </c>
      <c r="B5585">
        <v>2017</v>
      </c>
      <c r="C5585">
        <v>4</v>
      </c>
      <c r="D5585">
        <v>1</v>
      </c>
      <c r="E5585">
        <v>12340</v>
      </c>
      <c r="F5585">
        <v>-23683.33</v>
      </c>
      <c r="G5585">
        <v>0</v>
      </c>
      <c r="H5585">
        <v>240000</v>
      </c>
      <c r="I5585">
        <v>0</v>
      </c>
      <c r="J5585">
        <v>-24000000</v>
      </c>
      <c r="K5585">
        <v>12000000</v>
      </c>
      <c r="L5585">
        <v>0</v>
      </c>
      <c r="M5585">
        <v>24000000</v>
      </c>
      <c r="N5585">
        <v>0</v>
      </c>
      <c r="O5585">
        <v>12000000</v>
      </c>
      <c r="P5585">
        <v>0</v>
      </c>
      <c r="Q5585">
        <v>24000000</v>
      </c>
      <c r="R5585" s="14">
        <f>_xlfn.XLOOKUP(Table2[[#This Row],[LoanID]],Table1[G-L ID],Table1[ManagerCode],-99)</f>
        <v>183</v>
      </c>
      <c r="T5585"/>
    </row>
    <row r="5586" spans="1:20" x14ac:dyDescent="0.25">
      <c r="A5586">
        <v>20170430</v>
      </c>
      <c r="B5586">
        <v>2017</v>
      </c>
      <c r="C5586">
        <v>4</v>
      </c>
      <c r="D5586">
        <v>1</v>
      </c>
      <c r="E5586">
        <v>12390</v>
      </c>
      <c r="F5586">
        <v>36229.46</v>
      </c>
      <c r="G5586">
        <v>92668.56</v>
      </c>
      <c r="H5586">
        <v>0</v>
      </c>
      <c r="I5586">
        <v>0</v>
      </c>
      <c r="J5586">
        <v>-6772335.71</v>
      </c>
      <c r="K5586">
        <v>0</v>
      </c>
      <c r="L5586">
        <v>7686040.7400000002</v>
      </c>
      <c r="M5586">
        <v>14551045.01</v>
      </c>
      <c r="N5586">
        <v>7686040.7400000002</v>
      </c>
      <c r="O5586">
        <v>14551045.01</v>
      </c>
      <c r="P5586">
        <v>7686040.7400000002</v>
      </c>
      <c r="Q5586">
        <v>14551045.01</v>
      </c>
      <c r="R5586" s="14">
        <f>_xlfn.XLOOKUP(Table2[[#This Row],[LoanID]],Table1[G-L ID],Table1[ManagerCode],-99)</f>
        <v>183</v>
      </c>
      <c r="T5586"/>
    </row>
    <row r="5587" spans="1:20" x14ac:dyDescent="0.25">
      <c r="A5587">
        <v>20170430</v>
      </c>
      <c r="B5587">
        <v>2017</v>
      </c>
      <c r="C5587">
        <v>4</v>
      </c>
      <c r="D5587">
        <v>1</v>
      </c>
      <c r="E5587">
        <v>12410</v>
      </c>
      <c r="F5587">
        <v>315635.43</v>
      </c>
      <c r="G5587">
        <v>252508.34</v>
      </c>
      <c r="H5587">
        <v>0</v>
      </c>
      <c r="I5587">
        <v>0</v>
      </c>
      <c r="J5587">
        <v>0</v>
      </c>
      <c r="K5587">
        <v>0</v>
      </c>
      <c r="L5587">
        <v>74994977.75</v>
      </c>
      <c r="M5587">
        <v>75244961.030000001</v>
      </c>
      <c r="N5587">
        <v>74994977.75</v>
      </c>
      <c r="O5587">
        <v>75244961.030000001</v>
      </c>
      <c r="P5587">
        <v>75752502.769999996</v>
      </c>
      <c r="Q5587">
        <v>76005011.109999999</v>
      </c>
      <c r="R5587" s="14">
        <f>_xlfn.XLOOKUP(Table2[[#This Row],[LoanID]],Table1[G-L ID],Table1[ManagerCode],-99)</f>
        <v>103</v>
      </c>
      <c r="T5587"/>
    </row>
    <row r="5588" spans="1:20" x14ac:dyDescent="0.25">
      <c r="A5588">
        <v>20170430</v>
      </c>
      <c r="B5588">
        <v>2017</v>
      </c>
      <c r="C5588">
        <v>4</v>
      </c>
      <c r="D5588">
        <v>1</v>
      </c>
      <c r="E5588">
        <v>12420</v>
      </c>
      <c r="F5588">
        <v>3251.91</v>
      </c>
      <c r="G5588">
        <v>0</v>
      </c>
      <c r="H5588">
        <v>0</v>
      </c>
      <c r="I5588">
        <v>0</v>
      </c>
      <c r="J5588">
        <v>-245440</v>
      </c>
      <c r="K5588">
        <v>0</v>
      </c>
      <c r="L5588">
        <v>471246</v>
      </c>
      <c r="M5588">
        <v>716686</v>
      </c>
      <c r="N5588">
        <v>471246</v>
      </c>
      <c r="O5588">
        <v>716686</v>
      </c>
      <c r="P5588">
        <v>471246</v>
      </c>
      <c r="Q5588">
        <v>716686</v>
      </c>
      <c r="R5588" s="14">
        <f>_xlfn.XLOOKUP(Table2[[#This Row],[LoanID]],Table1[G-L ID],Table1[ManagerCode],-99)</f>
        <v>103</v>
      </c>
      <c r="T5588"/>
    </row>
    <row r="5589" spans="1:20" x14ac:dyDescent="0.25">
      <c r="A5589">
        <v>20170430</v>
      </c>
      <c r="B5589">
        <v>2017</v>
      </c>
      <c r="C5589">
        <v>4</v>
      </c>
      <c r="D5589">
        <v>1</v>
      </c>
      <c r="E5589">
        <v>12430</v>
      </c>
      <c r="F5589">
        <v>0</v>
      </c>
      <c r="G5589">
        <v>0</v>
      </c>
      <c r="H5589">
        <v>0</v>
      </c>
      <c r="I5589">
        <v>0</v>
      </c>
      <c r="J5589">
        <v>-609298.13</v>
      </c>
      <c r="K5589">
        <v>0</v>
      </c>
      <c r="L5589">
        <v>1</v>
      </c>
      <c r="M5589">
        <v>564740.04</v>
      </c>
      <c r="N5589">
        <v>1</v>
      </c>
      <c r="O5589">
        <v>564740.04</v>
      </c>
      <c r="P5589">
        <v>1</v>
      </c>
      <c r="Q5589">
        <v>609299.13</v>
      </c>
      <c r="R5589" s="14">
        <f>_xlfn.XLOOKUP(Table2[[#This Row],[LoanID]],Table1[G-L ID],Table1[ManagerCode],-99)</f>
        <v>103</v>
      </c>
      <c r="T5589"/>
    </row>
    <row r="5590" spans="1:20" x14ac:dyDescent="0.25">
      <c r="A5590">
        <v>20170430</v>
      </c>
      <c r="B5590">
        <v>2017</v>
      </c>
      <c r="C5590">
        <v>4</v>
      </c>
      <c r="D5590">
        <v>1</v>
      </c>
      <c r="E5590">
        <v>12440</v>
      </c>
      <c r="F5590">
        <v>0</v>
      </c>
      <c r="G5590">
        <v>0</v>
      </c>
      <c r="H5590">
        <v>0</v>
      </c>
      <c r="I5590">
        <v>0</v>
      </c>
      <c r="J5590">
        <v>-4500000</v>
      </c>
      <c r="K5590">
        <v>0</v>
      </c>
      <c r="L5590">
        <v>0</v>
      </c>
      <c r="M5590">
        <v>5282223.45</v>
      </c>
      <c r="N5590">
        <v>0</v>
      </c>
      <c r="O5590">
        <v>5282223.45</v>
      </c>
      <c r="P5590">
        <v>0</v>
      </c>
      <c r="Q5590">
        <v>4500000</v>
      </c>
      <c r="R5590" s="14">
        <f>_xlfn.XLOOKUP(Table2[[#This Row],[LoanID]],Table1[G-L ID],Table1[ManagerCode],-99)</f>
        <v>103</v>
      </c>
      <c r="T5590"/>
    </row>
    <row r="5591" spans="1:20" x14ac:dyDescent="0.25">
      <c r="A5591">
        <v>20170430</v>
      </c>
      <c r="B5591">
        <v>2017</v>
      </c>
      <c r="C5591">
        <v>4</v>
      </c>
      <c r="D5591">
        <v>1</v>
      </c>
      <c r="E5591">
        <v>13020</v>
      </c>
      <c r="F5591">
        <v>0</v>
      </c>
      <c r="G5591">
        <v>0</v>
      </c>
      <c r="H5591">
        <v>0</v>
      </c>
      <c r="I5591">
        <v>0</v>
      </c>
      <c r="J5591">
        <v>0</v>
      </c>
      <c r="K5591">
        <v>0</v>
      </c>
      <c r="L5591">
        <v>0.01</v>
      </c>
      <c r="M5591">
        <v>0.01</v>
      </c>
      <c r="N5591">
        <v>0.01</v>
      </c>
      <c r="O5591">
        <v>0.01</v>
      </c>
      <c r="P5591">
        <v>0.01</v>
      </c>
      <c r="Q5591">
        <v>0.01</v>
      </c>
      <c r="R5591" s="14">
        <f>_xlfn.XLOOKUP(Table2[[#This Row],[LoanID]],Table1[G-L ID],Table1[ManagerCode],-99)</f>
        <v>103</v>
      </c>
      <c r="T5591"/>
    </row>
    <row r="5592" spans="1:20" x14ac:dyDescent="0.25">
      <c r="A5592">
        <v>20170430</v>
      </c>
      <c r="B5592">
        <v>2017</v>
      </c>
      <c r="C5592">
        <v>4</v>
      </c>
      <c r="D5592">
        <v>1</v>
      </c>
      <c r="E5592">
        <v>13610</v>
      </c>
      <c r="F5592">
        <v>0</v>
      </c>
      <c r="G5592">
        <v>0</v>
      </c>
      <c r="H5592">
        <v>0</v>
      </c>
      <c r="I5592">
        <v>0</v>
      </c>
      <c r="J5592">
        <v>-10500000</v>
      </c>
      <c r="K5592">
        <v>0</v>
      </c>
      <c r="L5592">
        <v>0</v>
      </c>
      <c r="M5592">
        <v>10500000</v>
      </c>
      <c r="N5592">
        <v>0</v>
      </c>
      <c r="O5592">
        <v>10500000</v>
      </c>
      <c r="P5592">
        <v>0</v>
      </c>
      <c r="Q5592">
        <v>10500000</v>
      </c>
      <c r="R5592" s="14">
        <f>_xlfn.XLOOKUP(Table2[[#This Row],[LoanID]],Table1[G-L ID],Table1[ManagerCode],-99)</f>
        <v>298</v>
      </c>
      <c r="T5592"/>
    </row>
    <row r="5593" spans="1:20" x14ac:dyDescent="0.25">
      <c r="A5593">
        <v>20170430</v>
      </c>
      <c r="B5593">
        <v>2017</v>
      </c>
      <c r="C5593">
        <v>4</v>
      </c>
      <c r="D5593">
        <v>1</v>
      </c>
      <c r="E5593">
        <v>13630</v>
      </c>
      <c r="F5593">
        <v>218506.94</v>
      </c>
      <c r="G5593">
        <v>0</v>
      </c>
      <c r="H5593">
        <v>0</v>
      </c>
      <c r="I5593">
        <v>0</v>
      </c>
      <c r="J5593">
        <v>0</v>
      </c>
      <c r="K5593">
        <v>0</v>
      </c>
      <c r="L5593">
        <v>33569646.990000002</v>
      </c>
      <c r="M5593">
        <v>33569646.990000002</v>
      </c>
      <c r="N5593">
        <v>33569646.990000002</v>
      </c>
      <c r="O5593">
        <v>33569646.990000002</v>
      </c>
      <c r="P5593">
        <v>35000000</v>
      </c>
      <c r="Q5593">
        <v>35000000</v>
      </c>
      <c r="R5593" s="14">
        <f>_xlfn.XLOOKUP(Table2[[#This Row],[LoanID]],Table1[G-L ID],Table1[ManagerCode],-99)</f>
        <v>298</v>
      </c>
      <c r="T5593"/>
    </row>
    <row r="5594" spans="1:20" x14ac:dyDescent="0.25">
      <c r="A5594">
        <v>20170430</v>
      </c>
      <c r="B5594">
        <v>2017</v>
      </c>
      <c r="C5594">
        <v>4</v>
      </c>
      <c r="D5594">
        <v>1</v>
      </c>
      <c r="E5594">
        <v>13650</v>
      </c>
      <c r="F5594">
        <v>223888.89</v>
      </c>
      <c r="G5594">
        <v>0</v>
      </c>
      <c r="H5594">
        <v>0</v>
      </c>
      <c r="I5594">
        <v>0</v>
      </c>
      <c r="J5594">
        <v>0</v>
      </c>
      <c r="K5594">
        <v>0</v>
      </c>
      <c r="L5594">
        <v>40000000</v>
      </c>
      <c r="M5594">
        <v>40000000</v>
      </c>
      <c r="N5594">
        <v>40000000</v>
      </c>
      <c r="O5594">
        <v>40000000</v>
      </c>
      <c r="P5594">
        <v>40000000</v>
      </c>
      <c r="Q5594">
        <v>40000000</v>
      </c>
      <c r="R5594" s="14">
        <f>_xlfn.XLOOKUP(Table2[[#This Row],[LoanID]],Table1[G-L ID],Table1[ManagerCode],-99)</f>
        <v>298</v>
      </c>
      <c r="T5594"/>
    </row>
    <row r="5595" spans="1:20" x14ac:dyDescent="0.25">
      <c r="A5595">
        <v>20170430</v>
      </c>
      <c r="B5595">
        <v>2017</v>
      </c>
      <c r="C5595">
        <v>4</v>
      </c>
      <c r="D5595">
        <v>1</v>
      </c>
      <c r="E5595">
        <v>13660</v>
      </c>
      <c r="F5595">
        <v>117972.22</v>
      </c>
      <c r="G5595">
        <v>0</v>
      </c>
      <c r="H5595">
        <v>0</v>
      </c>
      <c r="I5595">
        <v>0</v>
      </c>
      <c r="J5595">
        <v>0</v>
      </c>
      <c r="K5595">
        <v>0</v>
      </c>
      <c r="L5595">
        <v>20000000</v>
      </c>
      <c r="M5595">
        <v>20000000</v>
      </c>
      <c r="N5595">
        <v>20000000</v>
      </c>
      <c r="O5595">
        <v>20000000</v>
      </c>
      <c r="P5595">
        <v>20000000</v>
      </c>
      <c r="Q5595">
        <v>20000000</v>
      </c>
      <c r="R5595" s="14">
        <f>_xlfn.XLOOKUP(Table2[[#This Row],[LoanID]],Table1[G-L ID],Table1[ManagerCode],-99)</f>
        <v>298</v>
      </c>
      <c r="T5595"/>
    </row>
    <row r="5596" spans="1:20" x14ac:dyDescent="0.25">
      <c r="A5596">
        <v>20170430</v>
      </c>
      <c r="B5596">
        <v>2017</v>
      </c>
      <c r="C5596">
        <v>4</v>
      </c>
      <c r="D5596">
        <v>1</v>
      </c>
      <c r="E5596">
        <v>13670</v>
      </c>
      <c r="F5596">
        <v>303961.45</v>
      </c>
      <c r="G5596">
        <v>0</v>
      </c>
      <c r="H5596">
        <v>0</v>
      </c>
      <c r="I5596">
        <v>0</v>
      </c>
      <c r="J5596">
        <v>0</v>
      </c>
      <c r="K5596">
        <v>0</v>
      </c>
      <c r="L5596">
        <v>37322264.049999997</v>
      </c>
      <c r="M5596">
        <v>37322264.049999997</v>
      </c>
      <c r="N5596">
        <v>37322264.049999997</v>
      </c>
      <c r="O5596">
        <v>37322264.049999997</v>
      </c>
      <c r="P5596">
        <v>37500000</v>
      </c>
      <c r="Q5596">
        <v>37500000</v>
      </c>
      <c r="R5596" s="14">
        <f>_xlfn.XLOOKUP(Table2[[#This Row],[LoanID]],Table1[G-L ID],Table1[ManagerCode],-99)</f>
        <v>298</v>
      </c>
      <c r="T5596"/>
    </row>
    <row r="5597" spans="1:20" x14ac:dyDescent="0.25">
      <c r="A5597">
        <v>20170430</v>
      </c>
      <c r="B5597">
        <v>2017</v>
      </c>
      <c r="C5597">
        <v>4</v>
      </c>
      <c r="D5597">
        <v>1</v>
      </c>
      <c r="E5597">
        <v>13680</v>
      </c>
      <c r="F5597">
        <v>161906.25</v>
      </c>
      <c r="G5597">
        <v>0</v>
      </c>
      <c r="H5597">
        <v>0</v>
      </c>
      <c r="I5597">
        <v>0</v>
      </c>
      <c r="J5597">
        <v>0</v>
      </c>
      <c r="K5597">
        <v>0</v>
      </c>
      <c r="L5597">
        <v>17989534.25</v>
      </c>
      <c r="M5597">
        <v>17989534.25</v>
      </c>
      <c r="N5597">
        <v>17989534.25</v>
      </c>
      <c r="O5597">
        <v>17989534.25</v>
      </c>
      <c r="P5597">
        <v>18000000</v>
      </c>
      <c r="Q5597">
        <v>18000000</v>
      </c>
      <c r="R5597" s="14">
        <f>_xlfn.XLOOKUP(Table2[[#This Row],[LoanID]],Table1[G-L ID],Table1[ManagerCode],-99)</f>
        <v>298</v>
      </c>
      <c r="T5597"/>
    </row>
    <row r="5598" spans="1:20" x14ac:dyDescent="0.25">
      <c r="A5598">
        <v>20170430</v>
      </c>
      <c r="B5598">
        <v>2017</v>
      </c>
      <c r="C5598">
        <v>4</v>
      </c>
      <c r="D5598">
        <v>1</v>
      </c>
      <c r="E5598">
        <v>13690</v>
      </c>
      <c r="F5598">
        <v>133472.22</v>
      </c>
      <c r="G5598">
        <v>0</v>
      </c>
      <c r="H5598">
        <v>0</v>
      </c>
      <c r="I5598">
        <v>0</v>
      </c>
      <c r="J5598">
        <v>0</v>
      </c>
      <c r="K5598">
        <v>0</v>
      </c>
      <c r="L5598">
        <v>18960334.350000001</v>
      </c>
      <c r="M5598">
        <v>18960334.350000001</v>
      </c>
      <c r="N5598">
        <v>18960334.350000001</v>
      </c>
      <c r="O5598">
        <v>18960334.350000001</v>
      </c>
      <c r="P5598">
        <v>20000000</v>
      </c>
      <c r="Q5598">
        <v>20000000</v>
      </c>
      <c r="R5598" s="14">
        <f>_xlfn.XLOOKUP(Table2[[#This Row],[LoanID]],Table1[G-L ID],Table1[ManagerCode],-99)</f>
        <v>298</v>
      </c>
      <c r="T5598"/>
    </row>
    <row r="5599" spans="1:20" x14ac:dyDescent="0.25">
      <c r="A5599">
        <v>20170430</v>
      </c>
      <c r="B5599">
        <v>2017</v>
      </c>
      <c r="C5599">
        <v>4</v>
      </c>
      <c r="D5599">
        <v>1</v>
      </c>
      <c r="E5599">
        <v>15540</v>
      </c>
      <c r="F5599">
        <v>220616.67</v>
      </c>
      <c r="G5599">
        <v>-379.17</v>
      </c>
      <c r="H5599">
        <v>0</v>
      </c>
      <c r="I5599">
        <v>-2260.42</v>
      </c>
      <c r="J5599">
        <v>0</v>
      </c>
      <c r="K5599">
        <v>0</v>
      </c>
      <c r="L5599">
        <v>52720616.670000002</v>
      </c>
      <c r="M5599">
        <v>52720237.5</v>
      </c>
      <c r="N5599">
        <v>52720616.670000002</v>
      </c>
      <c r="O5599">
        <v>52720237.5</v>
      </c>
      <c r="P5599">
        <v>52720616.670000002</v>
      </c>
      <c r="Q5599">
        <v>52720237.5</v>
      </c>
      <c r="R5599" s="14">
        <f>_xlfn.XLOOKUP(Table2[[#This Row],[LoanID]],Table1[G-L ID],Table1[ManagerCode],-99)</f>
        <v>212</v>
      </c>
      <c r="T5599"/>
    </row>
    <row r="5600" spans="1:20" x14ac:dyDescent="0.25">
      <c r="A5600">
        <v>20170430</v>
      </c>
      <c r="B5600">
        <v>2017</v>
      </c>
      <c r="C5600">
        <v>4</v>
      </c>
      <c r="D5600">
        <v>1</v>
      </c>
      <c r="E5600">
        <v>15580</v>
      </c>
      <c r="F5600">
        <v>116943.21</v>
      </c>
      <c r="G5600">
        <v>-3822.15</v>
      </c>
      <c r="H5600">
        <v>0</v>
      </c>
      <c r="I5600">
        <v>0</v>
      </c>
      <c r="J5600">
        <v>0</v>
      </c>
      <c r="K5600">
        <v>6458.1</v>
      </c>
      <c r="L5600">
        <v>14798566.289999999</v>
      </c>
      <c r="M5600">
        <v>14788286.039999999</v>
      </c>
      <c r="N5600">
        <v>14798566.289999999</v>
      </c>
      <c r="O5600">
        <v>14788286.039999999</v>
      </c>
      <c r="P5600">
        <v>14798566.289999999</v>
      </c>
      <c r="Q5600">
        <v>14788286.039999999</v>
      </c>
      <c r="R5600" s="14">
        <f>_xlfn.XLOOKUP(Table2[[#This Row],[LoanID]],Table1[G-L ID],Table1[ManagerCode],-99)</f>
        <v>212</v>
      </c>
      <c r="T5600"/>
    </row>
    <row r="5601" spans="1:20" x14ac:dyDescent="0.25">
      <c r="A5601">
        <v>20170531</v>
      </c>
      <c r="B5601">
        <v>2017</v>
      </c>
      <c r="C5601">
        <v>5</v>
      </c>
      <c r="D5601">
        <v>1</v>
      </c>
      <c r="E5601">
        <v>10010</v>
      </c>
      <c r="F5601">
        <v>167447.15</v>
      </c>
      <c r="G5601">
        <v>0</v>
      </c>
      <c r="H5601">
        <v>0</v>
      </c>
      <c r="I5601">
        <v>0</v>
      </c>
      <c r="J5601">
        <v>0</v>
      </c>
      <c r="K5601">
        <v>0</v>
      </c>
      <c r="L5601">
        <v>17168930.09</v>
      </c>
      <c r="M5601">
        <v>17168930.09</v>
      </c>
      <c r="N5601">
        <v>17168930.09</v>
      </c>
      <c r="O5601">
        <v>17168930.09</v>
      </c>
      <c r="P5601">
        <v>17168930.09</v>
      </c>
      <c r="Q5601">
        <v>17168930.09</v>
      </c>
      <c r="R5601" s="14">
        <f>_xlfn.XLOOKUP(Table2[[#This Row],[LoanID]],Table1[G-L ID],Table1[ManagerCode],-99)</f>
        <v>119</v>
      </c>
      <c r="T5601"/>
    </row>
    <row r="5602" spans="1:20" x14ac:dyDescent="0.25">
      <c r="A5602">
        <v>20170531</v>
      </c>
      <c r="B5602">
        <v>2017</v>
      </c>
      <c r="C5602">
        <v>5</v>
      </c>
      <c r="D5602">
        <v>1</v>
      </c>
      <c r="E5602">
        <v>10030</v>
      </c>
      <c r="F5602">
        <v>84946.71</v>
      </c>
      <c r="G5602">
        <v>0</v>
      </c>
      <c r="H5602">
        <v>0</v>
      </c>
      <c r="I5602">
        <v>0</v>
      </c>
      <c r="J5602">
        <v>0</v>
      </c>
      <c r="K5602">
        <v>0</v>
      </c>
      <c r="L5602">
        <v>10948829.699999999</v>
      </c>
      <c r="M5602">
        <v>10948829.699999999</v>
      </c>
      <c r="N5602">
        <v>10948829.699999999</v>
      </c>
      <c r="O5602">
        <v>10948829.699999999</v>
      </c>
      <c r="P5602">
        <v>10948829.699999999</v>
      </c>
      <c r="Q5602">
        <v>10948829.699999999</v>
      </c>
      <c r="R5602" s="14">
        <f>_xlfn.XLOOKUP(Table2[[#This Row],[LoanID]],Table1[G-L ID],Table1[ManagerCode],-99)</f>
        <v>119</v>
      </c>
      <c r="T5602"/>
    </row>
    <row r="5603" spans="1:20" x14ac:dyDescent="0.25">
      <c r="A5603">
        <v>20170531</v>
      </c>
      <c r="B5603">
        <v>2017</v>
      </c>
      <c r="C5603">
        <v>5</v>
      </c>
      <c r="D5603">
        <v>1</v>
      </c>
      <c r="E5603">
        <v>10040</v>
      </c>
      <c r="F5603">
        <v>45791.67</v>
      </c>
      <c r="G5603">
        <v>0</v>
      </c>
      <c r="H5603">
        <v>0</v>
      </c>
      <c r="I5603">
        <v>0</v>
      </c>
      <c r="J5603">
        <v>0</v>
      </c>
      <c r="K5603">
        <v>0</v>
      </c>
      <c r="L5603">
        <v>5000000</v>
      </c>
      <c r="M5603">
        <v>5000000</v>
      </c>
      <c r="N5603">
        <v>5000000</v>
      </c>
      <c r="O5603">
        <v>5000000</v>
      </c>
      <c r="P5603">
        <v>5000000</v>
      </c>
      <c r="Q5603">
        <v>5000000</v>
      </c>
      <c r="R5603" s="14">
        <f>_xlfn.XLOOKUP(Table2[[#This Row],[LoanID]],Table1[G-L ID],Table1[ManagerCode],-99)</f>
        <v>119</v>
      </c>
      <c r="T5603"/>
    </row>
    <row r="5604" spans="1:20" x14ac:dyDescent="0.25">
      <c r="A5604">
        <v>20170531</v>
      </c>
      <c r="B5604">
        <v>2017</v>
      </c>
      <c r="C5604">
        <v>5</v>
      </c>
      <c r="D5604">
        <v>1</v>
      </c>
      <c r="E5604">
        <v>10050</v>
      </c>
      <c r="F5604">
        <v>129642.08</v>
      </c>
      <c r="G5604">
        <v>0</v>
      </c>
      <c r="H5604">
        <v>0</v>
      </c>
      <c r="I5604">
        <v>0</v>
      </c>
      <c r="J5604">
        <v>0</v>
      </c>
      <c r="K5604">
        <v>0</v>
      </c>
      <c r="L5604">
        <v>37505415.539999999</v>
      </c>
      <c r="M5604">
        <v>37805590.439999998</v>
      </c>
      <c r="N5604">
        <v>37505415.539999999</v>
      </c>
      <c r="O5604">
        <v>37805590.439999998</v>
      </c>
      <c r="P5604">
        <v>33333334</v>
      </c>
      <c r="Q5604">
        <v>33333334</v>
      </c>
      <c r="R5604" s="14">
        <f>_xlfn.XLOOKUP(Table2[[#This Row],[LoanID]],Table1[G-L ID],Table1[ManagerCode],-99)</f>
        <v>103</v>
      </c>
      <c r="T5604"/>
    </row>
    <row r="5605" spans="1:20" x14ac:dyDescent="0.25">
      <c r="A5605">
        <v>20170531</v>
      </c>
      <c r="B5605">
        <v>2017</v>
      </c>
      <c r="C5605">
        <v>5</v>
      </c>
      <c r="D5605">
        <v>1</v>
      </c>
      <c r="E5605">
        <v>10070</v>
      </c>
      <c r="F5605">
        <v>62529.58</v>
      </c>
      <c r="G5605">
        <v>0</v>
      </c>
      <c r="H5605">
        <v>0</v>
      </c>
      <c r="I5605">
        <v>0</v>
      </c>
      <c r="J5605">
        <v>0</v>
      </c>
      <c r="K5605">
        <v>0</v>
      </c>
      <c r="L5605">
        <v>5875000</v>
      </c>
      <c r="M5605">
        <v>5875000</v>
      </c>
      <c r="N5605">
        <v>5875000</v>
      </c>
      <c r="O5605">
        <v>5875000</v>
      </c>
      <c r="P5605">
        <v>5875000</v>
      </c>
      <c r="Q5605">
        <v>5875000</v>
      </c>
      <c r="R5605" s="14">
        <f>_xlfn.XLOOKUP(Table2[[#This Row],[LoanID]],Table1[G-L ID],Table1[ManagerCode],-99)</f>
        <v>119</v>
      </c>
      <c r="T5605"/>
    </row>
    <row r="5606" spans="1:20" x14ac:dyDescent="0.25">
      <c r="A5606">
        <v>20170531</v>
      </c>
      <c r="B5606">
        <v>2017</v>
      </c>
      <c r="C5606">
        <v>5</v>
      </c>
      <c r="D5606">
        <v>1</v>
      </c>
      <c r="E5606">
        <v>10110</v>
      </c>
      <c r="F5606">
        <v>144921.32999999999</v>
      </c>
      <c r="G5606">
        <v>0</v>
      </c>
      <c r="H5606">
        <v>0</v>
      </c>
      <c r="I5606">
        <v>0</v>
      </c>
      <c r="J5606">
        <v>0</v>
      </c>
      <c r="K5606">
        <v>0</v>
      </c>
      <c r="L5606">
        <v>16400000</v>
      </c>
      <c r="M5606">
        <v>16400000</v>
      </c>
      <c r="N5606">
        <v>16400000</v>
      </c>
      <c r="O5606">
        <v>16400000</v>
      </c>
      <c r="P5606">
        <v>16400000</v>
      </c>
      <c r="Q5606">
        <v>16400000</v>
      </c>
      <c r="R5606" s="14">
        <f>_xlfn.XLOOKUP(Table2[[#This Row],[LoanID]],Table1[G-L ID],Table1[ManagerCode],-99)</f>
        <v>119</v>
      </c>
      <c r="T5606"/>
    </row>
    <row r="5607" spans="1:20" x14ac:dyDescent="0.25">
      <c r="A5607">
        <v>20170531</v>
      </c>
      <c r="B5607">
        <v>2017</v>
      </c>
      <c r="C5607">
        <v>5</v>
      </c>
      <c r="D5607">
        <v>1</v>
      </c>
      <c r="E5607">
        <v>10120</v>
      </c>
      <c r="F5607">
        <v>58733.75</v>
      </c>
      <c r="G5607">
        <v>64288.97</v>
      </c>
      <c r="H5607">
        <v>0</v>
      </c>
      <c r="I5607">
        <v>0</v>
      </c>
      <c r="J5607">
        <v>-58733.75</v>
      </c>
      <c r="K5607">
        <v>0</v>
      </c>
      <c r="L5607">
        <v>11846708.4</v>
      </c>
      <c r="M5607">
        <v>11969731.119999999</v>
      </c>
      <c r="N5607">
        <v>11846708.4</v>
      </c>
      <c r="O5607">
        <v>11969731.119999999</v>
      </c>
      <c r="P5607">
        <v>11846708.4</v>
      </c>
      <c r="Q5607">
        <v>11969731.119999999</v>
      </c>
      <c r="R5607" s="14">
        <f>_xlfn.XLOOKUP(Table2[[#This Row],[LoanID]],Table1[G-L ID],Table1[ManagerCode],-99)</f>
        <v>183</v>
      </c>
      <c r="T5607"/>
    </row>
    <row r="5608" spans="1:20" x14ac:dyDescent="0.25">
      <c r="A5608">
        <v>20170531</v>
      </c>
      <c r="B5608">
        <v>2017</v>
      </c>
      <c r="C5608">
        <v>5</v>
      </c>
      <c r="D5608">
        <v>1</v>
      </c>
      <c r="E5608">
        <v>10160</v>
      </c>
      <c r="F5608">
        <v>128628.49</v>
      </c>
      <c r="G5608">
        <v>0</v>
      </c>
      <c r="H5608">
        <v>0</v>
      </c>
      <c r="I5608">
        <v>0</v>
      </c>
      <c r="J5608">
        <v>0</v>
      </c>
      <c r="K5608">
        <v>0</v>
      </c>
      <c r="L5608">
        <v>15450869.43</v>
      </c>
      <c r="M5608">
        <v>15450869.43</v>
      </c>
      <c r="N5608">
        <v>15450869.43</v>
      </c>
      <c r="O5608">
        <v>15450869.43</v>
      </c>
      <c r="P5608">
        <v>15450869.43</v>
      </c>
      <c r="Q5608">
        <v>15450869.43</v>
      </c>
      <c r="R5608" s="14">
        <f>_xlfn.XLOOKUP(Table2[[#This Row],[LoanID]],Table1[G-L ID],Table1[ManagerCode],-99)</f>
        <v>119</v>
      </c>
      <c r="T5608"/>
    </row>
    <row r="5609" spans="1:20" x14ac:dyDescent="0.25">
      <c r="A5609">
        <v>20170531</v>
      </c>
      <c r="B5609">
        <v>2017</v>
      </c>
      <c r="C5609">
        <v>5</v>
      </c>
      <c r="D5609">
        <v>1</v>
      </c>
      <c r="E5609">
        <v>10220</v>
      </c>
      <c r="F5609">
        <v>297916.67</v>
      </c>
      <c r="G5609">
        <v>0</v>
      </c>
      <c r="H5609">
        <v>0</v>
      </c>
      <c r="I5609">
        <v>0</v>
      </c>
      <c r="J5609">
        <v>0</v>
      </c>
      <c r="K5609">
        <v>0</v>
      </c>
      <c r="L5609">
        <v>113046319.90000001</v>
      </c>
      <c r="M5609">
        <v>113710654.40000001</v>
      </c>
      <c r="N5609">
        <v>113046319.90000001</v>
      </c>
      <c r="O5609">
        <v>113710654.40000001</v>
      </c>
      <c r="P5609">
        <v>100000000</v>
      </c>
      <c r="Q5609">
        <v>100000000</v>
      </c>
      <c r="R5609" s="14">
        <f>_xlfn.XLOOKUP(Table2[[#This Row],[LoanID]],Table1[G-L ID],Table1[ManagerCode],-99)</f>
        <v>103</v>
      </c>
      <c r="T5609"/>
    </row>
    <row r="5610" spans="1:20" x14ac:dyDescent="0.25">
      <c r="A5610">
        <v>20170531</v>
      </c>
      <c r="B5610">
        <v>2017</v>
      </c>
      <c r="C5610">
        <v>5</v>
      </c>
      <c r="D5610">
        <v>1</v>
      </c>
      <c r="E5610">
        <v>10240</v>
      </c>
      <c r="F5610">
        <v>93687.5</v>
      </c>
      <c r="G5610">
        <v>0</v>
      </c>
      <c r="H5610">
        <v>0</v>
      </c>
      <c r="I5610">
        <v>0</v>
      </c>
      <c r="J5610">
        <v>0</v>
      </c>
      <c r="K5610">
        <v>0</v>
      </c>
      <c r="L5610">
        <v>12500000</v>
      </c>
      <c r="M5610">
        <v>12500000</v>
      </c>
      <c r="N5610">
        <v>12500000</v>
      </c>
      <c r="O5610">
        <v>12500000</v>
      </c>
      <c r="P5610">
        <v>12500000</v>
      </c>
      <c r="Q5610">
        <v>12500000</v>
      </c>
      <c r="R5610" s="14">
        <f>_xlfn.XLOOKUP(Table2[[#This Row],[LoanID]],Table1[G-L ID],Table1[ManagerCode],-99)</f>
        <v>220</v>
      </c>
      <c r="T5610"/>
    </row>
    <row r="5611" spans="1:20" x14ac:dyDescent="0.25">
      <c r="A5611">
        <v>20170531</v>
      </c>
      <c r="B5611">
        <v>2017</v>
      </c>
      <c r="C5611">
        <v>5</v>
      </c>
      <c r="D5611">
        <v>1</v>
      </c>
      <c r="E5611">
        <v>10250</v>
      </c>
      <c r="F5611">
        <v>51141.67</v>
      </c>
      <c r="G5611">
        <v>0</v>
      </c>
      <c r="H5611">
        <v>0</v>
      </c>
      <c r="I5611">
        <v>0</v>
      </c>
      <c r="J5611">
        <v>0</v>
      </c>
      <c r="K5611">
        <v>0</v>
      </c>
      <c r="L5611">
        <v>5000000</v>
      </c>
      <c r="M5611">
        <v>5000000</v>
      </c>
      <c r="N5611">
        <v>5000000</v>
      </c>
      <c r="O5611">
        <v>5000000</v>
      </c>
      <c r="P5611">
        <v>5000000</v>
      </c>
      <c r="Q5611">
        <v>5000000</v>
      </c>
      <c r="R5611" s="14">
        <f>_xlfn.XLOOKUP(Table2[[#This Row],[LoanID]],Table1[G-L ID],Table1[ManagerCode],-99)</f>
        <v>119</v>
      </c>
      <c r="T5611"/>
    </row>
    <row r="5612" spans="1:20" x14ac:dyDescent="0.25">
      <c r="A5612">
        <v>20170531</v>
      </c>
      <c r="B5612">
        <v>2017</v>
      </c>
      <c r="C5612">
        <v>5</v>
      </c>
      <c r="D5612">
        <v>1</v>
      </c>
      <c r="E5612">
        <v>10260</v>
      </c>
      <c r="F5612">
        <v>99432.43</v>
      </c>
      <c r="G5612">
        <v>0</v>
      </c>
      <c r="H5612">
        <v>0</v>
      </c>
      <c r="I5612">
        <v>0</v>
      </c>
      <c r="J5612">
        <v>0</v>
      </c>
      <c r="K5612">
        <v>0</v>
      </c>
      <c r="L5612">
        <v>15000000</v>
      </c>
      <c r="M5612">
        <v>15000000</v>
      </c>
      <c r="N5612">
        <v>15000000</v>
      </c>
      <c r="O5612">
        <v>15000000</v>
      </c>
      <c r="P5612">
        <v>15000000</v>
      </c>
      <c r="Q5612">
        <v>15000000</v>
      </c>
      <c r="R5612" s="14">
        <f>_xlfn.XLOOKUP(Table2[[#This Row],[LoanID]],Table1[G-L ID],Table1[ManagerCode],-99)</f>
        <v>220</v>
      </c>
      <c r="T5612"/>
    </row>
    <row r="5613" spans="1:20" x14ac:dyDescent="0.25">
      <c r="A5613">
        <v>20170531</v>
      </c>
      <c r="B5613">
        <v>2017</v>
      </c>
      <c r="C5613">
        <v>5</v>
      </c>
      <c r="D5613">
        <v>1</v>
      </c>
      <c r="E5613">
        <v>10270</v>
      </c>
      <c r="F5613">
        <v>45512.25</v>
      </c>
      <c r="G5613">
        <v>0</v>
      </c>
      <c r="H5613">
        <v>0</v>
      </c>
      <c r="I5613">
        <v>0</v>
      </c>
      <c r="J5613">
        <v>0</v>
      </c>
      <c r="K5613">
        <v>0</v>
      </c>
      <c r="L5613">
        <v>5400000</v>
      </c>
      <c r="M5613">
        <v>5400000</v>
      </c>
      <c r="N5613">
        <v>5400000</v>
      </c>
      <c r="O5613">
        <v>5400000</v>
      </c>
      <c r="P5613">
        <v>5400000</v>
      </c>
      <c r="Q5613">
        <v>5400000</v>
      </c>
      <c r="R5613" s="14">
        <f>_xlfn.XLOOKUP(Table2[[#This Row],[LoanID]],Table1[G-L ID],Table1[ManagerCode],-99)</f>
        <v>119</v>
      </c>
      <c r="T5613"/>
    </row>
    <row r="5614" spans="1:20" x14ac:dyDescent="0.25">
      <c r="A5614">
        <v>20170531</v>
      </c>
      <c r="B5614">
        <v>2017</v>
      </c>
      <c r="C5614">
        <v>5</v>
      </c>
      <c r="D5614">
        <v>1</v>
      </c>
      <c r="E5614">
        <v>10330</v>
      </c>
      <c r="F5614">
        <v>79504.45</v>
      </c>
      <c r="G5614">
        <v>0</v>
      </c>
      <c r="H5614">
        <v>0</v>
      </c>
      <c r="I5614">
        <v>0</v>
      </c>
      <c r="J5614">
        <v>0</v>
      </c>
      <c r="K5614">
        <v>0</v>
      </c>
      <c r="L5614">
        <v>8652759.6999999993</v>
      </c>
      <c r="M5614">
        <v>8652759.6999999993</v>
      </c>
      <c r="N5614">
        <v>8652759.6999999993</v>
      </c>
      <c r="O5614">
        <v>8652759.6999999993</v>
      </c>
      <c r="P5614">
        <v>8652759.6999999993</v>
      </c>
      <c r="Q5614">
        <v>8652759.6999999993</v>
      </c>
      <c r="R5614" s="14">
        <f>_xlfn.XLOOKUP(Table2[[#This Row],[LoanID]],Table1[G-L ID],Table1[ManagerCode],-99)</f>
        <v>119</v>
      </c>
      <c r="T5614"/>
    </row>
    <row r="5615" spans="1:20" x14ac:dyDescent="0.25">
      <c r="A5615">
        <v>20170531</v>
      </c>
      <c r="B5615">
        <v>2017</v>
      </c>
      <c r="C5615">
        <v>5</v>
      </c>
      <c r="D5615">
        <v>1</v>
      </c>
      <c r="E5615">
        <v>10350</v>
      </c>
      <c r="F5615">
        <v>168777.78</v>
      </c>
      <c r="G5615">
        <v>0</v>
      </c>
      <c r="H5615">
        <v>0</v>
      </c>
      <c r="I5615">
        <v>0</v>
      </c>
      <c r="J5615">
        <v>0</v>
      </c>
      <c r="K5615">
        <v>0</v>
      </c>
      <c r="L5615">
        <v>24800000</v>
      </c>
      <c r="M5615">
        <v>24800000</v>
      </c>
      <c r="N5615">
        <v>24800000</v>
      </c>
      <c r="O5615">
        <v>24800000</v>
      </c>
      <c r="P5615">
        <v>24800000</v>
      </c>
      <c r="Q5615">
        <v>24800000</v>
      </c>
      <c r="R5615" s="14">
        <f>_xlfn.XLOOKUP(Table2[[#This Row],[LoanID]],Table1[G-L ID],Table1[ManagerCode],-99)</f>
        <v>220</v>
      </c>
      <c r="T5615"/>
    </row>
    <row r="5616" spans="1:20" x14ac:dyDescent="0.25">
      <c r="A5616">
        <v>20170531</v>
      </c>
      <c r="B5616">
        <v>2017</v>
      </c>
      <c r="C5616">
        <v>5</v>
      </c>
      <c r="D5616">
        <v>1</v>
      </c>
      <c r="E5616">
        <v>10360</v>
      </c>
      <c r="F5616">
        <v>57858.96</v>
      </c>
      <c r="G5616">
        <v>0</v>
      </c>
      <c r="H5616">
        <v>0</v>
      </c>
      <c r="I5616">
        <v>0</v>
      </c>
      <c r="J5616">
        <v>0</v>
      </c>
      <c r="K5616">
        <v>0</v>
      </c>
      <c r="L5616">
        <v>5909000</v>
      </c>
      <c r="M5616">
        <v>5909000</v>
      </c>
      <c r="N5616">
        <v>5909000</v>
      </c>
      <c r="O5616">
        <v>5909000</v>
      </c>
      <c r="P5616">
        <v>5909000</v>
      </c>
      <c r="Q5616">
        <v>5909000</v>
      </c>
      <c r="R5616" s="14">
        <f>_xlfn.XLOOKUP(Table2[[#This Row],[LoanID]],Table1[G-L ID],Table1[ManagerCode],-99)</f>
        <v>183</v>
      </c>
      <c r="T5616"/>
    </row>
    <row r="5617" spans="1:20" x14ac:dyDescent="0.25">
      <c r="A5617">
        <v>20170531</v>
      </c>
      <c r="B5617">
        <v>2017</v>
      </c>
      <c r="C5617">
        <v>5</v>
      </c>
      <c r="D5617">
        <v>1</v>
      </c>
      <c r="E5617">
        <v>10410</v>
      </c>
      <c r="F5617">
        <v>118191.15</v>
      </c>
      <c r="G5617">
        <v>58253.35</v>
      </c>
      <c r="H5617">
        <v>0</v>
      </c>
      <c r="I5617">
        <v>0</v>
      </c>
      <c r="J5617">
        <v>-118191.15</v>
      </c>
      <c r="K5617">
        <v>33329.08</v>
      </c>
      <c r="L5617">
        <v>28476324.109999999</v>
      </c>
      <c r="M5617">
        <v>28619439.530000001</v>
      </c>
      <c r="N5617">
        <v>28476324.109999999</v>
      </c>
      <c r="O5617">
        <v>28619439.530000001</v>
      </c>
      <c r="P5617">
        <v>28476324.109999999</v>
      </c>
      <c r="Q5617">
        <v>28619439.530000001</v>
      </c>
      <c r="R5617" s="14">
        <f>_xlfn.XLOOKUP(Table2[[#This Row],[LoanID]],Table1[G-L ID],Table1[ManagerCode],-99)</f>
        <v>183</v>
      </c>
      <c r="T5617"/>
    </row>
    <row r="5618" spans="1:20" x14ac:dyDescent="0.25">
      <c r="A5618">
        <v>20170531</v>
      </c>
      <c r="B5618">
        <v>2017</v>
      </c>
      <c r="C5618">
        <v>5</v>
      </c>
      <c r="D5618">
        <v>1</v>
      </c>
      <c r="E5618">
        <v>10480</v>
      </c>
      <c r="F5618">
        <v>166643.18</v>
      </c>
      <c r="G5618">
        <v>0</v>
      </c>
      <c r="H5618">
        <v>0</v>
      </c>
      <c r="I5618">
        <v>0</v>
      </c>
      <c r="J5618">
        <v>0</v>
      </c>
      <c r="K5618">
        <v>0</v>
      </c>
      <c r="L5618">
        <v>21136483.620000001</v>
      </c>
      <c r="M5618">
        <v>21136483.620000001</v>
      </c>
      <c r="N5618">
        <v>21136483.620000001</v>
      </c>
      <c r="O5618">
        <v>21136483.620000001</v>
      </c>
      <c r="P5618">
        <v>21136483.620000001</v>
      </c>
      <c r="Q5618">
        <v>21136483.620000001</v>
      </c>
      <c r="R5618" s="14">
        <f>_xlfn.XLOOKUP(Table2[[#This Row],[LoanID]],Table1[G-L ID],Table1[ManagerCode],-99)</f>
        <v>119</v>
      </c>
      <c r="T5618"/>
    </row>
    <row r="5619" spans="1:20" x14ac:dyDescent="0.25">
      <c r="A5619">
        <v>20170531</v>
      </c>
      <c r="B5619">
        <v>2017</v>
      </c>
      <c r="C5619">
        <v>5</v>
      </c>
      <c r="D5619">
        <v>1</v>
      </c>
      <c r="E5619">
        <v>10500</v>
      </c>
      <c r="F5619">
        <v>176008.49</v>
      </c>
      <c r="G5619">
        <v>0</v>
      </c>
      <c r="H5619">
        <v>0</v>
      </c>
      <c r="I5619">
        <v>0</v>
      </c>
      <c r="J5619">
        <v>0</v>
      </c>
      <c r="K5619">
        <v>0</v>
      </c>
      <c r="L5619">
        <v>19211405.440000001</v>
      </c>
      <c r="M5619">
        <v>19211405.440000001</v>
      </c>
      <c r="N5619">
        <v>19211405.440000001</v>
      </c>
      <c r="O5619">
        <v>19211405.440000001</v>
      </c>
      <c r="P5619">
        <v>19211405.440000001</v>
      </c>
      <c r="Q5619">
        <v>19211405.440000001</v>
      </c>
      <c r="R5619" s="14">
        <f>_xlfn.XLOOKUP(Table2[[#This Row],[LoanID]],Table1[G-L ID],Table1[ManagerCode],-99)</f>
        <v>119</v>
      </c>
      <c r="T5619"/>
    </row>
    <row r="5620" spans="1:20" x14ac:dyDescent="0.25">
      <c r="A5620">
        <v>20170531</v>
      </c>
      <c r="B5620">
        <v>2017</v>
      </c>
      <c r="C5620">
        <v>5</v>
      </c>
      <c r="D5620">
        <v>1</v>
      </c>
      <c r="E5620">
        <v>10620</v>
      </c>
      <c r="F5620">
        <v>109756.78</v>
      </c>
      <c r="G5620">
        <v>0</v>
      </c>
      <c r="H5620">
        <v>0</v>
      </c>
      <c r="I5620">
        <v>0</v>
      </c>
      <c r="J5620">
        <v>-154266.60999999999</v>
      </c>
      <c r="K5620">
        <v>0</v>
      </c>
      <c r="L5620">
        <v>11315131.58</v>
      </c>
      <c r="M5620">
        <v>11469398.189999999</v>
      </c>
      <c r="N5620">
        <v>11315131.58</v>
      </c>
      <c r="O5620">
        <v>11469398.189999999</v>
      </c>
      <c r="P5620">
        <v>11315131.58</v>
      </c>
      <c r="Q5620">
        <v>11469398.189999999</v>
      </c>
      <c r="R5620" s="14">
        <f>_xlfn.XLOOKUP(Table2[[#This Row],[LoanID]],Table1[G-L ID],Table1[ManagerCode],-99)</f>
        <v>119</v>
      </c>
      <c r="T5620"/>
    </row>
    <row r="5621" spans="1:20" x14ac:dyDescent="0.25">
      <c r="A5621">
        <v>20170531</v>
      </c>
      <c r="B5621">
        <v>2017</v>
      </c>
      <c r="C5621">
        <v>5</v>
      </c>
      <c r="D5621">
        <v>1</v>
      </c>
      <c r="E5621">
        <v>10670</v>
      </c>
      <c r="F5621">
        <v>264850</v>
      </c>
      <c r="G5621">
        <v>0</v>
      </c>
      <c r="H5621">
        <v>0</v>
      </c>
      <c r="I5621">
        <v>0</v>
      </c>
      <c r="J5621">
        <v>0</v>
      </c>
      <c r="K5621">
        <v>0</v>
      </c>
      <c r="L5621">
        <v>30000000</v>
      </c>
      <c r="M5621">
        <v>30000000</v>
      </c>
      <c r="N5621">
        <v>30000000</v>
      </c>
      <c r="O5621">
        <v>30000000</v>
      </c>
      <c r="P5621">
        <v>30000000</v>
      </c>
      <c r="Q5621">
        <v>30000000</v>
      </c>
      <c r="R5621" s="14">
        <f>_xlfn.XLOOKUP(Table2[[#This Row],[LoanID]],Table1[G-L ID],Table1[ManagerCode],-99)</f>
        <v>119</v>
      </c>
      <c r="T5621"/>
    </row>
    <row r="5622" spans="1:20" x14ac:dyDescent="0.25">
      <c r="A5622">
        <v>20170531</v>
      </c>
      <c r="B5622">
        <v>2017</v>
      </c>
      <c r="C5622">
        <v>5</v>
      </c>
      <c r="D5622">
        <v>1</v>
      </c>
      <c r="E5622">
        <v>10680</v>
      </c>
      <c r="F5622">
        <v>100281.55</v>
      </c>
      <c r="G5622">
        <v>0</v>
      </c>
      <c r="H5622">
        <v>0</v>
      </c>
      <c r="I5622">
        <v>0</v>
      </c>
      <c r="J5622">
        <v>0</v>
      </c>
      <c r="K5622">
        <v>0</v>
      </c>
      <c r="L5622">
        <v>11442088.51</v>
      </c>
      <c r="M5622">
        <v>11442088.51</v>
      </c>
      <c r="N5622">
        <v>11442088.51</v>
      </c>
      <c r="O5622">
        <v>11442088.51</v>
      </c>
      <c r="P5622">
        <v>11442088.51</v>
      </c>
      <c r="Q5622">
        <v>11442088.51</v>
      </c>
      <c r="R5622" s="14">
        <f>_xlfn.XLOOKUP(Table2[[#This Row],[LoanID]],Table1[G-L ID],Table1[ManagerCode],-99)</f>
        <v>119</v>
      </c>
      <c r="T5622"/>
    </row>
    <row r="5623" spans="1:20" x14ac:dyDescent="0.25">
      <c r="A5623">
        <v>20170531</v>
      </c>
      <c r="B5623">
        <v>2017</v>
      </c>
      <c r="C5623">
        <v>5</v>
      </c>
      <c r="D5623">
        <v>1</v>
      </c>
      <c r="E5623">
        <v>10730</v>
      </c>
      <c r="F5623">
        <v>100696.04</v>
      </c>
      <c r="G5623">
        <v>0</v>
      </c>
      <c r="H5623">
        <v>0</v>
      </c>
      <c r="I5623">
        <v>0</v>
      </c>
      <c r="J5623">
        <v>0</v>
      </c>
      <c r="K5623">
        <v>0</v>
      </c>
      <c r="L5623">
        <v>9500000</v>
      </c>
      <c r="M5623">
        <v>9500000</v>
      </c>
      <c r="N5623">
        <v>9500000</v>
      </c>
      <c r="O5623">
        <v>9500000</v>
      </c>
      <c r="P5623">
        <v>9500000</v>
      </c>
      <c r="Q5623">
        <v>9500000</v>
      </c>
      <c r="R5623" s="14">
        <f>_xlfn.XLOOKUP(Table2[[#This Row],[LoanID]],Table1[G-L ID],Table1[ManagerCode],-99)</f>
        <v>119</v>
      </c>
      <c r="T5623"/>
    </row>
    <row r="5624" spans="1:20" x14ac:dyDescent="0.25">
      <c r="A5624">
        <v>20170531</v>
      </c>
      <c r="B5624">
        <v>2017</v>
      </c>
      <c r="C5624">
        <v>5</v>
      </c>
      <c r="D5624">
        <v>1</v>
      </c>
      <c r="E5624">
        <v>10750</v>
      </c>
      <c r="F5624">
        <v>77041.52</v>
      </c>
      <c r="G5624">
        <v>0</v>
      </c>
      <c r="H5624">
        <v>0</v>
      </c>
      <c r="I5624">
        <v>0</v>
      </c>
      <c r="J5624">
        <v>0</v>
      </c>
      <c r="K5624">
        <v>0</v>
      </c>
      <c r="L5624">
        <v>8939713.5199999996</v>
      </c>
      <c r="M5624">
        <v>8939713.5199999996</v>
      </c>
      <c r="N5624">
        <v>8939713.5199999996</v>
      </c>
      <c r="O5624">
        <v>8939713.5199999996</v>
      </c>
      <c r="P5624">
        <v>8939713.5199999996</v>
      </c>
      <c r="Q5624">
        <v>8939713.5199999996</v>
      </c>
      <c r="R5624" s="14">
        <f>_xlfn.XLOOKUP(Table2[[#This Row],[LoanID]],Table1[G-L ID],Table1[ManagerCode],-99)</f>
        <v>119</v>
      </c>
      <c r="T5624"/>
    </row>
    <row r="5625" spans="1:20" x14ac:dyDescent="0.25">
      <c r="A5625">
        <v>20170531</v>
      </c>
      <c r="B5625">
        <v>2017</v>
      </c>
      <c r="C5625">
        <v>5</v>
      </c>
      <c r="D5625">
        <v>1</v>
      </c>
      <c r="E5625">
        <v>10780</v>
      </c>
      <c r="F5625">
        <v>330721.28000000003</v>
      </c>
      <c r="G5625">
        <v>0</v>
      </c>
      <c r="H5625">
        <v>0</v>
      </c>
      <c r="I5625">
        <v>0</v>
      </c>
      <c r="J5625">
        <v>0</v>
      </c>
      <c r="K5625">
        <v>0</v>
      </c>
      <c r="L5625">
        <v>42932230</v>
      </c>
      <c r="M5625">
        <v>42932230</v>
      </c>
      <c r="N5625">
        <v>42932230</v>
      </c>
      <c r="O5625">
        <v>42932230</v>
      </c>
      <c r="P5625">
        <v>42932230</v>
      </c>
      <c r="Q5625">
        <v>42932230</v>
      </c>
      <c r="R5625" s="14">
        <f>_xlfn.XLOOKUP(Table2[[#This Row],[LoanID]],Table1[G-L ID],Table1[ManagerCode],-99)</f>
        <v>220</v>
      </c>
      <c r="T5625"/>
    </row>
    <row r="5626" spans="1:20" x14ac:dyDescent="0.25">
      <c r="A5626">
        <v>20170531</v>
      </c>
      <c r="B5626">
        <v>2017</v>
      </c>
      <c r="C5626">
        <v>5</v>
      </c>
      <c r="D5626">
        <v>1</v>
      </c>
      <c r="E5626">
        <v>10800</v>
      </c>
      <c r="F5626">
        <v>419760</v>
      </c>
      <c r="G5626">
        <v>0</v>
      </c>
      <c r="H5626">
        <v>0</v>
      </c>
      <c r="I5626">
        <v>0</v>
      </c>
      <c r="J5626">
        <v>0</v>
      </c>
      <c r="K5626">
        <v>0</v>
      </c>
      <c r="L5626">
        <v>48000000</v>
      </c>
      <c r="M5626">
        <v>48000000</v>
      </c>
      <c r="N5626">
        <v>48000000</v>
      </c>
      <c r="O5626">
        <v>48000000</v>
      </c>
      <c r="P5626">
        <v>48000000</v>
      </c>
      <c r="Q5626">
        <v>48000000</v>
      </c>
      <c r="R5626" s="14">
        <f>_xlfn.XLOOKUP(Table2[[#This Row],[LoanID]],Table1[G-L ID],Table1[ManagerCode],-99)</f>
        <v>220</v>
      </c>
      <c r="T5626"/>
    </row>
    <row r="5627" spans="1:20" x14ac:dyDescent="0.25">
      <c r="A5627">
        <v>20170531</v>
      </c>
      <c r="B5627">
        <v>2017</v>
      </c>
      <c r="C5627">
        <v>5</v>
      </c>
      <c r="D5627">
        <v>1</v>
      </c>
      <c r="E5627">
        <v>10810</v>
      </c>
      <c r="F5627">
        <v>88736.85</v>
      </c>
      <c r="G5627">
        <v>0</v>
      </c>
      <c r="H5627">
        <v>0</v>
      </c>
      <c r="I5627">
        <v>0</v>
      </c>
      <c r="J5627">
        <v>-117759.87</v>
      </c>
      <c r="K5627">
        <v>0</v>
      </c>
      <c r="L5627">
        <v>10456886.48</v>
      </c>
      <c r="M5627">
        <v>10574646.35</v>
      </c>
      <c r="N5627">
        <v>10456886.48</v>
      </c>
      <c r="O5627">
        <v>10574646.35</v>
      </c>
      <c r="P5627">
        <v>10456886.48</v>
      </c>
      <c r="Q5627">
        <v>10574646.35</v>
      </c>
      <c r="R5627" s="14">
        <f>_xlfn.XLOOKUP(Table2[[#This Row],[LoanID]],Table1[G-L ID],Table1[ManagerCode],-99)</f>
        <v>119</v>
      </c>
      <c r="T5627"/>
    </row>
    <row r="5628" spans="1:20" x14ac:dyDescent="0.25">
      <c r="A5628">
        <v>20170531</v>
      </c>
      <c r="B5628">
        <v>2017</v>
      </c>
      <c r="C5628">
        <v>5</v>
      </c>
      <c r="D5628">
        <v>1</v>
      </c>
      <c r="E5628">
        <v>10820</v>
      </c>
      <c r="F5628">
        <v>191008.09</v>
      </c>
      <c r="G5628">
        <v>0</v>
      </c>
      <c r="H5628">
        <v>0</v>
      </c>
      <c r="I5628">
        <v>0</v>
      </c>
      <c r="J5628">
        <v>0</v>
      </c>
      <c r="K5628">
        <v>0</v>
      </c>
      <c r="L5628">
        <v>24127338</v>
      </c>
      <c r="M5628">
        <v>24127338</v>
      </c>
      <c r="N5628">
        <v>24127338</v>
      </c>
      <c r="O5628">
        <v>24127338</v>
      </c>
      <c r="P5628">
        <v>24127337.739999998</v>
      </c>
      <c r="Q5628">
        <v>24127337.739999998</v>
      </c>
      <c r="R5628" s="14">
        <f>_xlfn.XLOOKUP(Table2[[#This Row],[LoanID]],Table1[G-L ID],Table1[ManagerCode],-99)</f>
        <v>220</v>
      </c>
      <c r="T5628"/>
    </row>
    <row r="5629" spans="1:20" x14ac:dyDescent="0.25">
      <c r="A5629">
        <v>20170531</v>
      </c>
      <c r="B5629">
        <v>2017</v>
      </c>
      <c r="C5629">
        <v>5</v>
      </c>
      <c r="D5629">
        <v>1</v>
      </c>
      <c r="E5629">
        <v>10830</v>
      </c>
      <c r="F5629">
        <v>61797.84</v>
      </c>
      <c r="G5629">
        <v>0</v>
      </c>
      <c r="H5629">
        <v>0</v>
      </c>
      <c r="I5629">
        <v>0</v>
      </c>
      <c r="J5629">
        <v>0</v>
      </c>
      <c r="K5629">
        <v>0</v>
      </c>
      <c r="L5629">
        <v>7806043.1399999997</v>
      </c>
      <c r="M5629">
        <v>7806043.1399999997</v>
      </c>
      <c r="N5629">
        <v>7806043.1399999997</v>
      </c>
      <c r="O5629">
        <v>7806043.1399999997</v>
      </c>
      <c r="P5629">
        <v>7806043.1399999997</v>
      </c>
      <c r="Q5629">
        <v>7806043.1399999997</v>
      </c>
      <c r="R5629" s="14">
        <f>_xlfn.XLOOKUP(Table2[[#This Row],[LoanID]],Table1[G-L ID],Table1[ManagerCode],-99)</f>
        <v>220</v>
      </c>
      <c r="T5629"/>
    </row>
    <row r="5630" spans="1:20" x14ac:dyDescent="0.25">
      <c r="A5630">
        <v>20170531</v>
      </c>
      <c r="B5630">
        <v>2017</v>
      </c>
      <c r="C5630">
        <v>5</v>
      </c>
      <c r="D5630">
        <v>1</v>
      </c>
      <c r="E5630">
        <v>10840</v>
      </c>
      <c r="F5630">
        <v>100614.41</v>
      </c>
      <c r="G5630">
        <v>0</v>
      </c>
      <c r="H5630">
        <v>0</v>
      </c>
      <c r="I5630">
        <v>0</v>
      </c>
      <c r="J5630">
        <v>0</v>
      </c>
      <c r="K5630">
        <v>0</v>
      </c>
      <c r="L5630">
        <v>12709189</v>
      </c>
      <c r="M5630">
        <v>12709189</v>
      </c>
      <c r="N5630">
        <v>12709189</v>
      </c>
      <c r="O5630">
        <v>12709189</v>
      </c>
      <c r="P5630">
        <v>12709189</v>
      </c>
      <c r="Q5630">
        <v>12709189</v>
      </c>
      <c r="R5630" s="14">
        <f>_xlfn.XLOOKUP(Table2[[#This Row],[LoanID]],Table1[G-L ID],Table1[ManagerCode],-99)</f>
        <v>220</v>
      </c>
      <c r="T5630"/>
    </row>
    <row r="5631" spans="1:20" x14ac:dyDescent="0.25">
      <c r="A5631">
        <v>20170531</v>
      </c>
      <c r="B5631">
        <v>2017</v>
      </c>
      <c r="C5631">
        <v>5</v>
      </c>
      <c r="D5631">
        <v>1</v>
      </c>
      <c r="E5631">
        <v>10850</v>
      </c>
      <c r="F5631">
        <v>106969.15</v>
      </c>
      <c r="G5631">
        <v>0</v>
      </c>
      <c r="H5631">
        <v>0</v>
      </c>
      <c r="I5631">
        <v>0</v>
      </c>
      <c r="J5631">
        <v>0</v>
      </c>
      <c r="K5631">
        <v>0</v>
      </c>
      <c r="L5631">
        <v>13511892</v>
      </c>
      <c r="M5631">
        <v>13511892</v>
      </c>
      <c r="N5631">
        <v>13511892</v>
      </c>
      <c r="O5631">
        <v>13511892</v>
      </c>
      <c r="P5631">
        <v>13511892</v>
      </c>
      <c r="Q5631">
        <v>13511892</v>
      </c>
      <c r="R5631" s="14">
        <f>_xlfn.XLOOKUP(Table2[[#This Row],[LoanID]],Table1[G-L ID],Table1[ManagerCode],-99)</f>
        <v>220</v>
      </c>
      <c r="T5631"/>
    </row>
    <row r="5632" spans="1:20" x14ac:dyDescent="0.25">
      <c r="A5632">
        <v>20170531</v>
      </c>
      <c r="B5632">
        <v>2017</v>
      </c>
      <c r="C5632">
        <v>5</v>
      </c>
      <c r="D5632">
        <v>1</v>
      </c>
      <c r="E5632">
        <v>10890</v>
      </c>
      <c r="F5632">
        <v>112213.24</v>
      </c>
      <c r="G5632">
        <v>94368.22</v>
      </c>
      <c r="H5632">
        <v>0</v>
      </c>
      <c r="I5632">
        <v>0</v>
      </c>
      <c r="J5632">
        <v>-112213.24</v>
      </c>
      <c r="K5632">
        <v>0</v>
      </c>
      <c r="L5632">
        <v>22536159.02</v>
      </c>
      <c r="M5632">
        <v>22742740.48</v>
      </c>
      <c r="N5632">
        <v>22536159.02</v>
      </c>
      <c r="O5632">
        <v>22742740.48</v>
      </c>
      <c r="P5632">
        <v>22536159.02</v>
      </c>
      <c r="Q5632">
        <v>22742740.48</v>
      </c>
      <c r="R5632" s="14">
        <f>_xlfn.XLOOKUP(Table2[[#This Row],[LoanID]],Table1[G-L ID],Table1[ManagerCode],-99)</f>
        <v>183</v>
      </c>
      <c r="T5632"/>
    </row>
    <row r="5633" spans="1:20" x14ac:dyDescent="0.25">
      <c r="A5633">
        <v>20170531</v>
      </c>
      <c r="B5633">
        <v>2017</v>
      </c>
      <c r="C5633">
        <v>5</v>
      </c>
      <c r="D5633">
        <v>1</v>
      </c>
      <c r="E5633">
        <v>10910</v>
      </c>
      <c r="F5633">
        <v>204718.75</v>
      </c>
      <c r="G5633">
        <v>0</v>
      </c>
      <c r="H5633">
        <v>0</v>
      </c>
      <c r="I5633">
        <v>0</v>
      </c>
      <c r="J5633">
        <v>0</v>
      </c>
      <c r="K5633">
        <v>0</v>
      </c>
      <c r="L5633">
        <v>22500000</v>
      </c>
      <c r="M5633">
        <v>22500000</v>
      </c>
      <c r="N5633">
        <v>22500000</v>
      </c>
      <c r="O5633">
        <v>22500000</v>
      </c>
      <c r="P5633">
        <v>22500000</v>
      </c>
      <c r="Q5633">
        <v>22500000</v>
      </c>
      <c r="R5633" s="14">
        <f>_xlfn.XLOOKUP(Table2[[#This Row],[LoanID]],Table1[G-L ID],Table1[ManagerCode],-99)</f>
        <v>119</v>
      </c>
      <c r="T5633"/>
    </row>
    <row r="5634" spans="1:20" x14ac:dyDescent="0.25">
      <c r="A5634">
        <v>20170531</v>
      </c>
      <c r="B5634">
        <v>2017</v>
      </c>
      <c r="C5634">
        <v>5</v>
      </c>
      <c r="D5634">
        <v>1</v>
      </c>
      <c r="E5634">
        <v>10930</v>
      </c>
      <c r="F5634">
        <v>0</v>
      </c>
      <c r="G5634">
        <v>192899.66</v>
      </c>
      <c r="H5634">
        <v>0</v>
      </c>
      <c r="I5634">
        <v>0</v>
      </c>
      <c r="J5634">
        <v>0</v>
      </c>
      <c r="K5634">
        <v>0</v>
      </c>
      <c r="L5634">
        <v>17471061.420000002</v>
      </c>
      <c r="M5634">
        <v>17663961.079999998</v>
      </c>
      <c r="N5634">
        <v>17471061.420000002</v>
      </c>
      <c r="O5634">
        <v>17663961.079999998</v>
      </c>
      <c r="P5634">
        <v>17471061.420000002</v>
      </c>
      <c r="Q5634">
        <v>17663961.079999998</v>
      </c>
      <c r="R5634" s="14">
        <f>_xlfn.XLOOKUP(Table2[[#This Row],[LoanID]],Table1[G-L ID],Table1[ManagerCode],-99)</f>
        <v>183</v>
      </c>
      <c r="T5634"/>
    </row>
    <row r="5635" spans="1:20" x14ac:dyDescent="0.25">
      <c r="A5635">
        <v>20170531</v>
      </c>
      <c r="B5635">
        <v>2017</v>
      </c>
      <c r="C5635">
        <v>5</v>
      </c>
      <c r="D5635">
        <v>1</v>
      </c>
      <c r="E5635">
        <v>10970</v>
      </c>
      <c r="F5635">
        <v>22434.75</v>
      </c>
      <c r="G5635">
        <v>24556.71</v>
      </c>
      <c r="H5635">
        <v>0</v>
      </c>
      <c r="I5635">
        <v>0</v>
      </c>
      <c r="J5635">
        <v>-22434.75</v>
      </c>
      <c r="K5635">
        <v>0</v>
      </c>
      <c r="L5635">
        <v>4525132.96</v>
      </c>
      <c r="M5635">
        <v>4572124.42</v>
      </c>
      <c r="N5635">
        <v>4525132.96</v>
      </c>
      <c r="O5635">
        <v>4572124.42</v>
      </c>
      <c r="P5635">
        <v>4525132.96</v>
      </c>
      <c r="Q5635">
        <v>4572124.42</v>
      </c>
      <c r="R5635" s="14">
        <f>_xlfn.XLOOKUP(Table2[[#This Row],[LoanID]],Table1[G-L ID],Table1[ManagerCode],-99)</f>
        <v>183</v>
      </c>
      <c r="T5635"/>
    </row>
    <row r="5636" spans="1:20" x14ac:dyDescent="0.25">
      <c r="A5636">
        <v>20170531</v>
      </c>
      <c r="B5636">
        <v>2017</v>
      </c>
      <c r="C5636">
        <v>5</v>
      </c>
      <c r="D5636">
        <v>1</v>
      </c>
      <c r="E5636">
        <v>11010</v>
      </c>
      <c r="F5636">
        <v>220453.06</v>
      </c>
      <c r="G5636">
        <v>0</v>
      </c>
      <c r="H5636">
        <v>0</v>
      </c>
      <c r="I5636">
        <v>0</v>
      </c>
      <c r="J5636">
        <v>0</v>
      </c>
      <c r="K5636">
        <v>0</v>
      </c>
      <c r="L5636">
        <v>26500000</v>
      </c>
      <c r="M5636">
        <v>26500000</v>
      </c>
      <c r="N5636">
        <v>26500000</v>
      </c>
      <c r="O5636">
        <v>26500000</v>
      </c>
      <c r="P5636">
        <v>26500000</v>
      </c>
      <c r="Q5636">
        <v>26500000</v>
      </c>
      <c r="R5636" s="14">
        <f>_xlfn.XLOOKUP(Table2[[#This Row],[LoanID]],Table1[G-L ID],Table1[ManagerCode],-99)</f>
        <v>119</v>
      </c>
      <c r="T5636"/>
    </row>
    <row r="5637" spans="1:20" x14ac:dyDescent="0.25">
      <c r="A5637">
        <v>20170531</v>
      </c>
      <c r="B5637">
        <v>2017</v>
      </c>
      <c r="C5637">
        <v>5</v>
      </c>
      <c r="D5637">
        <v>1</v>
      </c>
      <c r="E5637">
        <v>11060</v>
      </c>
      <c r="F5637">
        <v>189087.98</v>
      </c>
      <c r="G5637">
        <v>0</v>
      </c>
      <c r="H5637">
        <v>0</v>
      </c>
      <c r="I5637">
        <v>0</v>
      </c>
      <c r="J5637">
        <v>0</v>
      </c>
      <c r="K5637">
        <v>0</v>
      </c>
      <c r="L5637">
        <v>22000000</v>
      </c>
      <c r="M5637">
        <v>22000000</v>
      </c>
      <c r="N5637">
        <v>22000000</v>
      </c>
      <c r="O5637">
        <v>22000000</v>
      </c>
      <c r="P5637">
        <v>22000000</v>
      </c>
      <c r="Q5637">
        <v>22000000</v>
      </c>
      <c r="R5637" s="14">
        <f>_xlfn.XLOOKUP(Table2[[#This Row],[LoanID]],Table1[G-L ID],Table1[ManagerCode],-99)</f>
        <v>119</v>
      </c>
      <c r="T5637"/>
    </row>
    <row r="5638" spans="1:20" x14ac:dyDescent="0.25">
      <c r="A5638">
        <v>20170531</v>
      </c>
      <c r="B5638">
        <v>2017</v>
      </c>
      <c r="C5638">
        <v>5</v>
      </c>
      <c r="D5638">
        <v>1</v>
      </c>
      <c r="E5638">
        <v>11080</v>
      </c>
      <c r="F5638">
        <v>319472.58</v>
      </c>
      <c r="G5638">
        <v>0</v>
      </c>
      <c r="H5638">
        <v>0</v>
      </c>
      <c r="I5638">
        <v>0</v>
      </c>
      <c r="J5638">
        <v>0</v>
      </c>
      <c r="K5638">
        <v>0</v>
      </c>
      <c r="L5638">
        <v>39690253.950000003</v>
      </c>
      <c r="M5638">
        <v>39690253.950000003</v>
      </c>
      <c r="N5638">
        <v>39690253.950000003</v>
      </c>
      <c r="O5638">
        <v>39690253.950000003</v>
      </c>
      <c r="P5638">
        <v>39690253.950000003</v>
      </c>
      <c r="Q5638">
        <v>39690253.950000003</v>
      </c>
      <c r="R5638" s="14">
        <f>_xlfn.XLOOKUP(Table2[[#This Row],[LoanID]],Table1[G-L ID],Table1[ManagerCode],-99)</f>
        <v>119</v>
      </c>
      <c r="T5638"/>
    </row>
    <row r="5639" spans="1:20" x14ac:dyDescent="0.25">
      <c r="A5639">
        <v>20170531</v>
      </c>
      <c r="B5639">
        <v>2017</v>
      </c>
      <c r="C5639">
        <v>5</v>
      </c>
      <c r="D5639">
        <v>1</v>
      </c>
      <c r="E5639">
        <v>11090</v>
      </c>
      <c r="F5639">
        <v>96194.82</v>
      </c>
      <c r="G5639">
        <v>0</v>
      </c>
      <c r="H5639">
        <v>0</v>
      </c>
      <c r="I5639">
        <v>0</v>
      </c>
      <c r="J5639">
        <v>0</v>
      </c>
      <c r="K5639">
        <v>0</v>
      </c>
      <c r="L5639">
        <v>11000000</v>
      </c>
      <c r="M5639">
        <v>11000000</v>
      </c>
      <c r="N5639">
        <v>11000000</v>
      </c>
      <c r="O5639">
        <v>11000000</v>
      </c>
      <c r="P5639">
        <v>11000000</v>
      </c>
      <c r="Q5639">
        <v>11000000</v>
      </c>
      <c r="R5639" s="14">
        <f>_xlfn.XLOOKUP(Table2[[#This Row],[LoanID]],Table1[G-L ID],Table1[ManagerCode],-99)</f>
        <v>119</v>
      </c>
      <c r="T5639"/>
    </row>
    <row r="5640" spans="1:20" x14ac:dyDescent="0.25">
      <c r="A5640">
        <v>20170531</v>
      </c>
      <c r="B5640">
        <v>2017</v>
      </c>
      <c r="C5640">
        <v>5</v>
      </c>
      <c r="D5640">
        <v>1</v>
      </c>
      <c r="E5640">
        <v>11150</v>
      </c>
      <c r="F5640">
        <v>98533.7</v>
      </c>
      <c r="G5640">
        <v>0</v>
      </c>
      <c r="H5640">
        <v>0</v>
      </c>
      <c r="I5640">
        <v>0</v>
      </c>
      <c r="J5640">
        <v>-324937.62</v>
      </c>
      <c r="K5640">
        <v>0</v>
      </c>
      <c r="L5640">
        <v>8940000</v>
      </c>
      <c r="M5640">
        <v>9264937.6199999992</v>
      </c>
      <c r="N5640">
        <v>8940000</v>
      </c>
      <c r="O5640">
        <v>9264937.6199999992</v>
      </c>
      <c r="P5640">
        <v>8940000</v>
      </c>
      <c r="Q5640">
        <v>9264937.6199999992</v>
      </c>
      <c r="R5640" s="14">
        <f>_xlfn.XLOOKUP(Table2[[#This Row],[LoanID]],Table1[G-L ID],Table1[ManagerCode],-99)</f>
        <v>119</v>
      </c>
      <c r="T5640"/>
    </row>
    <row r="5641" spans="1:20" x14ac:dyDescent="0.25">
      <c r="A5641">
        <v>20170531</v>
      </c>
      <c r="B5641">
        <v>2017</v>
      </c>
      <c r="C5641">
        <v>5</v>
      </c>
      <c r="D5641">
        <v>1</v>
      </c>
      <c r="E5641">
        <v>11160</v>
      </c>
      <c r="F5641">
        <v>266279.46000000002</v>
      </c>
      <c r="G5641">
        <v>170939.45</v>
      </c>
      <c r="H5641">
        <v>0</v>
      </c>
      <c r="I5641">
        <v>0</v>
      </c>
      <c r="J5641">
        <v>-1174486.43</v>
      </c>
      <c r="K5641">
        <v>491189.81</v>
      </c>
      <c r="L5641">
        <v>75018511.230000004</v>
      </c>
      <c r="M5641">
        <v>76363937.109999999</v>
      </c>
      <c r="N5641">
        <v>53183868</v>
      </c>
      <c r="O5641">
        <v>54038104.07</v>
      </c>
      <c r="P5641">
        <v>75018511.230000004</v>
      </c>
      <c r="Q5641">
        <v>76363937.109999999</v>
      </c>
      <c r="R5641" s="14">
        <f>_xlfn.XLOOKUP(Table2[[#This Row],[LoanID]],Table1[G-L ID],Table1[ManagerCode],-99)</f>
        <v>183</v>
      </c>
      <c r="T5641"/>
    </row>
    <row r="5642" spans="1:20" x14ac:dyDescent="0.25">
      <c r="A5642">
        <v>20170531</v>
      </c>
      <c r="B5642">
        <v>2017</v>
      </c>
      <c r="C5642">
        <v>5</v>
      </c>
      <c r="D5642">
        <v>1</v>
      </c>
      <c r="E5642">
        <v>11210</v>
      </c>
      <c r="F5642">
        <v>58247.5</v>
      </c>
      <c r="G5642">
        <v>0</v>
      </c>
      <c r="H5642">
        <v>0</v>
      </c>
      <c r="I5642">
        <v>0</v>
      </c>
      <c r="J5642">
        <v>0</v>
      </c>
      <c r="K5642">
        <v>0</v>
      </c>
      <c r="L5642">
        <v>7500000</v>
      </c>
      <c r="M5642">
        <v>7500000</v>
      </c>
      <c r="N5642">
        <v>7500000</v>
      </c>
      <c r="O5642">
        <v>7500000</v>
      </c>
      <c r="P5642">
        <v>7500000</v>
      </c>
      <c r="Q5642">
        <v>7500000</v>
      </c>
      <c r="R5642" s="14">
        <f>_xlfn.XLOOKUP(Table2[[#This Row],[LoanID]],Table1[G-L ID],Table1[ManagerCode],-99)</f>
        <v>119</v>
      </c>
      <c r="T5642"/>
    </row>
    <row r="5643" spans="1:20" x14ac:dyDescent="0.25">
      <c r="A5643">
        <v>20170531</v>
      </c>
      <c r="B5643">
        <v>2017</v>
      </c>
      <c r="C5643">
        <v>5</v>
      </c>
      <c r="D5643">
        <v>1</v>
      </c>
      <c r="E5643">
        <v>11250</v>
      </c>
      <c r="F5643">
        <v>250981.84</v>
      </c>
      <c r="G5643">
        <v>0</v>
      </c>
      <c r="H5643">
        <v>0</v>
      </c>
      <c r="I5643">
        <v>0</v>
      </c>
      <c r="J5643">
        <v>0</v>
      </c>
      <c r="K5643">
        <v>18253225.030000001</v>
      </c>
      <c r="L5643">
        <v>18253225.030000001</v>
      </c>
      <c r="M5643">
        <v>0</v>
      </c>
      <c r="N5643">
        <v>18253225.030000001</v>
      </c>
      <c r="O5643">
        <v>0</v>
      </c>
      <c r="P5643">
        <v>18253225.030000001</v>
      </c>
      <c r="Q5643">
        <v>0</v>
      </c>
      <c r="R5643" s="14">
        <f>_xlfn.XLOOKUP(Table2[[#This Row],[LoanID]],Table1[G-L ID],Table1[ManagerCode],-99)</f>
        <v>183</v>
      </c>
      <c r="T5643"/>
    </row>
    <row r="5644" spans="1:20" x14ac:dyDescent="0.25">
      <c r="A5644">
        <v>20170531</v>
      </c>
      <c r="B5644">
        <v>2017</v>
      </c>
      <c r="C5644">
        <v>5</v>
      </c>
      <c r="D5644">
        <v>1</v>
      </c>
      <c r="E5644">
        <v>11330</v>
      </c>
      <c r="F5644">
        <v>68590.06</v>
      </c>
      <c r="G5644">
        <v>0</v>
      </c>
      <c r="H5644">
        <v>0</v>
      </c>
      <c r="I5644">
        <v>0</v>
      </c>
      <c r="J5644">
        <v>0</v>
      </c>
      <c r="K5644">
        <v>0</v>
      </c>
      <c r="L5644">
        <v>6653107.4800000004</v>
      </c>
      <c r="M5644">
        <v>6653107.4800000004</v>
      </c>
      <c r="N5644">
        <v>6653107.4800000004</v>
      </c>
      <c r="O5644">
        <v>6653107.4800000004</v>
      </c>
      <c r="P5644">
        <v>6653107.4800000004</v>
      </c>
      <c r="Q5644">
        <v>6653107.4800000004</v>
      </c>
      <c r="R5644" s="14">
        <f>_xlfn.XLOOKUP(Table2[[#This Row],[LoanID]],Table1[G-L ID],Table1[ManagerCode],-99)</f>
        <v>119</v>
      </c>
      <c r="T5644"/>
    </row>
    <row r="5645" spans="1:20" x14ac:dyDescent="0.25">
      <c r="A5645">
        <v>20170531</v>
      </c>
      <c r="B5645">
        <v>2017</v>
      </c>
      <c r="C5645">
        <v>5</v>
      </c>
      <c r="D5645">
        <v>1</v>
      </c>
      <c r="E5645">
        <v>11340</v>
      </c>
      <c r="F5645">
        <v>285489.40999999997</v>
      </c>
      <c r="G5645">
        <v>0</v>
      </c>
      <c r="H5645">
        <v>0</v>
      </c>
      <c r="I5645">
        <v>0</v>
      </c>
      <c r="J5645">
        <v>0</v>
      </c>
      <c r="K5645">
        <v>70929.97</v>
      </c>
      <c r="L5645">
        <v>48451632.090000004</v>
      </c>
      <c r="M5645">
        <v>48381411.409999996</v>
      </c>
      <c r="N5645">
        <v>48451632.090000004</v>
      </c>
      <c r="O5645">
        <v>48381411.409999996</v>
      </c>
      <c r="P5645">
        <v>48941042.490000002</v>
      </c>
      <c r="Q5645">
        <v>48870112.520000003</v>
      </c>
      <c r="R5645" s="14">
        <f>_xlfn.XLOOKUP(Table2[[#This Row],[LoanID]],Table1[G-L ID],Table1[ManagerCode],-99)</f>
        <v>103</v>
      </c>
      <c r="T5645"/>
    </row>
    <row r="5646" spans="1:20" x14ac:dyDescent="0.25">
      <c r="A5646">
        <v>20170531</v>
      </c>
      <c r="B5646">
        <v>2017</v>
      </c>
      <c r="C5646">
        <v>5</v>
      </c>
      <c r="D5646">
        <v>1</v>
      </c>
      <c r="E5646">
        <v>11350</v>
      </c>
      <c r="F5646">
        <v>291666.65999999997</v>
      </c>
      <c r="G5646">
        <v>0</v>
      </c>
      <c r="H5646">
        <v>0</v>
      </c>
      <c r="I5646">
        <v>0</v>
      </c>
      <c r="J5646">
        <v>0</v>
      </c>
      <c r="K5646">
        <v>0</v>
      </c>
      <c r="L5646">
        <v>54449945.549999997</v>
      </c>
      <c r="M5646">
        <v>54449945.549999997</v>
      </c>
      <c r="N5646">
        <v>54449945.549999997</v>
      </c>
      <c r="O5646">
        <v>54449945.549999997</v>
      </c>
      <c r="P5646">
        <v>55000000</v>
      </c>
      <c r="Q5646">
        <v>55000000</v>
      </c>
      <c r="R5646" s="14">
        <f>_xlfn.XLOOKUP(Table2[[#This Row],[LoanID]],Table1[G-L ID],Table1[ManagerCode],-99)</f>
        <v>103</v>
      </c>
      <c r="T5646"/>
    </row>
    <row r="5647" spans="1:20" x14ac:dyDescent="0.25">
      <c r="A5647">
        <v>20170531</v>
      </c>
      <c r="B5647">
        <v>2017</v>
      </c>
      <c r="C5647">
        <v>5</v>
      </c>
      <c r="D5647">
        <v>1</v>
      </c>
      <c r="E5647">
        <v>11360</v>
      </c>
      <c r="F5647">
        <v>63533.760000000002</v>
      </c>
      <c r="G5647">
        <v>0</v>
      </c>
      <c r="H5647">
        <v>0</v>
      </c>
      <c r="I5647">
        <v>0</v>
      </c>
      <c r="J5647">
        <v>0</v>
      </c>
      <c r="K5647">
        <v>0</v>
      </c>
      <c r="L5647">
        <v>7537500</v>
      </c>
      <c r="M5647">
        <v>7537500</v>
      </c>
      <c r="N5647">
        <v>7537500</v>
      </c>
      <c r="O5647">
        <v>7537500</v>
      </c>
      <c r="P5647">
        <v>7537500</v>
      </c>
      <c r="Q5647">
        <v>7537500</v>
      </c>
      <c r="R5647" s="14">
        <f>_xlfn.XLOOKUP(Table2[[#This Row],[LoanID]],Table1[G-L ID],Table1[ManagerCode],-99)</f>
        <v>119</v>
      </c>
      <c r="T5647"/>
    </row>
    <row r="5648" spans="1:20" x14ac:dyDescent="0.25">
      <c r="A5648">
        <v>20170531</v>
      </c>
      <c r="B5648">
        <v>2017</v>
      </c>
      <c r="C5648">
        <v>5</v>
      </c>
      <c r="D5648">
        <v>1</v>
      </c>
      <c r="E5648">
        <v>11410</v>
      </c>
      <c r="F5648">
        <v>110940</v>
      </c>
      <c r="G5648">
        <v>0</v>
      </c>
      <c r="H5648">
        <v>0</v>
      </c>
      <c r="I5648">
        <v>0</v>
      </c>
      <c r="J5648">
        <v>0</v>
      </c>
      <c r="K5648">
        <v>0</v>
      </c>
      <c r="L5648">
        <v>12000000</v>
      </c>
      <c r="M5648">
        <v>12000000</v>
      </c>
      <c r="N5648">
        <v>12000000</v>
      </c>
      <c r="O5648">
        <v>12000000</v>
      </c>
      <c r="P5648">
        <v>12000000</v>
      </c>
      <c r="Q5648">
        <v>12000000</v>
      </c>
      <c r="R5648" s="14">
        <f>_xlfn.XLOOKUP(Table2[[#This Row],[LoanID]],Table1[G-L ID],Table1[ManagerCode],-99)</f>
        <v>119</v>
      </c>
      <c r="T5648"/>
    </row>
    <row r="5649" spans="1:20" x14ac:dyDescent="0.25">
      <c r="A5649">
        <v>20170531</v>
      </c>
      <c r="B5649">
        <v>2017</v>
      </c>
      <c r="C5649">
        <v>5</v>
      </c>
      <c r="D5649">
        <v>1</v>
      </c>
      <c r="E5649">
        <v>11440</v>
      </c>
      <c r="F5649">
        <v>156250</v>
      </c>
      <c r="G5649">
        <v>0</v>
      </c>
      <c r="H5649">
        <v>0</v>
      </c>
      <c r="I5649">
        <v>0</v>
      </c>
      <c r="J5649">
        <v>0</v>
      </c>
      <c r="K5649">
        <v>0</v>
      </c>
      <c r="L5649">
        <v>18750000</v>
      </c>
      <c r="M5649">
        <v>18750000</v>
      </c>
      <c r="N5649">
        <v>18750000</v>
      </c>
      <c r="O5649">
        <v>18750000</v>
      </c>
      <c r="P5649">
        <v>18750000</v>
      </c>
      <c r="Q5649">
        <v>18750000</v>
      </c>
      <c r="R5649" s="14">
        <f>_xlfn.XLOOKUP(Table2[[#This Row],[LoanID]],Table1[G-L ID],Table1[ManagerCode],-99)</f>
        <v>183</v>
      </c>
      <c r="T5649"/>
    </row>
    <row r="5650" spans="1:20" x14ac:dyDescent="0.25">
      <c r="A5650">
        <v>20170531</v>
      </c>
      <c r="B5650">
        <v>2017</v>
      </c>
      <c r="C5650">
        <v>5</v>
      </c>
      <c r="D5650">
        <v>1</v>
      </c>
      <c r="E5650">
        <v>11450</v>
      </c>
      <c r="F5650">
        <v>130888.2</v>
      </c>
      <c r="G5650">
        <v>0</v>
      </c>
      <c r="H5650">
        <v>0</v>
      </c>
      <c r="I5650">
        <v>0</v>
      </c>
      <c r="J5650">
        <v>0</v>
      </c>
      <c r="K5650">
        <v>0</v>
      </c>
      <c r="L5650">
        <v>15678040.15</v>
      </c>
      <c r="M5650">
        <v>15678040.15</v>
      </c>
      <c r="N5650">
        <v>15678040.15</v>
      </c>
      <c r="O5650">
        <v>15678040.15</v>
      </c>
      <c r="P5650">
        <v>15678040.15</v>
      </c>
      <c r="Q5650">
        <v>15678040.15</v>
      </c>
      <c r="R5650" s="14">
        <f>_xlfn.XLOOKUP(Table2[[#This Row],[LoanID]],Table1[G-L ID],Table1[ManagerCode],-99)</f>
        <v>119</v>
      </c>
      <c r="T5650"/>
    </row>
    <row r="5651" spans="1:20" x14ac:dyDescent="0.25">
      <c r="A5651">
        <v>20170531</v>
      </c>
      <c r="B5651">
        <v>2017</v>
      </c>
      <c r="C5651">
        <v>5</v>
      </c>
      <c r="D5651">
        <v>1</v>
      </c>
      <c r="E5651">
        <v>11480</v>
      </c>
      <c r="F5651">
        <v>393400</v>
      </c>
      <c r="G5651">
        <v>0</v>
      </c>
      <c r="H5651">
        <v>0</v>
      </c>
      <c r="I5651">
        <v>0</v>
      </c>
      <c r="J5651">
        <v>0</v>
      </c>
      <c r="K5651">
        <v>0</v>
      </c>
      <c r="L5651">
        <v>66500000</v>
      </c>
      <c r="M5651">
        <v>66500000</v>
      </c>
      <c r="N5651">
        <v>66500000</v>
      </c>
      <c r="O5651">
        <v>66500000</v>
      </c>
      <c r="P5651">
        <v>70000000</v>
      </c>
      <c r="Q5651">
        <v>70000000</v>
      </c>
      <c r="R5651" s="14">
        <f>_xlfn.XLOOKUP(Table2[[#This Row],[LoanID]],Table1[G-L ID],Table1[ManagerCode],-99)</f>
        <v>103</v>
      </c>
      <c r="T5651"/>
    </row>
    <row r="5652" spans="1:20" x14ac:dyDescent="0.25">
      <c r="A5652">
        <v>20170531</v>
      </c>
      <c r="B5652">
        <v>2017</v>
      </c>
      <c r="C5652">
        <v>5</v>
      </c>
      <c r="D5652">
        <v>1</v>
      </c>
      <c r="E5652">
        <v>11490</v>
      </c>
      <c r="F5652">
        <v>366391.67</v>
      </c>
      <c r="G5652">
        <v>0</v>
      </c>
      <c r="H5652">
        <v>0</v>
      </c>
      <c r="I5652">
        <v>0</v>
      </c>
      <c r="J5652">
        <v>0</v>
      </c>
      <c r="K5652">
        <v>0</v>
      </c>
      <c r="L5652">
        <v>52250000</v>
      </c>
      <c r="M5652">
        <v>52250000</v>
      </c>
      <c r="N5652">
        <v>52250000</v>
      </c>
      <c r="O5652">
        <v>52250000</v>
      </c>
      <c r="P5652">
        <v>55000000</v>
      </c>
      <c r="Q5652">
        <v>55000000</v>
      </c>
      <c r="R5652" s="14">
        <f>_xlfn.XLOOKUP(Table2[[#This Row],[LoanID]],Table1[G-L ID],Table1[ManagerCode],-99)</f>
        <v>103</v>
      </c>
      <c r="T5652"/>
    </row>
    <row r="5653" spans="1:20" x14ac:dyDescent="0.25">
      <c r="A5653">
        <v>20170531</v>
      </c>
      <c r="B5653">
        <v>2017</v>
      </c>
      <c r="C5653">
        <v>5</v>
      </c>
      <c r="D5653">
        <v>1</v>
      </c>
      <c r="E5653">
        <v>11520</v>
      </c>
      <c r="F5653">
        <v>46949.760000000002</v>
      </c>
      <c r="G5653">
        <v>0</v>
      </c>
      <c r="H5653">
        <v>0</v>
      </c>
      <c r="I5653">
        <v>0</v>
      </c>
      <c r="J5653">
        <v>-832408</v>
      </c>
      <c r="K5653">
        <v>0</v>
      </c>
      <c r="L5653">
        <v>6705992.6100000003</v>
      </c>
      <c r="M5653">
        <v>7538400.6100000003</v>
      </c>
      <c r="N5653">
        <v>6705992.6100000003</v>
      </c>
      <c r="O5653">
        <v>7538400.6100000003</v>
      </c>
      <c r="P5653">
        <v>6705992.6100000003</v>
      </c>
      <c r="Q5653">
        <v>7538400.6100000003</v>
      </c>
      <c r="R5653" s="14">
        <f>_xlfn.XLOOKUP(Table2[[#This Row],[LoanID]],Table1[G-L ID],Table1[ManagerCode],-99)</f>
        <v>119</v>
      </c>
      <c r="T5653"/>
    </row>
    <row r="5654" spans="1:20" x14ac:dyDescent="0.25">
      <c r="A5654">
        <v>20170531</v>
      </c>
      <c r="B5654">
        <v>2017</v>
      </c>
      <c r="C5654">
        <v>5</v>
      </c>
      <c r="D5654">
        <v>1</v>
      </c>
      <c r="E5654">
        <v>11530</v>
      </c>
      <c r="F5654">
        <v>127673.05</v>
      </c>
      <c r="G5654">
        <v>0</v>
      </c>
      <c r="H5654">
        <v>0</v>
      </c>
      <c r="I5654">
        <v>0</v>
      </c>
      <c r="J5654">
        <v>0</v>
      </c>
      <c r="K5654">
        <v>0</v>
      </c>
      <c r="L5654">
        <v>14993350.42</v>
      </c>
      <c r="M5654">
        <v>14993350.42</v>
      </c>
      <c r="N5654">
        <v>14993350.42</v>
      </c>
      <c r="O5654">
        <v>14993350.42</v>
      </c>
      <c r="P5654">
        <v>14993350.42</v>
      </c>
      <c r="Q5654">
        <v>14993350.42</v>
      </c>
      <c r="R5654" s="14">
        <f>_xlfn.XLOOKUP(Table2[[#This Row],[LoanID]],Table1[G-L ID],Table1[ManagerCode],-99)</f>
        <v>119</v>
      </c>
      <c r="T5654"/>
    </row>
    <row r="5655" spans="1:20" x14ac:dyDescent="0.25">
      <c r="A5655">
        <v>20170531</v>
      </c>
      <c r="B5655">
        <v>2017</v>
      </c>
      <c r="C5655">
        <v>5</v>
      </c>
      <c r="D5655">
        <v>1</v>
      </c>
      <c r="E5655">
        <v>11590</v>
      </c>
      <c r="F5655">
        <v>24813.61</v>
      </c>
      <c r="G5655">
        <v>0</v>
      </c>
      <c r="H5655">
        <v>0</v>
      </c>
      <c r="I5655">
        <v>0</v>
      </c>
      <c r="J5655">
        <v>0</v>
      </c>
      <c r="K5655">
        <v>0</v>
      </c>
      <c r="L5655">
        <v>3507224.44</v>
      </c>
      <c r="M5655">
        <v>3507224.44</v>
      </c>
      <c r="N5655">
        <v>3507224.44</v>
      </c>
      <c r="O5655">
        <v>3507224.44</v>
      </c>
      <c r="P5655">
        <v>3507224.44</v>
      </c>
      <c r="Q5655">
        <v>3507224.44</v>
      </c>
      <c r="R5655" s="14">
        <f>_xlfn.XLOOKUP(Table2[[#This Row],[LoanID]],Table1[G-L ID],Table1[ManagerCode],-99)</f>
        <v>119</v>
      </c>
      <c r="T5655"/>
    </row>
    <row r="5656" spans="1:20" x14ac:dyDescent="0.25">
      <c r="A5656">
        <v>20170531</v>
      </c>
      <c r="B5656">
        <v>2017</v>
      </c>
      <c r="C5656">
        <v>5</v>
      </c>
      <c r="D5656">
        <v>1</v>
      </c>
      <c r="E5656">
        <v>11650</v>
      </c>
      <c r="F5656">
        <v>75000</v>
      </c>
      <c r="G5656">
        <v>0</v>
      </c>
      <c r="H5656">
        <v>0</v>
      </c>
      <c r="I5656">
        <v>0</v>
      </c>
      <c r="J5656">
        <v>0</v>
      </c>
      <c r="K5656">
        <v>0</v>
      </c>
      <c r="L5656">
        <v>11880000</v>
      </c>
      <c r="M5656">
        <v>11880000</v>
      </c>
      <c r="N5656">
        <v>11880000</v>
      </c>
      <c r="O5656">
        <v>11880000</v>
      </c>
      <c r="P5656">
        <v>12000000</v>
      </c>
      <c r="Q5656">
        <v>12000000</v>
      </c>
      <c r="R5656" s="14">
        <f>_xlfn.XLOOKUP(Table2[[#This Row],[LoanID]],Table1[G-L ID],Table1[ManagerCode],-99)</f>
        <v>103</v>
      </c>
      <c r="T5656"/>
    </row>
    <row r="5657" spans="1:20" x14ac:dyDescent="0.25">
      <c r="A5657">
        <v>20170531</v>
      </c>
      <c r="B5657">
        <v>2017</v>
      </c>
      <c r="C5657">
        <v>5</v>
      </c>
      <c r="D5657">
        <v>1</v>
      </c>
      <c r="E5657">
        <v>11680</v>
      </c>
      <c r="F5657">
        <v>57126.559999999998</v>
      </c>
      <c r="G5657">
        <v>0</v>
      </c>
      <c r="H5657">
        <v>0</v>
      </c>
      <c r="I5657">
        <v>0</v>
      </c>
      <c r="J5657">
        <v>0</v>
      </c>
      <c r="K5657">
        <v>0</v>
      </c>
      <c r="L5657">
        <v>6600000</v>
      </c>
      <c r="M5657">
        <v>6600000</v>
      </c>
      <c r="N5657">
        <v>6600000</v>
      </c>
      <c r="O5657">
        <v>6600000</v>
      </c>
      <c r="P5657">
        <v>6600000</v>
      </c>
      <c r="Q5657">
        <v>6600000</v>
      </c>
      <c r="R5657" s="14">
        <f>_xlfn.XLOOKUP(Table2[[#This Row],[LoanID]],Table1[G-L ID],Table1[ManagerCode],-99)</f>
        <v>183</v>
      </c>
      <c r="T5657"/>
    </row>
    <row r="5658" spans="1:20" x14ac:dyDescent="0.25">
      <c r="A5658">
        <v>20170531</v>
      </c>
      <c r="B5658">
        <v>2017</v>
      </c>
      <c r="C5658">
        <v>5</v>
      </c>
      <c r="D5658">
        <v>1</v>
      </c>
      <c r="E5658">
        <v>11690</v>
      </c>
      <c r="F5658">
        <v>141581.67000000001</v>
      </c>
      <c r="G5658">
        <v>0</v>
      </c>
      <c r="H5658">
        <v>0</v>
      </c>
      <c r="I5658">
        <v>0</v>
      </c>
      <c r="J5658">
        <v>0</v>
      </c>
      <c r="K5658">
        <v>0</v>
      </c>
      <c r="L5658">
        <v>17000000</v>
      </c>
      <c r="M5658">
        <v>17000000</v>
      </c>
      <c r="N5658">
        <v>17000000</v>
      </c>
      <c r="O5658">
        <v>17000000</v>
      </c>
      <c r="P5658">
        <v>17000000</v>
      </c>
      <c r="Q5658">
        <v>17000000</v>
      </c>
      <c r="R5658" s="14">
        <f>_xlfn.XLOOKUP(Table2[[#This Row],[LoanID]],Table1[G-L ID],Table1[ManagerCode],-99)</f>
        <v>119</v>
      </c>
      <c r="T5658"/>
    </row>
    <row r="5659" spans="1:20" x14ac:dyDescent="0.25">
      <c r="A5659">
        <v>20170531</v>
      </c>
      <c r="B5659">
        <v>2017</v>
      </c>
      <c r="C5659">
        <v>5</v>
      </c>
      <c r="D5659">
        <v>1</v>
      </c>
      <c r="E5659">
        <v>11710</v>
      </c>
      <c r="F5659">
        <v>132410.49</v>
      </c>
      <c r="G5659">
        <v>0</v>
      </c>
      <c r="H5659">
        <v>0</v>
      </c>
      <c r="I5659">
        <v>0</v>
      </c>
      <c r="J5659">
        <v>0</v>
      </c>
      <c r="K5659">
        <v>115000</v>
      </c>
      <c r="L5659">
        <v>14445000</v>
      </c>
      <c r="M5659">
        <v>14330000</v>
      </c>
      <c r="N5659">
        <v>14445000</v>
      </c>
      <c r="O5659">
        <v>14330000</v>
      </c>
      <c r="P5659">
        <v>14445000</v>
      </c>
      <c r="Q5659">
        <v>14330000</v>
      </c>
      <c r="R5659" s="14">
        <f>_xlfn.XLOOKUP(Table2[[#This Row],[LoanID]],Table1[G-L ID],Table1[ManagerCode],-99)</f>
        <v>119</v>
      </c>
      <c r="T5659"/>
    </row>
    <row r="5660" spans="1:20" x14ac:dyDescent="0.25">
      <c r="A5660">
        <v>20170531</v>
      </c>
      <c r="B5660">
        <v>2017</v>
      </c>
      <c r="C5660">
        <v>5</v>
      </c>
      <c r="D5660">
        <v>1</v>
      </c>
      <c r="E5660">
        <v>11720</v>
      </c>
      <c r="F5660">
        <v>125000</v>
      </c>
      <c r="G5660">
        <v>0</v>
      </c>
      <c r="H5660">
        <v>0</v>
      </c>
      <c r="I5660">
        <v>0</v>
      </c>
      <c r="J5660">
        <v>0</v>
      </c>
      <c r="K5660">
        <v>0</v>
      </c>
      <c r="L5660">
        <v>19800000</v>
      </c>
      <c r="M5660">
        <v>19800000</v>
      </c>
      <c r="N5660">
        <v>19800000</v>
      </c>
      <c r="O5660">
        <v>19800000</v>
      </c>
      <c r="P5660">
        <v>20000000</v>
      </c>
      <c r="Q5660">
        <v>20000000</v>
      </c>
      <c r="R5660" s="14">
        <f>_xlfn.XLOOKUP(Table2[[#This Row],[LoanID]],Table1[G-L ID],Table1[ManagerCode],-99)</f>
        <v>103</v>
      </c>
      <c r="T5660"/>
    </row>
    <row r="5661" spans="1:20" x14ac:dyDescent="0.25">
      <c r="A5661">
        <v>20170531</v>
      </c>
      <c r="B5661">
        <v>2017</v>
      </c>
      <c r="C5661">
        <v>5</v>
      </c>
      <c r="D5661">
        <v>1</v>
      </c>
      <c r="E5661">
        <v>11730</v>
      </c>
      <c r="F5661">
        <v>50908.1</v>
      </c>
      <c r="G5661">
        <v>0</v>
      </c>
      <c r="H5661">
        <v>0</v>
      </c>
      <c r="I5661">
        <v>0</v>
      </c>
      <c r="J5661">
        <v>0</v>
      </c>
      <c r="K5661">
        <v>8144</v>
      </c>
      <c r="L5661">
        <v>4959784.75</v>
      </c>
      <c r="M5661">
        <v>4951640.75</v>
      </c>
      <c r="N5661">
        <v>4959784.75</v>
      </c>
      <c r="O5661">
        <v>4951640.75</v>
      </c>
      <c r="P5661">
        <v>4959784.75</v>
      </c>
      <c r="Q5661">
        <v>4951640.75</v>
      </c>
      <c r="R5661" s="14">
        <f>_xlfn.XLOOKUP(Table2[[#This Row],[LoanID]],Table1[G-L ID],Table1[ManagerCode],-99)</f>
        <v>119</v>
      </c>
      <c r="T5661"/>
    </row>
    <row r="5662" spans="1:20" x14ac:dyDescent="0.25">
      <c r="A5662">
        <v>20170531</v>
      </c>
      <c r="B5662">
        <v>2017</v>
      </c>
      <c r="C5662">
        <v>5</v>
      </c>
      <c r="D5662">
        <v>1</v>
      </c>
      <c r="E5662">
        <v>11750</v>
      </c>
      <c r="F5662">
        <v>222389.82</v>
      </c>
      <c r="G5662">
        <v>120406.84</v>
      </c>
      <c r="H5662">
        <v>0</v>
      </c>
      <c r="I5662">
        <v>0</v>
      </c>
      <c r="J5662">
        <v>-1337910.45</v>
      </c>
      <c r="K5662">
        <v>0</v>
      </c>
      <c r="L5662">
        <v>48178375.409999996</v>
      </c>
      <c r="M5662">
        <v>49636692.700000003</v>
      </c>
      <c r="N5662">
        <v>48178375.409999996</v>
      </c>
      <c r="O5662">
        <v>49636692.700000003</v>
      </c>
      <c r="P5662">
        <v>48178375.409999996</v>
      </c>
      <c r="Q5662">
        <v>49636692.700000003</v>
      </c>
      <c r="R5662" s="14">
        <f>_xlfn.XLOOKUP(Table2[[#This Row],[LoanID]],Table1[G-L ID],Table1[ManagerCode],-99)</f>
        <v>183</v>
      </c>
      <c r="T5662"/>
    </row>
    <row r="5663" spans="1:20" x14ac:dyDescent="0.25">
      <c r="A5663">
        <v>20170531</v>
      </c>
      <c r="B5663">
        <v>2017</v>
      </c>
      <c r="C5663">
        <v>5</v>
      </c>
      <c r="D5663">
        <v>1</v>
      </c>
      <c r="E5663">
        <v>11830</v>
      </c>
      <c r="F5663">
        <v>77106.460000000006</v>
      </c>
      <c r="G5663">
        <v>0</v>
      </c>
      <c r="H5663">
        <v>0</v>
      </c>
      <c r="I5663">
        <v>0</v>
      </c>
      <c r="J5663">
        <v>-355738.3</v>
      </c>
      <c r="K5663">
        <v>0</v>
      </c>
      <c r="L5663">
        <v>8700650.3000000007</v>
      </c>
      <c r="M5663">
        <v>9056388.5999999996</v>
      </c>
      <c r="N5663">
        <v>8700650.3000000007</v>
      </c>
      <c r="O5663">
        <v>9056388.5999999996</v>
      </c>
      <c r="P5663">
        <v>8700650.3000000007</v>
      </c>
      <c r="Q5663">
        <v>9056388.5999999996</v>
      </c>
      <c r="R5663" s="14">
        <f>_xlfn.XLOOKUP(Table2[[#This Row],[LoanID]],Table1[G-L ID],Table1[ManagerCode],-99)</f>
        <v>119</v>
      </c>
      <c r="T5663"/>
    </row>
    <row r="5664" spans="1:20" x14ac:dyDescent="0.25">
      <c r="A5664">
        <v>20170531</v>
      </c>
      <c r="B5664">
        <v>2017</v>
      </c>
      <c r="C5664">
        <v>5</v>
      </c>
      <c r="D5664">
        <v>1</v>
      </c>
      <c r="E5664">
        <v>11850</v>
      </c>
      <c r="F5664">
        <v>97500</v>
      </c>
      <c r="G5664">
        <v>0</v>
      </c>
      <c r="H5664">
        <v>0</v>
      </c>
      <c r="I5664">
        <v>0</v>
      </c>
      <c r="J5664">
        <v>0</v>
      </c>
      <c r="K5664">
        <v>0</v>
      </c>
      <c r="L5664">
        <v>9000000</v>
      </c>
      <c r="M5664">
        <v>9000000</v>
      </c>
      <c r="N5664">
        <v>9000000</v>
      </c>
      <c r="O5664">
        <v>9000000</v>
      </c>
      <c r="P5664">
        <v>9000000</v>
      </c>
      <c r="Q5664">
        <v>9000000</v>
      </c>
      <c r="R5664" s="14">
        <f>_xlfn.XLOOKUP(Table2[[#This Row],[LoanID]],Table1[G-L ID],Table1[ManagerCode],-99)</f>
        <v>183</v>
      </c>
      <c r="T5664"/>
    </row>
    <row r="5665" spans="1:20" x14ac:dyDescent="0.25">
      <c r="A5665">
        <v>20170531</v>
      </c>
      <c r="B5665">
        <v>2017</v>
      </c>
      <c r="C5665">
        <v>5</v>
      </c>
      <c r="D5665">
        <v>1</v>
      </c>
      <c r="E5665">
        <v>11980</v>
      </c>
      <c r="F5665">
        <v>69471.25</v>
      </c>
      <c r="G5665">
        <v>0</v>
      </c>
      <c r="H5665">
        <v>0</v>
      </c>
      <c r="I5665">
        <v>0</v>
      </c>
      <c r="J5665">
        <v>0</v>
      </c>
      <c r="K5665">
        <v>0</v>
      </c>
      <c r="L5665">
        <v>7400000</v>
      </c>
      <c r="M5665">
        <v>7400000</v>
      </c>
      <c r="N5665">
        <v>7400000</v>
      </c>
      <c r="O5665">
        <v>7400000</v>
      </c>
      <c r="P5665">
        <v>7400000</v>
      </c>
      <c r="Q5665">
        <v>7400000</v>
      </c>
      <c r="R5665" s="14">
        <f>_xlfn.XLOOKUP(Table2[[#This Row],[LoanID]],Table1[G-L ID],Table1[ManagerCode],-99)</f>
        <v>119</v>
      </c>
      <c r="T5665"/>
    </row>
    <row r="5666" spans="1:20" x14ac:dyDescent="0.25">
      <c r="A5666">
        <v>20170531</v>
      </c>
      <c r="B5666">
        <v>2017</v>
      </c>
      <c r="C5666">
        <v>5</v>
      </c>
      <c r="D5666">
        <v>1</v>
      </c>
      <c r="E5666">
        <v>11990</v>
      </c>
      <c r="F5666">
        <v>107375</v>
      </c>
      <c r="G5666">
        <v>0</v>
      </c>
      <c r="H5666">
        <v>0</v>
      </c>
      <c r="I5666">
        <v>0</v>
      </c>
      <c r="J5666">
        <v>0</v>
      </c>
      <c r="K5666">
        <v>15000000</v>
      </c>
      <c r="L5666">
        <v>14805000</v>
      </c>
      <c r="M5666">
        <v>0</v>
      </c>
      <c r="N5666">
        <v>14805000</v>
      </c>
      <c r="O5666">
        <v>0</v>
      </c>
      <c r="P5666">
        <v>15000000</v>
      </c>
      <c r="Q5666">
        <v>0</v>
      </c>
      <c r="R5666" s="14">
        <f>_xlfn.XLOOKUP(Table2[[#This Row],[LoanID]],Table1[G-L ID],Table1[ManagerCode],-99)</f>
        <v>220</v>
      </c>
      <c r="T5666"/>
    </row>
    <row r="5667" spans="1:20" x14ac:dyDescent="0.25">
      <c r="A5667">
        <v>20170531</v>
      </c>
      <c r="B5667">
        <v>2017</v>
      </c>
      <c r="C5667">
        <v>5</v>
      </c>
      <c r="D5667">
        <v>1</v>
      </c>
      <c r="E5667">
        <v>12010</v>
      </c>
      <c r="F5667">
        <v>213987.09</v>
      </c>
      <c r="G5667">
        <v>0</v>
      </c>
      <c r="H5667">
        <v>0</v>
      </c>
      <c r="I5667">
        <v>0</v>
      </c>
      <c r="J5667">
        <v>-433019.68</v>
      </c>
      <c r="K5667">
        <v>0</v>
      </c>
      <c r="L5667">
        <v>21618340.710000001</v>
      </c>
      <c r="M5667">
        <v>22051360.390000001</v>
      </c>
      <c r="N5667">
        <v>21618340.710000001</v>
      </c>
      <c r="O5667">
        <v>22051360.390000001</v>
      </c>
      <c r="P5667">
        <v>21618340.710000001</v>
      </c>
      <c r="Q5667">
        <v>22051360.390000001</v>
      </c>
      <c r="R5667" s="14">
        <f>_xlfn.XLOOKUP(Table2[[#This Row],[LoanID]],Table1[G-L ID],Table1[ManagerCode],-99)</f>
        <v>119</v>
      </c>
      <c r="T5667"/>
    </row>
    <row r="5668" spans="1:20" x14ac:dyDescent="0.25">
      <c r="A5668">
        <v>20170531</v>
      </c>
      <c r="B5668">
        <v>2017</v>
      </c>
      <c r="C5668">
        <v>5</v>
      </c>
      <c r="D5668">
        <v>1</v>
      </c>
      <c r="E5668">
        <v>12030</v>
      </c>
      <c r="F5668">
        <v>43940.06</v>
      </c>
      <c r="G5668">
        <v>0</v>
      </c>
      <c r="H5668">
        <v>0</v>
      </c>
      <c r="I5668">
        <v>0</v>
      </c>
      <c r="J5668">
        <v>0</v>
      </c>
      <c r="K5668">
        <v>0</v>
      </c>
      <c r="L5668">
        <v>6375000</v>
      </c>
      <c r="M5668">
        <v>6375000</v>
      </c>
      <c r="N5668">
        <v>6375000</v>
      </c>
      <c r="O5668">
        <v>6375000</v>
      </c>
      <c r="P5668">
        <v>6375000</v>
      </c>
      <c r="Q5668">
        <v>6375000</v>
      </c>
      <c r="R5668" s="14">
        <f>_xlfn.XLOOKUP(Table2[[#This Row],[LoanID]],Table1[G-L ID],Table1[ManagerCode],-99)</f>
        <v>119</v>
      </c>
      <c r="T5668"/>
    </row>
    <row r="5669" spans="1:20" x14ac:dyDescent="0.25">
      <c r="A5669">
        <v>20170531</v>
      </c>
      <c r="B5669">
        <v>2017</v>
      </c>
      <c r="C5669">
        <v>5</v>
      </c>
      <c r="D5669">
        <v>1</v>
      </c>
      <c r="E5669">
        <v>12180</v>
      </c>
      <c r="F5669">
        <v>247741.67</v>
      </c>
      <c r="G5669">
        <v>0</v>
      </c>
      <c r="H5669">
        <v>0</v>
      </c>
      <c r="I5669">
        <v>0</v>
      </c>
      <c r="J5669">
        <v>0</v>
      </c>
      <c r="K5669">
        <v>0</v>
      </c>
      <c r="L5669">
        <v>35000000</v>
      </c>
      <c r="M5669">
        <v>35000000</v>
      </c>
      <c r="N5669">
        <v>35000000</v>
      </c>
      <c r="O5669">
        <v>35000000</v>
      </c>
      <c r="P5669">
        <v>35000000</v>
      </c>
      <c r="Q5669">
        <v>35000000</v>
      </c>
      <c r="R5669" s="14">
        <f>_xlfn.XLOOKUP(Table2[[#This Row],[LoanID]],Table1[G-L ID],Table1[ManagerCode],-99)</f>
        <v>220</v>
      </c>
      <c r="T5669"/>
    </row>
    <row r="5670" spans="1:20" x14ac:dyDescent="0.25">
      <c r="A5670">
        <v>20170531</v>
      </c>
      <c r="B5670">
        <v>2017</v>
      </c>
      <c r="C5670">
        <v>5</v>
      </c>
      <c r="D5670">
        <v>1</v>
      </c>
      <c r="E5670">
        <v>12190</v>
      </c>
      <c r="F5670">
        <v>275064.94</v>
      </c>
      <c r="G5670">
        <v>0</v>
      </c>
      <c r="H5670">
        <v>84350.04</v>
      </c>
      <c r="I5670">
        <v>0</v>
      </c>
      <c r="J5670">
        <v>0</v>
      </c>
      <c r="K5670">
        <v>34383117</v>
      </c>
      <c r="L5670">
        <v>34383117</v>
      </c>
      <c r="M5670">
        <v>0</v>
      </c>
      <c r="N5670">
        <v>34383117</v>
      </c>
      <c r="O5670">
        <v>0</v>
      </c>
      <c r="P5670">
        <v>34383117</v>
      </c>
      <c r="Q5670">
        <v>0</v>
      </c>
      <c r="R5670" s="14">
        <f>_xlfn.XLOOKUP(Table2[[#This Row],[LoanID]],Table1[G-L ID],Table1[ManagerCode],-99)</f>
        <v>220</v>
      </c>
      <c r="T5670"/>
    </row>
    <row r="5671" spans="1:20" x14ac:dyDescent="0.25">
      <c r="A5671">
        <v>20170531</v>
      </c>
      <c r="B5671">
        <v>2017</v>
      </c>
      <c r="C5671">
        <v>5</v>
      </c>
      <c r="D5671">
        <v>1</v>
      </c>
      <c r="E5671">
        <v>12220</v>
      </c>
      <c r="F5671">
        <v>165053.53</v>
      </c>
      <c r="G5671">
        <v>0</v>
      </c>
      <c r="H5671">
        <v>0</v>
      </c>
      <c r="I5671">
        <v>0</v>
      </c>
      <c r="J5671">
        <v>0</v>
      </c>
      <c r="K5671">
        <v>0</v>
      </c>
      <c r="L5671">
        <v>54500000</v>
      </c>
      <c r="M5671">
        <v>54500000</v>
      </c>
      <c r="N5671">
        <v>27250000</v>
      </c>
      <c r="O5671">
        <v>27250000</v>
      </c>
      <c r="P5671">
        <v>54500000</v>
      </c>
      <c r="Q5671">
        <v>54500000</v>
      </c>
      <c r="R5671" s="14">
        <f>_xlfn.XLOOKUP(Table2[[#This Row],[LoanID]],Table1[G-L ID],Table1[ManagerCode],-99)</f>
        <v>183</v>
      </c>
      <c r="T5671"/>
    </row>
    <row r="5672" spans="1:20" x14ac:dyDescent="0.25">
      <c r="A5672">
        <v>20170531</v>
      </c>
      <c r="B5672">
        <v>2017</v>
      </c>
      <c r="C5672">
        <v>5</v>
      </c>
      <c r="D5672">
        <v>1</v>
      </c>
      <c r="E5672">
        <v>12230</v>
      </c>
      <c r="F5672">
        <v>115861.13</v>
      </c>
      <c r="G5672">
        <v>0</v>
      </c>
      <c r="H5672">
        <v>0</v>
      </c>
      <c r="I5672">
        <v>0</v>
      </c>
      <c r="J5672">
        <v>0</v>
      </c>
      <c r="K5672">
        <v>0</v>
      </c>
      <c r="L5672">
        <v>20472262.73</v>
      </c>
      <c r="M5672">
        <v>20472262.73</v>
      </c>
      <c r="N5672">
        <v>13956810.23</v>
      </c>
      <c r="O5672">
        <v>13956810.23</v>
      </c>
      <c r="P5672">
        <v>20472262.73</v>
      </c>
      <c r="Q5672">
        <v>20472262.73</v>
      </c>
      <c r="R5672" s="14">
        <f>_xlfn.XLOOKUP(Table2[[#This Row],[LoanID]],Table1[G-L ID],Table1[ManagerCode],-99)</f>
        <v>183</v>
      </c>
      <c r="T5672"/>
    </row>
    <row r="5673" spans="1:20" x14ac:dyDescent="0.25">
      <c r="A5673">
        <v>20170531</v>
      </c>
      <c r="B5673">
        <v>2017</v>
      </c>
      <c r="C5673">
        <v>5</v>
      </c>
      <c r="D5673">
        <v>1</v>
      </c>
      <c r="E5673">
        <v>12240</v>
      </c>
      <c r="F5673">
        <v>0</v>
      </c>
      <c r="G5673">
        <v>1738186.79</v>
      </c>
      <c r="H5673">
        <v>0</v>
      </c>
      <c r="I5673">
        <v>0</v>
      </c>
      <c r="J5673">
        <v>0</v>
      </c>
      <c r="K5673">
        <v>0</v>
      </c>
      <c r="L5673">
        <v>156241508.90000001</v>
      </c>
      <c r="M5673">
        <v>157979695.69999999</v>
      </c>
      <c r="N5673">
        <v>156241508.90000001</v>
      </c>
      <c r="O5673">
        <v>157979695.69999999</v>
      </c>
      <c r="P5673">
        <v>156241508.90000001</v>
      </c>
      <c r="Q5673">
        <v>157979695.69999999</v>
      </c>
      <c r="R5673" s="14">
        <f>_xlfn.XLOOKUP(Table2[[#This Row],[LoanID]],Table1[G-L ID],Table1[ManagerCode],-99)</f>
        <v>183</v>
      </c>
      <c r="T5673"/>
    </row>
    <row r="5674" spans="1:20" x14ac:dyDescent="0.25">
      <c r="A5674">
        <v>20170531</v>
      </c>
      <c r="B5674">
        <v>2017</v>
      </c>
      <c r="C5674">
        <v>5</v>
      </c>
      <c r="D5674">
        <v>1</v>
      </c>
      <c r="E5674">
        <v>12250</v>
      </c>
      <c r="F5674">
        <v>89699.99</v>
      </c>
      <c r="G5674">
        <v>0</v>
      </c>
      <c r="H5674">
        <v>0</v>
      </c>
      <c r="I5674">
        <v>0</v>
      </c>
      <c r="J5674">
        <v>-113650.59</v>
      </c>
      <c r="K5674">
        <v>0</v>
      </c>
      <c r="L5674">
        <v>10851963.199999999</v>
      </c>
      <c r="M5674">
        <v>10965613.789999999</v>
      </c>
      <c r="N5674">
        <v>10851963.199999999</v>
      </c>
      <c r="O5674">
        <v>10965613.789999999</v>
      </c>
      <c r="P5674">
        <v>10851963.199999999</v>
      </c>
      <c r="Q5674">
        <v>10965613.789999999</v>
      </c>
      <c r="R5674" s="14">
        <f>_xlfn.XLOOKUP(Table2[[#This Row],[LoanID]],Table1[G-L ID],Table1[ManagerCode],-99)</f>
        <v>119</v>
      </c>
      <c r="T5674"/>
    </row>
    <row r="5675" spans="1:20" x14ac:dyDescent="0.25">
      <c r="A5675">
        <v>20170531</v>
      </c>
      <c r="B5675">
        <v>2017</v>
      </c>
      <c r="C5675">
        <v>5</v>
      </c>
      <c r="D5675">
        <v>1</v>
      </c>
      <c r="E5675">
        <v>12260</v>
      </c>
      <c r="F5675">
        <v>103368.75</v>
      </c>
      <c r="G5675">
        <v>0</v>
      </c>
      <c r="H5675">
        <v>0</v>
      </c>
      <c r="I5675">
        <v>0</v>
      </c>
      <c r="J5675">
        <v>0</v>
      </c>
      <c r="K5675">
        <v>0</v>
      </c>
      <c r="L5675">
        <v>11250000</v>
      </c>
      <c r="M5675">
        <v>11250000</v>
      </c>
      <c r="N5675">
        <v>11250000</v>
      </c>
      <c r="O5675">
        <v>11250000</v>
      </c>
      <c r="P5675">
        <v>11250000</v>
      </c>
      <c r="Q5675">
        <v>11250000</v>
      </c>
      <c r="R5675" s="14">
        <f>_xlfn.XLOOKUP(Table2[[#This Row],[LoanID]],Table1[G-L ID],Table1[ManagerCode],-99)</f>
        <v>119</v>
      </c>
      <c r="T5675"/>
    </row>
    <row r="5676" spans="1:20" x14ac:dyDescent="0.25">
      <c r="A5676">
        <v>20170531</v>
      </c>
      <c r="B5676">
        <v>2017</v>
      </c>
      <c r="C5676">
        <v>5</v>
      </c>
      <c r="D5676">
        <v>1</v>
      </c>
      <c r="E5676">
        <v>12270</v>
      </c>
      <c r="F5676">
        <v>204158.54</v>
      </c>
      <c r="G5676">
        <v>0</v>
      </c>
      <c r="H5676">
        <v>0</v>
      </c>
      <c r="I5676">
        <v>0</v>
      </c>
      <c r="J5676">
        <v>0</v>
      </c>
      <c r="K5676">
        <v>0</v>
      </c>
      <c r="L5676">
        <v>22559395.399999999</v>
      </c>
      <c r="M5676">
        <v>22559395.399999999</v>
      </c>
      <c r="N5676">
        <v>22559395.399999999</v>
      </c>
      <c r="O5676">
        <v>22559395.399999999</v>
      </c>
      <c r="P5676">
        <v>22559395.399999999</v>
      </c>
      <c r="Q5676">
        <v>22559395.399999999</v>
      </c>
      <c r="R5676" s="14">
        <f>_xlfn.XLOOKUP(Table2[[#This Row],[LoanID]],Table1[G-L ID],Table1[ManagerCode],-99)</f>
        <v>119</v>
      </c>
      <c r="T5676"/>
    </row>
    <row r="5677" spans="1:20" x14ac:dyDescent="0.25">
      <c r="A5677">
        <v>20170531</v>
      </c>
      <c r="B5677">
        <v>2017</v>
      </c>
      <c r="C5677">
        <v>5</v>
      </c>
      <c r="D5677">
        <v>1</v>
      </c>
      <c r="E5677">
        <v>12280</v>
      </c>
      <c r="F5677">
        <v>122841.01</v>
      </c>
      <c r="G5677">
        <v>0</v>
      </c>
      <c r="H5677">
        <v>0</v>
      </c>
      <c r="I5677">
        <v>0</v>
      </c>
      <c r="J5677">
        <v>0</v>
      </c>
      <c r="K5677">
        <v>0</v>
      </c>
      <c r="L5677">
        <v>12818750</v>
      </c>
      <c r="M5677">
        <v>12818750</v>
      </c>
      <c r="N5677">
        <v>12818750</v>
      </c>
      <c r="O5677">
        <v>12818750</v>
      </c>
      <c r="P5677">
        <v>12818750</v>
      </c>
      <c r="Q5677">
        <v>12818750</v>
      </c>
      <c r="R5677" s="14">
        <f>_xlfn.XLOOKUP(Table2[[#This Row],[LoanID]],Table1[G-L ID],Table1[ManagerCode],-99)</f>
        <v>119</v>
      </c>
      <c r="T5677"/>
    </row>
    <row r="5678" spans="1:20" x14ac:dyDescent="0.25">
      <c r="A5678">
        <v>20170531</v>
      </c>
      <c r="B5678">
        <v>2017</v>
      </c>
      <c r="C5678">
        <v>5</v>
      </c>
      <c r="D5678">
        <v>1</v>
      </c>
      <c r="E5678">
        <v>12290</v>
      </c>
      <c r="F5678">
        <v>0</v>
      </c>
      <c r="G5678">
        <v>0</v>
      </c>
      <c r="H5678">
        <v>204750</v>
      </c>
      <c r="I5678">
        <v>0</v>
      </c>
      <c r="J5678">
        <v>-17750000</v>
      </c>
      <c r="K5678">
        <v>0</v>
      </c>
      <c r="L5678">
        <v>0</v>
      </c>
      <c r="M5678">
        <v>17750000</v>
      </c>
      <c r="N5678">
        <v>0</v>
      </c>
      <c r="O5678">
        <v>17750000</v>
      </c>
      <c r="P5678">
        <v>0</v>
      </c>
      <c r="Q5678">
        <v>17750000</v>
      </c>
      <c r="R5678" s="14">
        <f>_xlfn.XLOOKUP(Table2[[#This Row],[LoanID]],Table1[G-L ID],Table1[ManagerCode],-99)</f>
        <v>119</v>
      </c>
      <c r="T5678"/>
    </row>
    <row r="5679" spans="1:20" x14ac:dyDescent="0.25">
      <c r="A5679">
        <v>20170531</v>
      </c>
      <c r="B5679">
        <v>2017</v>
      </c>
      <c r="C5679">
        <v>5</v>
      </c>
      <c r="D5679">
        <v>1</v>
      </c>
      <c r="E5679">
        <v>12300</v>
      </c>
      <c r="F5679">
        <v>14935.96</v>
      </c>
      <c r="G5679">
        <v>0</v>
      </c>
      <c r="H5679">
        <v>50000</v>
      </c>
      <c r="I5679">
        <v>0</v>
      </c>
      <c r="J5679">
        <v>-10000000</v>
      </c>
      <c r="K5679">
        <v>0</v>
      </c>
      <c r="L5679">
        <v>0</v>
      </c>
      <c r="M5679">
        <v>10000000</v>
      </c>
      <c r="N5679">
        <v>0</v>
      </c>
      <c r="O5679">
        <v>10000000</v>
      </c>
      <c r="P5679">
        <v>0</v>
      </c>
      <c r="Q5679">
        <v>10000000</v>
      </c>
      <c r="R5679" s="14">
        <f>_xlfn.XLOOKUP(Table2[[#This Row],[LoanID]],Table1[G-L ID],Table1[ManagerCode],-99)</f>
        <v>119</v>
      </c>
      <c r="T5679"/>
    </row>
    <row r="5680" spans="1:20" x14ac:dyDescent="0.25">
      <c r="A5680">
        <v>20170531</v>
      </c>
      <c r="B5680">
        <v>2017</v>
      </c>
      <c r="C5680">
        <v>5</v>
      </c>
      <c r="D5680">
        <v>1</v>
      </c>
      <c r="E5680">
        <v>12340</v>
      </c>
      <c r="F5680">
        <v>73182.67</v>
      </c>
      <c r="G5680">
        <v>0</v>
      </c>
      <c r="H5680">
        <v>0</v>
      </c>
      <c r="I5680">
        <v>0</v>
      </c>
      <c r="J5680">
        <v>0</v>
      </c>
      <c r="K5680">
        <v>0</v>
      </c>
      <c r="L5680">
        <v>24000000</v>
      </c>
      <c r="M5680">
        <v>24000000</v>
      </c>
      <c r="N5680">
        <v>12000000</v>
      </c>
      <c r="O5680">
        <v>12000000</v>
      </c>
      <c r="P5680">
        <v>24000000</v>
      </c>
      <c r="Q5680">
        <v>24000000</v>
      </c>
      <c r="R5680" s="14">
        <f>_xlfn.XLOOKUP(Table2[[#This Row],[LoanID]],Table1[G-L ID],Table1[ManagerCode],-99)</f>
        <v>183</v>
      </c>
      <c r="T5680"/>
    </row>
    <row r="5681" spans="1:20" x14ac:dyDescent="0.25">
      <c r="A5681">
        <v>20170531</v>
      </c>
      <c r="B5681">
        <v>2017</v>
      </c>
      <c r="C5681">
        <v>5</v>
      </c>
      <c r="D5681">
        <v>1</v>
      </c>
      <c r="E5681">
        <v>12350</v>
      </c>
      <c r="F5681">
        <v>-79114.58</v>
      </c>
      <c r="G5681">
        <v>0</v>
      </c>
      <c r="H5681">
        <v>787000</v>
      </c>
      <c r="I5681">
        <v>0</v>
      </c>
      <c r="J5681">
        <v>-60000000</v>
      </c>
      <c r="K5681">
        <v>37500000</v>
      </c>
      <c r="L5681">
        <v>0</v>
      </c>
      <c r="M5681">
        <v>60000000</v>
      </c>
      <c r="N5681">
        <v>0</v>
      </c>
      <c r="O5681">
        <v>22500000</v>
      </c>
      <c r="P5681">
        <v>0</v>
      </c>
      <c r="Q5681">
        <v>60000000</v>
      </c>
      <c r="R5681" s="14">
        <f>_xlfn.XLOOKUP(Table2[[#This Row],[LoanID]],Table1[G-L ID],Table1[ManagerCode],-99)</f>
        <v>183</v>
      </c>
      <c r="T5681"/>
    </row>
    <row r="5682" spans="1:20" x14ac:dyDescent="0.25">
      <c r="A5682">
        <v>20170531</v>
      </c>
      <c r="B5682">
        <v>2017</v>
      </c>
      <c r="C5682">
        <v>5</v>
      </c>
      <c r="D5682">
        <v>1</v>
      </c>
      <c r="E5682">
        <v>12390</v>
      </c>
      <c r="F5682">
        <v>61779.040000000001</v>
      </c>
      <c r="G5682">
        <v>148894.31</v>
      </c>
      <c r="H5682">
        <v>0</v>
      </c>
      <c r="I5682">
        <v>0</v>
      </c>
      <c r="J5682">
        <v>-1676486.57</v>
      </c>
      <c r="K5682">
        <v>0</v>
      </c>
      <c r="L5682">
        <v>14551045.01</v>
      </c>
      <c r="M5682">
        <v>16376425.890000001</v>
      </c>
      <c r="N5682">
        <v>14551045.01</v>
      </c>
      <c r="O5682">
        <v>16376425.890000001</v>
      </c>
      <c r="P5682">
        <v>14551045.01</v>
      </c>
      <c r="Q5682">
        <v>16376425.890000001</v>
      </c>
      <c r="R5682" s="14">
        <f>_xlfn.XLOOKUP(Table2[[#This Row],[LoanID]],Table1[G-L ID],Table1[ManagerCode],-99)</f>
        <v>183</v>
      </c>
      <c r="T5682"/>
    </row>
    <row r="5683" spans="1:20" x14ac:dyDescent="0.25">
      <c r="A5683">
        <v>20170531</v>
      </c>
      <c r="B5683">
        <v>2017</v>
      </c>
      <c r="C5683">
        <v>5</v>
      </c>
      <c r="D5683">
        <v>1</v>
      </c>
      <c r="E5683">
        <v>12410</v>
      </c>
      <c r="F5683">
        <v>316687.55</v>
      </c>
      <c r="G5683">
        <v>253350.04</v>
      </c>
      <c r="H5683">
        <v>0</v>
      </c>
      <c r="I5683">
        <v>0</v>
      </c>
      <c r="J5683">
        <v>0</v>
      </c>
      <c r="K5683">
        <v>0</v>
      </c>
      <c r="L5683">
        <v>75244961.030000001</v>
      </c>
      <c r="M5683">
        <v>75495777.549999997</v>
      </c>
      <c r="N5683">
        <v>75244961.030000001</v>
      </c>
      <c r="O5683">
        <v>75495777.549999997</v>
      </c>
      <c r="P5683">
        <v>76005011.109999999</v>
      </c>
      <c r="Q5683">
        <v>76258361.150000006</v>
      </c>
      <c r="R5683" s="14">
        <f>_xlfn.XLOOKUP(Table2[[#This Row],[LoanID]],Table1[G-L ID],Table1[ManagerCode],-99)</f>
        <v>103</v>
      </c>
      <c r="T5683"/>
    </row>
    <row r="5684" spans="1:20" x14ac:dyDescent="0.25">
      <c r="A5684">
        <v>20170531</v>
      </c>
      <c r="B5684">
        <v>2017</v>
      </c>
      <c r="C5684">
        <v>5</v>
      </c>
      <c r="D5684">
        <v>1</v>
      </c>
      <c r="E5684">
        <v>12420</v>
      </c>
      <c r="F5684">
        <v>6730.6</v>
      </c>
      <c r="G5684">
        <v>0</v>
      </c>
      <c r="H5684">
        <v>0</v>
      </c>
      <c r="I5684">
        <v>0</v>
      </c>
      <c r="J5684">
        <v>0</v>
      </c>
      <c r="K5684">
        <v>0</v>
      </c>
      <c r="L5684">
        <v>716686</v>
      </c>
      <c r="M5684">
        <v>716686</v>
      </c>
      <c r="N5684">
        <v>716686</v>
      </c>
      <c r="O5684">
        <v>716686</v>
      </c>
      <c r="P5684">
        <v>716686</v>
      </c>
      <c r="Q5684">
        <v>716686</v>
      </c>
      <c r="R5684" s="14">
        <f>_xlfn.XLOOKUP(Table2[[#This Row],[LoanID]],Table1[G-L ID],Table1[ManagerCode],-99)</f>
        <v>103</v>
      </c>
      <c r="T5684"/>
    </row>
    <row r="5685" spans="1:20" x14ac:dyDescent="0.25">
      <c r="A5685">
        <v>20170531</v>
      </c>
      <c r="B5685">
        <v>2017</v>
      </c>
      <c r="C5685">
        <v>5</v>
      </c>
      <c r="D5685">
        <v>1</v>
      </c>
      <c r="E5685">
        <v>12430</v>
      </c>
      <c r="F5685">
        <v>8231.8700000000008</v>
      </c>
      <c r="G5685">
        <v>0</v>
      </c>
      <c r="H5685">
        <v>198750</v>
      </c>
      <c r="I5685">
        <v>0</v>
      </c>
      <c r="J5685">
        <v>-1559986.15</v>
      </c>
      <c r="K5685">
        <v>0</v>
      </c>
      <c r="L5685">
        <v>564740.04</v>
      </c>
      <c r="M5685">
        <v>2033456.77</v>
      </c>
      <c r="N5685">
        <v>564740.04</v>
      </c>
      <c r="O5685">
        <v>2033456.77</v>
      </c>
      <c r="P5685">
        <v>609299.13</v>
      </c>
      <c r="Q5685">
        <v>2169285.2799999998</v>
      </c>
      <c r="R5685" s="14">
        <f>_xlfn.XLOOKUP(Table2[[#This Row],[LoanID]],Table1[G-L ID],Table1[ManagerCode],-99)</f>
        <v>103</v>
      </c>
      <c r="T5685"/>
    </row>
    <row r="5686" spans="1:20" x14ac:dyDescent="0.25">
      <c r="A5686">
        <v>20170531</v>
      </c>
      <c r="B5686">
        <v>2017</v>
      </c>
      <c r="C5686">
        <v>5</v>
      </c>
      <c r="D5686">
        <v>1</v>
      </c>
      <c r="E5686">
        <v>12440</v>
      </c>
      <c r="F5686">
        <v>3698.63</v>
      </c>
      <c r="G5686">
        <v>0</v>
      </c>
      <c r="H5686">
        <v>0</v>
      </c>
      <c r="I5686">
        <v>0</v>
      </c>
      <c r="J5686">
        <v>0</v>
      </c>
      <c r="K5686">
        <v>0</v>
      </c>
      <c r="L5686">
        <v>5282223.45</v>
      </c>
      <c r="M5686">
        <v>5323518.07</v>
      </c>
      <c r="N5686">
        <v>5282223.45</v>
      </c>
      <c r="O5686">
        <v>5323518.07</v>
      </c>
      <c r="P5686">
        <v>4500000</v>
      </c>
      <c r="Q5686">
        <v>4500000</v>
      </c>
      <c r="R5686" s="14">
        <f>_xlfn.XLOOKUP(Table2[[#This Row],[LoanID]],Table1[G-L ID],Table1[ManagerCode],-99)</f>
        <v>103</v>
      </c>
      <c r="T5686"/>
    </row>
    <row r="5687" spans="1:20" x14ac:dyDescent="0.25">
      <c r="A5687">
        <v>20170531</v>
      </c>
      <c r="B5687">
        <v>2017</v>
      </c>
      <c r="C5687">
        <v>5</v>
      </c>
      <c r="D5687">
        <v>1</v>
      </c>
      <c r="E5687">
        <v>13020</v>
      </c>
      <c r="F5687">
        <v>0</v>
      </c>
      <c r="G5687">
        <v>0</v>
      </c>
      <c r="H5687">
        <v>0</v>
      </c>
      <c r="I5687">
        <v>0</v>
      </c>
      <c r="J5687">
        <v>-927512.3</v>
      </c>
      <c r="K5687">
        <v>0</v>
      </c>
      <c r="L5687">
        <v>0.01</v>
      </c>
      <c r="M5687">
        <v>927512.31</v>
      </c>
      <c r="N5687">
        <v>0.01</v>
      </c>
      <c r="O5687">
        <v>927512.31</v>
      </c>
      <c r="P5687">
        <v>0.01</v>
      </c>
      <c r="Q5687">
        <v>927512.31</v>
      </c>
      <c r="R5687" s="14">
        <f>_xlfn.XLOOKUP(Table2[[#This Row],[LoanID]],Table1[G-L ID],Table1[ManagerCode],-99)</f>
        <v>103</v>
      </c>
      <c r="T5687"/>
    </row>
    <row r="5688" spans="1:20" x14ac:dyDescent="0.25">
      <c r="A5688">
        <v>20170531</v>
      </c>
      <c r="B5688">
        <v>2017</v>
      </c>
      <c r="C5688">
        <v>5</v>
      </c>
      <c r="D5688">
        <v>1</v>
      </c>
      <c r="E5688">
        <v>13610</v>
      </c>
      <c r="F5688">
        <v>61250</v>
      </c>
      <c r="G5688">
        <v>0</v>
      </c>
      <c r="H5688">
        <v>0</v>
      </c>
      <c r="I5688">
        <v>0</v>
      </c>
      <c r="J5688">
        <v>0</v>
      </c>
      <c r="K5688">
        <v>0</v>
      </c>
      <c r="L5688">
        <v>10500000</v>
      </c>
      <c r="M5688">
        <v>10500000</v>
      </c>
      <c r="N5688">
        <v>10500000</v>
      </c>
      <c r="O5688">
        <v>10500000</v>
      </c>
      <c r="P5688">
        <v>10500000</v>
      </c>
      <c r="Q5688">
        <v>10500000</v>
      </c>
      <c r="R5688" s="14">
        <f>_xlfn.XLOOKUP(Table2[[#This Row],[LoanID]],Table1[G-L ID],Table1[ManagerCode],-99)</f>
        <v>298</v>
      </c>
      <c r="T5688"/>
    </row>
    <row r="5689" spans="1:20" x14ac:dyDescent="0.25">
      <c r="A5689">
        <v>20170531</v>
      </c>
      <c r="B5689">
        <v>2017</v>
      </c>
      <c r="C5689">
        <v>5</v>
      </c>
      <c r="D5689">
        <v>1</v>
      </c>
      <c r="E5689">
        <v>13630</v>
      </c>
      <c r="F5689">
        <v>211458.33</v>
      </c>
      <c r="G5689">
        <v>0</v>
      </c>
      <c r="H5689">
        <v>0</v>
      </c>
      <c r="I5689">
        <v>0</v>
      </c>
      <c r="J5689">
        <v>0</v>
      </c>
      <c r="K5689">
        <v>0</v>
      </c>
      <c r="L5689">
        <v>33569646.990000002</v>
      </c>
      <c r="M5689">
        <v>33569646.990000002</v>
      </c>
      <c r="N5689">
        <v>33569646.990000002</v>
      </c>
      <c r="O5689">
        <v>33569646.990000002</v>
      </c>
      <c r="P5689">
        <v>35000000</v>
      </c>
      <c r="Q5689">
        <v>35000000</v>
      </c>
      <c r="R5689" s="14">
        <f>_xlfn.XLOOKUP(Table2[[#This Row],[LoanID]],Table1[G-L ID],Table1[ManagerCode],-99)</f>
        <v>298</v>
      </c>
      <c r="T5689"/>
    </row>
    <row r="5690" spans="1:20" x14ac:dyDescent="0.25">
      <c r="A5690">
        <v>20170531</v>
      </c>
      <c r="B5690">
        <v>2017</v>
      </c>
      <c r="C5690">
        <v>5</v>
      </c>
      <c r="D5690">
        <v>1</v>
      </c>
      <c r="E5690">
        <v>13650</v>
      </c>
      <c r="F5690">
        <v>216666.67</v>
      </c>
      <c r="G5690">
        <v>0</v>
      </c>
      <c r="H5690">
        <v>0</v>
      </c>
      <c r="I5690">
        <v>0</v>
      </c>
      <c r="J5690">
        <v>0</v>
      </c>
      <c r="K5690">
        <v>0</v>
      </c>
      <c r="L5690">
        <v>40000000</v>
      </c>
      <c r="M5690">
        <v>40000000</v>
      </c>
      <c r="N5690">
        <v>40000000</v>
      </c>
      <c r="O5690">
        <v>40000000</v>
      </c>
      <c r="P5690">
        <v>40000000</v>
      </c>
      <c r="Q5690">
        <v>40000000</v>
      </c>
      <c r="R5690" s="14">
        <f>_xlfn.XLOOKUP(Table2[[#This Row],[LoanID]],Table1[G-L ID],Table1[ManagerCode],-99)</f>
        <v>298</v>
      </c>
      <c r="T5690"/>
    </row>
    <row r="5691" spans="1:20" x14ac:dyDescent="0.25">
      <c r="A5691">
        <v>20170531</v>
      </c>
      <c r="B5691">
        <v>2017</v>
      </c>
      <c r="C5691">
        <v>5</v>
      </c>
      <c r="D5691">
        <v>1</v>
      </c>
      <c r="E5691">
        <v>13660</v>
      </c>
      <c r="F5691">
        <v>114166.67</v>
      </c>
      <c r="G5691">
        <v>0</v>
      </c>
      <c r="H5691">
        <v>0</v>
      </c>
      <c r="I5691">
        <v>0</v>
      </c>
      <c r="J5691">
        <v>0</v>
      </c>
      <c r="K5691">
        <v>0</v>
      </c>
      <c r="L5691">
        <v>20000000</v>
      </c>
      <c r="M5691">
        <v>20000000</v>
      </c>
      <c r="N5691">
        <v>20000000</v>
      </c>
      <c r="O5691">
        <v>20000000</v>
      </c>
      <c r="P5691">
        <v>20000000</v>
      </c>
      <c r="Q5691">
        <v>20000000</v>
      </c>
      <c r="R5691" s="14">
        <f>_xlfn.XLOOKUP(Table2[[#This Row],[LoanID]],Table1[G-L ID],Table1[ManagerCode],-99)</f>
        <v>298</v>
      </c>
      <c r="T5691"/>
    </row>
    <row r="5692" spans="1:20" x14ac:dyDescent="0.25">
      <c r="A5692">
        <v>20170531</v>
      </c>
      <c r="B5692">
        <v>2017</v>
      </c>
      <c r="C5692">
        <v>5</v>
      </c>
      <c r="D5692">
        <v>1</v>
      </c>
      <c r="E5692">
        <v>13670</v>
      </c>
      <c r="F5692">
        <v>296687.5</v>
      </c>
      <c r="G5692">
        <v>0</v>
      </c>
      <c r="H5692">
        <v>0</v>
      </c>
      <c r="I5692">
        <v>0</v>
      </c>
      <c r="J5692">
        <v>0</v>
      </c>
      <c r="K5692">
        <v>0</v>
      </c>
      <c r="L5692">
        <v>37322264.049999997</v>
      </c>
      <c r="M5692">
        <v>37322264.049999997</v>
      </c>
      <c r="N5692">
        <v>37322264.049999997</v>
      </c>
      <c r="O5692">
        <v>37322264.049999997</v>
      </c>
      <c r="P5692">
        <v>37500000</v>
      </c>
      <c r="Q5692">
        <v>37500000</v>
      </c>
      <c r="R5692" s="14">
        <f>_xlfn.XLOOKUP(Table2[[#This Row],[LoanID]],Table1[G-L ID],Table1[ManagerCode],-99)</f>
        <v>298</v>
      </c>
      <c r="T5692"/>
    </row>
    <row r="5693" spans="1:20" x14ac:dyDescent="0.25">
      <c r="A5693">
        <v>20170531</v>
      </c>
      <c r="B5693">
        <v>2017</v>
      </c>
      <c r="C5693">
        <v>5</v>
      </c>
      <c r="D5693">
        <v>1</v>
      </c>
      <c r="E5693">
        <v>13680</v>
      </c>
      <c r="F5693">
        <v>142281.25</v>
      </c>
      <c r="G5693">
        <v>0</v>
      </c>
      <c r="H5693">
        <v>0</v>
      </c>
      <c r="I5693">
        <v>0</v>
      </c>
      <c r="J5693">
        <v>0</v>
      </c>
      <c r="K5693">
        <v>0</v>
      </c>
      <c r="L5693">
        <v>17989534.25</v>
      </c>
      <c r="M5693">
        <v>17989534.25</v>
      </c>
      <c r="N5693">
        <v>17989534.25</v>
      </c>
      <c r="O5693">
        <v>17989534.25</v>
      </c>
      <c r="P5693">
        <v>18000000</v>
      </c>
      <c r="Q5693">
        <v>18000000</v>
      </c>
      <c r="R5693" s="14">
        <f>_xlfn.XLOOKUP(Table2[[#This Row],[LoanID]],Table1[G-L ID],Table1[ManagerCode],-99)</f>
        <v>298</v>
      </c>
      <c r="T5693"/>
    </row>
    <row r="5694" spans="1:20" x14ac:dyDescent="0.25">
      <c r="A5694">
        <v>20170531</v>
      </c>
      <c r="B5694">
        <v>2017</v>
      </c>
      <c r="C5694">
        <v>5</v>
      </c>
      <c r="D5694">
        <v>1</v>
      </c>
      <c r="E5694">
        <v>13690</v>
      </c>
      <c r="F5694">
        <v>129166.67</v>
      </c>
      <c r="G5694">
        <v>0</v>
      </c>
      <c r="H5694">
        <v>0</v>
      </c>
      <c r="I5694">
        <v>0</v>
      </c>
      <c r="J5694">
        <v>0</v>
      </c>
      <c r="K5694">
        <v>0</v>
      </c>
      <c r="L5694">
        <v>18960334.350000001</v>
      </c>
      <c r="M5694">
        <v>18960334.350000001</v>
      </c>
      <c r="N5694">
        <v>18960334.350000001</v>
      </c>
      <c r="O5694">
        <v>18960334.350000001</v>
      </c>
      <c r="P5694">
        <v>20000000</v>
      </c>
      <c r="Q5694">
        <v>20000000</v>
      </c>
      <c r="R5694" s="14">
        <f>_xlfn.XLOOKUP(Table2[[#This Row],[LoanID]],Table1[G-L ID],Table1[ManagerCode],-99)</f>
        <v>298</v>
      </c>
      <c r="T5694"/>
    </row>
    <row r="5695" spans="1:20" x14ac:dyDescent="0.25">
      <c r="A5695">
        <v>20170531</v>
      </c>
      <c r="B5695">
        <v>2017</v>
      </c>
      <c r="C5695">
        <v>5</v>
      </c>
      <c r="D5695">
        <v>1</v>
      </c>
      <c r="E5695">
        <v>15540</v>
      </c>
      <c r="F5695">
        <v>220237.5</v>
      </c>
      <c r="G5695">
        <v>7702.92</v>
      </c>
      <c r="H5695">
        <v>0</v>
      </c>
      <c r="I5695">
        <v>-2187.5</v>
      </c>
      <c r="J5695">
        <v>0</v>
      </c>
      <c r="K5695">
        <v>0</v>
      </c>
      <c r="L5695">
        <v>52720237.5</v>
      </c>
      <c r="M5695">
        <v>52727940.420000002</v>
      </c>
      <c r="N5695">
        <v>52720237.5</v>
      </c>
      <c r="O5695">
        <v>52727940.420000002</v>
      </c>
      <c r="P5695">
        <v>52720237.5</v>
      </c>
      <c r="Q5695">
        <v>52727940.420000002</v>
      </c>
      <c r="R5695" s="14">
        <f>_xlfn.XLOOKUP(Table2[[#This Row],[LoanID]],Table1[G-L ID],Table1[ManagerCode],-99)</f>
        <v>212</v>
      </c>
      <c r="T5695"/>
    </row>
    <row r="5696" spans="1:20" x14ac:dyDescent="0.25">
      <c r="A5696">
        <v>20170531</v>
      </c>
      <c r="B5696">
        <v>2017</v>
      </c>
      <c r="C5696">
        <v>5</v>
      </c>
      <c r="D5696">
        <v>1</v>
      </c>
      <c r="E5696">
        <v>15580</v>
      </c>
      <c r="F5696">
        <v>113121.06</v>
      </c>
      <c r="G5696">
        <v>3688.82</v>
      </c>
      <c r="H5696">
        <v>0</v>
      </c>
      <c r="I5696">
        <v>0</v>
      </c>
      <c r="J5696">
        <v>0</v>
      </c>
      <c r="K5696">
        <v>10280.25</v>
      </c>
      <c r="L5696">
        <v>14788286.039999999</v>
      </c>
      <c r="M5696">
        <v>14781694.609999999</v>
      </c>
      <c r="N5696">
        <v>14788286.039999999</v>
      </c>
      <c r="O5696">
        <v>14781694.609999999</v>
      </c>
      <c r="P5696">
        <v>14788286.039999999</v>
      </c>
      <c r="Q5696">
        <v>14781694.609999999</v>
      </c>
      <c r="R5696" s="14">
        <f>_xlfn.XLOOKUP(Table2[[#This Row],[LoanID]],Table1[G-L ID],Table1[ManagerCode],-99)</f>
        <v>212</v>
      </c>
      <c r="T5696"/>
    </row>
    <row r="5697" spans="1:20" x14ac:dyDescent="0.25">
      <c r="A5697">
        <v>20170630</v>
      </c>
      <c r="B5697">
        <v>2017</v>
      </c>
      <c r="C5697">
        <v>6</v>
      </c>
      <c r="D5697">
        <v>1</v>
      </c>
      <c r="E5697">
        <v>10010</v>
      </c>
      <c r="F5697">
        <v>172332.18</v>
      </c>
      <c r="G5697">
        <v>0</v>
      </c>
      <c r="H5697">
        <v>0</v>
      </c>
      <c r="I5697">
        <v>0</v>
      </c>
      <c r="J5697">
        <v>-1809908.55</v>
      </c>
      <c r="K5697">
        <v>0</v>
      </c>
      <c r="L5697">
        <v>17168930.09</v>
      </c>
      <c r="M5697">
        <v>18978838.640000001</v>
      </c>
      <c r="N5697">
        <v>17168930.09</v>
      </c>
      <c r="O5697">
        <v>18978838.640000001</v>
      </c>
      <c r="P5697">
        <v>17168930.09</v>
      </c>
      <c r="Q5697">
        <v>18978838.640000001</v>
      </c>
      <c r="R5697" s="14">
        <f>_xlfn.XLOOKUP(Table2[[#This Row],[LoanID]],Table1[G-L ID],Table1[ManagerCode],-99)</f>
        <v>119</v>
      </c>
      <c r="T5697"/>
    </row>
    <row r="5698" spans="1:20" x14ac:dyDescent="0.25">
      <c r="A5698">
        <v>20170630</v>
      </c>
      <c r="B5698">
        <v>2017</v>
      </c>
      <c r="C5698">
        <v>6</v>
      </c>
      <c r="D5698">
        <v>1</v>
      </c>
      <c r="E5698">
        <v>10030</v>
      </c>
      <c r="F5698">
        <v>83394.399999999994</v>
      </c>
      <c r="G5698">
        <v>0</v>
      </c>
      <c r="H5698">
        <v>0</v>
      </c>
      <c r="I5698">
        <v>0</v>
      </c>
      <c r="J5698">
        <v>0</v>
      </c>
      <c r="K5698">
        <v>0</v>
      </c>
      <c r="L5698">
        <v>10948829.699999999</v>
      </c>
      <c r="M5698">
        <v>10948829.699999999</v>
      </c>
      <c r="N5698">
        <v>10948829.699999999</v>
      </c>
      <c r="O5698">
        <v>10948829.699999999</v>
      </c>
      <c r="P5698">
        <v>10948829.699999999</v>
      </c>
      <c r="Q5698">
        <v>10948829.699999999</v>
      </c>
      <c r="R5698" s="14">
        <f>_xlfn.XLOOKUP(Table2[[#This Row],[LoanID]],Table1[G-L ID],Table1[ManagerCode],-99)</f>
        <v>119</v>
      </c>
      <c r="T5698"/>
    </row>
    <row r="5699" spans="1:20" x14ac:dyDescent="0.25">
      <c r="A5699">
        <v>20170630</v>
      </c>
      <c r="B5699">
        <v>2017</v>
      </c>
      <c r="C5699">
        <v>6</v>
      </c>
      <c r="D5699">
        <v>1</v>
      </c>
      <c r="E5699">
        <v>10040</v>
      </c>
      <c r="F5699">
        <v>47339.58</v>
      </c>
      <c r="G5699">
        <v>0</v>
      </c>
      <c r="H5699">
        <v>0</v>
      </c>
      <c r="I5699">
        <v>0</v>
      </c>
      <c r="J5699">
        <v>0</v>
      </c>
      <c r="K5699">
        <v>0</v>
      </c>
      <c r="L5699">
        <v>5000000</v>
      </c>
      <c r="M5699">
        <v>5000000</v>
      </c>
      <c r="N5699">
        <v>5000000</v>
      </c>
      <c r="O5699">
        <v>5000000</v>
      </c>
      <c r="P5699">
        <v>5000000</v>
      </c>
      <c r="Q5699">
        <v>5000000</v>
      </c>
      <c r="R5699" s="14">
        <f>_xlfn.XLOOKUP(Table2[[#This Row],[LoanID]],Table1[G-L ID],Table1[ManagerCode],-99)</f>
        <v>119</v>
      </c>
      <c r="T5699"/>
    </row>
    <row r="5700" spans="1:20" x14ac:dyDescent="0.25">
      <c r="A5700">
        <v>20170630</v>
      </c>
      <c r="B5700">
        <v>2017</v>
      </c>
      <c r="C5700">
        <v>6</v>
      </c>
      <c r="D5700">
        <v>1</v>
      </c>
      <c r="E5700">
        <v>10050</v>
      </c>
      <c r="F5700">
        <v>133963.48000000001</v>
      </c>
      <c r="G5700">
        <v>0</v>
      </c>
      <c r="H5700">
        <v>0</v>
      </c>
      <c r="I5700">
        <v>0</v>
      </c>
      <c r="J5700">
        <v>0</v>
      </c>
      <c r="K5700">
        <v>0</v>
      </c>
      <c r="L5700">
        <v>37805590.439999998</v>
      </c>
      <c r="M5700">
        <v>37519440.229999997</v>
      </c>
      <c r="N5700">
        <v>37805590.439999998</v>
      </c>
      <c r="O5700">
        <v>37519440.229999997</v>
      </c>
      <c r="P5700">
        <v>33333334</v>
      </c>
      <c r="Q5700">
        <v>33333334</v>
      </c>
      <c r="R5700" s="14">
        <f>_xlfn.XLOOKUP(Table2[[#This Row],[LoanID]],Table1[G-L ID],Table1[ManagerCode],-99)</f>
        <v>103</v>
      </c>
      <c r="T5700"/>
    </row>
    <row r="5701" spans="1:20" x14ac:dyDescent="0.25">
      <c r="A5701">
        <v>20170630</v>
      </c>
      <c r="B5701">
        <v>2017</v>
      </c>
      <c r="C5701">
        <v>6</v>
      </c>
      <c r="D5701">
        <v>1</v>
      </c>
      <c r="E5701">
        <v>10070</v>
      </c>
      <c r="F5701">
        <v>61042.23</v>
      </c>
      <c r="G5701">
        <v>0</v>
      </c>
      <c r="H5701">
        <v>0</v>
      </c>
      <c r="I5701">
        <v>0</v>
      </c>
      <c r="J5701">
        <v>0</v>
      </c>
      <c r="K5701">
        <v>0</v>
      </c>
      <c r="L5701">
        <v>5875000</v>
      </c>
      <c r="M5701">
        <v>5875000</v>
      </c>
      <c r="N5701">
        <v>5875000</v>
      </c>
      <c r="O5701">
        <v>5875000</v>
      </c>
      <c r="P5701">
        <v>5875000</v>
      </c>
      <c r="Q5701">
        <v>5875000</v>
      </c>
      <c r="R5701" s="14">
        <f>_xlfn.XLOOKUP(Table2[[#This Row],[LoanID]],Table1[G-L ID],Table1[ManagerCode],-99)</f>
        <v>119</v>
      </c>
      <c r="T5701"/>
    </row>
    <row r="5702" spans="1:20" x14ac:dyDescent="0.25">
      <c r="A5702">
        <v>20170630</v>
      </c>
      <c r="B5702">
        <v>2017</v>
      </c>
      <c r="C5702">
        <v>6</v>
      </c>
      <c r="D5702">
        <v>1</v>
      </c>
      <c r="E5702">
        <v>10110</v>
      </c>
      <c r="F5702">
        <v>149695.56</v>
      </c>
      <c r="G5702">
        <v>0</v>
      </c>
      <c r="H5702">
        <v>0</v>
      </c>
      <c r="I5702">
        <v>0</v>
      </c>
      <c r="J5702">
        <v>0</v>
      </c>
      <c r="K5702">
        <v>0</v>
      </c>
      <c r="L5702">
        <v>16400000</v>
      </c>
      <c r="M5702">
        <v>16400000</v>
      </c>
      <c r="N5702">
        <v>16400000</v>
      </c>
      <c r="O5702">
        <v>16400000</v>
      </c>
      <c r="P5702">
        <v>16400000</v>
      </c>
      <c r="Q5702">
        <v>16400000</v>
      </c>
      <c r="R5702" s="14">
        <f>_xlfn.XLOOKUP(Table2[[#This Row],[LoanID]],Table1[G-L ID],Table1[ManagerCode],-99)</f>
        <v>119</v>
      </c>
      <c r="T5702"/>
    </row>
    <row r="5703" spans="1:20" x14ac:dyDescent="0.25">
      <c r="A5703">
        <v>20170630</v>
      </c>
      <c r="B5703">
        <v>2017</v>
      </c>
      <c r="C5703">
        <v>6</v>
      </c>
      <c r="D5703">
        <v>1</v>
      </c>
      <c r="E5703">
        <v>10120</v>
      </c>
      <c r="F5703">
        <v>59343.67</v>
      </c>
      <c r="G5703">
        <v>64792.95</v>
      </c>
      <c r="H5703">
        <v>0</v>
      </c>
      <c r="I5703">
        <v>0</v>
      </c>
      <c r="J5703">
        <v>-16187.77</v>
      </c>
      <c r="K5703">
        <v>0</v>
      </c>
      <c r="L5703">
        <v>11969731.119999999</v>
      </c>
      <c r="M5703">
        <v>12050711.84</v>
      </c>
      <c r="N5703">
        <v>11969731.119999999</v>
      </c>
      <c r="O5703">
        <v>12050711.84</v>
      </c>
      <c r="P5703">
        <v>11969731.119999999</v>
      </c>
      <c r="Q5703">
        <v>12050711.84</v>
      </c>
      <c r="R5703" s="14">
        <f>_xlfn.XLOOKUP(Table2[[#This Row],[LoanID]],Table1[G-L ID],Table1[ManagerCode],-99)</f>
        <v>183</v>
      </c>
      <c r="T5703"/>
    </row>
    <row r="5704" spans="1:20" x14ac:dyDescent="0.25">
      <c r="A5704">
        <v>20170630</v>
      </c>
      <c r="B5704">
        <v>2017</v>
      </c>
      <c r="C5704">
        <v>6</v>
      </c>
      <c r="D5704">
        <v>1</v>
      </c>
      <c r="E5704">
        <v>10160</v>
      </c>
      <c r="F5704">
        <v>132916.1</v>
      </c>
      <c r="G5704">
        <v>0</v>
      </c>
      <c r="H5704">
        <v>0</v>
      </c>
      <c r="I5704">
        <v>0</v>
      </c>
      <c r="J5704">
        <v>0</v>
      </c>
      <c r="K5704">
        <v>0</v>
      </c>
      <c r="L5704">
        <v>15450869.43</v>
      </c>
      <c r="M5704">
        <v>15450869.43</v>
      </c>
      <c r="N5704">
        <v>15450869.43</v>
      </c>
      <c r="O5704">
        <v>15450869.43</v>
      </c>
      <c r="P5704">
        <v>15450869.43</v>
      </c>
      <c r="Q5704">
        <v>15450869.43</v>
      </c>
      <c r="R5704" s="14">
        <f>_xlfn.XLOOKUP(Table2[[#This Row],[LoanID]],Table1[G-L ID],Table1[ManagerCode],-99)</f>
        <v>119</v>
      </c>
      <c r="T5704"/>
    </row>
    <row r="5705" spans="1:20" x14ac:dyDescent="0.25">
      <c r="A5705">
        <v>20170630</v>
      </c>
      <c r="B5705">
        <v>2017</v>
      </c>
      <c r="C5705">
        <v>6</v>
      </c>
      <c r="D5705">
        <v>1</v>
      </c>
      <c r="E5705">
        <v>10220</v>
      </c>
      <c r="F5705">
        <v>605763.89</v>
      </c>
      <c r="G5705">
        <v>0</v>
      </c>
      <c r="H5705">
        <v>0</v>
      </c>
      <c r="I5705">
        <v>0</v>
      </c>
      <c r="J5705">
        <v>0</v>
      </c>
      <c r="K5705">
        <v>0</v>
      </c>
      <c r="L5705">
        <v>113710654.40000001</v>
      </c>
      <c r="M5705">
        <v>112891338.40000001</v>
      </c>
      <c r="N5705">
        <v>113710654.40000001</v>
      </c>
      <c r="O5705">
        <v>112891338.40000001</v>
      </c>
      <c r="P5705">
        <v>100000000</v>
      </c>
      <c r="Q5705">
        <v>100000000</v>
      </c>
      <c r="R5705" s="14">
        <f>_xlfn.XLOOKUP(Table2[[#This Row],[LoanID]],Table1[G-L ID],Table1[ManagerCode],-99)</f>
        <v>103</v>
      </c>
      <c r="T5705"/>
    </row>
    <row r="5706" spans="1:20" x14ac:dyDescent="0.25">
      <c r="A5706">
        <v>20170630</v>
      </c>
      <c r="B5706">
        <v>2017</v>
      </c>
      <c r="C5706">
        <v>6</v>
      </c>
      <c r="D5706">
        <v>1</v>
      </c>
      <c r="E5706">
        <v>10240</v>
      </c>
      <c r="F5706">
        <v>96767.360000000001</v>
      </c>
      <c r="G5706">
        <v>0</v>
      </c>
      <c r="H5706">
        <v>0</v>
      </c>
      <c r="I5706">
        <v>0</v>
      </c>
      <c r="J5706">
        <v>0</v>
      </c>
      <c r="K5706">
        <v>0</v>
      </c>
      <c r="L5706">
        <v>12500000</v>
      </c>
      <c r="M5706">
        <v>12500000</v>
      </c>
      <c r="N5706">
        <v>12500000</v>
      </c>
      <c r="O5706">
        <v>12500000</v>
      </c>
      <c r="P5706">
        <v>12500000</v>
      </c>
      <c r="Q5706">
        <v>12500000</v>
      </c>
      <c r="R5706" s="14">
        <f>_xlfn.XLOOKUP(Table2[[#This Row],[LoanID]],Table1[G-L ID],Table1[ManagerCode],-99)</f>
        <v>220</v>
      </c>
      <c r="T5706"/>
    </row>
    <row r="5707" spans="1:20" x14ac:dyDescent="0.25">
      <c r="A5707">
        <v>20170630</v>
      </c>
      <c r="B5707">
        <v>2017</v>
      </c>
      <c r="C5707">
        <v>6</v>
      </c>
      <c r="D5707">
        <v>1</v>
      </c>
      <c r="E5707">
        <v>10250</v>
      </c>
      <c r="F5707">
        <v>52829.17</v>
      </c>
      <c r="G5707">
        <v>0</v>
      </c>
      <c r="H5707">
        <v>0</v>
      </c>
      <c r="I5707">
        <v>0</v>
      </c>
      <c r="J5707">
        <v>0</v>
      </c>
      <c r="K5707">
        <v>0</v>
      </c>
      <c r="L5707">
        <v>5000000</v>
      </c>
      <c r="M5707">
        <v>5000000</v>
      </c>
      <c r="N5707">
        <v>5000000</v>
      </c>
      <c r="O5707">
        <v>5000000</v>
      </c>
      <c r="P5707">
        <v>5000000</v>
      </c>
      <c r="Q5707">
        <v>5000000</v>
      </c>
      <c r="R5707" s="14">
        <f>_xlfn.XLOOKUP(Table2[[#This Row],[LoanID]],Table1[G-L ID],Table1[ManagerCode],-99)</f>
        <v>119</v>
      </c>
      <c r="T5707"/>
    </row>
    <row r="5708" spans="1:20" x14ac:dyDescent="0.25">
      <c r="A5708">
        <v>20170630</v>
      </c>
      <c r="B5708">
        <v>2017</v>
      </c>
      <c r="C5708">
        <v>6</v>
      </c>
      <c r="D5708">
        <v>1</v>
      </c>
      <c r="E5708">
        <v>10260</v>
      </c>
      <c r="F5708">
        <v>110243.75</v>
      </c>
      <c r="G5708">
        <v>0</v>
      </c>
      <c r="H5708">
        <v>0</v>
      </c>
      <c r="I5708">
        <v>0</v>
      </c>
      <c r="J5708">
        <v>0</v>
      </c>
      <c r="K5708">
        <v>0</v>
      </c>
      <c r="L5708">
        <v>15000000</v>
      </c>
      <c r="M5708">
        <v>15000000</v>
      </c>
      <c r="N5708">
        <v>15000000</v>
      </c>
      <c r="O5708">
        <v>15000000</v>
      </c>
      <c r="P5708">
        <v>15000000</v>
      </c>
      <c r="Q5708">
        <v>15000000</v>
      </c>
      <c r="R5708" s="14">
        <f>_xlfn.XLOOKUP(Table2[[#This Row],[LoanID]],Table1[G-L ID],Table1[ManagerCode],-99)</f>
        <v>220</v>
      </c>
      <c r="T5708"/>
    </row>
    <row r="5709" spans="1:20" x14ac:dyDescent="0.25">
      <c r="A5709">
        <v>20170630</v>
      </c>
      <c r="B5709">
        <v>2017</v>
      </c>
      <c r="C5709">
        <v>6</v>
      </c>
      <c r="D5709">
        <v>1</v>
      </c>
      <c r="E5709">
        <v>10270</v>
      </c>
      <c r="F5709">
        <v>46811.4</v>
      </c>
      <c r="G5709">
        <v>0</v>
      </c>
      <c r="H5709">
        <v>0</v>
      </c>
      <c r="I5709">
        <v>0</v>
      </c>
      <c r="J5709">
        <v>0</v>
      </c>
      <c r="K5709">
        <v>0</v>
      </c>
      <c r="L5709">
        <v>5400000</v>
      </c>
      <c r="M5709">
        <v>5400000</v>
      </c>
      <c r="N5709">
        <v>5400000</v>
      </c>
      <c r="O5709">
        <v>5400000</v>
      </c>
      <c r="P5709">
        <v>5400000</v>
      </c>
      <c r="Q5709">
        <v>5400000</v>
      </c>
      <c r="R5709" s="14">
        <f>_xlfn.XLOOKUP(Table2[[#This Row],[LoanID]],Table1[G-L ID],Table1[ManagerCode],-99)</f>
        <v>119</v>
      </c>
      <c r="T5709"/>
    </row>
    <row r="5710" spans="1:20" x14ac:dyDescent="0.25">
      <c r="A5710">
        <v>20170630</v>
      </c>
      <c r="B5710">
        <v>2017</v>
      </c>
      <c r="C5710">
        <v>6</v>
      </c>
      <c r="D5710">
        <v>1</v>
      </c>
      <c r="E5710">
        <v>10330</v>
      </c>
      <c r="F5710">
        <v>76533.66</v>
      </c>
      <c r="G5710">
        <v>0</v>
      </c>
      <c r="H5710">
        <v>0</v>
      </c>
      <c r="I5710">
        <v>0</v>
      </c>
      <c r="J5710">
        <v>0</v>
      </c>
      <c r="K5710">
        <v>0</v>
      </c>
      <c r="L5710">
        <v>8652759.6999999993</v>
      </c>
      <c r="M5710">
        <v>8652759.6999999993</v>
      </c>
      <c r="N5710">
        <v>8652759.6999999993</v>
      </c>
      <c r="O5710">
        <v>8652759.6999999993</v>
      </c>
      <c r="P5710">
        <v>8652759.6999999993</v>
      </c>
      <c r="Q5710">
        <v>8652759.6999999993</v>
      </c>
      <c r="R5710" s="14">
        <f>_xlfn.XLOOKUP(Table2[[#This Row],[LoanID]],Table1[G-L ID],Table1[ManagerCode],-99)</f>
        <v>119</v>
      </c>
      <c r="T5710"/>
    </row>
    <row r="5711" spans="1:20" x14ac:dyDescent="0.25">
      <c r="A5711">
        <v>20170630</v>
      </c>
      <c r="B5711">
        <v>2017</v>
      </c>
      <c r="C5711">
        <v>6</v>
      </c>
      <c r="D5711">
        <v>1</v>
      </c>
      <c r="E5711">
        <v>10350</v>
      </c>
      <c r="F5711">
        <v>186861.11</v>
      </c>
      <c r="G5711">
        <v>0</v>
      </c>
      <c r="H5711">
        <v>0</v>
      </c>
      <c r="I5711">
        <v>0</v>
      </c>
      <c r="J5711">
        <v>0</v>
      </c>
      <c r="K5711">
        <v>0</v>
      </c>
      <c r="L5711">
        <v>24800000</v>
      </c>
      <c r="M5711">
        <v>24800000</v>
      </c>
      <c r="N5711">
        <v>24800000</v>
      </c>
      <c r="O5711">
        <v>24800000</v>
      </c>
      <c r="P5711">
        <v>24800000</v>
      </c>
      <c r="Q5711">
        <v>24800000</v>
      </c>
      <c r="R5711" s="14">
        <f>_xlfn.XLOOKUP(Table2[[#This Row],[LoanID]],Table1[G-L ID],Table1[ManagerCode],-99)</f>
        <v>220</v>
      </c>
      <c r="T5711"/>
    </row>
    <row r="5712" spans="1:20" x14ac:dyDescent="0.25">
      <c r="A5712">
        <v>20170630</v>
      </c>
      <c r="B5712">
        <v>2017</v>
      </c>
      <c r="C5712">
        <v>6</v>
      </c>
      <c r="D5712">
        <v>1</v>
      </c>
      <c r="E5712">
        <v>10360</v>
      </c>
      <c r="F5712">
        <v>57858.96</v>
      </c>
      <c r="G5712">
        <v>0</v>
      </c>
      <c r="H5712">
        <v>0</v>
      </c>
      <c r="I5712">
        <v>0</v>
      </c>
      <c r="J5712">
        <v>0</v>
      </c>
      <c r="K5712">
        <v>0</v>
      </c>
      <c r="L5712">
        <v>5909000</v>
      </c>
      <c r="M5712">
        <v>5909000</v>
      </c>
      <c r="N5712">
        <v>5909000</v>
      </c>
      <c r="O5712">
        <v>5909000</v>
      </c>
      <c r="P5712">
        <v>5909000</v>
      </c>
      <c r="Q5712">
        <v>5909000</v>
      </c>
      <c r="R5712" s="14">
        <f>_xlfn.XLOOKUP(Table2[[#This Row],[LoanID]],Table1[G-L ID],Table1[ManagerCode],-99)</f>
        <v>183</v>
      </c>
      <c r="T5712"/>
    </row>
    <row r="5713" spans="1:20" x14ac:dyDescent="0.25">
      <c r="A5713">
        <v>20170630</v>
      </c>
      <c r="B5713">
        <v>2017</v>
      </c>
      <c r="C5713">
        <v>6</v>
      </c>
      <c r="D5713">
        <v>1</v>
      </c>
      <c r="E5713">
        <v>10410</v>
      </c>
      <c r="F5713">
        <v>175696.87</v>
      </c>
      <c r="G5713">
        <v>0</v>
      </c>
      <c r="H5713">
        <v>0</v>
      </c>
      <c r="I5713">
        <v>0</v>
      </c>
      <c r="J5713">
        <v>0</v>
      </c>
      <c r="K5713">
        <v>28619439.530000001</v>
      </c>
      <c r="L5713">
        <v>28619439.530000001</v>
      </c>
      <c r="M5713">
        <v>0</v>
      </c>
      <c r="N5713">
        <v>28619439.530000001</v>
      </c>
      <c r="O5713">
        <v>0</v>
      </c>
      <c r="P5713">
        <v>28619439.530000001</v>
      </c>
      <c r="Q5713">
        <v>0</v>
      </c>
      <c r="R5713" s="14">
        <f>_xlfn.XLOOKUP(Table2[[#This Row],[LoanID]],Table1[G-L ID],Table1[ManagerCode],-99)</f>
        <v>183</v>
      </c>
      <c r="T5713"/>
    </row>
    <row r="5714" spans="1:20" x14ac:dyDescent="0.25">
      <c r="A5714">
        <v>20170630</v>
      </c>
      <c r="B5714">
        <v>2017</v>
      </c>
      <c r="C5714">
        <v>6</v>
      </c>
      <c r="D5714">
        <v>1</v>
      </c>
      <c r="E5714">
        <v>10480</v>
      </c>
      <c r="F5714">
        <v>171373.74</v>
      </c>
      <c r="G5714">
        <v>0</v>
      </c>
      <c r="H5714">
        <v>0</v>
      </c>
      <c r="I5714">
        <v>0</v>
      </c>
      <c r="J5714">
        <v>-244315</v>
      </c>
      <c r="K5714">
        <v>0</v>
      </c>
      <c r="L5714">
        <v>21136483.620000001</v>
      </c>
      <c r="M5714">
        <v>21380798.620000001</v>
      </c>
      <c r="N5714">
        <v>21136483.620000001</v>
      </c>
      <c r="O5714">
        <v>21380798.620000001</v>
      </c>
      <c r="P5714">
        <v>21136483.620000001</v>
      </c>
      <c r="Q5714">
        <v>21380798.620000001</v>
      </c>
      <c r="R5714" s="14">
        <f>_xlfn.XLOOKUP(Table2[[#This Row],[LoanID]],Table1[G-L ID],Table1[ManagerCode],-99)</f>
        <v>119</v>
      </c>
      <c r="T5714"/>
    </row>
    <row r="5715" spans="1:20" x14ac:dyDescent="0.25">
      <c r="A5715">
        <v>20170630</v>
      </c>
      <c r="B5715">
        <v>2017</v>
      </c>
      <c r="C5715">
        <v>6</v>
      </c>
      <c r="D5715">
        <v>1</v>
      </c>
      <c r="E5715">
        <v>10500</v>
      </c>
      <c r="F5715">
        <v>181809.27</v>
      </c>
      <c r="G5715">
        <v>0</v>
      </c>
      <c r="H5715">
        <v>0</v>
      </c>
      <c r="I5715">
        <v>0</v>
      </c>
      <c r="J5715">
        <v>0</v>
      </c>
      <c r="K5715">
        <v>0</v>
      </c>
      <c r="L5715">
        <v>19211405.440000001</v>
      </c>
      <c r="M5715">
        <v>19211405.440000001</v>
      </c>
      <c r="N5715">
        <v>19211405.440000001</v>
      </c>
      <c r="O5715">
        <v>19211405.440000001</v>
      </c>
      <c r="P5715">
        <v>19211405.440000001</v>
      </c>
      <c r="Q5715">
        <v>19211405.440000001</v>
      </c>
      <c r="R5715" s="14">
        <f>_xlfn.XLOOKUP(Table2[[#This Row],[LoanID]],Table1[G-L ID],Table1[ManagerCode],-99)</f>
        <v>119</v>
      </c>
      <c r="T5715"/>
    </row>
    <row r="5716" spans="1:20" x14ac:dyDescent="0.25">
      <c r="A5716">
        <v>20170630</v>
      </c>
      <c r="B5716">
        <v>2017</v>
      </c>
      <c r="C5716">
        <v>6</v>
      </c>
      <c r="D5716">
        <v>1</v>
      </c>
      <c r="E5716">
        <v>10620</v>
      </c>
      <c r="F5716">
        <v>115300.89</v>
      </c>
      <c r="G5716">
        <v>0</v>
      </c>
      <c r="H5716">
        <v>0</v>
      </c>
      <c r="I5716">
        <v>0</v>
      </c>
      <c r="J5716">
        <v>0</v>
      </c>
      <c r="K5716">
        <v>0</v>
      </c>
      <c r="L5716">
        <v>11469398.189999999</v>
      </c>
      <c r="M5716">
        <v>11469398.189999999</v>
      </c>
      <c r="N5716">
        <v>11469398.189999999</v>
      </c>
      <c r="O5716">
        <v>11469398.189999999</v>
      </c>
      <c r="P5716">
        <v>11469398.189999999</v>
      </c>
      <c r="Q5716">
        <v>11469398.189999999</v>
      </c>
      <c r="R5716" s="14">
        <f>_xlfn.XLOOKUP(Table2[[#This Row],[LoanID]],Table1[G-L ID],Table1[ManagerCode],-99)</f>
        <v>119</v>
      </c>
      <c r="T5716"/>
    </row>
    <row r="5717" spans="1:20" x14ac:dyDescent="0.25">
      <c r="A5717">
        <v>20170630</v>
      </c>
      <c r="B5717">
        <v>2017</v>
      </c>
      <c r="C5717">
        <v>6</v>
      </c>
      <c r="D5717">
        <v>1</v>
      </c>
      <c r="E5717">
        <v>10670</v>
      </c>
      <c r="F5717">
        <v>273575</v>
      </c>
      <c r="G5717">
        <v>0</v>
      </c>
      <c r="H5717">
        <v>0</v>
      </c>
      <c r="I5717">
        <v>0</v>
      </c>
      <c r="J5717">
        <v>0</v>
      </c>
      <c r="K5717">
        <v>0</v>
      </c>
      <c r="L5717">
        <v>30000000</v>
      </c>
      <c r="M5717">
        <v>30000000</v>
      </c>
      <c r="N5717">
        <v>30000000</v>
      </c>
      <c r="O5717">
        <v>30000000</v>
      </c>
      <c r="P5717">
        <v>30000000</v>
      </c>
      <c r="Q5717">
        <v>30000000</v>
      </c>
      <c r="R5717" s="14">
        <f>_xlfn.XLOOKUP(Table2[[#This Row],[LoanID]],Table1[G-L ID],Table1[ManagerCode],-99)</f>
        <v>119</v>
      </c>
      <c r="T5717"/>
    </row>
    <row r="5718" spans="1:20" x14ac:dyDescent="0.25">
      <c r="A5718">
        <v>20170630</v>
      </c>
      <c r="B5718">
        <v>2017</v>
      </c>
      <c r="C5718">
        <v>6</v>
      </c>
      <c r="D5718">
        <v>1</v>
      </c>
      <c r="E5718">
        <v>10680</v>
      </c>
      <c r="F5718">
        <v>103757.1</v>
      </c>
      <c r="G5718">
        <v>0</v>
      </c>
      <c r="H5718">
        <v>0</v>
      </c>
      <c r="I5718">
        <v>0</v>
      </c>
      <c r="J5718">
        <v>0</v>
      </c>
      <c r="K5718">
        <v>0</v>
      </c>
      <c r="L5718">
        <v>11442088.51</v>
      </c>
      <c r="M5718">
        <v>11442088.51</v>
      </c>
      <c r="N5718">
        <v>11442088.51</v>
      </c>
      <c r="O5718">
        <v>11442088.51</v>
      </c>
      <c r="P5718">
        <v>11442088.51</v>
      </c>
      <c r="Q5718">
        <v>11442088.51</v>
      </c>
      <c r="R5718" s="14">
        <f>_xlfn.XLOOKUP(Table2[[#This Row],[LoanID]],Table1[G-L ID],Table1[ManagerCode],-99)</f>
        <v>119</v>
      </c>
      <c r="T5718"/>
    </row>
    <row r="5719" spans="1:20" x14ac:dyDescent="0.25">
      <c r="A5719">
        <v>20170630</v>
      </c>
      <c r="B5719">
        <v>2017</v>
      </c>
      <c r="C5719">
        <v>6</v>
      </c>
      <c r="D5719">
        <v>1</v>
      </c>
      <c r="E5719">
        <v>10730</v>
      </c>
      <c r="F5719">
        <v>103569</v>
      </c>
      <c r="G5719">
        <v>0</v>
      </c>
      <c r="H5719">
        <v>0</v>
      </c>
      <c r="I5719">
        <v>0</v>
      </c>
      <c r="J5719">
        <v>0</v>
      </c>
      <c r="K5719">
        <v>0</v>
      </c>
      <c r="L5719">
        <v>9500000</v>
      </c>
      <c r="M5719">
        <v>9500000</v>
      </c>
      <c r="N5719">
        <v>9500000</v>
      </c>
      <c r="O5719">
        <v>9500000</v>
      </c>
      <c r="P5719">
        <v>9500000</v>
      </c>
      <c r="Q5719">
        <v>9500000</v>
      </c>
      <c r="R5719" s="14">
        <f>_xlfn.XLOOKUP(Table2[[#This Row],[LoanID]],Table1[G-L ID],Table1[ManagerCode],-99)</f>
        <v>119</v>
      </c>
      <c r="T5719"/>
    </row>
    <row r="5720" spans="1:20" x14ac:dyDescent="0.25">
      <c r="A5720">
        <v>20170630</v>
      </c>
      <c r="B5720">
        <v>2017</v>
      </c>
      <c r="C5720">
        <v>6</v>
      </c>
      <c r="D5720">
        <v>1</v>
      </c>
      <c r="E5720">
        <v>10750</v>
      </c>
      <c r="F5720">
        <v>79850.880000000005</v>
      </c>
      <c r="G5720">
        <v>0</v>
      </c>
      <c r="H5720">
        <v>0</v>
      </c>
      <c r="I5720">
        <v>0</v>
      </c>
      <c r="J5720">
        <v>0</v>
      </c>
      <c r="K5720">
        <v>0</v>
      </c>
      <c r="L5720">
        <v>8939713.5199999996</v>
      </c>
      <c r="M5720">
        <v>8939713.5199999996</v>
      </c>
      <c r="N5720">
        <v>8939713.5199999996</v>
      </c>
      <c r="O5720">
        <v>8939713.5199999996</v>
      </c>
      <c r="P5720">
        <v>8939713.5199999996</v>
      </c>
      <c r="Q5720">
        <v>8939713.5199999996</v>
      </c>
      <c r="R5720" s="14">
        <f>_xlfn.XLOOKUP(Table2[[#This Row],[LoanID]],Table1[G-L ID],Table1[ManagerCode],-99)</f>
        <v>119</v>
      </c>
      <c r="T5720"/>
    </row>
    <row r="5721" spans="1:20" x14ac:dyDescent="0.25">
      <c r="A5721">
        <v>20170630</v>
      </c>
      <c r="B5721">
        <v>2017</v>
      </c>
      <c r="C5721">
        <v>6</v>
      </c>
      <c r="D5721">
        <v>1</v>
      </c>
      <c r="E5721">
        <v>10780</v>
      </c>
      <c r="F5721">
        <v>341597.45</v>
      </c>
      <c r="G5721">
        <v>0</v>
      </c>
      <c r="H5721">
        <v>0</v>
      </c>
      <c r="I5721">
        <v>0</v>
      </c>
      <c r="J5721">
        <v>0</v>
      </c>
      <c r="K5721">
        <v>0</v>
      </c>
      <c r="L5721">
        <v>42932230</v>
      </c>
      <c r="M5721">
        <v>42932230</v>
      </c>
      <c r="N5721">
        <v>42932230</v>
      </c>
      <c r="O5721">
        <v>42932230</v>
      </c>
      <c r="P5721">
        <v>42932230</v>
      </c>
      <c r="Q5721">
        <v>42932230</v>
      </c>
      <c r="R5721" s="14">
        <f>_xlfn.XLOOKUP(Table2[[#This Row],[LoanID]],Table1[G-L ID],Table1[ManagerCode],-99)</f>
        <v>220</v>
      </c>
      <c r="T5721"/>
    </row>
    <row r="5722" spans="1:20" x14ac:dyDescent="0.25">
      <c r="A5722">
        <v>20170630</v>
      </c>
      <c r="B5722">
        <v>2017</v>
      </c>
      <c r="C5722">
        <v>6</v>
      </c>
      <c r="D5722">
        <v>1</v>
      </c>
      <c r="E5722">
        <v>10800</v>
      </c>
      <c r="F5722">
        <v>433586.67</v>
      </c>
      <c r="G5722">
        <v>0</v>
      </c>
      <c r="H5722">
        <v>0</v>
      </c>
      <c r="I5722">
        <v>0</v>
      </c>
      <c r="J5722">
        <v>0</v>
      </c>
      <c r="K5722">
        <v>0</v>
      </c>
      <c r="L5722">
        <v>48000000</v>
      </c>
      <c r="M5722">
        <v>48000000</v>
      </c>
      <c r="N5722">
        <v>48000000</v>
      </c>
      <c r="O5722">
        <v>48000000</v>
      </c>
      <c r="P5722">
        <v>48000000</v>
      </c>
      <c r="Q5722">
        <v>48000000</v>
      </c>
      <c r="R5722" s="14">
        <f>_xlfn.XLOOKUP(Table2[[#This Row],[LoanID]],Table1[G-L ID],Table1[ManagerCode],-99)</f>
        <v>220</v>
      </c>
      <c r="T5722"/>
    </row>
    <row r="5723" spans="1:20" x14ac:dyDescent="0.25">
      <c r="A5723">
        <v>20170630</v>
      </c>
      <c r="B5723">
        <v>2017</v>
      </c>
      <c r="C5723">
        <v>6</v>
      </c>
      <c r="D5723">
        <v>1</v>
      </c>
      <c r="E5723">
        <v>10810</v>
      </c>
      <c r="F5723">
        <v>92029.49</v>
      </c>
      <c r="G5723">
        <v>0</v>
      </c>
      <c r="H5723">
        <v>0</v>
      </c>
      <c r="I5723">
        <v>0</v>
      </c>
      <c r="J5723">
        <v>-161635.21</v>
      </c>
      <c r="K5723">
        <v>0</v>
      </c>
      <c r="L5723">
        <v>10574646.35</v>
      </c>
      <c r="M5723">
        <v>10736281.560000001</v>
      </c>
      <c r="N5723">
        <v>10574646.35</v>
      </c>
      <c r="O5723">
        <v>10736281.560000001</v>
      </c>
      <c r="P5723">
        <v>10574646.35</v>
      </c>
      <c r="Q5723">
        <v>10736281.560000001</v>
      </c>
      <c r="R5723" s="14">
        <f>_xlfn.XLOOKUP(Table2[[#This Row],[LoanID]],Table1[G-L ID],Table1[ManagerCode],-99)</f>
        <v>119</v>
      </c>
      <c r="T5723"/>
    </row>
    <row r="5724" spans="1:20" x14ac:dyDescent="0.25">
      <c r="A5724">
        <v>20170630</v>
      </c>
      <c r="B5724">
        <v>2017</v>
      </c>
      <c r="C5724">
        <v>6</v>
      </c>
      <c r="D5724">
        <v>1</v>
      </c>
      <c r="E5724">
        <v>10820</v>
      </c>
      <c r="F5724">
        <v>197375.03</v>
      </c>
      <c r="G5724">
        <v>0</v>
      </c>
      <c r="H5724">
        <v>0</v>
      </c>
      <c r="I5724">
        <v>0</v>
      </c>
      <c r="J5724">
        <v>0</v>
      </c>
      <c r="K5724">
        <v>0</v>
      </c>
      <c r="L5724">
        <v>24127338</v>
      </c>
      <c r="M5724">
        <v>24127338</v>
      </c>
      <c r="N5724">
        <v>24127338</v>
      </c>
      <c r="O5724">
        <v>24127338</v>
      </c>
      <c r="P5724">
        <v>24127337.739999998</v>
      </c>
      <c r="Q5724">
        <v>24127337.739999998</v>
      </c>
      <c r="R5724" s="14">
        <f>_xlfn.XLOOKUP(Table2[[#This Row],[LoanID]],Table1[G-L ID],Table1[ManagerCode],-99)</f>
        <v>220</v>
      </c>
      <c r="T5724"/>
    </row>
    <row r="5725" spans="1:20" x14ac:dyDescent="0.25">
      <c r="A5725">
        <v>20170630</v>
      </c>
      <c r="B5725">
        <v>2017</v>
      </c>
      <c r="C5725">
        <v>6</v>
      </c>
      <c r="D5725">
        <v>1</v>
      </c>
      <c r="E5725">
        <v>10830</v>
      </c>
      <c r="F5725">
        <v>63857.77</v>
      </c>
      <c r="G5725">
        <v>0</v>
      </c>
      <c r="H5725">
        <v>0</v>
      </c>
      <c r="I5725">
        <v>0</v>
      </c>
      <c r="J5725">
        <v>0</v>
      </c>
      <c r="K5725">
        <v>0</v>
      </c>
      <c r="L5725">
        <v>7806043.1399999997</v>
      </c>
      <c r="M5725">
        <v>7806043.1399999997</v>
      </c>
      <c r="N5725">
        <v>7806043.1399999997</v>
      </c>
      <c r="O5725">
        <v>7806043.1399999997</v>
      </c>
      <c r="P5725">
        <v>7806043.1399999997</v>
      </c>
      <c r="Q5725">
        <v>7806043.1399999997</v>
      </c>
      <c r="R5725" s="14">
        <f>_xlfn.XLOOKUP(Table2[[#This Row],[LoanID]],Table1[G-L ID],Table1[ManagerCode],-99)</f>
        <v>220</v>
      </c>
      <c r="T5725"/>
    </row>
    <row r="5726" spans="1:20" x14ac:dyDescent="0.25">
      <c r="A5726">
        <v>20170630</v>
      </c>
      <c r="B5726">
        <v>2017</v>
      </c>
      <c r="C5726">
        <v>6</v>
      </c>
      <c r="D5726">
        <v>1</v>
      </c>
      <c r="E5726">
        <v>10840</v>
      </c>
      <c r="F5726">
        <v>103968.23</v>
      </c>
      <c r="G5726">
        <v>0</v>
      </c>
      <c r="H5726">
        <v>0</v>
      </c>
      <c r="I5726">
        <v>0</v>
      </c>
      <c r="J5726">
        <v>0</v>
      </c>
      <c r="K5726">
        <v>0</v>
      </c>
      <c r="L5726">
        <v>12709189</v>
      </c>
      <c r="M5726">
        <v>12709189</v>
      </c>
      <c r="N5726">
        <v>12709189</v>
      </c>
      <c r="O5726">
        <v>12709189</v>
      </c>
      <c r="P5726">
        <v>12709189</v>
      </c>
      <c r="Q5726">
        <v>12709189</v>
      </c>
      <c r="R5726" s="14">
        <f>_xlfn.XLOOKUP(Table2[[#This Row],[LoanID]],Table1[G-L ID],Table1[ManagerCode],-99)</f>
        <v>220</v>
      </c>
      <c r="T5726"/>
    </row>
    <row r="5727" spans="1:20" x14ac:dyDescent="0.25">
      <c r="A5727">
        <v>20170630</v>
      </c>
      <c r="B5727">
        <v>2017</v>
      </c>
      <c r="C5727">
        <v>6</v>
      </c>
      <c r="D5727">
        <v>1</v>
      </c>
      <c r="E5727">
        <v>10850</v>
      </c>
      <c r="F5727">
        <v>110534.78</v>
      </c>
      <c r="G5727">
        <v>0</v>
      </c>
      <c r="H5727">
        <v>0</v>
      </c>
      <c r="I5727">
        <v>0</v>
      </c>
      <c r="J5727">
        <v>0</v>
      </c>
      <c r="K5727">
        <v>0</v>
      </c>
      <c r="L5727">
        <v>13511892</v>
      </c>
      <c r="M5727">
        <v>13511892</v>
      </c>
      <c r="N5727">
        <v>13511892</v>
      </c>
      <c r="O5727">
        <v>13511892</v>
      </c>
      <c r="P5727">
        <v>13511892</v>
      </c>
      <c r="Q5727">
        <v>13511892</v>
      </c>
      <c r="R5727" s="14">
        <f>_xlfn.XLOOKUP(Table2[[#This Row],[LoanID]],Table1[G-L ID],Table1[ManagerCode],-99)</f>
        <v>220</v>
      </c>
      <c r="T5727"/>
    </row>
    <row r="5728" spans="1:20" x14ac:dyDescent="0.25">
      <c r="A5728">
        <v>20170630</v>
      </c>
      <c r="B5728">
        <v>2017</v>
      </c>
      <c r="C5728">
        <v>6</v>
      </c>
      <c r="D5728">
        <v>1</v>
      </c>
      <c r="E5728">
        <v>10890</v>
      </c>
      <c r="F5728">
        <v>113241.86</v>
      </c>
      <c r="G5728">
        <v>95233.2</v>
      </c>
      <c r="H5728">
        <v>0</v>
      </c>
      <c r="I5728">
        <v>0</v>
      </c>
      <c r="J5728">
        <v>-113241.86</v>
      </c>
      <c r="K5728">
        <v>0</v>
      </c>
      <c r="L5728">
        <v>22742740.48</v>
      </c>
      <c r="M5728">
        <v>22951215.539999999</v>
      </c>
      <c r="N5728">
        <v>22742740.48</v>
      </c>
      <c r="O5728">
        <v>22951215.539999999</v>
      </c>
      <c r="P5728">
        <v>22742740.48</v>
      </c>
      <c r="Q5728">
        <v>22951215.539999999</v>
      </c>
      <c r="R5728" s="14">
        <f>_xlfn.XLOOKUP(Table2[[#This Row],[LoanID]],Table1[G-L ID],Table1[ManagerCode],-99)</f>
        <v>183</v>
      </c>
      <c r="T5728"/>
    </row>
    <row r="5729" spans="1:20" x14ac:dyDescent="0.25">
      <c r="A5729">
        <v>20170630</v>
      </c>
      <c r="B5729">
        <v>2017</v>
      </c>
      <c r="C5729">
        <v>6</v>
      </c>
      <c r="D5729">
        <v>1</v>
      </c>
      <c r="E5729">
        <v>10910</v>
      </c>
      <c r="F5729">
        <v>189913.75</v>
      </c>
      <c r="G5729">
        <v>0</v>
      </c>
      <c r="H5729">
        <v>0</v>
      </c>
      <c r="I5729">
        <v>0</v>
      </c>
      <c r="J5729">
        <v>0</v>
      </c>
      <c r="K5729">
        <v>0</v>
      </c>
      <c r="L5729">
        <v>22500000</v>
      </c>
      <c r="M5729">
        <v>22500000</v>
      </c>
      <c r="N5729">
        <v>22500000</v>
      </c>
      <c r="O5729">
        <v>22500000</v>
      </c>
      <c r="P5729">
        <v>22500000</v>
      </c>
      <c r="Q5729">
        <v>22500000</v>
      </c>
      <c r="R5729" s="14">
        <f>_xlfn.XLOOKUP(Table2[[#This Row],[LoanID]],Table1[G-L ID],Table1[ManagerCode],-99)</f>
        <v>119</v>
      </c>
      <c r="T5729"/>
    </row>
    <row r="5730" spans="1:20" x14ac:dyDescent="0.25">
      <c r="A5730">
        <v>20170630</v>
      </c>
      <c r="B5730">
        <v>2017</v>
      </c>
      <c r="C5730">
        <v>6</v>
      </c>
      <c r="D5730">
        <v>1</v>
      </c>
      <c r="E5730">
        <v>10930</v>
      </c>
      <c r="F5730">
        <v>0</v>
      </c>
      <c r="G5730">
        <v>188738.21</v>
      </c>
      <c r="H5730">
        <v>0</v>
      </c>
      <c r="I5730">
        <v>0</v>
      </c>
      <c r="J5730">
        <v>0</v>
      </c>
      <c r="K5730">
        <v>0</v>
      </c>
      <c r="L5730">
        <v>17663961.079999998</v>
      </c>
      <c r="M5730">
        <v>17852699.289999999</v>
      </c>
      <c r="N5730">
        <v>17663961.079999998</v>
      </c>
      <c r="O5730">
        <v>17852699.289999999</v>
      </c>
      <c r="P5730">
        <v>17663961.079999998</v>
      </c>
      <c r="Q5730">
        <v>17852699.289999999</v>
      </c>
      <c r="R5730" s="14">
        <f>_xlfn.XLOOKUP(Table2[[#This Row],[LoanID]],Table1[G-L ID],Table1[ManagerCode],-99)</f>
        <v>183</v>
      </c>
      <c r="T5730"/>
    </row>
    <row r="5731" spans="1:20" x14ac:dyDescent="0.25">
      <c r="A5731">
        <v>20170630</v>
      </c>
      <c r="B5731">
        <v>2017</v>
      </c>
      <c r="C5731">
        <v>6</v>
      </c>
      <c r="D5731">
        <v>1</v>
      </c>
      <c r="E5731">
        <v>10970</v>
      </c>
      <c r="F5731">
        <v>22667.73</v>
      </c>
      <c r="G5731">
        <v>24811.72</v>
      </c>
      <c r="H5731">
        <v>0</v>
      </c>
      <c r="I5731">
        <v>0</v>
      </c>
      <c r="J5731">
        <v>-22667.73</v>
      </c>
      <c r="K5731">
        <v>0</v>
      </c>
      <c r="L5731">
        <v>4572124.42</v>
      </c>
      <c r="M5731">
        <v>4619603.87</v>
      </c>
      <c r="N5731">
        <v>4572124.42</v>
      </c>
      <c r="O5731">
        <v>4619603.87</v>
      </c>
      <c r="P5731">
        <v>4572124.42</v>
      </c>
      <c r="Q5731">
        <v>4619603.87</v>
      </c>
      <c r="R5731" s="14">
        <f>_xlfn.XLOOKUP(Table2[[#This Row],[LoanID]],Table1[G-L ID],Table1[ManagerCode],-99)</f>
        <v>183</v>
      </c>
      <c r="T5731"/>
    </row>
    <row r="5732" spans="1:20" x14ac:dyDescent="0.25">
      <c r="A5732">
        <v>20170630</v>
      </c>
      <c r="B5732">
        <v>2017</v>
      </c>
      <c r="C5732">
        <v>6</v>
      </c>
      <c r="D5732">
        <v>1</v>
      </c>
      <c r="E5732">
        <v>11010</v>
      </c>
      <c r="F5732">
        <v>450028.89</v>
      </c>
      <c r="G5732">
        <v>0</v>
      </c>
      <c r="H5732">
        <v>0</v>
      </c>
      <c r="I5732">
        <v>0</v>
      </c>
      <c r="J5732">
        <v>0</v>
      </c>
      <c r="K5732">
        <v>26500000</v>
      </c>
      <c r="L5732">
        <v>26500000</v>
      </c>
      <c r="M5732">
        <v>0</v>
      </c>
      <c r="N5732">
        <v>26500000</v>
      </c>
      <c r="O5732">
        <v>0</v>
      </c>
      <c r="P5732">
        <v>26500000</v>
      </c>
      <c r="Q5732">
        <v>0</v>
      </c>
      <c r="R5732" s="14">
        <f>_xlfn.XLOOKUP(Table2[[#This Row],[LoanID]],Table1[G-L ID],Table1[ManagerCode],-99)</f>
        <v>119</v>
      </c>
      <c r="T5732"/>
    </row>
    <row r="5733" spans="1:20" x14ac:dyDescent="0.25">
      <c r="A5733">
        <v>20170630</v>
      </c>
      <c r="B5733">
        <v>2017</v>
      </c>
      <c r="C5733">
        <v>6</v>
      </c>
      <c r="D5733">
        <v>1</v>
      </c>
      <c r="E5733">
        <v>11060</v>
      </c>
      <c r="F5733">
        <v>195300.36</v>
      </c>
      <c r="G5733">
        <v>0</v>
      </c>
      <c r="H5733">
        <v>0</v>
      </c>
      <c r="I5733">
        <v>0</v>
      </c>
      <c r="J5733">
        <v>0</v>
      </c>
      <c r="K5733">
        <v>0</v>
      </c>
      <c r="L5733">
        <v>22000000</v>
      </c>
      <c r="M5733">
        <v>22000000</v>
      </c>
      <c r="N5733">
        <v>22000000</v>
      </c>
      <c r="O5733">
        <v>22000000</v>
      </c>
      <c r="P5733">
        <v>22000000</v>
      </c>
      <c r="Q5733">
        <v>22000000</v>
      </c>
      <c r="R5733" s="14">
        <f>_xlfn.XLOOKUP(Table2[[#This Row],[LoanID]],Table1[G-L ID],Table1[ManagerCode],-99)</f>
        <v>119</v>
      </c>
      <c r="T5733"/>
    </row>
    <row r="5734" spans="1:20" x14ac:dyDescent="0.25">
      <c r="A5734">
        <v>20170630</v>
      </c>
      <c r="B5734">
        <v>2017</v>
      </c>
      <c r="C5734">
        <v>6</v>
      </c>
      <c r="D5734">
        <v>1</v>
      </c>
      <c r="E5734">
        <v>11080</v>
      </c>
      <c r="F5734">
        <v>353568.5</v>
      </c>
      <c r="G5734">
        <v>0</v>
      </c>
      <c r="H5734">
        <v>0</v>
      </c>
      <c r="I5734">
        <v>0</v>
      </c>
      <c r="J5734">
        <v>0</v>
      </c>
      <c r="K5734">
        <v>123838.54</v>
      </c>
      <c r="L5734">
        <v>39690253.950000003</v>
      </c>
      <c r="M5734">
        <v>39566415.409999996</v>
      </c>
      <c r="N5734">
        <v>39690253.950000003</v>
      </c>
      <c r="O5734">
        <v>39566415.409999996</v>
      </c>
      <c r="P5734">
        <v>39690253.950000003</v>
      </c>
      <c r="Q5734">
        <v>39566415.409999996</v>
      </c>
      <c r="R5734" s="14">
        <f>_xlfn.XLOOKUP(Table2[[#This Row],[LoanID]],Table1[G-L ID],Table1[ManagerCode],-99)</f>
        <v>119</v>
      </c>
      <c r="T5734"/>
    </row>
    <row r="5735" spans="1:20" x14ac:dyDescent="0.25">
      <c r="A5735">
        <v>20170630</v>
      </c>
      <c r="B5735">
        <v>2017</v>
      </c>
      <c r="C5735">
        <v>6</v>
      </c>
      <c r="D5735">
        <v>1</v>
      </c>
      <c r="E5735">
        <v>11090</v>
      </c>
      <c r="F5735">
        <v>197331.9</v>
      </c>
      <c r="G5735">
        <v>0</v>
      </c>
      <c r="H5735">
        <v>0</v>
      </c>
      <c r="I5735">
        <v>0</v>
      </c>
      <c r="J5735">
        <v>0</v>
      </c>
      <c r="K5735">
        <v>0</v>
      </c>
      <c r="L5735">
        <v>11000000</v>
      </c>
      <c r="M5735">
        <v>11000000</v>
      </c>
      <c r="N5735">
        <v>11000000</v>
      </c>
      <c r="O5735">
        <v>11000000</v>
      </c>
      <c r="P5735">
        <v>11000000</v>
      </c>
      <c r="Q5735">
        <v>11000000</v>
      </c>
      <c r="R5735" s="14">
        <f>_xlfn.XLOOKUP(Table2[[#This Row],[LoanID]],Table1[G-L ID],Table1[ManagerCode],-99)</f>
        <v>119</v>
      </c>
      <c r="T5735"/>
    </row>
    <row r="5736" spans="1:20" x14ac:dyDescent="0.25">
      <c r="A5736">
        <v>20170630</v>
      </c>
      <c r="B5736">
        <v>2017</v>
      </c>
      <c r="C5736">
        <v>6</v>
      </c>
      <c r="D5736">
        <v>1</v>
      </c>
      <c r="E5736">
        <v>11150</v>
      </c>
      <c r="F5736">
        <v>96606.63</v>
      </c>
      <c r="G5736">
        <v>0</v>
      </c>
      <c r="H5736">
        <v>0</v>
      </c>
      <c r="I5736">
        <v>0</v>
      </c>
      <c r="J5736">
        <v>-283692.78000000003</v>
      </c>
      <c r="K5736">
        <v>0</v>
      </c>
      <c r="L5736">
        <v>9264937.6199999992</v>
      </c>
      <c r="M5736">
        <v>9548630.4000000004</v>
      </c>
      <c r="N5736">
        <v>9264937.6199999992</v>
      </c>
      <c r="O5736">
        <v>9548630.4000000004</v>
      </c>
      <c r="P5736">
        <v>9264937.6199999992</v>
      </c>
      <c r="Q5736">
        <v>9548630.4000000004</v>
      </c>
      <c r="R5736" s="14">
        <f>_xlfn.XLOOKUP(Table2[[#This Row],[LoanID]],Table1[G-L ID],Table1[ManagerCode],-99)</f>
        <v>119</v>
      </c>
      <c r="T5736"/>
    </row>
    <row r="5737" spans="1:20" x14ac:dyDescent="0.25">
      <c r="A5737">
        <v>20170630</v>
      </c>
      <c r="B5737">
        <v>2017</v>
      </c>
      <c r="C5737">
        <v>6</v>
      </c>
      <c r="D5737">
        <v>1</v>
      </c>
      <c r="E5737">
        <v>11160</v>
      </c>
      <c r="F5737">
        <v>253003.81</v>
      </c>
      <c r="G5737">
        <v>172847.09</v>
      </c>
      <c r="H5737">
        <v>0</v>
      </c>
      <c r="I5737">
        <v>0</v>
      </c>
      <c r="J5737">
        <v>-627392.94999999995</v>
      </c>
      <c r="K5737">
        <v>243492.25</v>
      </c>
      <c r="L5737">
        <v>76363937.109999999</v>
      </c>
      <c r="M5737">
        <v>77193662.680000007</v>
      </c>
      <c r="N5737">
        <v>54038104.07</v>
      </c>
      <c r="O5737">
        <v>54624337.390000001</v>
      </c>
      <c r="P5737">
        <v>76363937.109999999</v>
      </c>
      <c r="Q5737">
        <v>77193662.680000007</v>
      </c>
      <c r="R5737" s="14">
        <f>_xlfn.XLOOKUP(Table2[[#This Row],[LoanID]],Table1[G-L ID],Table1[ManagerCode],-99)</f>
        <v>183</v>
      </c>
      <c r="T5737"/>
    </row>
    <row r="5738" spans="1:20" x14ac:dyDescent="0.25">
      <c r="A5738">
        <v>20170630</v>
      </c>
      <c r="B5738">
        <v>2017</v>
      </c>
      <c r="C5738">
        <v>6</v>
      </c>
      <c r="D5738">
        <v>1</v>
      </c>
      <c r="E5738">
        <v>11210</v>
      </c>
      <c r="F5738">
        <v>63965.62</v>
      </c>
      <c r="G5738">
        <v>0</v>
      </c>
      <c r="H5738">
        <v>0</v>
      </c>
      <c r="I5738">
        <v>0</v>
      </c>
      <c r="J5738">
        <v>0</v>
      </c>
      <c r="K5738">
        <v>0</v>
      </c>
      <c r="L5738">
        <v>7500000</v>
      </c>
      <c r="M5738">
        <v>7500000</v>
      </c>
      <c r="N5738">
        <v>7500000</v>
      </c>
      <c r="O5738">
        <v>7500000</v>
      </c>
      <c r="P5738">
        <v>7500000</v>
      </c>
      <c r="Q5738">
        <v>7500000</v>
      </c>
      <c r="R5738" s="14">
        <f>_xlfn.XLOOKUP(Table2[[#This Row],[LoanID]],Table1[G-L ID],Table1[ManagerCode],-99)</f>
        <v>119</v>
      </c>
      <c r="T5738"/>
    </row>
    <row r="5739" spans="1:20" x14ac:dyDescent="0.25">
      <c r="A5739">
        <v>20170630</v>
      </c>
      <c r="B5739">
        <v>2017</v>
      </c>
      <c r="C5739">
        <v>6</v>
      </c>
      <c r="D5739">
        <v>1</v>
      </c>
      <c r="E5739">
        <v>11330</v>
      </c>
      <c r="F5739">
        <v>74559.08</v>
      </c>
      <c r="G5739">
        <v>0</v>
      </c>
      <c r="H5739">
        <v>0</v>
      </c>
      <c r="I5739">
        <v>0</v>
      </c>
      <c r="J5739">
        <v>0</v>
      </c>
      <c r="K5739">
        <v>6653107.4800000004</v>
      </c>
      <c r="L5739">
        <v>6653107.4800000004</v>
      </c>
      <c r="M5739">
        <v>0</v>
      </c>
      <c r="N5739">
        <v>6653107.4800000004</v>
      </c>
      <c r="O5739">
        <v>0</v>
      </c>
      <c r="P5739">
        <v>6653107.4800000004</v>
      </c>
      <c r="Q5739">
        <v>0</v>
      </c>
      <c r="R5739" s="14">
        <f>_xlfn.XLOOKUP(Table2[[#This Row],[LoanID]],Table1[G-L ID],Table1[ManagerCode],-99)</f>
        <v>119</v>
      </c>
      <c r="T5739"/>
    </row>
    <row r="5740" spans="1:20" x14ac:dyDescent="0.25">
      <c r="A5740">
        <v>20170630</v>
      </c>
      <c r="B5740">
        <v>2017</v>
      </c>
      <c r="C5740">
        <v>6</v>
      </c>
      <c r="D5740">
        <v>1</v>
      </c>
      <c r="E5740">
        <v>11340</v>
      </c>
      <c r="F5740">
        <v>294578.18</v>
      </c>
      <c r="G5740">
        <v>0</v>
      </c>
      <c r="H5740">
        <v>0</v>
      </c>
      <c r="I5740">
        <v>0</v>
      </c>
      <c r="J5740">
        <v>0</v>
      </c>
      <c r="K5740">
        <v>65217.03</v>
      </c>
      <c r="L5740">
        <v>48381411.409999996</v>
      </c>
      <c r="M5740">
        <v>48316846.520000003</v>
      </c>
      <c r="N5740">
        <v>48381411.409999996</v>
      </c>
      <c r="O5740">
        <v>48316846.520000003</v>
      </c>
      <c r="P5740">
        <v>48870112.520000003</v>
      </c>
      <c r="Q5740">
        <v>48804895.490000002</v>
      </c>
      <c r="R5740" s="14">
        <f>_xlfn.XLOOKUP(Table2[[#This Row],[LoanID]],Table1[G-L ID],Table1[ManagerCode],-99)</f>
        <v>103</v>
      </c>
      <c r="T5740"/>
    </row>
    <row r="5741" spans="1:20" x14ac:dyDescent="0.25">
      <c r="A5741">
        <v>20170630</v>
      </c>
      <c r="B5741">
        <v>2017</v>
      </c>
      <c r="C5741">
        <v>6</v>
      </c>
      <c r="D5741">
        <v>1</v>
      </c>
      <c r="E5741">
        <v>11350</v>
      </c>
      <c r="F5741">
        <v>301388.89</v>
      </c>
      <c r="G5741">
        <v>0</v>
      </c>
      <c r="H5741">
        <v>0</v>
      </c>
      <c r="I5741">
        <v>0</v>
      </c>
      <c r="J5741">
        <v>0</v>
      </c>
      <c r="K5741">
        <v>0</v>
      </c>
      <c r="L5741">
        <v>54449945.549999997</v>
      </c>
      <c r="M5741">
        <v>54449945.549999997</v>
      </c>
      <c r="N5741">
        <v>54449945.549999997</v>
      </c>
      <c r="O5741">
        <v>54449945.549999997</v>
      </c>
      <c r="P5741">
        <v>55000000</v>
      </c>
      <c r="Q5741">
        <v>55000000</v>
      </c>
      <c r="R5741" s="14">
        <f>_xlfn.XLOOKUP(Table2[[#This Row],[LoanID]],Table1[G-L ID],Table1[ManagerCode],-99)</f>
        <v>103</v>
      </c>
      <c r="T5741"/>
    </row>
    <row r="5742" spans="1:20" x14ac:dyDescent="0.25">
      <c r="A5742">
        <v>20170630</v>
      </c>
      <c r="B5742">
        <v>2017</v>
      </c>
      <c r="C5742">
        <v>6</v>
      </c>
      <c r="D5742">
        <v>1</v>
      </c>
      <c r="E5742">
        <v>11360</v>
      </c>
      <c r="F5742">
        <v>65347.37</v>
      </c>
      <c r="G5742">
        <v>0</v>
      </c>
      <c r="H5742">
        <v>0</v>
      </c>
      <c r="I5742">
        <v>0</v>
      </c>
      <c r="J5742">
        <v>0</v>
      </c>
      <c r="K5742">
        <v>0</v>
      </c>
      <c r="L5742">
        <v>7537500</v>
      </c>
      <c r="M5742">
        <v>7537500</v>
      </c>
      <c r="N5742">
        <v>7537500</v>
      </c>
      <c r="O5742">
        <v>7537500</v>
      </c>
      <c r="P5742">
        <v>7537500</v>
      </c>
      <c r="Q5742">
        <v>7537500</v>
      </c>
      <c r="R5742" s="14">
        <f>_xlfn.XLOOKUP(Table2[[#This Row],[LoanID]],Table1[G-L ID],Table1[ManagerCode],-99)</f>
        <v>119</v>
      </c>
      <c r="T5742"/>
    </row>
    <row r="5743" spans="1:20" x14ac:dyDescent="0.25">
      <c r="A5743">
        <v>20170630</v>
      </c>
      <c r="B5743">
        <v>2017</v>
      </c>
      <c r="C5743">
        <v>6</v>
      </c>
      <c r="D5743">
        <v>1</v>
      </c>
      <c r="E5743">
        <v>11410</v>
      </c>
      <c r="F5743">
        <v>114596.67</v>
      </c>
      <c r="G5743">
        <v>0</v>
      </c>
      <c r="H5743">
        <v>0</v>
      </c>
      <c r="I5743">
        <v>0</v>
      </c>
      <c r="J5743">
        <v>0</v>
      </c>
      <c r="K5743">
        <v>0</v>
      </c>
      <c r="L5743">
        <v>12000000</v>
      </c>
      <c r="M5743">
        <v>12000000</v>
      </c>
      <c r="N5743">
        <v>12000000</v>
      </c>
      <c r="O5743">
        <v>12000000</v>
      </c>
      <c r="P5743">
        <v>12000000</v>
      </c>
      <c r="Q5743">
        <v>12000000</v>
      </c>
      <c r="R5743" s="14">
        <f>_xlfn.XLOOKUP(Table2[[#This Row],[LoanID]],Table1[G-L ID],Table1[ManagerCode],-99)</f>
        <v>119</v>
      </c>
      <c r="T5743"/>
    </row>
    <row r="5744" spans="1:20" x14ac:dyDescent="0.25">
      <c r="A5744">
        <v>20170630</v>
      </c>
      <c r="B5744">
        <v>2017</v>
      </c>
      <c r="C5744">
        <v>6</v>
      </c>
      <c r="D5744">
        <v>1</v>
      </c>
      <c r="E5744">
        <v>11440</v>
      </c>
      <c r="F5744">
        <v>156250</v>
      </c>
      <c r="G5744">
        <v>0</v>
      </c>
      <c r="H5744">
        <v>0</v>
      </c>
      <c r="I5744">
        <v>0</v>
      </c>
      <c r="J5744">
        <v>0</v>
      </c>
      <c r="K5744">
        <v>0</v>
      </c>
      <c r="L5744">
        <v>18750000</v>
      </c>
      <c r="M5744">
        <v>18750000</v>
      </c>
      <c r="N5744">
        <v>18750000</v>
      </c>
      <c r="O5744">
        <v>18750000</v>
      </c>
      <c r="P5744">
        <v>18750000</v>
      </c>
      <c r="Q5744">
        <v>18750000</v>
      </c>
      <c r="R5744" s="14">
        <f>_xlfn.XLOOKUP(Table2[[#This Row],[LoanID]],Table1[G-L ID],Table1[ManagerCode],-99)</f>
        <v>183</v>
      </c>
      <c r="T5744"/>
    </row>
    <row r="5745" spans="1:20" x14ac:dyDescent="0.25">
      <c r="A5745">
        <v>20170630</v>
      </c>
      <c r="B5745">
        <v>2017</v>
      </c>
      <c r="C5745">
        <v>6</v>
      </c>
      <c r="D5745">
        <v>1</v>
      </c>
      <c r="E5745">
        <v>11450</v>
      </c>
      <c r="F5745">
        <v>134262.82</v>
      </c>
      <c r="G5745">
        <v>0</v>
      </c>
      <c r="H5745">
        <v>0</v>
      </c>
      <c r="I5745">
        <v>0</v>
      </c>
      <c r="J5745">
        <v>-104280.44</v>
      </c>
      <c r="K5745">
        <v>0</v>
      </c>
      <c r="L5745">
        <v>15678040.15</v>
      </c>
      <c r="M5745">
        <v>15782320.59</v>
      </c>
      <c r="N5745">
        <v>15678040.15</v>
      </c>
      <c r="O5745">
        <v>15782320.59</v>
      </c>
      <c r="P5745">
        <v>15678040.15</v>
      </c>
      <c r="Q5745">
        <v>15782320.59</v>
      </c>
      <c r="R5745" s="14">
        <f>_xlfn.XLOOKUP(Table2[[#This Row],[LoanID]],Table1[G-L ID],Table1[ManagerCode],-99)</f>
        <v>119</v>
      </c>
      <c r="T5745"/>
    </row>
    <row r="5746" spans="1:20" x14ac:dyDescent="0.25">
      <c r="A5746">
        <v>20170630</v>
      </c>
      <c r="B5746">
        <v>2017</v>
      </c>
      <c r="C5746">
        <v>6</v>
      </c>
      <c r="D5746">
        <v>1</v>
      </c>
      <c r="E5746">
        <v>11480</v>
      </c>
      <c r="F5746">
        <v>406272.22</v>
      </c>
      <c r="G5746">
        <v>0</v>
      </c>
      <c r="H5746">
        <v>0</v>
      </c>
      <c r="I5746">
        <v>0</v>
      </c>
      <c r="J5746">
        <v>0</v>
      </c>
      <c r="K5746">
        <v>0</v>
      </c>
      <c r="L5746">
        <v>66500000</v>
      </c>
      <c r="M5746">
        <v>66500000</v>
      </c>
      <c r="N5746">
        <v>66500000</v>
      </c>
      <c r="O5746">
        <v>66500000</v>
      </c>
      <c r="P5746">
        <v>70000000</v>
      </c>
      <c r="Q5746">
        <v>70000000</v>
      </c>
      <c r="R5746" s="14">
        <f>_xlfn.XLOOKUP(Table2[[#This Row],[LoanID]],Table1[G-L ID],Table1[ManagerCode],-99)</f>
        <v>103</v>
      </c>
      <c r="T5746"/>
    </row>
    <row r="5747" spans="1:20" x14ac:dyDescent="0.25">
      <c r="A5747">
        <v>20170630</v>
      </c>
      <c r="B5747">
        <v>2017</v>
      </c>
      <c r="C5747">
        <v>6</v>
      </c>
      <c r="D5747">
        <v>1</v>
      </c>
      <c r="E5747">
        <v>11490</v>
      </c>
      <c r="F5747">
        <v>378415.28</v>
      </c>
      <c r="G5747">
        <v>0</v>
      </c>
      <c r="H5747">
        <v>0</v>
      </c>
      <c r="I5747">
        <v>0</v>
      </c>
      <c r="J5747">
        <v>0</v>
      </c>
      <c r="K5747">
        <v>0</v>
      </c>
      <c r="L5747">
        <v>52250000</v>
      </c>
      <c r="M5747">
        <v>52250000</v>
      </c>
      <c r="N5747">
        <v>52250000</v>
      </c>
      <c r="O5747">
        <v>52250000</v>
      </c>
      <c r="P5747">
        <v>55000000</v>
      </c>
      <c r="Q5747">
        <v>55000000</v>
      </c>
      <c r="R5747" s="14">
        <f>_xlfn.XLOOKUP(Table2[[#This Row],[LoanID]],Table1[G-L ID],Table1[ManagerCode],-99)</f>
        <v>103</v>
      </c>
      <c r="T5747"/>
    </row>
    <row r="5748" spans="1:20" x14ac:dyDescent="0.25">
      <c r="A5748">
        <v>20170630</v>
      </c>
      <c r="B5748">
        <v>2017</v>
      </c>
      <c r="C5748">
        <v>6</v>
      </c>
      <c r="D5748">
        <v>1</v>
      </c>
      <c r="E5748">
        <v>11520</v>
      </c>
      <c r="F5748">
        <v>46652.2</v>
      </c>
      <c r="G5748">
        <v>0</v>
      </c>
      <c r="H5748">
        <v>0</v>
      </c>
      <c r="I5748">
        <v>0</v>
      </c>
      <c r="J5748">
        <v>-879599</v>
      </c>
      <c r="K5748">
        <v>0</v>
      </c>
      <c r="L5748">
        <v>7538400.6100000003</v>
      </c>
      <c r="M5748">
        <v>8417999.6099999994</v>
      </c>
      <c r="N5748">
        <v>7538400.6100000003</v>
      </c>
      <c r="O5748">
        <v>8417999.6099999994</v>
      </c>
      <c r="P5748">
        <v>7538400.6100000003</v>
      </c>
      <c r="Q5748">
        <v>8417999.6099999994</v>
      </c>
      <c r="R5748" s="14">
        <f>_xlfn.XLOOKUP(Table2[[#This Row],[LoanID]],Table1[G-L ID],Table1[ManagerCode],-99)</f>
        <v>119</v>
      </c>
      <c r="T5748"/>
    </row>
    <row r="5749" spans="1:20" x14ac:dyDescent="0.25">
      <c r="A5749">
        <v>20170630</v>
      </c>
      <c r="B5749">
        <v>2017</v>
      </c>
      <c r="C5749">
        <v>6</v>
      </c>
      <c r="D5749">
        <v>1</v>
      </c>
      <c r="E5749">
        <v>11530</v>
      </c>
      <c r="F5749">
        <v>131330.56</v>
      </c>
      <c r="G5749">
        <v>0</v>
      </c>
      <c r="H5749">
        <v>0</v>
      </c>
      <c r="I5749">
        <v>0</v>
      </c>
      <c r="J5749">
        <v>0</v>
      </c>
      <c r="K5749">
        <v>0</v>
      </c>
      <c r="L5749">
        <v>14993350.42</v>
      </c>
      <c r="M5749">
        <v>14993350.42</v>
      </c>
      <c r="N5749">
        <v>14993350.42</v>
      </c>
      <c r="O5749">
        <v>14993350.42</v>
      </c>
      <c r="P5749">
        <v>14993350.42</v>
      </c>
      <c r="Q5749">
        <v>14993350.42</v>
      </c>
      <c r="R5749" s="14">
        <f>_xlfn.XLOOKUP(Table2[[#This Row],[LoanID]],Table1[G-L ID],Table1[ManagerCode],-99)</f>
        <v>119</v>
      </c>
      <c r="T5749"/>
    </row>
    <row r="5750" spans="1:20" x14ac:dyDescent="0.25">
      <c r="A5750">
        <v>20170630</v>
      </c>
      <c r="B5750">
        <v>2017</v>
      </c>
      <c r="C5750">
        <v>6</v>
      </c>
      <c r="D5750">
        <v>1</v>
      </c>
      <c r="E5750">
        <v>11590</v>
      </c>
      <c r="F5750">
        <v>25640.73</v>
      </c>
      <c r="G5750">
        <v>0</v>
      </c>
      <c r="H5750">
        <v>0</v>
      </c>
      <c r="I5750">
        <v>0</v>
      </c>
      <c r="J5750">
        <v>0</v>
      </c>
      <c r="K5750">
        <v>0</v>
      </c>
      <c r="L5750">
        <v>3507224.44</v>
      </c>
      <c r="M5750">
        <v>3507224.44</v>
      </c>
      <c r="N5750">
        <v>3507224.44</v>
      </c>
      <c r="O5750">
        <v>3507224.44</v>
      </c>
      <c r="P5750">
        <v>3507224.44</v>
      </c>
      <c r="Q5750">
        <v>3507224.44</v>
      </c>
      <c r="R5750" s="14">
        <f>_xlfn.XLOOKUP(Table2[[#This Row],[LoanID]],Table1[G-L ID],Table1[ManagerCode],-99)</f>
        <v>119</v>
      </c>
      <c r="T5750"/>
    </row>
    <row r="5751" spans="1:20" x14ac:dyDescent="0.25">
      <c r="A5751">
        <v>20170630</v>
      </c>
      <c r="B5751">
        <v>2017</v>
      </c>
      <c r="C5751">
        <v>6</v>
      </c>
      <c r="D5751">
        <v>1</v>
      </c>
      <c r="E5751">
        <v>11650</v>
      </c>
      <c r="F5751">
        <v>126780.75</v>
      </c>
      <c r="G5751">
        <v>0</v>
      </c>
      <c r="H5751">
        <v>0</v>
      </c>
      <c r="I5751">
        <v>0</v>
      </c>
      <c r="J5751">
        <v>0</v>
      </c>
      <c r="K5751">
        <v>12000000</v>
      </c>
      <c r="L5751">
        <v>11880000</v>
      </c>
      <c r="M5751">
        <v>0</v>
      </c>
      <c r="N5751">
        <v>11880000</v>
      </c>
      <c r="O5751">
        <v>0</v>
      </c>
      <c r="P5751">
        <v>12000000</v>
      </c>
      <c r="Q5751">
        <v>0</v>
      </c>
      <c r="R5751" s="14">
        <f>_xlfn.XLOOKUP(Table2[[#This Row],[LoanID]],Table1[G-L ID],Table1[ManagerCode],-99)</f>
        <v>103</v>
      </c>
      <c r="T5751"/>
    </row>
    <row r="5752" spans="1:20" x14ac:dyDescent="0.25">
      <c r="A5752">
        <v>20170630</v>
      </c>
      <c r="B5752">
        <v>2017</v>
      </c>
      <c r="C5752">
        <v>6</v>
      </c>
      <c r="D5752">
        <v>1</v>
      </c>
      <c r="E5752">
        <v>11680</v>
      </c>
      <c r="F5752">
        <v>57126.559999999998</v>
      </c>
      <c r="G5752">
        <v>0</v>
      </c>
      <c r="H5752">
        <v>0</v>
      </c>
      <c r="I5752">
        <v>0</v>
      </c>
      <c r="J5752">
        <v>0</v>
      </c>
      <c r="K5752">
        <v>0</v>
      </c>
      <c r="L5752">
        <v>6600000</v>
      </c>
      <c r="M5752">
        <v>6600000</v>
      </c>
      <c r="N5752">
        <v>6600000</v>
      </c>
      <c r="O5752">
        <v>6600000</v>
      </c>
      <c r="P5752">
        <v>6600000</v>
      </c>
      <c r="Q5752">
        <v>6600000</v>
      </c>
      <c r="R5752" s="14">
        <f>_xlfn.XLOOKUP(Table2[[#This Row],[LoanID]],Table1[G-L ID],Table1[ManagerCode],-99)</f>
        <v>183</v>
      </c>
      <c r="T5752"/>
    </row>
    <row r="5753" spans="1:20" x14ac:dyDescent="0.25">
      <c r="A5753">
        <v>20170630</v>
      </c>
      <c r="B5753">
        <v>2017</v>
      </c>
      <c r="C5753">
        <v>6</v>
      </c>
      <c r="D5753">
        <v>1</v>
      </c>
      <c r="E5753">
        <v>11690</v>
      </c>
      <c r="F5753">
        <v>146242.5</v>
      </c>
      <c r="G5753">
        <v>0</v>
      </c>
      <c r="H5753">
        <v>0</v>
      </c>
      <c r="I5753">
        <v>0</v>
      </c>
      <c r="J5753">
        <v>0</v>
      </c>
      <c r="K5753">
        <v>0</v>
      </c>
      <c r="L5753">
        <v>17000000</v>
      </c>
      <c r="M5753">
        <v>17000000</v>
      </c>
      <c r="N5753">
        <v>17000000</v>
      </c>
      <c r="O5753">
        <v>17000000</v>
      </c>
      <c r="P5753">
        <v>17000000</v>
      </c>
      <c r="Q5753">
        <v>17000000</v>
      </c>
      <c r="R5753" s="14">
        <f>_xlfn.XLOOKUP(Table2[[#This Row],[LoanID]],Table1[G-L ID],Table1[ManagerCode],-99)</f>
        <v>119</v>
      </c>
      <c r="T5753"/>
    </row>
    <row r="5754" spans="1:20" x14ac:dyDescent="0.25">
      <c r="A5754">
        <v>20170630</v>
      </c>
      <c r="B5754">
        <v>2017</v>
      </c>
      <c r="C5754">
        <v>6</v>
      </c>
      <c r="D5754">
        <v>1</v>
      </c>
      <c r="E5754">
        <v>11710</v>
      </c>
      <c r="F5754">
        <v>136271.01999999999</v>
      </c>
      <c r="G5754">
        <v>0</v>
      </c>
      <c r="H5754">
        <v>0</v>
      </c>
      <c r="I5754">
        <v>0</v>
      </c>
      <c r="J5754">
        <v>0</v>
      </c>
      <c r="K5754">
        <v>215000</v>
      </c>
      <c r="L5754">
        <v>14330000</v>
      </c>
      <c r="M5754">
        <v>14115000</v>
      </c>
      <c r="N5754">
        <v>14330000</v>
      </c>
      <c r="O5754">
        <v>14115000</v>
      </c>
      <c r="P5754">
        <v>14330000</v>
      </c>
      <c r="Q5754">
        <v>14115000</v>
      </c>
      <c r="R5754" s="14">
        <f>_xlfn.XLOOKUP(Table2[[#This Row],[LoanID]],Table1[G-L ID],Table1[ManagerCode],-99)</f>
        <v>119</v>
      </c>
      <c r="T5754"/>
    </row>
    <row r="5755" spans="1:20" x14ac:dyDescent="0.25">
      <c r="A5755">
        <v>20170630</v>
      </c>
      <c r="B5755">
        <v>2017</v>
      </c>
      <c r="C5755">
        <v>6</v>
      </c>
      <c r="D5755">
        <v>1</v>
      </c>
      <c r="E5755">
        <v>11720</v>
      </c>
      <c r="F5755">
        <v>129166.67</v>
      </c>
      <c r="G5755">
        <v>0</v>
      </c>
      <c r="H5755">
        <v>0</v>
      </c>
      <c r="I5755">
        <v>0</v>
      </c>
      <c r="J5755">
        <v>0</v>
      </c>
      <c r="K5755">
        <v>0</v>
      </c>
      <c r="L5755">
        <v>19800000</v>
      </c>
      <c r="M5755">
        <v>21447383.440000001</v>
      </c>
      <c r="N5755">
        <v>19800000</v>
      </c>
      <c r="O5755">
        <v>21447383.440000001</v>
      </c>
      <c r="P5755">
        <v>20000000</v>
      </c>
      <c r="Q5755">
        <v>20000000</v>
      </c>
      <c r="R5755" s="14">
        <f>_xlfn.XLOOKUP(Table2[[#This Row],[LoanID]],Table1[G-L ID],Table1[ManagerCode],-99)</f>
        <v>103</v>
      </c>
      <c r="T5755"/>
    </row>
    <row r="5756" spans="1:20" x14ac:dyDescent="0.25">
      <c r="A5756">
        <v>20170630</v>
      </c>
      <c r="B5756">
        <v>2017</v>
      </c>
      <c r="C5756">
        <v>6</v>
      </c>
      <c r="D5756">
        <v>1</v>
      </c>
      <c r="E5756">
        <v>11730</v>
      </c>
      <c r="F5756">
        <v>52266.720000000001</v>
      </c>
      <c r="G5756">
        <v>0</v>
      </c>
      <c r="H5756">
        <v>0</v>
      </c>
      <c r="I5756">
        <v>0</v>
      </c>
      <c r="J5756">
        <v>0</v>
      </c>
      <c r="K5756">
        <v>8178</v>
      </c>
      <c r="L5756">
        <v>4951640.75</v>
      </c>
      <c r="M5756">
        <v>4943462.75</v>
      </c>
      <c r="N5756">
        <v>4951640.75</v>
      </c>
      <c r="O5756">
        <v>4943462.75</v>
      </c>
      <c r="P5756">
        <v>4951640.75</v>
      </c>
      <c r="Q5756">
        <v>4943462.75</v>
      </c>
      <c r="R5756" s="14">
        <f>_xlfn.XLOOKUP(Table2[[#This Row],[LoanID]],Table1[G-L ID],Table1[ManagerCode],-99)</f>
        <v>119</v>
      </c>
      <c r="T5756"/>
    </row>
    <row r="5757" spans="1:20" x14ac:dyDescent="0.25">
      <c r="A5757">
        <v>20170630</v>
      </c>
      <c r="B5757">
        <v>2017</v>
      </c>
      <c r="C5757">
        <v>6</v>
      </c>
      <c r="D5757">
        <v>1</v>
      </c>
      <c r="E5757">
        <v>11750</v>
      </c>
      <c r="F5757">
        <v>229100.14</v>
      </c>
      <c r="G5757">
        <v>121108</v>
      </c>
      <c r="H5757">
        <v>0</v>
      </c>
      <c r="I5757">
        <v>0</v>
      </c>
      <c r="J5757">
        <v>-2431913.2200000002</v>
      </c>
      <c r="K5757">
        <v>0</v>
      </c>
      <c r="L5757">
        <v>49636692.700000003</v>
      </c>
      <c r="M5757">
        <v>52189713.920000002</v>
      </c>
      <c r="N5757">
        <v>49636692.700000003</v>
      </c>
      <c r="O5757">
        <v>52189713.920000002</v>
      </c>
      <c r="P5757">
        <v>49636692.700000003</v>
      </c>
      <c r="Q5757">
        <v>52189713.920000002</v>
      </c>
      <c r="R5757" s="14">
        <f>_xlfn.XLOOKUP(Table2[[#This Row],[LoanID]],Table1[G-L ID],Table1[ManagerCode],-99)</f>
        <v>183</v>
      </c>
      <c r="T5757"/>
    </row>
    <row r="5758" spans="1:20" x14ac:dyDescent="0.25">
      <c r="A5758">
        <v>20170630</v>
      </c>
      <c r="B5758">
        <v>2017</v>
      </c>
      <c r="C5758">
        <v>6</v>
      </c>
      <c r="D5758">
        <v>1</v>
      </c>
      <c r="E5758">
        <v>11830</v>
      </c>
      <c r="F5758">
        <v>81316.53</v>
      </c>
      <c r="G5758">
        <v>0</v>
      </c>
      <c r="H5758">
        <v>0</v>
      </c>
      <c r="I5758">
        <v>0</v>
      </c>
      <c r="J5758">
        <v>-1393580.41</v>
      </c>
      <c r="K5758">
        <v>0</v>
      </c>
      <c r="L5758">
        <v>9056388.5999999996</v>
      </c>
      <c r="M5758">
        <v>10449969.01</v>
      </c>
      <c r="N5758">
        <v>9056388.5999999996</v>
      </c>
      <c r="O5758">
        <v>10449969.01</v>
      </c>
      <c r="P5758">
        <v>9056388.5999999996</v>
      </c>
      <c r="Q5758">
        <v>10449969.01</v>
      </c>
      <c r="R5758" s="14">
        <f>_xlfn.XLOOKUP(Table2[[#This Row],[LoanID]],Table1[G-L ID],Table1[ManagerCode],-99)</f>
        <v>119</v>
      </c>
      <c r="T5758"/>
    </row>
    <row r="5759" spans="1:20" x14ac:dyDescent="0.25">
      <c r="A5759">
        <v>20170630</v>
      </c>
      <c r="B5759">
        <v>2017</v>
      </c>
      <c r="C5759">
        <v>6</v>
      </c>
      <c r="D5759">
        <v>1</v>
      </c>
      <c r="E5759">
        <v>11850</v>
      </c>
      <c r="F5759">
        <v>97500</v>
      </c>
      <c r="G5759">
        <v>0</v>
      </c>
      <c r="H5759">
        <v>0</v>
      </c>
      <c r="I5759">
        <v>0</v>
      </c>
      <c r="J5759">
        <v>0</v>
      </c>
      <c r="K5759">
        <v>0</v>
      </c>
      <c r="L5759">
        <v>9000000</v>
      </c>
      <c r="M5759">
        <v>9000000</v>
      </c>
      <c r="N5759">
        <v>9000000</v>
      </c>
      <c r="O5759">
        <v>9000000</v>
      </c>
      <c r="P5759">
        <v>9000000</v>
      </c>
      <c r="Q5759">
        <v>9000000</v>
      </c>
      <c r="R5759" s="14">
        <f>_xlfn.XLOOKUP(Table2[[#This Row],[LoanID]],Table1[G-L ID],Table1[ManagerCode],-99)</f>
        <v>183</v>
      </c>
      <c r="T5759"/>
    </row>
    <row r="5760" spans="1:20" x14ac:dyDescent="0.25">
      <c r="A5760">
        <v>20170630</v>
      </c>
      <c r="B5760">
        <v>2017</v>
      </c>
      <c r="C5760">
        <v>6</v>
      </c>
      <c r="D5760">
        <v>1</v>
      </c>
      <c r="E5760">
        <v>11980</v>
      </c>
      <c r="F5760">
        <v>67082.41</v>
      </c>
      <c r="G5760">
        <v>0</v>
      </c>
      <c r="H5760">
        <v>0</v>
      </c>
      <c r="I5760">
        <v>0</v>
      </c>
      <c r="J5760">
        <v>0</v>
      </c>
      <c r="K5760">
        <v>0</v>
      </c>
      <c r="L5760">
        <v>7400000</v>
      </c>
      <c r="M5760">
        <v>7400000</v>
      </c>
      <c r="N5760">
        <v>7400000</v>
      </c>
      <c r="O5760">
        <v>7400000</v>
      </c>
      <c r="P5760">
        <v>7400000</v>
      </c>
      <c r="Q5760">
        <v>7400000</v>
      </c>
      <c r="R5760" s="14">
        <f>_xlfn.XLOOKUP(Table2[[#This Row],[LoanID]],Table1[G-L ID],Table1[ManagerCode],-99)</f>
        <v>119</v>
      </c>
      <c r="T5760"/>
    </row>
    <row r="5761" spans="1:20" x14ac:dyDescent="0.25">
      <c r="A5761">
        <v>20170630</v>
      </c>
      <c r="B5761">
        <v>2017</v>
      </c>
      <c r="C5761">
        <v>6</v>
      </c>
      <c r="D5761">
        <v>1</v>
      </c>
      <c r="E5761">
        <v>12010</v>
      </c>
      <c r="F5761">
        <v>221161.85</v>
      </c>
      <c r="G5761">
        <v>0</v>
      </c>
      <c r="H5761">
        <v>0</v>
      </c>
      <c r="I5761">
        <v>0</v>
      </c>
      <c r="J5761">
        <v>0</v>
      </c>
      <c r="K5761">
        <v>0</v>
      </c>
      <c r="L5761">
        <v>22051360.390000001</v>
      </c>
      <c r="M5761">
        <v>22051360.390000001</v>
      </c>
      <c r="N5761">
        <v>22051360.390000001</v>
      </c>
      <c r="O5761">
        <v>22051360.390000001</v>
      </c>
      <c r="P5761">
        <v>22051360.390000001</v>
      </c>
      <c r="Q5761">
        <v>22051360.390000001</v>
      </c>
      <c r="R5761" s="14">
        <f>_xlfn.XLOOKUP(Table2[[#This Row],[LoanID]],Table1[G-L ID],Table1[ManagerCode],-99)</f>
        <v>119</v>
      </c>
      <c r="T5761"/>
    </row>
    <row r="5762" spans="1:20" x14ac:dyDescent="0.25">
      <c r="A5762">
        <v>20170630</v>
      </c>
      <c r="B5762">
        <v>2017</v>
      </c>
      <c r="C5762">
        <v>6</v>
      </c>
      <c r="D5762">
        <v>1</v>
      </c>
      <c r="E5762">
        <v>12030</v>
      </c>
      <c r="F5762">
        <v>48614.8</v>
      </c>
      <c r="G5762">
        <v>0</v>
      </c>
      <c r="H5762">
        <v>0</v>
      </c>
      <c r="I5762">
        <v>0</v>
      </c>
      <c r="J5762">
        <v>0</v>
      </c>
      <c r="K5762">
        <v>0</v>
      </c>
      <c r="L5762">
        <v>6375000</v>
      </c>
      <c r="M5762">
        <v>6375000</v>
      </c>
      <c r="N5762">
        <v>6375000</v>
      </c>
      <c r="O5762">
        <v>6375000</v>
      </c>
      <c r="P5762">
        <v>6375000</v>
      </c>
      <c r="Q5762">
        <v>6375000</v>
      </c>
      <c r="R5762" s="14">
        <f>_xlfn.XLOOKUP(Table2[[#This Row],[LoanID]],Table1[G-L ID],Table1[ManagerCode],-99)</f>
        <v>119</v>
      </c>
      <c r="T5762"/>
    </row>
    <row r="5763" spans="1:20" x14ac:dyDescent="0.25">
      <c r="A5763">
        <v>20170630</v>
      </c>
      <c r="B5763">
        <v>2017</v>
      </c>
      <c r="C5763">
        <v>6</v>
      </c>
      <c r="D5763">
        <v>1</v>
      </c>
      <c r="E5763">
        <v>12180</v>
      </c>
      <c r="F5763">
        <v>255879.17</v>
      </c>
      <c r="G5763">
        <v>0</v>
      </c>
      <c r="H5763">
        <v>0</v>
      </c>
      <c r="I5763">
        <v>0</v>
      </c>
      <c r="J5763">
        <v>0</v>
      </c>
      <c r="K5763">
        <v>4606789.13</v>
      </c>
      <c r="L5763">
        <v>35000000</v>
      </c>
      <c r="M5763">
        <v>30393210.870000001</v>
      </c>
      <c r="N5763">
        <v>35000000</v>
      </c>
      <c r="O5763">
        <v>30393210.870000001</v>
      </c>
      <c r="P5763">
        <v>35000000</v>
      </c>
      <c r="Q5763">
        <v>30393210.870000001</v>
      </c>
      <c r="R5763" s="14">
        <f>_xlfn.XLOOKUP(Table2[[#This Row],[LoanID]],Table1[G-L ID],Table1[ManagerCode],-99)</f>
        <v>220</v>
      </c>
      <c r="T5763"/>
    </row>
    <row r="5764" spans="1:20" x14ac:dyDescent="0.25">
      <c r="A5764">
        <v>20170630</v>
      </c>
      <c r="B5764">
        <v>2017</v>
      </c>
      <c r="C5764">
        <v>6</v>
      </c>
      <c r="D5764">
        <v>1</v>
      </c>
      <c r="E5764">
        <v>12220</v>
      </c>
      <c r="F5764">
        <v>165598.53</v>
      </c>
      <c r="G5764">
        <v>0</v>
      </c>
      <c r="H5764">
        <v>0</v>
      </c>
      <c r="I5764">
        <v>0</v>
      </c>
      <c r="J5764">
        <v>0</v>
      </c>
      <c r="K5764">
        <v>0</v>
      </c>
      <c r="L5764">
        <v>54500000</v>
      </c>
      <c r="M5764">
        <v>54500000</v>
      </c>
      <c r="N5764">
        <v>27250000</v>
      </c>
      <c r="O5764">
        <v>27250000</v>
      </c>
      <c r="P5764">
        <v>54500000</v>
      </c>
      <c r="Q5764">
        <v>54500000</v>
      </c>
      <c r="R5764" s="14">
        <f>_xlfn.XLOOKUP(Table2[[#This Row],[LoanID]],Table1[G-L ID],Table1[ManagerCode],-99)</f>
        <v>183</v>
      </c>
      <c r="T5764"/>
    </row>
    <row r="5765" spans="1:20" x14ac:dyDescent="0.25">
      <c r="A5765">
        <v>20170630</v>
      </c>
      <c r="B5765">
        <v>2017</v>
      </c>
      <c r="C5765">
        <v>6</v>
      </c>
      <c r="D5765">
        <v>1</v>
      </c>
      <c r="E5765">
        <v>12230</v>
      </c>
      <c r="F5765">
        <v>115418.06</v>
      </c>
      <c r="G5765">
        <v>0</v>
      </c>
      <c r="H5765">
        <v>0</v>
      </c>
      <c r="I5765">
        <v>0</v>
      </c>
      <c r="J5765">
        <v>0</v>
      </c>
      <c r="K5765">
        <v>0</v>
      </c>
      <c r="L5765">
        <v>20472262.73</v>
      </c>
      <c r="M5765">
        <v>20472262.73</v>
      </c>
      <c r="N5765">
        <v>13956810.23</v>
      </c>
      <c r="O5765">
        <v>13956810.23</v>
      </c>
      <c r="P5765">
        <v>20472262.73</v>
      </c>
      <c r="Q5765">
        <v>20472262.73</v>
      </c>
      <c r="R5765" s="14">
        <f>_xlfn.XLOOKUP(Table2[[#This Row],[LoanID]],Table1[G-L ID],Table1[ManagerCode],-99)</f>
        <v>183</v>
      </c>
      <c r="T5765"/>
    </row>
    <row r="5766" spans="1:20" x14ac:dyDescent="0.25">
      <c r="A5766">
        <v>20170630</v>
      </c>
      <c r="B5766">
        <v>2017</v>
      </c>
      <c r="C5766">
        <v>6</v>
      </c>
      <c r="D5766">
        <v>1</v>
      </c>
      <c r="E5766">
        <v>12240</v>
      </c>
      <c r="F5766">
        <v>0</v>
      </c>
      <c r="G5766">
        <v>1757524.11</v>
      </c>
      <c r="H5766">
        <v>0</v>
      </c>
      <c r="I5766">
        <v>0</v>
      </c>
      <c r="J5766">
        <v>0</v>
      </c>
      <c r="K5766">
        <v>0</v>
      </c>
      <c r="L5766">
        <v>157979695.69999999</v>
      </c>
      <c r="M5766">
        <v>159737219.80000001</v>
      </c>
      <c r="N5766">
        <v>157979695.69999999</v>
      </c>
      <c r="O5766">
        <v>159737219.80000001</v>
      </c>
      <c r="P5766">
        <v>157979695.69999999</v>
      </c>
      <c r="Q5766">
        <v>159737219.80000001</v>
      </c>
      <c r="R5766" s="14">
        <f>_xlfn.XLOOKUP(Table2[[#This Row],[LoanID]],Table1[G-L ID],Table1[ManagerCode],-99)</f>
        <v>183</v>
      </c>
      <c r="T5766"/>
    </row>
    <row r="5767" spans="1:20" x14ac:dyDescent="0.25">
      <c r="A5767">
        <v>20170630</v>
      </c>
      <c r="B5767">
        <v>2017</v>
      </c>
      <c r="C5767">
        <v>6</v>
      </c>
      <c r="D5767">
        <v>1</v>
      </c>
      <c r="E5767">
        <v>12250</v>
      </c>
      <c r="F5767">
        <v>86790.11</v>
      </c>
      <c r="G5767">
        <v>0</v>
      </c>
      <c r="H5767">
        <v>0</v>
      </c>
      <c r="I5767">
        <v>0</v>
      </c>
      <c r="J5767">
        <v>-106559.75</v>
      </c>
      <c r="K5767">
        <v>0</v>
      </c>
      <c r="L5767">
        <v>10965613.789999999</v>
      </c>
      <c r="M5767">
        <v>11072173.539999999</v>
      </c>
      <c r="N5767">
        <v>10965613.789999999</v>
      </c>
      <c r="O5767">
        <v>11072173.539999999</v>
      </c>
      <c r="P5767">
        <v>10965613.789999999</v>
      </c>
      <c r="Q5767">
        <v>11072173.539999999</v>
      </c>
      <c r="R5767" s="14">
        <f>_xlfn.XLOOKUP(Table2[[#This Row],[LoanID]],Table1[G-L ID],Table1[ManagerCode],-99)</f>
        <v>119</v>
      </c>
      <c r="T5767"/>
    </row>
    <row r="5768" spans="1:20" x14ac:dyDescent="0.25">
      <c r="A5768">
        <v>20170630</v>
      </c>
      <c r="B5768">
        <v>2017</v>
      </c>
      <c r="C5768">
        <v>6</v>
      </c>
      <c r="D5768">
        <v>1</v>
      </c>
      <c r="E5768">
        <v>12260</v>
      </c>
      <c r="F5768">
        <v>99506.25</v>
      </c>
      <c r="G5768">
        <v>0</v>
      </c>
      <c r="H5768">
        <v>0</v>
      </c>
      <c r="I5768">
        <v>0</v>
      </c>
      <c r="J5768">
        <v>0</v>
      </c>
      <c r="K5768">
        <v>0</v>
      </c>
      <c r="L5768">
        <v>11250000</v>
      </c>
      <c r="M5768">
        <v>11250000</v>
      </c>
      <c r="N5768">
        <v>11250000</v>
      </c>
      <c r="O5768">
        <v>11250000</v>
      </c>
      <c r="P5768">
        <v>11250000</v>
      </c>
      <c r="Q5768">
        <v>11250000</v>
      </c>
      <c r="R5768" s="14">
        <f>_xlfn.XLOOKUP(Table2[[#This Row],[LoanID]],Table1[G-L ID],Table1[ManagerCode],-99)</f>
        <v>119</v>
      </c>
      <c r="T5768"/>
    </row>
    <row r="5769" spans="1:20" x14ac:dyDescent="0.25">
      <c r="A5769">
        <v>20170630</v>
      </c>
      <c r="B5769">
        <v>2017</v>
      </c>
      <c r="C5769">
        <v>6</v>
      </c>
      <c r="D5769">
        <v>1</v>
      </c>
      <c r="E5769">
        <v>12270</v>
      </c>
      <c r="F5769">
        <v>213473.92000000001</v>
      </c>
      <c r="G5769">
        <v>0</v>
      </c>
      <c r="H5769">
        <v>0</v>
      </c>
      <c r="I5769">
        <v>0</v>
      </c>
      <c r="J5769">
        <v>2303140.7999999998</v>
      </c>
      <c r="K5769">
        <v>0</v>
      </c>
      <c r="L5769">
        <v>22559395.399999999</v>
      </c>
      <c r="M5769">
        <v>20256254.600000001</v>
      </c>
      <c r="N5769">
        <v>22559395.399999999</v>
      </c>
      <c r="O5769">
        <v>20256254.600000001</v>
      </c>
      <c r="P5769">
        <v>22559395.399999999</v>
      </c>
      <c r="Q5769">
        <v>20256254.600000001</v>
      </c>
      <c r="R5769" s="14">
        <f>_xlfn.XLOOKUP(Table2[[#This Row],[LoanID]],Table1[G-L ID],Table1[ManagerCode],-99)</f>
        <v>119</v>
      </c>
      <c r="T5769"/>
    </row>
    <row r="5770" spans="1:20" x14ac:dyDescent="0.25">
      <c r="A5770">
        <v>20170630</v>
      </c>
      <c r="B5770">
        <v>2017</v>
      </c>
      <c r="C5770">
        <v>6</v>
      </c>
      <c r="D5770">
        <v>1</v>
      </c>
      <c r="E5770">
        <v>12280</v>
      </c>
      <c r="F5770">
        <v>126503.97</v>
      </c>
      <c r="G5770">
        <v>0</v>
      </c>
      <c r="H5770">
        <v>0</v>
      </c>
      <c r="I5770">
        <v>0</v>
      </c>
      <c r="J5770">
        <v>0</v>
      </c>
      <c r="K5770">
        <v>0</v>
      </c>
      <c r="L5770">
        <v>12818750</v>
      </c>
      <c r="M5770">
        <v>12818750</v>
      </c>
      <c r="N5770">
        <v>12818750</v>
      </c>
      <c r="O5770">
        <v>12818750</v>
      </c>
      <c r="P5770">
        <v>12818750</v>
      </c>
      <c r="Q5770">
        <v>12818750</v>
      </c>
      <c r="R5770" s="14">
        <f>_xlfn.XLOOKUP(Table2[[#This Row],[LoanID]],Table1[G-L ID],Table1[ManagerCode],-99)</f>
        <v>119</v>
      </c>
      <c r="T5770"/>
    </row>
    <row r="5771" spans="1:20" x14ac:dyDescent="0.25">
      <c r="A5771">
        <v>20170630</v>
      </c>
      <c r="B5771">
        <v>2017</v>
      </c>
      <c r="C5771">
        <v>6</v>
      </c>
      <c r="D5771">
        <v>1</v>
      </c>
      <c r="E5771">
        <v>12290</v>
      </c>
      <c r="F5771">
        <v>178779.97</v>
      </c>
      <c r="G5771">
        <v>0</v>
      </c>
      <c r="H5771">
        <v>0</v>
      </c>
      <c r="I5771">
        <v>0</v>
      </c>
      <c r="J5771">
        <v>0</v>
      </c>
      <c r="K5771">
        <v>0</v>
      </c>
      <c r="L5771">
        <v>17750000</v>
      </c>
      <c r="M5771">
        <v>17750000</v>
      </c>
      <c r="N5771">
        <v>17750000</v>
      </c>
      <c r="O5771">
        <v>17750000</v>
      </c>
      <c r="P5771">
        <v>17750000</v>
      </c>
      <c r="Q5771">
        <v>17750000</v>
      </c>
      <c r="R5771" s="14">
        <f>_xlfn.XLOOKUP(Table2[[#This Row],[LoanID]],Table1[G-L ID],Table1[ManagerCode],-99)</f>
        <v>119</v>
      </c>
      <c r="T5771"/>
    </row>
    <row r="5772" spans="1:20" x14ac:dyDescent="0.25">
      <c r="A5772">
        <v>20170630</v>
      </c>
      <c r="B5772">
        <v>2017</v>
      </c>
      <c r="C5772">
        <v>6</v>
      </c>
      <c r="D5772">
        <v>1</v>
      </c>
      <c r="E5772">
        <v>12300</v>
      </c>
      <c r="F5772">
        <v>92561.78</v>
      </c>
      <c r="G5772">
        <v>0</v>
      </c>
      <c r="H5772">
        <v>0</v>
      </c>
      <c r="I5772">
        <v>0</v>
      </c>
      <c r="J5772">
        <v>0</v>
      </c>
      <c r="K5772">
        <v>0</v>
      </c>
      <c r="L5772">
        <v>10000000</v>
      </c>
      <c r="M5772">
        <v>10000000</v>
      </c>
      <c r="N5772">
        <v>10000000</v>
      </c>
      <c r="O5772">
        <v>10000000</v>
      </c>
      <c r="P5772">
        <v>10000000</v>
      </c>
      <c r="Q5772">
        <v>10000000</v>
      </c>
      <c r="R5772" s="14">
        <f>_xlfn.XLOOKUP(Table2[[#This Row],[LoanID]],Table1[G-L ID],Table1[ManagerCode],-99)</f>
        <v>119</v>
      </c>
      <c r="T5772"/>
    </row>
    <row r="5773" spans="1:20" x14ac:dyDescent="0.25">
      <c r="A5773">
        <v>20170630</v>
      </c>
      <c r="B5773">
        <v>2017</v>
      </c>
      <c r="C5773">
        <v>6</v>
      </c>
      <c r="D5773">
        <v>1</v>
      </c>
      <c r="E5773">
        <v>12310</v>
      </c>
      <c r="F5773">
        <v>43673.38</v>
      </c>
      <c r="G5773">
        <v>0</v>
      </c>
      <c r="H5773">
        <v>0</v>
      </c>
      <c r="I5773">
        <v>0</v>
      </c>
      <c r="J5773">
        <v>-16375000</v>
      </c>
      <c r="K5773">
        <v>0</v>
      </c>
      <c r="L5773">
        <v>0</v>
      </c>
      <c r="M5773">
        <v>16375000</v>
      </c>
      <c r="N5773">
        <v>0</v>
      </c>
      <c r="O5773">
        <v>16375000</v>
      </c>
      <c r="P5773">
        <v>0</v>
      </c>
      <c r="Q5773">
        <v>16375000</v>
      </c>
      <c r="R5773" s="14">
        <f>_xlfn.XLOOKUP(Table2[[#This Row],[LoanID]],Table1[G-L ID],Table1[ManagerCode],-99)</f>
        <v>119</v>
      </c>
      <c r="T5773"/>
    </row>
    <row r="5774" spans="1:20" x14ac:dyDescent="0.25">
      <c r="A5774">
        <v>20170630</v>
      </c>
      <c r="B5774">
        <v>2017</v>
      </c>
      <c r="C5774">
        <v>6</v>
      </c>
      <c r="D5774">
        <v>1</v>
      </c>
      <c r="E5774">
        <v>12320</v>
      </c>
      <c r="F5774">
        <v>67676.09</v>
      </c>
      <c r="G5774">
        <v>0</v>
      </c>
      <c r="H5774">
        <v>117500</v>
      </c>
      <c r="I5774">
        <v>0</v>
      </c>
      <c r="J5774">
        <v>-11750000</v>
      </c>
      <c r="K5774">
        <v>0</v>
      </c>
      <c r="L5774">
        <v>0</v>
      </c>
      <c r="M5774">
        <v>11750000</v>
      </c>
      <c r="N5774">
        <v>0</v>
      </c>
      <c r="O5774">
        <v>11750000</v>
      </c>
      <c r="P5774">
        <v>0</v>
      </c>
      <c r="Q5774">
        <v>11750000</v>
      </c>
      <c r="R5774" s="14">
        <f>_xlfn.XLOOKUP(Table2[[#This Row],[LoanID]],Table1[G-L ID],Table1[ManagerCode],-99)</f>
        <v>119</v>
      </c>
      <c r="T5774"/>
    </row>
    <row r="5775" spans="1:20" x14ac:dyDescent="0.25">
      <c r="A5775">
        <v>20170630</v>
      </c>
      <c r="B5775">
        <v>2017</v>
      </c>
      <c r="C5775">
        <v>6</v>
      </c>
      <c r="D5775">
        <v>1</v>
      </c>
      <c r="E5775">
        <v>12330</v>
      </c>
      <c r="F5775">
        <v>126159.37</v>
      </c>
      <c r="G5775">
        <v>0</v>
      </c>
      <c r="H5775">
        <v>226019.5</v>
      </c>
      <c r="I5775">
        <v>0</v>
      </c>
      <c r="J5775">
        <v>-19976500</v>
      </c>
      <c r="K5775">
        <v>0</v>
      </c>
      <c r="L5775">
        <v>0</v>
      </c>
      <c r="M5775">
        <v>19976500</v>
      </c>
      <c r="N5775">
        <v>0</v>
      </c>
      <c r="O5775">
        <v>19976500</v>
      </c>
      <c r="P5775">
        <v>0</v>
      </c>
      <c r="Q5775">
        <v>19976500</v>
      </c>
      <c r="R5775" s="14">
        <f>_xlfn.XLOOKUP(Table2[[#This Row],[LoanID]],Table1[G-L ID],Table1[ManagerCode],-99)</f>
        <v>119</v>
      </c>
      <c r="T5775"/>
    </row>
    <row r="5776" spans="1:20" x14ac:dyDescent="0.25">
      <c r="A5776">
        <v>20170630</v>
      </c>
      <c r="B5776">
        <v>2017</v>
      </c>
      <c r="C5776">
        <v>6</v>
      </c>
      <c r="D5776">
        <v>1</v>
      </c>
      <c r="E5776">
        <v>12340</v>
      </c>
      <c r="F5776">
        <v>78100</v>
      </c>
      <c r="G5776">
        <v>0</v>
      </c>
      <c r="H5776">
        <v>0</v>
      </c>
      <c r="I5776">
        <v>0</v>
      </c>
      <c r="J5776">
        <v>0</v>
      </c>
      <c r="K5776">
        <v>0</v>
      </c>
      <c r="L5776">
        <v>24000000</v>
      </c>
      <c r="M5776">
        <v>24000000</v>
      </c>
      <c r="N5776">
        <v>12000000</v>
      </c>
      <c r="O5776">
        <v>12000000</v>
      </c>
      <c r="P5776">
        <v>24000000</v>
      </c>
      <c r="Q5776">
        <v>24000000</v>
      </c>
      <c r="R5776" s="14">
        <f>_xlfn.XLOOKUP(Table2[[#This Row],[LoanID]],Table1[G-L ID],Table1[ManagerCode],-99)</f>
        <v>183</v>
      </c>
      <c r="T5776"/>
    </row>
    <row r="5777" spans="1:20" x14ac:dyDescent="0.25">
      <c r="A5777">
        <v>20170630</v>
      </c>
      <c r="B5777">
        <v>2017</v>
      </c>
      <c r="C5777">
        <v>6</v>
      </c>
      <c r="D5777">
        <v>1</v>
      </c>
      <c r="E5777">
        <v>12350</v>
      </c>
      <c r="F5777">
        <v>28308.33</v>
      </c>
      <c r="G5777">
        <v>0</v>
      </c>
      <c r="H5777">
        <v>0</v>
      </c>
      <c r="I5777">
        <v>0</v>
      </c>
      <c r="J5777">
        <v>0</v>
      </c>
      <c r="K5777">
        <v>0</v>
      </c>
      <c r="L5777">
        <v>60000000</v>
      </c>
      <c r="M5777">
        <v>60000000</v>
      </c>
      <c r="N5777">
        <v>22500000</v>
      </c>
      <c r="O5777">
        <v>22500000</v>
      </c>
      <c r="P5777">
        <v>60000000</v>
      </c>
      <c r="Q5777">
        <v>60000000</v>
      </c>
      <c r="R5777" s="14">
        <f>_xlfn.XLOOKUP(Table2[[#This Row],[LoanID]],Table1[G-L ID],Table1[ManagerCode],-99)</f>
        <v>183</v>
      </c>
      <c r="T5777"/>
    </row>
    <row r="5778" spans="1:20" x14ac:dyDescent="0.25">
      <c r="A5778">
        <v>20170630</v>
      </c>
      <c r="B5778">
        <v>2017</v>
      </c>
      <c r="C5778">
        <v>6</v>
      </c>
      <c r="D5778">
        <v>1</v>
      </c>
      <c r="E5778">
        <v>12360</v>
      </c>
      <c r="F5778">
        <v>0</v>
      </c>
      <c r="G5778">
        <v>0</v>
      </c>
      <c r="H5778">
        <v>600000</v>
      </c>
      <c r="I5778">
        <v>0</v>
      </c>
      <c r="J5778">
        <v>-60000000</v>
      </c>
      <c r="K5778">
        <v>41000000</v>
      </c>
      <c r="L5778">
        <v>0</v>
      </c>
      <c r="M5778">
        <v>60000000</v>
      </c>
      <c r="N5778">
        <v>0</v>
      </c>
      <c r="O5778">
        <v>19000000</v>
      </c>
      <c r="P5778">
        <v>0</v>
      </c>
      <c r="Q5778">
        <v>60000000</v>
      </c>
      <c r="R5778" s="14">
        <f>_xlfn.XLOOKUP(Table2[[#This Row],[LoanID]],Table1[G-L ID],Table1[ManagerCode],-99)</f>
        <v>183</v>
      </c>
      <c r="T5778"/>
    </row>
    <row r="5779" spans="1:20" x14ac:dyDescent="0.25">
      <c r="A5779">
        <v>20170630</v>
      </c>
      <c r="B5779">
        <v>2017</v>
      </c>
      <c r="C5779">
        <v>6</v>
      </c>
      <c r="D5779">
        <v>1</v>
      </c>
      <c r="E5779">
        <v>12390</v>
      </c>
      <c r="F5779">
        <v>99262.88</v>
      </c>
      <c r="G5779">
        <v>164012.42000000001</v>
      </c>
      <c r="H5779">
        <v>0</v>
      </c>
      <c r="I5779">
        <v>0</v>
      </c>
      <c r="J5779">
        <v>-99262.88</v>
      </c>
      <c r="K5779">
        <v>0</v>
      </c>
      <c r="L5779">
        <v>16376425.890000001</v>
      </c>
      <c r="M5779">
        <v>16639701.189999999</v>
      </c>
      <c r="N5779">
        <v>16376425.890000001</v>
      </c>
      <c r="O5779">
        <v>16639701.189999999</v>
      </c>
      <c r="P5779">
        <v>16376425.890000001</v>
      </c>
      <c r="Q5779">
        <v>16639701.189999999</v>
      </c>
      <c r="R5779" s="14">
        <f>_xlfn.XLOOKUP(Table2[[#This Row],[LoanID]],Table1[G-L ID],Table1[ManagerCode],-99)</f>
        <v>183</v>
      </c>
      <c r="T5779"/>
    </row>
    <row r="5780" spans="1:20" x14ac:dyDescent="0.25">
      <c r="A5780">
        <v>20170630</v>
      </c>
      <c r="B5780">
        <v>2017</v>
      </c>
      <c r="C5780">
        <v>6</v>
      </c>
      <c r="D5780">
        <v>1</v>
      </c>
      <c r="E5780">
        <v>12410</v>
      </c>
      <c r="F5780">
        <v>317743.17</v>
      </c>
      <c r="G5780">
        <v>254194.54</v>
      </c>
      <c r="H5780">
        <v>0</v>
      </c>
      <c r="I5780">
        <v>0</v>
      </c>
      <c r="J5780">
        <v>0</v>
      </c>
      <c r="K5780">
        <v>0</v>
      </c>
      <c r="L5780">
        <v>75495777.549999997</v>
      </c>
      <c r="M5780">
        <v>75747430.140000001</v>
      </c>
      <c r="N5780">
        <v>75495777.549999997</v>
      </c>
      <c r="O5780">
        <v>75747430.140000001</v>
      </c>
      <c r="P5780">
        <v>76258361.150000006</v>
      </c>
      <c r="Q5780">
        <v>76512555.689999998</v>
      </c>
      <c r="R5780" s="14">
        <f>_xlfn.XLOOKUP(Table2[[#This Row],[LoanID]],Table1[G-L ID],Table1[ManagerCode],-99)</f>
        <v>103</v>
      </c>
      <c r="T5780"/>
    </row>
    <row r="5781" spans="1:20" x14ac:dyDescent="0.25">
      <c r="A5781">
        <v>20170630</v>
      </c>
      <c r="B5781">
        <v>2017</v>
      </c>
      <c r="C5781">
        <v>6</v>
      </c>
      <c r="D5781">
        <v>1</v>
      </c>
      <c r="E5781">
        <v>12420</v>
      </c>
      <c r="F5781">
        <v>0</v>
      </c>
      <c r="G5781">
        <v>0</v>
      </c>
      <c r="H5781">
        <v>0</v>
      </c>
      <c r="I5781">
        <v>0</v>
      </c>
      <c r="J5781">
        <v>-196354.45</v>
      </c>
      <c r="K5781">
        <v>0</v>
      </c>
      <c r="L5781">
        <v>716686</v>
      </c>
      <c r="M5781">
        <v>913040.45</v>
      </c>
      <c r="N5781">
        <v>716686</v>
      </c>
      <c r="O5781">
        <v>913040.45</v>
      </c>
      <c r="P5781">
        <v>716686</v>
      </c>
      <c r="Q5781">
        <v>913040.45</v>
      </c>
      <c r="R5781" s="14">
        <f>_xlfn.XLOOKUP(Table2[[#This Row],[LoanID]],Table1[G-L ID],Table1[ManagerCode],-99)</f>
        <v>103</v>
      </c>
      <c r="T5781"/>
    </row>
    <row r="5782" spans="1:20" x14ac:dyDescent="0.25">
      <c r="A5782">
        <v>20170630</v>
      </c>
      <c r="B5782">
        <v>2017</v>
      </c>
      <c r="C5782">
        <v>6</v>
      </c>
      <c r="D5782">
        <v>1</v>
      </c>
      <c r="E5782">
        <v>12430</v>
      </c>
      <c r="F5782">
        <v>-2298.8000000000002</v>
      </c>
      <c r="G5782">
        <v>0</v>
      </c>
      <c r="H5782">
        <v>0</v>
      </c>
      <c r="I5782">
        <v>0</v>
      </c>
      <c r="J5782">
        <v>-972400.88</v>
      </c>
      <c r="K5782">
        <v>0</v>
      </c>
      <c r="L5782">
        <v>2033456.77</v>
      </c>
      <c r="M5782">
        <v>2942603.65</v>
      </c>
      <c r="N5782">
        <v>2033456.77</v>
      </c>
      <c r="O5782">
        <v>2942603.65</v>
      </c>
      <c r="P5782">
        <v>2169285.2799999998</v>
      </c>
      <c r="Q5782">
        <v>3141686.16</v>
      </c>
      <c r="R5782" s="14">
        <f>_xlfn.XLOOKUP(Table2[[#This Row],[LoanID]],Table1[G-L ID],Table1[ManagerCode],-99)</f>
        <v>103</v>
      </c>
      <c r="T5782"/>
    </row>
    <row r="5783" spans="1:20" x14ac:dyDescent="0.25">
      <c r="A5783">
        <v>20170630</v>
      </c>
      <c r="B5783">
        <v>2017</v>
      </c>
      <c r="C5783">
        <v>6</v>
      </c>
      <c r="D5783">
        <v>1</v>
      </c>
      <c r="E5783">
        <v>12440</v>
      </c>
      <c r="F5783">
        <v>37500</v>
      </c>
      <c r="G5783">
        <v>0</v>
      </c>
      <c r="H5783">
        <v>0</v>
      </c>
      <c r="I5783">
        <v>0</v>
      </c>
      <c r="J5783">
        <v>0</v>
      </c>
      <c r="K5783">
        <v>45866.27</v>
      </c>
      <c r="L5783">
        <v>5323518.07</v>
      </c>
      <c r="M5783">
        <v>5240582.8499999996</v>
      </c>
      <c r="N5783">
        <v>5323518.07</v>
      </c>
      <c r="O5783">
        <v>5240582.8499999996</v>
      </c>
      <c r="P5783">
        <v>4500000</v>
      </c>
      <c r="Q5783">
        <v>4454133.7300000004</v>
      </c>
      <c r="R5783" s="14">
        <f>_xlfn.XLOOKUP(Table2[[#This Row],[LoanID]],Table1[G-L ID],Table1[ManagerCode],-99)</f>
        <v>103</v>
      </c>
      <c r="T5783"/>
    </row>
    <row r="5784" spans="1:20" x14ac:dyDescent="0.25">
      <c r="A5784">
        <v>20170630</v>
      </c>
      <c r="B5784">
        <v>2017</v>
      </c>
      <c r="C5784">
        <v>6</v>
      </c>
      <c r="D5784">
        <v>1</v>
      </c>
      <c r="E5784">
        <v>13020</v>
      </c>
      <c r="F5784">
        <v>1829.61</v>
      </c>
      <c r="G5784">
        <v>0</v>
      </c>
      <c r="H5784">
        <v>0</v>
      </c>
      <c r="I5784">
        <v>0</v>
      </c>
      <c r="J5784">
        <v>-741389.66</v>
      </c>
      <c r="K5784">
        <v>0</v>
      </c>
      <c r="L5784">
        <v>927512.31</v>
      </c>
      <c r="M5784">
        <v>1668901.97</v>
      </c>
      <c r="N5784">
        <v>927512.31</v>
      </c>
      <c r="O5784">
        <v>1668901.97</v>
      </c>
      <c r="P5784">
        <v>927512.31</v>
      </c>
      <c r="Q5784">
        <v>1668901.97</v>
      </c>
      <c r="R5784" s="14">
        <f>_xlfn.XLOOKUP(Table2[[#This Row],[LoanID]],Table1[G-L ID],Table1[ManagerCode],-99)</f>
        <v>103</v>
      </c>
      <c r="T5784"/>
    </row>
    <row r="5785" spans="1:20" x14ac:dyDescent="0.25">
      <c r="A5785">
        <v>20170630</v>
      </c>
      <c r="B5785">
        <v>2017</v>
      </c>
      <c r="C5785">
        <v>6</v>
      </c>
      <c r="D5785">
        <v>1</v>
      </c>
      <c r="E5785">
        <v>13600</v>
      </c>
      <c r="F5785">
        <v>0</v>
      </c>
      <c r="G5785">
        <v>0</v>
      </c>
      <c r="H5785">
        <v>0</v>
      </c>
      <c r="I5785">
        <v>0</v>
      </c>
      <c r="J5785">
        <v>-45970000</v>
      </c>
      <c r="K5785">
        <v>0</v>
      </c>
      <c r="L5785">
        <v>0</v>
      </c>
      <c r="M5785">
        <v>45970000</v>
      </c>
      <c r="N5785">
        <v>0</v>
      </c>
      <c r="O5785">
        <v>45970000</v>
      </c>
      <c r="P5785">
        <v>0</v>
      </c>
      <c r="Q5785">
        <v>45970000</v>
      </c>
      <c r="R5785" s="14">
        <f>_xlfn.XLOOKUP(Table2[[#This Row],[LoanID]],Table1[G-L ID],Table1[ManagerCode],-99)</f>
        <v>298</v>
      </c>
      <c r="T5785"/>
    </row>
    <row r="5786" spans="1:20" x14ac:dyDescent="0.25">
      <c r="A5786">
        <v>20170630</v>
      </c>
      <c r="B5786">
        <v>2017</v>
      </c>
      <c r="C5786">
        <v>6</v>
      </c>
      <c r="D5786">
        <v>1</v>
      </c>
      <c r="E5786">
        <v>13610</v>
      </c>
      <c r="F5786">
        <v>63291.67</v>
      </c>
      <c r="G5786">
        <v>0</v>
      </c>
      <c r="H5786">
        <v>0</v>
      </c>
      <c r="I5786">
        <v>0</v>
      </c>
      <c r="J5786">
        <v>0</v>
      </c>
      <c r="K5786">
        <v>0</v>
      </c>
      <c r="L5786">
        <v>10500000</v>
      </c>
      <c r="M5786">
        <v>10500000</v>
      </c>
      <c r="N5786">
        <v>10500000</v>
      </c>
      <c r="O5786">
        <v>10500000</v>
      </c>
      <c r="P5786">
        <v>10500000</v>
      </c>
      <c r="Q5786">
        <v>10500000</v>
      </c>
      <c r="R5786" s="14">
        <f>_xlfn.XLOOKUP(Table2[[#This Row],[LoanID]],Table1[G-L ID],Table1[ManagerCode],-99)</f>
        <v>298</v>
      </c>
      <c r="T5786"/>
    </row>
    <row r="5787" spans="1:20" x14ac:dyDescent="0.25">
      <c r="A5787">
        <v>20170630</v>
      </c>
      <c r="B5787">
        <v>2017</v>
      </c>
      <c r="C5787">
        <v>6</v>
      </c>
      <c r="D5787">
        <v>1</v>
      </c>
      <c r="E5787">
        <v>13630</v>
      </c>
      <c r="F5787">
        <v>218506.94</v>
      </c>
      <c r="G5787">
        <v>0</v>
      </c>
      <c r="H5787">
        <v>0</v>
      </c>
      <c r="I5787">
        <v>0</v>
      </c>
      <c r="J5787">
        <v>0</v>
      </c>
      <c r="K5787">
        <v>0</v>
      </c>
      <c r="L5787">
        <v>33569646.990000002</v>
      </c>
      <c r="M5787">
        <v>33569646.990000002</v>
      </c>
      <c r="N5787">
        <v>33569646.990000002</v>
      </c>
      <c r="O5787">
        <v>33569646.990000002</v>
      </c>
      <c r="P5787">
        <v>35000000</v>
      </c>
      <c r="Q5787">
        <v>35000000</v>
      </c>
      <c r="R5787" s="14">
        <f>_xlfn.XLOOKUP(Table2[[#This Row],[LoanID]],Table1[G-L ID],Table1[ManagerCode],-99)</f>
        <v>298</v>
      </c>
      <c r="T5787"/>
    </row>
    <row r="5788" spans="1:20" x14ac:dyDescent="0.25">
      <c r="A5788">
        <v>20170630</v>
      </c>
      <c r="B5788">
        <v>2017</v>
      </c>
      <c r="C5788">
        <v>6</v>
      </c>
      <c r="D5788">
        <v>1</v>
      </c>
      <c r="E5788">
        <v>13640</v>
      </c>
      <c r="F5788">
        <v>0</v>
      </c>
      <c r="G5788">
        <v>0</v>
      </c>
      <c r="H5788">
        <v>0</v>
      </c>
      <c r="I5788">
        <v>0</v>
      </c>
      <c r="J5788">
        <v>-30125000</v>
      </c>
      <c r="K5788">
        <v>0</v>
      </c>
      <c r="L5788">
        <v>0</v>
      </c>
      <c r="M5788">
        <v>30125000</v>
      </c>
      <c r="N5788">
        <v>0</v>
      </c>
      <c r="O5788">
        <v>30125000</v>
      </c>
      <c r="P5788">
        <v>0</v>
      </c>
      <c r="Q5788">
        <v>30125000</v>
      </c>
      <c r="R5788" s="14">
        <f>_xlfn.XLOOKUP(Table2[[#This Row],[LoanID]],Table1[G-L ID],Table1[ManagerCode],-99)</f>
        <v>298</v>
      </c>
      <c r="T5788"/>
    </row>
    <row r="5789" spans="1:20" x14ac:dyDescent="0.25">
      <c r="A5789">
        <v>20170630</v>
      </c>
      <c r="B5789">
        <v>2017</v>
      </c>
      <c r="C5789">
        <v>6</v>
      </c>
      <c r="D5789">
        <v>1</v>
      </c>
      <c r="E5789">
        <v>13650</v>
      </c>
      <c r="F5789">
        <v>223888.89</v>
      </c>
      <c r="G5789">
        <v>0</v>
      </c>
      <c r="H5789">
        <v>0</v>
      </c>
      <c r="I5789">
        <v>0</v>
      </c>
      <c r="J5789">
        <v>0</v>
      </c>
      <c r="K5789">
        <v>0</v>
      </c>
      <c r="L5789">
        <v>40000000</v>
      </c>
      <c r="M5789">
        <v>40000000</v>
      </c>
      <c r="N5789">
        <v>40000000</v>
      </c>
      <c r="O5789">
        <v>40000000</v>
      </c>
      <c r="P5789">
        <v>40000000</v>
      </c>
      <c r="Q5789">
        <v>40000000</v>
      </c>
      <c r="R5789" s="14">
        <f>_xlfn.XLOOKUP(Table2[[#This Row],[LoanID]],Table1[G-L ID],Table1[ManagerCode],-99)</f>
        <v>298</v>
      </c>
      <c r="T5789"/>
    </row>
    <row r="5790" spans="1:20" x14ac:dyDescent="0.25">
      <c r="A5790">
        <v>20170630</v>
      </c>
      <c r="B5790">
        <v>2017</v>
      </c>
      <c r="C5790">
        <v>6</v>
      </c>
      <c r="D5790">
        <v>1</v>
      </c>
      <c r="E5790">
        <v>13660</v>
      </c>
      <c r="F5790">
        <v>117972.22</v>
      </c>
      <c r="G5790">
        <v>0</v>
      </c>
      <c r="H5790">
        <v>0</v>
      </c>
      <c r="I5790">
        <v>0</v>
      </c>
      <c r="J5790">
        <v>0</v>
      </c>
      <c r="K5790">
        <v>0</v>
      </c>
      <c r="L5790">
        <v>20000000</v>
      </c>
      <c r="M5790">
        <v>20000000</v>
      </c>
      <c r="N5790">
        <v>20000000</v>
      </c>
      <c r="O5790">
        <v>20000000</v>
      </c>
      <c r="P5790">
        <v>20000000</v>
      </c>
      <c r="Q5790">
        <v>20000000</v>
      </c>
      <c r="R5790" s="14">
        <f>_xlfn.XLOOKUP(Table2[[#This Row],[LoanID]],Table1[G-L ID],Table1[ManagerCode],-99)</f>
        <v>298</v>
      </c>
      <c r="T5790"/>
    </row>
    <row r="5791" spans="1:20" x14ac:dyDescent="0.25">
      <c r="A5791">
        <v>20170630</v>
      </c>
      <c r="B5791">
        <v>2017</v>
      </c>
      <c r="C5791">
        <v>6</v>
      </c>
      <c r="D5791">
        <v>1</v>
      </c>
      <c r="E5791">
        <v>13670</v>
      </c>
      <c r="F5791">
        <v>306447.90999999997</v>
      </c>
      <c r="G5791">
        <v>0</v>
      </c>
      <c r="H5791">
        <v>0</v>
      </c>
      <c r="I5791">
        <v>0</v>
      </c>
      <c r="J5791">
        <v>0</v>
      </c>
      <c r="K5791">
        <v>0</v>
      </c>
      <c r="L5791">
        <v>37322264.049999997</v>
      </c>
      <c r="M5791">
        <v>37322264.049999997</v>
      </c>
      <c r="N5791">
        <v>37322264.049999997</v>
      </c>
      <c r="O5791">
        <v>37322264.049999997</v>
      </c>
      <c r="P5791">
        <v>37500000</v>
      </c>
      <c r="Q5791">
        <v>37500000</v>
      </c>
      <c r="R5791" s="14">
        <f>_xlfn.XLOOKUP(Table2[[#This Row],[LoanID]],Table1[G-L ID],Table1[ManagerCode],-99)</f>
        <v>298</v>
      </c>
      <c r="T5791"/>
    </row>
    <row r="5792" spans="1:20" x14ac:dyDescent="0.25">
      <c r="A5792">
        <v>20170630</v>
      </c>
      <c r="B5792">
        <v>2017</v>
      </c>
      <c r="C5792">
        <v>6</v>
      </c>
      <c r="D5792">
        <v>1</v>
      </c>
      <c r="E5792">
        <v>13680</v>
      </c>
      <c r="F5792">
        <v>149062.5</v>
      </c>
      <c r="G5792">
        <v>0</v>
      </c>
      <c r="H5792">
        <v>0</v>
      </c>
      <c r="I5792">
        <v>0</v>
      </c>
      <c r="J5792">
        <v>0</v>
      </c>
      <c r="K5792">
        <v>0</v>
      </c>
      <c r="L5792">
        <v>17989534.25</v>
      </c>
      <c r="M5792">
        <v>17989534.25</v>
      </c>
      <c r="N5792">
        <v>17989534.25</v>
      </c>
      <c r="O5792">
        <v>17989534.25</v>
      </c>
      <c r="P5792">
        <v>18000000</v>
      </c>
      <c r="Q5792">
        <v>18000000</v>
      </c>
      <c r="R5792" s="14">
        <f>_xlfn.XLOOKUP(Table2[[#This Row],[LoanID]],Table1[G-L ID],Table1[ManagerCode],-99)</f>
        <v>298</v>
      </c>
      <c r="T5792"/>
    </row>
    <row r="5793" spans="1:20" x14ac:dyDescent="0.25">
      <c r="A5793">
        <v>20170630</v>
      </c>
      <c r="B5793">
        <v>2017</v>
      </c>
      <c r="C5793">
        <v>6</v>
      </c>
      <c r="D5793">
        <v>1</v>
      </c>
      <c r="E5793">
        <v>13690</v>
      </c>
      <c r="F5793">
        <v>133472.22</v>
      </c>
      <c r="G5793">
        <v>0</v>
      </c>
      <c r="H5793">
        <v>0</v>
      </c>
      <c r="I5793">
        <v>0</v>
      </c>
      <c r="J5793">
        <v>0</v>
      </c>
      <c r="K5793">
        <v>0</v>
      </c>
      <c r="L5793">
        <v>18960334.350000001</v>
      </c>
      <c r="M5793">
        <v>18960334.350000001</v>
      </c>
      <c r="N5793">
        <v>18960334.350000001</v>
      </c>
      <c r="O5793">
        <v>18960334.350000001</v>
      </c>
      <c r="P5793">
        <v>20000000</v>
      </c>
      <c r="Q5793">
        <v>20000000</v>
      </c>
      <c r="R5793" s="14">
        <f>_xlfn.XLOOKUP(Table2[[#This Row],[LoanID]],Table1[G-L ID],Table1[ManagerCode],-99)</f>
        <v>298</v>
      </c>
      <c r="T5793"/>
    </row>
    <row r="5794" spans="1:20" x14ac:dyDescent="0.25">
      <c r="A5794">
        <v>20170630</v>
      </c>
      <c r="B5794">
        <v>2017</v>
      </c>
      <c r="C5794">
        <v>6</v>
      </c>
      <c r="D5794">
        <v>1</v>
      </c>
      <c r="E5794">
        <v>15540</v>
      </c>
      <c r="F5794">
        <v>227940.42</v>
      </c>
      <c r="G5794">
        <v>-3677.92</v>
      </c>
      <c r="H5794">
        <v>0</v>
      </c>
      <c r="I5794">
        <v>-2260.42</v>
      </c>
      <c r="J5794">
        <v>0</v>
      </c>
      <c r="K5794">
        <v>0</v>
      </c>
      <c r="L5794">
        <v>52727940.420000002</v>
      </c>
      <c r="M5794">
        <v>52724262.5</v>
      </c>
      <c r="N5794">
        <v>52727940.420000002</v>
      </c>
      <c r="O5794">
        <v>52724262.5</v>
      </c>
      <c r="P5794">
        <v>52727940.420000002</v>
      </c>
      <c r="Q5794">
        <v>52724262.5</v>
      </c>
      <c r="R5794" s="14">
        <f>_xlfn.XLOOKUP(Table2[[#This Row],[LoanID]],Table1[G-L ID],Table1[ManagerCode],-99)</f>
        <v>212</v>
      </c>
      <c r="T5794"/>
    </row>
    <row r="5795" spans="1:20" x14ac:dyDescent="0.25">
      <c r="A5795">
        <v>20170630</v>
      </c>
      <c r="B5795">
        <v>2017</v>
      </c>
      <c r="C5795">
        <v>6</v>
      </c>
      <c r="D5795">
        <v>1</v>
      </c>
      <c r="E5795">
        <v>15580</v>
      </c>
      <c r="F5795">
        <v>116809.88</v>
      </c>
      <c r="G5795">
        <v>-3818.87</v>
      </c>
      <c r="H5795">
        <v>0</v>
      </c>
      <c r="I5795">
        <v>0</v>
      </c>
      <c r="J5795">
        <v>0</v>
      </c>
      <c r="K5795">
        <v>6591.43</v>
      </c>
      <c r="L5795">
        <v>14781694.609999999</v>
      </c>
      <c r="M5795">
        <v>14771284.310000001</v>
      </c>
      <c r="N5795">
        <v>14781694.609999999</v>
      </c>
      <c r="O5795">
        <v>14771284.310000001</v>
      </c>
      <c r="P5795">
        <v>14781694.609999999</v>
      </c>
      <c r="Q5795">
        <v>14771284.310000001</v>
      </c>
      <c r="R5795" s="14">
        <f>_xlfn.XLOOKUP(Table2[[#This Row],[LoanID]],Table1[G-L ID],Table1[ManagerCode],-99)</f>
        <v>212</v>
      </c>
      <c r="T5795"/>
    </row>
    <row r="5796" spans="1:20" x14ac:dyDescent="0.25">
      <c r="A5796">
        <v>20170731</v>
      </c>
      <c r="B5796">
        <v>2017</v>
      </c>
      <c r="C5796">
        <v>7</v>
      </c>
      <c r="D5796">
        <v>1</v>
      </c>
      <c r="E5796">
        <v>10010</v>
      </c>
      <c r="F5796">
        <v>174246.49</v>
      </c>
      <c r="G5796">
        <v>0</v>
      </c>
      <c r="H5796">
        <v>0</v>
      </c>
      <c r="I5796">
        <v>0</v>
      </c>
      <c r="J5796">
        <v>0</v>
      </c>
      <c r="K5796">
        <v>0</v>
      </c>
      <c r="L5796">
        <v>18978838.640000001</v>
      </c>
      <c r="M5796">
        <v>18978838.640000001</v>
      </c>
      <c r="N5796">
        <v>18978838.640000001</v>
      </c>
      <c r="O5796">
        <v>18978838.640000001</v>
      </c>
      <c r="P5796">
        <v>18978838.640000001</v>
      </c>
      <c r="Q5796">
        <v>18978838.640000001</v>
      </c>
      <c r="R5796" s="14">
        <f>_xlfn.XLOOKUP(Table2[[#This Row],[LoanID]],Table1[G-L ID],Table1[ManagerCode],-99)</f>
        <v>119</v>
      </c>
      <c r="T5796"/>
    </row>
    <row r="5797" spans="1:20" x14ac:dyDescent="0.25">
      <c r="A5797">
        <v>20170731</v>
      </c>
      <c r="B5797">
        <v>2017</v>
      </c>
      <c r="C5797">
        <v>7</v>
      </c>
      <c r="D5797">
        <v>1</v>
      </c>
      <c r="E5797">
        <v>10030</v>
      </c>
      <c r="F5797">
        <v>89284.76</v>
      </c>
      <c r="G5797">
        <v>0</v>
      </c>
      <c r="H5797">
        <v>0</v>
      </c>
      <c r="I5797">
        <v>0</v>
      </c>
      <c r="J5797">
        <v>0</v>
      </c>
      <c r="K5797">
        <v>0</v>
      </c>
      <c r="L5797">
        <v>10948829.699999999</v>
      </c>
      <c r="M5797">
        <v>10948829.699999999</v>
      </c>
      <c r="N5797">
        <v>10948829.699999999</v>
      </c>
      <c r="O5797">
        <v>10948829.699999999</v>
      </c>
      <c r="P5797">
        <v>10948829.699999999</v>
      </c>
      <c r="Q5797">
        <v>10948829.699999999</v>
      </c>
      <c r="R5797" s="14">
        <f>_xlfn.XLOOKUP(Table2[[#This Row],[LoanID]],Table1[G-L ID],Table1[ManagerCode],-99)</f>
        <v>119</v>
      </c>
      <c r="T5797"/>
    </row>
    <row r="5798" spans="1:20" x14ac:dyDescent="0.25">
      <c r="A5798">
        <v>20170731</v>
      </c>
      <c r="B5798">
        <v>2017</v>
      </c>
      <c r="C5798">
        <v>7</v>
      </c>
      <c r="D5798">
        <v>1</v>
      </c>
      <c r="E5798">
        <v>10040</v>
      </c>
      <c r="F5798">
        <v>46325</v>
      </c>
      <c r="G5798">
        <v>0</v>
      </c>
      <c r="H5798">
        <v>0</v>
      </c>
      <c r="I5798">
        <v>0</v>
      </c>
      <c r="J5798">
        <v>0</v>
      </c>
      <c r="K5798">
        <v>0</v>
      </c>
      <c r="L5798">
        <v>5000000</v>
      </c>
      <c r="M5798">
        <v>5000000</v>
      </c>
      <c r="N5798">
        <v>5000000</v>
      </c>
      <c r="O5798">
        <v>5000000</v>
      </c>
      <c r="P5798">
        <v>5000000</v>
      </c>
      <c r="Q5798">
        <v>5000000</v>
      </c>
      <c r="R5798" s="14">
        <f>_xlfn.XLOOKUP(Table2[[#This Row],[LoanID]],Table1[G-L ID],Table1[ManagerCode],-99)</f>
        <v>119</v>
      </c>
      <c r="T5798"/>
    </row>
    <row r="5799" spans="1:20" x14ac:dyDescent="0.25">
      <c r="A5799">
        <v>20170731</v>
      </c>
      <c r="B5799">
        <v>2017</v>
      </c>
      <c r="C5799">
        <v>7</v>
      </c>
      <c r="D5799">
        <v>1</v>
      </c>
      <c r="E5799">
        <v>10050</v>
      </c>
      <c r="F5799">
        <v>129642.08</v>
      </c>
      <c r="G5799">
        <v>0</v>
      </c>
      <c r="H5799">
        <v>0</v>
      </c>
      <c r="I5799">
        <v>0</v>
      </c>
      <c r="J5799">
        <v>0</v>
      </c>
      <c r="K5799">
        <v>0</v>
      </c>
      <c r="L5799">
        <v>37519440.229999997</v>
      </c>
      <c r="M5799">
        <v>37553881.859999999</v>
      </c>
      <c r="N5799">
        <v>37519440.229999997</v>
      </c>
      <c r="O5799">
        <v>37553881.859999999</v>
      </c>
      <c r="P5799">
        <v>33333334</v>
      </c>
      <c r="Q5799">
        <v>33333334</v>
      </c>
      <c r="R5799" s="14">
        <f>_xlfn.XLOOKUP(Table2[[#This Row],[LoanID]],Table1[G-L ID],Table1[ManagerCode],-99)</f>
        <v>103</v>
      </c>
      <c r="T5799"/>
    </row>
    <row r="5800" spans="1:20" x14ac:dyDescent="0.25">
      <c r="A5800">
        <v>20170731</v>
      </c>
      <c r="B5800">
        <v>2017</v>
      </c>
      <c r="C5800">
        <v>7</v>
      </c>
      <c r="D5800">
        <v>1</v>
      </c>
      <c r="E5800">
        <v>10070</v>
      </c>
      <c r="F5800">
        <v>66622.5</v>
      </c>
      <c r="G5800">
        <v>0</v>
      </c>
      <c r="H5800">
        <v>0</v>
      </c>
      <c r="I5800">
        <v>0</v>
      </c>
      <c r="J5800">
        <v>0</v>
      </c>
      <c r="K5800">
        <v>0</v>
      </c>
      <c r="L5800">
        <v>5875000</v>
      </c>
      <c r="M5800">
        <v>5875000</v>
      </c>
      <c r="N5800">
        <v>5875000</v>
      </c>
      <c r="O5800">
        <v>5875000</v>
      </c>
      <c r="P5800">
        <v>5875000</v>
      </c>
      <c r="Q5800">
        <v>5875000</v>
      </c>
      <c r="R5800" s="14">
        <f>_xlfn.XLOOKUP(Table2[[#This Row],[LoanID]],Table1[G-L ID],Table1[ManagerCode],-99)</f>
        <v>119</v>
      </c>
      <c r="T5800"/>
    </row>
    <row r="5801" spans="1:20" x14ac:dyDescent="0.25">
      <c r="A5801">
        <v>20170731</v>
      </c>
      <c r="B5801">
        <v>2017</v>
      </c>
      <c r="C5801">
        <v>7</v>
      </c>
      <c r="D5801">
        <v>1</v>
      </c>
      <c r="E5801">
        <v>10110</v>
      </c>
      <c r="F5801">
        <v>147176.32999999999</v>
      </c>
      <c r="G5801">
        <v>0</v>
      </c>
      <c r="H5801">
        <v>0</v>
      </c>
      <c r="I5801">
        <v>0</v>
      </c>
      <c r="J5801">
        <v>0</v>
      </c>
      <c r="K5801">
        <v>0</v>
      </c>
      <c r="L5801">
        <v>16400000</v>
      </c>
      <c r="M5801">
        <v>16400000</v>
      </c>
      <c r="N5801">
        <v>16400000</v>
      </c>
      <c r="O5801">
        <v>16400000</v>
      </c>
      <c r="P5801">
        <v>16400000</v>
      </c>
      <c r="Q5801">
        <v>16400000</v>
      </c>
      <c r="R5801" s="14">
        <f>_xlfn.XLOOKUP(Table2[[#This Row],[LoanID]],Table1[G-L ID],Table1[ManagerCode],-99)</f>
        <v>119</v>
      </c>
      <c r="T5801"/>
    </row>
    <row r="5802" spans="1:20" x14ac:dyDescent="0.25">
      <c r="A5802">
        <v>20170731</v>
      </c>
      <c r="B5802">
        <v>2017</v>
      </c>
      <c r="C5802">
        <v>7</v>
      </c>
      <c r="D5802">
        <v>1</v>
      </c>
      <c r="E5802">
        <v>10120</v>
      </c>
      <c r="F5802">
        <v>59808.88</v>
      </c>
      <c r="G5802">
        <v>65169.4</v>
      </c>
      <c r="H5802">
        <v>0</v>
      </c>
      <c r="I5802">
        <v>0</v>
      </c>
      <c r="J5802">
        <v>0</v>
      </c>
      <c r="K5802">
        <v>0</v>
      </c>
      <c r="L5802">
        <v>12050711.84</v>
      </c>
      <c r="M5802">
        <v>12115881.24</v>
      </c>
      <c r="N5802">
        <v>12050711.84</v>
      </c>
      <c r="O5802">
        <v>12115881.24</v>
      </c>
      <c r="P5802">
        <v>12050711.84</v>
      </c>
      <c r="Q5802">
        <v>12115881.24</v>
      </c>
      <c r="R5802" s="14">
        <f>_xlfn.XLOOKUP(Table2[[#This Row],[LoanID]],Table1[G-L ID],Table1[ManagerCode],-99)</f>
        <v>183</v>
      </c>
      <c r="T5802"/>
    </row>
    <row r="5803" spans="1:20" x14ac:dyDescent="0.25">
      <c r="A5803">
        <v>20170731</v>
      </c>
      <c r="B5803">
        <v>2017</v>
      </c>
      <c r="C5803">
        <v>7</v>
      </c>
      <c r="D5803">
        <v>1</v>
      </c>
      <c r="E5803">
        <v>10160</v>
      </c>
      <c r="F5803">
        <v>130302.33</v>
      </c>
      <c r="G5803">
        <v>0</v>
      </c>
      <c r="H5803">
        <v>0</v>
      </c>
      <c r="I5803">
        <v>0</v>
      </c>
      <c r="J5803">
        <v>0</v>
      </c>
      <c r="K5803">
        <v>0</v>
      </c>
      <c r="L5803">
        <v>15450869.43</v>
      </c>
      <c r="M5803">
        <v>15450869.43</v>
      </c>
      <c r="N5803">
        <v>15450869.43</v>
      </c>
      <c r="O5803">
        <v>15450869.43</v>
      </c>
      <c r="P5803">
        <v>15450869.43</v>
      </c>
      <c r="Q5803">
        <v>15450869.43</v>
      </c>
      <c r="R5803" s="14">
        <f>_xlfn.XLOOKUP(Table2[[#This Row],[LoanID]],Table1[G-L ID],Table1[ManagerCode],-99)</f>
        <v>119</v>
      </c>
      <c r="T5803"/>
    </row>
    <row r="5804" spans="1:20" x14ac:dyDescent="0.25">
      <c r="A5804">
        <v>20170731</v>
      </c>
      <c r="B5804">
        <v>2017</v>
      </c>
      <c r="C5804">
        <v>7</v>
      </c>
      <c r="D5804">
        <v>1</v>
      </c>
      <c r="E5804">
        <v>10220</v>
      </c>
      <c r="F5804">
        <v>0</v>
      </c>
      <c r="G5804">
        <v>0</v>
      </c>
      <c r="H5804">
        <v>0</v>
      </c>
      <c r="I5804">
        <v>0</v>
      </c>
      <c r="J5804">
        <v>0</v>
      </c>
      <c r="K5804">
        <v>0</v>
      </c>
      <c r="L5804">
        <v>112891338.40000001</v>
      </c>
      <c r="M5804">
        <v>113015987.09999999</v>
      </c>
      <c r="N5804">
        <v>112891338.40000001</v>
      </c>
      <c r="O5804">
        <v>113015987.09999999</v>
      </c>
      <c r="P5804">
        <v>100000000</v>
      </c>
      <c r="Q5804">
        <v>100000000</v>
      </c>
      <c r="R5804" s="14">
        <f>_xlfn.XLOOKUP(Table2[[#This Row],[LoanID]],Table1[G-L ID],Table1[ManagerCode],-99)</f>
        <v>103</v>
      </c>
      <c r="T5804"/>
    </row>
    <row r="5805" spans="1:20" x14ac:dyDescent="0.25">
      <c r="A5805">
        <v>20170731</v>
      </c>
      <c r="B5805">
        <v>2017</v>
      </c>
      <c r="C5805">
        <v>7</v>
      </c>
      <c r="D5805">
        <v>1</v>
      </c>
      <c r="E5805">
        <v>10240</v>
      </c>
      <c r="F5805">
        <v>95406.25</v>
      </c>
      <c r="G5805">
        <v>0</v>
      </c>
      <c r="H5805">
        <v>0</v>
      </c>
      <c r="I5805">
        <v>0</v>
      </c>
      <c r="J5805">
        <v>0</v>
      </c>
      <c r="K5805">
        <v>0</v>
      </c>
      <c r="L5805">
        <v>12500000</v>
      </c>
      <c r="M5805">
        <v>12500000</v>
      </c>
      <c r="N5805">
        <v>12500000</v>
      </c>
      <c r="O5805">
        <v>12500000</v>
      </c>
      <c r="P5805">
        <v>12500000</v>
      </c>
      <c r="Q5805">
        <v>12500000</v>
      </c>
      <c r="R5805" s="14">
        <f>_xlfn.XLOOKUP(Table2[[#This Row],[LoanID]],Table1[G-L ID],Table1[ManagerCode],-99)</f>
        <v>220</v>
      </c>
      <c r="T5805"/>
    </row>
    <row r="5806" spans="1:20" x14ac:dyDescent="0.25">
      <c r="A5806">
        <v>20170731</v>
      </c>
      <c r="B5806">
        <v>2017</v>
      </c>
      <c r="C5806">
        <v>7</v>
      </c>
      <c r="D5806">
        <v>1</v>
      </c>
      <c r="E5806">
        <v>10250</v>
      </c>
      <c r="F5806">
        <v>51829.17</v>
      </c>
      <c r="G5806">
        <v>0</v>
      </c>
      <c r="H5806">
        <v>0</v>
      </c>
      <c r="I5806">
        <v>0</v>
      </c>
      <c r="J5806">
        <v>0</v>
      </c>
      <c r="K5806">
        <v>0</v>
      </c>
      <c r="L5806">
        <v>5000000</v>
      </c>
      <c r="M5806">
        <v>5000000</v>
      </c>
      <c r="N5806">
        <v>5000000</v>
      </c>
      <c r="O5806">
        <v>5000000</v>
      </c>
      <c r="P5806">
        <v>5000000</v>
      </c>
      <c r="Q5806">
        <v>5000000</v>
      </c>
      <c r="R5806" s="14">
        <f>_xlfn.XLOOKUP(Table2[[#This Row],[LoanID]],Table1[G-L ID],Table1[ManagerCode],-99)</f>
        <v>119</v>
      </c>
      <c r="T5806"/>
    </row>
    <row r="5807" spans="1:20" x14ac:dyDescent="0.25">
      <c r="A5807">
        <v>20170731</v>
      </c>
      <c r="B5807">
        <v>2017</v>
      </c>
      <c r="C5807">
        <v>7</v>
      </c>
      <c r="D5807">
        <v>1</v>
      </c>
      <c r="E5807">
        <v>10260</v>
      </c>
      <c r="F5807">
        <v>114540</v>
      </c>
      <c r="G5807">
        <v>0</v>
      </c>
      <c r="H5807">
        <v>0</v>
      </c>
      <c r="I5807">
        <v>0</v>
      </c>
      <c r="J5807">
        <v>0</v>
      </c>
      <c r="K5807">
        <v>0</v>
      </c>
      <c r="L5807">
        <v>15000000</v>
      </c>
      <c r="M5807">
        <v>15000000</v>
      </c>
      <c r="N5807">
        <v>15000000</v>
      </c>
      <c r="O5807">
        <v>15000000</v>
      </c>
      <c r="P5807">
        <v>15000000</v>
      </c>
      <c r="Q5807">
        <v>15000000</v>
      </c>
      <c r="R5807" s="14">
        <f>_xlfn.XLOOKUP(Table2[[#This Row],[LoanID]],Table1[G-L ID],Table1[ManagerCode],-99)</f>
        <v>220</v>
      </c>
      <c r="T5807"/>
    </row>
    <row r="5808" spans="1:20" x14ac:dyDescent="0.25">
      <c r="A5808">
        <v>20170731</v>
      </c>
      <c r="B5808">
        <v>2017</v>
      </c>
      <c r="C5808">
        <v>7</v>
      </c>
      <c r="D5808">
        <v>1</v>
      </c>
      <c r="E5808">
        <v>10270</v>
      </c>
      <c r="F5808">
        <v>46142.05</v>
      </c>
      <c r="G5808">
        <v>0</v>
      </c>
      <c r="H5808">
        <v>0</v>
      </c>
      <c r="I5808">
        <v>0</v>
      </c>
      <c r="J5808">
        <v>0</v>
      </c>
      <c r="K5808">
        <v>900000</v>
      </c>
      <c r="L5808">
        <v>5400000</v>
      </c>
      <c r="M5808">
        <v>4500000</v>
      </c>
      <c r="N5808">
        <v>5400000</v>
      </c>
      <c r="O5808">
        <v>4500000</v>
      </c>
      <c r="P5808">
        <v>5400000</v>
      </c>
      <c r="Q5808">
        <v>4500000</v>
      </c>
      <c r="R5808" s="14">
        <f>_xlfn.XLOOKUP(Table2[[#This Row],[LoanID]],Table1[G-L ID],Table1[ManagerCode],-99)</f>
        <v>119</v>
      </c>
      <c r="T5808"/>
    </row>
    <row r="5809" spans="1:20" x14ac:dyDescent="0.25">
      <c r="A5809">
        <v>20170731</v>
      </c>
      <c r="B5809">
        <v>2017</v>
      </c>
      <c r="C5809">
        <v>7</v>
      </c>
      <c r="D5809">
        <v>1</v>
      </c>
      <c r="E5809">
        <v>10330</v>
      </c>
      <c r="F5809">
        <v>85893.06</v>
      </c>
      <c r="G5809">
        <v>0</v>
      </c>
      <c r="H5809">
        <v>0</v>
      </c>
      <c r="I5809">
        <v>0</v>
      </c>
      <c r="J5809">
        <v>0</v>
      </c>
      <c r="K5809">
        <v>0</v>
      </c>
      <c r="L5809">
        <v>8652759.6999999993</v>
      </c>
      <c r="M5809">
        <v>8652759.6999999993</v>
      </c>
      <c r="N5809">
        <v>8652759.6999999993</v>
      </c>
      <c r="O5809">
        <v>8652759.6999999993</v>
      </c>
      <c r="P5809">
        <v>8652759.6999999993</v>
      </c>
      <c r="Q5809">
        <v>8652759.6999999993</v>
      </c>
      <c r="R5809" s="14">
        <f>_xlfn.XLOOKUP(Table2[[#This Row],[LoanID]],Table1[G-L ID],Table1[ManagerCode],-99)</f>
        <v>119</v>
      </c>
      <c r="T5809"/>
    </row>
    <row r="5810" spans="1:20" x14ac:dyDescent="0.25">
      <c r="A5810">
        <v>20170731</v>
      </c>
      <c r="B5810">
        <v>2017</v>
      </c>
      <c r="C5810">
        <v>7</v>
      </c>
      <c r="D5810">
        <v>1</v>
      </c>
      <c r="E5810">
        <v>10350</v>
      </c>
      <c r="F5810">
        <v>192888.89</v>
      </c>
      <c r="G5810">
        <v>0</v>
      </c>
      <c r="H5810">
        <v>0</v>
      </c>
      <c r="I5810">
        <v>0</v>
      </c>
      <c r="J5810">
        <v>0</v>
      </c>
      <c r="K5810">
        <v>0</v>
      </c>
      <c r="L5810">
        <v>24800000</v>
      </c>
      <c r="M5810">
        <v>24800000</v>
      </c>
      <c r="N5810">
        <v>24800000</v>
      </c>
      <c r="O5810">
        <v>24800000</v>
      </c>
      <c r="P5810">
        <v>24800000</v>
      </c>
      <c r="Q5810">
        <v>24800000</v>
      </c>
      <c r="R5810" s="14">
        <f>_xlfn.XLOOKUP(Table2[[#This Row],[LoanID]],Table1[G-L ID],Table1[ManagerCode],-99)</f>
        <v>220</v>
      </c>
      <c r="T5810"/>
    </row>
    <row r="5811" spans="1:20" x14ac:dyDescent="0.25">
      <c r="A5811">
        <v>20170731</v>
      </c>
      <c r="B5811">
        <v>2017</v>
      </c>
      <c r="C5811">
        <v>7</v>
      </c>
      <c r="D5811">
        <v>1</v>
      </c>
      <c r="E5811">
        <v>10360</v>
      </c>
      <c r="F5811">
        <v>57858.96</v>
      </c>
      <c r="G5811">
        <v>0</v>
      </c>
      <c r="H5811">
        <v>0</v>
      </c>
      <c r="I5811">
        <v>0</v>
      </c>
      <c r="J5811">
        <v>0</v>
      </c>
      <c r="K5811">
        <v>0</v>
      </c>
      <c r="L5811">
        <v>5909000</v>
      </c>
      <c r="M5811">
        <v>5909000</v>
      </c>
      <c r="N5811">
        <v>5909000</v>
      </c>
      <c r="O5811">
        <v>5909000</v>
      </c>
      <c r="P5811">
        <v>5909000</v>
      </c>
      <c r="Q5811">
        <v>5909000</v>
      </c>
      <c r="R5811" s="14">
        <f>_xlfn.XLOOKUP(Table2[[#This Row],[LoanID]],Table1[G-L ID],Table1[ManagerCode],-99)</f>
        <v>183</v>
      </c>
      <c r="T5811"/>
    </row>
    <row r="5812" spans="1:20" x14ac:dyDescent="0.25">
      <c r="A5812">
        <v>20170731</v>
      </c>
      <c r="B5812">
        <v>2017</v>
      </c>
      <c r="C5812">
        <v>7</v>
      </c>
      <c r="D5812">
        <v>1</v>
      </c>
      <c r="E5812">
        <v>10480</v>
      </c>
      <c r="F5812">
        <v>426722.98</v>
      </c>
      <c r="G5812">
        <v>0</v>
      </c>
      <c r="H5812">
        <v>106095.89</v>
      </c>
      <c r="I5812">
        <v>0</v>
      </c>
      <c r="J5812">
        <v>3380798.62</v>
      </c>
      <c r="K5812">
        <v>0</v>
      </c>
      <c r="L5812">
        <v>21380798.620000001</v>
      </c>
      <c r="M5812">
        <v>18000000</v>
      </c>
      <c r="N5812">
        <v>21380798.620000001</v>
      </c>
      <c r="O5812">
        <v>18000000</v>
      </c>
      <c r="P5812">
        <v>21380798.620000001</v>
      </c>
      <c r="Q5812">
        <v>18000000</v>
      </c>
      <c r="R5812" s="14">
        <f>_xlfn.XLOOKUP(Table2[[#This Row],[LoanID]],Table1[G-L ID],Table1[ManagerCode],-99)</f>
        <v>119</v>
      </c>
      <c r="T5812"/>
    </row>
    <row r="5813" spans="1:20" x14ac:dyDescent="0.25">
      <c r="A5813">
        <v>20170731</v>
      </c>
      <c r="B5813">
        <v>2017</v>
      </c>
      <c r="C5813">
        <v>7</v>
      </c>
      <c r="D5813">
        <v>1</v>
      </c>
      <c r="E5813">
        <v>10500</v>
      </c>
      <c r="F5813">
        <v>178650.06</v>
      </c>
      <c r="G5813">
        <v>0</v>
      </c>
      <c r="H5813">
        <v>0</v>
      </c>
      <c r="I5813">
        <v>0</v>
      </c>
      <c r="J5813">
        <v>0</v>
      </c>
      <c r="K5813">
        <v>0</v>
      </c>
      <c r="L5813">
        <v>19211405.440000001</v>
      </c>
      <c r="M5813">
        <v>19211405.440000001</v>
      </c>
      <c r="N5813">
        <v>19211405.440000001</v>
      </c>
      <c r="O5813">
        <v>19211405.440000001</v>
      </c>
      <c r="P5813">
        <v>19211405.440000001</v>
      </c>
      <c r="Q5813">
        <v>19211405.440000001</v>
      </c>
      <c r="R5813" s="14">
        <f>_xlfn.XLOOKUP(Table2[[#This Row],[LoanID]],Table1[G-L ID],Table1[ManagerCode],-99)</f>
        <v>119</v>
      </c>
      <c r="T5813"/>
    </row>
    <row r="5814" spans="1:20" x14ac:dyDescent="0.25">
      <c r="A5814">
        <v>20170731</v>
      </c>
      <c r="B5814">
        <v>2017</v>
      </c>
      <c r="C5814">
        <v>7</v>
      </c>
      <c r="D5814">
        <v>1</v>
      </c>
      <c r="E5814">
        <v>10620</v>
      </c>
      <c r="F5814">
        <v>112476.57</v>
      </c>
      <c r="G5814">
        <v>0</v>
      </c>
      <c r="H5814">
        <v>0</v>
      </c>
      <c r="I5814">
        <v>0</v>
      </c>
      <c r="J5814">
        <v>0</v>
      </c>
      <c r="K5814">
        <v>0</v>
      </c>
      <c r="L5814">
        <v>11469398.189999999</v>
      </c>
      <c r="M5814">
        <v>11469398.609999999</v>
      </c>
      <c r="N5814">
        <v>11469398.189999999</v>
      </c>
      <c r="O5814">
        <v>11469398.609999999</v>
      </c>
      <c r="P5814">
        <v>11469398.189999999</v>
      </c>
      <c r="Q5814">
        <v>11469398.609999999</v>
      </c>
      <c r="R5814" s="14">
        <f>_xlfn.XLOOKUP(Table2[[#This Row],[LoanID]],Table1[G-L ID],Table1[ManagerCode],-99)</f>
        <v>119</v>
      </c>
      <c r="T5814"/>
    </row>
    <row r="5815" spans="1:20" x14ac:dyDescent="0.25">
      <c r="A5815">
        <v>20170731</v>
      </c>
      <c r="B5815">
        <v>2017</v>
      </c>
      <c r="C5815">
        <v>7</v>
      </c>
      <c r="D5815">
        <v>1</v>
      </c>
      <c r="E5815">
        <v>10670</v>
      </c>
      <c r="F5815">
        <v>268975</v>
      </c>
      <c r="G5815">
        <v>0</v>
      </c>
      <c r="H5815">
        <v>0</v>
      </c>
      <c r="I5815">
        <v>0</v>
      </c>
      <c r="J5815">
        <v>0</v>
      </c>
      <c r="K5815">
        <v>0</v>
      </c>
      <c r="L5815">
        <v>30000000</v>
      </c>
      <c r="M5815">
        <v>30000000</v>
      </c>
      <c r="N5815">
        <v>30000000</v>
      </c>
      <c r="O5815">
        <v>30000000</v>
      </c>
      <c r="P5815">
        <v>30000000</v>
      </c>
      <c r="Q5815">
        <v>30000000</v>
      </c>
      <c r="R5815" s="14">
        <f>_xlfn.XLOOKUP(Table2[[#This Row],[LoanID]],Table1[G-L ID],Table1[ManagerCode],-99)</f>
        <v>119</v>
      </c>
      <c r="T5815"/>
    </row>
    <row r="5816" spans="1:20" x14ac:dyDescent="0.25">
      <c r="A5816">
        <v>20170731</v>
      </c>
      <c r="B5816">
        <v>2017</v>
      </c>
      <c r="C5816">
        <v>7</v>
      </c>
      <c r="D5816">
        <v>1</v>
      </c>
      <c r="E5816">
        <v>10680</v>
      </c>
      <c r="F5816">
        <v>100944.05</v>
      </c>
      <c r="G5816">
        <v>0</v>
      </c>
      <c r="H5816">
        <v>0</v>
      </c>
      <c r="I5816">
        <v>0</v>
      </c>
      <c r="J5816">
        <v>0</v>
      </c>
      <c r="K5816">
        <v>0</v>
      </c>
      <c r="L5816">
        <v>11442088.51</v>
      </c>
      <c r="M5816">
        <v>11442088.51</v>
      </c>
      <c r="N5816">
        <v>11442088.51</v>
      </c>
      <c r="O5816">
        <v>11442088.51</v>
      </c>
      <c r="P5816">
        <v>11442088.51</v>
      </c>
      <c r="Q5816">
        <v>11442088.51</v>
      </c>
      <c r="R5816" s="14">
        <f>_xlfn.XLOOKUP(Table2[[#This Row],[LoanID]],Table1[G-L ID],Table1[ManagerCode],-99)</f>
        <v>119</v>
      </c>
      <c r="T5816"/>
    </row>
    <row r="5817" spans="1:20" x14ac:dyDescent="0.25">
      <c r="A5817">
        <v>20170731</v>
      </c>
      <c r="B5817">
        <v>2017</v>
      </c>
      <c r="C5817">
        <v>7</v>
      </c>
      <c r="D5817">
        <v>1</v>
      </c>
      <c r="E5817">
        <v>10730</v>
      </c>
      <c r="F5817">
        <v>101747.38</v>
      </c>
      <c r="G5817">
        <v>0</v>
      </c>
      <c r="H5817">
        <v>0</v>
      </c>
      <c r="I5817">
        <v>0</v>
      </c>
      <c r="J5817">
        <v>0</v>
      </c>
      <c r="K5817">
        <v>0</v>
      </c>
      <c r="L5817">
        <v>9500000</v>
      </c>
      <c r="M5817">
        <v>9500000</v>
      </c>
      <c r="N5817">
        <v>9500000</v>
      </c>
      <c r="O5817">
        <v>9500000</v>
      </c>
      <c r="P5817">
        <v>9500000</v>
      </c>
      <c r="Q5817">
        <v>9500000</v>
      </c>
      <c r="R5817" s="14">
        <f>_xlfn.XLOOKUP(Table2[[#This Row],[LoanID]],Table1[G-L ID],Table1[ManagerCode],-99)</f>
        <v>119</v>
      </c>
      <c r="T5817"/>
    </row>
    <row r="5818" spans="1:20" x14ac:dyDescent="0.25">
      <c r="A5818">
        <v>20170731</v>
      </c>
      <c r="B5818">
        <v>2017</v>
      </c>
      <c r="C5818">
        <v>7</v>
      </c>
      <c r="D5818">
        <v>1</v>
      </c>
      <c r="E5818">
        <v>10750</v>
      </c>
      <c r="F5818">
        <v>77695.53</v>
      </c>
      <c r="G5818">
        <v>0</v>
      </c>
      <c r="H5818">
        <v>0</v>
      </c>
      <c r="I5818">
        <v>0</v>
      </c>
      <c r="J5818">
        <v>0</v>
      </c>
      <c r="K5818">
        <v>0</v>
      </c>
      <c r="L5818">
        <v>8939713.5199999996</v>
      </c>
      <c r="M5818">
        <v>8939713.5199999996</v>
      </c>
      <c r="N5818">
        <v>8939713.5199999996</v>
      </c>
      <c r="O5818">
        <v>8939713.5199999996</v>
      </c>
      <c r="P5818">
        <v>8939713.5199999996</v>
      </c>
      <c r="Q5818">
        <v>8939713.5199999996</v>
      </c>
      <c r="R5818" s="14">
        <f>_xlfn.XLOOKUP(Table2[[#This Row],[LoanID]],Table1[G-L ID],Table1[ManagerCode],-99)</f>
        <v>119</v>
      </c>
      <c r="T5818"/>
    </row>
    <row r="5819" spans="1:20" x14ac:dyDescent="0.25">
      <c r="A5819">
        <v>20170731</v>
      </c>
      <c r="B5819">
        <v>2017</v>
      </c>
      <c r="C5819">
        <v>7</v>
      </c>
      <c r="D5819">
        <v>1</v>
      </c>
      <c r="E5819">
        <v>10780</v>
      </c>
      <c r="F5819">
        <v>336624.51</v>
      </c>
      <c r="G5819">
        <v>0</v>
      </c>
      <c r="H5819">
        <v>0</v>
      </c>
      <c r="I5819">
        <v>0</v>
      </c>
      <c r="J5819">
        <v>0</v>
      </c>
      <c r="K5819">
        <v>0</v>
      </c>
      <c r="L5819">
        <v>42932230</v>
      </c>
      <c r="M5819">
        <v>42932230</v>
      </c>
      <c r="N5819">
        <v>42932230</v>
      </c>
      <c r="O5819">
        <v>42932230</v>
      </c>
      <c r="P5819">
        <v>42932230</v>
      </c>
      <c r="Q5819">
        <v>42932230</v>
      </c>
      <c r="R5819" s="14">
        <f>_xlfn.XLOOKUP(Table2[[#This Row],[LoanID]],Table1[G-L ID],Table1[ManagerCode],-99)</f>
        <v>220</v>
      </c>
      <c r="T5819"/>
    </row>
    <row r="5820" spans="1:20" x14ac:dyDescent="0.25">
      <c r="A5820">
        <v>20170731</v>
      </c>
      <c r="B5820">
        <v>2017</v>
      </c>
      <c r="C5820">
        <v>7</v>
      </c>
      <c r="D5820">
        <v>1</v>
      </c>
      <c r="E5820">
        <v>10800</v>
      </c>
      <c r="F5820">
        <v>426360</v>
      </c>
      <c r="G5820">
        <v>0</v>
      </c>
      <c r="H5820">
        <v>0</v>
      </c>
      <c r="I5820">
        <v>0</v>
      </c>
      <c r="J5820">
        <v>0</v>
      </c>
      <c r="K5820">
        <v>0</v>
      </c>
      <c r="L5820">
        <v>48000000</v>
      </c>
      <c r="M5820">
        <v>48000000</v>
      </c>
      <c r="N5820">
        <v>48000000</v>
      </c>
      <c r="O5820">
        <v>48000000</v>
      </c>
      <c r="P5820">
        <v>48000000</v>
      </c>
      <c r="Q5820">
        <v>48000000</v>
      </c>
      <c r="R5820" s="14">
        <f>_xlfn.XLOOKUP(Table2[[#This Row],[LoanID]],Table1[G-L ID],Table1[ManagerCode],-99)</f>
        <v>220</v>
      </c>
      <c r="T5820"/>
    </row>
    <row r="5821" spans="1:20" x14ac:dyDescent="0.25">
      <c r="A5821">
        <v>20170731</v>
      </c>
      <c r="B5821">
        <v>2017</v>
      </c>
      <c r="C5821">
        <v>7</v>
      </c>
      <c r="D5821">
        <v>1</v>
      </c>
      <c r="E5821">
        <v>10810</v>
      </c>
      <c r="F5821">
        <v>91741.1</v>
      </c>
      <c r="G5821">
        <v>0</v>
      </c>
      <c r="H5821">
        <v>0</v>
      </c>
      <c r="I5821">
        <v>0</v>
      </c>
      <c r="J5821">
        <v>1222743.33</v>
      </c>
      <c r="K5821">
        <v>0</v>
      </c>
      <c r="L5821">
        <v>10736281.560000001</v>
      </c>
      <c r="M5821">
        <v>9513538.2300000004</v>
      </c>
      <c r="N5821">
        <v>10736281.560000001</v>
      </c>
      <c r="O5821">
        <v>9513538.2300000004</v>
      </c>
      <c r="P5821">
        <v>10736281.560000001</v>
      </c>
      <c r="Q5821">
        <v>9513538.2300000004</v>
      </c>
      <c r="R5821" s="14">
        <f>_xlfn.XLOOKUP(Table2[[#This Row],[LoanID]],Table1[G-L ID],Table1[ManagerCode],-99)</f>
        <v>119</v>
      </c>
      <c r="T5821"/>
    </row>
    <row r="5822" spans="1:20" x14ac:dyDescent="0.25">
      <c r="A5822">
        <v>20170731</v>
      </c>
      <c r="B5822">
        <v>2017</v>
      </c>
      <c r="C5822">
        <v>7</v>
      </c>
      <c r="D5822">
        <v>1</v>
      </c>
      <c r="E5822">
        <v>10820</v>
      </c>
      <c r="F5822">
        <v>191008.09</v>
      </c>
      <c r="G5822">
        <v>0</v>
      </c>
      <c r="H5822">
        <v>0</v>
      </c>
      <c r="I5822">
        <v>0</v>
      </c>
      <c r="J5822">
        <v>0</v>
      </c>
      <c r="K5822">
        <v>0</v>
      </c>
      <c r="L5822">
        <v>24127338</v>
      </c>
      <c r="M5822">
        <v>24127338</v>
      </c>
      <c r="N5822">
        <v>24127338</v>
      </c>
      <c r="O5822">
        <v>24127338</v>
      </c>
      <c r="P5822">
        <v>24127337.739999998</v>
      </c>
      <c r="Q5822">
        <v>24127337.739999998</v>
      </c>
      <c r="R5822" s="14">
        <f>_xlfn.XLOOKUP(Table2[[#This Row],[LoanID]],Table1[G-L ID],Table1[ManagerCode],-99)</f>
        <v>220</v>
      </c>
      <c r="T5822"/>
    </row>
    <row r="5823" spans="1:20" x14ac:dyDescent="0.25">
      <c r="A5823">
        <v>20170731</v>
      </c>
      <c r="B5823">
        <v>2017</v>
      </c>
      <c r="C5823">
        <v>7</v>
      </c>
      <c r="D5823">
        <v>1</v>
      </c>
      <c r="E5823">
        <v>10830</v>
      </c>
      <c r="F5823">
        <v>61797.84</v>
      </c>
      <c r="G5823">
        <v>0</v>
      </c>
      <c r="H5823">
        <v>0</v>
      </c>
      <c r="I5823">
        <v>0</v>
      </c>
      <c r="J5823">
        <v>0</v>
      </c>
      <c r="K5823">
        <v>0</v>
      </c>
      <c r="L5823">
        <v>7806043.1399999997</v>
      </c>
      <c r="M5823">
        <v>7806043.1399999997</v>
      </c>
      <c r="N5823">
        <v>7806043.1399999997</v>
      </c>
      <c r="O5823">
        <v>7806043.1399999997</v>
      </c>
      <c r="P5823">
        <v>7806043.1399999997</v>
      </c>
      <c r="Q5823">
        <v>7806043.1399999997</v>
      </c>
      <c r="R5823" s="14">
        <f>_xlfn.XLOOKUP(Table2[[#This Row],[LoanID]],Table1[G-L ID],Table1[ManagerCode],-99)</f>
        <v>220</v>
      </c>
      <c r="T5823"/>
    </row>
    <row r="5824" spans="1:20" x14ac:dyDescent="0.25">
      <c r="A5824">
        <v>20170731</v>
      </c>
      <c r="B5824">
        <v>2017</v>
      </c>
      <c r="C5824">
        <v>7</v>
      </c>
      <c r="D5824">
        <v>1</v>
      </c>
      <c r="E5824">
        <v>10840</v>
      </c>
      <c r="F5824">
        <v>100614.41</v>
      </c>
      <c r="G5824">
        <v>0</v>
      </c>
      <c r="H5824">
        <v>0</v>
      </c>
      <c r="I5824">
        <v>0</v>
      </c>
      <c r="J5824">
        <v>0</v>
      </c>
      <c r="K5824">
        <v>0</v>
      </c>
      <c r="L5824">
        <v>12709189</v>
      </c>
      <c r="M5824">
        <v>12709189</v>
      </c>
      <c r="N5824">
        <v>12709189</v>
      </c>
      <c r="O5824">
        <v>12709189</v>
      </c>
      <c r="P5824">
        <v>12709189</v>
      </c>
      <c r="Q5824">
        <v>12709189</v>
      </c>
      <c r="R5824" s="14">
        <f>_xlfn.XLOOKUP(Table2[[#This Row],[LoanID]],Table1[G-L ID],Table1[ManagerCode],-99)</f>
        <v>220</v>
      </c>
      <c r="T5824"/>
    </row>
    <row r="5825" spans="1:20" x14ac:dyDescent="0.25">
      <c r="A5825">
        <v>20170731</v>
      </c>
      <c r="B5825">
        <v>2017</v>
      </c>
      <c r="C5825">
        <v>7</v>
      </c>
      <c r="D5825">
        <v>1</v>
      </c>
      <c r="E5825">
        <v>10850</v>
      </c>
      <c r="F5825">
        <v>106969.15</v>
      </c>
      <c r="G5825">
        <v>0</v>
      </c>
      <c r="H5825">
        <v>0</v>
      </c>
      <c r="I5825">
        <v>0</v>
      </c>
      <c r="J5825">
        <v>0</v>
      </c>
      <c r="K5825">
        <v>0</v>
      </c>
      <c r="L5825">
        <v>13511892</v>
      </c>
      <c r="M5825">
        <v>13511892</v>
      </c>
      <c r="N5825">
        <v>13511892</v>
      </c>
      <c r="O5825">
        <v>13511892</v>
      </c>
      <c r="P5825">
        <v>13511892</v>
      </c>
      <c r="Q5825">
        <v>13511892</v>
      </c>
      <c r="R5825" s="14">
        <f>_xlfn.XLOOKUP(Table2[[#This Row],[LoanID]],Table1[G-L ID],Table1[ManagerCode],-99)</f>
        <v>220</v>
      </c>
      <c r="T5825"/>
    </row>
    <row r="5826" spans="1:20" x14ac:dyDescent="0.25">
      <c r="A5826">
        <v>20170731</v>
      </c>
      <c r="B5826">
        <v>2017</v>
      </c>
      <c r="C5826">
        <v>7</v>
      </c>
      <c r="D5826">
        <v>1</v>
      </c>
      <c r="E5826">
        <v>10890</v>
      </c>
      <c r="F5826">
        <v>114279.97</v>
      </c>
      <c r="G5826">
        <v>96106.23</v>
      </c>
      <c r="H5826">
        <v>0</v>
      </c>
      <c r="I5826">
        <v>0</v>
      </c>
      <c r="J5826">
        <v>-114279.97</v>
      </c>
      <c r="K5826">
        <v>0</v>
      </c>
      <c r="L5826">
        <v>22951215.539999999</v>
      </c>
      <c r="M5826">
        <v>23161601.739999998</v>
      </c>
      <c r="N5826">
        <v>22951215.539999999</v>
      </c>
      <c r="O5826">
        <v>23161601.739999998</v>
      </c>
      <c r="P5826">
        <v>22951215.539999999</v>
      </c>
      <c r="Q5826">
        <v>23161601.739999998</v>
      </c>
      <c r="R5826" s="14">
        <f>_xlfn.XLOOKUP(Table2[[#This Row],[LoanID]],Table1[G-L ID],Table1[ManagerCode],-99)</f>
        <v>183</v>
      </c>
      <c r="T5826"/>
    </row>
    <row r="5827" spans="1:20" x14ac:dyDescent="0.25">
      <c r="A5827">
        <v>20170731</v>
      </c>
      <c r="B5827">
        <v>2017</v>
      </c>
      <c r="C5827">
        <v>7</v>
      </c>
      <c r="D5827">
        <v>1</v>
      </c>
      <c r="E5827">
        <v>10910</v>
      </c>
      <c r="F5827">
        <v>212781.11</v>
      </c>
      <c r="G5827">
        <v>0</v>
      </c>
      <c r="H5827">
        <v>0</v>
      </c>
      <c r="I5827">
        <v>0</v>
      </c>
      <c r="J5827">
        <v>0</v>
      </c>
      <c r="K5827">
        <v>0</v>
      </c>
      <c r="L5827">
        <v>22500000</v>
      </c>
      <c r="M5827">
        <v>22500000</v>
      </c>
      <c r="N5827">
        <v>22500000</v>
      </c>
      <c r="O5827">
        <v>22500000</v>
      </c>
      <c r="P5827">
        <v>22500000</v>
      </c>
      <c r="Q5827">
        <v>22500000</v>
      </c>
      <c r="R5827" s="14">
        <f>_xlfn.XLOOKUP(Table2[[#This Row],[LoanID]],Table1[G-L ID],Table1[ManagerCode],-99)</f>
        <v>119</v>
      </c>
      <c r="T5827"/>
    </row>
    <row r="5828" spans="1:20" x14ac:dyDescent="0.25">
      <c r="A5828">
        <v>20170731</v>
      </c>
      <c r="B5828">
        <v>2017</v>
      </c>
      <c r="C5828">
        <v>7</v>
      </c>
      <c r="D5828">
        <v>1</v>
      </c>
      <c r="E5828">
        <v>10930</v>
      </c>
      <c r="F5828">
        <v>0</v>
      </c>
      <c r="G5828">
        <v>197113.36</v>
      </c>
      <c r="H5828">
        <v>0</v>
      </c>
      <c r="I5828">
        <v>0</v>
      </c>
      <c r="J5828">
        <v>0</v>
      </c>
      <c r="K5828">
        <v>0</v>
      </c>
      <c r="L5828">
        <v>17852699.289999999</v>
      </c>
      <c r="M5828">
        <v>18049812.649999999</v>
      </c>
      <c r="N5828">
        <v>17852699.289999999</v>
      </c>
      <c r="O5828">
        <v>18049812.649999999</v>
      </c>
      <c r="P5828">
        <v>17852699.289999999</v>
      </c>
      <c r="Q5828">
        <v>18049812.649999999</v>
      </c>
      <c r="R5828" s="14">
        <f>_xlfn.XLOOKUP(Table2[[#This Row],[LoanID]],Table1[G-L ID],Table1[ManagerCode],-99)</f>
        <v>183</v>
      </c>
      <c r="T5828"/>
    </row>
    <row r="5829" spans="1:20" x14ac:dyDescent="0.25">
      <c r="A5829">
        <v>20170731</v>
      </c>
      <c r="B5829">
        <v>2017</v>
      </c>
      <c r="C5829">
        <v>7</v>
      </c>
      <c r="D5829">
        <v>1</v>
      </c>
      <c r="E5829">
        <v>10970</v>
      </c>
      <c r="F5829">
        <v>22903.119999999999</v>
      </c>
      <c r="G5829">
        <v>25069.38</v>
      </c>
      <c r="H5829">
        <v>0</v>
      </c>
      <c r="I5829">
        <v>0</v>
      </c>
      <c r="J5829">
        <v>-22903.119999999999</v>
      </c>
      <c r="K5829">
        <v>0</v>
      </c>
      <c r="L5829">
        <v>4619603.87</v>
      </c>
      <c r="M5829">
        <v>4667576.37</v>
      </c>
      <c r="N5829">
        <v>4619603.87</v>
      </c>
      <c r="O5829">
        <v>4667576.37</v>
      </c>
      <c r="P5829">
        <v>4619603.87</v>
      </c>
      <c r="Q5829">
        <v>4667576.37</v>
      </c>
      <c r="R5829" s="14">
        <f>_xlfn.XLOOKUP(Table2[[#This Row],[LoanID]],Table1[G-L ID],Table1[ManagerCode],-99)</f>
        <v>183</v>
      </c>
      <c r="T5829"/>
    </row>
    <row r="5830" spans="1:20" x14ac:dyDescent="0.25">
      <c r="A5830">
        <v>20170731</v>
      </c>
      <c r="B5830">
        <v>2017</v>
      </c>
      <c r="C5830">
        <v>7</v>
      </c>
      <c r="D5830">
        <v>1</v>
      </c>
      <c r="E5830">
        <v>11060</v>
      </c>
      <c r="F5830">
        <v>192112.98</v>
      </c>
      <c r="G5830">
        <v>0</v>
      </c>
      <c r="H5830">
        <v>0</v>
      </c>
      <c r="I5830">
        <v>0</v>
      </c>
      <c r="J5830">
        <v>0</v>
      </c>
      <c r="K5830">
        <v>0</v>
      </c>
      <c r="L5830">
        <v>22000000</v>
      </c>
      <c r="M5830">
        <v>22000000</v>
      </c>
      <c r="N5830">
        <v>22000000</v>
      </c>
      <c r="O5830">
        <v>22000000</v>
      </c>
      <c r="P5830">
        <v>22000000</v>
      </c>
      <c r="Q5830">
        <v>22000000</v>
      </c>
      <c r="R5830" s="14">
        <f>_xlfn.XLOOKUP(Table2[[#This Row],[LoanID]],Table1[G-L ID],Table1[ManagerCode],-99)</f>
        <v>119</v>
      </c>
      <c r="T5830"/>
    </row>
    <row r="5831" spans="1:20" x14ac:dyDescent="0.25">
      <c r="A5831">
        <v>20170731</v>
      </c>
      <c r="B5831">
        <v>2017</v>
      </c>
      <c r="C5831">
        <v>7</v>
      </c>
      <c r="D5831">
        <v>1</v>
      </c>
      <c r="E5831">
        <v>11080</v>
      </c>
      <c r="F5831">
        <v>337127.16</v>
      </c>
      <c r="G5831">
        <v>0</v>
      </c>
      <c r="H5831">
        <v>0</v>
      </c>
      <c r="I5831">
        <v>0</v>
      </c>
      <c r="J5831">
        <v>0</v>
      </c>
      <c r="K5831">
        <v>61919.27</v>
      </c>
      <c r="L5831">
        <v>39566415.409999996</v>
      </c>
      <c r="M5831">
        <v>39504496.140000001</v>
      </c>
      <c r="N5831">
        <v>39566415.409999996</v>
      </c>
      <c r="O5831">
        <v>39504496.140000001</v>
      </c>
      <c r="P5831">
        <v>39566415.409999996</v>
      </c>
      <c r="Q5831">
        <v>39504496.140000001</v>
      </c>
      <c r="R5831" s="14">
        <f>_xlfn.XLOOKUP(Table2[[#This Row],[LoanID]],Table1[G-L ID],Table1[ManagerCode],-99)</f>
        <v>119</v>
      </c>
      <c r="T5831"/>
    </row>
    <row r="5832" spans="1:20" x14ac:dyDescent="0.25">
      <c r="A5832">
        <v>20170731</v>
      </c>
      <c r="B5832">
        <v>2017</v>
      </c>
      <c r="C5832">
        <v>7</v>
      </c>
      <c r="D5832">
        <v>1</v>
      </c>
      <c r="E5832">
        <v>11090</v>
      </c>
      <c r="F5832">
        <v>0</v>
      </c>
      <c r="G5832">
        <v>0</v>
      </c>
      <c r="H5832">
        <v>0</v>
      </c>
      <c r="I5832">
        <v>0</v>
      </c>
      <c r="J5832">
        <v>0</v>
      </c>
      <c r="K5832">
        <v>0</v>
      </c>
      <c r="L5832">
        <v>11000000</v>
      </c>
      <c r="M5832">
        <v>11000000</v>
      </c>
      <c r="N5832">
        <v>11000000</v>
      </c>
      <c r="O5832">
        <v>11000000</v>
      </c>
      <c r="P5832">
        <v>11000000</v>
      </c>
      <c r="Q5832">
        <v>11000000</v>
      </c>
      <c r="R5832" s="14">
        <f>_xlfn.XLOOKUP(Table2[[#This Row],[LoanID]],Table1[G-L ID],Table1[ManagerCode],-99)</f>
        <v>119</v>
      </c>
      <c r="T5832"/>
    </row>
    <row r="5833" spans="1:20" x14ac:dyDescent="0.25">
      <c r="A5833">
        <v>20170731</v>
      </c>
      <c r="B5833">
        <v>2017</v>
      </c>
      <c r="C5833">
        <v>7</v>
      </c>
      <c r="D5833">
        <v>1</v>
      </c>
      <c r="E5833">
        <v>11150</v>
      </c>
      <c r="F5833">
        <v>107226.44</v>
      </c>
      <c r="G5833">
        <v>0</v>
      </c>
      <c r="H5833">
        <v>0</v>
      </c>
      <c r="I5833">
        <v>0</v>
      </c>
      <c r="J5833">
        <v>0</v>
      </c>
      <c r="K5833">
        <v>0</v>
      </c>
      <c r="L5833">
        <v>9548630.4000000004</v>
      </c>
      <c r="M5833">
        <v>9548630.4000000004</v>
      </c>
      <c r="N5833">
        <v>9548630.4000000004</v>
      </c>
      <c r="O5833">
        <v>9548630.4000000004</v>
      </c>
      <c r="P5833">
        <v>9548630.4000000004</v>
      </c>
      <c r="Q5833">
        <v>9548630.4000000004</v>
      </c>
      <c r="R5833" s="14">
        <f>_xlfn.XLOOKUP(Table2[[#This Row],[LoanID]],Table1[G-L ID],Table1[ManagerCode],-99)</f>
        <v>119</v>
      </c>
      <c r="T5833"/>
    </row>
    <row r="5834" spans="1:20" x14ac:dyDescent="0.25">
      <c r="A5834">
        <v>20170731</v>
      </c>
      <c r="B5834">
        <v>2017</v>
      </c>
      <c r="C5834">
        <v>7</v>
      </c>
      <c r="D5834">
        <v>1</v>
      </c>
      <c r="E5834">
        <v>11160</v>
      </c>
      <c r="F5834">
        <v>267468.32</v>
      </c>
      <c r="G5834">
        <v>174651.67</v>
      </c>
      <c r="H5834">
        <v>0</v>
      </c>
      <c r="I5834">
        <v>0</v>
      </c>
      <c r="J5834">
        <v>-1945983.94</v>
      </c>
      <c r="K5834">
        <v>857744.35</v>
      </c>
      <c r="L5834">
        <v>77193662.680000007</v>
      </c>
      <c r="M5834">
        <v>79314298.290000007</v>
      </c>
      <c r="N5834">
        <v>54624337.390000001</v>
      </c>
      <c r="O5834">
        <v>55887228.649999999</v>
      </c>
      <c r="P5834">
        <v>77193662.680000007</v>
      </c>
      <c r="Q5834">
        <v>79314298.290000007</v>
      </c>
      <c r="R5834" s="14">
        <f>_xlfn.XLOOKUP(Table2[[#This Row],[LoanID]],Table1[G-L ID],Table1[ManagerCode],-99)</f>
        <v>183</v>
      </c>
      <c r="T5834"/>
    </row>
    <row r="5835" spans="1:20" x14ac:dyDescent="0.25">
      <c r="A5835">
        <v>20170731</v>
      </c>
      <c r="B5835">
        <v>2017</v>
      </c>
      <c r="C5835">
        <v>7</v>
      </c>
      <c r="D5835">
        <v>1</v>
      </c>
      <c r="E5835">
        <v>11210</v>
      </c>
      <c r="F5835">
        <v>61506.25</v>
      </c>
      <c r="G5835">
        <v>0</v>
      </c>
      <c r="H5835">
        <v>0</v>
      </c>
      <c r="I5835">
        <v>0</v>
      </c>
      <c r="J5835">
        <v>0</v>
      </c>
      <c r="K5835">
        <v>0</v>
      </c>
      <c r="L5835">
        <v>7500000</v>
      </c>
      <c r="M5835">
        <v>7500000</v>
      </c>
      <c r="N5835">
        <v>7500000</v>
      </c>
      <c r="O5835">
        <v>7500000</v>
      </c>
      <c r="P5835">
        <v>7500000</v>
      </c>
      <c r="Q5835">
        <v>7500000</v>
      </c>
      <c r="R5835" s="14">
        <f>_xlfn.XLOOKUP(Table2[[#This Row],[LoanID]],Table1[G-L ID],Table1[ManagerCode],-99)</f>
        <v>119</v>
      </c>
      <c r="T5835"/>
    </row>
    <row r="5836" spans="1:20" x14ac:dyDescent="0.25">
      <c r="A5836">
        <v>20170731</v>
      </c>
      <c r="B5836">
        <v>2017</v>
      </c>
      <c r="C5836">
        <v>7</v>
      </c>
      <c r="D5836">
        <v>1</v>
      </c>
      <c r="E5836">
        <v>11340</v>
      </c>
      <c r="F5836">
        <v>284695.21999999997</v>
      </c>
      <c r="G5836">
        <v>0</v>
      </c>
      <c r="H5836">
        <v>0</v>
      </c>
      <c r="I5836">
        <v>0</v>
      </c>
      <c r="J5836">
        <v>0</v>
      </c>
      <c r="K5836">
        <v>71429.179999999993</v>
      </c>
      <c r="L5836">
        <v>48316846.520000003</v>
      </c>
      <c r="M5836">
        <v>48246131.68</v>
      </c>
      <c r="N5836">
        <v>48316846.520000003</v>
      </c>
      <c r="O5836">
        <v>48246131.68</v>
      </c>
      <c r="P5836">
        <v>48804895.490000002</v>
      </c>
      <c r="Q5836">
        <v>48733466.310000002</v>
      </c>
      <c r="R5836" s="14">
        <f>_xlfn.XLOOKUP(Table2[[#This Row],[LoanID]],Table1[G-L ID],Table1[ManagerCode],-99)</f>
        <v>103</v>
      </c>
      <c r="T5836"/>
    </row>
    <row r="5837" spans="1:20" x14ac:dyDescent="0.25">
      <c r="A5837">
        <v>20170731</v>
      </c>
      <c r="B5837">
        <v>2017</v>
      </c>
      <c r="C5837">
        <v>7</v>
      </c>
      <c r="D5837">
        <v>1</v>
      </c>
      <c r="E5837">
        <v>11350</v>
      </c>
      <c r="F5837">
        <v>291666.65999999997</v>
      </c>
      <c r="G5837">
        <v>0</v>
      </c>
      <c r="H5837">
        <v>0</v>
      </c>
      <c r="I5837">
        <v>0</v>
      </c>
      <c r="J5837">
        <v>0</v>
      </c>
      <c r="K5837">
        <v>0</v>
      </c>
      <c r="L5837">
        <v>54449945.549999997</v>
      </c>
      <c r="M5837">
        <v>54449945.549999997</v>
      </c>
      <c r="N5837">
        <v>54449945.549999997</v>
      </c>
      <c r="O5837">
        <v>54449945.549999997</v>
      </c>
      <c r="P5837">
        <v>55000000</v>
      </c>
      <c r="Q5837">
        <v>55000000</v>
      </c>
      <c r="R5837" s="14">
        <f>_xlfn.XLOOKUP(Table2[[#This Row],[LoanID]],Table1[G-L ID],Table1[ManagerCode],-99)</f>
        <v>103</v>
      </c>
      <c r="T5837"/>
    </row>
    <row r="5838" spans="1:20" x14ac:dyDescent="0.25">
      <c r="A5838">
        <v>20170731</v>
      </c>
      <c r="B5838">
        <v>2017</v>
      </c>
      <c r="C5838">
        <v>7</v>
      </c>
      <c r="D5838">
        <v>1</v>
      </c>
      <c r="E5838">
        <v>11360</v>
      </c>
      <c r="F5838">
        <v>64412.86</v>
      </c>
      <c r="G5838">
        <v>0</v>
      </c>
      <c r="H5838">
        <v>0</v>
      </c>
      <c r="I5838">
        <v>0</v>
      </c>
      <c r="J5838">
        <v>0</v>
      </c>
      <c r="K5838">
        <v>0</v>
      </c>
      <c r="L5838">
        <v>7537500</v>
      </c>
      <c r="M5838">
        <v>7537500</v>
      </c>
      <c r="N5838">
        <v>7537500</v>
      </c>
      <c r="O5838">
        <v>7537500</v>
      </c>
      <c r="P5838">
        <v>7537500</v>
      </c>
      <c r="Q5838">
        <v>7537500</v>
      </c>
      <c r="R5838" s="14">
        <f>_xlfn.XLOOKUP(Table2[[#This Row],[LoanID]],Table1[G-L ID],Table1[ManagerCode],-99)</f>
        <v>119</v>
      </c>
      <c r="T5838"/>
    </row>
    <row r="5839" spans="1:20" x14ac:dyDescent="0.25">
      <c r="A5839">
        <v>20170731</v>
      </c>
      <c r="B5839">
        <v>2017</v>
      </c>
      <c r="C5839">
        <v>7</v>
      </c>
      <c r="D5839">
        <v>1</v>
      </c>
      <c r="E5839">
        <v>11410</v>
      </c>
      <c r="F5839">
        <v>112590</v>
      </c>
      <c r="G5839">
        <v>0</v>
      </c>
      <c r="H5839">
        <v>0</v>
      </c>
      <c r="I5839">
        <v>0</v>
      </c>
      <c r="J5839">
        <v>0</v>
      </c>
      <c r="K5839">
        <v>0</v>
      </c>
      <c r="L5839">
        <v>12000000</v>
      </c>
      <c r="M5839">
        <v>12000000</v>
      </c>
      <c r="N5839">
        <v>12000000</v>
      </c>
      <c r="O5839">
        <v>12000000</v>
      </c>
      <c r="P5839">
        <v>12000000</v>
      </c>
      <c r="Q5839">
        <v>12000000</v>
      </c>
      <c r="R5839" s="14">
        <f>_xlfn.XLOOKUP(Table2[[#This Row],[LoanID]],Table1[G-L ID],Table1[ManagerCode],-99)</f>
        <v>119</v>
      </c>
      <c r="T5839"/>
    </row>
    <row r="5840" spans="1:20" x14ac:dyDescent="0.25">
      <c r="A5840">
        <v>20170731</v>
      </c>
      <c r="B5840">
        <v>2017</v>
      </c>
      <c r="C5840">
        <v>7</v>
      </c>
      <c r="D5840">
        <v>1</v>
      </c>
      <c r="E5840">
        <v>11440</v>
      </c>
      <c r="F5840">
        <v>156250</v>
      </c>
      <c r="G5840">
        <v>0</v>
      </c>
      <c r="H5840">
        <v>0</v>
      </c>
      <c r="I5840">
        <v>0</v>
      </c>
      <c r="J5840">
        <v>0</v>
      </c>
      <c r="K5840">
        <v>0</v>
      </c>
      <c r="L5840">
        <v>18750000</v>
      </c>
      <c r="M5840">
        <v>18750000</v>
      </c>
      <c r="N5840">
        <v>18750000</v>
      </c>
      <c r="O5840">
        <v>18750000</v>
      </c>
      <c r="P5840">
        <v>18750000</v>
      </c>
      <c r="Q5840">
        <v>18750000</v>
      </c>
      <c r="R5840" s="14">
        <f>_xlfn.XLOOKUP(Table2[[#This Row],[LoanID]],Table1[G-L ID],Table1[ManagerCode],-99)</f>
        <v>183</v>
      </c>
      <c r="T5840"/>
    </row>
    <row r="5841" spans="1:20" x14ac:dyDescent="0.25">
      <c r="A5841">
        <v>20170731</v>
      </c>
      <c r="B5841">
        <v>2017</v>
      </c>
      <c r="C5841">
        <v>7</v>
      </c>
      <c r="D5841">
        <v>1</v>
      </c>
      <c r="E5841">
        <v>11450</v>
      </c>
      <c r="F5841">
        <v>133688.56</v>
      </c>
      <c r="G5841">
        <v>0</v>
      </c>
      <c r="H5841">
        <v>0</v>
      </c>
      <c r="I5841">
        <v>0</v>
      </c>
      <c r="J5841">
        <v>0</v>
      </c>
      <c r="K5841">
        <v>0</v>
      </c>
      <c r="L5841">
        <v>15782320.59</v>
      </c>
      <c r="M5841">
        <v>15782320.59</v>
      </c>
      <c r="N5841">
        <v>15782320.59</v>
      </c>
      <c r="O5841">
        <v>15782320.59</v>
      </c>
      <c r="P5841">
        <v>15782320.59</v>
      </c>
      <c r="Q5841">
        <v>15782320.59</v>
      </c>
      <c r="R5841" s="14">
        <f>_xlfn.XLOOKUP(Table2[[#This Row],[LoanID]],Table1[G-L ID],Table1[ManagerCode],-99)</f>
        <v>119</v>
      </c>
      <c r="T5841"/>
    </row>
    <row r="5842" spans="1:20" x14ac:dyDescent="0.25">
      <c r="A5842">
        <v>20170731</v>
      </c>
      <c r="B5842">
        <v>2017</v>
      </c>
      <c r="C5842">
        <v>7</v>
      </c>
      <c r="D5842">
        <v>1</v>
      </c>
      <c r="E5842">
        <v>11480</v>
      </c>
      <c r="F5842">
        <v>403025</v>
      </c>
      <c r="G5842">
        <v>0</v>
      </c>
      <c r="H5842">
        <v>0</v>
      </c>
      <c r="I5842">
        <v>0</v>
      </c>
      <c r="J5842">
        <v>0</v>
      </c>
      <c r="K5842">
        <v>0</v>
      </c>
      <c r="L5842">
        <v>66500000</v>
      </c>
      <c r="M5842">
        <v>66500000</v>
      </c>
      <c r="N5842">
        <v>66500000</v>
      </c>
      <c r="O5842">
        <v>66500000</v>
      </c>
      <c r="P5842">
        <v>70000000</v>
      </c>
      <c r="Q5842">
        <v>70000000</v>
      </c>
      <c r="R5842" s="14">
        <f>_xlfn.XLOOKUP(Table2[[#This Row],[LoanID]],Table1[G-L ID],Table1[ManagerCode],-99)</f>
        <v>103</v>
      </c>
      <c r="T5842"/>
    </row>
    <row r="5843" spans="1:20" x14ac:dyDescent="0.25">
      <c r="A5843">
        <v>20170731</v>
      </c>
      <c r="B5843">
        <v>2017</v>
      </c>
      <c r="C5843">
        <v>7</v>
      </c>
      <c r="D5843">
        <v>1</v>
      </c>
      <c r="E5843">
        <v>11490</v>
      </c>
      <c r="F5843">
        <v>373954.17</v>
      </c>
      <c r="G5843">
        <v>0</v>
      </c>
      <c r="H5843">
        <v>0</v>
      </c>
      <c r="I5843">
        <v>0</v>
      </c>
      <c r="J5843">
        <v>0</v>
      </c>
      <c r="K5843">
        <v>0</v>
      </c>
      <c r="L5843">
        <v>52250000</v>
      </c>
      <c r="M5843">
        <v>52250000</v>
      </c>
      <c r="N5843">
        <v>52250000</v>
      </c>
      <c r="O5843">
        <v>52250000</v>
      </c>
      <c r="P5843">
        <v>55000000</v>
      </c>
      <c r="Q5843">
        <v>55000000</v>
      </c>
      <c r="R5843" s="14">
        <f>_xlfn.XLOOKUP(Table2[[#This Row],[LoanID]],Table1[G-L ID],Table1[ManagerCode],-99)</f>
        <v>103</v>
      </c>
      <c r="T5843"/>
    </row>
    <row r="5844" spans="1:20" x14ac:dyDescent="0.25">
      <c r="A5844">
        <v>20170731</v>
      </c>
      <c r="B5844">
        <v>2017</v>
      </c>
      <c r="C5844">
        <v>7</v>
      </c>
      <c r="D5844">
        <v>1</v>
      </c>
      <c r="E5844">
        <v>11520</v>
      </c>
      <c r="F5844">
        <v>56130.79</v>
      </c>
      <c r="G5844">
        <v>0</v>
      </c>
      <c r="H5844">
        <v>0</v>
      </c>
      <c r="I5844">
        <v>0</v>
      </c>
      <c r="J5844">
        <v>0</v>
      </c>
      <c r="K5844">
        <v>0</v>
      </c>
      <c r="L5844">
        <v>8417999.6099999994</v>
      </c>
      <c r="M5844">
        <v>8417999.2200000007</v>
      </c>
      <c r="N5844">
        <v>8417999.6099999994</v>
      </c>
      <c r="O5844">
        <v>8417999.2200000007</v>
      </c>
      <c r="P5844">
        <v>8417999.6099999994</v>
      </c>
      <c r="Q5844">
        <v>8417999.2200000007</v>
      </c>
      <c r="R5844" s="14">
        <f>_xlfn.XLOOKUP(Table2[[#This Row],[LoanID]],Table1[G-L ID],Table1[ManagerCode],-99)</f>
        <v>119</v>
      </c>
      <c r="T5844"/>
    </row>
    <row r="5845" spans="1:20" x14ac:dyDescent="0.25">
      <c r="A5845">
        <v>20170731</v>
      </c>
      <c r="B5845">
        <v>2017</v>
      </c>
      <c r="C5845">
        <v>7</v>
      </c>
      <c r="D5845">
        <v>1</v>
      </c>
      <c r="E5845">
        <v>11530</v>
      </c>
      <c r="F5845">
        <v>129425.58</v>
      </c>
      <c r="G5845">
        <v>0</v>
      </c>
      <c r="H5845">
        <v>0</v>
      </c>
      <c r="I5845">
        <v>0</v>
      </c>
      <c r="J5845">
        <v>0</v>
      </c>
      <c r="K5845">
        <v>0</v>
      </c>
      <c r="L5845">
        <v>14993350.42</v>
      </c>
      <c r="M5845">
        <v>14993350.42</v>
      </c>
      <c r="N5845">
        <v>14993350.42</v>
      </c>
      <c r="O5845">
        <v>14993350.42</v>
      </c>
      <c r="P5845">
        <v>14993350.42</v>
      </c>
      <c r="Q5845">
        <v>14993350.42</v>
      </c>
      <c r="R5845" s="14">
        <f>_xlfn.XLOOKUP(Table2[[#This Row],[LoanID]],Table1[G-L ID],Table1[ManagerCode],-99)</f>
        <v>119</v>
      </c>
      <c r="T5845"/>
    </row>
    <row r="5846" spans="1:20" x14ac:dyDescent="0.25">
      <c r="A5846">
        <v>20170731</v>
      </c>
      <c r="B5846">
        <v>2017</v>
      </c>
      <c r="C5846">
        <v>7</v>
      </c>
      <c r="D5846">
        <v>1</v>
      </c>
      <c r="E5846">
        <v>11590</v>
      </c>
      <c r="F5846">
        <v>25310.47</v>
      </c>
      <c r="G5846">
        <v>0</v>
      </c>
      <c r="H5846">
        <v>0</v>
      </c>
      <c r="I5846">
        <v>0</v>
      </c>
      <c r="J5846">
        <v>0</v>
      </c>
      <c r="K5846">
        <v>0</v>
      </c>
      <c r="L5846">
        <v>3507224.44</v>
      </c>
      <c r="M5846">
        <v>3507224.44</v>
      </c>
      <c r="N5846">
        <v>3507224.44</v>
      </c>
      <c r="O5846">
        <v>3507224.44</v>
      </c>
      <c r="P5846">
        <v>3507224.44</v>
      </c>
      <c r="Q5846">
        <v>3507224.44</v>
      </c>
      <c r="R5846" s="14">
        <f>_xlfn.XLOOKUP(Table2[[#This Row],[LoanID]],Table1[G-L ID],Table1[ManagerCode],-99)</f>
        <v>119</v>
      </c>
      <c r="T5846"/>
    </row>
    <row r="5847" spans="1:20" x14ac:dyDescent="0.25">
      <c r="A5847">
        <v>20170731</v>
      </c>
      <c r="B5847">
        <v>2017</v>
      </c>
      <c r="C5847">
        <v>7</v>
      </c>
      <c r="D5847">
        <v>1</v>
      </c>
      <c r="E5847">
        <v>11680</v>
      </c>
      <c r="F5847">
        <v>57126.559999999998</v>
      </c>
      <c r="G5847">
        <v>0</v>
      </c>
      <c r="H5847">
        <v>0</v>
      </c>
      <c r="I5847">
        <v>0</v>
      </c>
      <c r="J5847">
        <v>0</v>
      </c>
      <c r="K5847">
        <v>0</v>
      </c>
      <c r="L5847">
        <v>6600000</v>
      </c>
      <c r="M5847">
        <v>6600000</v>
      </c>
      <c r="N5847">
        <v>6600000</v>
      </c>
      <c r="O5847">
        <v>6600000</v>
      </c>
      <c r="P5847">
        <v>6600000</v>
      </c>
      <c r="Q5847">
        <v>6600000</v>
      </c>
      <c r="R5847" s="14">
        <f>_xlfn.XLOOKUP(Table2[[#This Row],[LoanID]],Table1[G-L ID],Table1[ManagerCode],-99)</f>
        <v>183</v>
      </c>
      <c r="T5847"/>
    </row>
    <row r="5848" spans="1:20" x14ac:dyDescent="0.25">
      <c r="A5848">
        <v>20170731</v>
      </c>
      <c r="B5848">
        <v>2017</v>
      </c>
      <c r="C5848">
        <v>7</v>
      </c>
      <c r="D5848">
        <v>1</v>
      </c>
      <c r="E5848">
        <v>11690</v>
      </c>
      <c r="F5848">
        <v>143919.17000000001</v>
      </c>
      <c r="G5848">
        <v>0</v>
      </c>
      <c r="H5848">
        <v>0</v>
      </c>
      <c r="I5848">
        <v>0</v>
      </c>
      <c r="J5848">
        <v>0</v>
      </c>
      <c r="K5848">
        <v>0</v>
      </c>
      <c r="L5848">
        <v>17000000</v>
      </c>
      <c r="M5848">
        <v>17000000</v>
      </c>
      <c r="N5848">
        <v>17000000</v>
      </c>
      <c r="O5848">
        <v>17000000</v>
      </c>
      <c r="P5848">
        <v>17000000</v>
      </c>
      <c r="Q5848">
        <v>17000000</v>
      </c>
      <c r="R5848" s="14">
        <f>_xlfn.XLOOKUP(Table2[[#This Row],[LoanID]],Table1[G-L ID],Table1[ManagerCode],-99)</f>
        <v>119</v>
      </c>
      <c r="T5848"/>
    </row>
    <row r="5849" spans="1:20" x14ac:dyDescent="0.25">
      <c r="A5849">
        <v>20170731</v>
      </c>
      <c r="B5849">
        <v>2017</v>
      </c>
      <c r="C5849">
        <v>7</v>
      </c>
      <c r="D5849">
        <v>1</v>
      </c>
      <c r="E5849">
        <v>11710</v>
      </c>
      <c r="F5849">
        <v>102354.64</v>
      </c>
      <c r="G5849">
        <v>0</v>
      </c>
      <c r="H5849">
        <v>0</v>
      </c>
      <c r="I5849">
        <v>0</v>
      </c>
      <c r="J5849">
        <v>0</v>
      </c>
      <c r="K5849">
        <v>14115000</v>
      </c>
      <c r="L5849">
        <v>14115000</v>
      </c>
      <c r="M5849">
        <v>0</v>
      </c>
      <c r="N5849">
        <v>14115000</v>
      </c>
      <c r="O5849">
        <v>0</v>
      </c>
      <c r="P5849">
        <v>14115000</v>
      </c>
      <c r="Q5849">
        <v>0</v>
      </c>
      <c r="R5849" s="14">
        <f>_xlfn.XLOOKUP(Table2[[#This Row],[LoanID]],Table1[G-L ID],Table1[ManagerCode],-99)</f>
        <v>119</v>
      </c>
      <c r="T5849"/>
    </row>
    <row r="5850" spans="1:20" x14ac:dyDescent="0.25">
      <c r="A5850">
        <v>20170731</v>
      </c>
      <c r="B5850">
        <v>2017</v>
      </c>
      <c r="C5850">
        <v>7</v>
      </c>
      <c r="D5850">
        <v>1</v>
      </c>
      <c r="E5850">
        <v>11720</v>
      </c>
      <c r="F5850">
        <v>125000</v>
      </c>
      <c r="G5850">
        <v>0</v>
      </c>
      <c r="H5850">
        <v>0</v>
      </c>
      <c r="I5850">
        <v>0</v>
      </c>
      <c r="J5850">
        <v>0</v>
      </c>
      <c r="K5850">
        <v>0</v>
      </c>
      <c r="L5850">
        <v>21447383.440000001</v>
      </c>
      <c r="M5850">
        <v>21384213.140000001</v>
      </c>
      <c r="N5850">
        <v>21447383.440000001</v>
      </c>
      <c r="O5850">
        <v>21384213.140000001</v>
      </c>
      <c r="P5850">
        <v>20000000</v>
      </c>
      <c r="Q5850">
        <v>20000000</v>
      </c>
      <c r="R5850" s="14">
        <f>_xlfn.XLOOKUP(Table2[[#This Row],[LoanID]],Table1[G-L ID],Table1[ManagerCode],-99)</f>
        <v>103</v>
      </c>
      <c r="T5850"/>
    </row>
    <row r="5851" spans="1:20" x14ac:dyDescent="0.25">
      <c r="A5851">
        <v>20170731</v>
      </c>
      <c r="B5851">
        <v>2017</v>
      </c>
      <c r="C5851">
        <v>7</v>
      </c>
      <c r="D5851">
        <v>1</v>
      </c>
      <c r="E5851">
        <v>11730</v>
      </c>
      <c r="F5851">
        <v>51283.1</v>
      </c>
      <c r="G5851">
        <v>0</v>
      </c>
      <c r="H5851">
        <v>0</v>
      </c>
      <c r="I5851">
        <v>0</v>
      </c>
      <c r="J5851">
        <v>0</v>
      </c>
      <c r="K5851">
        <v>8212</v>
      </c>
      <c r="L5851">
        <v>4943462.75</v>
      </c>
      <c r="M5851">
        <v>4935250.75</v>
      </c>
      <c r="N5851">
        <v>4943462.75</v>
      </c>
      <c r="O5851">
        <v>4935250.75</v>
      </c>
      <c r="P5851">
        <v>4943462.75</v>
      </c>
      <c r="Q5851">
        <v>4935250.75</v>
      </c>
      <c r="R5851" s="14">
        <f>_xlfn.XLOOKUP(Table2[[#This Row],[LoanID]],Table1[G-L ID],Table1[ManagerCode],-99)</f>
        <v>119</v>
      </c>
      <c r="T5851"/>
    </row>
    <row r="5852" spans="1:20" x14ac:dyDescent="0.25">
      <c r="A5852">
        <v>20170731</v>
      </c>
      <c r="B5852">
        <v>2017</v>
      </c>
      <c r="C5852">
        <v>7</v>
      </c>
      <c r="D5852">
        <v>1</v>
      </c>
      <c r="E5852">
        <v>11750</v>
      </c>
      <c r="F5852">
        <v>241084.82</v>
      </c>
      <c r="G5852">
        <v>121813.24</v>
      </c>
      <c r="H5852">
        <v>0</v>
      </c>
      <c r="I5852">
        <v>0</v>
      </c>
      <c r="J5852">
        <v>-303270.90999999997</v>
      </c>
      <c r="K5852">
        <v>0</v>
      </c>
      <c r="L5852">
        <v>52189713.920000002</v>
      </c>
      <c r="M5852">
        <v>52614798.07</v>
      </c>
      <c r="N5852">
        <v>52189713.920000002</v>
      </c>
      <c r="O5852">
        <v>52614798.07</v>
      </c>
      <c r="P5852">
        <v>52189713.920000002</v>
      </c>
      <c r="Q5852">
        <v>52614798.07</v>
      </c>
      <c r="R5852" s="14">
        <f>_xlfn.XLOOKUP(Table2[[#This Row],[LoanID]],Table1[G-L ID],Table1[ManagerCode],-99)</f>
        <v>183</v>
      </c>
      <c r="T5852"/>
    </row>
    <row r="5853" spans="1:20" x14ac:dyDescent="0.25">
      <c r="A5853">
        <v>20170731</v>
      </c>
      <c r="B5853">
        <v>2017</v>
      </c>
      <c r="C5853">
        <v>7</v>
      </c>
      <c r="D5853">
        <v>1</v>
      </c>
      <c r="E5853">
        <v>11830</v>
      </c>
      <c r="F5853">
        <v>84845.8</v>
      </c>
      <c r="G5853">
        <v>0</v>
      </c>
      <c r="H5853">
        <v>0</v>
      </c>
      <c r="I5853">
        <v>0</v>
      </c>
      <c r="J5853">
        <v>0</v>
      </c>
      <c r="K5853">
        <v>0</v>
      </c>
      <c r="L5853">
        <v>10449969.01</v>
      </c>
      <c r="M5853">
        <v>10449969.01</v>
      </c>
      <c r="N5853">
        <v>10449969.01</v>
      </c>
      <c r="O5853">
        <v>10449969.01</v>
      </c>
      <c r="P5853">
        <v>10449969.01</v>
      </c>
      <c r="Q5853">
        <v>10449969.01</v>
      </c>
      <c r="R5853" s="14">
        <f>_xlfn.XLOOKUP(Table2[[#This Row],[LoanID]],Table1[G-L ID],Table1[ManagerCode],-99)</f>
        <v>119</v>
      </c>
      <c r="T5853"/>
    </row>
    <row r="5854" spans="1:20" x14ac:dyDescent="0.25">
      <c r="A5854">
        <v>20170731</v>
      </c>
      <c r="B5854">
        <v>2017</v>
      </c>
      <c r="C5854">
        <v>7</v>
      </c>
      <c r="D5854">
        <v>1</v>
      </c>
      <c r="E5854">
        <v>11850</v>
      </c>
      <c r="F5854">
        <v>97500</v>
      </c>
      <c r="G5854">
        <v>0</v>
      </c>
      <c r="H5854">
        <v>0</v>
      </c>
      <c r="I5854">
        <v>0</v>
      </c>
      <c r="J5854">
        <v>0</v>
      </c>
      <c r="K5854">
        <v>0</v>
      </c>
      <c r="L5854">
        <v>9000000</v>
      </c>
      <c r="M5854">
        <v>9000000</v>
      </c>
      <c r="N5854">
        <v>9000000</v>
      </c>
      <c r="O5854">
        <v>9000000</v>
      </c>
      <c r="P5854">
        <v>9000000</v>
      </c>
      <c r="Q5854">
        <v>9000000</v>
      </c>
      <c r="R5854" s="14">
        <f>_xlfn.XLOOKUP(Table2[[#This Row],[LoanID]],Table1[G-L ID],Table1[ManagerCode],-99)</f>
        <v>183</v>
      </c>
      <c r="T5854"/>
    </row>
    <row r="5855" spans="1:20" x14ac:dyDescent="0.25">
      <c r="A5855">
        <v>20170731</v>
      </c>
      <c r="B5855">
        <v>2017</v>
      </c>
      <c r="C5855">
        <v>7</v>
      </c>
      <c r="D5855">
        <v>1</v>
      </c>
      <c r="E5855">
        <v>11980</v>
      </c>
      <c r="F5855">
        <v>74050.17</v>
      </c>
      <c r="G5855">
        <v>0</v>
      </c>
      <c r="H5855">
        <v>0</v>
      </c>
      <c r="I5855">
        <v>0</v>
      </c>
      <c r="J5855">
        <v>0</v>
      </c>
      <c r="K5855">
        <v>0</v>
      </c>
      <c r="L5855">
        <v>7400000</v>
      </c>
      <c r="M5855">
        <v>7400000</v>
      </c>
      <c r="N5855">
        <v>7400000</v>
      </c>
      <c r="O5855">
        <v>7400000</v>
      </c>
      <c r="P5855">
        <v>7400000</v>
      </c>
      <c r="Q5855">
        <v>7400000</v>
      </c>
      <c r="R5855" s="14">
        <f>_xlfn.XLOOKUP(Table2[[#This Row],[LoanID]],Table1[G-L ID],Table1[ManagerCode],-99)</f>
        <v>119</v>
      </c>
      <c r="T5855"/>
    </row>
    <row r="5856" spans="1:20" x14ac:dyDescent="0.25">
      <c r="A5856">
        <v>20170731</v>
      </c>
      <c r="B5856">
        <v>2017</v>
      </c>
      <c r="C5856">
        <v>7</v>
      </c>
      <c r="D5856">
        <v>1</v>
      </c>
      <c r="E5856">
        <v>12010</v>
      </c>
      <c r="F5856">
        <v>217942.75</v>
      </c>
      <c r="G5856">
        <v>0</v>
      </c>
      <c r="H5856">
        <v>0</v>
      </c>
      <c r="I5856">
        <v>0</v>
      </c>
      <c r="J5856">
        <v>-617502.54</v>
      </c>
      <c r="K5856">
        <v>0</v>
      </c>
      <c r="L5856">
        <v>22051360.390000001</v>
      </c>
      <c r="M5856">
        <v>22668862.93</v>
      </c>
      <c r="N5856">
        <v>22051360.390000001</v>
      </c>
      <c r="O5856">
        <v>22668862.93</v>
      </c>
      <c r="P5856">
        <v>22051360.390000001</v>
      </c>
      <c r="Q5856">
        <v>22668862.93</v>
      </c>
      <c r="R5856" s="14">
        <f>_xlfn.XLOOKUP(Table2[[#This Row],[LoanID]],Table1[G-L ID],Table1[ManagerCode],-99)</f>
        <v>119</v>
      </c>
      <c r="T5856"/>
    </row>
    <row r="5857" spans="1:20" x14ac:dyDescent="0.25">
      <c r="A5857">
        <v>20170731</v>
      </c>
      <c r="B5857">
        <v>2017</v>
      </c>
      <c r="C5857">
        <v>7</v>
      </c>
      <c r="D5857">
        <v>1</v>
      </c>
      <c r="E5857">
        <v>12030</v>
      </c>
      <c r="F5857">
        <v>46710</v>
      </c>
      <c r="G5857">
        <v>0</v>
      </c>
      <c r="H5857">
        <v>0</v>
      </c>
      <c r="I5857">
        <v>0</v>
      </c>
      <c r="J5857">
        <v>0</v>
      </c>
      <c r="K5857">
        <v>0</v>
      </c>
      <c r="L5857">
        <v>6375000</v>
      </c>
      <c r="M5857">
        <v>6375000</v>
      </c>
      <c r="N5857">
        <v>6375000</v>
      </c>
      <c r="O5857">
        <v>6375000</v>
      </c>
      <c r="P5857">
        <v>6375000</v>
      </c>
      <c r="Q5857">
        <v>6375000</v>
      </c>
      <c r="R5857" s="14">
        <f>_xlfn.XLOOKUP(Table2[[#This Row],[LoanID]],Table1[G-L ID],Table1[ManagerCode],-99)</f>
        <v>119</v>
      </c>
      <c r="T5857"/>
    </row>
    <row r="5858" spans="1:20" x14ac:dyDescent="0.25">
      <c r="A5858">
        <v>20170731</v>
      </c>
      <c r="B5858">
        <v>2017</v>
      </c>
      <c r="C5858">
        <v>7</v>
      </c>
      <c r="D5858">
        <v>1</v>
      </c>
      <c r="E5858">
        <v>12180</v>
      </c>
      <c r="F5858">
        <v>252554.17</v>
      </c>
      <c r="G5858">
        <v>0</v>
      </c>
      <c r="H5858">
        <v>0</v>
      </c>
      <c r="I5858">
        <v>0</v>
      </c>
      <c r="J5858">
        <v>0</v>
      </c>
      <c r="K5858">
        <v>0</v>
      </c>
      <c r="L5858">
        <v>30393210.870000001</v>
      </c>
      <c r="M5858">
        <v>30393210.870000001</v>
      </c>
      <c r="N5858">
        <v>30393210.870000001</v>
      </c>
      <c r="O5858">
        <v>30393210.870000001</v>
      </c>
      <c r="P5858">
        <v>30393210.870000001</v>
      </c>
      <c r="Q5858">
        <v>30393210.870000001</v>
      </c>
      <c r="R5858" s="14">
        <f>_xlfn.XLOOKUP(Table2[[#This Row],[LoanID]],Table1[G-L ID],Table1[ManagerCode],-99)</f>
        <v>220</v>
      </c>
      <c r="T5858"/>
    </row>
    <row r="5859" spans="1:20" x14ac:dyDescent="0.25">
      <c r="A5859">
        <v>20170731</v>
      </c>
      <c r="B5859">
        <v>2017</v>
      </c>
      <c r="C5859">
        <v>7</v>
      </c>
      <c r="D5859">
        <v>1</v>
      </c>
      <c r="E5859">
        <v>12220</v>
      </c>
      <c r="F5859">
        <v>182354.7</v>
      </c>
      <c r="G5859">
        <v>0</v>
      </c>
      <c r="H5859">
        <v>0</v>
      </c>
      <c r="I5859">
        <v>0</v>
      </c>
      <c r="J5859">
        <v>0</v>
      </c>
      <c r="K5859">
        <v>0</v>
      </c>
      <c r="L5859">
        <v>54500000</v>
      </c>
      <c r="M5859">
        <v>54500000</v>
      </c>
      <c r="N5859">
        <v>27250000</v>
      </c>
      <c r="O5859">
        <v>27250000</v>
      </c>
      <c r="P5859">
        <v>54500000</v>
      </c>
      <c r="Q5859">
        <v>54500000</v>
      </c>
      <c r="R5859" s="14">
        <f>_xlfn.XLOOKUP(Table2[[#This Row],[LoanID]],Table1[G-L ID],Table1[ManagerCode],-99)</f>
        <v>183</v>
      </c>
      <c r="T5859"/>
    </row>
    <row r="5860" spans="1:20" x14ac:dyDescent="0.25">
      <c r="A5860">
        <v>20170731</v>
      </c>
      <c r="B5860">
        <v>2017</v>
      </c>
      <c r="C5860">
        <v>7</v>
      </c>
      <c r="D5860">
        <v>1</v>
      </c>
      <c r="E5860">
        <v>12230</v>
      </c>
      <c r="F5860">
        <v>116544.84</v>
      </c>
      <c r="G5860">
        <v>0</v>
      </c>
      <c r="H5860">
        <v>0</v>
      </c>
      <c r="I5860">
        <v>0</v>
      </c>
      <c r="J5860">
        <v>0</v>
      </c>
      <c r="K5860">
        <v>0</v>
      </c>
      <c r="L5860">
        <v>20472262.73</v>
      </c>
      <c r="M5860">
        <v>20472262.73</v>
      </c>
      <c r="N5860">
        <v>13956810.23</v>
      </c>
      <c r="O5860">
        <v>13956810.23</v>
      </c>
      <c r="P5860">
        <v>20472262.73</v>
      </c>
      <c r="Q5860">
        <v>20472262.73</v>
      </c>
      <c r="R5860" s="14">
        <f>_xlfn.XLOOKUP(Table2[[#This Row],[LoanID]],Table1[G-L ID],Table1[ManagerCode],-99)</f>
        <v>183</v>
      </c>
      <c r="T5860"/>
    </row>
    <row r="5861" spans="1:20" x14ac:dyDescent="0.25">
      <c r="A5861">
        <v>20170731</v>
      </c>
      <c r="B5861">
        <v>2017</v>
      </c>
      <c r="C5861">
        <v>7</v>
      </c>
      <c r="D5861">
        <v>1</v>
      </c>
      <c r="E5861">
        <v>12240</v>
      </c>
      <c r="F5861">
        <v>0</v>
      </c>
      <c r="G5861">
        <v>1777076.57</v>
      </c>
      <c r="H5861">
        <v>0</v>
      </c>
      <c r="I5861">
        <v>0</v>
      </c>
      <c r="J5861">
        <v>0</v>
      </c>
      <c r="K5861">
        <v>0</v>
      </c>
      <c r="L5861">
        <v>159737219.80000001</v>
      </c>
      <c r="M5861">
        <v>161514296.40000001</v>
      </c>
      <c r="N5861">
        <v>159737219.80000001</v>
      </c>
      <c r="O5861">
        <v>161514296.40000001</v>
      </c>
      <c r="P5861">
        <v>159737219.80000001</v>
      </c>
      <c r="Q5861">
        <v>161514296.40000001</v>
      </c>
      <c r="R5861" s="14">
        <f>_xlfn.XLOOKUP(Table2[[#This Row],[LoanID]],Table1[G-L ID],Table1[ManagerCode],-99)</f>
        <v>183</v>
      </c>
      <c r="T5861"/>
    </row>
    <row r="5862" spans="1:20" x14ac:dyDescent="0.25">
      <c r="A5862">
        <v>20170731</v>
      </c>
      <c r="B5862">
        <v>2017</v>
      </c>
      <c r="C5862">
        <v>7</v>
      </c>
      <c r="D5862">
        <v>1</v>
      </c>
      <c r="E5862">
        <v>12250</v>
      </c>
      <c r="F5862">
        <v>96907.27</v>
      </c>
      <c r="G5862">
        <v>0</v>
      </c>
      <c r="H5862">
        <v>0</v>
      </c>
      <c r="I5862">
        <v>0</v>
      </c>
      <c r="J5862">
        <v>-91411.520000000004</v>
      </c>
      <c r="K5862">
        <v>0</v>
      </c>
      <c r="L5862">
        <v>11072173.539999999</v>
      </c>
      <c r="M5862">
        <v>11163585.060000001</v>
      </c>
      <c r="N5862">
        <v>11072173.539999999</v>
      </c>
      <c r="O5862">
        <v>11163585.060000001</v>
      </c>
      <c r="P5862">
        <v>11072173.539999999</v>
      </c>
      <c r="Q5862">
        <v>11163585.060000001</v>
      </c>
      <c r="R5862" s="14">
        <f>_xlfn.XLOOKUP(Table2[[#This Row],[LoanID]],Table1[G-L ID],Table1[ManagerCode],-99)</f>
        <v>119</v>
      </c>
      <c r="T5862"/>
    </row>
    <row r="5863" spans="1:20" x14ac:dyDescent="0.25">
      <c r="A5863">
        <v>20170731</v>
      </c>
      <c r="B5863">
        <v>2017</v>
      </c>
      <c r="C5863">
        <v>7</v>
      </c>
      <c r="D5863">
        <v>1</v>
      </c>
      <c r="E5863">
        <v>12260</v>
      </c>
      <c r="F5863">
        <v>111675</v>
      </c>
      <c r="G5863">
        <v>0</v>
      </c>
      <c r="H5863">
        <v>0</v>
      </c>
      <c r="I5863">
        <v>0</v>
      </c>
      <c r="J5863">
        <v>0</v>
      </c>
      <c r="K5863">
        <v>0</v>
      </c>
      <c r="L5863">
        <v>11250000</v>
      </c>
      <c r="M5863">
        <v>11250000</v>
      </c>
      <c r="N5863">
        <v>11250000</v>
      </c>
      <c r="O5863">
        <v>11250000</v>
      </c>
      <c r="P5863">
        <v>11250000</v>
      </c>
      <c r="Q5863">
        <v>11250000</v>
      </c>
      <c r="R5863" s="14">
        <f>_xlfn.XLOOKUP(Table2[[#This Row],[LoanID]],Table1[G-L ID],Table1[ManagerCode],-99)</f>
        <v>119</v>
      </c>
      <c r="T5863"/>
    </row>
    <row r="5864" spans="1:20" x14ac:dyDescent="0.25">
      <c r="A5864">
        <v>20170731</v>
      </c>
      <c r="B5864">
        <v>2017</v>
      </c>
      <c r="C5864">
        <v>7</v>
      </c>
      <c r="D5864">
        <v>1</v>
      </c>
      <c r="E5864">
        <v>12270</v>
      </c>
      <c r="F5864">
        <v>184701.73</v>
      </c>
      <c r="G5864">
        <v>0</v>
      </c>
      <c r="H5864">
        <v>0</v>
      </c>
      <c r="I5864">
        <v>0</v>
      </c>
      <c r="J5864">
        <v>0</v>
      </c>
      <c r="K5864">
        <v>0</v>
      </c>
      <c r="L5864">
        <v>20256254.600000001</v>
      </c>
      <c r="M5864">
        <v>20256254.600000001</v>
      </c>
      <c r="N5864">
        <v>20256254.600000001</v>
      </c>
      <c r="O5864">
        <v>20256254.600000001</v>
      </c>
      <c r="P5864">
        <v>20256254.600000001</v>
      </c>
      <c r="Q5864">
        <v>20256254.600000001</v>
      </c>
      <c r="R5864" s="14">
        <f>_xlfn.XLOOKUP(Table2[[#This Row],[LoanID]],Table1[G-L ID],Table1[ManagerCode],-99)</f>
        <v>119</v>
      </c>
      <c r="T5864"/>
    </row>
    <row r="5865" spans="1:20" x14ac:dyDescent="0.25">
      <c r="A5865">
        <v>20170731</v>
      </c>
      <c r="B5865">
        <v>2017</v>
      </c>
      <c r="C5865">
        <v>7</v>
      </c>
      <c r="D5865">
        <v>1</v>
      </c>
      <c r="E5865">
        <v>12280</v>
      </c>
      <c r="F5865">
        <v>124473.26</v>
      </c>
      <c r="G5865">
        <v>0</v>
      </c>
      <c r="H5865">
        <v>0</v>
      </c>
      <c r="I5865">
        <v>0</v>
      </c>
      <c r="J5865">
        <v>0</v>
      </c>
      <c r="K5865">
        <v>0</v>
      </c>
      <c r="L5865">
        <v>12818750</v>
      </c>
      <c r="M5865">
        <v>12818750</v>
      </c>
      <c r="N5865">
        <v>12818750</v>
      </c>
      <c r="O5865">
        <v>12818750</v>
      </c>
      <c r="P5865">
        <v>12818750</v>
      </c>
      <c r="Q5865">
        <v>12818750</v>
      </c>
      <c r="R5865" s="14">
        <f>_xlfn.XLOOKUP(Table2[[#This Row],[LoanID]],Table1[G-L ID],Table1[ManagerCode],-99)</f>
        <v>119</v>
      </c>
      <c r="T5865"/>
    </row>
    <row r="5866" spans="1:20" x14ac:dyDescent="0.25">
      <c r="A5866">
        <v>20170731</v>
      </c>
      <c r="B5866">
        <v>2017</v>
      </c>
      <c r="C5866">
        <v>7</v>
      </c>
      <c r="D5866">
        <v>1</v>
      </c>
      <c r="E5866">
        <v>12290</v>
      </c>
      <c r="F5866">
        <v>158980.84</v>
      </c>
      <c r="G5866">
        <v>0</v>
      </c>
      <c r="H5866">
        <v>0</v>
      </c>
      <c r="I5866">
        <v>0</v>
      </c>
      <c r="J5866">
        <v>0</v>
      </c>
      <c r="K5866">
        <v>0</v>
      </c>
      <c r="L5866">
        <v>17750000</v>
      </c>
      <c r="M5866">
        <v>17750000</v>
      </c>
      <c r="N5866">
        <v>17750000</v>
      </c>
      <c r="O5866">
        <v>17750000</v>
      </c>
      <c r="P5866">
        <v>17750000</v>
      </c>
      <c r="Q5866">
        <v>17750000</v>
      </c>
      <c r="R5866" s="14">
        <f>_xlfn.XLOOKUP(Table2[[#This Row],[LoanID]],Table1[G-L ID],Table1[ManagerCode],-99)</f>
        <v>119</v>
      </c>
      <c r="T5866"/>
    </row>
    <row r="5867" spans="1:20" x14ac:dyDescent="0.25">
      <c r="A5867">
        <v>20170731</v>
      </c>
      <c r="B5867">
        <v>2017</v>
      </c>
      <c r="C5867">
        <v>7</v>
      </c>
      <c r="D5867">
        <v>1</v>
      </c>
      <c r="E5867">
        <v>12300</v>
      </c>
      <c r="F5867">
        <v>90990.75</v>
      </c>
      <c r="G5867">
        <v>0</v>
      </c>
      <c r="H5867">
        <v>0</v>
      </c>
      <c r="I5867">
        <v>0</v>
      </c>
      <c r="J5867">
        <v>0</v>
      </c>
      <c r="K5867">
        <v>0</v>
      </c>
      <c r="L5867">
        <v>10000000</v>
      </c>
      <c r="M5867">
        <v>10000000</v>
      </c>
      <c r="N5867">
        <v>10000000</v>
      </c>
      <c r="O5867">
        <v>10000000</v>
      </c>
      <c r="P5867">
        <v>10000000</v>
      </c>
      <c r="Q5867">
        <v>10000000</v>
      </c>
      <c r="R5867" s="14">
        <f>_xlfn.XLOOKUP(Table2[[#This Row],[LoanID]],Table1[G-L ID],Table1[ManagerCode],-99)</f>
        <v>119</v>
      </c>
      <c r="T5867"/>
    </row>
    <row r="5868" spans="1:20" x14ac:dyDescent="0.25">
      <c r="A5868">
        <v>20170731</v>
      </c>
      <c r="B5868">
        <v>2017</v>
      </c>
      <c r="C5868">
        <v>7</v>
      </c>
      <c r="D5868">
        <v>1</v>
      </c>
      <c r="E5868">
        <v>12310</v>
      </c>
      <c r="F5868">
        <v>129512.71</v>
      </c>
      <c r="G5868">
        <v>0</v>
      </c>
      <c r="H5868">
        <v>176250</v>
      </c>
      <c r="I5868">
        <v>0</v>
      </c>
      <c r="J5868">
        <v>0</v>
      </c>
      <c r="K5868">
        <v>0</v>
      </c>
      <c r="L5868">
        <v>16375000</v>
      </c>
      <c r="M5868">
        <v>16375000</v>
      </c>
      <c r="N5868">
        <v>16375000</v>
      </c>
      <c r="O5868">
        <v>16375000</v>
      </c>
      <c r="P5868">
        <v>16375000</v>
      </c>
      <c r="Q5868">
        <v>16375000</v>
      </c>
      <c r="R5868" s="14">
        <f>_xlfn.XLOOKUP(Table2[[#This Row],[LoanID]],Table1[G-L ID],Table1[ManagerCode],-99)</f>
        <v>119</v>
      </c>
      <c r="T5868"/>
    </row>
    <row r="5869" spans="1:20" x14ac:dyDescent="0.25">
      <c r="A5869">
        <v>20170731</v>
      </c>
      <c r="B5869">
        <v>2017</v>
      </c>
      <c r="C5869">
        <v>7</v>
      </c>
      <c r="D5869">
        <v>1</v>
      </c>
      <c r="E5869">
        <v>12320</v>
      </c>
      <c r="F5869">
        <v>0</v>
      </c>
      <c r="G5869">
        <v>0</v>
      </c>
      <c r="H5869">
        <v>0</v>
      </c>
      <c r="I5869">
        <v>0</v>
      </c>
      <c r="J5869">
        <v>0</v>
      </c>
      <c r="K5869">
        <v>0</v>
      </c>
      <c r="L5869">
        <v>11750000</v>
      </c>
      <c r="M5869">
        <v>11750000</v>
      </c>
      <c r="N5869">
        <v>11750000</v>
      </c>
      <c r="O5869">
        <v>11750000</v>
      </c>
      <c r="P5869">
        <v>11750000</v>
      </c>
      <c r="Q5869">
        <v>11750000</v>
      </c>
      <c r="R5869" s="14">
        <f>_xlfn.XLOOKUP(Table2[[#This Row],[LoanID]],Table1[G-L ID],Table1[ManagerCode],-99)</f>
        <v>119</v>
      </c>
      <c r="T5869"/>
    </row>
    <row r="5870" spans="1:20" x14ac:dyDescent="0.25">
      <c r="A5870">
        <v>20170731</v>
      </c>
      <c r="B5870">
        <v>2017</v>
      </c>
      <c r="C5870">
        <v>7</v>
      </c>
      <c r="D5870">
        <v>1</v>
      </c>
      <c r="E5870">
        <v>12330</v>
      </c>
      <c r="F5870">
        <v>0</v>
      </c>
      <c r="G5870">
        <v>0</v>
      </c>
      <c r="H5870">
        <v>0</v>
      </c>
      <c r="I5870">
        <v>0</v>
      </c>
      <c r="J5870">
        <v>0</v>
      </c>
      <c r="K5870">
        <v>0</v>
      </c>
      <c r="L5870">
        <v>19976500</v>
      </c>
      <c r="M5870">
        <v>19976500</v>
      </c>
      <c r="N5870">
        <v>19976500</v>
      </c>
      <c r="O5870">
        <v>19976500</v>
      </c>
      <c r="P5870">
        <v>19976500</v>
      </c>
      <c r="Q5870">
        <v>19976500</v>
      </c>
      <c r="R5870" s="14">
        <f>_xlfn.XLOOKUP(Table2[[#This Row],[LoanID]],Table1[G-L ID],Table1[ManagerCode],-99)</f>
        <v>119</v>
      </c>
      <c r="T5870"/>
    </row>
    <row r="5871" spans="1:20" x14ac:dyDescent="0.25">
      <c r="A5871">
        <v>20170731</v>
      </c>
      <c r="B5871">
        <v>2017</v>
      </c>
      <c r="C5871">
        <v>7</v>
      </c>
      <c r="D5871">
        <v>1</v>
      </c>
      <c r="E5871">
        <v>12340</v>
      </c>
      <c r="F5871">
        <v>79720</v>
      </c>
      <c r="G5871">
        <v>0</v>
      </c>
      <c r="H5871">
        <v>0</v>
      </c>
      <c r="I5871">
        <v>0</v>
      </c>
      <c r="J5871">
        <v>0</v>
      </c>
      <c r="K5871">
        <v>0</v>
      </c>
      <c r="L5871">
        <v>24000000</v>
      </c>
      <c r="M5871">
        <v>24000000</v>
      </c>
      <c r="N5871">
        <v>12000000</v>
      </c>
      <c r="O5871">
        <v>12000000</v>
      </c>
      <c r="P5871">
        <v>24000000</v>
      </c>
      <c r="Q5871">
        <v>24000000</v>
      </c>
      <c r="R5871" s="14">
        <f>_xlfn.XLOOKUP(Table2[[#This Row],[LoanID]],Table1[G-L ID],Table1[ManagerCode],-99)</f>
        <v>183</v>
      </c>
      <c r="T5871"/>
    </row>
    <row r="5872" spans="1:20" x14ac:dyDescent="0.25">
      <c r="A5872">
        <v>20170731</v>
      </c>
      <c r="B5872">
        <v>2017</v>
      </c>
      <c r="C5872">
        <v>7</v>
      </c>
      <c r="D5872">
        <v>1</v>
      </c>
      <c r="E5872">
        <v>12350</v>
      </c>
      <c r="F5872">
        <v>149112.5</v>
      </c>
      <c r="G5872">
        <v>0</v>
      </c>
      <c r="H5872">
        <v>0</v>
      </c>
      <c r="I5872">
        <v>0</v>
      </c>
      <c r="J5872">
        <v>0</v>
      </c>
      <c r="K5872">
        <v>0</v>
      </c>
      <c r="L5872">
        <v>60000000</v>
      </c>
      <c r="M5872">
        <v>60000000</v>
      </c>
      <c r="N5872">
        <v>22500000</v>
      </c>
      <c r="O5872">
        <v>22500000</v>
      </c>
      <c r="P5872">
        <v>60000000</v>
      </c>
      <c r="Q5872">
        <v>60000000</v>
      </c>
      <c r="R5872" s="14">
        <f>_xlfn.XLOOKUP(Table2[[#This Row],[LoanID]],Table1[G-L ID],Table1[ManagerCode],-99)</f>
        <v>183</v>
      </c>
      <c r="T5872"/>
    </row>
    <row r="5873" spans="1:20" x14ac:dyDescent="0.25">
      <c r="A5873">
        <v>20170731</v>
      </c>
      <c r="B5873">
        <v>2017</v>
      </c>
      <c r="C5873">
        <v>7</v>
      </c>
      <c r="D5873">
        <v>1</v>
      </c>
      <c r="E5873">
        <v>12360</v>
      </c>
      <c r="F5873">
        <v>15253.33</v>
      </c>
      <c r="G5873">
        <v>0</v>
      </c>
      <c r="H5873">
        <v>0</v>
      </c>
      <c r="I5873">
        <v>0</v>
      </c>
      <c r="J5873">
        <v>0</v>
      </c>
      <c r="K5873">
        <v>0</v>
      </c>
      <c r="L5873">
        <v>60000000</v>
      </c>
      <c r="M5873">
        <v>60000000</v>
      </c>
      <c r="N5873">
        <v>19000000</v>
      </c>
      <c r="O5873">
        <v>19000000</v>
      </c>
      <c r="P5873">
        <v>60000000</v>
      </c>
      <c r="Q5873">
        <v>60000000</v>
      </c>
      <c r="R5873" s="14">
        <f>_xlfn.XLOOKUP(Table2[[#This Row],[LoanID]],Table1[G-L ID],Table1[ManagerCode],-99)</f>
        <v>183</v>
      </c>
      <c r="T5873"/>
    </row>
    <row r="5874" spans="1:20" x14ac:dyDescent="0.25">
      <c r="A5874">
        <v>20170731</v>
      </c>
      <c r="B5874">
        <v>2017</v>
      </c>
      <c r="C5874">
        <v>7</v>
      </c>
      <c r="D5874">
        <v>1</v>
      </c>
      <c r="E5874">
        <v>12380</v>
      </c>
      <c r="F5874">
        <v>0</v>
      </c>
      <c r="G5874">
        <v>0</v>
      </c>
      <c r="H5874">
        <v>325000</v>
      </c>
      <c r="I5874">
        <v>0</v>
      </c>
      <c r="J5874">
        <v>-32500000</v>
      </c>
      <c r="K5874">
        <v>20150000</v>
      </c>
      <c r="L5874">
        <v>0</v>
      </c>
      <c r="M5874">
        <v>32500000</v>
      </c>
      <c r="N5874">
        <v>0</v>
      </c>
      <c r="O5874">
        <v>12350000</v>
      </c>
      <c r="P5874">
        <v>0</v>
      </c>
      <c r="Q5874">
        <v>32500000</v>
      </c>
      <c r="R5874" s="14">
        <f>_xlfn.XLOOKUP(Table2[[#This Row],[LoanID]],Table1[G-L ID],Table1[ManagerCode],-99)</f>
        <v>183</v>
      </c>
      <c r="T5874"/>
    </row>
    <row r="5875" spans="1:20" x14ac:dyDescent="0.25">
      <c r="A5875">
        <v>20170731</v>
      </c>
      <c r="B5875">
        <v>2017</v>
      </c>
      <c r="C5875">
        <v>7</v>
      </c>
      <c r="D5875">
        <v>1</v>
      </c>
      <c r="E5875">
        <v>12390</v>
      </c>
      <c r="F5875">
        <v>109341.61</v>
      </c>
      <c r="G5875">
        <v>169197.2</v>
      </c>
      <c r="H5875">
        <v>0</v>
      </c>
      <c r="I5875">
        <v>0</v>
      </c>
      <c r="J5875">
        <v>-2636182.13</v>
      </c>
      <c r="K5875">
        <v>0</v>
      </c>
      <c r="L5875">
        <v>16639701.189999999</v>
      </c>
      <c r="M5875">
        <v>19445080.52</v>
      </c>
      <c r="N5875">
        <v>16639701.189999999</v>
      </c>
      <c r="O5875">
        <v>19445080.52</v>
      </c>
      <c r="P5875">
        <v>16639701.189999999</v>
      </c>
      <c r="Q5875">
        <v>19445080.52</v>
      </c>
      <c r="R5875" s="14">
        <f>_xlfn.XLOOKUP(Table2[[#This Row],[LoanID]],Table1[G-L ID],Table1[ManagerCode],-99)</f>
        <v>183</v>
      </c>
      <c r="T5875"/>
    </row>
    <row r="5876" spans="1:20" x14ac:dyDescent="0.25">
      <c r="A5876">
        <v>20170731</v>
      </c>
      <c r="B5876">
        <v>2017</v>
      </c>
      <c r="C5876">
        <v>7</v>
      </c>
      <c r="D5876">
        <v>1</v>
      </c>
      <c r="E5876">
        <v>12410</v>
      </c>
      <c r="F5876">
        <v>318802.32</v>
      </c>
      <c r="G5876">
        <v>255041.85</v>
      </c>
      <c r="H5876">
        <v>0</v>
      </c>
      <c r="I5876">
        <v>0</v>
      </c>
      <c r="J5876">
        <v>0</v>
      </c>
      <c r="K5876">
        <v>0</v>
      </c>
      <c r="L5876">
        <v>75747430.140000001</v>
      </c>
      <c r="M5876">
        <v>75747430.140000001</v>
      </c>
      <c r="N5876">
        <v>75747430.140000001</v>
      </c>
      <c r="O5876">
        <v>75747430.140000001</v>
      </c>
      <c r="P5876">
        <v>76512555.689999998</v>
      </c>
      <c r="Q5876">
        <v>76767597.540000007</v>
      </c>
      <c r="R5876" s="14">
        <f>_xlfn.XLOOKUP(Table2[[#This Row],[LoanID]],Table1[G-L ID],Table1[ManagerCode],-99)</f>
        <v>103</v>
      </c>
      <c r="T5876"/>
    </row>
    <row r="5877" spans="1:20" x14ac:dyDescent="0.25">
      <c r="A5877">
        <v>20170731</v>
      </c>
      <c r="B5877">
        <v>2017</v>
      </c>
      <c r="C5877">
        <v>7</v>
      </c>
      <c r="D5877">
        <v>1</v>
      </c>
      <c r="E5877">
        <v>12420</v>
      </c>
      <c r="F5877">
        <v>17294.419999999998</v>
      </c>
      <c r="G5877">
        <v>0</v>
      </c>
      <c r="H5877">
        <v>0</v>
      </c>
      <c r="I5877">
        <v>0</v>
      </c>
      <c r="J5877">
        <v>-687235.5</v>
      </c>
      <c r="K5877">
        <v>0</v>
      </c>
      <c r="L5877">
        <v>913040.45</v>
      </c>
      <c r="M5877">
        <v>1600275.95</v>
      </c>
      <c r="N5877">
        <v>913040.45</v>
      </c>
      <c r="O5877">
        <v>1600275.95</v>
      </c>
      <c r="P5877">
        <v>913040.45</v>
      </c>
      <c r="Q5877">
        <v>1600275.95</v>
      </c>
      <c r="R5877" s="14">
        <f>_xlfn.XLOOKUP(Table2[[#This Row],[LoanID]],Table1[G-L ID],Table1[ManagerCode],-99)</f>
        <v>103</v>
      </c>
      <c r="T5877"/>
    </row>
    <row r="5878" spans="1:20" x14ac:dyDescent="0.25">
      <c r="A5878">
        <v>20170731</v>
      </c>
      <c r="B5878">
        <v>2017</v>
      </c>
      <c r="C5878">
        <v>7</v>
      </c>
      <c r="D5878">
        <v>1</v>
      </c>
      <c r="E5878">
        <v>12430</v>
      </c>
      <c r="F5878">
        <v>9579.61</v>
      </c>
      <c r="G5878">
        <v>0</v>
      </c>
      <c r="H5878">
        <v>0</v>
      </c>
      <c r="I5878">
        <v>0</v>
      </c>
      <c r="J5878">
        <v>-2072158.74</v>
      </c>
      <c r="K5878">
        <v>0</v>
      </c>
      <c r="L5878">
        <v>2942603.65</v>
      </c>
      <c r="M5878">
        <v>4898942.55</v>
      </c>
      <c r="N5878">
        <v>2942603.65</v>
      </c>
      <c r="O5878">
        <v>4898942.55</v>
      </c>
      <c r="P5878">
        <v>3141686.16</v>
      </c>
      <c r="Q5878">
        <v>5213844.9000000004</v>
      </c>
      <c r="R5878" s="14">
        <f>_xlfn.XLOOKUP(Table2[[#This Row],[LoanID]],Table1[G-L ID],Table1[ManagerCode],-99)</f>
        <v>103</v>
      </c>
      <c r="T5878"/>
    </row>
    <row r="5879" spans="1:20" x14ac:dyDescent="0.25">
      <c r="A5879">
        <v>20170731</v>
      </c>
      <c r="B5879">
        <v>2017</v>
      </c>
      <c r="C5879">
        <v>7</v>
      </c>
      <c r="D5879">
        <v>1</v>
      </c>
      <c r="E5879">
        <v>12440</v>
      </c>
      <c r="F5879">
        <v>37117.78</v>
      </c>
      <c r="G5879">
        <v>0</v>
      </c>
      <c r="H5879">
        <v>0</v>
      </c>
      <c r="I5879">
        <v>0</v>
      </c>
      <c r="J5879">
        <v>0</v>
      </c>
      <c r="K5879">
        <v>46248.49</v>
      </c>
      <c r="L5879">
        <v>5240582.8499999996</v>
      </c>
      <c r="M5879">
        <v>5182568.55</v>
      </c>
      <c r="N5879">
        <v>5240582.8499999996</v>
      </c>
      <c r="O5879">
        <v>5182568.55</v>
      </c>
      <c r="P5879">
        <v>4454133.7300000004</v>
      </c>
      <c r="Q5879">
        <v>4407885.24</v>
      </c>
      <c r="R5879" s="14">
        <f>_xlfn.XLOOKUP(Table2[[#This Row],[LoanID]],Table1[G-L ID],Table1[ManagerCode],-99)</f>
        <v>103</v>
      </c>
      <c r="T5879"/>
    </row>
    <row r="5880" spans="1:20" x14ac:dyDescent="0.25">
      <c r="A5880">
        <v>20170731</v>
      </c>
      <c r="B5880">
        <v>2017</v>
      </c>
      <c r="C5880">
        <v>7</v>
      </c>
      <c r="D5880">
        <v>1</v>
      </c>
      <c r="E5880">
        <v>12590</v>
      </c>
      <c r="F5880">
        <v>4944.67</v>
      </c>
      <c r="G5880">
        <v>0</v>
      </c>
      <c r="H5880">
        <v>295000</v>
      </c>
      <c r="I5880">
        <v>0</v>
      </c>
      <c r="J5880">
        <v>-29500000</v>
      </c>
      <c r="K5880">
        <v>0</v>
      </c>
      <c r="L5880">
        <v>0</v>
      </c>
      <c r="M5880">
        <v>29500000</v>
      </c>
      <c r="N5880">
        <v>0</v>
      </c>
      <c r="O5880">
        <v>29500000</v>
      </c>
      <c r="P5880">
        <v>0</v>
      </c>
      <c r="Q5880">
        <v>29500000</v>
      </c>
      <c r="R5880" s="14">
        <f>_xlfn.XLOOKUP(Table2[[#This Row],[LoanID]],Table1[G-L ID],Table1[ManagerCode],-99)</f>
        <v>119</v>
      </c>
      <c r="T5880"/>
    </row>
    <row r="5881" spans="1:20" x14ac:dyDescent="0.25">
      <c r="A5881">
        <v>20170731</v>
      </c>
      <c r="B5881">
        <v>2017</v>
      </c>
      <c r="C5881">
        <v>7</v>
      </c>
      <c r="D5881">
        <v>1</v>
      </c>
      <c r="E5881">
        <v>12640</v>
      </c>
      <c r="F5881">
        <v>7892.43</v>
      </c>
      <c r="G5881">
        <v>0</v>
      </c>
      <c r="H5881">
        <v>298700</v>
      </c>
      <c r="I5881">
        <v>0</v>
      </c>
      <c r="J5881">
        <v>-23010000</v>
      </c>
      <c r="K5881">
        <v>0</v>
      </c>
      <c r="L5881">
        <v>0</v>
      </c>
      <c r="M5881">
        <v>23010000</v>
      </c>
      <c r="N5881">
        <v>0</v>
      </c>
      <c r="O5881">
        <v>23010000</v>
      </c>
      <c r="P5881">
        <v>0</v>
      </c>
      <c r="Q5881">
        <v>23010000</v>
      </c>
      <c r="R5881" s="14">
        <f>_xlfn.XLOOKUP(Table2[[#This Row],[LoanID]],Table1[G-L ID],Table1[ManagerCode],-99)</f>
        <v>119</v>
      </c>
      <c r="T5881"/>
    </row>
    <row r="5882" spans="1:20" x14ac:dyDescent="0.25">
      <c r="A5882">
        <v>20170731</v>
      </c>
      <c r="B5882">
        <v>2017</v>
      </c>
      <c r="C5882">
        <v>7</v>
      </c>
      <c r="D5882">
        <v>1</v>
      </c>
      <c r="E5882">
        <v>12750</v>
      </c>
      <c r="F5882">
        <v>-508.06</v>
      </c>
      <c r="G5882">
        <v>0</v>
      </c>
      <c r="H5882">
        <v>0</v>
      </c>
      <c r="I5882">
        <v>0</v>
      </c>
      <c r="J5882">
        <v>-21000000</v>
      </c>
      <c r="K5882">
        <v>10500000</v>
      </c>
      <c r="L5882">
        <v>0</v>
      </c>
      <c r="M5882">
        <v>21000000</v>
      </c>
      <c r="N5882">
        <v>0</v>
      </c>
      <c r="O5882">
        <v>10500000</v>
      </c>
      <c r="P5882">
        <v>0</v>
      </c>
      <c r="Q5882">
        <v>21000000</v>
      </c>
      <c r="R5882" s="14">
        <f>_xlfn.XLOOKUP(Table2[[#This Row],[LoanID]],Table1[G-L ID],Table1[ManagerCode],-99)</f>
        <v>236</v>
      </c>
      <c r="T5882"/>
    </row>
    <row r="5883" spans="1:20" x14ac:dyDescent="0.25">
      <c r="A5883">
        <v>20170731</v>
      </c>
      <c r="B5883">
        <v>2017</v>
      </c>
      <c r="C5883">
        <v>7</v>
      </c>
      <c r="D5883">
        <v>1</v>
      </c>
      <c r="E5883">
        <v>13020</v>
      </c>
      <c r="F5883">
        <v>9293.42</v>
      </c>
      <c r="G5883">
        <v>0</v>
      </c>
      <c r="H5883">
        <v>0</v>
      </c>
      <c r="I5883">
        <v>0</v>
      </c>
      <c r="J5883">
        <v>-1524925.12</v>
      </c>
      <c r="K5883">
        <v>0</v>
      </c>
      <c r="L5883">
        <v>1668901.97</v>
      </c>
      <c r="M5883">
        <v>3193827.09</v>
      </c>
      <c r="N5883">
        <v>1668901.97</v>
      </c>
      <c r="O5883">
        <v>3193827.09</v>
      </c>
      <c r="P5883">
        <v>1668901.97</v>
      </c>
      <c r="Q5883">
        <v>3193827.09</v>
      </c>
      <c r="R5883" s="14">
        <f>_xlfn.XLOOKUP(Table2[[#This Row],[LoanID]],Table1[G-L ID],Table1[ManagerCode],-99)</f>
        <v>103</v>
      </c>
      <c r="T5883"/>
    </row>
    <row r="5884" spans="1:20" x14ac:dyDescent="0.25">
      <c r="A5884">
        <v>20170731</v>
      </c>
      <c r="B5884">
        <v>2017</v>
      </c>
      <c r="C5884">
        <v>7</v>
      </c>
      <c r="D5884">
        <v>1</v>
      </c>
      <c r="E5884">
        <v>13600</v>
      </c>
      <c r="F5884">
        <v>366802.29</v>
      </c>
      <c r="G5884">
        <v>0</v>
      </c>
      <c r="H5884">
        <v>0</v>
      </c>
      <c r="I5884">
        <v>0</v>
      </c>
      <c r="J5884">
        <v>0</v>
      </c>
      <c r="K5884">
        <v>0</v>
      </c>
      <c r="L5884">
        <v>45970000</v>
      </c>
      <c r="M5884">
        <v>45970000</v>
      </c>
      <c r="N5884">
        <v>45970000</v>
      </c>
      <c r="O5884">
        <v>45970000</v>
      </c>
      <c r="P5884">
        <v>45970000</v>
      </c>
      <c r="Q5884">
        <v>45970000</v>
      </c>
      <c r="R5884" s="14">
        <f>_xlfn.XLOOKUP(Table2[[#This Row],[LoanID]],Table1[G-L ID],Table1[ManagerCode],-99)</f>
        <v>298</v>
      </c>
      <c r="T5884"/>
    </row>
    <row r="5885" spans="1:20" x14ac:dyDescent="0.25">
      <c r="A5885">
        <v>20170731</v>
      </c>
      <c r="B5885">
        <v>2017</v>
      </c>
      <c r="C5885">
        <v>7</v>
      </c>
      <c r="D5885">
        <v>1</v>
      </c>
      <c r="E5885">
        <v>13610</v>
      </c>
      <c r="F5885">
        <v>61250</v>
      </c>
      <c r="G5885">
        <v>0</v>
      </c>
      <c r="H5885">
        <v>0</v>
      </c>
      <c r="I5885">
        <v>0</v>
      </c>
      <c r="J5885">
        <v>0</v>
      </c>
      <c r="K5885">
        <v>0</v>
      </c>
      <c r="L5885">
        <v>10500000</v>
      </c>
      <c r="M5885">
        <v>10500000</v>
      </c>
      <c r="N5885">
        <v>10500000</v>
      </c>
      <c r="O5885">
        <v>10500000</v>
      </c>
      <c r="P5885">
        <v>10500000</v>
      </c>
      <c r="Q5885">
        <v>10500000</v>
      </c>
      <c r="R5885" s="14">
        <f>_xlfn.XLOOKUP(Table2[[#This Row],[LoanID]],Table1[G-L ID],Table1[ManagerCode],-99)</f>
        <v>298</v>
      </c>
      <c r="T5885"/>
    </row>
    <row r="5886" spans="1:20" x14ac:dyDescent="0.25">
      <c r="A5886">
        <v>20170731</v>
      </c>
      <c r="B5886">
        <v>2017</v>
      </c>
      <c r="C5886">
        <v>7</v>
      </c>
      <c r="D5886">
        <v>1</v>
      </c>
      <c r="E5886">
        <v>13630</v>
      </c>
      <c r="F5886">
        <v>211458.33</v>
      </c>
      <c r="G5886">
        <v>0</v>
      </c>
      <c r="H5886">
        <v>0</v>
      </c>
      <c r="I5886">
        <v>0</v>
      </c>
      <c r="J5886">
        <v>0</v>
      </c>
      <c r="K5886">
        <v>0</v>
      </c>
      <c r="L5886">
        <v>33569646.990000002</v>
      </c>
      <c r="M5886">
        <v>33569646.990000002</v>
      </c>
      <c r="N5886">
        <v>33569646.990000002</v>
      </c>
      <c r="O5886">
        <v>33569646.990000002</v>
      </c>
      <c r="P5886">
        <v>35000000</v>
      </c>
      <c r="Q5886">
        <v>35000000</v>
      </c>
      <c r="R5886" s="14">
        <f>_xlfn.XLOOKUP(Table2[[#This Row],[LoanID]],Table1[G-L ID],Table1[ManagerCode],-99)</f>
        <v>298</v>
      </c>
      <c r="T5886"/>
    </row>
    <row r="5887" spans="1:20" x14ac:dyDescent="0.25">
      <c r="A5887">
        <v>20170731</v>
      </c>
      <c r="B5887">
        <v>2017</v>
      </c>
      <c r="C5887">
        <v>7</v>
      </c>
      <c r="D5887">
        <v>1</v>
      </c>
      <c r="E5887">
        <v>13640</v>
      </c>
      <c r="F5887">
        <v>219661.46</v>
      </c>
      <c r="G5887">
        <v>0</v>
      </c>
      <c r="H5887">
        <v>0</v>
      </c>
      <c r="I5887">
        <v>0</v>
      </c>
      <c r="J5887">
        <v>0</v>
      </c>
      <c r="K5887">
        <v>0</v>
      </c>
      <c r="L5887">
        <v>30125000</v>
      </c>
      <c r="M5887">
        <v>30125000</v>
      </c>
      <c r="N5887">
        <v>30125000</v>
      </c>
      <c r="O5887">
        <v>30125000</v>
      </c>
      <c r="P5887">
        <v>30125000</v>
      </c>
      <c r="Q5887">
        <v>30125000</v>
      </c>
      <c r="R5887" s="14">
        <f>_xlfn.XLOOKUP(Table2[[#This Row],[LoanID]],Table1[G-L ID],Table1[ManagerCode],-99)</f>
        <v>298</v>
      </c>
      <c r="T5887"/>
    </row>
    <row r="5888" spans="1:20" x14ac:dyDescent="0.25">
      <c r="A5888">
        <v>20170731</v>
      </c>
      <c r="B5888">
        <v>2017</v>
      </c>
      <c r="C5888">
        <v>7</v>
      </c>
      <c r="D5888">
        <v>1</v>
      </c>
      <c r="E5888">
        <v>13650</v>
      </c>
      <c r="F5888">
        <v>216666.67</v>
      </c>
      <c r="G5888">
        <v>0</v>
      </c>
      <c r="H5888">
        <v>0</v>
      </c>
      <c r="I5888">
        <v>0</v>
      </c>
      <c r="J5888">
        <v>0</v>
      </c>
      <c r="K5888">
        <v>0</v>
      </c>
      <c r="L5888">
        <v>40000000</v>
      </c>
      <c r="M5888">
        <v>40000000</v>
      </c>
      <c r="N5888">
        <v>40000000</v>
      </c>
      <c r="O5888">
        <v>40000000</v>
      </c>
      <c r="P5888">
        <v>40000000</v>
      </c>
      <c r="Q5888">
        <v>40000000</v>
      </c>
      <c r="R5888" s="14">
        <f>_xlfn.XLOOKUP(Table2[[#This Row],[LoanID]],Table1[G-L ID],Table1[ManagerCode],-99)</f>
        <v>298</v>
      </c>
      <c r="T5888"/>
    </row>
    <row r="5889" spans="1:20" x14ac:dyDescent="0.25">
      <c r="A5889">
        <v>20170731</v>
      </c>
      <c r="B5889">
        <v>2017</v>
      </c>
      <c r="C5889">
        <v>7</v>
      </c>
      <c r="D5889">
        <v>1</v>
      </c>
      <c r="E5889">
        <v>13660</v>
      </c>
      <c r="F5889">
        <v>114166.67</v>
      </c>
      <c r="G5889">
        <v>0</v>
      </c>
      <c r="H5889">
        <v>0</v>
      </c>
      <c r="I5889">
        <v>0</v>
      </c>
      <c r="J5889">
        <v>0</v>
      </c>
      <c r="K5889">
        <v>0</v>
      </c>
      <c r="L5889">
        <v>20000000</v>
      </c>
      <c r="M5889">
        <v>20000000</v>
      </c>
      <c r="N5889">
        <v>20000000</v>
      </c>
      <c r="O5889">
        <v>20000000</v>
      </c>
      <c r="P5889">
        <v>20000000</v>
      </c>
      <c r="Q5889">
        <v>20000000</v>
      </c>
      <c r="R5889" s="14">
        <f>_xlfn.XLOOKUP(Table2[[#This Row],[LoanID]],Table1[G-L ID],Table1[ManagerCode],-99)</f>
        <v>298</v>
      </c>
      <c r="T5889"/>
    </row>
    <row r="5890" spans="1:20" x14ac:dyDescent="0.25">
      <c r="A5890">
        <v>20170731</v>
      </c>
      <c r="B5890">
        <v>2017</v>
      </c>
      <c r="C5890">
        <v>7</v>
      </c>
      <c r="D5890">
        <v>1</v>
      </c>
      <c r="E5890">
        <v>13670</v>
      </c>
      <c r="F5890">
        <v>301843.75</v>
      </c>
      <c r="G5890">
        <v>0</v>
      </c>
      <c r="H5890">
        <v>0</v>
      </c>
      <c r="I5890">
        <v>0</v>
      </c>
      <c r="J5890">
        <v>0</v>
      </c>
      <c r="K5890">
        <v>0</v>
      </c>
      <c r="L5890">
        <v>37322264.049999997</v>
      </c>
      <c r="M5890">
        <v>37322264.049999997</v>
      </c>
      <c r="N5890">
        <v>37322264.049999997</v>
      </c>
      <c r="O5890">
        <v>37322264.049999997</v>
      </c>
      <c r="P5890">
        <v>37500000</v>
      </c>
      <c r="Q5890">
        <v>37500000</v>
      </c>
      <c r="R5890" s="14">
        <f>_xlfn.XLOOKUP(Table2[[#This Row],[LoanID]],Table1[G-L ID],Table1[ManagerCode],-99)</f>
        <v>298</v>
      </c>
      <c r="T5890"/>
    </row>
    <row r="5891" spans="1:20" x14ac:dyDescent="0.25">
      <c r="A5891">
        <v>20170731</v>
      </c>
      <c r="B5891">
        <v>2017</v>
      </c>
      <c r="C5891">
        <v>7</v>
      </c>
      <c r="D5891">
        <v>1</v>
      </c>
      <c r="E5891">
        <v>13680</v>
      </c>
      <c r="F5891">
        <v>159000</v>
      </c>
      <c r="G5891">
        <v>0</v>
      </c>
      <c r="H5891">
        <v>0</v>
      </c>
      <c r="I5891">
        <v>0</v>
      </c>
      <c r="J5891">
        <v>0</v>
      </c>
      <c r="K5891">
        <v>0</v>
      </c>
      <c r="L5891">
        <v>17989534.25</v>
      </c>
      <c r="M5891">
        <v>17989534.25</v>
      </c>
      <c r="N5891">
        <v>17989534.25</v>
      </c>
      <c r="O5891">
        <v>17989534.25</v>
      </c>
      <c r="P5891">
        <v>18000000</v>
      </c>
      <c r="Q5891">
        <v>18000000</v>
      </c>
      <c r="R5891" s="14">
        <f>_xlfn.XLOOKUP(Table2[[#This Row],[LoanID]],Table1[G-L ID],Table1[ManagerCode],-99)</f>
        <v>298</v>
      </c>
      <c r="T5891"/>
    </row>
    <row r="5892" spans="1:20" x14ac:dyDescent="0.25">
      <c r="A5892">
        <v>20170731</v>
      </c>
      <c r="B5892">
        <v>2017</v>
      </c>
      <c r="C5892">
        <v>7</v>
      </c>
      <c r="D5892">
        <v>1</v>
      </c>
      <c r="E5892">
        <v>13690</v>
      </c>
      <c r="F5892">
        <v>129166.67</v>
      </c>
      <c r="G5892">
        <v>0</v>
      </c>
      <c r="H5892">
        <v>0</v>
      </c>
      <c r="I5892">
        <v>0</v>
      </c>
      <c r="J5892">
        <v>0</v>
      </c>
      <c r="K5892">
        <v>0</v>
      </c>
      <c r="L5892">
        <v>18960334.350000001</v>
      </c>
      <c r="M5892">
        <v>18960334.350000001</v>
      </c>
      <c r="N5892">
        <v>18960334.350000001</v>
      </c>
      <c r="O5892">
        <v>18960334.350000001</v>
      </c>
      <c r="P5892">
        <v>20000000</v>
      </c>
      <c r="Q5892">
        <v>20000000</v>
      </c>
      <c r="R5892" s="14">
        <f>_xlfn.XLOOKUP(Table2[[#This Row],[LoanID]],Table1[G-L ID],Table1[ManagerCode],-99)</f>
        <v>298</v>
      </c>
      <c r="T5892"/>
    </row>
    <row r="5893" spans="1:20" x14ac:dyDescent="0.25">
      <c r="A5893">
        <v>20170731</v>
      </c>
      <c r="B5893">
        <v>2017</v>
      </c>
      <c r="C5893">
        <v>7</v>
      </c>
      <c r="D5893">
        <v>1</v>
      </c>
      <c r="E5893">
        <v>15540</v>
      </c>
      <c r="F5893">
        <v>224262.5</v>
      </c>
      <c r="G5893">
        <v>14166.25</v>
      </c>
      <c r="H5893">
        <v>0</v>
      </c>
      <c r="I5893">
        <v>-2187.5</v>
      </c>
      <c r="J5893">
        <v>0</v>
      </c>
      <c r="K5893">
        <v>0</v>
      </c>
      <c r="L5893">
        <v>52724262.5</v>
      </c>
      <c r="M5893">
        <v>52738428.75</v>
      </c>
      <c r="N5893">
        <v>52724262.5</v>
      </c>
      <c r="O5893">
        <v>52738428.75</v>
      </c>
      <c r="P5893">
        <v>52724262.5</v>
      </c>
      <c r="Q5893">
        <v>52738428.75</v>
      </c>
      <c r="R5893" s="14">
        <f>_xlfn.XLOOKUP(Table2[[#This Row],[LoanID]],Table1[G-L ID],Table1[ManagerCode],-99)</f>
        <v>212</v>
      </c>
      <c r="T5893"/>
    </row>
    <row r="5894" spans="1:20" x14ac:dyDescent="0.25">
      <c r="A5894">
        <v>20170731</v>
      </c>
      <c r="B5894">
        <v>2017</v>
      </c>
      <c r="C5894">
        <v>7</v>
      </c>
      <c r="D5894">
        <v>1</v>
      </c>
      <c r="E5894">
        <v>15580</v>
      </c>
      <c r="F5894">
        <v>112991.01</v>
      </c>
      <c r="G5894">
        <v>3683.45</v>
      </c>
      <c r="H5894">
        <v>0</v>
      </c>
      <c r="I5894">
        <v>0</v>
      </c>
      <c r="J5894">
        <v>0</v>
      </c>
      <c r="K5894">
        <v>10410.299999999999</v>
      </c>
      <c r="L5894">
        <v>14771284.310000001</v>
      </c>
      <c r="M5894">
        <v>14764557.460000001</v>
      </c>
      <c r="N5894">
        <v>14771284.310000001</v>
      </c>
      <c r="O5894">
        <v>14764557.460000001</v>
      </c>
      <c r="P5894">
        <v>14771284.310000001</v>
      </c>
      <c r="Q5894">
        <v>14764557.460000001</v>
      </c>
      <c r="R5894" s="14">
        <f>_xlfn.XLOOKUP(Table2[[#This Row],[LoanID]],Table1[G-L ID],Table1[ManagerCode],-99)</f>
        <v>212</v>
      </c>
      <c r="T5894"/>
    </row>
    <row r="5895" spans="1:20" x14ac:dyDescent="0.25">
      <c r="A5895">
        <v>20170831</v>
      </c>
      <c r="B5895">
        <v>2017</v>
      </c>
      <c r="C5895">
        <v>8</v>
      </c>
      <c r="D5895">
        <v>1</v>
      </c>
      <c r="E5895">
        <v>10010</v>
      </c>
      <c r="F5895">
        <v>185027.92</v>
      </c>
      <c r="G5895">
        <v>0</v>
      </c>
      <c r="H5895">
        <v>0</v>
      </c>
      <c r="I5895">
        <v>0</v>
      </c>
      <c r="J5895">
        <v>0</v>
      </c>
      <c r="K5895">
        <v>0</v>
      </c>
      <c r="L5895">
        <v>18978838.640000001</v>
      </c>
      <c r="M5895">
        <v>18978838.640000001</v>
      </c>
      <c r="N5895">
        <v>18978838.640000001</v>
      </c>
      <c r="O5895">
        <v>18978838.640000001</v>
      </c>
      <c r="P5895">
        <v>18978838.640000001</v>
      </c>
      <c r="Q5895">
        <v>18978838.640000001</v>
      </c>
      <c r="R5895" s="14">
        <f>_xlfn.XLOOKUP(Table2[[#This Row],[LoanID]],Table1[G-L ID],Table1[ManagerCode],-99)</f>
        <v>119</v>
      </c>
      <c r="T5895"/>
    </row>
    <row r="5896" spans="1:20" x14ac:dyDescent="0.25">
      <c r="A5896">
        <v>20170831</v>
      </c>
      <c r="B5896">
        <v>2017</v>
      </c>
      <c r="C5896">
        <v>8</v>
      </c>
      <c r="D5896">
        <v>1</v>
      </c>
      <c r="E5896">
        <v>10030</v>
      </c>
      <c r="F5896">
        <v>89653</v>
      </c>
      <c r="G5896">
        <v>0</v>
      </c>
      <c r="H5896">
        <v>0</v>
      </c>
      <c r="I5896">
        <v>0</v>
      </c>
      <c r="J5896">
        <v>-521987.62</v>
      </c>
      <c r="K5896">
        <v>0</v>
      </c>
      <c r="L5896">
        <v>10948829.699999999</v>
      </c>
      <c r="M5896">
        <v>11470817.32</v>
      </c>
      <c r="N5896">
        <v>10948829.699999999</v>
      </c>
      <c r="O5896">
        <v>11470817.32</v>
      </c>
      <c r="P5896">
        <v>10948829.699999999</v>
      </c>
      <c r="Q5896">
        <v>11470817.32</v>
      </c>
      <c r="R5896" s="14">
        <f>_xlfn.XLOOKUP(Table2[[#This Row],[LoanID]],Table1[G-L ID],Table1[ManagerCode],-99)</f>
        <v>119</v>
      </c>
      <c r="T5896"/>
    </row>
    <row r="5897" spans="1:20" x14ac:dyDescent="0.25">
      <c r="A5897">
        <v>20170831</v>
      </c>
      <c r="B5897">
        <v>2017</v>
      </c>
      <c r="C5897">
        <v>8</v>
      </c>
      <c r="D5897">
        <v>1</v>
      </c>
      <c r="E5897">
        <v>10040</v>
      </c>
      <c r="F5897">
        <v>48329.86</v>
      </c>
      <c r="G5897">
        <v>0</v>
      </c>
      <c r="H5897">
        <v>0</v>
      </c>
      <c r="I5897">
        <v>0</v>
      </c>
      <c r="J5897">
        <v>0</v>
      </c>
      <c r="K5897">
        <v>0</v>
      </c>
      <c r="L5897">
        <v>5000000</v>
      </c>
      <c r="M5897">
        <v>5000000</v>
      </c>
      <c r="N5897">
        <v>5000000</v>
      </c>
      <c r="O5897">
        <v>5000000</v>
      </c>
      <c r="P5897">
        <v>5000000</v>
      </c>
      <c r="Q5897">
        <v>5000000</v>
      </c>
      <c r="R5897" s="14">
        <f>_xlfn.XLOOKUP(Table2[[#This Row],[LoanID]],Table1[G-L ID],Table1[ManagerCode],-99)</f>
        <v>119</v>
      </c>
      <c r="T5897"/>
    </row>
    <row r="5898" spans="1:20" x14ac:dyDescent="0.25">
      <c r="A5898">
        <v>20170831</v>
      </c>
      <c r="B5898">
        <v>2017</v>
      </c>
      <c r="C5898">
        <v>8</v>
      </c>
      <c r="D5898">
        <v>1</v>
      </c>
      <c r="E5898">
        <v>10050</v>
      </c>
      <c r="F5898">
        <v>133963.48000000001</v>
      </c>
      <c r="G5898">
        <v>0</v>
      </c>
      <c r="H5898">
        <v>0</v>
      </c>
      <c r="I5898">
        <v>0</v>
      </c>
      <c r="J5898">
        <v>0</v>
      </c>
      <c r="K5898">
        <v>0</v>
      </c>
      <c r="L5898">
        <v>37553881.859999999</v>
      </c>
      <c r="M5898">
        <v>37915726.289999999</v>
      </c>
      <c r="N5898">
        <v>37553881.859999999</v>
      </c>
      <c r="O5898">
        <v>37915726.289999999</v>
      </c>
      <c r="P5898">
        <v>33333334</v>
      </c>
      <c r="Q5898">
        <v>33333334</v>
      </c>
      <c r="R5898" s="14">
        <f>_xlfn.XLOOKUP(Table2[[#This Row],[LoanID]],Table1[G-L ID],Table1[ManagerCode],-99)</f>
        <v>103</v>
      </c>
      <c r="T5898"/>
    </row>
    <row r="5899" spans="1:20" x14ac:dyDescent="0.25">
      <c r="A5899">
        <v>20170831</v>
      </c>
      <c r="B5899">
        <v>2017</v>
      </c>
      <c r="C5899">
        <v>8</v>
      </c>
      <c r="D5899">
        <v>1</v>
      </c>
      <c r="E5899">
        <v>10070</v>
      </c>
      <c r="F5899">
        <v>65817.960000000006</v>
      </c>
      <c r="G5899">
        <v>0</v>
      </c>
      <c r="H5899">
        <v>0</v>
      </c>
      <c r="I5899">
        <v>0</v>
      </c>
      <c r="J5899">
        <v>0</v>
      </c>
      <c r="K5899">
        <v>0</v>
      </c>
      <c r="L5899">
        <v>5875000</v>
      </c>
      <c r="M5899">
        <v>5875000</v>
      </c>
      <c r="N5899">
        <v>5875000</v>
      </c>
      <c r="O5899">
        <v>5875000</v>
      </c>
      <c r="P5899">
        <v>5875000</v>
      </c>
      <c r="Q5899">
        <v>5875000</v>
      </c>
      <c r="R5899" s="14">
        <f>_xlfn.XLOOKUP(Table2[[#This Row],[LoanID]],Table1[G-L ID],Table1[ManagerCode],-99)</f>
        <v>119</v>
      </c>
      <c r="T5899"/>
    </row>
    <row r="5900" spans="1:20" x14ac:dyDescent="0.25">
      <c r="A5900">
        <v>20170831</v>
      </c>
      <c r="B5900">
        <v>2017</v>
      </c>
      <c r="C5900">
        <v>8</v>
      </c>
      <c r="D5900">
        <v>1</v>
      </c>
      <c r="E5900">
        <v>10110</v>
      </c>
      <c r="F5900">
        <v>153028.4</v>
      </c>
      <c r="G5900">
        <v>0</v>
      </c>
      <c r="H5900">
        <v>0</v>
      </c>
      <c r="I5900">
        <v>0</v>
      </c>
      <c r="J5900">
        <v>0</v>
      </c>
      <c r="K5900">
        <v>0</v>
      </c>
      <c r="L5900">
        <v>16400000</v>
      </c>
      <c r="M5900">
        <v>16400000</v>
      </c>
      <c r="N5900">
        <v>16400000</v>
      </c>
      <c r="O5900">
        <v>16400000</v>
      </c>
      <c r="P5900">
        <v>16400000</v>
      </c>
      <c r="Q5900">
        <v>16400000</v>
      </c>
      <c r="R5900" s="14">
        <f>_xlfn.XLOOKUP(Table2[[#This Row],[LoanID]],Table1[G-L ID],Table1[ManagerCode],-99)</f>
        <v>119</v>
      </c>
      <c r="T5900"/>
    </row>
    <row r="5901" spans="1:20" x14ac:dyDescent="0.25">
      <c r="A5901">
        <v>20170831</v>
      </c>
      <c r="B5901">
        <v>2017</v>
      </c>
      <c r="C5901">
        <v>8</v>
      </c>
      <c r="D5901">
        <v>1</v>
      </c>
      <c r="E5901">
        <v>10120</v>
      </c>
      <c r="F5901">
        <v>60156.37</v>
      </c>
      <c r="G5901">
        <v>65521.79</v>
      </c>
      <c r="H5901">
        <v>0</v>
      </c>
      <c r="I5901">
        <v>0</v>
      </c>
      <c r="J5901">
        <v>0</v>
      </c>
      <c r="K5901">
        <v>0</v>
      </c>
      <c r="L5901">
        <v>12115881.24</v>
      </c>
      <c r="M5901">
        <v>12181403.029999999</v>
      </c>
      <c r="N5901">
        <v>12115881.24</v>
      </c>
      <c r="O5901">
        <v>12181403.029999999</v>
      </c>
      <c r="P5901">
        <v>12115881.24</v>
      </c>
      <c r="Q5901">
        <v>12181403.029999999</v>
      </c>
      <c r="R5901" s="14">
        <f>_xlfn.XLOOKUP(Table2[[#This Row],[LoanID]],Table1[G-L ID],Table1[ManagerCode],-99)</f>
        <v>183</v>
      </c>
      <c r="T5901"/>
    </row>
    <row r="5902" spans="1:20" x14ac:dyDescent="0.25">
      <c r="A5902">
        <v>20170831</v>
      </c>
      <c r="B5902">
        <v>2017</v>
      </c>
      <c r="C5902">
        <v>8</v>
      </c>
      <c r="D5902">
        <v>1</v>
      </c>
      <c r="E5902">
        <v>10160</v>
      </c>
      <c r="F5902">
        <v>219531.1</v>
      </c>
      <c r="G5902">
        <v>0</v>
      </c>
      <c r="H5902">
        <v>0</v>
      </c>
      <c r="I5902">
        <v>0</v>
      </c>
      <c r="J5902">
        <v>0</v>
      </c>
      <c r="K5902">
        <v>15450869.43</v>
      </c>
      <c r="L5902">
        <v>15450869.43</v>
      </c>
      <c r="M5902">
        <v>0</v>
      </c>
      <c r="N5902">
        <v>15450869.43</v>
      </c>
      <c r="O5902">
        <v>0</v>
      </c>
      <c r="P5902">
        <v>15450869.43</v>
      </c>
      <c r="Q5902">
        <v>0</v>
      </c>
      <c r="R5902" s="14">
        <f>_xlfn.XLOOKUP(Table2[[#This Row],[LoanID]],Table1[G-L ID],Table1[ManagerCode],-99)</f>
        <v>119</v>
      </c>
      <c r="T5902"/>
    </row>
    <row r="5903" spans="1:20" x14ac:dyDescent="0.25">
      <c r="A5903">
        <v>20170831</v>
      </c>
      <c r="B5903">
        <v>2017</v>
      </c>
      <c r="C5903">
        <v>8</v>
      </c>
      <c r="D5903">
        <v>1</v>
      </c>
      <c r="E5903">
        <v>10220</v>
      </c>
      <c r="F5903">
        <v>307847.21999999997</v>
      </c>
      <c r="G5903">
        <v>0</v>
      </c>
      <c r="H5903">
        <v>0</v>
      </c>
      <c r="I5903">
        <v>0</v>
      </c>
      <c r="J5903">
        <v>0</v>
      </c>
      <c r="K5903">
        <v>0</v>
      </c>
      <c r="L5903">
        <v>113015987.09999999</v>
      </c>
      <c r="M5903">
        <v>113474224.59999999</v>
      </c>
      <c r="N5903">
        <v>113015987.09999999</v>
      </c>
      <c r="O5903">
        <v>113474224.59999999</v>
      </c>
      <c r="P5903">
        <v>100000000</v>
      </c>
      <c r="Q5903">
        <v>100000000</v>
      </c>
      <c r="R5903" s="14">
        <f>_xlfn.XLOOKUP(Table2[[#This Row],[LoanID]],Table1[G-L ID],Table1[ManagerCode],-99)</f>
        <v>103</v>
      </c>
      <c r="T5903"/>
    </row>
    <row r="5904" spans="1:20" x14ac:dyDescent="0.25">
      <c r="A5904">
        <v>20170831</v>
      </c>
      <c r="B5904">
        <v>2017</v>
      </c>
      <c r="C5904">
        <v>8</v>
      </c>
      <c r="D5904">
        <v>1</v>
      </c>
      <c r="E5904">
        <v>10240</v>
      </c>
      <c r="F5904">
        <v>99307.64</v>
      </c>
      <c r="G5904">
        <v>0</v>
      </c>
      <c r="H5904">
        <v>0</v>
      </c>
      <c r="I5904">
        <v>0</v>
      </c>
      <c r="J5904">
        <v>0</v>
      </c>
      <c r="K5904">
        <v>0</v>
      </c>
      <c r="L5904">
        <v>12500000</v>
      </c>
      <c r="M5904">
        <v>12500000</v>
      </c>
      <c r="N5904">
        <v>12500000</v>
      </c>
      <c r="O5904">
        <v>12500000</v>
      </c>
      <c r="P5904">
        <v>12500000</v>
      </c>
      <c r="Q5904">
        <v>12500000</v>
      </c>
      <c r="R5904" s="14">
        <f>_xlfn.XLOOKUP(Table2[[#This Row],[LoanID]],Table1[G-L ID],Table1[ManagerCode],-99)</f>
        <v>220</v>
      </c>
      <c r="T5904"/>
    </row>
    <row r="5905" spans="1:20" x14ac:dyDescent="0.25">
      <c r="A5905">
        <v>20170831</v>
      </c>
      <c r="B5905">
        <v>2017</v>
      </c>
      <c r="C5905">
        <v>8</v>
      </c>
      <c r="D5905">
        <v>1</v>
      </c>
      <c r="E5905">
        <v>10250</v>
      </c>
      <c r="F5905">
        <v>53845.279999999999</v>
      </c>
      <c r="G5905">
        <v>0</v>
      </c>
      <c r="H5905">
        <v>0</v>
      </c>
      <c r="I5905">
        <v>0</v>
      </c>
      <c r="J5905">
        <v>0</v>
      </c>
      <c r="K5905">
        <v>0</v>
      </c>
      <c r="L5905">
        <v>5000000</v>
      </c>
      <c r="M5905">
        <v>5000000</v>
      </c>
      <c r="N5905">
        <v>5000000</v>
      </c>
      <c r="O5905">
        <v>5000000</v>
      </c>
      <c r="P5905">
        <v>5000000</v>
      </c>
      <c r="Q5905">
        <v>5000000</v>
      </c>
      <c r="R5905" s="14">
        <f>_xlfn.XLOOKUP(Table2[[#This Row],[LoanID]],Table1[G-L ID],Table1[ManagerCode],-99)</f>
        <v>119</v>
      </c>
      <c r="T5905"/>
    </row>
    <row r="5906" spans="1:20" x14ac:dyDescent="0.25">
      <c r="A5906">
        <v>20170831</v>
      </c>
      <c r="B5906">
        <v>2017</v>
      </c>
      <c r="C5906">
        <v>8</v>
      </c>
      <c r="D5906">
        <v>1</v>
      </c>
      <c r="E5906">
        <v>10260</v>
      </c>
      <c r="F5906">
        <v>105937.24</v>
      </c>
      <c r="G5906">
        <v>0</v>
      </c>
      <c r="H5906">
        <v>0</v>
      </c>
      <c r="I5906">
        <v>0</v>
      </c>
      <c r="J5906">
        <v>0</v>
      </c>
      <c r="K5906">
        <v>0</v>
      </c>
      <c r="L5906">
        <v>15000000</v>
      </c>
      <c r="M5906">
        <v>15000000</v>
      </c>
      <c r="N5906">
        <v>15000000</v>
      </c>
      <c r="O5906">
        <v>15000000</v>
      </c>
      <c r="P5906">
        <v>15000000</v>
      </c>
      <c r="Q5906">
        <v>15000000</v>
      </c>
      <c r="R5906" s="14">
        <f>_xlfn.XLOOKUP(Table2[[#This Row],[LoanID]],Table1[G-L ID],Table1[ManagerCode],-99)</f>
        <v>220</v>
      </c>
      <c r="T5906"/>
    </row>
    <row r="5907" spans="1:20" x14ac:dyDescent="0.25">
      <c r="A5907">
        <v>20170831</v>
      </c>
      <c r="B5907">
        <v>2017</v>
      </c>
      <c r="C5907">
        <v>8</v>
      </c>
      <c r="D5907">
        <v>1</v>
      </c>
      <c r="E5907">
        <v>10270</v>
      </c>
      <c r="F5907">
        <v>45551</v>
      </c>
      <c r="G5907">
        <v>0</v>
      </c>
      <c r="H5907">
        <v>0</v>
      </c>
      <c r="I5907">
        <v>0</v>
      </c>
      <c r="J5907">
        <v>0</v>
      </c>
      <c r="K5907">
        <v>0</v>
      </c>
      <c r="L5907">
        <v>4500000</v>
      </c>
      <c r="M5907">
        <v>4500000</v>
      </c>
      <c r="N5907">
        <v>4500000</v>
      </c>
      <c r="O5907">
        <v>4500000</v>
      </c>
      <c r="P5907">
        <v>4500000</v>
      </c>
      <c r="Q5907">
        <v>4500000</v>
      </c>
      <c r="R5907" s="14">
        <f>_xlfn.XLOOKUP(Table2[[#This Row],[LoanID]],Table1[G-L ID],Table1[ManagerCode],-99)</f>
        <v>119</v>
      </c>
      <c r="T5907"/>
    </row>
    <row r="5908" spans="1:20" x14ac:dyDescent="0.25">
      <c r="A5908">
        <v>20170831</v>
      </c>
      <c r="B5908">
        <v>2017</v>
      </c>
      <c r="C5908">
        <v>8</v>
      </c>
      <c r="D5908">
        <v>1</v>
      </c>
      <c r="E5908">
        <v>10330</v>
      </c>
      <c r="F5908">
        <v>83927.91</v>
      </c>
      <c r="G5908">
        <v>0</v>
      </c>
      <c r="H5908">
        <v>0</v>
      </c>
      <c r="I5908">
        <v>0</v>
      </c>
      <c r="J5908">
        <v>0</v>
      </c>
      <c r="K5908">
        <v>0</v>
      </c>
      <c r="L5908">
        <v>8652759.6999999993</v>
      </c>
      <c r="M5908">
        <v>8652759.6999999993</v>
      </c>
      <c r="N5908">
        <v>8652759.6999999993</v>
      </c>
      <c r="O5908">
        <v>8652759.6999999993</v>
      </c>
      <c r="P5908">
        <v>8652759.6999999993</v>
      </c>
      <c r="Q5908">
        <v>8652759.6999999993</v>
      </c>
      <c r="R5908" s="14">
        <f>_xlfn.XLOOKUP(Table2[[#This Row],[LoanID]],Table1[G-L ID],Table1[ManagerCode],-99)</f>
        <v>119</v>
      </c>
      <c r="T5908"/>
    </row>
    <row r="5909" spans="1:20" x14ac:dyDescent="0.25">
      <c r="A5909">
        <v>20170831</v>
      </c>
      <c r="B5909">
        <v>2017</v>
      </c>
      <c r="C5909">
        <v>8</v>
      </c>
      <c r="D5909">
        <v>1</v>
      </c>
      <c r="E5909">
        <v>10350</v>
      </c>
      <c r="F5909">
        <v>174805.56</v>
      </c>
      <c r="G5909">
        <v>0</v>
      </c>
      <c r="H5909">
        <v>0</v>
      </c>
      <c r="I5909">
        <v>0</v>
      </c>
      <c r="J5909">
        <v>0</v>
      </c>
      <c r="K5909">
        <v>0</v>
      </c>
      <c r="L5909">
        <v>24800000</v>
      </c>
      <c r="M5909">
        <v>24800000</v>
      </c>
      <c r="N5909">
        <v>24800000</v>
      </c>
      <c r="O5909">
        <v>24800000</v>
      </c>
      <c r="P5909">
        <v>24800000</v>
      </c>
      <c r="Q5909">
        <v>24800000</v>
      </c>
      <c r="R5909" s="14">
        <f>_xlfn.XLOOKUP(Table2[[#This Row],[LoanID]],Table1[G-L ID],Table1[ManagerCode],-99)</f>
        <v>220</v>
      </c>
      <c r="T5909"/>
    </row>
    <row r="5910" spans="1:20" x14ac:dyDescent="0.25">
      <c r="A5910">
        <v>20170831</v>
      </c>
      <c r="B5910">
        <v>2017</v>
      </c>
      <c r="C5910">
        <v>8</v>
      </c>
      <c r="D5910">
        <v>1</v>
      </c>
      <c r="E5910">
        <v>10360</v>
      </c>
      <c r="F5910">
        <v>57858.96</v>
      </c>
      <c r="G5910">
        <v>0</v>
      </c>
      <c r="H5910">
        <v>0</v>
      </c>
      <c r="I5910">
        <v>0</v>
      </c>
      <c r="J5910">
        <v>0</v>
      </c>
      <c r="K5910">
        <v>0</v>
      </c>
      <c r="L5910">
        <v>5909000</v>
      </c>
      <c r="M5910">
        <v>5909000</v>
      </c>
      <c r="N5910">
        <v>5909000</v>
      </c>
      <c r="O5910">
        <v>5909000</v>
      </c>
      <c r="P5910">
        <v>5909000</v>
      </c>
      <c r="Q5910">
        <v>5909000</v>
      </c>
      <c r="R5910" s="14">
        <f>_xlfn.XLOOKUP(Table2[[#This Row],[LoanID]],Table1[G-L ID],Table1[ManagerCode],-99)</f>
        <v>183</v>
      </c>
      <c r="T5910"/>
    </row>
    <row r="5911" spans="1:20" x14ac:dyDescent="0.25">
      <c r="A5911">
        <v>20170831</v>
      </c>
      <c r="B5911">
        <v>2017</v>
      </c>
      <c r="C5911">
        <v>8</v>
      </c>
      <c r="D5911">
        <v>1</v>
      </c>
      <c r="E5911">
        <v>10480</v>
      </c>
      <c r="F5911">
        <v>-120405</v>
      </c>
      <c r="G5911">
        <v>0</v>
      </c>
      <c r="H5911">
        <v>0</v>
      </c>
      <c r="I5911">
        <v>0</v>
      </c>
      <c r="J5911">
        <v>0</v>
      </c>
      <c r="K5911">
        <v>0</v>
      </c>
      <c r="L5911">
        <v>18000000</v>
      </c>
      <c r="M5911">
        <v>18000000</v>
      </c>
      <c r="N5911">
        <v>18000000</v>
      </c>
      <c r="O5911">
        <v>18000000</v>
      </c>
      <c r="P5911">
        <v>18000000</v>
      </c>
      <c r="Q5911">
        <v>18000000</v>
      </c>
      <c r="R5911" s="14">
        <f>_xlfn.XLOOKUP(Table2[[#This Row],[LoanID]],Table1[G-L ID],Table1[ManagerCode],-99)</f>
        <v>119</v>
      </c>
      <c r="T5911"/>
    </row>
    <row r="5912" spans="1:20" x14ac:dyDescent="0.25">
      <c r="A5912">
        <v>20170831</v>
      </c>
      <c r="B5912">
        <v>2017</v>
      </c>
      <c r="C5912">
        <v>8</v>
      </c>
      <c r="D5912">
        <v>1</v>
      </c>
      <c r="E5912">
        <v>10500</v>
      </c>
      <c r="F5912">
        <v>185713.45</v>
      </c>
      <c r="G5912">
        <v>0</v>
      </c>
      <c r="H5912">
        <v>0</v>
      </c>
      <c r="I5912">
        <v>0</v>
      </c>
      <c r="J5912">
        <v>0</v>
      </c>
      <c r="K5912">
        <v>0</v>
      </c>
      <c r="L5912">
        <v>19211405.440000001</v>
      </c>
      <c r="M5912">
        <v>19211405.440000001</v>
      </c>
      <c r="N5912">
        <v>19211405.440000001</v>
      </c>
      <c r="O5912">
        <v>19211405.440000001</v>
      </c>
      <c r="P5912">
        <v>19211405.440000001</v>
      </c>
      <c r="Q5912">
        <v>19211405.440000001</v>
      </c>
      <c r="R5912" s="14">
        <f>_xlfn.XLOOKUP(Table2[[#This Row],[LoanID]],Table1[G-L ID],Table1[ManagerCode],-99)</f>
        <v>119</v>
      </c>
      <c r="T5912"/>
    </row>
    <row r="5913" spans="1:20" x14ac:dyDescent="0.25">
      <c r="A5913">
        <v>20170831</v>
      </c>
      <c r="B5913">
        <v>2017</v>
      </c>
      <c r="C5913">
        <v>8</v>
      </c>
      <c r="D5913">
        <v>1</v>
      </c>
      <c r="E5913">
        <v>10620</v>
      </c>
      <c r="F5913">
        <v>117302.32</v>
      </c>
      <c r="G5913">
        <v>0</v>
      </c>
      <c r="H5913">
        <v>0</v>
      </c>
      <c r="I5913">
        <v>0</v>
      </c>
      <c r="J5913">
        <v>0</v>
      </c>
      <c r="K5913">
        <v>0</v>
      </c>
      <c r="L5913">
        <v>11469398.609999999</v>
      </c>
      <c r="M5913">
        <v>11469398.609999999</v>
      </c>
      <c r="N5913">
        <v>11469398.609999999</v>
      </c>
      <c r="O5913">
        <v>11469398.609999999</v>
      </c>
      <c r="P5913">
        <v>11469398.609999999</v>
      </c>
      <c r="Q5913">
        <v>11469398.609999999</v>
      </c>
      <c r="R5913" s="14">
        <f>_xlfn.XLOOKUP(Table2[[#This Row],[LoanID]],Table1[G-L ID],Table1[ManagerCode],-99)</f>
        <v>119</v>
      </c>
      <c r="T5913"/>
    </row>
    <row r="5914" spans="1:20" x14ac:dyDescent="0.25">
      <c r="A5914">
        <v>20170831</v>
      </c>
      <c r="B5914">
        <v>2017</v>
      </c>
      <c r="C5914">
        <v>8</v>
      </c>
      <c r="D5914">
        <v>1</v>
      </c>
      <c r="E5914">
        <v>10670</v>
      </c>
      <c r="F5914">
        <v>279671.67</v>
      </c>
      <c r="G5914">
        <v>0</v>
      </c>
      <c r="H5914">
        <v>0</v>
      </c>
      <c r="I5914">
        <v>0</v>
      </c>
      <c r="J5914">
        <v>0</v>
      </c>
      <c r="K5914">
        <v>0</v>
      </c>
      <c r="L5914">
        <v>30000000</v>
      </c>
      <c r="M5914">
        <v>30000000</v>
      </c>
      <c r="N5914">
        <v>30000000</v>
      </c>
      <c r="O5914">
        <v>30000000</v>
      </c>
      <c r="P5914">
        <v>30000000</v>
      </c>
      <c r="Q5914">
        <v>30000000</v>
      </c>
      <c r="R5914" s="14">
        <f>_xlfn.XLOOKUP(Table2[[#This Row],[LoanID]],Table1[G-L ID],Table1[ManagerCode],-99)</f>
        <v>119</v>
      </c>
      <c r="T5914"/>
    </row>
    <row r="5915" spans="1:20" x14ac:dyDescent="0.25">
      <c r="A5915">
        <v>20170831</v>
      </c>
      <c r="B5915">
        <v>2017</v>
      </c>
      <c r="C5915">
        <v>8</v>
      </c>
      <c r="D5915">
        <v>1</v>
      </c>
      <c r="E5915">
        <v>10680</v>
      </c>
      <c r="F5915">
        <v>217162.6</v>
      </c>
      <c r="G5915">
        <v>0</v>
      </c>
      <c r="H5915">
        <v>0</v>
      </c>
      <c r="I5915">
        <v>0</v>
      </c>
      <c r="J5915">
        <v>0</v>
      </c>
      <c r="K5915">
        <v>11442088.51</v>
      </c>
      <c r="L5915">
        <v>11442088.51</v>
      </c>
      <c r="M5915">
        <v>0</v>
      </c>
      <c r="N5915">
        <v>11442088.51</v>
      </c>
      <c r="O5915">
        <v>0</v>
      </c>
      <c r="P5915">
        <v>11442088.51</v>
      </c>
      <c r="Q5915">
        <v>0</v>
      </c>
      <c r="R5915" s="14">
        <f>_xlfn.XLOOKUP(Table2[[#This Row],[LoanID]],Table1[G-L ID],Table1[ManagerCode],-99)</f>
        <v>119</v>
      </c>
      <c r="T5915"/>
    </row>
    <row r="5916" spans="1:20" x14ac:dyDescent="0.25">
      <c r="A5916">
        <v>20170831</v>
      </c>
      <c r="B5916">
        <v>2017</v>
      </c>
      <c r="C5916">
        <v>8</v>
      </c>
      <c r="D5916">
        <v>1</v>
      </c>
      <c r="E5916">
        <v>10730</v>
      </c>
      <c r="F5916">
        <v>105805.2</v>
      </c>
      <c r="G5916">
        <v>0</v>
      </c>
      <c r="H5916">
        <v>0</v>
      </c>
      <c r="I5916">
        <v>0</v>
      </c>
      <c r="J5916">
        <v>0</v>
      </c>
      <c r="K5916">
        <v>0</v>
      </c>
      <c r="L5916">
        <v>9500000</v>
      </c>
      <c r="M5916">
        <v>9500000</v>
      </c>
      <c r="N5916">
        <v>9500000</v>
      </c>
      <c r="O5916">
        <v>9500000</v>
      </c>
      <c r="P5916">
        <v>9500000</v>
      </c>
      <c r="Q5916">
        <v>9500000</v>
      </c>
      <c r="R5916" s="14">
        <f>_xlfn.XLOOKUP(Table2[[#This Row],[LoanID]],Table1[G-L ID],Table1[ManagerCode],-99)</f>
        <v>119</v>
      </c>
      <c r="T5916"/>
    </row>
    <row r="5917" spans="1:20" x14ac:dyDescent="0.25">
      <c r="A5917">
        <v>20170831</v>
      </c>
      <c r="B5917">
        <v>2017</v>
      </c>
      <c r="C5917">
        <v>8</v>
      </c>
      <c r="D5917">
        <v>1</v>
      </c>
      <c r="E5917">
        <v>10750</v>
      </c>
      <c r="F5917">
        <v>81932.44</v>
      </c>
      <c r="G5917">
        <v>0</v>
      </c>
      <c r="H5917">
        <v>0</v>
      </c>
      <c r="I5917">
        <v>0</v>
      </c>
      <c r="J5917">
        <v>-208211.41</v>
      </c>
      <c r="K5917">
        <v>0</v>
      </c>
      <c r="L5917">
        <v>8939713.5199999996</v>
      </c>
      <c r="M5917">
        <v>9147924.9299999997</v>
      </c>
      <c r="N5917">
        <v>8939713.5199999996</v>
      </c>
      <c r="O5917">
        <v>9147924.9299999997</v>
      </c>
      <c r="P5917">
        <v>8939713.5199999996</v>
      </c>
      <c r="Q5917">
        <v>9147924.9299999997</v>
      </c>
      <c r="R5917" s="14">
        <f>_xlfn.XLOOKUP(Table2[[#This Row],[LoanID]],Table1[G-L ID],Table1[ManagerCode],-99)</f>
        <v>119</v>
      </c>
      <c r="T5917"/>
    </row>
    <row r="5918" spans="1:20" x14ac:dyDescent="0.25">
      <c r="A5918">
        <v>20170831</v>
      </c>
      <c r="B5918">
        <v>2017</v>
      </c>
      <c r="C5918">
        <v>8</v>
      </c>
      <c r="D5918">
        <v>1</v>
      </c>
      <c r="E5918">
        <v>10780</v>
      </c>
      <c r="F5918">
        <v>700607.55</v>
      </c>
      <c r="G5918">
        <v>0</v>
      </c>
      <c r="H5918">
        <v>0</v>
      </c>
      <c r="I5918">
        <v>0</v>
      </c>
      <c r="J5918">
        <v>0</v>
      </c>
      <c r="K5918">
        <v>42932230</v>
      </c>
      <c r="L5918">
        <v>42932230</v>
      </c>
      <c r="M5918">
        <v>0</v>
      </c>
      <c r="N5918">
        <v>42932230</v>
      </c>
      <c r="O5918">
        <v>0</v>
      </c>
      <c r="P5918">
        <v>42932230</v>
      </c>
      <c r="Q5918">
        <v>0</v>
      </c>
      <c r="R5918" s="14">
        <f>_xlfn.XLOOKUP(Table2[[#This Row],[LoanID]],Table1[G-L ID],Table1[ManagerCode],-99)</f>
        <v>220</v>
      </c>
      <c r="T5918"/>
    </row>
    <row r="5919" spans="1:20" x14ac:dyDescent="0.25">
      <c r="A5919">
        <v>20170831</v>
      </c>
      <c r="B5919">
        <v>2017</v>
      </c>
      <c r="C5919">
        <v>8</v>
      </c>
      <c r="D5919">
        <v>1</v>
      </c>
      <c r="E5919">
        <v>10800</v>
      </c>
      <c r="F5919">
        <v>872741.33</v>
      </c>
      <c r="G5919">
        <v>0</v>
      </c>
      <c r="H5919">
        <v>0</v>
      </c>
      <c r="I5919">
        <v>0</v>
      </c>
      <c r="J5919">
        <v>0</v>
      </c>
      <c r="K5919">
        <v>48000000</v>
      </c>
      <c r="L5919">
        <v>48000000</v>
      </c>
      <c r="M5919">
        <v>0</v>
      </c>
      <c r="N5919">
        <v>48000000</v>
      </c>
      <c r="O5919">
        <v>0</v>
      </c>
      <c r="P5919">
        <v>48000000</v>
      </c>
      <c r="Q5919">
        <v>0</v>
      </c>
      <c r="R5919" s="14">
        <f>_xlfn.XLOOKUP(Table2[[#This Row],[LoanID]],Table1[G-L ID],Table1[ManagerCode],-99)</f>
        <v>220</v>
      </c>
      <c r="T5919"/>
    </row>
    <row r="5920" spans="1:20" x14ac:dyDescent="0.25">
      <c r="A5920">
        <v>20170831</v>
      </c>
      <c r="B5920">
        <v>2017</v>
      </c>
      <c r="C5920">
        <v>8</v>
      </c>
      <c r="D5920">
        <v>1</v>
      </c>
      <c r="E5920">
        <v>10810</v>
      </c>
      <c r="F5920">
        <v>92083.96</v>
      </c>
      <c r="G5920">
        <v>0</v>
      </c>
      <c r="H5920">
        <v>0</v>
      </c>
      <c r="I5920">
        <v>0</v>
      </c>
      <c r="J5920">
        <v>-153497.20000000001</v>
      </c>
      <c r="K5920">
        <v>0</v>
      </c>
      <c r="L5920">
        <v>9513538.2300000004</v>
      </c>
      <c r="M5920">
        <v>9667035.4299999997</v>
      </c>
      <c r="N5920">
        <v>9513538.2300000004</v>
      </c>
      <c r="O5920">
        <v>9667035.4299999997</v>
      </c>
      <c r="P5920">
        <v>9513538.2300000004</v>
      </c>
      <c r="Q5920">
        <v>9667035.4299999997</v>
      </c>
      <c r="R5920" s="14">
        <f>_xlfn.XLOOKUP(Table2[[#This Row],[LoanID]],Table1[G-L ID],Table1[ManagerCode],-99)</f>
        <v>119</v>
      </c>
      <c r="T5920"/>
    </row>
    <row r="5921" spans="1:20" x14ac:dyDescent="0.25">
      <c r="A5921">
        <v>20170831</v>
      </c>
      <c r="B5921">
        <v>2017</v>
      </c>
      <c r="C5921">
        <v>8</v>
      </c>
      <c r="D5921">
        <v>1</v>
      </c>
      <c r="E5921">
        <v>10820</v>
      </c>
      <c r="F5921">
        <v>197375.03</v>
      </c>
      <c r="G5921">
        <v>0</v>
      </c>
      <c r="H5921">
        <v>0</v>
      </c>
      <c r="I5921">
        <v>0</v>
      </c>
      <c r="J5921">
        <v>0</v>
      </c>
      <c r="K5921">
        <v>0</v>
      </c>
      <c r="L5921">
        <v>24127338</v>
      </c>
      <c r="M5921">
        <v>24127338</v>
      </c>
      <c r="N5921">
        <v>24127338</v>
      </c>
      <c r="O5921">
        <v>24127338</v>
      </c>
      <c r="P5921">
        <v>24127337.739999998</v>
      </c>
      <c r="Q5921">
        <v>24127337.739999998</v>
      </c>
      <c r="R5921" s="14">
        <f>_xlfn.XLOOKUP(Table2[[#This Row],[LoanID]],Table1[G-L ID],Table1[ManagerCode],-99)</f>
        <v>220</v>
      </c>
      <c r="T5921"/>
    </row>
    <row r="5922" spans="1:20" x14ac:dyDescent="0.25">
      <c r="A5922">
        <v>20170831</v>
      </c>
      <c r="B5922">
        <v>2017</v>
      </c>
      <c r="C5922">
        <v>8</v>
      </c>
      <c r="D5922">
        <v>1</v>
      </c>
      <c r="E5922">
        <v>10830</v>
      </c>
      <c r="F5922">
        <v>63857.77</v>
      </c>
      <c r="G5922">
        <v>0</v>
      </c>
      <c r="H5922">
        <v>0</v>
      </c>
      <c r="I5922">
        <v>0</v>
      </c>
      <c r="J5922">
        <v>0</v>
      </c>
      <c r="K5922">
        <v>0</v>
      </c>
      <c r="L5922">
        <v>7806043.1399999997</v>
      </c>
      <c r="M5922">
        <v>7806043.1399999997</v>
      </c>
      <c r="N5922">
        <v>7806043.1399999997</v>
      </c>
      <c r="O5922">
        <v>7806043.1399999997</v>
      </c>
      <c r="P5922">
        <v>7806043.1399999997</v>
      </c>
      <c r="Q5922">
        <v>7806043.1399999997</v>
      </c>
      <c r="R5922" s="14">
        <f>_xlfn.XLOOKUP(Table2[[#This Row],[LoanID]],Table1[G-L ID],Table1[ManagerCode],-99)</f>
        <v>220</v>
      </c>
      <c r="T5922"/>
    </row>
    <row r="5923" spans="1:20" x14ac:dyDescent="0.25">
      <c r="A5923">
        <v>20170831</v>
      </c>
      <c r="B5923">
        <v>2017</v>
      </c>
      <c r="C5923">
        <v>8</v>
      </c>
      <c r="D5923">
        <v>1</v>
      </c>
      <c r="E5923">
        <v>10840</v>
      </c>
      <c r="F5923">
        <v>103968.23</v>
      </c>
      <c r="G5923">
        <v>0</v>
      </c>
      <c r="H5923">
        <v>0</v>
      </c>
      <c r="I5923">
        <v>0</v>
      </c>
      <c r="J5923">
        <v>0</v>
      </c>
      <c r="K5923">
        <v>0</v>
      </c>
      <c r="L5923">
        <v>12709189</v>
      </c>
      <c r="M5923">
        <v>12709189</v>
      </c>
      <c r="N5923">
        <v>12709189</v>
      </c>
      <c r="O5923">
        <v>12709189</v>
      </c>
      <c r="P5923">
        <v>12709189</v>
      </c>
      <c r="Q5923">
        <v>12709189</v>
      </c>
      <c r="R5923" s="14">
        <f>_xlfn.XLOOKUP(Table2[[#This Row],[LoanID]],Table1[G-L ID],Table1[ManagerCode],-99)</f>
        <v>220</v>
      </c>
      <c r="T5923"/>
    </row>
    <row r="5924" spans="1:20" x14ac:dyDescent="0.25">
      <c r="A5924">
        <v>20170831</v>
      </c>
      <c r="B5924">
        <v>2017</v>
      </c>
      <c r="C5924">
        <v>8</v>
      </c>
      <c r="D5924">
        <v>1</v>
      </c>
      <c r="E5924">
        <v>10850</v>
      </c>
      <c r="F5924">
        <v>110534.78</v>
      </c>
      <c r="G5924">
        <v>0</v>
      </c>
      <c r="H5924">
        <v>0</v>
      </c>
      <c r="I5924">
        <v>0</v>
      </c>
      <c r="J5924">
        <v>0</v>
      </c>
      <c r="K5924">
        <v>0</v>
      </c>
      <c r="L5924">
        <v>13511892</v>
      </c>
      <c r="M5924">
        <v>13511892</v>
      </c>
      <c r="N5924">
        <v>13511892</v>
      </c>
      <c r="O5924">
        <v>13511892</v>
      </c>
      <c r="P5924">
        <v>13511892</v>
      </c>
      <c r="Q5924">
        <v>13511892</v>
      </c>
      <c r="R5924" s="14">
        <f>_xlfn.XLOOKUP(Table2[[#This Row],[LoanID]],Table1[G-L ID],Table1[ManagerCode],-99)</f>
        <v>220</v>
      </c>
      <c r="T5924"/>
    </row>
    <row r="5925" spans="1:20" x14ac:dyDescent="0.25">
      <c r="A5925">
        <v>20170831</v>
      </c>
      <c r="B5925">
        <v>2017</v>
      </c>
      <c r="C5925">
        <v>8</v>
      </c>
      <c r="D5925">
        <v>1</v>
      </c>
      <c r="E5925">
        <v>10890</v>
      </c>
      <c r="F5925">
        <v>115327.48</v>
      </c>
      <c r="G5925">
        <v>96987.199999999997</v>
      </c>
      <c r="H5925">
        <v>0</v>
      </c>
      <c r="I5925">
        <v>0</v>
      </c>
      <c r="J5925">
        <v>-115327.48</v>
      </c>
      <c r="K5925">
        <v>0</v>
      </c>
      <c r="L5925">
        <v>23161601.739999998</v>
      </c>
      <c r="M5925">
        <v>23373916.420000002</v>
      </c>
      <c r="N5925">
        <v>23161601.739999998</v>
      </c>
      <c r="O5925">
        <v>23373916.420000002</v>
      </c>
      <c r="P5925">
        <v>23161601.739999998</v>
      </c>
      <c r="Q5925">
        <v>23373916.420000002</v>
      </c>
      <c r="R5925" s="14">
        <f>_xlfn.XLOOKUP(Table2[[#This Row],[LoanID]],Table1[G-L ID],Table1[ManagerCode],-99)</f>
        <v>183</v>
      </c>
      <c r="T5925"/>
    </row>
    <row r="5926" spans="1:20" x14ac:dyDescent="0.25">
      <c r="A5926">
        <v>20170831</v>
      </c>
      <c r="B5926">
        <v>2017</v>
      </c>
      <c r="C5926">
        <v>8</v>
      </c>
      <c r="D5926">
        <v>1</v>
      </c>
      <c r="E5926">
        <v>10910</v>
      </c>
      <c r="F5926">
        <v>209230.63</v>
      </c>
      <c r="G5926">
        <v>0</v>
      </c>
      <c r="H5926">
        <v>0</v>
      </c>
      <c r="I5926">
        <v>0</v>
      </c>
      <c r="J5926">
        <v>0</v>
      </c>
      <c r="K5926">
        <v>0</v>
      </c>
      <c r="L5926">
        <v>22500000</v>
      </c>
      <c r="M5926">
        <v>22500000</v>
      </c>
      <c r="N5926">
        <v>22500000</v>
      </c>
      <c r="O5926">
        <v>22500000</v>
      </c>
      <c r="P5926">
        <v>22500000</v>
      </c>
      <c r="Q5926">
        <v>22500000</v>
      </c>
      <c r="R5926" s="14">
        <f>_xlfn.XLOOKUP(Table2[[#This Row],[LoanID]],Table1[G-L ID],Table1[ManagerCode],-99)</f>
        <v>119</v>
      </c>
      <c r="T5926"/>
    </row>
    <row r="5927" spans="1:20" x14ac:dyDescent="0.25">
      <c r="A5927">
        <v>20170831</v>
      </c>
      <c r="B5927">
        <v>2017</v>
      </c>
      <c r="C5927">
        <v>8</v>
      </c>
      <c r="D5927">
        <v>1</v>
      </c>
      <c r="E5927">
        <v>10930</v>
      </c>
      <c r="F5927">
        <v>0</v>
      </c>
      <c r="G5927">
        <v>199289.71</v>
      </c>
      <c r="H5927">
        <v>0</v>
      </c>
      <c r="I5927">
        <v>0</v>
      </c>
      <c r="J5927">
        <v>0</v>
      </c>
      <c r="K5927">
        <v>0</v>
      </c>
      <c r="L5927">
        <v>18049812.649999999</v>
      </c>
      <c r="M5927">
        <v>18249102.359999999</v>
      </c>
      <c r="N5927">
        <v>18049812.649999999</v>
      </c>
      <c r="O5927">
        <v>18249102.359999999</v>
      </c>
      <c r="P5927">
        <v>18049812.649999999</v>
      </c>
      <c r="Q5927">
        <v>18249102.359999999</v>
      </c>
      <c r="R5927" s="14">
        <f>_xlfn.XLOOKUP(Table2[[#This Row],[LoanID]],Table1[G-L ID],Table1[ManagerCode],-99)</f>
        <v>183</v>
      </c>
      <c r="T5927"/>
    </row>
    <row r="5928" spans="1:20" x14ac:dyDescent="0.25">
      <c r="A5928">
        <v>20170831</v>
      </c>
      <c r="B5928">
        <v>2017</v>
      </c>
      <c r="C5928">
        <v>8</v>
      </c>
      <c r="D5928">
        <v>1</v>
      </c>
      <c r="E5928">
        <v>10970</v>
      </c>
      <c r="F5928">
        <v>23140.959999999999</v>
      </c>
      <c r="G5928">
        <v>25329.71</v>
      </c>
      <c r="H5928">
        <v>0</v>
      </c>
      <c r="I5928">
        <v>0</v>
      </c>
      <c r="J5928">
        <v>-23140.959999999999</v>
      </c>
      <c r="K5928">
        <v>0</v>
      </c>
      <c r="L5928">
        <v>4667576.37</v>
      </c>
      <c r="M5928">
        <v>4716047.04</v>
      </c>
      <c r="N5928">
        <v>4667576.37</v>
      </c>
      <c r="O5928">
        <v>4716047.04</v>
      </c>
      <c r="P5928">
        <v>4667576.37</v>
      </c>
      <c r="Q5928">
        <v>4716047.04</v>
      </c>
      <c r="R5928" s="14">
        <f>_xlfn.XLOOKUP(Table2[[#This Row],[LoanID]],Table1[G-L ID],Table1[ManagerCode],-99)</f>
        <v>183</v>
      </c>
      <c r="T5928"/>
    </row>
    <row r="5929" spans="1:20" x14ac:dyDescent="0.25">
      <c r="A5929">
        <v>20170831</v>
      </c>
      <c r="B5929">
        <v>2017</v>
      </c>
      <c r="C5929">
        <v>8</v>
      </c>
      <c r="D5929">
        <v>1</v>
      </c>
      <c r="E5929">
        <v>11060</v>
      </c>
      <c r="F5929">
        <v>199779.78</v>
      </c>
      <c r="G5929">
        <v>0</v>
      </c>
      <c r="H5929">
        <v>0</v>
      </c>
      <c r="I5929">
        <v>0</v>
      </c>
      <c r="J5929">
        <v>0</v>
      </c>
      <c r="K5929">
        <v>0</v>
      </c>
      <c r="L5929">
        <v>22000000</v>
      </c>
      <c r="M5929">
        <v>22000000</v>
      </c>
      <c r="N5929">
        <v>22000000</v>
      </c>
      <c r="O5929">
        <v>22000000</v>
      </c>
      <c r="P5929">
        <v>22000000</v>
      </c>
      <c r="Q5929">
        <v>22000000</v>
      </c>
      <c r="R5929" s="14">
        <f>_xlfn.XLOOKUP(Table2[[#This Row],[LoanID]],Table1[G-L ID],Table1[ManagerCode],-99)</f>
        <v>119</v>
      </c>
      <c r="T5929"/>
    </row>
    <row r="5930" spans="1:20" x14ac:dyDescent="0.25">
      <c r="A5930">
        <v>20170831</v>
      </c>
      <c r="B5930">
        <v>2017</v>
      </c>
      <c r="C5930">
        <v>8</v>
      </c>
      <c r="D5930">
        <v>1</v>
      </c>
      <c r="E5930">
        <v>11080</v>
      </c>
      <c r="F5930">
        <v>359964.72</v>
      </c>
      <c r="G5930">
        <v>0</v>
      </c>
      <c r="H5930">
        <v>0</v>
      </c>
      <c r="I5930">
        <v>0</v>
      </c>
      <c r="J5930">
        <v>0</v>
      </c>
      <c r="K5930">
        <v>61919.27</v>
      </c>
      <c r="L5930">
        <v>39504496.140000001</v>
      </c>
      <c r="M5930">
        <v>39442576.869999997</v>
      </c>
      <c r="N5930">
        <v>39504496.140000001</v>
      </c>
      <c r="O5930">
        <v>39442576.869999997</v>
      </c>
      <c r="P5930">
        <v>39504496.140000001</v>
      </c>
      <c r="Q5930">
        <v>39442576.869999997</v>
      </c>
      <c r="R5930" s="14">
        <f>_xlfn.XLOOKUP(Table2[[#This Row],[LoanID]],Table1[G-L ID],Table1[ManagerCode],-99)</f>
        <v>119</v>
      </c>
      <c r="T5930"/>
    </row>
    <row r="5931" spans="1:20" x14ac:dyDescent="0.25">
      <c r="A5931">
        <v>20170831</v>
      </c>
      <c r="B5931">
        <v>2017</v>
      </c>
      <c r="C5931">
        <v>8</v>
      </c>
      <c r="D5931">
        <v>1</v>
      </c>
      <c r="E5931">
        <v>11090</v>
      </c>
      <c r="F5931">
        <v>101630.87</v>
      </c>
      <c r="G5931">
        <v>0</v>
      </c>
      <c r="H5931">
        <v>0</v>
      </c>
      <c r="I5931">
        <v>0</v>
      </c>
      <c r="J5931">
        <v>0</v>
      </c>
      <c r="K5931">
        <v>0</v>
      </c>
      <c r="L5931">
        <v>11000000</v>
      </c>
      <c r="M5931">
        <v>11000000</v>
      </c>
      <c r="N5931">
        <v>11000000</v>
      </c>
      <c r="O5931">
        <v>11000000</v>
      </c>
      <c r="P5931">
        <v>11000000</v>
      </c>
      <c r="Q5931">
        <v>11000000</v>
      </c>
      <c r="R5931" s="14">
        <f>_xlfn.XLOOKUP(Table2[[#This Row],[LoanID]],Table1[G-L ID],Table1[ManagerCode],-99)</f>
        <v>119</v>
      </c>
      <c r="T5931"/>
    </row>
    <row r="5932" spans="1:20" x14ac:dyDescent="0.25">
      <c r="A5932">
        <v>20170831</v>
      </c>
      <c r="B5932">
        <v>2017</v>
      </c>
      <c r="C5932">
        <v>8</v>
      </c>
      <c r="D5932">
        <v>1</v>
      </c>
      <c r="E5932">
        <v>11150</v>
      </c>
      <c r="F5932">
        <v>107806.8</v>
      </c>
      <c r="G5932">
        <v>0</v>
      </c>
      <c r="H5932">
        <v>0</v>
      </c>
      <c r="I5932">
        <v>0</v>
      </c>
      <c r="J5932">
        <v>0</v>
      </c>
      <c r="K5932">
        <v>0</v>
      </c>
      <c r="L5932">
        <v>9548630.4000000004</v>
      </c>
      <c r="M5932">
        <v>9548630.4000000004</v>
      </c>
      <c r="N5932">
        <v>9548630.4000000004</v>
      </c>
      <c r="O5932">
        <v>9548630.4000000004</v>
      </c>
      <c r="P5932">
        <v>9548630.4000000004</v>
      </c>
      <c r="Q5932">
        <v>9548630.4000000004</v>
      </c>
      <c r="R5932" s="14">
        <f>_xlfn.XLOOKUP(Table2[[#This Row],[LoanID]],Table1[G-L ID],Table1[ManagerCode],-99)</f>
        <v>119</v>
      </c>
      <c r="T5932"/>
    </row>
    <row r="5933" spans="1:20" x14ac:dyDescent="0.25">
      <c r="A5933">
        <v>20170831</v>
      </c>
      <c r="B5933">
        <v>2017</v>
      </c>
      <c r="C5933">
        <v>8</v>
      </c>
      <c r="D5933">
        <v>1</v>
      </c>
      <c r="E5933">
        <v>11160</v>
      </c>
      <c r="F5933">
        <v>271480.58</v>
      </c>
      <c r="G5933">
        <v>176537.87</v>
      </c>
      <c r="H5933">
        <v>0</v>
      </c>
      <c r="I5933">
        <v>0</v>
      </c>
      <c r="J5933">
        <v>-632833.04</v>
      </c>
      <c r="K5933">
        <v>230502.09</v>
      </c>
      <c r="L5933">
        <v>79314298.290000007</v>
      </c>
      <c r="M5933">
        <v>80123669.200000003</v>
      </c>
      <c r="N5933">
        <v>55887228.649999999</v>
      </c>
      <c r="O5933">
        <v>56466097.469999999</v>
      </c>
      <c r="P5933">
        <v>79314298.290000007</v>
      </c>
      <c r="Q5933">
        <v>80123669.200000003</v>
      </c>
      <c r="R5933" s="14">
        <f>_xlfn.XLOOKUP(Table2[[#This Row],[LoanID]],Table1[G-L ID],Table1[ManagerCode],-99)</f>
        <v>183</v>
      </c>
      <c r="T5933"/>
    </row>
    <row r="5934" spans="1:20" x14ac:dyDescent="0.25">
      <c r="A5934">
        <v>20170831</v>
      </c>
      <c r="B5934">
        <v>2017</v>
      </c>
      <c r="C5934">
        <v>8</v>
      </c>
      <c r="D5934">
        <v>1</v>
      </c>
      <c r="E5934">
        <v>11210</v>
      </c>
      <c r="F5934">
        <v>63640.42</v>
      </c>
      <c r="G5934">
        <v>0</v>
      </c>
      <c r="H5934">
        <v>0</v>
      </c>
      <c r="I5934">
        <v>0</v>
      </c>
      <c r="J5934">
        <v>0</v>
      </c>
      <c r="K5934">
        <v>0</v>
      </c>
      <c r="L5934">
        <v>7500000</v>
      </c>
      <c r="M5934">
        <v>7500000</v>
      </c>
      <c r="N5934">
        <v>7500000</v>
      </c>
      <c r="O5934">
        <v>7500000</v>
      </c>
      <c r="P5934">
        <v>7500000</v>
      </c>
      <c r="Q5934">
        <v>7500000</v>
      </c>
      <c r="R5934" s="14">
        <f>_xlfn.XLOOKUP(Table2[[#This Row],[LoanID]],Table1[G-L ID],Table1[ManagerCode],-99)</f>
        <v>119</v>
      </c>
      <c r="T5934"/>
    </row>
    <row r="5935" spans="1:20" x14ac:dyDescent="0.25">
      <c r="A5935">
        <v>20170831</v>
      </c>
      <c r="B5935">
        <v>2017</v>
      </c>
      <c r="C5935">
        <v>8</v>
      </c>
      <c r="D5935">
        <v>1</v>
      </c>
      <c r="E5935">
        <v>11340</v>
      </c>
      <c r="F5935">
        <v>293754.51</v>
      </c>
      <c r="G5935">
        <v>0</v>
      </c>
      <c r="H5935">
        <v>0</v>
      </c>
      <c r="I5935">
        <v>0</v>
      </c>
      <c r="J5935">
        <v>0</v>
      </c>
      <c r="K5935">
        <v>65734.759999999995</v>
      </c>
      <c r="L5935">
        <v>48246131.68</v>
      </c>
      <c r="M5935">
        <v>48181054.229999997</v>
      </c>
      <c r="N5935">
        <v>48246131.68</v>
      </c>
      <c r="O5935">
        <v>48181054.229999997</v>
      </c>
      <c r="P5935">
        <v>48733466.310000002</v>
      </c>
      <c r="Q5935">
        <v>48667731.549999997</v>
      </c>
      <c r="R5935" s="14">
        <f>_xlfn.XLOOKUP(Table2[[#This Row],[LoanID]],Table1[G-L ID],Table1[ManagerCode],-99)</f>
        <v>103</v>
      </c>
      <c r="T5935"/>
    </row>
    <row r="5936" spans="1:20" x14ac:dyDescent="0.25">
      <c r="A5936">
        <v>20170831</v>
      </c>
      <c r="B5936">
        <v>2017</v>
      </c>
      <c r="C5936">
        <v>8</v>
      </c>
      <c r="D5936">
        <v>1</v>
      </c>
      <c r="E5936">
        <v>11350</v>
      </c>
      <c r="F5936">
        <v>301388.89</v>
      </c>
      <c r="G5936">
        <v>0</v>
      </c>
      <c r="H5936">
        <v>0</v>
      </c>
      <c r="I5936">
        <v>0</v>
      </c>
      <c r="J5936">
        <v>0</v>
      </c>
      <c r="K5936">
        <v>0</v>
      </c>
      <c r="L5936">
        <v>54449945.549999997</v>
      </c>
      <c r="M5936">
        <v>54449945.549999997</v>
      </c>
      <c r="N5936">
        <v>54449945.549999997</v>
      </c>
      <c r="O5936">
        <v>54449945.549999997</v>
      </c>
      <c r="P5936">
        <v>55000000</v>
      </c>
      <c r="Q5936">
        <v>55000000</v>
      </c>
      <c r="R5936" s="14">
        <f>_xlfn.XLOOKUP(Table2[[#This Row],[LoanID]],Table1[G-L ID],Table1[ManagerCode],-99)</f>
        <v>103</v>
      </c>
      <c r="T5936"/>
    </row>
    <row r="5937" spans="1:20" x14ac:dyDescent="0.25">
      <c r="A5937">
        <v>20170831</v>
      </c>
      <c r="B5937">
        <v>2017</v>
      </c>
      <c r="C5937">
        <v>8</v>
      </c>
      <c r="D5937">
        <v>1</v>
      </c>
      <c r="E5937">
        <v>11360</v>
      </c>
      <c r="F5937">
        <v>67067.740000000005</v>
      </c>
      <c r="G5937">
        <v>0</v>
      </c>
      <c r="H5937">
        <v>0</v>
      </c>
      <c r="I5937">
        <v>0</v>
      </c>
      <c r="J5937">
        <v>0</v>
      </c>
      <c r="K5937">
        <v>0</v>
      </c>
      <c r="L5937">
        <v>7537500</v>
      </c>
      <c r="M5937">
        <v>7537500</v>
      </c>
      <c r="N5937">
        <v>7537500</v>
      </c>
      <c r="O5937">
        <v>7537500</v>
      </c>
      <c r="P5937">
        <v>7537500</v>
      </c>
      <c r="Q5937">
        <v>7537500</v>
      </c>
      <c r="R5937" s="14">
        <f>_xlfn.XLOOKUP(Table2[[#This Row],[LoanID]],Table1[G-L ID],Table1[ManagerCode],-99)</f>
        <v>119</v>
      </c>
      <c r="T5937"/>
    </row>
    <row r="5938" spans="1:20" x14ac:dyDescent="0.25">
      <c r="A5938">
        <v>20170831</v>
      </c>
      <c r="B5938">
        <v>2017</v>
      </c>
      <c r="C5938">
        <v>8</v>
      </c>
      <c r="D5938">
        <v>1</v>
      </c>
      <c r="E5938">
        <v>11410</v>
      </c>
      <c r="F5938">
        <v>117035.33</v>
      </c>
      <c r="G5938">
        <v>0</v>
      </c>
      <c r="H5938">
        <v>0</v>
      </c>
      <c r="I5938">
        <v>0</v>
      </c>
      <c r="J5938">
        <v>0</v>
      </c>
      <c r="K5938">
        <v>0</v>
      </c>
      <c r="L5938">
        <v>12000000</v>
      </c>
      <c r="M5938">
        <v>12000000</v>
      </c>
      <c r="N5938">
        <v>12000000</v>
      </c>
      <c r="O5938">
        <v>12000000</v>
      </c>
      <c r="P5938">
        <v>12000000</v>
      </c>
      <c r="Q5938">
        <v>12000000</v>
      </c>
      <c r="R5938" s="14">
        <f>_xlfn.XLOOKUP(Table2[[#This Row],[LoanID]],Table1[G-L ID],Table1[ManagerCode],-99)</f>
        <v>119</v>
      </c>
      <c r="T5938"/>
    </row>
    <row r="5939" spans="1:20" x14ac:dyDescent="0.25">
      <c r="A5939">
        <v>20170831</v>
      </c>
      <c r="B5939">
        <v>2017</v>
      </c>
      <c r="C5939">
        <v>8</v>
      </c>
      <c r="D5939">
        <v>1</v>
      </c>
      <c r="E5939">
        <v>11440</v>
      </c>
      <c r="F5939">
        <v>156250</v>
      </c>
      <c r="G5939">
        <v>0</v>
      </c>
      <c r="H5939">
        <v>0</v>
      </c>
      <c r="I5939">
        <v>0</v>
      </c>
      <c r="J5939">
        <v>0</v>
      </c>
      <c r="K5939">
        <v>0</v>
      </c>
      <c r="L5939">
        <v>18750000</v>
      </c>
      <c r="M5939">
        <v>18750000</v>
      </c>
      <c r="N5939">
        <v>18750000</v>
      </c>
      <c r="O5939">
        <v>18750000</v>
      </c>
      <c r="P5939">
        <v>18750000</v>
      </c>
      <c r="Q5939">
        <v>18750000</v>
      </c>
      <c r="R5939" s="14">
        <f>_xlfn.XLOOKUP(Table2[[#This Row],[LoanID]],Table1[G-L ID],Table1[ManagerCode],-99)</f>
        <v>183</v>
      </c>
      <c r="T5939"/>
    </row>
    <row r="5940" spans="1:20" x14ac:dyDescent="0.25">
      <c r="A5940">
        <v>20170831</v>
      </c>
      <c r="B5940">
        <v>2017</v>
      </c>
      <c r="C5940">
        <v>8</v>
      </c>
      <c r="D5940">
        <v>1</v>
      </c>
      <c r="E5940">
        <v>11450</v>
      </c>
      <c r="F5940">
        <v>138961.14000000001</v>
      </c>
      <c r="G5940">
        <v>0</v>
      </c>
      <c r="H5940">
        <v>0</v>
      </c>
      <c r="I5940">
        <v>0</v>
      </c>
      <c r="J5940">
        <v>-253886.94</v>
      </c>
      <c r="K5940">
        <v>0</v>
      </c>
      <c r="L5940">
        <v>15782320.59</v>
      </c>
      <c r="M5940">
        <v>16036207.529999999</v>
      </c>
      <c r="N5940">
        <v>15782320.59</v>
      </c>
      <c r="O5940">
        <v>16036207.529999999</v>
      </c>
      <c r="P5940">
        <v>15782320.59</v>
      </c>
      <c r="Q5940">
        <v>16036207.529999999</v>
      </c>
      <c r="R5940" s="14">
        <f>_xlfn.XLOOKUP(Table2[[#This Row],[LoanID]],Table1[G-L ID],Table1[ManagerCode],-99)</f>
        <v>119</v>
      </c>
      <c r="T5940"/>
    </row>
    <row r="5941" spans="1:20" x14ac:dyDescent="0.25">
      <c r="A5941">
        <v>20170831</v>
      </c>
      <c r="B5941">
        <v>2017</v>
      </c>
      <c r="C5941">
        <v>8</v>
      </c>
      <c r="D5941">
        <v>1</v>
      </c>
      <c r="E5941">
        <v>11480</v>
      </c>
      <c r="F5941">
        <v>420497.78</v>
      </c>
      <c r="G5941">
        <v>0</v>
      </c>
      <c r="H5941">
        <v>0</v>
      </c>
      <c r="I5941">
        <v>0</v>
      </c>
      <c r="J5941">
        <v>0</v>
      </c>
      <c r="K5941">
        <v>0</v>
      </c>
      <c r="L5941">
        <v>66500000</v>
      </c>
      <c r="M5941">
        <v>66500000</v>
      </c>
      <c r="N5941">
        <v>66500000</v>
      </c>
      <c r="O5941">
        <v>66500000</v>
      </c>
      <c r="P5941">
        <v>70000000</v>
      </c>
      <c r="Q5941">
        <v>70000000</v>
      </c>
      <c r="R5941" s="14">
        <f>_xlfn.XLOOKUP(Table2[[#This Row],[LoanID]],Table1[G-L ID],Table1[ManagerCode],-99)</f>
        <v>103</v>
      </c>
      <c r="T5941"/>
    </row>
    <row r="5942" spans="1:20" x14ac:dyDescent="0.25">
      <c r="A5942">
        <v>20170831</v>
      </c>
      <c r="B5942">
        <v>2017</v>
      </c>
      <c r="C5942">
        <v>8</v>
      </c>
      <c r="D5942">
        <v>1</v>
      </c>
      <c r="E5942">
        <v>11490</v>
      </c>
      <c r="F5942">
        <v>389592.5</v>
      </c>
      <c r="G5942">
        <v>0</v>
      </c>
      <c r="H5942">
        <v>0</v>
      </c>
      <c r="I5942">
        <v>0</v>
      </c>
      <c r="J5942">
        <v>0</v>
      </c>
      <c r="K5942">
        <v>0</v>
      </c>
      <c r="L5942">
        <v>52250000</v>
      </c>
      <c r="M5942">
        <v>52250000</v>
      </c>
      <c r="N5942">
        <v>52250000</v>
      </c>
      <c r="O5942">
        <v>52250000</v>
      </c>
      <c r="P5942">
        <v>55000000</v>
      </c>
      <c r="Q5942">
        <v>55000000</v>
      </c>
      <c r="R5942" s="14">
        <f>_xlfn.XLOOKUP(Table2[[#This Row],[LoanID]],Table1[G-L ID],Table1[ManagerCode],-99)</f>
        <v>103</v>
      </c>
      <c r="T5942"/>
    </row>
    <row r="5943" spans="1:20" x14ac:dyDescent="0.25">
      <c r="A5943">
        <v>20170831</v>
      </c>
      <c r="B5943">
        <v>2017</v>
      </c>
      <c r="C5943">
        <v>8</v>
      </c>
      <c r="D5943">
        <v>1</v>
      </c>
      <c r="E5943">
        <v>11520</v>
      </c>
      <c r="F5943">
        <v>55817.43</v>
      </c>
      <c r="G5943">
        <v>0</v>
      </c>
      <c r="H5943">
        <v>0</v>
      </c>
      <c r="I5943">
        <v>0</v>
      </c>
      <c r="J5943">
        <v>-607727.86</v>
      </c>
      <c r="K5943">
        <v>0</v>
      </c>
      <c r="L5943">
        <v>8417999.2200000007</v>
      </c>
      <c r="M5943">
        <v>9025727.0800000001</v>
      </c>
      <c r="N5943">
        <v>8417999.2200000007</v>
      </c>
      <c r="O5943">
        <v>9025727.0800000001</v>
      </c>
      <c r="P5943">
        <v>8417999.2200000007</v>
      </c>
      <c r="Q5943">
        <v>9025727.0800000001</v>
      </c>
      <c r="R5943" s="14">
        <f>_xlfn.XLOOKUP(Table2[[#This Row],[LoanID]],Table1[G-L ID],Table1[ManagerCode],-99)</f>
        <v>119</v>
      </c>
      <c r="T5943"/>
    </row>
    <row r="5944" spans="1:20" x14ac:dyDescent="0.25">
      <c r="A5944">
        <v>20170831</v>
      </c>
      <c r="B5944">
        <v>2017</v>
      </c>
      <c r="C5944">
        <v>8</v>
      </c>
      <c r="D5944">
        <v>1</v>
      </c>
      <c r="E5944">
        <v>11530</v>
      </c>
      <c r="F5944">
        <v>134748.03</v>
      </c>
      <c r="G5944">
        <v>0</v>
      </c>
      <c r="H5944">
        <v>0</v>
      </c>
      <c r="I5944">
        <v>0</v>
      </c>
      <c r="J5944">
        <v>0</v>
      </c>
      <c r="K5944">
        <v>0</v>
      </c>
      <c r="L5944">
        <v>14993350.42</v>
      </c>
      <c r="M5944">
        <v>14993350.42</v>
      </c>
      <c r="N5944">
        <v>14993350.42</v>
      </c>
      <c r="O5944">
        <v>14993350.42</v>
      </c>
      <c r="P5944">
        <v>14993350.42</v>
      </c>
      <c r="Q5944">
        <v>14993350.42</v>
      </c>
      <c r="R5944" s="14">
        <f>_xlfn.XLOOKUP(Table2[[#This Row],[LoanID]],Table1[G-L ID],Table1[ManagerCode],-99)</f>
        <v>119</v>
      </c>
      <c r="T5944"/>
    </row>
    <row r="5945" spans="1:20" x14ac:dyDescent="0.25">
      <c r="A5945">
        <v>20170831</v>
      </c>
      <c r="B5945">
        <v>2017</v>
      </c>
      <c r="C5945">
        <v>8</v>
      </c>
      <c r="D5945">
        <v>1</v>
      </c>
      <c r="E5945">
        <v>11590</v>
      </c>
      <c r="F5945">
        <v>26365.56</v>
      </c>
      <c r="G5945">
        <v>0</v>
      </c>
      <c r="H5945">
        <v>0</v>
      </c>
      <c r="I5945">
        <v>0</v>
      </c>
      <c r="J5945">
        <v>0</v>
      </c>
      <c r="K5945">
        <v>0</v>
      </c>
      <c r="L5945">
        <v>3507224.44</v>
      </c>
      <c r="M5945">
        <v>3507224.44</v>
      </c>
      <c r="N5945">
        <v>3507224.44</v>
      </c>
      <c r="O5945">
        <v>3507224.44</v>
      </c>
      <c r="P5945">
        <v>3507224.44</v>
      </c>
      <c r="Q5945">
        <v>3507224.44</v>
      </c>
      <c r="R5945" s="14">
        <f>_xlfn.XLOOKUP(Table2[[#This Row],[LoanID]],Table1[G-L ID],Table1[ManagerCode],-99)</f>
        <v>119</v>
      </c>
      <c r="T5945"/>
    </row>
    <row r="5946" spans="1:20" x14ac:dyDescent="0.25">
      <c r="A5946">
        <v>20170831</v>
      </c>
      <c r="B5946">
        <v>2017</v>
      </c>
      <c r="C5946">
        <v>8</v>
      </c>
      <c r="D5946">
        <v>1</v>
      </c>
      <c r="E5946">
        <v>11680</v>
      </c>
      <c r="F5946">
        <v>57126.559999999998</v>
      </c>
      <c r="G5946">
        <v>0</v>
      </c>
      <c r="H5946">
        <v>0</v>
      </c>
      <c r="I5946">
        <v>0</v>
      </c>
      <c r="J5946">
        <v>0</v>
      </c>
      <c r="K5946">
        <v>0</v>
      </c>
      <c r="L5946">
        <v>6600000</v>
      </c>
      <c r="M5946">
        <v>6600000</v>
      </c>
      <c r="N5946">
        <v>6600000</v>
      </c>
      <c r="O5946">
        <v>6600000</v>
      </c>
      <c r="P5946">
        <v>6600000</v>
      </c>
      <c r="Q5946">
        <v>6600000</v>
      </c>
      <c r="R5946" s="14">
        <f>_xlfn.XLOOKUP(Table2[[#This Row],[LoanID]],Table1[G-L ID],Table1[ManagerCode],-99)</f>
        <v>183</v>
      </c>
      <c r="T5946"/>
    </row>
    <row r="5947" spans="1:20" x14ac:dyDescent="0.25">
      <c r="A5947">
        <v>20170831</v>
      </c>
      <c r="B5947">
        <v>2017</v>
      </c>
      <c r="C5947">
        <v>8</v>
      </c>
      <c r="D5947">
        <v>1</v>
      </c>
      <c r="E5947">
        <v>11690</v>
      </c>
      <c r="F5947">
        <v>149697.28</v>
      </c>
      <c r="G5947">
        <v>0</v>
      </c>
      <c r="H5947">
        <v>0</v>
      </c>
      <c r="I5947">
        <v>0</v>
      </c>
      <c r="J5947">
        <v>0</v>
      </c>
      <c r="K5947">
        <v>0</v>
      </c>
      <c r="L5947">
        <v>17000000</v>
      </c>
      <c r="M5947">
        <v>17000000</v>
      </c>
      <c r="N5947">
        <v>17000000</v>
      </c>
      <c r="O5947">
        <v>17000000</v>
      </c>
      <c r="P5947">
        <v>17000000</v>
      </c>
      <c r="Q5947">
        <v>17000000</v>
      </c>
      <c r="R5947" s="14">
        <f>_xlfn.XLOOKUP(Table2[[#This Row],[LoanID]],Table1[G-L ID],Table1[ManagerCode],-99)</f>
        <v>119</v>
      </c>
      <c r="T5947"/>
    </row>
    <row r="5948" spans="1:20" x14ac:dyDescent="0.25">
      <c r="A5948">
        <v>20170831</v>
      </c>
      <c r="B5948">
        <v>2017</v>
      </c>
      <c r="C5948">
        <v>8</v>
      </c>
      <c r="D5948">
        <v>1</v>
      </c>
      <c r="E5948">
        <v>11720</v>
      </c>
      <c r="F5948">
        <v>129166.67</v>
      </c>
      <c r="G5948">
        <v>0</v>
      </c>
      <c r="H5948">
        <v>0</v>
      </c>
      <c r="I5948">
        <v>0</v>
      </c>
      <c r="J5948">
        <v>0</v>
      </c>
      <c r="K5948">
        <v>0</v>
      </c>
      <c r="L5948">
        <v>21384213.140000001</v>
      </c>
      <c r="M5948">
        <v>21311821.989999998</v>
      </c>
      <c r="N5948">
        <v>21384213.140000001</v>
      </c>
      <c r="O5948">
        <v>21311821.989999998</v>
      </c>
      <c r="P5948">
        <v>20000000</v>
      </c>
      <c r="Q5948">
        <v>20000000</v>
      </c>
      <c r="R5948" s="14">
        <f>_xlfn.XLOOKUP(Table2[[#This Row],[LoanID]],Table1[G-L ID],Table1[ManagerCode],-99)</f>
        <v>103</v>
      </c>
      <c r="T5948"/>
    </row>
    <row r="5949" spans="1:20" x14ac:dyDescent="0.25">
      <c r="A5949">
        <v>20170831</v>
      </c>
      <c r="B5949">
        <v>2017</v>
      </c>
      <c r="C5949">
        <v>8</v>
      </c>
      <c r="D5949">
        <v>1</v>
      </c>
      <c r="E5949">
        <v>11730</v>
      </c>
      <c r="F5949">
        <v>53254.57</v>
      </c>
      <c r="G5949">
        <v>0</v>
      </c>
      <c r="H5949">
        <v>0</v>
      </c>
      <c r="I5949">
        <v>0</v>
      </c>
      <c r="J5949">
        <v>0</v>
      </c>
      <c r="K5949">
        <v>8246</v>
      </c>
      <c r="L5949">
        <v>4935250.75</v>
      </c>
      <c r="M5949">
        <v>4927004.75</v>
      </c>
      <c r="N5949">
        <v>4935250.75</v>
      </c>
      <c r="O5949">
        <v>4927004.75</v>
      </c>
      <c r="P5949">
        <v>4935250.75</v>
      </c>
      <c r="Q5949">
        <v>4927004.75</v>
      </c>
      <c r="R5949" s="14">
        <f>_xlfn.XLOOKUP(Table2[[#This Row],[LoanID]],Table1[G-L ID],Table1[ManagerCode],-99)</f>
        <v>119</v>
      </c>
      <c r="T5949"/>
    </row>
    <row r="5950" spans="1:20" x14ac:dyDescent="0.25">
      <c r="A5950">
        <v>20170831</v>
      </c>
      <c r="B5950">
        <v>2017</v>
      </c>
      <c r="C5950">
        <v>8</v>
      </c>
      <c r="D5950">
        <v>1</v>
      </c>
      <c r="E5950">
        <v>11750</v>
      </c>
      <c r="F5950">
        <v>247915.82</v>
      </c>
      <c r="G5950">
        <v>122522.58</v>
      </c>
      <c r="H5950">
        <v>0</v>
      </c>
      <c r="I5950">
        <v>0</v>
      </c>
      <c r="J5950">
        <v>-239562.57</v>
      </c>
      <c r="K5950">
        <v>0</v>
      </c>
      <c r="L5950">
        <v>52614798.07</v>
      </c>
      <c r="M5950">
        <v>52976883.219999999</v>
      </c>
      <c r="N5950">
        <v>52614798.07</v>
      </c>
      <c r="O5950">
        <v>52976883.219999999</v>
      </c>
      <c r="P5950">
        <v>52614798.07</v>
      </c>
      <c r="Q5950">
        <v>52976883.219999999</v>
      </c>
      <c r="R5950" s="14">
        <f>_xlfn.XLOOKUP(Table2[[#This Row],[LoanID]],Table1[G-L ID],Table1[ManagerCode],-99)</f>
        <v>183</v>
      </c>
      <c r="T5950"/>
    </row>
    <row r="5951" spans="1:20" x14ac:dyDescent="0.25">
      <c r="A5951">
        <v>20170831</v>
      </c>
      <c r="B5951">
        <v>2017</v>
      </c>
      <c r="C5951">
        <v>8</v>
      </c>
      <c r="D5951">
        <v>1</v>
      </c>
      <c r="E5951">
        <v>11830</v>
      </c>
      <c r="F5951">
        <v>90385.32</v>
      </c>
      <c r="G5951">
        <v>0</v>
      </c>
      <c r="H5951">
        <v>0</v>
      </c>
      <c r="I5951">
        <v>0</v>
      </c>
      <c r="J5951">
        <v>-573204.65</v>
      </c>
      <c r="K5951">
        <v>0</v>
      </c>
      <c r="L5951">
        <v>10449969.01</v>
      </c>
      <c r="M5951">
        <v>11023173.66</v>
      </c>
      <c r="N5951">
        <v>10449969.01</v>
      </c>
      <c r="O5951">
        <v>11023173.66</v>
      </c>
      <c r="P5951">
        <v>10449969.01</v>
      </c>
      <c r="Q5951">
        <v>11023173.66</v>
      </c>
      <c r="R5951" s="14">
        <f>_xlfn.XLOOKUP(Table2[[#This Row],[LoanID]],Table1[G-L ID],Table1[ManagerCode],-99)</f>
        <v>119</v>
      </c>
      <c r="T5951"/>
    </row>
    <row r="5952" spans="1:20" x14ac:dyDescent="0.25">
      <c r="A5952">
        <v>20170831</v>
      </c>
      <c r="B5952">
        <v>2017</v>
      </c>
      <c r="C5952">
        <v>8</v>
      </c>
      <c r="D5952">
        <v>1</v>
      </c>
      <c r="E5952">
        <v>11850</v>
      </c>
      <c r="F5952">
        <v>97500</v>
      </c>
      <c r="G5952">
        <v>0</v>
      </c>
      <c r="H5952">
        <v>0</v>
      </c>
      <c r="I5952">
        <v>0</v>
      </c>
      <c r="J5952">
        <v>0</v>
      </c>
      <c r="K5952">
        <v>0</v>
      </c>
      <c r="L5952">
        <v>9000000</v>
      </c>
      <c r="M5952">
        <v>9000000</v>
      </c>
      <c r="N5952">
        <v>9000000</v>
      </c>
      <c r="O5952">
        <v>9000000</v>
      </c>
      <c r="P5952">
        <v>9000000</v>
      </c>
      <c r="Q5952">
        <v>9000000</v>
      </c>
      <c r="R5952" s="14">
        <f>_xlfn.XLOOKUP(Table2[[#This Row],[LoanID]],Table1[G-L ID],Table1[ManagerCode],-99)</f>
        <v>183</v>
      </c>
      <c r="T5952"/>
    </row>
    <row r="5953" spans="1:20" x14ac:dyDescent="0.25">
      <c r="A5953">
        <v>20170831</v>
      </c>
      <c r="B5953">
        <v>2017</v>
      </c>
      <c r="C5953">
        <v>8</v>
      </c>
      <c r="D5953">
        <v>1</v>
      </c>
      <c r="E5953">
        <v>11980</v>
      </c>
      <c r="F5953">
        <v>73222.09</v>
      </c>
      <c r="G5953">
        <v>0</v>
      </c>
      <c r="H5953">
        <v>0</v>
      </c>
      <c r="I5953">
        <v>0</v>
      </c>
      <c r="J5953">
        <v>0</v>
      </c>
      <c r="K5953">
        <v>0</v>
      </c>
      <c r="L5953">
        <v>7400000</v>
      </c>
      <c r="M5953">
        <v>7400000</v>
      </c>
      <c r="N5953">
        <v>7400000</v>
      </c>
      <c r="O5953">
        <v>7400000</v>
      </c>
      <c r="P5953">
        <v>7400000</v>
      </c>
      <c r="Q5953">
        <v>7400000</v>
      </c>
      <c r="R5953" s="14">
        <f>_xlfn.XLOOKUP(Table2[[#This Row],[LoanID]],Table1[G-L ID],Table1[ManagerCode],-99)</f>
        <v>119</v>
      </c>
      <c r="T5953"/>
    </row>
    <row r="5954" spans="1:20" x14ac:dyDescent="0.25">
      <c r="A5954">
        <v>20170831</v>
      </c>
      <c r="B5954">
        <v>2017</v>
      </c>
      <c r="C5954">
        <v>8</v>
      </c>
      <c r="D5954">
        <v>1</v>
      </c>
      <c r="E5954">
        <v>12010</v>
      </c>
      <c r="F5954">
        <v>219489.62</v>
      </c>
      <c r="G5954">
        <v>0</v>
      </c>
      <c r="H5954">
        <v>279979.38</v>
      </c>
      <c r="I5954">
        <v>0</v>
      </c>
      <c r="J5954">
        <v>0</v>
      </c>
      <c r="K5954">
        <v>22668862.93</v>
      </c>
      <c r="L5954">
        <v>22668862.93</v>
      </c>
      <c r="M5954">
        <v>0</v>
      </c>
      <c r="N5954">
        <v>22668862.93</v>
      </c>
      <c r="O5954">
        <v>0</v>
      </c>
      <c r="P5954">
        <v>22668862.93</v>
      </c>
      <c r="Q5954">
        <v>0</v>
      </c>
      <c r="R5954" s="14">
        <f>_xlfn.XLOOKUP(Table2[[#This Row],[LoanID]],Table1[G-L ID],Table1[ManagerCode],-99)</f>
        <v>119</v>
      </c>
      <c r="T5954"/>
    </row>
    <row r="5955" spans="1:20" x14ac:dyDescent="0.25">
      <c r="A5955">
        <v>20170831</v>
      </c>
      <c r="B5955">
        <v>2017</v>
      </c>
      <c r="C5955">
        <v>8</v>
      </c>
      <c r="D5955">
        <v>1</v>
      </c>
      <c r="E5955">
        <v>12030</v>
      </c>
      <c r="F5955">
        <v>48338.36</v>
      </c>
      <c r="G5955">
        <v>0</v>
      </c>
      <c r="H5955">
        <v>0</v>
      </c>
      <c r="I5955">
        <v>0</v>
      </c>
      <c r="J5955">
        <v>0</v>
      </c>
      <c r="K5955">
        <v>0</v>
      </c>
      <c r="L5955">
        <v>6375000</v>
      </c>
      <c r="M5955">
        <v>6375000</v>
      </c>
      <c r="N5955">
        <v>6375000</v>
      </c>
      <c r="O5955">
        <v>6375000</v>
      </c>
      <c r="P5955">
        <v>6375000</v>
      </c>
      <c r="Q5955">
        <v>6375000</v>
      </c>
      <c r="R5955" s="14">
        <f>_xlfn.XLOOKUP(Table2[[#This Row],[LoanID]],Table1[G-L ID],Table1[ManagerCode],-99)</f>
        <v>119</v>
      </c>
      <c r="T5955"/>
    </row>
    <row r="5956" spans="1:20" x14ac:dyDescent="0.25">
      <c r="A5956">
        <v>20170831</v>
      </c>
      <c r="B5956">
        <v>2017</v>
      </c>
      <c r="C5956">
        <v>8</v>
      </c>
      <c r="D5956">
        <v>1</v>
      </c>
      <c r="E5956">
        <v>12180</v>
      </c>
      <c r="F5956">
        <v>228376.27</v>
      </c>
      <c r="G5956">
        <v>0</v>
      </c>
      <c r="H5956">
        <v>0</v>
      </c>
      <c r="I5956">
        <v>0</v>
      </c>
      <c r="J5956">
        <v>0</v>
      </c>
      <c r="K5956">
        <v>0</v>
      </c>
      <c r="L5956">
        <v>30393210.870000001</v>
      </c>
      <c r="M5956">
        <v>30393210.870000001</v>
      </c>
      <c r="N5956">
        <v>30393210.870000001</v>
      </c>
      <c r="O5956">
        <v>30393210.870000001</v>
      </c>
      <c r="P5956">
        <v>30393210.870000001</v>
      </c>
      <c r="Q5956">
        <v>30393210.870000001</v>
      </c>
      <c r="R5956" s="14">
        <f>_xlfn.XLOOKUP(Table2[[#This Row],[LoanID]],Table1[G-L ID],Table1[ManagerCode],-99)</f>
        <v>220</v>
      </c>
      <c r="T5956"/>
    </row>
    <row r="5957" spans="1:20" x14ac:dyDescent="0.25">
      <c r="A5957">
        <v>20170831</v>
      </c>
      <c r="B5957">
        <v>2017</v>
      </c>
      <c r="C5957">
        <v>8</v>
      </c>
      <c r="D5957">
        <v>1</v>
      </c>
      <c r="E5957">
        <v>12220</v>
      </c>
      <c r="F5957">
        <v>178340.75</v>
      </c>
      <c r="G5957">
        <v>0</v>
      </c>
      <c r="H5957">
        <v>0</v>
      </c>
      <c r="I5957">
        <v>0</v>
      </c>
      <c r="J5957">
        <v>0</v>
      </c>
      <c r="K5957">
        <v>0</v>
      </c>
      <c r="L5957">
        <v>54500000</v>
      </c>
      <c r="M5957">
        <v>54500000</v>
      </c>
      <c r="N5957">
        <v>27250000</v>
      </c>
      <c r="O5957">
        <v>27250000</v>
      </c>
      <c r="P5957">
        <v>54500000</v>
      </c>
      <c r="Q5957">
        <v>54500000</v>
      </c>
      <c r="R5957" s="14">
        <f>_xlfn.XLOOKUP(Table2[[#This Row],[LoanID]],Table1[G-L ID],Table1[ManagerCode],-99)</f>
        <v>183</v>
      </c>
      <c r="T5957"/>
    </row>
    <row r="5958" spans="1:20" x14ac:dyDescent="0.25">
      <c r="A5958">
        <v>20170831</v>
      </c>
      <c r="B5958">
        <v>2017</v>
      </c>
      <c r="C5958">
        <v>8</v>
      </c>
      <c r="D5958">
        <v>1</v>
      </c>
      <c r="E5958">
        <v>12230</v>
      </c>
      <c r="F5958">
        <v>29865.74</v>
      </c>
      <c r="G5958">
        <v>0</v>
      </c>
      <c r="H5958">
        <v>0</v>
      </c>
      <c r="I5958">
        <v>0</v>
      </c>
      <c r="J5958">
        <v>0</v>
      </c>
      <c r="K5958">
        <v>13956810.23</v>
      </c>
      <c r="L5958">
        <v>20472262.73</v>
      </c>
      <c r="M5958">
        <v>0</v>
      </c>
      <c r="N5958">
        <v>13956810.23</v>
      </c>
      <c r="O5958">
        <v>0</v>
      </c>
      <c r="P5958">
        <v>20472262.73</v>
      </c>
      <c r="Q5958">
        <v>0</v>
      </c>
      <c r="R5958" s="14">
        <f>_xlfn.XLOOKUP(Table2[[#This Row],[LoanID]],Table1[G-L ID],Table1[ManagerCode],-99)</f>
        <v>183</v>
      </c>
      <c r="T5958"/>
    </row>
    <row r="5959" spans="1:20" x14ac:dyDescent="0.25">
      <c r="A5959">
        <v>20170831</v>
      </c>
      <c r="B5959">
        <v>2017</v>
      </c>
      <c r="C5959">
        <v>8</v>
      </c>
      <c r="D5959">
        <v>1</v>
      </c>
      <c r="E5959">
        <v>12240</v>
      </c>
      <c r="F5959">
        <v>6171210.6500000004</v>
      </c>
      <c r="G5959">
        <v>0</v>
      </c>
      <c r="H5959">
        <v>0</v>
      </c>
      <c r="I5959">
        <v>0</v>
      </c>
      <c r="J5959">
        <v>0</v>
      </c>
      <c r="K5959">
        <v>161514296.40000001</v>
      </c>
      <c r="L5959">
        <v>161514296.40000001</v>
      </c>
      <c r="M5959">
        <v>0</v>
      </c>
      <c r="N5959">
        <v>161514296.40000001</v>
      </c>
      <c r="O5959">
        <v>0</v>
      </c>
      <c r="P5959">
        <v>161514296.40000001</v>
      </c>
      <c r="Q5959">
        <v>0</v>
      </c>
      <c r="R5959" s="14">
        <f>_xlfn.XLOOKUP(Table2[[#This Row],[LoanID]],Table1[G-L ID],Table1[ManagerCode],-99)</f>
        <v>183</v>
      </c>
      <c r="T5959"/>
    </row>
    <row r="5960" spans="1:20" x14ac:dyDescent="0.25">
      <c r="A5960">
        <v>20170831</v>
      </c>
      <c r="B5960">
        <v>2017</v>
      </c>
      <c r="C5960">
        <v>8</v>
      </c>
      <c r="D5960">
        <v>1</v>
      </c>
      <c r="E5960">
        <v>12250</v>
      </c>
      <c r="F5960">
        <v>96388.89</v>
      </c>
      <c r="G5960">
        <v>0</v>
      </c>
      <c r="H5960">
        <v>0</v>
      </c>
      <c r="I5960">
        <v>0</v>
      </c>
      <c r="J5960">
        <v>0</v>
      </c>
      <c r="K5960">
        <v>0</v>
      </c>
      <c r="L5960">
        <v>11163585.060000001</v>
      </c>
      <c r="M5960">
        <v>11163585.060000001</v>
      </c>
      <c r="N5960">
        <v>11163585.060000001</v>
      </c>
      <c r="O5960">
        <v>11163585.060000001</v>
      </c>
      <c r="P5960">
        <v>11163585.060000001</v>
      </c>
      <c r="Q5960">
        <v>11163585.060000001</v>
      </c>
      <c r="R5960" s="14">
        <f>_xlfn.XLOOKUP(Table2[[#This Row],[LoanID]],Table1[G-L ID],Table1[ManagerCode],-99)</f>
        <v>119</v>
      </c>
      <c r="T5960"/>
    </row>
    <row r="5961" spans="1:20" x14ac:dyDescent="0.25">
      <c r="A5961">
        <v>20170831</v>
      </c>
      <c r="B5961">
        <v>2017</v>
      </c>
      <c r="C5961">
        <v>8</v>
      </c>
      <c r="D5961">
        <v>1</v>
      </c>
      <c r="E5961">
        <v>12260</v>
      </c>
      <c r="F5961">
        <v>109120</v>
      </c>
      <c r="G5961">
        <v>0</v>
      </c>
      <c r="H5961">
        <v>0</v>
      </c>
      <c r="I5961">
        <v>0</v>
      </c>
      <c r="J5961">
        <v>0</v>
      </c>
      <c r="K5961">
        <v>0</v>
      </c>
      <c r="L5961">
        <v>11250000</v>
      </c>
      <c r="M5961">
        <v>11250000</v>
      </c>
      <c r="N5961">
        <v>11250000</v>
      </c>
      <c r="O5961">
        <v>11250000</v>
      </c>
      <c r="P5961">
        <v>11250000</v>
      </c>
      <c r="Q5961">
        <v>11250000</v>
      </c>
      <c r="R5961" s="14">
        <f>_xlfn.XLOOKUP(Table2[[#This Row],[LoanID]],Table1[G-L ID],Table1[ManagerCode],-99)</f>
        <v>119</v>
      </c>
      <c r="T5961"/>
    </row>
    <row r="5962" spans="1:20" x14ac:dyDescent="0.25">
      <c r="A5962">
        <v>20170831</v>
      </c>
      <c r="B5962">
        <v>2017</v>
      </c>
      <c r="C5962">
        <v>8</v>
      </c>
      <c r="D5962">
        <v>1</v>
      </c>
      <c r="E5962">
        <v>12270</v>
      </c>
      <c r="F5962">
        <v>199249.01</v>
      </c>
      <c r="G5962">
        <v>0</v>
      </c>
      <c r="H5962">
        <v>0</v>
      </c>
      <c r="I5962">
        <v>0</v>
      </c>
      <c r="J5962">
        <v>353458</v>
      </c>
      <c r="K5962">
        <v>0</v>
      </c>
      <c r="L5962">
        <v>20256254.600000001</v>
      </c>
      <c r="M5962">
        <v>19902796.600000001</v>
      </c>
      <c r="N5962">
        <v>20256254.600000001</v>
      </c>
      <c r="O5962">
        <v>19902796.600000001</v>
      </c>
      <c r="P5962">
        <v>20256254.600000001</v>
      </c>
      <c r="Q5962">
        <v>19902796.600000001</v>
      </c>
      <c r="R5962" s="14">
        <f>_xlfn.XLOOKUP(Table2[[#This Row],[LoanID]],Table1[G-L ID],Table1[ManagerCode],-99)</f>
        <v>119</v>
      </c>
      <c r="T5962"/>
    </row>
    <row r="5963" spans="1:20" x14ac:dyDescent="0.25">
      <c r="A5963">
        <v>20170831</v>
      </c>
      <c r="B5963">
        <v>2017</v>
      </c>
      <c r="C5963">
        <v>8</v>
      </c>
      <c r="D5963">
        <v>1</v>
      </c>
      <c r="E5963">
        <v>12280</v>
      </c>
      <c r="F5963">
        <v>129521.36</v>
      </c>
      <c r="G5963">
        <v>0</v>
      </c>
      <c r="H5963">
        <v>0</v>
      </c>
      <c r="I5963">
        <v>0</v>
      </c>
      <c r="J5963">
        <v>0</v>
      </c>
      <c r="K5963">
        <v>0</v>
      </c>
      <c r="L5963">
        <v>12818750</v>
      </c>
      <c r="M5963">
        <v>12818750</v>
      </c>
      <c r="N5963">
        <v>12818750</v>
      </c>
      <c r="O5963">
        <v>12818750</v>
      </c>
      <c r="P5963">
        <v>12818750</v>
      </c>
      <c r="Q5963">
        <v>12818750</v>
      </c>
      <c r="R5963" s="14">
        <f>_xlfn.XLOOKUP(Table2[[#This Row],[LoanID]],Table1[G-L ID],Table1[ManagerCode],-99)</f>
        <v>119</v>
      </c>
      <c r="T5963"/>
    </row>
    <row r="5964" spans="1:20" x14ac:dyDescent="0.25">
      <c r="A5964">
        <v>20170831</v>
      </c>
      <c r="B5964">
        <v>2017</v>
      </c>
      <c r="C5964">
        <v>8</v>
      </c>
      <c r="D5964">
        <v>1</v>
      </c>
      <c r="E5964">
        <v>12290</v>
      </c>
      <c r="F5964">
        <v>132409.16</v>
      </c>
      <c r="G5964">
        <v>0</v>
      </c>
      <c r="H5964">
        <v>0</v>
      </c>
      <c r="I5964">
        <v>0</v>
      </c>
      <c r="J5964">
        <v>-5000000</v>
      </c>
      <c r="K5964">
        <v>0</v>
      </c>
      <c r="L5964">
        <v>17750000</v>
      </c>
      <c r="M5964">
        <v>22750000</v>
      </c>
      <c r="N5964">
        <v>17750000</v>
      </c>
      <c r="O5964">
        <v>22750000</v>
      </c>
      <c r="P5964">
        <v>17750000</v>
      </c>
      <c r="Q5964">
        <v>22750000</v>
      </c>
      <c r="R5964" s="14">
        <f>_xlfn.XLOOKUP(Table2[[#This Row],[LoanID]],Table1[G-L ID],Table1[ManagerCode],-99)</f>
        <v>119</v>
      </c>
      <c r="T5964"/>
    </row>
    <row r="5965" spans="1:20" x14ac:dyDescent="0.25">
      <c r="A5965">
        <v>20170831</v>
      </c>
      <c r="B5965">
        <v>2017</v>
      </c>
      <c r="C5965">
        <v>8</v>
      </c>
      <c r="D5965">
        <v>1</v>
      </c>
      <c r="E5965">
        <v>12300</v>
      </c>
      <c r="F5965">
        <v>94597.88</v>
      </c>
      <c r="G5965">
        <v>0</v>
      </c>
      <c r="H5965">
        <v>0</v>
      </c>
      <c r="I5965">
        <v>0</v>
      </c>
      <c r="J5965">
        <v>0</v>
      </c>
      <c r="K5965">
        <v>0</v>
      </c>
      <c r="L5965">
        <v>10000000</v>
      </c>
      <c r="M5965">
        <v>10000000</v>
      </c>
      <c r="N5965">
        <v>10000000</v>
      </c>
      <c r="O5965">
        <v>10000000</v>
      </c>
      <c r="P5965">
        <v>10000000</v>
      </c>
      <c r="Q5965">
        <v>10000000</v>
      </c>
      <c r="R5965" s="14">
        <f>_xlfn.XLOOKUP(Table2[[#This Row],[LoanID]],Table1[G-L ID],Table1[ManagerCode],-99)</f>
        <v>119</v>
      </c>
      <c r="T5965"/>
    </row>
    <row r="5966" spans="1:20" x14ac:dyDescent="0.25">
      <c r="A5966">
        <v>20170831</v>
      </c>
      <c r="B5966">
        <v>2017</v>
      </c>
      <c r="C5966">
        <v>8</v>
      </c>
      <c r="D5966">
        <v>1</v>
      </c>
      <c r="E5966">
        <v>12310</v>
      </c>
      <c r="F5966">
        <v>135842.45000000001</v>
      </c>
      <c r="G5966">
        <v>0</v>
      </c>
      <c r="H5966">
        <v>0</v>
      </c>
      <c r="I5966">
        <v>0</v>
      </c>
      <c r="J5966">
        <v>0</v>
      </c>
      <c r="K5966">
        <v>0</v>
      </c>
      <c r="L5966">
        <v>16375000</v>
      </c>
      <c r="M5966">
        <v>16375000</v>
      </c>
      <c r="N5966">
        <v>16375000</v>
      </c>
      <c r="O5966">
        <v>16375000</v>
      </c>
      <c r="P5966">
        <v>16375000</v>
      </c>
      <c r="Q5966">
        <v>16375000</v>
      </c>
      <c r="R5966" s="14">
        <f>_xlfn.XLOOKUP(Table2[[#This Row],[LoanID]],Table1[G-L ID],Table1[ManagerCode],-99)</f>
        <v>119</v>
      </c>
      <c r="T5966"/>
    </row>
    <row r="5967" spans="1:20" x14ac:dyDescent="0.25">
      <c r="A5967">
        <v>20170831</v>
      </c>
      <c r="B5967">
        <v>2017</v>
      </c>
      <c r="C5967">
        <v>8</v>
      </c>
      <c r="D5967">
        <v>1</v>
      </c>
      <c r="E5967">
        <v>12320</v>
      </c>
      <c r="F5967">
        <v>105597.3</v>
      </c>
      <c r="G5967">
        <v>0</v>
      </c>
      <c r="H5967">
        <v>0</v>
      </c>
      <c r="I5967">
        <v>0</v>
      </c>
      <c r="J5967">
        <v>0</v>
      </c>
      <c r="K5967">
        <v>0</v>
      </c>
      <c r="L5967">
        <v>11750000</v>
      </c>
      <c r="M5967">
        <v>11750000</v>
      </c>
      <c r="N5967">
        <v>11750000</v>
      </c>
      <c r="O5967">
        <v>11750000</v>
      </c>
      <c r="P5967">
        <v>11750000</v>
      </c>
      <c r="Q5967">
        <v>11750000</v>
      </c>
      <c r="R5967" s="14">
        <f>_xlfn.XLOOKUP(Table2[[#This Row],[LoanID]],Table1[G-L ID],Table1[ManagerCode],-99)</f>
        <v>119</v>
      </c>
      <c r="T5967"/>
    </row>
    <row r="5968" spans="1:20" x14ac:dyDescent="0.25">
      <c r="A5968">
        <v>20170831</v>
      </c>
      <c r="B5968">
        <v>2017</v>
      </c>
      <c r="C5968">
        <v>8</v>
      </c>
      <c r="D5968">
        <v>1</v>
      </c>
      <c r="E5968">
        <v>12330</v>
      </c>
      <c r="F5968">
        <v>206028.19</v>
      </c>
      <c r="G5968">
        <v>0</v>
      </c>
      <c r="H5968">
        <v>0</v>
      </c>
      <c r="I5968">
        <v>0</v>
      </c>
      <c r="J5968">
        <v>0</v>
      </c>
      <c r="K5968">
        <v>0</v>
      </c>
      <c r="L5968">
        <v>19976500</v>
      </c>
      <c r="M5968">
        <v>19976500</v>
      </c>
      <c r="N5968">
        <v>19976500</v>
      </c>
      <c r="O5968">
        <v>19976500</v>
      </c>
      <c r="P5968">
        <v>19976500</v>
      </c>
      <c r="Q5968">
        <v>19976500</v>
      </c>
      <c r="R5968" s="14">
        <f>_xlfn.XLOOKUP(Table2[[#This Row],[LoanID]],Table1[G-L ID],Table1[ManagerCode],-99)</f>
        <v>119</v>
      </c>
      <c r="T5968"/>
    </row>
    <row r="5969" spans="1:20" x14ac:dyDescent="0.25">
      <c r="A5969">
        <v>20170831</v>
      </c>
      <c r="B5969">
        <v>2017</v>
      </c>
      <c r="C5969">
        <v>8</v>
      </c>
      <c r="D5969">
        <v>1</v>
      </c>
      <c r="E5969">
        <v>12340</v>
      </c>
      <c r="F5969">
        <v>83380</v>
      </c>
      <c r="G5969">
        <v>0</v>
      </c>
      <c r="H5969">
        <v>0</v>
      </c>
      <c r="I5969">
        <v>0</v>
      </c>
      <c r="J5969">
        <v>0</v>
      </c>
      <c r="K5969">
        <v>0</v>
      </c>
      <c r="L5969">
        <v>24000000</v>
      </c>
      <c r="M5969">
        <v>24000000</v>
      </c>
      <c r="N5969">
        <v>12000000</v>
      </c>
      <c r="O5969">
        <v>12000000</v>
      </c>
      <c r="P5969">
        <v>24000000</v>
      </c>
      <c r="Q5969">
        <v>24000000</v>
      </c>
      <c r="R5969" s="14">
        <f>_xlfn.XLOOKUP(Table2[[#This Row],[LoanID]],Table1[G-L ID],Table1[ManagerCode],-99)</f>
        <v>183</v>
      </c>
      <c r="T5969"/>
    </row>
    <row r="5970" spans="1:20" x14ac:dyDescent="0.25">
      <c r="A5970">
        <v>20170831</v>
      </c>
      <c r="B5970">
        <v>2017</v>
      </c>
      <c r="C5970">
        <v>8</v>
      </c>
      <c r="D5970">
        <v>1</v>
      </c>
      <c r="E5970">
        <v>12350</v>
      </c>
      <c r="F5970">
        <v>153700</v>
      </c>
      <c r="G5970">
        <v>0</v>
      </c>
      <c r="H5970">
        <v>0</v>
      </c>
      <c r="I5970">
        <v>0</v>
      </c>
      <c r="J5970">
        <v>0</v>
      </c>
      <c r="K5970">
        <v>0</v>
      </c>
      <c r="L5970">
        <v>60000000</v>
      </c>
      <c r="M5970">
        <v>60000000</v>
      </c>
      <c r="N5970">
        <v>22500000</v>
      </c>
      <c r="O5970">
        <v>22500000</v>
      </c>
      <c r="P5970">
        <v>60000000</v>
      </c>
      <c r="Q5970">
        <v>60000000</v>
      </c>
      <c r="R5970" s="14">
        <f>_xlfn.XLOOKUP(Table2[[#This Row],[LoanID]],Table1[G-L ID],Table1[ManagerCode],-99)</f>
        <v>183</v>
      </c>
      <c r="T5970"/>
    </row>
    <row r="5971" spans="1:20" x14ac:dyDescent="0.25">
      <c r="A5971">
        <v>20170831</v>
      </c>
      <c r="B5971">
        <v>2017</v>
      </c>
      <c r="C5971">
        <v>8</v>
      </c>
      <c r="D5971">
        <v>1</v>
      </c>
      <c r="E5971">
        <v>12360</v>
      </c>
      <c r="F5971">
        <v>228730</v>
      </c>
      <c r="G5971">
        <v>0</v>
      </c>
      <c r="H5971">
        <v>0</v>
      </c>
      <c r="I5971">
        <v>0</v>
      </c>
      <c r="J5971">
        <v>0</v>
      </c>
      <c r="K5971">
        <v>0</v>
      </c>
      <c r="L5971">
        <v>60000000</v>
      </c>
      <c r="M5971">
        <v>60000000</v>
      </c>
      <c r="N5971">
        <v>19000000</v>
      </c>
      <c r="O5971">
        <v>19000000</v>
      </c>
      <c r="P5971">
        <v>60000000</v>
      </c>
      <c r="Q5971">
        <v>60000000</v>
      </c>
      <c r="R5971" s="14">
        <f>_xlfn.XLOOKUP(Table2[[#This Row],[LoanID]],Table1[G-L ID],Table1[ManagerCode],-99)</f>
        <v>183</v>
      </c>
      <c r="T5971"/>
    </row>
    <row r="5972" spans="1:20" x14ac:dyDescent="0.25">
      <c r="A5972">
        <v>20170831</v>
      </c>
      <c r="B5972">
        <v>2017</v>
      </c>
      <c r="C5972">
        <v>8</v>
      </c>
      <c r="D5972">
        <v>1</v>
      </c>
      <c r="E5972">
        <v>12380</v>
      </c>
      <c r="F5972">
        <v>56661.94</v>
      </c>
      <c r="G5972">
        <v>0</v>
      </c>
      <c r="H5972">
        <v>0</v>
      </c>
      <c r="I5972">
        <v>0</v>
      </c>
      <c r="J5972">
        <v>0</v>
      </c>
      <c r="K5972">
        <v>0</v>
      </c>
      <c r="L5972">
        <v>32500000</v>
      </c>
      <c r="M5972">
        <v>32500000</v>
      </c>
      <c r="N5972">
        <v>12350000</v>
      </c>
      <c r="O5972">
        <v>12350000</v>
      </c>
      <c r="P5972">
        <v>32500000</v>
      </c>
      <c r="Q5972">
        <v>32500000</v>
      </c>
      <c r="R5972" s="14">
        <f>_xlfn.XLOOKUP(Table2[[#This Row],[LoanID]],Table1[G-L ID],Table1[ManagerCode],-99)</f>
        <v>183</v>
      </c>
      <c r="T5972"/>
    </row>
    <row r="5973" spans="1:20" x14ac:dyDescent="0.25">
      <c r="A5973">
        <v>20170831</v>
      </c>
      <c r="B5973">
        <v>2017</v>
      </c>
      <c r="C5973">
        <v>8</v>
      </c>
      <c r="D5973">
        <v>1</v>
      </c>
      <c r="E5973">
        <v>12390</v>
      </c>
      <c r="F5973">
        <v>112798.14</v>
      </c>
      <c r="G5973">
        <v>197645.36</v>
      </c>
      <c r="H5973">
        <v>0</v>
      </c>
      <c r="I5973">
        <v>0</v>
      </c>
      <c r="J5973">
        <v>-4481630.04</v>
      </c>
      <c r="K5973">
        <v>0</v>
      </c>
      <c r="L5973">
        <v>19445080.52</v>
      </c>
      <c r="M5973">
        <v>24124355.920000002</v>
      </c>
      <c r="N5973">
        <v>19445080.52</v>
      </c>
      <c r="O5973">
        <v>24124355.920000002</v>
      </c>
      <c r="P5973">
        <v>19445080.52</v>
      </c>
      <c r="Q5973">
        <v>24124355.920000002</v>
      </c>
      <c r="R5973" s="14">
        <f>_xlfn.XLOOKUP(Table2[[#This Row],[LoanID]],Table1[G-L ID],Table1[ManagerCode],-99)</f>
        <v>183</v>
      </c>
      <c r="T5973"/>
    </row>
    <row r="5974" spans="1:20" x14ac:dyDescent="0.25">
      <c r="A5974">
        <v>20170831</v>
      </c>
      <c r="B5974">
        <v>2017</v>
      </c>
      <c r="C5974">
        <v>8</v>
      </c>
      <c r="D5974">
        <v>1</v>
      </c>
      <c r="E5974">
        <v>12410</v>
      </c>
      <c r="F5974">
        <v>319864.99</v>
      </c>
      <c r="G5974">
        <v>255891.99</v>
      </c>
      <c r="H5974">
        <v>0</v>
      </c>
      <c r="I5974">
        <v>0</v>
      </c>
      <c r="J5974">
        <v>0</v>
      </c>
      <c r="K5974">
        <v>0</v>
      </c>
      <c r="L5974">
        <v>75747430.140000001</v>
      </c>
      <c r="M5974">
        <v>76253254.640000001</v>
      </c>
      <c r="N5974">
        <v>75747430.140000001</v>
      </c>
      <c r="O5974">
        <v>76253254.640000001</v>
      </c>
      <c r="P5974">
        <v>76767597.540000007</v>
      </c>
      <c r="Q5974">
        <v>77023489.530000001</v>
      </c>
      <c r="R5974" s="14">
        <f>_xlfn.XLOOKUP(Table2[[#This Row],[LoanID]],Table1[G-L ID],Table1[ManagerCode],-99)</f>
        <v>103</v>
      </c>
      <c r="T5974"/>
    </row>
    <row r="5975" spans="1:20" x14ac:dyDescent="0.25">
      <c r="A5975">
        <v>20170831</v>
      </c>
      <c r="B5975">
        <v>2017</v>
      </c>
      <c r="C5975">
        <v>8</v>
      </c>
      <c r="D5975">
        <v>1</v>
      </c>
      <c r="E5975">
        <v>12420</v>
      </c>
      <c r="F5975">
        <v>14455.01</v>
      </c>
      <c r="G5975">
        <v>0</v>
      </c>
      <c r="H5975">
        <v>0</v>
      </c>
      <c r="I5975">
        <v>0</v>
      </c>
      <c r="J5975">
        <v>-490883.5</v>
      </c>
      <c r="K5975">
        <v>0</v>
      </c>
      <c r="L5975">
        <v>1600275.95</v>
      </c>
      <c r="M5975">
        <v>2091159.45</v>
      </c>
      <c r="N5975">
        <v>1600275.95</v>
      </c>
      <c r="O5975">
        <v>2091159.45</v>
      </c>
      <c r="P5975">
        <v>1600275.95</v>
      </c>
      <c r="Q5975">
        <v>2091159.45</v>
      </c>
      <c r="R5975" s="14">
        <f>_xlfn.XLOOKUP(Table2[[#This Row],[LoanID]],Table1[G-L ID],Table1[ManagerCode],-99)</f>
        <v>103</v>
      </c>
      <c r="T5975"/>
    </row>
    <row r="5976" spans="1:20" x14ac:dyDescent="0.25">
      <c r="A5976">
        <v>20170831</v>
      </c>
      <c r="B5976">
        <v>2017</v>
      </c>
      <c r="C5976">
        <v>8</v>
      </c>
      <c r="D5976">
        <v>1</v>
      </c>
      <c r="E5976">
        <v>12430</v>
      </c>
      <c r="F5976">
        <v>114995.24</v>
      </c>
      <c r="G5976">
        <v>0</v>
      </c>
      <c r="H5976">
        <v>0</v>
      </c>
      <c r="I5976">
        <v>0</v>
      </c>
      <c r="J5976">
        <v>-953383.38</v>
      </c>
      <c r="K5976">
        <v>0</v>
      </c>
      <c r="L5976">
        <v>4898942.55</v>
      </c>
      <c r="M5976">
        <v>5772027.9299999997</v>
      </c>
      <c r="N5976">
        <v>4898942.55</v>
      </c>
      <c r="O5976">
        <v>5772027.9299999997</v>
      </c>
      <c r="P5976">
        <v>5213844.9000000004</v>
      </c>
      <c r="Q5976">
        <v>6167228.2800000003</v>
      </c>
      <c r="R5976" s="14">
        <f>_xlfn.XLOOKUP(Table2[[#This Row],[LoanID]],Table1[G-L ID],Table1[ManagerCode],-99)</f>
        <v>103</v>
      </c>
      <c r="T5976"/>
    </row>
    <row r="5977" spans="1:20" x14ac:dyDescent="0.25">
      <c r="A5977">
        <v>20170831</v>
      </c>
      <c r="B5977">
        <v>2017</v>
      </c>
      <c r="C5977">
        <v>8</v>
      </c>
      <c r="D5977">
        <v>1</v>
      </c>
      <c r="E5977">
        <v>12440</v>
      </c>
      <c r="F5977">
        <v>36732.379999999997</v>
      </c>
      <c r="G5977">
        <v>0</v>
      </c>
      <c r="H5977">
        <v>0</v>
      </c>
      <c r="I5977">
        <v>0</v>
      </c>
      <c r="J5977">
        <v>0</v>
      </c>
      <c r="K5977">
        <v>46633.89</v>
      </c>
      <c r="L5977">
        <v>5182568.55</v>
      </c>
      <c r="M5977">
        <v>5137409.32</v>
      </c>
      <c r="N5977">
        <v>5182568.55</v>
      </c>
      <c r="O5977">
        <v>5137409.32</v>
      </c>
      <c r="P5977">
        <v>4407885.24</v>
      </c>
      <c r="Q5977">
        <v>4361251.3499999996</v>
      </c>
      <c r="R5977" s="14">
        <f>_xlfn.XLOOKUP(Table2[[#This Row],[LoanID]],Table1[G-L ID],Table1[ManagerCode],-99)</f>
        <v>103</v>
      </c>
      <c r="T5977"/>
    </row>
    <row r="5978" spans="1:20" x14ac:dyDescent="0.25">
      <c r="A5978">
        <v>20170831</v>
      </c>
      <c r="B5978">
        <v>2017</v>
      </c>
      <c r="C5978">
        <v>8</v>
      </c>
      <c r="D5978">
        <v>1</v>
      </c>
      <c r="E5978">
        <v>12590</v>
      </c>
      <c r="F5978">
        <v>76656.539999999994</v>
      </c>
      <c r="G5978">
        <v>0</v>
      </c>
      <c r="H5978">
        <v>-210000</v>
      </c>
      <c r="I5978">
        <v>0</v>
      </c>
      <c r="J5978">
        <v>21000000</v>
      </c>
      <c r="K5978">
        <v>0</v>
      </c>
      <c r="L5978">
        <v>29500000</v>
      </c>
      <c r="M5978">
        <v>8500000</v>
      </c>
      <c r="N5978">
        <v>29500000</v>
      </c>
      <c r="O5978">
        <v>8500000</v>
      </c>
      <c r="P5978">
        <v>29500000</v>
      </c>
      <c r="Q5978">
        <v>8500000</v>
      </c>
      <c r="R5978" s="14">
        <f>_xlfn.XLOOKUP(Table2[[#This Row],[LoanID]],Table1[G-L ID],Table1[ManagerCode],-99)</f>
        <v>119</v>
      </c>
      <c r="T5978"/>
    </row>
    <row r="5979" spans="1:20" x14ac:dyDescent="0.25">
      <c r="A5979">
        <v>20170831</v>
      </c>
      <c r="B5979">
        <v>2017</v>
      </c>
      <c r="C5979">
        <v>8</v>
      </c>
      <c r="D5979">
        <v>1</v>
      </c>
      <c r="E5979">
        <v>12600</v>
      </c>
      <c r="F5979">
        <v>51416.9</v>
      </c>
      <c r="G5979">
        <v>0</v>
      </c>
      <c r="H5979">
        <v>342200</v>
      </c>
      <c r="I5979">
        <v>0</v>
      </c>
      <c r="J5979">
        <v>-27750000</v>
      </c>
      <c r="K5979">
        <v>0</v>
      </c>
      <c r="L5979">
        <v>0</v>
      </c>
      <c r="M5979">
        <v>27750000</v>
      </c>
      <c r="N5979">
        <v>0</v>
      </c>
      <c r="O5979">
        <v>27750000</v>
      </c>
      <c r="P5979">
        <v>0</v>
      </c>
      <c r="Q5979">
        <v>27750000</v>
      </c>
      <c r="R5979" s="14">
        <f>_xlfn.XLOOKUP(Table2[[#This Row],[LoanID]],Table1[G-L ID],Table1[ManagerCode],-99)</f>
        <v>119</v>
      </c>
      <c r="T5979"/>
    </row>
    <row r="5980" spans="1:20" x14ac:dyDescent="0.25">
      <c r="A5980">
        <v>20170831</v>
      </c>
      <c r="B5980">
        <v>2017</v>
      </c>
      <c r="C5980">
        <v>8</v>
      </c>
      <c r="D5980">
        <v>1</v>
      </c>
      <c r="E5980">
        <v>12640</v>
      </c>
      <c r="F5980">
        <v>106943.71</v>
      </c>
      <c r="G5980">
        <v>0</v>
      </c>
      <c r="H5980">
        <v>-209090</v>
      </c>
      <c r="I5980">
        <v>0</v>
      </c>
      <c r="J5980">
        <v>16107000</v>
      </c>
      <c r="K5980">
        <v>0</v>
      </c>
      <c r="L5980">
        <v>23010000</v>
      </c>
      <c r="M5980">
        <v>6903000</v>
      </c>
      <c r="N5980">
        <v>23010000</v>
      </c>
      <c r="O5980">
        <v>6903000</v>
      </c>
      <c r="P5980">
        <v>23010000</v>
      </c>
      <c r="Q5980">
        <v>6903000</v>
      </c>
      <c r="R5980" s="14">
        <f>_xlfn.XLOOKUP(Table2[[#This Row],[LoanID]],Table1[G-L ID],Table1[ManagerCode],-99)</f>
        <v>119</v>
      </c>
      <c r="T5980"/>
    </row>
    <row r="5981" spans="1:20" x14ac:dyDescent="0.25">
      <c r="A5981">
        <v>20170831</v>
      </c>
      <c r="B5981">
        <v>2017</v>
      </c>
      <c r="C5981">
        <v>8</v>
      </c>
      <c r="D5981">
        <v>1</v>
      </c>
      <c r="E5981">
        <v>12750</v>
      </c>
      <c r="F5981">
        <v>-25338.61</v>
      </c>
      <c r="G5981">
        <v>0</v>
      </c>
      <c r="H5981">
        <v>268433</v>
      </c>
      <c r="I5981">
        <v>0</v>
      </c>
      <c r="J5981">
        <v>0</v>
      </c>
      <c r="K5981">
        <v>0</v>
      </c>
      <c r="L5981">
        <v>21000000</v>
      </c>
      <c r="M5981">
        <v>21000000</v>
      </c>
      <c r="N5981">
        <v>10500000</v>
      </c>
      <c r="O5981">
        <v>10500000</v>
      </c>
      <c r="P5981">
        <v>21000000</v>
      </c>
      <c r="Q5981">
        <v>21000000</v>
      </c>
      <c r="R5981" s="14">
        <f>_xlfn.XLOOKUP(Table2[[#This Row],[LoanID]],Table1[G-L ID],Table1[ManagerCode],-99)</f>
        <v>236</v>
      </c>
      <c r="T5981"/>
    </row>
    <row r="5982" spans="1:20" x14ac:dyDescent="0.25">
      <c r="A5982">
        <v>20170831</v>
      </c>
      <c r="B5982">
        <v>2017</v>
      </c>
      <c r="C5982">
        <v>8</v>
      </c>
      <c r="D5982">
        <v>1</v>
      </c>
      <c r="E5982">
        <v>13010</v>
      </c>
      <c r="F5982">
        <v>0</v>
      </c>
      <c r="G5982">
        <v>0</v>
      </c>
      <c r="H5982">
        <v>315000</v>
      </c>
      <c r="I5982">
        <v>0</v>
      </c>
      <c r="J5982">
        <v>-210000000</v>
      </c>
      <c r="K5982">
        <v>0</v>
      </c>
      <c r="L5982">
        <v>0</v>
      </c>
      <c r="M5982">
        <v>199500000</v>
      </c>
      <c r="N5982">
        <v>0</v>
      </c>
      <c r="O5982">
        <v>199500000</v>
      </c>
      <c r="P5982">
        <v>0</v>
      </c>
      <c r="Q5982">
        <v>210000000</v>
      </c>
      <c r="R5982" s="14">
        <f>_xlfn.XLOOKUP(Table2[[#This Row],[LoanID]],Table1[G-L ID],Table1[ManagerCode],-99)</f>
        <v>103</v>
      </c>
      <c r="T5982"/>
    </row>
    <row r="5983" spans="1:20" x14ac:dyDescent="0.25">
      <c r="A5983">
        <v>20170831</v>
      </c>
      <c r="B5983">
        <v>2017</v>
      </c>
      <c r="C5983">
        <v>8</v>
      </c>
      <c r="D5983">
        <v>1</v>
      </c>
      <c r="E5983">
        <v>13020</v>
      </c>
      <c r="F5983">
        <v>21574.19</v>
      </c>
      <c r="G5983">
        <v>0</v>
      </c>
      <c r="H5983">
        <v>0</v>
      </c>
      <c r="I5983">
        <v>0</v>
      </c>
      <c r="J5983">
        <v>-21574.19</v>
      </c>
      <c r="K5983">
        <v>0</v>
      </c>
      <c r="L5983">
        <v>3193827.09</v>
      </c>
      <c r="M5983">
        <v>3215401.28</v>
      </c>
      <c r="N5983">
        <v>3193827.09</v>
      </c>
      <c r="O5983">
        <v>3215401.28</v>
      </c>
      <c r="P5983">
        <v>3193827.09</v>
      </c>
      <c r="Q5983">
        <v>3215401.28</v>
      </c>
      <c r="R5983" s="14">
        <f>_xlfn.XLOOKUP(Table2[[#This Row],[LoanID]],Table1[G-L ID],Table1[ManagerCode],-99)</f>
        <v>103</v>
      </c>
      <c r="T5983"/>
    </row>
    <row r="5984" spans="1:20" x14ac:dyDescent="0.25">
      <c r="A5984">
        <v>20170831</v>
      </c>
      <c r="B5984">
        <v>2017</v>
      </c>
      <c r="C5984">
        <v>8</v>
      </c>
      <c r="D5984">
        <v>1</v>
      </c>
      <c r="E5984">
        <v>13600</v>
      </c>
      <c r="F5984">
        <v>379029.03</v>
      </c>
      <c r="G5984">
        <v>0</v>
      </c>
      <c r="H5984">
        <v>0</v>
      </c>
      <c r="I5984">
        <v>0</v>
      </c>
      <c r="J5984">
        <v>0</v>
      </c>
      <c r="K5984">
        <v>0</v>
      </c>
      <c r="L5984">
        <v>45970000</v>
      </c>
      <c r="M5984">
        <v>45970000</v>
      </c>
      <c r="N5984">
        <v>45970000</v>
      </c>
      <c r="O5984">
        <v>45970000</v>
      </c>
      <c r="P5984">
        <v>45970000</v>
      </c>
      <c r="Q5984">
        <v>45970000</v>
      </c>
      <c r="R5984" s="14">
        <f>_xlfn.XLOOKUP(Table2[[#This Row],[LoanID]],Table1[G-L ID],Table1[ManagerCode],-99)</f>
        <v>298</v>
      </c>
      <c r="T5984"/>
    </row>
    <row r="5985" spans="1:20" x14ac:dyDescent="0.25">
      <c r="A5985">
        <v>20170831</v>
      </c>
      <c r="B5985">
        <v>2017</v>
      </c>
      <c r="C5985">
        <v>8</v>
      </c>
      <c r="D5985">
        <v>1</v>
      </c>
      <c r="E5985">
        <v>13610</v>
      </c>
      <c r="F5985">
        <v>63291.67</v>
      </c>
      <c r="G5985">
        <v>0</v>
      </c>
      <c r="H5985">
        <v>0</v>
      </c>
      <c r="I5985">
        <v>0</v>
      </c>
      <c r="J5985">
        <v>0</v>
      </c>
      <c r="K5985">
        <v>0</v>
      </c>
      <c r="L5985">
        <v>10500000</v>
      </c>
      <c r="M5985">
        <v>10500000</v>
      </c>
      <c r="N5985">
        <v>10500000</v>
      </c>
      <c r="O5985">
        <v>10500000</v>
      </c>
      <c r="P5985">
        <v>10500000</v>
      </c>
      <c r="Q5985">
        <v>10500000</v>
      </c>
      <c r="R5985" s="14">
        <f>_xlfn.XLOOKUP(Table2[[#This Row],[LoanID]],Table1[G-L ID],Table1[ManagerCode],-99)</f>
        <v>298</v>
      </c>
      <c r="T5985"/>
    </row>
    <row r="5986" spans="1:20" x14ac:dyDescent="0.25">
      <c r="A5986">
        <v>20170831</v>
      </c>
      <c r="B5986">
        <v>2017</v>
      </c>
      <c r="C5986">
        <v>8</v>
      </c>
      <c r="D5986">
        <v>1</v>
      </c>
      <c r="E5986">
        <v>13620</v>
      </c>
      <c r="F5986">
        <v>0</v>
      </c>
      <c r="G5986">
        <v>0</v>
      </c>
      <c r="H5986">
        <v>0</v>
      </c>
      <c r="I5986">
        <v>0</v>
      </c>
      <c r="J5986">
        <v>-50000000</v>
      </c>
      <c r="K5986">
        <v>0</v>
      </c>
      <c r="L5986">
        <v>0</v>
      </c>
      <c r="M5986">
        <v>50000000</v>
      </c>
      <c r="N5986">
        <v>0</v>
      </c>
      <c r="O5986">
        <v>50000000</v>
      </c>
      <c r="P5986">
        <v>0</v>
      </c>
      <c r="Q5986">
        <v>50000000</v>
      </c>
      <c r="R5986" s="14">
        <f>_xlfn.XLOOKUP(Table2[[#This Row],[LoanID]],Table1[G-L ID],Table1[ManagerCode],-99)</f>
        <v>298</v>
      </c>
      <c r="T5986"/>
    </row>
    <row r="5987" spans="1:20" x14ac:dyDescent="0.25">
      <c r="A5987">
        <v>20170831</v>
      </c>
      <c r="B5987">
        <v>2017</v>
      </c>
      <c r="C5987">
        <v>8</v>
      </c>
      <c r="D5987">
        <v>1</v>
      </c>
      <c r="E5987">
        <v>13630</v>
      </c>
      <c r="F5987">
        <v>218506.94</v>
      </c>
      <c r="G5987">
        <v>0</v>
      </c>
      <c r="H5987">
        <v>0</v>
      </c>
      <c r="I5987">
        <v>0</v>
      </c>
      <c r="J5987">
        <v>0</v>
      </c>
      <c r="K5987">
        <v>0</v>
      </c>
      <c r="L5987">
        <v>33569646.990000002</v>
      </c>
      <c r="M5987">
        <v>33569646.990000002</v>
      </c>
      <c r="N5987">
        <v>33569646.990000002</v>
      </c>
      <c r="O5987">
        <v>33569646.990000002</v>
      </c>
      <c r="P5987">
        <v>35000000</v>
      </c>
      <c r="Q5987">
        <v>35000000</v>
      </c>
      <c r="R5987" s="14">
        <f>_xlfn.XLOOKUP(Table2[[#This Row],[LoanID]],Table1[G-L ID],Table1[ManagerCode],-99)</f>
        <v>298</v>
      </c>
      <c r="T5987"/>
    </row>
    <row r="5988" spans="1:20" x14ac:dyDescent="0.25">
      <c r="A5988">
        <v>20170831</v>
      </c>
      <c r="B5988">
        <v>2017</v>
      </c>
      <c r="C5988">
        <v>8</v>
      </c>
      <c r="D5988">
        <v>1</v>
      </c>
      <c r="E5988">
        <v>13640</v>
      </c>
      <c r="F5988">
        <v>226983.51</v>
      </c>
      <c r="G5988">
        <v>0</v>
      </c>
      <c r="H5988">
        <v>0</v>
      </c>
      <c r="I5988">
        <v>0</v>
      </c>
      <c r="J5988">
        <v>0</v>
      </c>
      <c r="K5988">
        <v>0</v>
      </c>
      <c r="L5988">
        <v>30125000</v>
      </c>
      <c r="M5988">
        <v>30125000</v>
      </c>
      <c r="N5988">
        <v>30125000</v>
      </c>
      <c r="O5988">
        <v>30125000</v>
      </c>
      <c r="P5988">
        <v>30125000</v>
      </c>
      <c r="Q5988">
        <v>30125000</v>
      </c>
      <c r="R5988" s="14">
        <f>_xlfn.XLOOKUP(Table2[[#This Row],[LoanID]],Table1[G-L ID],Table1[ManagerCode],-99)</f>
        <v>298</v>
      </c>
      <c r="T5988"/>
    </row>
    <row r="5989" spans="1:20" x14ac:dyDescent="0.25">
      <c r="A5989">
        <v>20170831</v>
      </c>
      <c r="B5989">
        <v>2017</v>
      </c>
      <c r="C5989">
        <v>8</v>
      </c>
      <c r="D5989">
        <v>1</v>
      </c>
      <c r="E5989">
        <v>13650</v>
      </c>
      <c r="F5989">
        <v>223888.89</v>
      </c>
      <c r="G5989">
        <v>0</v>
      </c>
      <c r="H5989">
        <v>0</v>
      </c>
      <c r="I5989">
        <v>0</v>
      </c>
      <c r="J5989">
        <v>0</v>
      </c>
      <c r="K5989">
        <v>0</v>
      </c>
      <c r="L5989">
        <v>40000000</v>
      </c>
      <c r="M5989">
        <v>40000000</v>
      </c>
      <c r="N5989">
        <v>40000000</v>
      </c>
      <c r="O5989">
        <v>40000000</v>
      </c>
      <c r="P5989">
        <v>40000000</v>
      </c>
      <c r="Q5989">
        <v>40000000</v>
      </c>
      <c r="R5989" s="14">
        <f>_xlfn.XLOOKUP(Table2[[#This Row],[LoanID]],Table1[G-L ID],Table1[ManagerCode],-99)</f>
        <v>298</v>
      </c>
      <c r="T5989"/>
    </row>
    <row r="5990" spans="1:20" x14ac:dyDescent="0.25">
      <c r="A5990">
        <v>20170831</v>
      </c>
      <c r="B5990">
        <v>2017</v>
      </c>
      <c r="C5990">
        <v>8</v>
      </c>
      <c r="D5990">
        <v>1</v>
      </c>
      <c r="E5990">
        <v>13660</v>
      </c>
      <c r="F5990">
        <v>117972.22</v>
      </c>
      <c r="G5990">
        <v>0</v>
      </c>
      <c r="H5990">
        <v>0</v>
      </c>
      <c r="I5990">
        <v>0</v>
      </c>
      <c r="J5990">
        <v>0</v>
      </c>
      <c r="K5990">
        <v>0</v>
      </c>
      <c r="L5990">
        <v>20000000</v>
      </c>
      <c r="M5990">
        <v>20000000</v>
      </c>
      <c r="N5990">
        <v>20000000</v>
      </c>
      <c r="O5990">
        <v>20000000</v>
      </c>
      <c r="P5990">
        <v>20000000</v>
      </c>
      <c r="Q5990">
        <v>20000000</v>
      </c>
      <c r="R5990" s="14">
        <f>_xlfn.XLOOKUP(Table2[[#This Row],[LoanID]],Table1[G-L ID],Table1[ManagerCode],-99)</f>
        <v>298</v>
      </c>
      <c r="T5990"/>
    </row>
    <row r="5991" spans="1:20" x14ac:dyDescent="0.25">
      <c r="A5991">
        <v>20170831</v>
      </c>
      <c r="B5991">
        <v>2017</v>
      </c>
      <c r="C5991">
        <v>8</v>
      </c>
      <c r="D5991">
        <v>1</v>
      </c>
      <c r="E5991">
        <v>13670</v>
      </c>
      <c r="F5991">
        <v>314068.75</v>
      </c>
      <c r="G5991">
        <v>0</v>
      </c>
      <c r="H5991">
        <v>0</v>
      </c>
      <c r="I5991">
        <v>0</v>
      </c>
      <c r="J5991">
        <v>0</v>
      </c>
      <c r="K5991">
        <v>0</v>
      </c>
      <c r="L5991">
        <v>37322264.049999997</v>
      </c>
      <c r="M5991">
        <v>37322264.049999997</v>
      </c>
      <c r="N5991">
        <v>37322264.049999997</v>
      </c>
      <c r="O5991">
        <v>37322264.049999997</v>
      </c>
      <c r="P5991">
        <v>37500000</v>
      </c>
      <c r="Q5991">
        <v>37500000</v>
      </c>
      <c r="R5991" s="14">
        <f>_xlfn.XLOOKUP(Table2[[#This Row],[LoanID]],Table1[G-L ID],Table1[ManagerCode],-99)</f>
        <v>298</v>
      </c>
      <c r="T5991"/>
    </row>
    <row r="5992" spans="1:20" x14ac:dyDescent="0.25">
      <c r="A5992">
        <v>20170831</v>
      </c>
      <c r="B5992">
        <v>2017</v>
      </c>
      <c r="C5992">
        <v>8</v>
      </c>
      <c r="D5992">
        <v>1</v>
      </c>
      <c r="E5992">
        <v>13680</v>
      </c>
      <c r="F5992">
        <v>144093.75</v>
      </c>
      <c r="G5992">
        <v>0</v>
      </c>
      <c r="H5992">
        <v>0</v>
      </c>
      <c r="I5992">
        <v>0</v>
      </c>
      <c r="J5992">
        <v>0</v>
      </c>
      <c r="K5992">
        <v>0</v>
      </c>
      <c r="L5992">
        <v>17989534.25</v>
      </c>
      <c r="M5992">
        <v>17989534.25</v>
      </c>
      <c r="N5992">
        <v>17989534.25</v>
      </c>
      <c r="O5992">
        <v>17989534.25</v>
      </c>
      <c r="P5992">
        <v>18000000</v>
      </c>
      <c r="Q5992">
        <v>18000000</v>
      </c>
      <c r="R5992" s="14">
        <f>_xlfn.XLOOKUP(Table2[[#This Row],[LoanID]],Table1[G-L ID],Table1[ManagerCode],-99)</f>
        <v>298</v>
      </c>
      <c r="T5992"/>
    </row>
    <row r="5993" spans="1:20" x14ac:dyDescent="0.25">
      <c r="A5993">
        <v>20170831</v>
      </c>
      <c r="B5993">
        <v>2017</v>
      </c>
      <c r="C5993">
        <v>8</v>
      </c>
      <c r="D5993">
        <v>1</v>
      </c>
      <c r="E5993">
        <v>13690</v>
      </c>
      <c r="F5993">
        <v>133472.22</v>
      </c>
      <c r="G5993">
        <v>0</v>
      </c>
      <c r="H5993">
        <v>0</v>
      </c>
      <c r="I5993">
        <v>0</v>
      </c>
      <c r="J5993">
        <v>0</v>
      </c>
      <c r="K5993">
        <v>0</v>
      </c>
      <c r="L5993">
        <v>18960334.350000001</v>
      </c>
      <c r="M5993">
        <v>18960334.350000001</v>
      </c>
      <c r="N5993">
        <v>18960334.350000001</v>
      </c>
      <c r="O5993">
        <v>18960334.350000001</v>
      </c>
      <c r="P5993">
        <v>20000000</v>
      </c>
      <c r="Q5993">
        <v>20000000</v>
      </c>
      <c r="R5993" s="14">
        <f>_xlfn.XLOOKUP(Table2[[#This Row],[LoanID]],Table1[G-L ID],Table1[ManagerCode],-99)</f>
        <v>298</v>
      </c>
      <c r="T5993"/>
    </row>
    <row r="5994" spans="1:20" x14ac:dyDescent="0.25">
      <c r="A5994">
        <v>20170831</v>
      </c>
      <c r="B5994">
        <v>2017</v>
      </c>
      <c r="C5994">
        <v>8</v>
      </c>
      <c r="D5994">
        <v>1</v>
      </c>
      <c r="E5994">
        <v>14670</v>
      </c>
      <c r="F5994">
        <v>128644.58</v>
      </c>
      <c r="G5994">
        <v>0</v>
      </c>
      <c r="H5994">
        <v>330000</v>
      </c>
      <c r="I5994">
        <v>0</v>
      </c>
      <c r="J5994">
        <v>-29500000</v>
      </c>
      <c r="K5994">
        <v>0</v>
      </c>
      <c r="L5994">
        <v>0</v>
      </c>
      <c r="M5994">
        <v>29197500</v>
      </c>
      <c r="N5994">
        <v>0</v>
      </c>
      <c r="O5994">
        <v>29197500</v>
      </c>
      <c r="P5994">
        <v>0</v>
      </c>
      <c r="Q5994">
        <v>29500000</v>
      </c>
      <c r="R5994" s="14">
        <f>_xlfn.XLOOKUP(Table2[[#This Row],[LoanID]],Table1[G-L ID],Table1[ManagerCode],-99)</f>
        <v>220</v>
      </c>
      <c r="T5994"/>
    </row>
    <row r="5995" spans="1:20" x14ac:dyDescent="0.25">
      <c r="A5995">
        <v>20170831</v>
      </c>
      <c r="B5995">
        <v>2017</v>
      </c>
      <c r="C5995">
        <v>8</v>
      </c>
      <c r="D5995">
        <v>1</v>
      </c>
      <c r="E5995">
        <v>15540</v>
      </c>
      <c r="F5995">
        <v>238428.75</v>
      </c>
      <c r="G5995">
        <v>316.45999999999998</v>
      </c>
      <c r="H5995">
        <v>0</v>
      </c>
      <c r="I5995">
        <v>-2260.42</v>
      </c>
      <c r="J5995">
        <v>0</v>
      </c>
      <c r="K5995">
        <v>0</v>
      </c>
      <c r="L5995">
        <v>52738428.75</v>
      </c>
      <c r="M5995">
        <v>52738745.210000001</v>
      </c>
      <c r="N5995">
        <v>52738428.75</v>
      </c>
      <c r="O5995">
        <v>52738745.210000001</v>
      </c>
      <c r="P5995">
        <v>52738428.75</v>
      </c>
      <c r="Q5995">
        <v>52738745.210000001</v>
      </c>
      <c r="R5995" s="14">
        <f>_xlfn.XLOOKUP(Table2[[#This Row],[LoanID]],Table1[G-L ID],Table1[ManagerCode],-99)</f>
        <v>212</v>
      </c>
      <c r="T5995"/>
    </row>
    <row r="5996" spans="1:20" x14ac:dyDescent="0.25">
      <c r="A5996">
        <v>20170831</v>
      </c>
      <c r="B5996">
        <v>2017</v>
      </c>
      <c r="C5996">
        <v>8</v>
      </c>
      <c r="D5996">
        <v>1</v>
      </c>
      <c r="E5996">
        <v>15580</v>
      </c>
      <c r="F5996">
        <v>116674.46</v>
      </c>
      <c r="G5996">
        <v>-53.58</v>
      </c>
      <c r="H5996">
        <v>0</v>
      </c>
      <c r="I5996">
        <v>0</v>
      </c>
      <c r="J5996">
        <v>0</v>
      </c>
      <c r="K5996">
        <v>6726.85</v>
      </c>
      <c r="L5996">
        <v>14764557.460000001</v>
      </c>
      <c r="M5996">
        <v>14757777.029999999</v>
      </c>
      <c r="N5996">
        <v>14764557.460000001</v>
      </c>
      <c r="O5996">
        <v>14757777.029999999</v>
      </c>
      <c r="P5996">
        <v>14764557.460000001</v>
      </c>
      <c r="Q5996">
        <v>14757777.029999999</v>
      </c>
      <c r="R5996" s="14">
        <f>_xlfn.XLOOKUP(Table2[[#This Row],[LoanID]],Table1[G-L ID],Table1[ManagerCode],-99)</f>
        <v>212</v>
      </c>
      <c r="T5996"/>
    </row>
    <row r="5997" spans="1:20" x14ac:dyDescent="0.25">
      <c r="A5997">
        <v>20170831</v>
      </c>
      <c r="B5997">
        <v>2017</v>
      </c>
      <c r="C5997">
        <v>8</v>
      </c>
      <c r="D5997">
        <v>1</v>
      </c>
      <c r="E5997">
        <v>15620</v>
      </c>
      <c r="F5997">
        <v>238621.5</v>
      </c>
      <c r="G5997">
        <v>0</v>
      </c>
      <c r="H5997">
        <v>850000</v>
      </c>
      <c r="I5997">
        <v>0</v>
      </c>
      <c r="J5997">
        <v>-78000000</v>
      </c>
      <c r="K5997">
        <v>0</v>
      </c>
      <c r="L5997">
        <v>0</v>
      </c>
      <c r="M5997">
        <v>78000000</v>
      </c>
      <c r="N5997">
        <v>0</v>
      </c>
      <c r="O5997">
        <v>78000000</v>
      </c>
      <c r="P5997">
        <v>0</v>
      </c>
      <c r="Q5997">
        <v>78000000</v>
      </c>
      <c r="R5997" s="14">
        <f>_xlfn.XLOOKUP(Table2[[#This Row],[LoanID]],Table1[G-L ID],Table1[ManagerCode],-99)</f>
        <v>212</v>
      </c>
      <c r="T5997"/>
    </row>
    <row r="5998" spans="1:20" x14ac:dyDescent="0.25">
      <c r="A5998">
        <v>20170930</v>
      </c>
      <c r="B5998">
        <v>2017</v>
      </c>
      <c r="C5998">
        <v>9</v>
      </c>
      <c r="D5998">
        <v>1</v>
      </c>
      <c r="E5998">
        <v>10010</v>
      </c>
      <c r="F5998">
        <v>184923.25</v>
      </c>
      <c r="G5998">
        <v>0</v>
      </c>
      <c r="H5998">
        <v>0</v>
      </c>
      <c r="I5998">
        <v>0</v>
      </c>
      <c r="J5998">
        <v>0</v>
      </c>
      <c r="K5998">
        <v>0</v>
      </c>
      <c r="L5998">
        <v>18978838.640000001</v>
      </c>
      <c r="M5998">
        <v>18978838.640000001</v>
      </c>
      <c r="N5998">
        <v>18978838.640000001</v>
      </c>
      <c r="O5998">
        <v>18978838.640000001</v>
      </c>
      <c r="P5998">
        <v>18978838.640000001</v>
      </c>
      <c r="Q5998">
        <v>18978838.640000001</v>
      </c>
      <c r="R5998" s="14">
        <f>_xlfn.XLOOKUP(Table2[[#This Row],[LoanID]],Table1[G-L ID],Table1[ManagerCode],-99)</f>
        <v>119</v>
      </c>
      <c r="T5998"/>
    </row>
    <row r="5999" spans="1:20" x14ac:dyDescent="0.25">
      <c r="A5999">
        <v>20170930</v>
      </c>
      <c r="B5999">
        <v>2017</v>
      </c>
      <c r="C5999">
        <v>9</v>
      </c>
      <c r="D5999">
        <v>1</v>
      </c>
      <c r="E5999">
        <v>10030</v>
      </c>
      <c r="F5999">
        <v>87592.57</v>
      </c>
      <c r="G5999">
        <v>0</v>
      </c>
      <c r="H5999">
        <v>0</v>
      </c>
      <c r="I5999">
        <v>0</v>
      </c>
      <c r="J5999">
        <v>0</v>
      </c>
      <c r="K5999">
        <v>3767915.5</v>
      </c>
      <c r="L5999">
        <v>11470817.32</v>
      </c>
      <c r="M5999">
        <v>7702901.8200000003</v>
      </c>
      <c r="N5999">
        <v>11470817.32</v>
      </c>
      <c r="O5999">
        <v>7702901.8200000003</v>
      </c>
      <c r="P5999">
        <v>11470817.32</v>
      </c>
      <c r="Q5999">
        <v>7702901.8200000003</v>
      </c>
      <c r="R5999" s="14">
        <f>_xlfn.XLOOKUP(Table2[[#This Row],[LoanID]],Table1[G-L ID],Table1[ManagerCode],-99)</f>
        <v>119</v>
      </c>
      <c r="T5999"/>
    </row>
    <row r="6000" spans="1:20" x14ac:dyDescent="0.25">
      <c r="A6000">
        <v>20170930</v>
      </c>
      <c r="B6000">
        <v>2017</v>
      </c>
      <c r="C6000">
        <v>9</v>
      </c>
      <c r="D6000">
        <v>1</v>
      </c>
      <c r="E6000">
        <v>10040</v>
      </c>
      <c r="F6000">
        <v>48355.69</v>
      </c>
      <c r="G6000">
        <v>0</v>
      </c>
      <c r="H6000">
        <v>0</v>
      </c>
      <c r="I6000">
        <v>0</v>
      </c>
      <c r="J6000">
        <v>0</v>
      </c>
      <c r="K6000">
        <v>0</v>
      </c>
      <c r="L6000">
        <v>5000000</v>
      </c>
      <c r="M6000">
        <v>5000000</v>
      </c>
      <c r="N6000">
        <v>5000000</v>
      </c>
      <c r="O6000">
        <v>5000000</v>
      </c>
      <c r="P6000">
        <v>5000000</v>
      </c>
      <c r="Q6000">
        <v>5000000</v>
      </c>
      <c r="R6000" s="14">
        <f>_xlfn.XLOOKUP(Table2[[#This Row],[LoanID]],Table1[G-L ID],Table1[ManagerCode],-99)</f>
        <v>119</v>
      </c>
      <c r="T6000"/>
    </row>
    <row r="6001" spans="1:20" x14ac:dyDescent="0.25">
      <c r="A6001">
        <v>20170930</v>
      </c>
      <c r="B6001">
        <v>2017</v>
      </c>
      <c r="C6001">
        <v>9</v>
      </c>
      <c r="D6001">
        <v>1</v>
      </c>
      <c r="E6001">
        <v>10050</v>
      </c>
      <c r="F6001">
        <v>133963.48000000001</v>
      </c>
      <c r="G6001">
        <v>0</v>
      </c>
      <c r="H6001">
        <v>0</v>
      </c>
      <c r="I6001">
        <v>0</v>
      </c>
      <c r="J6001">
        <v>0</v>
      </c>
      <c r="K6001">
        <v>0</v>
      </c>
      <c r="L6001">
        <v>37915726.289999999</v>
      </c>
      <c r="M6001">
        <v>37101387.060000002</v>
      </c>
      <c r="N6001">
        <v>37915726.289999999</v>
      </c>
      <c r="O6001">
        <v>37101387.060000002</v>
      </c>
      <c r="P6001">
        <v>33333334</v>
      </c>
      <c r="Q6001">
        <v>33333334</v>
      </c>
      <c r="R6001" s="14">
        <f>_xlfn.XLOOKUP(Table2[[#This Row],[LoanID]],Table1[G-L ID],Table1[ManagerCode],-99)</f>
        <v>103</v>
      </c>
      <c r="T6001"/>
    </row>
    <row r="6002" spans="1:20" x14ac:dyDescent="0.25">
      <c r="A6002">
        <v>20170930</v>
      </c>
      <c r="B6002">
        <v>2017</v>
      </c>
      <c r="C6002">
        <v>9</v>
      </c>
      <c r="D6002">
        <v>1</v>
      </c>
      <c r="E6002">
        <v>10070</v>
      </c>
      <c r="F6002">
        <v>64061</v>
      </c>
      <c r="G6002">
        <v>0</v>
      </c>
      <c r="H6002">
        <v>0</v>
      </c>
      <c r="I6002">
        <v>0</v>
      </c>
      <c r="J6002">
        <v>0</v>
      </c>
      <c r="K6002">
        <v>0</v>
      </c>
      <c r="L6002">
        <v>5875000</v>
      </c>
      <c r="M6002">
        <v>5875000</v>
      </c>
      <c r="N6002">
        <v>5875000</v>
      </c>
      <c r="O6002">
        <v>5875000</v>
      </c>
      <c r="P6002">
        <v>5875000</v>
      </c>
      <c r="Q6002">
        <v>5875000</v>
      </c>
      <c r="R6002" s="14">
        <f>_xlfn.XLOOKUP(Table2[[#This Row],[LoanID]],Table1[G-L ID],Table1[ManagerCode],-99)</f>
        <v>119</v>
      </c>
      <c r="T6002"/>
    </row>
    <row r="6003" spans="1:20" x14ac:dyDescent="0.25">
      <c r="A6003">
        <v>20170930</v>
      </c>
      <c r="B6003">
        <v>2017</v>
      </c>
      <c r="C6003">
        <v>9</v>
      </c>
      <c r="D6003">
        <v>1</v>
      </c>
      <c r="E6003">
        <v>10110</v>
      </c>
      <c r="F6003">
        <v>153042.51999999999</v>
      </c>
      <c r="G6003">
        <v>0</v>
      </c>
      <c r="H6003">
        <v>0</v>
      </c>
      <c r="I6003">
        <v>0</v>
      </c>
      <c r="J6003">
        <v>0</v>
      </c>
      <c r="K6003">
        <v>0</v>
      </c>
      <c r="L6003">
        <v>16400000</v>
      </c>
      <c r="M6003">
        <v>16400000</v>
      </c>
      <c r="N6003">
        <v>16400000</v>
      </c>
      <c r="O6003">
        <v>16400000</v>
      </c>
      <c r="P6003">
        <v>16400000</v>
      </c>
      <c r="Q6003">
        <v>16400000</v>
      </c>
      <c r="R6003" s="14">
        <f>_xlfn.XLOOKUP(Table2[[#This Row],[LoanID]],Table1[G-L ID],Table1[ManagerCode],-99)</f>
        <v>119</v>
      </c>
      <c r="T6003"/>
    </row>
    <row r="6004" spans="1:20" x14ac:dyDescent="0.25">
      <c r="A6004">
        <v>20170930</v>
      </c>
      <c r="B6004">
        <v>2017</v>
      </c>
      <c r="C6004">
        <v>9</v>
      </c>
      <c r="D6004">
        <v>1</v>
      </c>
      <c r="E6004">
        <v>10120</v>
      </c>
      <c r="F6004">
        <v>60481.65</v>
      </c>
      <c r="G6004">
        <v>65876.13</v>
      </c>
      <c r="H6004">
        <v>0</v>
      </c>
      <c r="I6004">
        <v>0</v>
      </c>
      <c r="J6004">
        <v>0</v>
      </c>
      <c r="K6004">
        <v>0</v>
      </c>
      <c r="L6004">
        <v>12181403.029999999</v>
      </c>
      <c r="M6004">
        <v>12247279.16</v>
      </c>
      <c r="N6004">
        <v>12181403.029999999</v>
      </c>
      <c r="O6004">
        <v>12247279.16</v>
      </c>
      <c r="P6004">
        <v>12181403.029999999</v>
      </c>
      <c r="Q6004">
        <v>12247279.16</v>
      </c>
      <c r="R6004" s="14">
        <f>_xlfn.XLOOKUP(Table2[[#This Row],[LoanID]],Table1[G-L ID],Table1[ManagerCode],-99)</f>
        <v>183</v>
      </c>
      <c r="T6004"/>
    </row>
    <row r="6005" spans="1:20" x14ac:dyDescent="0.25">
      <c r="A6005">
        <v>20170930</v>
      </c>
      <c r="B6005">
        <v>2017</v>
      </c>
      <c r="C6005">
        <v>9</v>
      </c>
      <c r="D6005">
        <v>1</v>
      </c>
      <c r="E6005">
        <v>10220</v>
      </c>
      <c r="F6005">
        <v>605763.89</v>
      </c>
      <c r="G6005">
        <v>0</v>
      </c>
      <c r="H6005">
        <v>0</v>
      </c>
      <c r="I6005">
        <v>0</v>
      </c>
      <c r="J6005">
        <v>0</v>
      </c>
      <c r="K6005">
        <v>0</v>
      </c>
      <c r="L6005">
        <v>113474224.59999999</v>
      </c>
      <c r="M6005">
        <v>112249675</v>
      </c>
      <c r="N6005">
        <v>113474224.59999999</v>
      </c>
      <c r="O6005">
        <v>112249675</v>
      </c>
      <c r="P6005">
        <v>100000000</v>
      </c>
      <c r="Q6005">
        <v>100000000</v>
      </c>
      <c r="R6005" s="14">
        <f>_xlfn.XLOOKUP(Table2[[#This Row],[LoanID]],Table1[G-L ID],Table1[ManagerCode],-99)</f>
        <v>103</v>
      </c>
      <c r="T6005"/>
    </row>
    <row r="6006" spans="1:20" x14ac:dyDescent="0.25">
      <c r="A6006">
        <v>20170930</v>
      </c>
      <c r="B6006">
        <v>2017</v>
      </c>
      <c r="C6006">
        <v>9</v>
      </c>
      <c r="D6006">
        <v>1</v>
      </c>
      <c r="E6006">
        <v>10240</v>
      </c>
      <c r="F6006">
        <v>99318.399999999994</v>
      </c>
      <c r="G6006">
        <v>0</v>
      </c>
      <c r="H6006">
        <v>0</v>
      </c>
      <c r="I6006">
        <v>0</v>
      </c>
      <c r="J6006">
        <v>0</v>
      </c>
      <c r="K6006">
        <v>0</v>
      </c>
      <c r="L6006">
        <v>12500000</v>
      </c>
      <c r="M6006">
        <v>12500000</v>
      </c>
      <c r="N6006">
        <v>12500000</v>
      </c>
      <c r="O6006">
        <v>12500000</v>
      </c>
      <c r="P6006">
        <v>12500000</v>
      </c>
      <c r="Q6006">
        <v>12500000</v>
      </c>
      <c r="R6006" s="14">
        <f>_xlfn.XLOOKUP(Table2[[#This Row],[LoanID]],Table1[G-L ID],Table1[ManagerCode],-99)</f>
        <v>220</v>
      </c>
      <c r="T6006"/>
    </row>
    <row r="6007" spans="1:20" x14ac:dyDescent="0.25">
      <c r="A6007">
        <v>20170930</v>
      </c>
      <c r="B6007">
        <v>2017</v>
      </c>
      <c r="C6007">
        <v>9</v>
      </c>
      <c r="D6007">
        <v>1</v>
      </c>
      <c r="E6007">
        <v>10250</v>
      </c>
      <c r="F6007">
        <v>53849.58</v>
      </c>
      <c r="G6007">
        <v>0</v>
      </c>
      <c r="H6007">
        <v>0</v>
      </c>
      <c r="I6007">
        <v>0</v>
      </c>
      <c r="J6007">
        <v>0</v>
      </c>
      <c r="K6007">
        <v>0</v>
      </c>
      <c r="L6007">
        <v>5000000</v>
      </c>
      <c r="M6007">
        <v>5000000</v>
      </c>
      <c r="N6007">
        <v>5000000</v>
      </c>
      <c r="O6007">
        <v>5000000</v>
      </c>
      <c r="P6007">
        <v>5000000</v>
      </c>
      <c r="Q6007">
        <v>5000000</v>
      </c>
      <c r="R6007" s="14">
        <f>_xlfn.XLOOKUP(Table2[[#This Row],[LoanID]],Table1[G-L ID],Table1[ManagerCode],-99)</f>
        <v>119</v>
      </c>
      <c r="T6007"/>
    </row>
    <row r="6008" spans="1:20" x14ac:dyDescent="0.25">
      <c r="A6008">
        <v>20170930</v>
      </c>
      <c r="B6008">
        <v>2017</v>
      </c>
      <c r="C6008">
        <v>9</v>
      </c>
      <c r="D6008">
        <v>1</v>
      </c>
      <c r="E6008">
        <v>10260</v>
      </c>
      <c r="F6008">
        <v>54857.63</v>
      </c>
      <c r="G6008">
        <v>0</v>
      </c>
      <c r="H6008">
        <v>0</v>
      </c>
      <c r="I6008">
        <v>0</v>
      </c>
      <c r="J6008">
        <v>0</v>
      </c>
      <c r="K6008">
        <v>15000000</v>
      </c>
      <c r="L6008">
        <v>15000000</v>
      </c>
      <c r="M6008">
        <v>0</v>
      </c>
      <c r="N6008">
        <v>15000000</v>
      </c>
      <c r="O6008">
        <v>0</v>
      </c>
      <c r="P6008">
        <v>15000000</v>
      </c>
      <c r="Q6008">
        <v>0</v>
      </c>
      <c r="R6008" s="14">
        <f>_xlfn.XLOOKUP(Table2[[#This Row],[LoanID]],Table1[G-L ID],Table1[ManagerCode],-99)</f>
        <v>220</v>
      </c>
      <c r="T6008"/>
    </row>
    <row r="6009" spans="1:20" x14ac:dyDescent="0.25">
      <c r="A6009">
        <v>20170930</v>
      </c>
      <c r="B6009">
        <v>2017</v>
      </c>
      <c r="C6009">
        <v>9</v>
      </c>
      <c r="D6009">
        <v>1</v>
      </c>
      <c r="E6009">
        <v>10270</v>
      </c>
      <c r="F6009">
        <v>45424.5</v>
      </c>
      <c r="G6009">
        <v>0</v>
      </c>
      <c r="H6009">
        <v>0</v>
      </c>
      <c r="I6009">
        <v>0</v>
      </c>
      <c r="J6009">
        <v>0</v>
      </c>
      <c r="K6009">
        <v>0</v>
      </c>
      <c r="L6009">
        <v>4500000</v>
      </c>
      <c r="M6009">
        <v>4500000</v>
      </c>
      <c r="N6009">
        <v>4500000</v>
      </c>
      <c r="O6009">
        <v>4500000</v>
      </c>
      <c r="P6009">
        <v>4500000</v>
      </c>
      <c r="Q6009">
        <v>4500000</v>
      </c>
      <c r="R6009" s="14">
        <f>_xlfn.XLOOKUP(Table2[[#This Row],[LoanID]],Table1[G-L ID],Table1[ManagerCode],-99)</f>
        <v>119</v>
      </c>
      <c r="T6009"/>
    </row>
    <row r="6010" spans="1:20" x14ac:dyDescent="0.25">
      <c r="A6010">
        <v>20170930</v>
      </c>
      <c r="B6010">
        <v>2017</v>
      </c>
      <c r="C6010">
        <v>9</v>
      </c>
      <c r="D6010">
        <v>1</v>
      </c>
      <c r="E6010">
        <v>10330</v>
      </c>
      <c r="F6010">
        <v>81160</v>
      </c>
      <c r="G6010">
        <v>0</v>
      </c>
      <c r="H6010">
        <v>0</v>
      </c>
      <c r="I6010">
        <v>0</v>
      </c>
      <c r="J6010">
        <v>0</v>
      </c>
      <c r="K6010">
        <v>0</v>
      </c>
      <c r="L6010">
        <v>8652759.6999999993</v>
      </c>
      <c r="M6010">
        <v>8652759.6999999993</v>
      </c>
      <c r="N6010">
        <v>8652759.6999999993</v>
      </c>
      <c r="O6010">
        <v>8652759.6999999993</v>
      </c>
      <c r="P6010">
        <v>8652759.6999999993</v>
      </c>
      <c r="Q6010">
        <v>8652759.6999999993</v>
      </c>
      <c r="R6010" s="14">
        <f>_xlfn.XLOOKUP(Table2[[#This Row],[LoanID]],Table1[G-L ID],Table1[ManagerCode],-99)</f>
        <v>119</v>
      </c>
      <c r="T6010"/>
    </row>
    <row r="6011" spans="1:20" x14ac:dyDescent="0.25">
      <c r="A6011">
        <v>20170930</v>
      </c>
      <c r="B6011">
        <v>2017</v>
      </c>
      <c r="C6011">
        <v>9</v>
      </c>
      <c r="D6011">
        <v>1</v>
      </c>
      <c r="E6011">
        <v>10350</v>
      </c>
      <c r="F6011">
        <v>186861.11</v>
      </c>
      <c r="G6011">
        <v>0</v>
      </c>
      <c r="H6011">
        <v>0</v>
      </c>
      <c r="I6011">
        <v>0</v>
      </c>
      <c r="J6011">
        <v>0</v>
      </c>
      <c r="K6011">
        <v>0</v>
      </c>
      <c r="L6011">
        <v>24800000</v>
      </c>
      <c r="M6011">
        <v>24800000</v>
      </c>
      <c r="N6011">
        <v>24800000</v>
      </c>
      <c r="O6011">
        <v>24800000</v>
      </c>
      <c r="P6011">
        <v>24800000</v>
      </c>
      <c r="Q6011">
        <v>24800000</v>
      </c>
      <c r="R6011" s="14">
        <f>_xlfn.XLOOKUP(Table2[[#This Row],[LoanID]],Table1[G-L ID],Table1[ManagerCode],-99)</f>
        <v>220</v>
      </c>
      <c r="T6011"/>
    </row>
    <row r="6012" spans="1:20" x14ac:dyDescent="0.25">
      <c r="A6012">
        <v>20170930</v>
      </c>
      <c r="B6012">
        <v>2017</v>
      </c>
      <c r="C6012">
        <v>9</v>
      </c>
      <c r="D6012">
        <v>1</v>
      </c>
      <c r="E6012">
        <v>10360</v>
      </c>
      <c r="F6012">
        <v>57858.96</v>
      </c>
      <c r="G6012">
        <v>0</v>
      </c>
      <c r="H6012">
        <v>0</v>
      </c>
      <c r="I6012">
        <v>0</v>
      </c>
      <c r="J6012">
        <v>0</v>
      </c>
      <c r="K6012">
        <v>0</v>
      </c>
      <c r="L6012">
        <v>5909000</v>
      </c>
      <c r="M6012">
        <v>5909000</v>
      </c>
      <c r="N6012">
        <v>5909000</v>
      </c>
      <c r="O6012">
        <v>5909000</v>
      </c>
      <c r="P6012">
        <v>5909000</v>
      </c>
      <c r="Q6012">
        <v>5909000</v>
      </c>
      <c r="R6012" s="14">
        <f>_xlfn.XLOOKUP(Table2[[#This Row],[LoanID]],Table1[G-L ID],Table1[ManagerCode],-99)</f>
        <v>183</v>
      </c>
      <c r="T6012"/>
    </row>
    <row r="6013" spans="1:20" x14ac:dyDescent="0.25">
      <c r="A6013">
        <v>20170930</v>
      </c>
      <c r="B6013">
        <v>2017</v>
      </c>
      <c r="C6013">
        <v>9</v>
      </c>
      <c r="D6013">
        <v>1</v>
      </c>
      <c r="E6013">
        <v>10480</v>
      </c>
      <c r="F6013">
        <v>150958</v>
      </c>
      <c r="G6013">
        <v>0</v>
      </c>
      <c r="H6013">
        <v>0</v>
      </c>
      <c r="I6013">
        <v>0</v>
      </c>
      <c r="J6013">
        <v>0</v>
      </c>
      <c r="K6013">
        <v>0</v>
      </c>
      <c r="L6013">
        <v>18000000</v>
      </c>
      <c r="M6013">
        <v>18000000</v>
      </c>
      <c r="N6013">
        <v>18000000</v>
      </c>
      <c r="O6013">
        <v>18000000</v>
      </c>
      <c r="P6013">
        <v>18000000</v>
      </c>
      <c r="Q6013">
        <v>18000000</v>
      </c>
      <c r="R6013" s="14">
        <f>_xlfn.XLOOKUP(Table2[[#This Row],[LoanID]],Table1[G-L ID],Table1[ManagerCode],-99)</f>
        <v>119</v>
      </c>
      <c r="T6013"/>
    </row>
    <row r="6014" spans="1:20" x14ac:dyDescent="0.25">
      <c r="A6014">
        <v>20170930</v>
      </c>
      <c r="B6014">
        <v>2017</v>
      </c>
      <c r="C6014">
        <v>9</v>
      </c>
      <c r="D6014">
        <v>1</v>
      </c>
      <c r="E6014">
        <v>10500</v>
      </c>
      <c r="F6014">
        <v>368585.53</v>
      </c>
      <c r="G6014">
        <v>0</v>
      </c>
      <c r="H6014">
        <v>25245.62</v>
      </c>
      <c r="I6014">
        <v>0</v>
      </c>
      <c r="J6014">
        <v>0</v>
      </c>
      <c r="K6014">
        <v>19211405.440000001</v>
      </c>
      <c r="L6014">
        <v>19211405.440000001</v>
      </c>
      <c r="M6014">
        <v>0</v>
      </c>
      <c r="N6014">
        <v>19211405.440000001</v>
      </c>
      <c r="O6014">
        <v>0</v>
      </c>
      <c r="P6014">
        <v>19211405.440000001</v>
      </c>
      <c r="Q6014">
        <v>0</v>
      </c>
      <c r="R6014" s="14">
        <f>_xlfn.XLOOKUP(Table2[[#This Row],[LoanID]],Table1[G-L ID],Table1[ManagerCode],-99)</f>
        <v>119</v>
      </c>
      <c r="T6014"/>
    </row>
    <row r="6015" spans="1:20" x14ac:dyDescent="0.25">
      <c r="A6015">
        <v>20170930</v>
      </c>
      <c r="B6015">
        <v>2017</v>
      </c>
      <c r="C6015">
        <v>9</v>
      </c>
      <c r="D6015">
        <v>1</v>
      </c>
      <c r="E6015">
        <v>10620</v>
      </c>
      <c r="F6015">
        <v>117322.07</v>
      </c>
      <c r="G6015">
        <v>0</v>
      </c>
      <c r="H6015">
        <v>0</v>
      </c>
      <c r="I6015">
        <v>0</v>
      </c>
      <c r="J6015">
        <v>0</v>
      </c>
      <c r="K6015">
        <v>0</v>
      </c>
      <c r="L6015">
        <v>11469398.609999999</v>
      </c>
      <c r="M6015">
        <v>11469398.609999999</v>
      </c>
      <c r="N6015">
        <v>11469398.609999999</v>
      </c>
      <c r="O6015">
        <v>11469398.609999999</v>
      </c>
      <c r="P6015">
        <v>11469398.609999999</v>
      </c>
      <c r="Q6015">
        <v>11469398.609999999</v>
      </c>
      <c r="R6015" s="14">
        <f>_xlfn.XLOOKUP(Table2[[#This Row],[LoanID]],Table1[G-L ID],Table1[ManagerCode],-99)</f>
        <v>119</v>
      </c>
      <c r="T6015"/>
    </row>
    <row r="6016" spans="1:20" x14ac:dyDescent="0.25">
      <c r="A6016">
        <v>20170930</v>
      </c>
      <c r="B6016">
        <v>2017</v>
      </c>
      <c r="C6016">
        <v>9</v>
      </c>
      <c r="D6016">
        <v>1</v>
      </c>
      <c r="E6016">
        <v>10670</v>
      </c>
      <c r="F6016">
        <v>279697.5</v>
      </c>
      <c r="G6016">
        <v>0</v>
      </c>
      <c r="H6016">
        <v>0</v>
      </c>
      <c r="I6016">
        <v>0</v>
      </c>
      <c r="J6016">
        <v>0</v>
      </c>
      <c r="K6016">
        <v>0</v>
      </c>
      <c r="L6016">
        <v>30000000</v>
      </c>
      <c r="M6016">
        <v>30000000</v>
      </c>
      <c r="N6016">
        <v>30000000</v>
      </c>
      <c r="O6016">
        <v>30000000</v>
      </c>
      <c r="P6016">
        <v>30000000</v>
      </c>
      <c r="Q6016">
        <v>30000000</v>
      </c>
      <c r="R6016" s="14">
        <f>_xlfn.XLOOKUP(Table2[[#This Row],[LoanID]],Table1[G-L ID],Table1[ManagerCode],-99)</f>
        <v>119</v>
      </c>
      <c r="T6016"/>
    </row>
    <row r="6017" spans="1:20" x14ac:dyDescent="0.25">
      <c r="A6017">
        <v>20170930</v>
      </c>
      <c r="B6017">
        <v>2017</v>
      </c>
      <c r="C6017">
        <v>9</v>
      </c>
      <c r="D6017">
        <v>1</v>
      </c>
      <c r="E6017">
        <v>10730</v>
      </c>
      <c r="F6017">
        <v>105712.84</v>
      </c>
      <c r="G6017">
        <v>0</v>
      </c>
      <c r="H6017">
        <v>0</v>
      </c>
      <c r="I6017">
        <v>0</v>
      </c>
      <c r="J6017">
        <v>0</v>
      </c>
      <c r="K6017">
        <v>0</v>
      </c>
      <c r="L6017">
        <v>9500000</v>
      </c>
      <c r="M6017">
        <v>9500000</v>
      </c>
      <c r="N6017">
        <v>9500000</v>
      </c>
      <c r="O6017">
        <v>9500000</v>
      </c>
      <c r="P6017">
        <v>9500000</v>
      </c>
      <c r="Q6017">
        <v>9500000</v>
      </c>
      <c r="R6017" s="14">
        <f>_xlfn.XLOOKUP(Table2[[#This Row],[LoanID]],Table1[G-L ID],Table1[ManagerCode],-99)</f>
        <v>119</v>
      </c>
      <c r="T6017"/>
    </row>
    <row r="6018" spans="1:20" x14ac:dyDescent="0.25">
      <c r="A6018">
        <v>20170930</v>
      </c>
      <c r="B6018">
        <v>2017</v>
      </c>
      <c r="C6018">
        <v>9</v>
      </c>
      <c r="D6018">
        <v>1</v>
      </c>
      <c r="E6018">
        <v>10750</v>
      </c>
      <c r="F6018">
        <v>82854.55</v>
      </c>
      <c r="G6018">
        <v>0</v>
      </c>
      <c r="H6018">
        <v>0</v>
      </c>
      <c r="I6018">
        <v>0</v>
      </c>
      <c r="J6018">
        <v>0</v>
      </c>
      <c r="K6018">
        <v>0</v>
      </c>
      <c r="L6018">
        <v>9147924.9299999997</v>
      </c>
      <c r="M6018">
        <v>9147924.9299999997</v>
      </c>
      <c r="N6018">
        <v>9147924.9299999997</v>
      </c>
      <c r="O6018">
        <v>9147924.9299999997</v>
      </c>
      <c r="P6018">
        <v>9147924.9299999997</v>
      </c>
      <c r="Q6018">
        <v>9147924.9299999997</v>
      </c>
      <c r="R6018" s="14">
        <f>_xlfn.XLOOKUP(Table2[[#This Row],[LoanID]],Table1[G-L ID],Table1[ManagerCode],-99)</f>
        <v>119</v>
      </c>
      <c r="T6018"/>
    </row>
    <row r="6019" spans="1:20" x14ac:dyDescent="0.25">
      <c r="A6019">
        <v>20170930</v>
      </c>
      <c r="B6019">
        <v>2017</v>
      </c>
      <c r="C6019">
        <v>9</v>
      </c>
      <c r="D6019">
        <v>1</v>
      </c>
      <c r="E6019">
        <v>10810</v>
      </c>
      <c r="F6019">
        <v>93042.94</v>
      </c>
      <c r="G6019">
        <v>0</v>
      </c>
      <c r="H6019">
        <v>0</v>
      </c>
      <c r="I6019">
        <v>0</v>
      </c>
      <c r="J6019">
        <v>-73965.279999999999</v>
      </c>
      <c r="K6019">
        <v>0</v>
      </c>
      <c r="L6019">
        <v>9667035.4299999997</v>
      </c>
      <c r="M6019">
        <v>9741000.7100000009</v>
      </c>
      <c r="N6019">
        <v>9667035.4299999997</v>
      </c>
      <c r="O6019">
        <v>9741000.7100000009</v>
      </c>
      <c r="P6019">
        <v>9667035.4299999997</v>
      </c>
      <c r="Q6019">
        <v>9741000.7100000009</v>
      </c>
      <c r="R6019" s="14">
        <f>_xlfn.XLOOKUP(Table2[[#This Row],[LoanID]],Table1[G-L ID],Table1[ManagerCode],-99)</f>
        <v>119</v>
      </c>
      <c r="T6019"/>
    </row>
    <row r="6020" spans="1:20" x14ac:dyDescent="0.25">
      <c r="A6020">
        <v>20170930</v>
      </c>
      <c r="B6020">
        <v>2017</v>
      </c>
      <c r="C6020">
        <v>9</v>
      </c>
      <c r="D6020">
        <v>1</v>
      </c>
      <c r="E6020">
        <v>10820</v>
      </c>
      <c r="F6020">
        <v>197375.03</v>
      </c>
      <c r="G6020">
        <v>0</v>
      </c>
      <c r="H6020">
        <v>0</v>
      </c>
      <c r="I6020">
        <v>0</v>
      </c>
      <c r="J6020">
        <v>0</v>
      </c>
      <c r="K6020">
        <v>0</v>
      </c>
      <c r="L6020">
        <v>24127338</v>
      </c>
      <c r="M6020">
        <v>24127338</v>
      </c>
      <c r="N6020">
        <v>24127338</v>
      </c>
      <c r="O6020">
        <v>24127338</v>
      </c>
      <c r="P6020">
        <v>24127337.739999998</v>
      </c>
      <c r="Q6020">
        <v>24127337.739999998</v>
      </c>
      <c r="R6020" s="14">
        <f>_xlfn.XLOOKUP(Table2[[#This Row],[LoanID]],Table1[G-L ID],Table1[ManagerCode],-99)</f>
        <v>220</v>
      </c>
      <c r="T6020"/>
    </row>
    <row r="6021" spans="1:20" x14ac:dyDescent="0.25">
      <c r="A6021">
        <v>20170930</v>
      </c>
      <c r="B6021">
        <v>2017</v>
      </c>
      <c r="C6021">
        <v>9</v>
      </c>
      <c r="D6021">
        <v>1</v>
      </c>
      <c r="E6021">
        <v>10830</v>
      </c>
      <c r="F6021">
        <v>63857.77</v>
      </c>
      <c r="G6021">
        <v>0</v>
      </c>
      <c r="H6021">
        <v>0</v>
      </c>
      <c r="I6021">
        <v>0</v>
      </c>
      <c r="J6021">
        <v>0</v>
      </c>
      <c r="K6021">
        <v>0</v>
      </c>
      <c r="L6021">
        <v>7806043.1399999997</v>
      </c>
      <c r="M6021">
        <v>7806043.1399999997</v>
      </c>
      <c r="N6021">
        <v>7806043.1399999997</v>
      </c>
      <c r="O6021">
        <v>7806043.1399999997</v>
      </c>
      <c r="P6021">
        <v>7806043.1399999997</v>
      </c>
      <c r="Q6021">
        <v>7806043.1399999997</v>
      </c>
      <c r="R6021" s="14">
        <f>_xlfn.XLOOKUP(Table2[[#This Row],[LoanID]],Table1[G-L ID],Table1[ManagerCode],-99)</f>
        <v>220</v>
      </c>
      <c r="T6021"/>
    </row>
    <row r="6022" spans="1:20" x14ac:dyDescent="0.25">
      <c r="A6022">
        <v>20170930</v>
      </c>
      <c r="B6022">
        <v>2017</v>
      </c>
      <c r="C6022">
        <v>9</v>
      </c>
      <c r="D6022">
        <v>1</v>
      </c>
      <c r="E6022">
        <v>10840</v>
      </c>
      <c r="F6022">
        <v>103968.23</v>
      </c>
      <c r="G6022">
        <v>0</v>
      </c>
      <c r="H6022">
        <v>0</v>
      </c>
      <c r="I6022">
        <v>0</v>
      </c>
      <c r="J6022">
        <v>0</v>
      </c>
      <c r="K6022">
        <v>0</v>
      </c>
      <c r="L6022">
        <v>12709189</v>
      </c>
      <c r="M6022">
        <v>12709189</v>
      </c>
      <c r="N6022">
        <v>12709189</v>
      </c>
      <c r="O6022">
        <v>12709189</v>
      </c>
      <c r="P6022">
        <v>12709189</v>
      </c>
      <c r="Q6022">
        <v>12709189</v>
      </c>
      <c r="R6022" s="14">
        <f>_xlfn.XLOOKUP(Table2[[#This Row],[LoanID]],Table1[G-L ID],Table1[ManagerCode],-99)</f>
        <v>220</v>
      </c>
      <c r="T6022"/>
    </row>
    <row r="6023" spans="1:20" x14ac:dyDescent="0.25">
      <c r="A6023">
        <v>20170930</v>
      </c>
      <c r="B6023">
        <v>2017</v>
      </c>
      <c r="C6023">
        <v>9</v>
      </c>
      <c r="D6023">
        <v>1</v>
      </c>
      <c r="E6023">
        <v>10850</v>
      </c>
      <c r="F6023">
        <v>110534.78</v>
      </c>
      <c r="G6023">
        <v>0</v>
      </c>
      <c r="H6023">
        <v>0</v>
      </c>
      <c r="I6023">
        <v>0</v>
      </c>
      <c r="J6023">
        <v>0</v>
      </c>
      <c r="K6023">
        <v>0</v>
      </c>
      <c r="L6023">
        <v>13511892</v>
      </c>
      <c r="M6023">
        <v>13511892</v>
      </c>
      <c r="N6023">
        <v>13511892</v>
      </c>
      <c r="O6023">
        <v>13511892</v>
      </c>
      <c r="P6023">
        <v>13511892</v>
      </c>
      <c r="Q6023">
        <v>13511892</v>
      </c>
      <c r="R6023" s="14">
        <f>_xlfn.XLOOKUP(Table2[[#This Row],[LoanID]],Table1[G-L ID],Table1[ManagerCode],-99)</f>
        <v>220</v>
      </c>
      <c r="T6023"/>
    </row>
    <row r="6024" spans="1:20" x14ac:dyDescent="0.25">
      <c r="A6024">
        <v>20170930</v>
      </c>
      <c r="B6024">
        <v>2017</v>
      </c>
      <c r="C6024">
        <v>9</v>
      </c>
      <c r="D6024">
        <v>1</v>
      </c>
      <c r="E6024">
        <v>10890</v>
      </c>
      <c r="F6024">
        <v>116384.65</v>
      </c>
      <c r="G6024">
        <v>97876.25</v>
      </c>
      <c r="H6024">
        <v>0</v>
      </c>
      <c r="I6024">
        <v>0</v>
      </c>
      <c r="J6024">
        <v>-116384.65</v>
      </c>
      <c r="K6024">
        <v>0</v>
      </c>
      <c r="L6024">
        <v>23373916.420000002</v>
      </c>
      <c r="M6024">
        <v>23588177.32</v>
      </c>
      <c r="N6024">
        <v>23373916.420000002</v>
      </c>
      <c r="O6024">
        <v>23588177.32</v>
      </c>
      <c r="P6024">
        <v>23373916.420000002</v>
      </c>
      <c r="Q6024">
        <v>23588177.32</v>
      </c>
      <c r="R6024" s="14">
        <f>_xlfn.XLOOKUP(Table2[[#This Row],[LoanID]],Table1[G-L ID],Table1[ManagerCode],-99)</f>
        <v>183</v>
      </c>
      <c r="T6024"/>
    </row>
    <row r="6025" spans="1:20" x14ac:dyDescent="0.25">
      <c r="A6025">
        <v>20170930</v>
      </c>
      <c r="B6025">
        <v>2017</v>
      </c>
      <c r="C6025">
        <v>9</v>
      </c>
      <c r="D6025">
        <v>1</v>
      </c>
      <c r="E6025">
        <v>10910</v>
      </c>
      <c r="F6025">
        <v>201689.45</v>
      </c>
      <c r="G6025">
        <v>0</v>
      </c>
      <c r="H6025">
        <v>0</v>
      </c>
      <c r="I6025">
        <v>0</v>
      </c>
      <c r="J6025">
        <v>0</v>
      </c>
      <c r="K6025">
        <v>0</v>
      </c>
      <c r="L6025">
        <v>22500000</v>
      </c>
      <c r="M6025">
        <v>22500000</v>
      </c>
      <c r="N6025">
        <v>22500000</v>
      </c>
      <c r="O6025">
        <v>22500000</v>
      </c>
      <c r="P6025">
        <v>22500000</v>
      </c>
      <c r="Q6025">
        <v>22500000</v>
      </c>
      <c r="R6025" s="14">
        <f>_xlfn.XLOOKUP(Table2[[#This Row],[LoanID]],Table1[G-L ID],Table1[ManagerCode],-99)</f>
        <v>119</v>
      </c>
      <c r="T6025"/>
    </row>
    <row r="6026" spans="1:20" x14ac:dyDescent="0.25">
      <c r="A6026">
        <v>20170930</v>
      </c>
      <c r="B6026">
        <v>2017</v>
      </c>
      <c r="C6026">
        <v>9</v>
      </c>
      <c r="D6026">
        <v>1</v>
      </c>
      <c r="E6026">
        <v>10930</v>
      </c>
      <c r="F6026">
        <v>0</v>
      </c>
      <c r="G6026">
        <v>194990.41</v>
      </c>
      <c r="H6026">
        <v>0</v>
      </c>
      <c r="I6026">
        <v>0</v>
      </c>
      <c r="J6026">
        <v>0</v>
      </c>
      <c r="K6026">
        <v>0</v>
      </c>
      <c r="L6026">
        <v>18249102.359999999</v>
      </c>
      <c r="M6026">
        <v>18444092.77</v>
      </c>
      <c r="N6026">
        <v>18249102.359999999</v>
      </c>
      <c r="O6026">
        <v>18444092.77</v>
      </c>
      <c r="P6026">
        <v>18249102.359999999</v>
      </c>
      <c r="Q6026">
        <v>18444092.77</v>
      </c>
      <c r="R6026" s="14">
        <f>_xlfn.XLOOKUP(Table2[[#This Row],[LoanID]],Table1[G-L ID],Table1[ManagerCode],-99)</f>
        <v>183</v>
      </c>
      <c r="T6026"/>
    </row>
    <row r="6027" spans="1:20" x14ac:dyDescent="0.25">
      <c r="A6027">
        <v>20170930</v>
      </c>
      <c r="B6027">
        <v>2017</v>
      </c>
      <c r="C6027">
        <v>9</v>
      </c>
      <c r="D6027">
        <v>1</v>
      </c>
      <c r="E6027">
        <v>10970</v>
      </c>
      <c r="F6027">
        <v>23381.27</v>
      </c>
      <c r="G6027">
        <v>25592.75</v>
      </c>
      <c r="H6027">
        <v>0</v>
      </c>
      <c r="I6027">
        <v>0</v>
      </c>
      <c r="J6027">
        <v>-23381.27</v>
      </c>
      <c r="K6027">
        <v>0</v>
      </c>
      <c r="L6027">
        <v>4716047.04</v>
      </c>
      <c r="M6027">
        <v>4765021.0599999996</v>
      </c>
      <c r="N6027">
        <v>4716047.04</v>
      </c>
      <c r="O6027">
        <v>4765021.0599999996</v>
      </c>
      <c r="P6027">
        <v>4716047.04</v>
      </c>
      <c r="Q6027">
        <v>4765021.0599999996</v>
      </c>
      <c r="R6027" s="14">
        <f>_xlfn.XLOOKUP(Table2[[#This Row],[LoanID]],Table1[G-L ID],Table1[ManagerCode],-99)</f>
        <v>183</v>
      </c>
      <c r="T6027"/>
    </row>
    <row r="6028" spans="1:20" x14ac:dyDescent="0.25">
      <c r="A6028">
        <v>20170930</v>
      </c>
      <c r="B6028">
        <v>2017</v>
      </c>
      <c r="C6028">
        <v>9</v>
      </c>
      <c r="D6028">
        <v>1</v>
      </c>
      <c r="E6028">
        <v>11060</v>
      </c>
      <c r="F6028">
        <v>199800.8</v>
      </c>
      <c r="G6028">
        <v>0</v>
      </c>
      <c r="H6028">
        <v>0</v>
      </c>
      <c r="I6028">
        <v>0</v>
      </c>
      <c r="J6028">
        <v>0</v>
      </c>
      <c r="K6028">
        <v>0</v>
      </c>
      <c r="L6028">
        <v>22000000</v>
      </c>
      <c r="M6028">
        <v>22000000</v>
      </c>
      <c r="N6028">
        <v>22000000</v>
      </c>
      <c r="O6028">
        <v>22000000</v>
      </c>
      <c r="P6028">
        <v>22000000</v>
      </c>
      <c r="Q6028">
        <v>22000000</v>
      </c>
      <c r="R6028" s="14">
        <f>_xlfn.XLOOKUP(Table2[[#This Row],[LoanID]],Table1[G-L ID],Table1[ManagerCode],-99)</f>
        <v>119</v>
      </c>
      <c r="T6028"/>
    </row>
    <row r="6029" spans="1:20" x14ac:dyDescent="0.25">
      <c r="A6029">
        <v>20170930</v>
      </c>
      <c r="B6029">
        <v>2017</v>
      </c>
      <c r="C6029">
        <v>9</v>
      </c>
      <c r="D6029">
        <v>1</v>
      </c>
      <c r="E6029">
        <v>11080</v>
      </c>
      <c r="F6029">
        <v>359589.01</v>
      </c>
      <c r="G6029">
        <v>0</v>
      </c>
      <c r="H6029">
        <v>0</v>
      </c>
      <c r="I6029">
        <v>0</v>
      </c>
      <c r="J6029">
        <v>0</v>
      </c>
      <c r="K6029">
        <v>61919.27</v>
      </c>
      <c r="L6029">
        <v>39442576.869999997</v>
      </c>
      <c r="M6029">
        <v>39380657.600000001</v>
      </c>
      <c r="N6029">
        <v>39442576.869999997</v>
      </c>
      <c r="O6029">
        <v>39380657.600000001</v>
      </c>
      <c r="P6029">
        <v>39442576.869999997</v>
      </c>
      <c r="Q6029">
        <v>39380657.600000001</v>
      </c>
      <c r="R6029" s="14">
        <f>_xlfn.XLOOKUP(Table2[[#This Row],[LoanID]],Table1[G-L ID],Table1[ManagerCode],-99)</f>
        <v>119</v>
      </c>
      <c r="T6029"/>
    </row>
    <row r="6030" spans="1:20" x14ac:dyDescent="0.25">
      <c r="A6030">
        <v>20170930</v>
      </c>
      <c r="B6030">
        <v>2017</v>
      </c>
      <c r="C6030">
        <v>9</v>
      </c>
      <c r="D6030">
        <v>1</v>
      </c>
      <c r="E6030">
        <v>11090</v>
      </c>
      <c r="F6030">
        <v>101651.05</v>
      </c>
      <c r="G6030">
        <v>0</v>
      </c>
      <c r="H6030">
        <v>0</v>
      </c>
      <c r="I6030">
        <v>0</v>
      </c>
      <c r="J6030">
        <v>0</v>
      </c>
      <c r="K6030">
        <v>24000</v>
      </c>
      <c r="L6030">
        <v>11000000</v>
      </c>
      <c r="M6030">
        <v>10976000</v>
      </c>
      <c r="N6030">
        <v>11000000</v>
      </c>
      <c r="O6030">
        <v>10976000</v>
      </c>
      <c r="P6030">
        <v>11000000</v>
      </c>
      <c r="Q6030">
        <v>10976000</v>
      </c>
      <c r="R6030" s="14">
        <f>_xlfn.XLOOKUP(Table2[[#This Row],[LoanID]],Table1[G-L ID],Table1[ManagerCode],-99)</f>
        <v>119</v>
      </c>
      <c r="T6030"/>
    </row>
    <row r="6031" spans="1:20" x14ac:dyDescent="0.25">
      <c r="A6031">
        <v>20170930</v>
      </c>
      <c r="B6031">
        <v>2017</v>
      </c>
      <c r="C6031">
        <v>9</v>
      </c>
      <c r="D6031">
        <v>1</v>
      </c>
      <c r="E6031">
        <v>11150</v>
      </c>
      <c r="F6031">
        <v>104221.09</v>
      </c>
      <c r="G6031">
        <v>0</v>
      </c>
      <c r="H6031">
        <v>0</v>
      </c>
      <c r="I6031">
        <v>0</v>
      </c>
      <c r="J6031">
        <v>-297350.68</v>
      </c>
      <c r="K6031">
        <v>0</v>
      </c>
      <c r="L6031">
        <v>9548630.4000000004</v>
      </c>
      <c r="M6031">
        <v>9845981.0800000001</v>
      </c>
      <c r="N6031">
        <v>9548630.4000000004</v>
      </c>
      <c r="O6031">
        <v>9845981.0800000001</v>
      </c>
      <c r="P6031">
        <v>9548630.4000000004</v>
      </c>
      <c r="Q6031">
        <v>9845981.0800000001</v>
      </c>
      <c r="R6031" s="14">
        <f>_xlfn.XLOOKUP(Table2[[#This Row],[LoanID]],Table1[G-L ID],Table1[ManagerCode],-99)</f>
        <v>119</v>
      </c>
      <c r="T6031"/>
    </row>
    <row r="6032" spans="1:20" x14ac:dyDescent="0.25">
      <c r="A6032">
        <v>20170930</v>
      </c>
      <c r="B6032">
        <v>2017</v>
      </c>
      <c r="C6032">
        <v>9</v>
      </c>
      <c r="D6032">
        <v>1</v>
      </c>
      <c r="E6032">
        <v>11160</v>
      </c>
      <c r="F6032">
        <v>162410.76999999999</v>
      </c>
      <c r="G6032">
        <v>177907</v>
      </c>
      <c r="H6032">
        <v>0</v>
      </c>
      <c r="I6032">
        <v>0</v>
      </c>
      <c r="J6032">
        <v>-421051.17</v>
      </c>
      <c r="K6032">
        <v>186777.58</v>
      </c>
      <c r="L6032">
        <v>80123669.200000003</v>
      </c>
      <c r="M6032">
        <v>80722627.370000005</v>
      </c>
      <c r="N6032">
        <v>56466097.469999999</v>
      </c>
      <c r="O6032">
        <v>56878278.060000002</v>
      </c>
      <c r="P6032">
        <v>80123669.200000003</v>
      </c>
      <c r="Q6032">
        <v>80722627.370000005</v>
      </c>
      <c r="R6032" s="14">
        <f>_xlfn.XLOOKUP(Table2[[#This Row],[LoanID]],Table1[G-L ID],Table1[ManagerCode],-99)</f>
        <v>183</v>
      </c>
      <c r="T6032"/>
    </row>
    <row r="6033" spans="1:20" x14ac:dyDescent="0.25">
      <c r="A6033">
        <v>20170930</v>
      </c>
      <c r="B6033">
        <v>2017</v>
      </c>
      <c r="C6033">
        <v>9</v>
      </c>
      <c r="D6033">
        <v>1</v>
      </c>
      <c r="E6033">
        <v>11210</v>
      </c>
      <c r="F6033">
        <v>63588.74</v>
      </c>
      <c r="G6033">
        <v>0</v>
      </c>
      <c r="H6033">
        <v>0</v>
      </c>
      <c r="I6033">
        <v>0</v>
      </c>
      <c r="J6033">
        <v>0</v>
      </c>
      <c r="K6033">
        <v>0</v>
      </c>
      <c r="L6033">
        <v>7500000</v>
      </c>
      <c r="M6033">
        <v>7500000</v>
      </c>
      <c r="N6033">
        <v>7500000</v>
      </c>
      <c r="O6033">
        <v>7500000</v>
      </c>
      <c r="P6033">
        <v>7500000</v>
      </c>
      <c r="Q6033">
        <v>7500000</v>
      </c>
      <c r="R6033" s="14">
        <f>_xlfn.XLOOKUP(Table2[[#This Row],[LoanID]],Table1[G-L ID],Table1[ManagerCode],-99)</f>
        <v>119</v>
      </c>
      <c r="T6033"/>
    </row>
    <row r="6034" spans="1:20" x14ac:dyDescent="0.25">
      <c r="A6034">
        <v>20170930</v>
      </c>
      <c r="B6034">
        <v>2017</v>
      </c>
      <c r="C6034">
        <v>9</v>
      </c>
      <c r="D6034">
        <v>1</v>
      </c>
      <c r="E6034">
        <v>11340</v>
      </c>
      <c r="F6034">
        <v>293358.27</v>
      </c>
      <c r="G6034">
        <v>0</v>
      </c>
      <c r="H6034">
        <v>0</v>
      </c>
      <c r="I6034">
        <v>0</v>
      </c>
      <c r="J6034">
        <v>0</v>
      </c>
      <c r="K6034">
        <v>65983.83</v>
      </c>
      <c r="L6034">
        <v>48181054.229999997</v>
      </c>
      <c r="M6034">
        <v>48115730.219999999</v>
      </c>
      <c r="N6034">
        <v>48181054.229999997</v>
      </c>
      <c r="O6034">
        <v>48115730.219999999</v>
      </c>
      <c r="P6034">
        <v>48667731.549999997</v>
      </c>
      <c r="Q6034">
        <v>48601747.719999999</v>
      </c>
      <c r="R6034" s="14">
        <f>_xlfn.XLOOKUP(Table2[[#This Row],[LoanID]],Table1[G-L ID],Table1[ManagerCode],-99)</f>
        <v>103</v>
      </c>
      <c r="T6034"/>
    </row>
    <row r="6035" spans="1:20" x14ac:dyDescent="0.25">
      <c r="A6035">
        <v>20170930</v>
      </c>
      <c r="B6035">
        <v>2017</v>
      </c>
      <c r="C6035">
        <v>9</v>
      </c>
      <c r="D6035">
        <v>1</v>
      </c>
      <c r="E6035">
        <v>11350</v>
      </c>
      <c r="F6035">
        <v>301388.89</v>
      </c>
      <c r="G6035">
        <v>0</v>
      </c>
      <c r="H6035">
        <v>0</v>
      </c>
      <c r="I6035">
        <v>0</v>
      </c>
      <c r="J6035">
        <v>0</v>
      </c>
      <c r="K6035">
        <v>0</v>
      </c>
      <c r="L6035">
        <v>54449945.549999997</v>
      </c>
      <c r="M6035">
        <v>54449945.549999997</v>
      </c>
      <c r="N6035">
        <v>54449945.549999997</v>
      </c>
      <c r="O6035">
        <v>54449945.549999997</v>
      </c>
      <c r="P6035">
        <v>55000000</v>
      </c>
      <c r="Q6035">
        <v>55000000</v>
      </c>
      <c r="R6035" s="14">
        <f>_xlfn.XLOOKUP(Table2[[#This Row],[LoanID]],Table1[G-L ID],Table1[ManagerCode],-99)</f>
        <v>103</v>
      </c>
      <c r="T6035"/>
    </row>
    <row r="6036" spans="1:20" x14ac:dyDescent="0.25">
      <c r="A6036">
        <v>20170930</v>
      </c>
      <c r="B6036">
        <v>2017</v>
      </c>
      <c r="C6036">
        <v>9</v>
      </c>
      <c r="D6036">
        <v>1</v>
      </c>
      <c r="E6036">
        <v>11360</v>
      </c>
      <c r="F6036">
        <v>67012.19</v>
      </c>
      <c r="G6036">
        <v>0</v>
      </c>
      <c r="H6036">
        <v>0</v>
      </c>
      <c r="I6036">
        <v>0</v>
      </c>
      <c r="J6036">
        <v>0</v>
      </c>
      <c r="K6036">
        <v>0</v>
      </c>
      <c r="L6036">
        <v>7537500</v>
      </c>
      <c r="M6036">
        <v>7537500</v>
      </c>
      <c r="N6036">
        <v>7537500</v>
      </c>
      <c r="O6036">
        <v>7537500</v>
      </c>
      <c r="P6036">
        <v>7537500</v>
      </c>
      <c r="Q6036">
        <v>7537500</v>
      </c>
      <c r="R6036" s="14">
        <f>_xlfn.XLOOKUP(Table2[[#This Row],[LoanID]],Table1[G-L ID],Table1[ManagerCode],-99)</f>
        <v>119</v>
      </c>
      <c r="T6036"/>
    </row>
    <row r="6037" spans="1:20" x14ac:dyDescent="0.25">
      <c r="A6037">
        <v>20170930</v>
      </c>
      <c r="B6037">
        <v>2017</v>
      </c>
      <c r="C6037">
        <v>9</v>
      </c>
      <c r="D6037">
        <v>1</v>
      </c>
      <c r="E6037">
        <v>11410</v>
      </c>
      <c r="F6037">
        <v>117045.67</v>
      </c>
      <c r="G6037">
        <v>0</v>
      </c>
      <c r="H6037">
        <v>0</v>
      </c>
      <c r="I6037">
        <v>0</v>
      </c>
      <c r="J6037">
        <v>0</v>
      </c>
      <c r="K6037">
        <v>0</v>
      </c>
      <c r="L6037">
        <v>12000000</v>
      </c>
      <c r="M6037">
        <v>12000000</v>
      </c>
      <c r="N6037">
        <v>12000000</v>
      </c>
      <c r="O6037">
        <v>12000000</v>
      </c>
      <c r="P6037">
        <v>12000000</v>
      </c>
      <c r="Q6037">
        <v>12000000</v>
      </c>
      <c r="R6037" s="14">
        <f>_xlfn.XLOOKUP(Table2[[#This Row],[LoanID]],Table1[G-L ID],Table1[ManagerCode],-99)</f>
        <v>119</v>
      </c>
      <c r="T6037"/>
    </row>
    <row r="6038" spans="1:20" x14ac:dyDescent="0.25">
      <c r="A6038">
        <v>20170930</v>
      </c>
      <c r="B6038">
        <v>2017</v>
      </c>
      <c r="C6038">
        <v>9</v>
      </c>
      <c r="D6038">
        <v>1</v>
      </c>
      <c r="E6038">
        <v>11440</v>
      </c>
      <c r="F6038">
        <v>156250</v>
      </c>
      <c r="G6038">
        <v>0</v>
      </c>
      <c r="H6038">
        <v>0</v>
      </c>
      <c r="I6038">
        <v>0</v>
      </c>
      <c r="J6038">
        <v>0</v>
      </c>
      <c r="K6038">
        <v>0</v>
      </c>
      <c r="L6038">
        <v>18750000</v>
      </c>
      <c r="M6038">
        <v>18750000</v>
      </c>
      <c r="N6038">
        <v>18750000</v>
      </c>
      <c r="O6038">
        <v>18750000</v>
      </c>
      <c r="P6038">
        <v>18750000</v>
      </c>
      <c r="Q6038">
        <v>18750000</v>
      </c>
      <c r="R6038" s="14">
        <f>_xlfn.XLOOKUP(Table2[[#This Row],[LoanID]],Table1[G-L ID],Table1[ManagerCode],-99)</f>
        <v>183</v>
      </c>
      <c r="T6038"/>
    </row>
    <row r="6039" spans="1:20" x14ac:dyDescent="0.25">
      <c r="A6039">
        <v>20170930</v>
      </c>
      <c r="B6039">
        <v>2017</v>
      </c>
      <c r="C6039">
        <v>9</v>
      </c>
      <c r="D6039">
        <v>1</v>
      </c>
      <c r="E6039">
        <v>11450</v>
      </c>
      <c r="F6039">
        <v>141612.37</v>
      </c>
      <c r="G6039">
        <v>0</v>
      </c>
      <c r="H6039">
        <v>0</v>
      </c>
      <c r="I6039">
        <v>0</v>
      </c>
      <c r="J6039">
        <v>-258302.26</v>
      </c>
      <c r="K6039">
        <v>0</v>
      </c>
      <c r="L6039">
        <v>16036207.529999999</v>
      </c>
      <c r="M6039">
        <v>16294509.789999999</v>
      </c>
      <c r="N6039">
        <v>16036207.529999999</v>
      </c>
      <c r="O6039">
        <v>16294509.789999999</v>
      </c>
      <c r="P6039">
        <v>16036207.529999999</v>
      </c>
      <c r="Q6039">
        <v>16294509.789999999</v>
      </c>
      <c r="R6039" s="14">
        <f>_xlfn.XLOOKUP(Table2[[#This Row],[LoanID]],Table1[G-L ID],Table1[ManagerCode],-99)</f>
        <v>119</v>
      </c>
      <c r="T6039"/>
    </row>
    <row r="6040" spans="1:20" x14ac:dyDescent="0.25">
      <c r="A6040">
        <v>20170930</v>
      </c>
      <c r="B6040">
        <v>2017</v>
      </c>
      <c r="C6040">
        <v>9</v>
      </c>
      <c r="D6040">
        <v>1</v>
      </c>
      <c r="E6040">
        <v>11480</v>
      </c>
      <c r="F6040">
        <v>438544.17</v>
      </c>
      <c r="G6040">
        <v>0</v>
      </c>
      <c r="H6040">
        <v>0</v>
      </c>
      <c r="I6040">
        <v>0</v>
      </c>
      <c r="J6040">
        <v>0</v>
      </c>
      <c r="K6040">
        <v>0</v>
      </c>
      <c r="L6040">
        <v>66500000</v>
      </c>
      <c r="M6040">
        <v>66500000</v>
      </c>
      <c r="N6040">
        <v>66500000</v>
      </c>
      <c r="O6040">
        <v>66500000</v>
      </c>
      <c r="P6040">
        <v>70000000</v>
      </c>
      <c r="Q6040">
        <v>70000000</v>
      </c>
      <c r="R6040" s="14">
        <f>_xlfn.XLOOKUP(Table2[[#This Row],[LoanID]],Table1[G-L ID],Table1[ManagerCode],-99)</f>
        <v>103</v>
      </c>
      <c r="T6040"/>
    </row>
    <row r="6041" spans="1:20" x14ac:dyDescent="0.25">
      <c r="A6041">
        <v>20170930</v>
      </c>
      <c r="B6041">
        <v>2017</v>
      </c>
      <c r="C6041">
        <v>9</v>
      </c>
      <c r="D6041">
        <v>1</v>
      </c>
      <c r="E6041">
        <v>11490</v>
      </c>
      <c r="F6041">
        <v>403771.81</v>
      </c>
      <c r="G6041">
        <v>0</v>
      </c>
      <c r="H6041">
        <v>0</v>
      </c>
      <c r="I6041">
        <v>0</v>
      </c>
      <c r="J6041">
        <v>0</v>
      </c>
      <c r="K6041">
        <v>0</v>
      </c>
      <c r="L6041">
        <v>52250000</v>
      </c>
      <c r="M6041">
        <v>52250000</v>
      </c>
      <c r="N6041">
        <v>52250000</v>
      </c>
      <c r="O6041">
        <v>52250000</v>
      </c>
      <c r="P6041">
        <v>55000000</v>
      </c>
      <c r="Q6041">
        <v>55000000</v>
      </c>
      <c r="R6041" s="14">
        <f>_xlfn.XLOOKUP(Table2[[#This Row],[LoanID]],Table1[G-L ID],Table1[ManagerCode],-99)</f>
        <v>103</v>
      </c>
      <c r="T6041"/>
    </row>
    <row r="6042" spans="1:20" x14ac:dyDescent="0.25">
      <c r="A6042">
        <v>20170930</v>
      </c>
      <c r="B6042">
        <v>2017</v>
      </c>
      <c r="C6042">
        <v>9</v>
      </c>
      <c r="D6042">
        <v>1</v>
      </c>
      <c r="E6042">
        <v>11520</v>
      </c>
      <c r="F6042">
        <v>56960.63</v>
      </c>
      <c r="G6042">
        <v>0</v>
      </c>
      <c r="H6042">
        <v>0</v>
      </c>
      <c r="I6042">
        <v>0</v>
      </c>
      <c r="J6042">
        <v>-164297.25</v>
      </c>
      <c r="K6042">
        <v>0</v>
      </c>
      <c r="L6042">
        <v>9025727.0800000001</v>
      </c>
      <c r="M6042">
        <v>9190024.3300000001</v>
      </c>
      <c r="N6042">
        <v>9025727.0800000001</v>
      </c>
      <c r="O6042">
        <v>9190024.3300000001</v>
      </c>
      <c r="P6042">
        <v>9025727.0800000001</v>
      </c>
      <c r="Q6042">
        <v>9190024.3300000001</v>
      </c>
      <c r="R6042" s="14">
        <f>_xlfn.XLOOKUP(Table2[[#This Row],[LoanID]],Table1[G-L ID],Table1[ManagerCode],-99)</f>
        <v>119</v>
      </c>
      <c r="T6042"/>
    </row>
    <row r="6043" spans="1:20" x14ac:dyDescent="0.25">
      <c r="A6043">
        <v>20170930</v>
      </c>
      <c r="B6043">
        <v>2017</v>
      </c>
      <c r="C6043">
        <v>9</v>
      </c>
      <c r="D6043">
        <v>1</v>
      </c>
      <c r="E6043">
        <v>11530</v>
      </c>
      <c r="F6043">
        <v>134639.04000000001</v>
      </c>
      <c r="G6043">
        <v>0</v>
      </c>
      <c r="H6043">
        <v>0</v>
      </c>
      <c r="I6043">
        <v>0</v>
      </c>
      <c r="J6043">
        <v>0</v>
      </c>
      <c r="K6043">
        <v>0</v>
      </c>
      <c r="L6043">
        <v>14993350.42</v>
      </c>
      <c r="M6043">
        <v>14993350.42</v>
      </c>
      <c r="N6043">
        <v>14993350.42</v>
      </c>
      <c r="O6043">
        <v>14993350.42</v>
      </c>
      <c r="P6043">
        <v>14993350.42</v>
      </c>
      <c r="Q6043">
        <v>14993350.42</v>
      </c>
      <c r="R6043" s="14">
        <f>_xlfn.XLOOKUP(Table2[[#This Row],[LoanID]],Table1[G-L ID],Table1[ManagerCode],-99)</f>
        <v>119</v>
      </c>
      <c r="T6043"/>
    </row>
    <row r="6044" spans="1:20" x14ac:dyDescent="0.25">
      <c r="A6044">
        <v>20170930</v>
      </c>
      <c r="B6044">
        <v>2017</v>
      </c>
      <c r="C6044">
        <v>9</v>
      </c>
      <c r="D6044">
        <v>1</v>
      </c>
      <c r="E6044">
        <v>11590</v>
      </c>
      <c r="F6044">
        <v>26365.56</v>
      </c>
      <c r="G6044">
        <v>0</v>
      </c>
      <c r="H6044">
        <v>0</v>
      </c>
      <c r="I6044">
        <v>0</v>
      </c>
      <c r="J6044">
        <v>0</v>
      </c>
      <c r="K6044">
        <v>0</v>
      </c>
      <c r="L6044">
        <v>3507224.44</v>
      </c>
      <c r="M6044">
        <v>3507224.44</v>
      </c>
      <c r="N6044">
        <v>3507224.44</v>
      </c>
      <c r="O6044">
        <v>3507224.44</v>
      </c>
      <c r="P6044">
        <v>3507224.44</v>
      </c>
      <c r="Q6044">
        <v>3507224.44</v>
      </c>
      <c r="R6044" s="14">
        <f>_xlfn.XLOOKUP(Table2[[#This Row],[LoanID]],Table1[G-L ID],Table1[ManagerCode],-99)</f>
        <v>119</v>
      </c>
      <c r="T6044"/>
    </row>
    <row r="6045" spans="1:20" x14ac:dyDescent="0.25">
      <c r="A6045">
        <v>20170930</v>
      </c>
      <c r="B6045">
        <v>2017</v>
      </c>
      <c r="C6045">
        <v>9</v>
      </c>
      <c r="D6045">
        <v>1</v>
      </c>
      <c r="E6045">
        <v>11680</v>
      </c>
      <c r="F6045">
        <v>57126.559999999998</v>
      </c>
      <c r="G6045">
        <v>0</v>
      </c>
      <c r="H6045">
        <v>0</v>
      </c>
      <c r="I6045">
        <v>0</v>
      </c>
      <c r="J6045">
        <v>0</v>
      </c>
      <c r="K6045">
        <v>0</v>
      </c>
      <c r="L6045">
        <v>6600000</v>
      </c>
      <c r="M6045">
        <v>6600000</v>
      </c>
      <c r="N6045">
        <v>6600000</v>
      </c>
      <c r="O6045">
        <v>6600000</v>
      </c>
      <c r="P6045">
        <v>6600000</v>
      </c>
      <c r="Q6045">
        <v>6600000</v>
      </c>
      <c r="R6045" s="14">
        <f>_xlfn.XLOOKUP(Table2[[#This Row],[LoanID]],Table1[G-L ID],Table1[ManagerCode],-99)</f>
        <v>183</v>
      </c>
      <c r="T6045"/>
    </row>
    <row r="6046" spans="1:20" x14ac:dyDescent="0.25">
      <c r="A6046">
        <v>20170930</v>
      </c>
      <c r="B6046">
        <v>2017</v>
      </c>
      <c r="C6046">
        <v>9</v>
      </c>
      <c r="D6046">
        <v>1</v>
      </c>
      <c r="E6046">
        <v>11690</v>
      </c>
      <c r="F6046">
        <v>149711.92000000001</v>
      </c>
      <c r="G6046">
        <v>0</v>
      </c>
      <c r="H6046">
        <v>0</v>
      </c>
      <c r="I6046">
        <v>0</v>
      </c>
      <c r="J6046">
        <v>0</v>
      </c>
      <c r="K6046">
        <v>0</v>
      </c>
      <c r="L6046">
        <v>17000000</v>
      </c>
      <c r="M6046">
        <v>17000000</v>
      </c>
      <c r="N6046">
        <v>17000000</v>
      </c>
      <c r="O6046">
        <v>17000000</v>
      </c>
      <c r="P6046">
        <v>17000000</v>
      </c>
      <c r="Q6046">
        <v>17000000</v>
      </c>
      <c r="R6046" s="14">
        <f>_xlfn.XLOOKUP(Table2[[#This Row],[LoanID]],Table1[G-L ID],Table1[ManagerCode],-99)</f>
        <v>119</v>
      </c>
      <c r="T6046"/>
    </row>
    <row r="6047" spans="1:20" x14ac:dyDescent="0.25">
      <c r="A6047">
        <v>20170930</v>
      </c>
      <c r="B6047">
        <v>2017</v>
      </c>
      <c r="C6047">
        <v>9</v>
      </c>
      <c r="D6047">
        <v>1</v>
      </c>
      <c r="E6047">
        <v>11720</v>
      </c>
      <c r="F6047">
        <v>129166.67</v>
      </c>
      <c r="G6047">
        <v>0</v>
      </c>
      <c r="H6047">
        <v>0</v>
      </c>
      <c r="I6047">
        <v>0</v>
      </c>
      <c r="J6047">
        <v>0</v>
      </c>
      <c r="K6047">
        <v>0</v>
      </c>
      <c r="L6047">
        <v>21311821.989999998</v>
      </c>
      <c r="M6047">
        <v>21212110.449999999</v>
      </c>
      <c r="N6047">
        <v>21311821.989999998</v>
      </c>
      <c r="O6047">
        <v>21212110.449999999</v>
      </c>
      <c r="P6047">
        <v>20000000</v>
      </c>
      <c r="Q6047">
        <v>20000000</v>
      </c>
      <c r="R6047" s="14">
        <f>_xlfn.XLOOKUP(Table2[[#This Row],[LoanID]],Table1[G-L ID],Table1[ManagerCode],-99)</f>
        <v>103</v>
      </c>
      <c r="T6047"/>
    </row>
    <row r="6048" spans="1:20" x14ac:dyDescent="0.25">
      <c r="A6048">
        <v>20170930</v>
      </c>
      <c r="B6048">
        <v>2017</v>
      </c>
      <c r="C6048">
        <v>9</v>
      </c>
      <c r="D6048">
        <v>1</v>
      </c>
      <c r="E6048">
        <v>11730</v>
      </c>
      <c r="F6048">
        <v>53117.56</v>
      </c>
      <c r="G6048">
        <v>0</v>
      </c>
      <c r="H6048">
        <v>0</v>
      </c>
      <c r="I6048">
        <v>0</v>
      </c>
      <c r="J6048">
        <v>0</v>
      </c>
      <c r="K6048">
        <v>8280.75</v>
      </c>
      <c r="L6048">
        <v>4927004.75</v>
      </c>
      <c r="M6048">
        <v>4918724</v>
      </c>
      <c r="N6048">
        <v>4927004.75</v>
      </c>
      <c r="O6048">
        <v>4918724</v>
      </c>
      <c r="P6048">
        <v>4927004.75</v>
      </c>
      <c r="Q6048">
        <v>4918724</v>
      </c>
      <c r="R6048" s="14">
        <f>_xlfn.XLOOKUP(Table2[[#This Row],[LoanID]],Table1[G-L ID],Table1[ManagerCode],-99)</f>
        <v>119</v>
      </c>
      <c r="T6048"/>
    </row>
    <row r="6049" spans="1:20" x14ac:dyDescent="0.25">
      <c r="A6049">
        <v>20170930</v>
      </c>
      <c r="B6049">
        <v>2017</v>
      </c>
      <c r="C6049">
        <v>9</v>
      </c>
      <c r="D6049">
        <v>1</v>
      </c>
      <c r="E6049">
        <v>11750</v>
      </c>
      <c r="F6049">
        <v>249969.23</v>
      </c>
      <c r="G6049">
        <v>123236.05</v>
      </c>
      <c r="H6049">
        <v>0</v>
      </c>
      <c r="I6049">
        <v>0</v>
      </c>
      <c r="J6049">
        <v>-454924.29</v>
      </c>
      <c r="K6049">
        <v>0</v>
      </c>
      <c r="L6049">
        <v>52976883.219999999</v>
      </c>
      <c r="M6049">
        <v>53555043.560000002</v>
      </c>
      <c r="N6049">
        <v>52976883.219999999</v>
      </c>
      <c r="O6049">
        <v>53555043.560000002</v>
      </c>
      <c r="P6049">
        <v>52976883.219999999</v>
      </c>
      <c r="Q6049">
        <v>53555043.560000002</v>
      </c>
      <c r="R6049" s="14">
        <f>_xlfn.XLOOKUP(Table2[[#This Row],[LoanID]],Table1[G-L ID],Table1[ManagerCode],-99)</f>
        <v>183</v>
      </c>
      <c r="T6049"/>
    </row>
    <row r="6050" spans="1:20" x14ac:dyDescent="0.25">
      <c r="A6050">
        <v>20170930</v>
      </c>
      <c r="B6050">
        <v>2017</v>
      </c>
      <c r="C6050">
        <v>9</v>
      </c>
      <c r="D6050">
        <v>1</v>
      </c>
      <c r="E6050">
        <v>11830</v>
      </c>
      <c r="F6050">
        <v>92811.17</v>
      </c>
      <c r="G6050">
        <v>0</v>
      </c>
      <c r="H6050">
        <v>0</v>
      </c>
      <c r="I6050">
        <v>0</v>
      </c>
      <c r="J6050">
        <v>-404458.06</v>
      </c>
      <c r="K6050">
        <v>0</v>
      </c>
      <c r="L6050">
        <v>11023173.66</v>
      </c>
      <c r="M6050">
        <v>11427631.720000001</v>
      </c>
      <c r="N6050">
        <v>11023173.66</v>
      </c>
      <c r="O6050">
        <v>11427631.720000001</v>
      </c>
      <c r="P6050">
        <v>11023173.66</v>
      </c>
      <c r="Q6050">
        <v>11427631.720000001</v>
      </c>
      <c r="R6050" s="14">
        <f>_xlfn.XLOOKUP(Table2[[#This Row],[LoanID]],Table1[G-L ID],Table1[ManagerCode],-99)</f>
        <v>119</v>
      </c>
      <c r="T6050"/>
    </row>
    <row r="6051" spans="1:20" x14ac:dyDescent="0.25">
      <c r="A6051">
        <v>20170930</v>
      </c>
      <c r="B6051">
        <v>2017</v>
      </c>
      <c r="C6051">
        <v>9</v>
      </c>
      <c r="D6051">
        <v>1</v>
      </c>
      <c r="E6051">
        <v>11850</v>
      </c>
      <c r="F6051">
        <v>97500</v>
      </c>
      <c r="G6051">
        <v>0</v>
      </c>
      <c r="H6051">
        <v>0</v>
      </c>
      <c r="I6051">
        <v>0</v>
      </c>
      <c r="J6051">
        <v>0</v>
      </c>
      <c r="K6051">
        <v>0</v>
      </c>
      <c r="L6051">
        <v>9000000</v>
      </c>
      <c r="M6051">
        <v>9000000</v>
      </c>
      <c r="N6051">
        <v>9000000</v>
      </c>
      <c r="O6051">
        <v>9000000</v>
      </c>
      <c r="P6051">
        <v>9000000</v>
      </c>
      <c r="Q6051">
        <v>9000000</v>
      </c>
      <c r="R6051" s="14">
        <f>_xlfn.XLOOKUP(Table2[[#This Row],[LoanID]],Table1[G-L ID],Table1[ManagerCode],-99)</f>
        <v>183</v>
      </c>
      <c r="T6051"/>
    </row>
    <row r="6052" spans="1:20" x14ac:dyDescent="0.25">
      <c r="A6052">
        <v>20170930</v>
      </c>
      <c r="B6052">
        <v>2017</v>
      </c>
      <c r="C6052">
        <v>9</v>
      </c>
      <c r="D6052">
        <v>1</v>
      </c>
      <c r="E6052">
        <v>11980</v>
      </c>
      <c r="F6052">
        <v>70849.53</v>
      </c>
      <c r="G6052">
        <v>0</v>
      </c>
      <c r="H6052">
        <v>0</v>
      </c>
      <c r="I6052">
        <v>0</v>
      </c>
      <c r="J6052">
        <v>0</v>
      </c>
      <c r="K6052">
        <v>0</v>
      </c>
      <c r="L6052">
        <v>7400000</v>
      </c>
      <c r="M6052">
        <v>7400000</v>
      </c>
      <c r="N6052">
        <v>7400000</v>
      </c>
      <c r="O6052">
        <v>7400000</v>
      </c>
      <c r="P6052">
        <v>7400000</v>
      </c>
      <c r="Q6052">
        <v>7400000</v>
      </c>
      <c r="R6052" s="14">
        <f>_xlfn.XLOOKUP(Table2[[#This Row],[LoanID]],Table1[G-L ID],Table1[ManagerCode],-99)</f>
        <v>119</v>
      </c>
      <c r="T6052"/>
    </row>
    <row r="6053" spans="1:20" x14ac:dyDescent="0.25">
      <c r="A6053">
        <v>20170930</v>
      </c>
      <c r="B6053">
        <v>2017</v>
      </c>
      <c r="C6053">
        <v>9</v>
      </c>
      <c r="D6053">
        <v>1</v>
      </c>
      <c r="E6053">
        <v>12030</v>
      </c>
      <c r="F6053">
        <v>48294.45</v>
      </c>
      <c r="G6053">
        <v>0</v>
      </c>
      <c r="H6053">
        <v>0</v>
      </c>
      <c r="I6053">
        <v>0</v>
      </c>
      <c r="J6053">
        <v>0</v>
      </c>
      <c r="K6053">
        <v>0</v>
      </c>
      <c r="L6053">
        <v>6375000</v>
      </c>
      <c r="M6053">
        <v>6375000</v>
      </c>
      <c r="N6053">
        <v>6375000</v>
      </c>
      <c r="O6053">
        <v>6375000</v>
      </c>
      <c r="P6053">
        <v>6375000</v>
      </c>
      <c r="Q6053">
        <v>6375000</v>
      </c>
      <c r="R6053" s="14">
        <f>_xlfn.XLOOKUP(Table2[[#This Row],[LoanID]],Table1[G-L ID],Table1[ManagerCode],-99)</f>
        <v>119</v>
      </c>
      <c r="T6053"/>
    </row>
    <row r="6054" spans="1:20" x14ac:dyDescent="0.25">
      <c r="A6054">
        <v>20170930</v>
      </c>
      <c r="B6054">
        <v>2017</v>
      </c>
      <c r="C6054">
        <v>9</v>
      </c>
      <c r="D6054">
        <v>1</v>
      </c>
      <c r="E6054">
        <v>12180</v>
      </c>
      <c r="F6054">
        <v>228402.45</v>
      </c>
      <c r="G6054">
        <v>0</v>
      </c>
      <c r="H6054">
        <v>0</v>
      </c>
      <c r="I6054">
        <v>0</v>
      </c>
      <c r="J6054">
        <v>0</v>
      </c>
      <c r="K6054">
        <v>0</v>
      </c>
      <c r="L6054">
        <v>30393210.870000001</v>
      </c>
      <c r="M6054">
        <v>30393210.870000001</v>
      </c>
      <c r="N6054">
        <v>30393210.870000001</v>
      </c>
      <c r="O6054">
        <v>30393210.870000001</v>
      </c>
      <c r="P6054">
        <v>30393210.870000001</v>
      </c>
      <c r="Q6054">
        <v>30393210.870000001</v>
      </c>
      <c r="R6054" s="14">
        <f>_xlfn.XLOOKUP(Table2[[#This Row],[LoanID]],Table1[G-L ID],Table1[ManagerCode],-99)</f>
        <v>220</v>
      </c>
      <c r="T6054"/>
    </row>
    <row r="6055" spans="1:20" x14ac:dyDescent="0.25">
      <c r="A6055">
        <v>20170930</v>
      </c>
      <c r="B6055">
        <v>2017</v>
      </c>
      <c r="C6055">
        <v>9</v>
      </c>
      <c r="D6055">
        <v>1</v>
      </c>
      <c r="E6055">
        <v>12220</v>
      </c>
      <c r="F6055">
        <v>175952.54</v>
      </c>
      <c r="G6055">
        <v>0</v>
      </c>
      <c r="H6055">
        <v>0</v>
      </c>
      <c r="I6055">
        <v>0</v>
      </c>
      <c r="J6055">
        <v>0</v>
      </c>
      <c r="K6055">
        <v>0</v>
      </c>
      <c r="L6055">
        <v>54500000</v>
      </c>
      <c r="M6055">
        <v>54500000</v>
      </c>
      <c r="N6055">
        <v>27250000</v>
      </c>
      <c r="O6055">
        <v>27250000</v>
      </c>
      <c r="P6055">
        <v>54500000</v>
      </c>
      <c r="Q6055">
        <v>54500000</v>
      </c>
      <c r="R6055" s="14">
        <f>_xlfn.XLOOKUP(Table2[[#This Row],[LoanID]],Table1[G-L ID],Table1[ManagerCode],-99)</f>
        <v>183</v>
      </c>
      <c r="T6055"/>
    </row>
    <row r="6056" spans="1:20" x14ac:dyDescent="0.25">
      <c r="A6056">
        <v>20170930</v>
      </c>
      <c r="B6056">
        <v>2017</v>
      </c>
      <c r="C6056">
        <v>9</v>
      </c>
      <c r="D6056">
        <v>1</v>
      </c>
      <c r="E6056">
        <v>12250</v>
      </c>
      <c r="F6056">
        <v>93272.89</v>
      </c>
      <c r="G6056">
        <v>0</v>
      </c>
      <c r="H6056">
        <v>0</v>
      </c>
      <c r="I6056">
        <v>0</v>
      </c>
      <c r="J6056">
        <v>0</v>
      </c>
      <c r="K6056">
        <v>0</v>
      </c>
      <c r="L6056">
        <v>11163585.060000001</v>
      </c>
      <c r="M6056">
        <v>11163585.060000001</v>
      </c>
      <c r="N6056">
        <v>11163585.060000001</v>
      </c>
      <c r="O6056">
        <v>11163585.060000001</v>
      </c>
      <c r="P6056">
        <v>11163585.060000001</v>
      </c>
      <c r="Q6056">
        <v>11163585.060000001</v>
      </c>
      <c r="R6056" s="14">
        <f>_xlfn.XLOOKUP(Table2[[#This Row],[LoanID]],Table1[G-L ID],Table1[ManagerCode],-99)</f>
        <v>119</v>
      </c>
      <c r="T6056"/>
    </row>
    <row r="6057" spans="1:20" x14ac:dyDescent="0.25">
      <c r="A6057">
        <v>20170930</v>
      </c>
      <c r="B6057">
        <v>2017</v>
      </c>
      <c r="C6057">
        <v>9</v>
      </c>
      <c r="D6057">
        <v>1</v>
      </c>
      <c r="E6057">
        <v>12260</v>
      </c>
      <c r="F6057">
        <v>105521.25</v>
      </c>
      <c r="G6057">
        <v>0</v>
      </c>
      <c r="H6057">
        <v>0</v>
      </c>
      <c r="I6057">
        <v>0</v>
      </c>
      <c r="J6057">
        <v>0</v>
      </c>
      <c r="K6057">
        <v>0</v>
      </c>
      <c r="L6057">
        <v>11250000</v>
      </c>
      <c r="M6057">
        <v>11250000</v>
      </c>
      <c r="N6057">
        <v>11250000</v>
      </c>
      <c r="O6057">
        <v>11250000</v>
      </c>
      <c r="P6057">
        <v>11250000</v>
      </c>
      <c r="Q6057">
        <v>11250000</v>
      </c>
      <c r="R6057" s="14">
        <f>_xlfn.XLOOKUP(Table2[[#This Row],[LoanID]],Table1[G-L ID],Table1[ManagerCode],-99)</f>
        <v>119</v>
      </c>
      <c r="T6057"/>
    </row>
    <row r="6058" spans="1:20" x14ac:dyDescent="0.25">
      <c r="A6058">
        <v>20170930</v>
      </c>
      <c r="B6058">
        <v>2017</v>
      </c>
      <c r="C6058">
        <v>9</v>
      </c>
      <c r="D6058">
        <v>1</v>
      </c>
      <c r="E6058">
        <v>12270</v>
      </c>
      <c r="F6058">
        <v>195866.17</v>
      </c>
      <c r="G6058">
        <v>0</v>
      </c>
      <c r="H6058">
        <v>0</v>
      </c>
      <c r="I6058">
        <v>0</v>
      </c>
      <c r="J6058">
        <v>0</v>
      </c>
      <c r="K6058">
        <v>0</v>
      </c>
      <c r="L6058">
        <v>19902796.600000001</v>
      </c>
      <c r="M6058">
        <v>19902796.600000001</v>
      </c>
      <c r="N6058">
        <v>19902796.600000001</v>
      </c>
      <c r="O6058">
        <v>19902796.600000001</v>
      </c>
      <c r="P6058">
        <v>19902796.600000001</v>
      </c>
      <c r="Q6058">
        <v>19902796.600000001</v>
      </c>
      <c r="R6058" s="14">
        <f>_xlfn.XLOOKUP(Table2[[#This Row],[LoanID]],Table1[G-L ID],Table1[ManagerCode],-99)</f>
        <v>119</v>
      </c>
      <c r="T6058"/>
    </row>
    <row r="6059" spans="1:20" x14ac:dyDescent="0.25">
      <c r="A6059">
        <v>20170930</v>
      </c>
      <c r="B6059">
        <v>2017</v>
      </c>
      <c r="C6059">
        <v>9</v>
      </c>
      <c r="D6059">
        <v>1</v>
      </c>
      <c r="E6059">
        <v>12280</v>
      </c>
      <c r="F6059">
        <v>129396.73</v>
      </c>
      <c r="G6059">
        <v>0</v>
      </c>
      <c r="H6059">
        <v>0</v>
      </c>
      <c r="I6059">
        <v>0</v>
      </c>
      <c r="J6059">
        <v>0</v>
      </c>
      <c r="K6059">
        <v>0</v>
      </c>
      <c r="L6059">
        <v>12818750</v>
      </c>
      <c r="M6059">
        <v>12818750</v>
      </c>
      <c r="N6059">
        <v>12818750</v>
      </c>
      <c r="O6059">
        <v>12818750</v>
      </c>
      <c r="P6059">
        <v>12818750</v>
      </c>
      <c r="Q6059">
        <v>12818750</v>
      </c>
      <c r="R6059" s="14">
        <f>_xlfn.XLOOKUP(Table2[[#This Row],[LoanID]],Table1[G-L ID],Table1[ManagerCode],-99)</f>
        <v>119</v>
      </c>
      <c r="T6059"/>
    </row>
    <row r="6060" spans="1:20" x14ac:dyDescent="0.25">
      <c r="A6060">
        <v>20170930</v>
      </c>
      <c r="B6060">
        <v>2017</v>
      </c>
      <c r="C6060">
        <v>9</v>
      </c>
      <c r="D6060">
        <v>1</v>
      </c>
      <c r="E6060">
        <v>12290</v>
      </c>
      <c r="F6060">
        <v>221338.86</v>
      </c>
      <c r="G6060">
        <v>0</v>
      </c>
      <c r="H6060">
        <v>0</v>
      </c>
      <c r="I6060">
        <v>0</v>
      </c>
      <c r="J6060">
        <v>0</v>
      </c>
      <c r="K6060">
        <v>0</v>
      </c>
      <c r="L6060">
        <v>22750000</v>
      </c>
      <c r="M6060">
        <v>22750000</v>
      </c>
      <c r="N6060">
        <v>22750000</v>
      </c>
      <c r="O6060">
        <v>22750000</v>
      </c>
      <c r="P6060">
        <v>22750000</v>
      </c>
      <c r="Q6060">
        <v>22750000</v>
      </c>
      <c r="R6060" s="14">
        <f>_xlfn.XLOOKUP(Table2[[#This Row],[LoanID]],Table1[G-L ID],Table1[ManagerCode],-99)</f>
        <v>119</v>
      </c>
      <c r="T6060"/>
    </row>
    <row r="6061" spans="1:20" x14ac:dyDescent="0.25">
      <c r="A6061">
        <v>20170930</v>
      </c>
      <c r="B6061">
        <v>2017</v>
      </c>
      <c r="C6061">
        <v>9</v>
      </c>
      <c r="D6061">
        <v>1</v>
      </c>
      <c r="E6061">
        <v>12300</v>
      </c>
      <c r="F6061">
        <v>94607.44</v>
      </c>
      <c r="G6061">
        <v>0</v>
      </c>
      <c r="H6061">
        <v>0</v>
      </c>
      <c r="I6061">
        <v>0</v>
      </c>
      <c r="J6061">
        <v>0</v>
      </c>
      <c r="K6061">
        <v>0</v>
      </c>
      <c r="L6061">
        <v>10000000</v>
      </c>
      <c r="M6061">
        <v>10000000</v>
      </c>
      <c r="N6061">
        <v>10000000</v>
      </c>
      <c r="O6061">
        <v>10000000</v>
      </c>
      <c r="P6061">
        <v>10000000</v>
      </c>
      <c r="Q6061">
        <v>10000000</v>
      </c>
      <c r="R6061" s="14">
        <f>_xlfn.XLOOKUP(Table2[[#This Row],[LoanID]],Table1[G-L ID],Table1[ManagerCode],-99)</f>
        <v>119</v>
      </c>
      <c r="T6061"/>
    </row>
    <row r="6062" spans="1:20" x14ac:dyDescent="0.25">
      <c r="A6062">
        <v>20170930</v>
      </c>
      <c r="B6062">
        <v>2017</v>
      </c>
      <c r="C6062">
        <v>9</v>
      </c>
      <c r="D6062">
        <v>1</v>
      </c>
      <c r="E6062">
        <v>12310</v>
      </c>
      <c r="F6062">
        <v>135683.24</v>
      </c>
      <c r="G6062">
        <v>0</v>
      </c>
      <c r="H6062">
        <v>0</v>
      </c>
      <c r="I6062">
        <v>0</v>
      </c>
      <c r="J6062">
        <v>0</v>
      </c>
      <c r="K6062">
        <v>0</v>
      </c>
      <c r="L6062">
        <v>16375000</v>
      </c>
      <c r="M6062">
        <v>16375000</v>
      </c>
      <c r="N6062">
        <v>16375000</v>
      </c>
      <c r="O6062">
        <v>16375000</v>
      </c>
      <c r="P6062">
        <v>16375000</v>
      </c>
      <c r="Q6062">
        <v>16375000</v>
      </c>
      <c r="R6062" s="14">
        <f>_xlfn.XLOOKUP(Table2[[#This Row],[LoanID]],Table1[G-L ID],Table1[ManagerCode],-99)</f>
        <v>119</v>
      </c>
      <c r="T6062"/>
    </row>
    <row r="6063" spans="1:20" x14ac:dyDescent="0.25">
      <c r="A6063">
        <v>20170930</v>
      </c>
      <c r="B6063">
        <v>2017</v>
      </c>
      <c r="C6063">
        <v>9</v>
      </c>
      <c r="D6063">
        <v>1</v>
      </c>
      <c r="E6063">
        <v>12320</v>
      </c>
      <c r="F6063">
        <v>105598.81</v>
      </c>
      <c r="G6063">
        <v>0</v>
      </c>
      <c r="H6063">
        <v>0</v>
      </c>
      <c r="I6063">
        <v>0</v>
      </c>
      <c r="J6063">
        <v>0</v>
      </c>
      <c r="K6063">
        <v>0</v>
      </c>
      <c r="L6063">
        <v>11750000</v>
      </c>
      <c r="M6063">
        <v>11750000</v>
      </c>
      <c r="N6063">
        <v>11750000</v>
      </c>
      <c r="O6063">
        <v>11750000</v>
      </c>
      <c r="P6063">
        <v>11750000</v>
      </c>
      <c r="Q6063">
        <v>11750000</v>
      </c>
      <c r="R6063" s="14">
        <f>_xlfn.XLOOKUP(Table2[[#This Row],[LoanID]],Table1[G-L ID],Table1[ManagerCode],-99)</f>
        <v>119</v>
      </c>
      <c r="T6063"/>
    </row>
    <row r="6064" spans="1:20" x14ac:dyDescent="0.25">
      <c r="A6064">
        <v>20170930</v>
      </c>
      <c r="B6064">
        <v>2017</v>
      </c>
      <c r="C6064">
        <v>9</v>
      </c>
      <c r="D6064">
        <v>1</v>
      </c>
      <c r="E6064">
        <v>12330</v>
      </c>
      <c r="F6064">
        <v>206062.59</v>
      </c>
      <c r="G6064">
        <v>0</v>
      </c>
      <c r="H6064">
        <v>0</v>
      </c>
      <c r="I6064">
        <v>0</v>
      </c>
      <c r="J6064">
        <v>0</v>
      </c>
      <c r="K6064">
        <v>0</v>
      </c>
      <c r="L6064">
        <v>19976500</v>
      </c>
      <c r="M6064">
        <v>19976500</v>
      </c>
      <c r="N6064">
        <v>19976500</v>
      </c>
      <c r="O6064">
        <v>19976500</v>
      </c>
      <c r="P6064">
        <v>19976500</v>
      </c>
      <c r="Q6064">
        <v>19976500</v>
      </c>
      <c r="R6064" s="14">
        <f>_xlfn.XLOOKUP(Table2[[#This Row],[LoanID]],Table1[G-L ID],Table1[ManagerCode],-99)</f>
        <v>119</v>
      </c>
      <c r="T6064"/>
    </row>
    <row r="6065" spans="1:20" x14ac:dyDescent="0.25">
      <c r="A6065">
        <v>20170930</v>
      </c>
      <c r="B6065">
        <v>2017</v>
      </c>
      <c r="C6065">
        <v>9</v>
      </c>
      <c r="D6065">
        <v>1</v>
      </c>
      <c r="E6065">
        <v>12340</v>
      </c>
      <c r="F6065">
        <v>82640</v>
      </c>
      <c r="G6065">
        <v>0</v>
      </c>
      <c r="H6065">
        <v>0</v>
      </c>
      <c r="I6065">
        <v>0</v>
      </c>
      <c r="J6065">
        <v>0</v>
      </c>
      <c r="K6065">
        <v>0</v>
      </c>
      <c r="L6065">
        <v>24000000</v>
      </c>
      <c r="M6065">
        <v>24000000</v>
      </c>
      <c r="N6065">
        <v>12000000</v>
      </c>
      <c r="O6065">
        <v>12000000</v>
      </c>
      <c r="P6065">
        <v>24000000</v>
      </c>
      <c r="Q6065">
        <v>24000000</v>
      </c>
      <c r="R6065" s="14">
        <f>_xlfn.XLOOKUP(Table2[[#This Row],[LoanID]],Table1[G-L ID],Table1[ManagerCode],-99)</f>
        <v>183</v>
      </c>
      <c r="T6065"/>
    </row>
    <row r="6066" spans="1:20" x14ac:dyDescent="0.25">
      <c r="A6066">
        <v>20170930</v>
      </c>
      <c r="B6066">
        <v>2017</v>
      </c>
      <c r="C6066">
        <v>9</v>
      </c>
      <c r="D6066">
        <v>1</v>
      </c>
      <c r="E6066">
        <v>12350</v>
      </c>
      <c r="F6066">
        <v>159725</v>
      </c>
      <c r="G6066">
        <v>0</v>
      </c>
      <c r="H6066">
        <v>0</v>
      </c>
      <c r="I6066">
        <v>0</v>
      </c>
      <c r="J6066">
        <v>0</v>
      </c>
      <c r="K6066">
        <v>0</v>
      </c>
      <c r="L6066">
        <v>60000000</v>
      </c>
      <c r="M6066">
        <v>60000000</v>
      </c>
      <c r="N6066">
        <v>22500000</v>
      </c>
      <c r="O6066">
        <v>22500000</v>
      </c>
      <c r="P6066">
        <v>60000000</v>
      </c>
      <c r="Q6066">
        <v>60000000</v>
      </c>
      <c r="R6066" s="14">
        <f>_xlfn.XLOOKUP(Table2[[#This Row],[LoanID]],Table1[G-L ID],Table1[ManagerCode],-99)</f>
        <v>183</v>
      </c>
      <c r="T6066"/>
    </row>
    <row r="6067" spans="1:20" x14ac:dyDescent="0.25">
      <c r="A6067">
        <v>20170930</v>
      </c>
      <c r="B6067">
        <v>2017</v>
      </c>
      <c r="C6067">
        <v>9</v>
      </c>
      <c r="D6067">
        <v>1</v>
      </c>
      <c r="E6067">
        <v>12360</v>
      </c>
      <c r="F6067">
        <v>141501.85999999999</v>
      </c>
      <c r="G6067">
        <v>0</v>
      </c>
      <c r="H6067">
        <v>0</v>
      </c>
      <c r="I6067">
        <v>0</v>
      </c>
      <c r="J6067">
        <v>0</v>
      </c>
      <c r="K6067">
        <v>0</v>
      </c>
      <c r="L6067">
        <v>60000000</v>
      </c>
      <c r="M6067">
        <v>60000000</v>
      </c>
      <c r="N6067">
        <v>19000000</v>
      </c>
      <c r="O6067">
        <v>19000000</v>
      </c>
      <c r="P6067">
        <v>60000000</v>
      </c>
      <c r="Q6067">
        <v>60000000</v>
      </c>
      <c r="R6067" s="14">
        <f>_xlfn.XLOOKUP(Table2[[#This Row],[LoanID]],Table1[G-L ID],Table1[ManagerCode],-99)</f>
        <v>183</v>
      </c>
      <c r="T6067"/>
    </row>
    <row r="6068" spans="1:20" x14ac:dyDescent="0.25">
      <c r="A6068">
        <v>20170930</v>
      </c>
      <c r="B6068">
        <v>2017</v>
      </c>
      <c r="C6068">
        <v>9</v>
      </c>
      <c r="D6068">
        <v>1</v>
      </c>
      <c r="E6068">
        <v>12370</v>
      </c>
      <c r="F6068">
        <v>0</v>
      </c>
      <c r="G6068">
        <v>0</v>
      </c>
      <c r="H6068">
        <v>1040000</v>
      </c>
      <c r="I6068">
        <v>0</v>
      </c>
      <c r="J6068">
        <v>-104000000</v>
      </c>
      <c r="K6068">
        <v>60000000</v>
      </c>
      <c r="L6068">
        <v>0</v>
      </c>
      <c r="M6068">
        <v>104000000</v>
      </c>
      <c r="N6068">
        <v>0</v>
      </c>
      <c r="O6068">
        <v>44000000</v>
      </c>
      <c r="P6068">
        <v>0</v>
      </c>
      <c r="Q6068">
        <v>104000000</v>
      </c>
      <c r="R6068" s="14">
        <f>_xlfn.XLOOKUP(Table2[[#This Row],[LoanID]],Table1[G-L ID],Table1[ManagerCode],-99)</f>
        <v>183</v>
      </c>
      <c r="T6068"/>
    </row>
    <row r="6069" spans="1:20" x14ac:dyDescent="0.25">
      <c r="A6069">
        <v>20170930</v>
      </c>
      <c r="B6069">
        <v>2017</v>
      </c>
      <c r="C6069">
        <v>9</v>
      </c>
      <c r="D6069">
        <v>1</v>
      </c>
      <c r="E6069">
        <v>12380</v>
      </c>
      <c r="F6069">
        <v>130777.29</v>
      </c>
      <c r="G6069">
        <v>0</v>
      </c>
      <c r="H6069">
        <v>0</v>
      </c>
      <c r="I6069">
        <v>0</v>
      </c>
      <c r="J6069">
        <v>0</v>
      </c>
      <c r="K6069">
        <v>0</v>
      </c>
      <c r="L6069">
        <v>32500000</v>
      </c>
      <c r="M6069">
        <v>32500000</v>
      </c>
      <c r="N6069">
        <v>12350000</v>
      </c>
      <c r="O6069">
        <v>12350000</v>
      </c>
      <c r="P6069">
        <v>32500000</v>
      </c>
      <c r="Q6069">
        <v>32500000</v>
      </c>
      <c r="R6069" s="14">
        <f>_xlfn.XLOOKUP(Table2[[#This Row],[LoanID]],Table1[G-L ID],Table1[ManagerCode],-99)</f>
        <v>183</v>
      </c>
      <c r="T6069"/>
    </row>
    <row r="6070" spans="1:20" x14ac:dyDescent="0.25">
      <c r="A6070">
        <v>20170930</v>
      </c>
      <c r="B6070">
        <v>2017</v>
      </c>
      <c r="C6070">
        <v>9</v>
      </c>
      <c r="D6070">
        <v>1</v>
      </c>
      <c r="E6070">
        <v>12390</v>
      </c>
      <c r="F6070">
        <v>131763.57</v>
      </c>
      <c r="G6070">
        <v>243131.75</v>
      </c>
      <c r="H6070">
        <v>0</v>
      </c>
      <c r="I6070">
        <v>0</v>
      </c>
      <c r="J6070">
        <v>-3390976.11</v>
      </c>
      <c r="K6070">
        <v>0</v>
      </c>
      <c r="L6070">
        <v>24124355.920000002</v>
      </c>
      <c r="M6070">
        <v>27758463.780000001</v>
      </c>
      <c r="N6070">
        <v>24124355.920000002</v>
      </c>
      <c r="O6070">
        <v>27758463.780000001</v>
      </c>
      <c r="P6070">
        <v>24124355.920000002</v>
      </c>
      <c r="Q6070">
        <v>27758463.780000001</v>
      </c>
      <c r="R6070" s="14">
        <f>_xlfn.XLOOKUP(Table2[[#This Row],[LoanID]],Table1[G-L ID],Table1[ManagerCode],-99)</f>
        <v>183</v>
      </c>
      <c r="T6070"/>
    </row>
    <row r="6071" spans="1:20" x14ac:dyDescent="0.25">
      <c r="A6071">
        <v>20170930</v>
      </c>
      <c r="B6071">
        <v>2017</v>
      </c>
      <c r="C6071">
        <v>9</v>
      </c>
      <c r="D6071">
        <v>1</v>
      </c>
      <c r="E6071">
        <v>12400</v>
      </c>
      <c r="F6071">
        <v>0</v>
      </c>
      <c r="G6071">
        <v>20016.28</v>
      </c>
      <c r="H6071">
        <v>587000</v>
      </c>
      <c r="I6071">
        <v>0</v>
      </c>
      <c r="J6071">
        <v>-11085942.01</v>
      </c>
      <c r="K6071">
        <v>0</v>
      </c>
      <c r="L6071">
        <v>0</v>
      </c>
      <c r="M6071">
        <v>11105958.289999999</v>
      </c>
      <c r="N6071">
        <v>0</v>
      </c>
      <c r="O6071">
        <v>11105958.289999999</v>
      </c>
      <c r="P6071">
        <v>0</v>
      </c>
      <c r="Q6071">
        <v>11105958.289999999</v>
      </c>
      <c r="R6071" s="14">
        <f>_xlfn.XLOOKUP(Table2[[#This Row],[LoanID]],Table1[G-L ID],Table1[ManagerCode],-99)</f>
        <v>183</v>
      </c>
      <c r="T6071"/>
    </row>
    <row r="6072" spans="1:20" x14ac:dyDescent="0.25">
      <c r="A6072">
        <v>20170930</v>
      </c>
      <c r="B6072">
        <v>2017</v>
      </c>
      <c r="C6072">
        <v>9</v>
      </c>
      <c r="D6072">
        <v>1</v>
      </c>
      <c r="E6072">
        <v>12410</v>
      </c>
      <c r="F6072">
        <v>320931.21000000002</v>
      </c>
      <c r="G6072">
        <v>256744.95999999999</v>
      </c>
      <c r="H6072">
        <v>0</v>
      </c>
      <c r="I6072">
        <v>0</v>
      </c>
      <c r="J6072">
        <v>0</v>
      </c>
      <c r="K6072">
        <v>0</v>
      </c>
      <c r="L6072">
        <v>76253254.640000001</v>
      </c>
      <c r="M6072">
        <v>76507432.159999996</v>
      </c>
      <c r="N6072">
        <v>76253254.640000001</v>
      </c>
      <c r="O6072">
        <v>76507432.159999996</v>
      </c>
      <c r="P6072">
        <v>77023489.530000001</v>
      </c>
      <c r="Q6072">
        <v>77280234.480000004</v>
      </c>
      <c r="R6072" s="14">
        <f>_xlfn.XLOOKUP(Table2[[#This Row],[LoanID]],Table1[G-L ID],Table1[ManagerCode],-99)</f>
        <v>103</v>
      </c>
      <c r="T6072"/>
    </row>
    <row r="6073" spans="1:20" x14ac:dyDescent="0.25">
      <c r="A6073">
        <v>20170930</v>
      </c>
      <c r="B6073">
        <v>2017</v>
      </c>
      <c r="C6073">
        <v>9</v>
      </c>
      <c r="D6073">
        <v>1</v>
      </c>
      <c r="E6073">
        <v>12420</v>
      </c>
      <c r="F6073">
        <v>21519.26</v>
      </c>
      <c r="G6073">
        <v>0</v>
      </c>
      <c r="H6073">
        <v>0</v>
      </c>
      <c r="I6073">
        <v>0</v>
      </c>
      <c r="J6073">
        <v>-392706</v>
      </c>
      <c r="K6073">
        <v>0</v>
      </c>
      <c r="L6073">
        <v>2091159.45</v>
      </c>
      <c r="M6073">
        <v>2483865.4500000002</v>
      </c>
      <c r="N6073">
        <v>2091159.45</v>
      </c>
      <c r="O6073">
        <v>2483865.4500000002</v>
      </c>
      <c r="P6073">
        <v>2091159.45</v>
      </c>
      <c r="Q6073">
        <v>2483865.4500000002</v>
      </c>
      <c r="R6073" s="14">
        <f>_xlfn.XLOOKUP(Table2[[#This Row],[LoanID]],Table1[G-L ID],Table1[ManagerCode],-99)</f>
        <v>103</v>
      </c>
      <c r="T6073"/>
    </row>
    <row r="6074" spans="1:20" x14ac:dyDescent="0.25">
      <c r="A6074">
        <v>20170930</v>
      </c>
      <c r="B6074">
        <v>2017</v>
      </c>
      <c r="C6074">
        <v>9</v>
      </c>
      <c r="D6074">
        <v>1</v>
      </c>
      <c r="E6074">
        <v>12430</v>
      </c>
      <c r="F6074">
        <v>-56457.8</v>
      </c>
      <c r="G6074">
        <v>0</v>
      </c>
      <c r="H6074">
        <v>0</v>
      </c>
      <c r="I6074">
        <v>0</v>
      </c>
      <c r="J6074">
        <v>-1781974.59</v>
      </c>
      <c r="K6074">
        <v>0</v>
      </c>
      <c r="L6074">
        <v>5772027.9299999997</v>
      </c>
      <c r="M6074">
        <v>7528192.0300000003</v>
      </c>
      <c r="N6074">
        <v>5772027.9299999997</v>
      </c>
      <c r="O6074">
        <v>7528192.0300000003</v>
      </c>
      <c r="P6074">
        <v>6167228.2800000003</v>
      </c>
      <c r="Q6074">
        <v>7949202.8600000003</v>
      </c>
      <c r="R6074" s="14">
        <f>_xlfn.XLOOKUP(Table2[[#This Row],[LoanID]],Table1[G-L ID],Table1[ManagerCode],-99)</f>
        <v>103</v>
      </c>
      <c r="T6074"/>
    </row>
    <row r="6075" spans="1:20" x14ac:dyDescent="0.25">
      <c r="A6075">
        <v>20170930</v>
      </c>
      <c r="B6075">
        <v>2017</v>
      </c>
      <c r="C6075">
        <v>9</v>
      </c>
      <c r="D6075">
        <v>1</v>
      </c>
      <c r="E6075">
        <v>12440</v>
      </c>
      <c r="F6075">
        <v>36343.760000000002</v>
      </c>
      <c r="G6075">
        <v>0</v>
      </c>
      <c r="H6075">
        <v>0</v>
      </c>
      <c r="I6075">
        <v>0</v>
      </c>
      <c r="J6075">
        <v>0</v>
      </c>
      <c r="K6075">
        <v>47022.51</v>
      </c>
      <c r="L6075">
        <v>5137409.32</v>
      </c>
      <c r="M6075">
        <v>5040220.63</v>
      </c>
      <c r="N6075">
        <v>5137409.32</v>
      </c>
      <c r="O6075">
        <v>5040220.63</v>
      </c>
      <c r="P6075">
        <v>4361251.3499999996</v>
      </c>
      <c r="Q6075">
        <v>4314228.84</v>
      </c>
      <c r="R6075" s="14">
        <f>_xlfn.XLOOKUP(Table2[[#This Row],[LoanID]],Table1[G-L ID],Table1[ManagerCode],-99)</f>
        <v>103</v>
      </c>
      <c r="T6075"/>
    </row>
    <row r="6076" spans="1:20" x14ac:dyDescent="0.25">
      <c r="A6076">
        <v>20170930</v>
      </c>
      <c r="B6076">
        <v>2017</v>
      </c>
      <c r="C6076">
        <v>9</v>
      </c>
      <c r="D6076">
        <v>1</v>
      </c>
      <c r="E6076">
        <v>12590</v>
      </c>
      <c r="F6076">
        <v>76663.86</v>
      </c>
      <c r="G6076">
        <v>0</v>
      </c>
      <c r="H6076">
        <v>0</v>
      </c>
      <c r="I6076">
        <v>0</v>
      </c>
      <c r="J6076">
        <v>0</v>
      </c>
      <c r="K6076">
        <v>0</v>
      </c>
      <c r="L6076">
        <v>8500000</v>
      </c>
      <c r="M6076">
        <v>8500000</v>
      </c>
      <c r="N6076">
        <v>8500000</v>
      </c>
      <c r="O6076">
        <v>8500000</v>
      </c>
      <c r="P6076">
        <v>8500000</v>
      </c>
      <c r="Q6076">
        <v>8500000</v>
      </c>
      <c r="R6076" s="14">
        <f>_xlfn.XLOOKUP(Table2[[#This Row],[LoanID]],Table1[G-L ID],Table1[ManagerCode],-99)</f>
        <v>119</v>
      </c>
      <c r="T6076"/>
    </row>
    <row r="6077" spans="1:20" x14ac:dyDescent="0.25">
      <c r="A6077">
        <v>20170930</v>
      </c>
      <c r="B6077">
        <v>2017</v>
      </c>
      <c r="C6077">
        <v>9</v>
      </c>
      <c r="D6077">
        <v>1</v>
      </c>
      <c r="E6077">
        <v>12600</v>
      </c>
      <c r="F6077">
        <v>227655.6</v>
      </c>
      <c r="G6077">
        <v>0</v>
      </c>
      <c r="H6077">
        <v>0</v>
      </c>
      <c r="I6077">
        <v>0</v>
      </c>
      <c r="J6077">
        <v>0</v>
      </c>
      <c r="K6077">
        <v>0</v>
      </c>
      <c r="L6077">
        <v>27750000</v>
      </c>
      <c r="M6077">
        <v>27750000</v>
      </c>
      <c r="N6077">
        <v>27750000</v>
      </c>
      <c r="O6077">
        <v>27750000</v>
      </c>
      <c r="P6077">
        <v>27750000</v>
      </c>
      <c r="Q6077">
        <v>27750000</v>
      </c>
      <c r="R6077" s="14">
        <f>_xlfn.XLOOKUP(Table2[[#This Row],[LoanID]],Table1[G-L ID],Table1[ManagerCode],-99)</f>
        <v>119</v>
      </c>
      <c r="T6077"/>
    </row>
    <row r="6078" spans="1:20" x14ac:dyDescent="0.25">
      <c r="A6078">
        <v>20170930</v>
      </c>
      <c r="B6078">
        <v>2017</v>
      </c>
      <c r="C6078">
        <v>9</v>
      </c>
      <c r="D6078">
        <v>1</v>
      </c>
      <c r="E6078">
        <v>12610</v>
      </c>
      <c r="F6078">
        <v>9228.26</v>
      </c>
      <c r="G6078">
        <v>0</v>
      </c>
      <c r="H6078">
        <v>227630</v>
      </c>
      <c r="I6078">
        <v>0</v>
      </c>
      <c r="J6078">
        <v>-22210000</v>
      </c>
      <c r="K6078">
        <v>0</v>
      </c>
      <c r="L6078">
        <v>0</v>
      </c>
      <c r="M6078">
        <v>22210000</v>
      </c>
      <c r="N6078">
        <v>0</v>
      </c>
      <c r="O6078">
        <v>22210000</v>
      </c>
      <c r="P6078">
        <v>0</v>
      </c>
      <c r="Q6078">
        <v>22210000</v>
      </c>
      <c r="R6078" s="14">
        <f>_xlfn.XLOOKUP(Table2[[#This Row],[LoanID]],Table1[G-L ID],Table1[ManagerCode],-99)</f>
        <v>119</v>
      </c>
      <c r="T6078"/>
    </row>
    <row r="6079" spans="1:20" x14ac:dyDescent="0.25">
      <c r="A6079">
        <v>20170930</v>
      </c>
      <c r="B6079">
        <v>2017</v>
      </c>
      <c r="C6079">
        <v>9</v>
      </c>
      <c r="D6079">
        <v>1</v>
      </c>
      <c r="E6079">
        <v>12620</v>
      </c>
      <c r="F6079">
        <v>140723.45000000001</v>
      </c>
      <c r="G6079">
        <v>0</v>
      </c>
      <c r="H6079">
        <v>460200</v>
      </c>
      <c r="I6079">
        <v>0</v>
      </c>
      <c r="J6079">
        <v>-37520000</v>
      </c>
      <c r="K6079">
        <v>0</v>
      </c>
      <c r="L6079">
        <v>0</v>
      </c>
      <c r="M6079">
        <v>37520000</v>
      </c>
      <c r="N6079">
        <v>0</v>
      </c>
      <c r="O6079">
        <v>37520000</v>
      </c>
      <c r="P6079">
        <v>0</v>
      </c>
      <c r="Q6079">
        <v>37520000</v>
      </c>
      <c r="R6079" s="14">
        <f>_xlfn.XLOOKUP(Table2[[#This Row],[LoanID]],Table1[G-L ID],Table1[ManagerCode],-99)</f>
        <v>119</v>
      </c>
      <c r="T6079"/>
    </row>
    <row r="6080" spans="1:20" x14ac:dyDescent="0.25">
      <c r="A6080">
        <v>20170930</v>
      </c>
      <c r="B6080">
        <v>2017</v>
      </c>
      <c r="C6080">
        <v>9</v>
      </c>
      <c r="D6080">
        <v>1</v>
      </c>
      <c r="E6080">
        <v>12630</v>
      </c>
      <c r="F6080">
        <v>38065.74</v>
      </c>
      <c r="G6080">
        <v>0</v>
      </c>
      <c r="H6080">
        <v>144000</v>
      </c>
      <c r="I6080">
        <v>0</v>
      </c>
      <c r="J6080">
        <v>-12797000</v>
      </c>
      <c r="K6080">
        <v>0</v>
      </c>
      <c r="L6080">
        <v>0</v>
      </c>
      <c r="M6080">
        <v>12797000</v>
      </c>
      <c r="N6080">
        <v>0</v>
      </c>
      <c r="O6080">
        <v>12797000</v>
      </c>
      <c r="P6080">
        <v>0</v>
      </c>
      <c r="Q6080">
        <v>12797000</v>
      </c>
      <c r="R6080" s="14">
        <f>_xlfn.XLOOKUP(Table2[[#This Row],[LoanID]],Table1[G-L ID],Table1[ManagerCode],-99)</f>
        <v>119</v>
      </c>
      <c r="T6080"/>
    </row>
    <row r="6081" spans="1:20" x14ac:dyDescent="0.25">
      <c r="A6081">
        <v>20170930</v>
      </c>
      <c r="B6081">
        <v>2017</v>
      </c>
      <c r="C6081">
        <v>9</v>
      </c>
      <c r="D6081">
        <v>1</v>
      </c>
      <c r="E6081">
        <v>12640</v>
      </c>
      <c r="F6081">
        <v>69277.490000000005</v>
      </c>
      <c r="G6081">
        <v>0</v>
      </c>
      <c r="H6081">
        <v>0</v>
      </c>
      <c r="I6081">
        <v>0</v>
      </c>
      <c r="J6081">
        <v>0</v>
      </c>
      <c r="K6081">
        <v>0</v>
      </c>
      <c r="L6081">
        <v>6903000</v>
      </c>
      <c r="M6081">
        <v>6903000</v>
      </c>
      <c r="N6081">
        <v>6903000</v>
      </c>
      <c r="O6081">
        <v>6903000</v>
      </c>
      <c r="P6081">
        <v>6903000</v>
      </c>
      <c r="Q6081">
        <v>6903000</v>
      </c>
      <c r="R6081" s="14">
        <f>_xlfn.XLOOKUP(Table2[[#This Row],[LoanID]],Table1[G-L ID],Table1[ManagerCode],-99)</f>
        <v>119</v>
      </c>
      <c r="T6081"/>
    </row>
    <row r="6082" spans="1:20" x14ac:dyDescent="0.25">
      <c r="A6082">
        <v>20170930</v>
      </c>
      <c r="B6082">
        <v>2017</v>
      </c>
      <c r="C6082">
        <v>9</v>
      </c>
      <c r="D6082">
        <v>1</v>
      </c>
      <c r="E6082">
        <v>12750</v>
      </c>
      <c r="F6082">
        <v>-24521.23</v>
      </c>
      <c r="G6082">
        <v>85564.37</v>
      </c>
      <c r="H6082">
        <v>0</v>
      </c>
      <c r="I6082">
        <v>0</v>
      </c>
      <c r="J6082">
        <v>0</v>
      </c>
      <c r="K6082">
        <v>0</v>
      </c>
      <c r="L6082">
        <v>21000000</v>
      </c>
      <c r="M6082">
        <v>21085564.370000001</v>
      </c>
      <c r="N6082">
        <v>10500000</v>
      </c>
      <c r="O6082">
        <v>10585564.369999999</v>
      </c>
      <c r="P6082">
        <v>21000000</v>
      </c>
      <c r="Q6082">
        <v>21085564.370000001</v>
      </c>
      <c r="R6082" s="14">
        <f>_xlfn.XLOOKUP(Table2[[#This Row],[LoanID]],Table1[G-L ID],Table1[ManagerCode],-99)</f>
        <v>236</v>
      </c>
      <c r="T6082"/>
    </row>
    <row r="6083" spans="1:20" x14ac:dyDescent="0.25">
      <c r="A6083">
        <v>20170930</v>
      </c>
      <c r="B6083">
        <v>2017</v>
      </c>
      <c r="C6083">
        <v>9</v>
      </c>
      <c r="D6083">
        <v>1</v>
      </c>
      <c r="E6083">
        <v>13010</v>
      </c>
      <c r="F6083">
        <v>690410.96</v>
      </c>
      <c r="G6083">
        <v>0</v>
      </c>
      <c r="H6083">
        <v>0</v>
      </c>
      <c r="I6083">
        <v>0</v>
      </c>
      <c r="J6083">
        <v>0</v>
      </c>
      <c r="K6083">
        <v>0</v>
      </c>
      <c r="L6083">
        <v>199500000</v>
      </c>
      <c r="M6083">
        <v>199500000</v>
      </c>
      <c r="N6083">
        <v>199500000</v>
      </c>
      <c r="O6083">
        <v>199500000</v>
      </c>
      <c r="P6083">
        <v>210000000</v>
      </c>
      <c r="Q6083">
        <v>210000000</v>
      </c>
      <c r="R6083" s="14">
        <f>_xlfn.XLOOKUP(Table2[[#This Row],[LoanID]],Table1[G-L ID],Table1[ManagerCode],-99)</f>
        <v>103</v>
      </c>
      <c r="T6083"/>
    </row>
    <row r="6084" spans="1:20" x14ac:dyDescent="0.25">
      <c r="A6084">
        <v>20170930</v>
      </c>
      <c r="B6084">
        <v>2017</v>
      </c>
      <c r="C6084">
        <v>9</v>
      </c>
      <c r="D6084">
        <v>1</v>
      </c>
      <c r="E6084">
        <v>13020</v>
      </c>
      <c r="F6084">
        <v>33225.81</v>
      </c>
      <c r="G6084">
        <v>0</v>
      </c>
      <c r="H6084">
        <v>0</v>
      </c>
      <c r="I6084">
        <v>0</v>
      </c>
      <c r="J6084">
        <v>-1291719.5900000001</v>
      </c>
      <c r="K6084">
        <v>0</v>
      </c>
      <c r="L6084">
        <v>3215401.28</v>
      </c>
      <c r="M6084">
        <v>4507120.87</v>
      </c>
      <c r="N6084">
        <v>3215401.28</v>
      </c>
      <c r="O6084">
        <v>4507120.87</v>
      </c>
      <c r="P6084">
        <v>3215401.28</v>
      </c>
      <c r="Q6084">
        <v>4507120.87</v>
      </c>
      <c r="R6084" s="14">
        <f>_xlfn.XLOOKUP(Table2[[#This Row],[LoanID]],Table1[G-L ID],Table1[ManagerCode],-99)</f>
        <v>103</v>
      </c>
      <c r="T6084"/>
    </row>
    <row r="6085" spans="1:20" x14ac:dyDescent="0.25">
      <c r="A6085">
        <v>20170930</v>
      </c>
      <c r="B6085">
        <v>2017</v>
      </c>
      <c r="C6085">
        <v>9</v>
      </c>
      <c r="D6085">
        <v>1</v>
      </c>
      <c r="E6085">
        <v>13600</v>
      </c>
      <c r="F6085">
        <v>379029.03</v>
      </c>
      <c r="G6085">
        <v>0</v>
      </c>
      <c r="H6085">
        <v>0</v>
      </c>
      <c r="I6085">
        <v>0</v>
      </c>
      <c r="J6085">
        <v>0</v>
      </c>
      <c r="K6085">
        <v>0</v>
      </c>
      <c r="L6085">
        <v>45970000</v>
      </c>
      <c r="M6085">
        <v>45970000</v>
      </c>
      <c r="N6085">
        <v>45970000</v>
      </c>
      <c r="O6085">
        <v>45970000</v>
      </c>
      <c r="P6085">
        <v>45970000</v>
      </c>
      <c r="Q6085">
        <v>45970000</v>
      </c>
      <c r="R6085" s="14">
        <f>_xlfn.XLOOKUP(Table2[[#This Row],[LoanID]],Table1[G-L ID],Table1[ManagerCode],-99)</f>
        <v>298</v>
      </c>
      <c r="T6085"/>
    </row>
    <row r="6086" spans="1:20" x14ac:dyDescent="0.25">
      <c r="A6086">
        <v>20170930</v>
      </c>
      <c r="B6086">
        <v>2017</v>
      </c>
      <c r="C6086">
        <v>9</v>
      </c>
      <c r="D6086">
        <v>1</v>
      </c>
      <c r="E6086">
        <v>13610</v>
      </c>
      <c r="F6086">
        <v>63291.67</v>
      </c>
      <c r="G6086">
        <v>0</v>
      </c>
      <c r="H6086">
        <v>0</v>
      </c>
      <c r="I6086">
        <v>0</v>
      </c>
      <c r="J6086">
        <v>0</v>
      </c>
      <c r="K6086">
        <v>0</v>
      </c>
      <c r="L6086">
        <v>10500000</v>
      </c>
      <c r="M6086">
        <v>10500000</v>
      </c>
      <c r="N6086">
        <v>10500000</v>
      </c>
      <c r="O6086">
        <v>10500000</v>
      </c>
      <c r="P6086">
        <v>10500000</v>
      </c>
      <c r="Q6086">
        <v>10500000</v>
      </c>
      <c r="R6086" s="14">
        <f>_xlfn.XLOOKUP(Table2[[#This Row],[LoanID]],Table1[G-L ID],Table1[ManagerCode],-99)</f>
        <v>298</v>
      </c>
      <c r="T6086"/>
    </row>
    <row r="6087" spans="1:20" x14ac:dyDescent="0.25">
      <c r="A6087">
        <v>20170930</v>
      </c>
      <c r="B6087">
        <v>2017</v>
      </c>
      <c r="C6087">
        <v>9</v>
      </c>
      <c r="D6087">
        <v>1</v>
      </c>
      <c r="E6087">
        <v>13620</v>
      </c>
      <c r="F6087">
        <v>317620.83</v>
      </c>
      <c r="G6087">
        <v>0</v>
      </c>
      <c r="H6087">
        <v>0</v>
      </c>
      <c r="I6087">
        <v>0</v>
      </c>
      <c r="J6087">
        <v>0</v>
      </c>
      <c r="K6087">
        <v>0</v>
      </c>
      <c r="L6087">
        <v>50000000</v>
      </c>
      <c r="M6087">
        <v>50000000</v>
      </c>
      <c r="N6087">
        <v>50000000</v>
      </c>
      <c r="O6087">
        <v>50000000</v>
      </c>
      <c r="P6087">
        <v>50000000</v>
      </c>
      <c r="Q6087">
        <v>50000000</v>
      </c>
      <c r="R6087" s="14">
        <f>_xlfn.XLOOKUP(Table2[[#This Row],[LoanID]],Table1[G-L ID],Table1[ManagerCode],-99)</f>
        <v>298</v>
      </c>
      <c r="T6087"/>
    </row>
    <row r="6088" spans="1:20" x14ac:dyDescent="0.25">
      <c r="A6088">
        <v>20170930</v>
      </c>
      <c r="B6088">
        <v>2017</v>
      </c>
      <c r="C6088">
        <v>9</v>
      </c>
      <c r="D6088">
        <v>1</v>
      </c>
      <c r="E6088">
        <v>13630</v>
      </c>
      <c r="F6088">
        <v>211458.33</v>
      </c>
      <c r="G6088">
        <v>0</v>
      </c>
      <c r="H6088">
        <v>0</v>
      </c>
      <c r="I6088">
        <v>0</v>
      </c>
      <c r="J6088">
        <v>0</v>
      </c>
      <c r="K6088">
        <v>0</v>
      </c>
      <c r="L6088">
        <v>33569646.990000002</v>
      </c>
      <c r="M6088">
        <v>33569646.990000002</v>
      </c>
      <c r="N6088">
        <v>33569646.990000002</v>
      </c>
      <c r="O6088">
        <v>33569646.990000002</v>
      </c>
      <c r="P6088">
        <v>35000000</v>
      </c>
      <c r="Q6088">
        <v>35000000</v>
      </c>
      <c r="R6088" s="14">
        <f>_xlfn.XLOOKUP(Table2[[#This Row],[LoanID]],Table1[G-L ID],Table1[ManagerCode],-99)</f>
        <v>298</v>
      </c>
      <c r="T6088"/>
    </row>
    <row r="6089" spans="1:20" x14ac:dyDescent="0.25">
      <c r="A6089">
        <v>20170930</v>
      </c>
      <c r="B6089">
        <v>2017</v>
      </c>
      <c r="C6089">
        <v>9</v>
      </c>
      <c r="D6089">
        <v>1</v>
      </c>
      <c r="E6089">
        <v>13640</v>
      </c>
      <c r="F6089">
        <v>226983.51</v>
      </c>
      <c r="G6089">
        <v>0</v>
      </c>
      <c r="H6089">
        <v>0</v>
      </c>
      <c r="I6089">
        <v>0</v>
      </c>
      <c r="J6089">
        <v>0</v>
      </c>
      <c r="K6089">
        <v>0</v>
      </c>
      <c r="L6089">
        <v>30125000</v>
      </c>
      <c r="M6089">
        <v>30125000</v>
      </c>
      <c r="N6089">
        <v>30125000</v>
      </c>
      <c r="O6089">
        <v>30125000</v>
      </c>
      <c r="P6089">
        <v>30125000</v>
      </c>
      <c r="Q6089">
        <v>30125000</v>
      </c>
      <c r="R6089" s="14">
        <f>_xlfn.XLOOKUP(Table2[[#This Row],[LoanID]],Table1[G-L ID],Table1[ManagerCode],-99)</f>
        <v>298</v>
      </c>
      <c r="T6089"/>
    </row>
    <row r="6090" spans="1:20" x14ac:dyDescent="0.25">
      <c r="A6090">
        <v>20170930</v>
      </c>
      <c r="B6090">
        <v>2017</v>
      </c>
      <c r="C6090">
        <v>9</v>
      </c>
      <c r="D6090">
        <v>1</v>
      </c>
      <c r="E6090">
        <v>13650</v>
      </c>
      <c r="F6090">
        <v>223888.89</v>
      </c>
      <c r="G6090">
        <v>0</v>
      </c>
      <c r="H6090">
        <v>0</v>
      </c>
      <c r="I6090">
        <v>0</v>
      </c>
      <c r="J6090">
        <v>0</v>
      </c>
      <c r="K6090">
        <v>0</v>
      </c>
      <c r="L6090">
        <v>40000000</v>
      </c>
      <c r="M6090">
        <v>40000000</v>
      </c>
      <c r="N6090">
        <v>40000000</v>
      </c>
      <c r="O6090">
        <v>40000000</v>
      </c>
      <c r="P6090">
        <v>40000000</v>
      </c>
      <c r="Q6090">
        <v>40000000</v>
      </c>
      <c r="R6090" s="14">
        <f>_xlfn.XLOOKUP(Table2[[#This Row],[LoanID]],Table1[G-L ID],Table1[ManagerCode],-99)</f>
        <v>298</v>
      </c>
      <c r="T6090"/>
    </row>
    <row r="6091" spans="1:20" x14ac:dyDescent="0.25">
      <c r="A6091">
        <v>20170930</v>
      </c>
      <c r="B6091">
        <v>2017</v>
      </c>
      <c r="C6091">
        <v>9</v>
      </c>
      <c r="D6091">
        <v>1</v>
      </c>
      <c r="E6091">
        <v>13660</v>
      </c>
      <c r="F6091">
        <v>117972.22</v>
      </c>
      <c r="G6091">
        <v>0</v>
      </c>
      <c r="H6091">
        <v>0</v>
      </c>
      <c r="I6091">
        <v>0</v>
      </c>
      <c r="J6091">
        <v>0</v>
      </c>
      <c r="K6091">
        <v>0</v>
      </c>
      <c r="L6091">
        <v>20000000</v>
      </c>
      <c r="M6091">
        <v>20000000</v>
      </c>
      <c r="N6091">
        <v>20000000</v>
      </c>
      <c r="O6091">
        <v>20000000</v>
      </c>
      <c r="P6091">
        <v>20000000</v>
      </c>
      <c r="Q6091">
        <v>20000000</v>
      </c>
      <c r="R6091" s="14">
        <f>_xlfn.XLOOKUP(Table2[[#This Row],[LoanID]],Table1[G-L ID],Table1[ManagerCode],-99)</f>
        <v>298</v>
      </c>
      <c r="T6091"/>
    </row>
    <row r="6092" spans="1:20" x14ac:dyDescent="0.25">
      <c r="A6092">
        <v>20170930</v>
      </c>
      <c r="B6092">
        <v>2017</v>
      </c>
      <c r="C6092">
        <v>9</v>
      </c>
      <c r="D6092">
        <v>1</v>
      </c>
      <c r="E6092">
        <v>13670</v>
      </c>
      <c r="F6092">
        <v>314101.05</v>
      </c>
      <c r="G6092">
        <v>0</v>
      </c>
      <c r="H6092">
        <v>0</v>
      </c>
      <c r="I6092">
        <v>0</v>
      </c>
      <c r="J6092">
        <v>0</v>
      </c>
      <c r="K6092">
        <v>0</v>
      </c>
      <c r="L6092">
        <v>37322264.049999997</v>
      </c>
      <c r="M6092">
        <v>37322264.049999997</v>
      </c>
      <c r="N6092">
        <v>37322264.049999997</v>
      </c>
      <c r="O6092">
        <v>37322264.049999997</v>
      </c>
      <c r="P6092">
        <v>37500000</v>
      </c>
      <c r="Q6092">
        <v>37500000</v>
      </c>
      <c r="R6092" s="14">
        <f>_xlfn.XLOOKUP(Table2[[#This Row],[LoanID]],Table1[G-L ID],Table1[ManagerCode],-99)</f>
        <v>298</v>
      </c>
      <c r="T6092"/>
    </row>
    <row r="6093" spans="1:20" x14ac:dyDescent="0.25">
      <c r="A6093">
        <v>20170930</v>
      </c>
      <c r="B6093">
        <v>2017</v>
      </c>
      <c r="C6093">
        <v>9</v>
      </c>
      <c r="D6093">
        <v>1</v>
      </c>
      <c r="E6093">
        <v>13680</v>
      </c>
      <c r="F6093">
        <v>155968.75</v>
      </c>
      <c r="G6093">
        <v>0</v>
      </c>
      <c r="H6093">
        <v>0</v>
      </c>
      <c r="I6093">
        <v>0</v>
      </c>
      <c r="J6093">
        <v>0</v>
      </c>
      <c r="K6093">
        <v>0</v>
      </c>
      <c r="L6093">
        <v>17989534.25</v>
      </c>
      <c r="M6093">
        <v>17989534.25</v>
      </c>
      <c r="N6093">
        <v>17989534.25</v>
      </c>
      <c r="O6093">
        <v>17989534.25</v>
      </c>
      <c r="P6093">
        <v>18000000</v>
      </c>
      <c r="Q6093">
        <v>18000000</v>
      </c>
      <c r="R6093" s="14">
        <f>_xlfn.XLOOKUP(Table2[[#This Row],[LoanID]],Table1[G-L ID],Table1[ManagerCode],-99)</f>
        <v>298</v>
      </c>
      <c r="T6093"/>
    </row>
    <row r="6094" spans="1:20" x14ac:dyDescent="0.25">
      <c r="A6094">
        <v>20170930</v>
      </c>
      <c r="B6094">
        <v>2017</v>
      </c>
      <c r="C6094">
        <v>9</v>
      </c>
      <c r="D6094">
        <v>1</v>
      </c>
      <c r="E6094">
        <v>13690</v>
      </c>
      <c r="F6094">
        <v>133472.22</v>
      </c>
      <c r="G6094">
        <v>0</v>
      </c>
      <c r="H6094">
        <v>0</v>
      </c>
      <c r="I6094">
        <v>0</v>
      </c>
      <c r="J6094">
        <v>0</v>
      </c>
      <c r="K6094">
        <v>0</v>
      </c>
      <c r="L6094">
        <v>18960334.350000001</v>
      </c>
      <c r="M6094">
        <v>18960334.350000001</v>
      </c>
      <c r="N6094">
        <v>18960334.350000001</v>
      </c>
      <c r="O6094">
        <v>18960334.350000001</v>
      </c>
      <c r="P6094">
        <v>20000000</v>
      </c>
      <c r="Q6094">
        <v>20000000</v>
      </c>
      <c r="R6094" s="14">
        <f>_xlfn.XLOOKUP(Table2[[#This Row],[LoanID]],Table1[G-L ID],Table1[ManagerCode],-99)</f>
        <v>298</v>
      </c>
      <c r="T6094"/>
    </row>
    <row r="6095" spans="1:20" x14ac:dyDescent="0.25">
      <c r="A6095">
        <v>20170930</v>
      </c>
      <c r="B6095">
        <v>2017</v>
      </c>
      <c r="C6095">
        <v>9</v>
      </c>
      <c r="D6095">
        <v>1</v>
      </c>
      <c r="E6095">
        <v>14670</v>
      </c>
      <c r="F6095">
        <v>128767.5</v>
      </c>
      <c r="G6095">
        <v>0</v>
      </c>
      <c r="H6095">
        <v>0</v>
      </c>
      <c r="I6095">
        <v>0</v>
      </c>
      <c r="J6095">
        <v>0</v>
      </c>
      <c r="K6095">
        <v>0</v>
      </c>
      <c r="L6095">
        <v>29197500</v>
      </c>
      <c r="M6095">
        <v>29197500</v>
      </c>
      <c r="N6095">
        <v>29197500</v>
      </c>
      <c r="O6095">
        <v>29197500</v>
      </c>
      <c r="P6095">
        <v>29500000</v>
      </c>
      <c r="Q6095">
        <v>29500000</v>
      </c>
      <c r="R6095" s="14">
        <f>_xlfn.XLOOKUP(Table2[[#This Row],[LoanID]],Table1[G-L ID],Table1[ManagerCode],-99)</f>
        <v>220</v>
      </c>
      <c r="T6095"/>
    </row>
    <row r="6096" spans="1:20" x14ac:dyDescent="0.25">
      <c r="A6096">
        <v>20170930</v>
      </c>
      <c r="B6096">
        <v>2017</v>
      </c>
      <c r="C6096">
        <v>9</v>
      </c>
      <c r="D6096">
        <v>1</v>
      </c>
      <c r="E6096">
        <v>15030</v>
      </c>
      <c r="F6096">
        <v>76909.8</v>
      </c>
      <c r="G6096">
        <v>0</v>
      </c>
      <c r="H6096">
        <v>379877.03</v>
      </c>
      <c r="I6096">
        <v>0</v>
      </c>
      <c r="J6096">
        <v>-35475000</v>
      </c>
      <c r="K6096">
        <v>23829336.780000001</v>
      </c>
      <c r="L6096">
        <v>0</v>
      </c>
      <c r="M6096">
        <v>35105675</v>
      </c>
      <c r="N6096">
        <v>0</v>
      </c>
      <c r="O6096">
        <v>11276338.220000001</v>
      </c>
      <c r="P6096">
        <v>0</v>
      </c>
      <c r="Q6096">
        <v>35475000</v>
      </c>
      <c r="R6096" s="14">
        <f>_xlfn.XLOOKUP(Table2[[#This Row],[LoanID]],Table1[G-L ID],Table1[ManagerCode],-99)</f>
        <v>220</v>
      </c>
      <c r="T6096"/>
    </row>
    <row r="6097" spans="1:20" x14ac:dyDescent="0.25">
      <c r="A6097">
        <v>20170930</v>
      </c>
      <c r="B6097">
        <v>2017</v>
      </c>
      <c r="C6097">
        <v>9</v>
      </c>
      <c r="D6097">
        <v>1</v>
      </c>
      <c r="E6097">
        <v>15540</v>
      </c>
      <c r="F6097">
        <v>238745.21</v>
      </c>
      <c r="G6097">
        <v>-7701.46</v>
      </c>
      <c r="H6097">
        <v>0</v>
      </c>
      <c r="I6097">
        <v>-2260.42</v>
      </c>
      <c r="J6097">
        <v>0</v>
      </c>
      <c r="K6097">
        <v>0</v>
      </c>
      <c r="L6097">
        <v>52738745.210000001</v>
      </c>
      <c r="M6097">
        <v>52731043.75</v>
      </c>
      <c r="N6097">
        <v>52738745.210000001</v>
      </c>
      <c r="O6097">
        <v>52731043.75</v>
      </c>
      <c r="P6097">
        <v>52738745.210000001</v>
      </c>
      <c r="Q6097">
        <v>52731043.75</v>
      </c>
      <c r="R6097" s="14">
        <f>_xlfn.XLOOKUP(Table2[[#This Row],[LoanID]],Table1[G-L ID],Table1[ManagerCode],-99)</f>
        <v>212</v>
      </c>
      <c r="T6097"/>
    </row>
    <row r="6098" spans="1:20" x14ac:dyDescent="0.25">
      <c r="A6098">
        <v>20170930</v>
      </c>
      <c r="B6098">
        <v>2017</v>
      </c>
      <c r="C6098">
        <v>9</v>
      </c>
      <c r="D6098">
        <v>1</v>
      </c>
      <c r="E6098">
        <v>15580</v>
      </c>
      <c r="F6098">
        <v>116620.88</v>
      </c>
      <c r="G6098">
        <v>-3814.23</v>
      </c>
      <c r="H6098">
        <v>0</v>
      </c>
      <c r="I6098">
        <v>0</v>
      </c>
      <c r="J6098">
        <v>0</v>
      </c>
      <c r="K6098">
        <v>6780.43</v>
      </c>
      <c r="L6098">
        <v>14757777.029999999</v>
      </c>
      <c r="M6098">
        <v>14747182.369999999</v>
      </c>
      <c r="N6098">
        <v>14757777.029999999</v>
      </c>
      <c r="O6098">
        <v>14747182.369999999</v>
      </c>
      <c r="P6098">
        <v>14757777.029999999</v>
      </c>
      <c r="Q6098">
        <v>14747182.369999999</v>
      </c>
      <c r="R6098" s="14">
        <f>_xlfn.XLOOKUP(Table2[[#This Row],[LoanID]],Table1[G-L ID],Table1[ManagerCode],-99)</f>
        <v>212</v>
      </c>
      <c r="T6098"/>
    </row>
    <row r="6099" spans="1:20" x14ac:dyDescent="0.25">
      <c r="A6099">
        <v>20170930</v>
      </c>
      <c r="B6099">
        <v>2017</v>
      </c>
      <c r="C6099">
        <v>9</v>
      </c>
      <c r="D6099">
        <v>1</v>
      </c>
      <c r="E6099">
        <v>15620</v>
      </c>
      <c r="F6099">
        <v>0</v>
      </c>
      <c r="G6099">
        <v>265265</v>
      </c>
      <c r="H6099">
        <v>0</v>
      </c>
      <c r="I6099">
        <v>0</v>
      </c>
      <c r="J6099">
        <v>0</v>
      </c>
      <c r="K6099">
        <v>0</v>
      </c>
      <c r="L6099">
        <v>78000000</v>
      </c>
      <c r="M6099">
        <v>78265265</v>
      </c>
      <c r="N6099">
        <v>78000000</v>
      </c>
      <c r="O6099">
        <v>78265265</v>
      </c>
      <c r="P6099">
        <v>78000000</v>
      </c>
      <c r="Q6099">
        <v>78265265</v>
      </c>
      <c r="R6099" s="14">
        <f>_xlfn.XLOOKUP(Table2[[#This Row],[LoanID]],Table1[G-L ID],Table1[ManagerCode],-99)</f>
        <v>212</v>
      </c>
      <c r="T6099"/>
    </row>
    <row r="6100" spans="1:20" x14ac:dyDescent="0.25">
      <c r="A6100">
        <v>20171031</v>
      </c>
      <c r="B6100">
        <v>2017</v>
      </c>
      <c r="C6100">
        <v>10</v>
      </c>
      <c r="D6100">
        <v>1</v>
      </c>
      <c r="E6100">
        <v>10010</v>
      </c>
      <c r="F6100">
        <v>179083.61</v>
      </c>
      <c r="G6100">
        <v>0</v>
      </c>
      <c r="H6100">
        <v>0</v>
      </c>
      <c r="I6100">
        <v>0</v>
      </c>
      <c r="J6100">
        <v>0</v>
      </c>
      <c r="K6100">
        <v>0</v>
      </c>
      <c r="L6100">
        <v>18978838.640000001</v>
      </c>
      <c r="M6100">
        <v>18978838.640000001</v>
      </c>
      <c r="N6100">
        <v>18978838.640000001</v>
      </c>
      <c r="O6100">
        <v>18978838.640000001</v>
      </c>
      <c r="P6100">
        <v>18978838.640000001</v>
      </c>
      <c r="Q6100">
        <v>18978838.640000001</v>
      </c>
      <c r="R6100" s="14">
        <f>_xlfn.XLOOKUP(Table2[[#This Row],[LoanID]],Table1[G-L ID],Table1[ManagerCode],-99)</f>
        <v>119</v>
      </c>
      <c r="T6100"/>
    </row>
    <row r="6101" spans="1:20" x14ac:dyDescent="0.25">
      <c r="A6101">
        <v>20171031</v>
      </c>
      <c r="B6101">
        <v>2017</v>
      </c>
      <c r="C6101">
        <v>10</v>
      </c>
      <c r="D6101">
        <v>1</v>
      </c>
      <c r="E6101">
        <v>10030</v>
      </c>
      <c r="F6101">
        <v>92460.5</v>
      </c>
      <c r="G6101">
        <v>0</v>
      </c>
      <c r="H6101">
        <v>0</v>
      </c>
      <c r="I6101">
        <v>0</v>
      </c>
      <c r="J6101">
        <v>0</v>
      </c>
      <c r="K6101">
        <v>0</v>
      </c>
      <c r="L6101">
        <v>7702901.8200000003</v>
      </c>
      <c r="M6101">
        <v>7702901.8200000003</v>
      </c>
      <c r="N6101">
        <v>7702901.8200000003</v>
      </c>
      <c r="O6101">
        <v>7702901.8200000003</v>
      </c>
      <c r="P6101">
        <v>7702901.8200000003</v>
      </c>
      <c r="Q6101">
        <v>7702901.8200000003</v>
      </c>
      <c r="R6101" s="14">
        <f>_xlfn.XLOOKUP(Table2[[#This Row],[LoanID]],Table1[G-L ID],Table1[ManagerCode],-99)</f>
        <v>119</v>
      </c>
      <c r="T6101"/>
    </row>
    <row r="6102" spans="1:20" x14ac:dyDescent="0.25">
      <c r="A6102">
        <v>20171031</v>
      </c>
      <c r="B6102">
        <v>2017</v>
      </c>
      <c r="C6102">
        <v>10</v>
      </c>
      <c r="D6102">
        <v>1</v>
      </c>
      <c r="E6102">
        <v>10040</v>
      </c>
      <c r="F6102">
        <v>46812.5</v>
      </c>
      <c r="G6102">
        <v>0</v>
      </c>
      <c r="H6102">
        <v>0</v>
      </c>
      <c r="I6102">
        <v>0</v>
      </c>
      <c r="J6102">
        <v>0</v>
      </c>
      <c r="K6102">
        <v>0</v>
      </c>
      <c r="L6102">
        <v>5000000</v>
      </c>
      <c r="M6102">
        <v>5000000</v>
      </c>
      <c r="N6102">
        <v>5000000</v>
      </c>
      <c r="O6102">
        <v>5000000</v>
      </c>
      <c r="P6102">
        <v>5000000</v>
      </c>
      <c r="Q6102">
        <v>5000000</v>
      </c>
      <c r="R6102" s="14">
        <f>_xlfn.XLOOKUP(Table2[[#This Row],[LoanID]],Table1[G-L ID],Table1[ManagerCode],-99)</f>
        <v>119</v>
      </c>
      <c r="T6102"/>
    </row>
    <row r="6103" spans="1:20" x14ac:dyDescent="0.25">
      <c r="A6103">
        <v>20171031</v>
      </c>
      <c r="B6103">
        <v>2017</v>
      </c>
      <c r="C6103">
        <v>10</v>
      </c>
      <c r="D6103">
        <v>1</v>
      </c>
      <c r="E6103">
        <v>10050</v>
      </c>
      <c r="F6103">
        <v>149013.89000000001</v>
      </c>
      <c r="G6103">
        <v>0</v>
      </c>
      <c r="H6103">
        <v>0</v>
      </c>
      <c r="I6103">
        <v>-69.45</v>
      </c>
      <c r="J6103">
        <v>0</v>
      </c>
      <c r="K6103">
        <v>0</v>
      </c>
      <c r="L6103">
        <v>37101387.060000002</v>
      </c>
      <c r="M6103">
        <v>36933523.030000001</v>
      </c>
      <c r="N6103">
        <v>37101387.060000002</v>
      </c>
      <c r="O6103">
        <v>36933523.030000001</v>
      </c>
      <c r="P6103">
        <v>33333334</v>
      </c>
      <c r="Q6103">
        <v>33333334</v>
      </c>
      <c r="R6103" s="14">
        <f>_xlfn.XLOOKUP(Table2[[#This Row],[LoanID]],Table1[G-L ID],Table1[ManagerCode],-99)</f>
        <v>103</v>
      </c>
      <c r="T6103"/>
    </row>
    <row r="6104" spans="1:20" x14ac:dyDescent="0.25">
      <c r="A6104">
        <v>20171031</v>
      </c>
      <c r="B6104">
        <v>2017</v>
      </c>
      <c r="C6104">
        <v>10</v>
      </c>
      <c r="D6104">
        <v>1</v>
      </c>
      <c r="E6104">
        <v>10070</v>
      </c>
      <c r="F6104">
        <v>65506.239999999998</v>
      </c>
      <c r="G6104">
        <v>0</v>
      </c>
      <c r="H6104">
        <v>0</v>
      </c>
      <c r="I6104">
        <v>0</v>
      </c>
      <c r="J6104">
        <v>0</v>
      </c>
      <c r="K6104">
        <v>0</v>
      </c>
      <c r="L6104">
        <v>5875000</v>
      </c>
      <c r="M6104">
        <v>5875000</v>
      </c>
      <c r="N6104">
        <v>5875000</v>
      </c>
      <c r="O6104">
        <v>5875000</v>
      </c>
      <c r="P6104">
        <v>5875000</v>
      </c>
      <c r="Q6104">
        <v>5875000</v>
      </c>
      <c r="R6104" s="14">
        <f>_xlfn.XLOOKUP(Table2[[#This Row],[LoanID]],Table1[G-L ID],Table1[ManagerCode],-99)</f>
        <v>119</v>
      </c>
      <c r="T6104"/>
    </row>
    <row r="6105" spans="1:20" x14ac:dyDescent="0.25">
      <c r="A6105">
        <v>20171031</v>
      </c>
      <c r="B6105">
        <v>2017</v>
      </c>
      <c r="C6105">
        <v>10</v>
      </c>
      <c r="D6105">
        <v>1</v>
      </c>
      <c r="E6105">
        <v>10110</v>
      </c>
      <c r="F6105">
        <v>148215</v>
      </c>
      <c r="G6105">
        <v>0</v>
      </c>
      <c r="H6105">
        <v>0</v>
      </c>
      <c r="I6105">
        <v>0</v>
      </c>
      <c r="J6105">
        <v>0</v>
      </c>
      <c r="K6105">
        <v>0</v>
      </c>
      <c r="L6105">
        <v>16400000</v>
      </c>
      <c r="M6105">
        <v>16400000</v>
      </c>
      <c r="N6105">
        <v>16400000</v>
      </c>
      <c r="O6105">
        <v>16400000</v>
      </c>
      <c r="P6105">
        <v>16400000</v>
      </c>
      <c r="Q6105">
        <v>16400000</v>
      </c>
      <c r="R6105" s="14">
        <f>_xlfn.XLOOKUP(Table2[[#This Row],[LoanID]],Table1[G-L ID],Table1[ManagerCode],-99)</f>
        <v>119</v>
      </c>
      <c r="T6105"/>
    </row>
    <row r="6106" spans="1:20" x14ac:dyDescent="0.25">
      <c r="A6106">
        <v>20171031</v>
      </c>
      <c r="B6106">
        <v>2017</v>
      </c>
      <c r="C6106">
        <v>10</v>
      </c>
      <c r="D6106">
        <v>1</v>
      </c>
      <c r="E6106">
        <v>10120</v>
      </c>
      <c r="F6106">
        <v>60808.73</v>
      </c>
      <c r="G6106">
        <v>66232.38</v>
      </c>
      <c r="H6106">
        <v>0</v>
      </c>
      <c r="I6106">
        <v>0</v>
      </c>
      <c r="J6106">
        <v>0</v>
      </c>
      <c r="K6106">
        <v>0</v>
      </c>
      <c r="L6106">
        <v>12247279.16</v>
      </c>
      <c r="M6106">
        <v>12313511.539999999</v>
      </c>
      <c r="N6106">
        <v>12247279.16</v>
      </c>
      <c r="O6106">
        <v>12313511.539999999</v>
      </c>
      <c r="P6106">
        <v>12247279.16</v>
      </c>
      <c r="Q6106">
        <v>12313511.539999999</v>
      </c>
      <c r="R6106" s="14">
        <f>_xlfn.XLOOKUP(Table2[[#This Row],[LoanID]],Table1[G-L ID],Table1[ManagerCode],-99)</f>
        <v>183</v>
      </c>
      <c r="T6106"/>
    </row>
    <row r="6107" spans="1:20" x14ac:dyDescent="0.25">
      <c r="A6107">
        <v>20171031</v>
      </c>
      <c r="B6107">
        <v>2017</v>
      </c>
      <c r="C6107">
        <v>10</v>
      </c>
      <c r="D6107">
        <v>1</v>
      </c>
      <c r="E6107">
        <v>10220</v>
      </c>
      <c r="F6107">
        <v>0</v>
      </c>
      <c r="G6107">
        <v>0</v>
      </c>
      <c r="H6107">
        <v>0</v>
      </c>
      <c r="I6107">
        <v>0</v>
      </c>
      <c r="J6107">
        <v>0</v>
      </c>
      <c r="K6107">
        <v>0</v>
      </c>
      <c r="L6107">
        <v>112249675</v>
      </c>
      <c r="M6107">
        <v>112983638.90000001</v>
      </c>
      <c r="N6107">
        <v>112249675</v>
      </c>
      <c r="O6107">
        <v>112983638.90000001</v>
      </c>
      <c r="P6107">
        <v>100000000</v>
      </c>
      <c r="Q6107">
        <v>100000000</v>
      </c>
      <c r="R6107" s="14">
        <f>_xlfn.XLOOKUP(Table2[[#This Row],[LoanID]],Table1[G-L ID],Table1[ManagerCode],-99)</f>
        <v>103</v>
      </c>
      <c r="T6107"/>
    </row>
    <row r="6108" spans="1:20" x14ac:dyDescent="0.25">
      <c r="A6108">
        <v>20171031</v>
      </c>
      <c r="B6108">
        <v>2017</v>
      </c>
      <c r="C6108">
        <v>10</v>
      </c>
      <c r="D6108">
        <v>1</v>
      </c>
      <c r="E6108">
        <v>10240</v>
      </c>
      <c r="F6108">
        <v>96197.92</v>
      </c>
      <c r="G6108">
        <v>0</v>
      </c>
      <c r="H6108">
        <v>0</v>
      </c>
      <c r="I6108">
        <v>0</v>
      </c>
      <c r="J6108">
        <v>0</v>
      </c>
      <c r="K6108">
        <v>0</v>
      </c>
      <c r="L6108">
        <v>12500000</v>
      </c>
      <c r="M6108">
        <v>12500000</v>
      </c>
      <c r="N6108">
        <v>12500000</v>
      </c>
      <c r="O6108">
        <v>12500000</v>
      </c>
      <c r="P6108">
        <v>12500000</v>
      </c>
      <c r="Q6108">
        <v>12500000</v>
      </c>
      <c r="R6108" s="14">
        <f>_xlfn.XLOOKUP(Table2[[#This Row],[LoanID]],Table1[G-L ID],Table1[ManagerCode],-99)</f>
        <v>220</v>
      </c>
      <c r="T6108"/>
    </row>
    <row r="6109" spans="1:20" x14ac:dyDescent="0.25">
      <c r="A6109">
        <v>20171031</v>
      </c>
      <c r="B6109">
        <v>2017</v>
      </c>
      <c r="C6109">
        <v>10</v>
      </c>
      <c r="D6109">
        <v>1</v>
      </c>
      <c r="E6109">
        <v>10250</v>
      </c>
      <c r="F6109">
        <v>52145.83</v>
      </c>
      <c r="G6109">
        <v>0</v>
      </c>
      <c r="H6109">
        <v>0</v>
      </c>
      <c r="I6109">
        <v>0</v>
      </c>
      <c r="J6109">
        <v>0</v>
      </c>
      <c r="K6109">
        <v>0</v>
      </c>
      <c r="L6109">
        <v>5000000</v>
      </c>
      <c r="M6109">
        <v>5000000</v>
      </c>
      <c r="N6109">
        <v>5000000</v>
      </c>
      <c r="O6109">
        <v>5000000</v>
      </c>
      <c r="P6109">
        <v>5000000</v>
      </c>
      <c r="Q6109">
        <v>5000000</v>
      </c>
      <c r="R6109" s="14">
        <f>_xlfn.XLOOKUP(Table2[[#This Row],[LoanID]],Table1[G-L ID],Table1[ManagerCode],-99)</f>
        <v>119</v>
      </c>
      <c r="T6109"/>
    </row>
    <row r="6110" spans="1:20" x14ac:dyDescent="0.25">
      <c r="A6110">
        <v>20171031</v>
      </c>
      <c r="B6110">
        <v>2017</v>
      </c>
      <c r="C6110">
        <v>10</v>
      </c>
      <c r="D6110">
        <v>1</v>
      </c>
      <c r="E6110">
        <v>10270</v>
      </c>
      <c r="F6110">
        <v>44019.75</v>
      </c>
      <c r="G6110">
        <v>0</v>
      </c>
      <c r="H6110">
        <v>11250</v>
      </c>
      <c r="I6110">
        <v>0</v>
      </c>
      <c r="J6110">
        <v>0</v>
      </c>
      <c r="K6110">
        <v>0</v>
      </c>
      <c r="L6110">
        <v>4500000</v>
      </c>
      <c r="M6110">
        <v>4500000</v>
      </c>
      <c r="N6110">
        <v>4500000</v>
      </c>
      <c r="O6110">
        <v>4500000</v>
      </c>
      <c r="P6110">
        <v>4500000</v>
      </c>
      <c r="Q6110">
        <v>4500000</v>
      </c>
      <c r="R6110" s="14">
        <f>_xlfn.XLOOKUP(Table2[[#This Row],[LoanID]],Table1[G-L ID],Table1[ManagerCode],-99)</f>
        <v>119</v>
      </c>
      <c r="T6110"/>
    </row>
    <row r="6111" spans="1:20" x14ac:dyDescent="0.25">
      <c r="A6111">
        <v>20171031</v>
      </c>
      <c r="B6111">
        <v>2017</v>
      </c>
      <c r="C6111">
        <v>10</v>
      </c>
      <c r="D6111">
        <v>1</v>
      </c>
      <c r="E6111">
        <v>10330</v>
      </c>
      <c r="F6111">
        <v>84068.78</v>
      </c>
      <c r="G6111">
        <v>0</v>
      </c>
      <c r="H6111">
        <v>0</v>
      </c>
      <c r="I6111">
        <v>0</v>
      </c>
      <c r="J6111">
        <v>0</v>
      </c>
      <c r="K6111">
        <v>0</v>
      </c>
      <c r="L6111">
        <v>8652759.6999999993</v>
      </c>
      <c r="M6111">
        <v>8652759.6999999993</v>
      </c>
      <c r="N6111">
        <v>8652759.6999999993</v>
      </c>
      <c r="O6111">
        <v>8652759.6999999993</v>
      </c>
      <c r="P6111">
        <v>8652759.6999999993</v>
      </c>
      <c r="Q6111">
        <v>8652759.6999999993</v>
      </c>
      <c r="R6111" s="14">
        <f>_xlfn.XLOOKUP(Table2[[#This Row],[LoanID]],Table1[G-L ID],Table1[ManagerCode],-99)</f>
        <v>119</v>
      </c>
      <c r="T6111"/>
    </row>
    <row r="6112" spans="1:20" x14ac:dyDescent="0.25">
      <c r="A6112">
        <v>20171031</v>
      </c>
      <c r="B6112">
        <v>2017</v>
      </c>
      <c r="C6112">
        <v>10</v>
      </c>
      <c r="D6112">
        <v>1</v>
      </c>
      <c r="E6112">
        <v>10350</v>
      </c>
      <c r="F6112">
        <v>186861.11</v>
      </c>
      <c r="G6112">
        <v>0</v>
      </c>
      <c r="H6112">
        <v>0</v>
      </c>
      <c r="I6112">
        <v>0</v>
      </c>
      <c r="J6112">
        <v>0</v>
      </c>
      <c r="K6112">
        <v>0</v>
      </c>
      <c r="L6112">
        <v>24800000</v>
      </c>
      <c r="M6112">
        <v>24800000</v>
      </c>
      <c r="N6112">
        <v>24800000</v>
      </c>
      <c r="O6112">
        <v>24800000</v>
      </c>
      <c r="P6112">
        <v>24800000</v>
      </c>
      <c r="Q6112">
        <v>24800000</v>
      </c>
      <c r="R6112" s="14">
        <f>_xlfn.XLOOKUP(Table2[[#This Row],[LoanID]],Table1[G-L ID],Table1[ManagerCode],-99)</f>
        <v>220</v>
      </c>
      <c r="T6112"/>
    </row>
    <row r="6113" spans="1:20" x14ac:dyDescent="0.25">
      <c r="A6113">
        <v>20171031</v>
      </c>
      <c r="B6113">
        <v>2017</v>
      </c>
      <c r="C6113">
        <v>10</v>
      </c>
      <c r="D6113">
        <v>1</v>
      </c>
      <c r="E6113">
        <v>10360</v>
      </c>
      <c r="F6113">
        <v>57858.96</v>
      </c>
      <c r="G6113">
        <v>0</v>
      </c>
      <c r="H6113">
        <v>0</v>
      </c>
      <c r="I6113">
        <v>0</v>
      </c>
      <c r="J6113">
        <v>0</v>
      </c>
      <c r="K6113">
        <v>0</v>
      </c>
      <c r="L6113">
        <v>5909000</v>
      </c>
      <c r="M6113">
        <v>5909000</v>
      </c>
      <c r="N6113">
        <v>5909000</v>
      </c>
      <c r="O6113">
        <v>5909000</v>
      </c>
      <c r="P6113">
        <v>5909000</v>
      </c>
      <c r="Q6113">
        <v>5909000</v>
      </c>
      <c r="R6113" s="14">
        <f>_xlfn.XLOOKUP(Table2[[#This Row],[LoanID]],Table1[G-L ID],Table1[ManagerCode],-99)</f>
        <v>183</v>
      </c>
      <c r="T6113"/>
    </row>
    <row r="6114" spans="1:20" x14ac:dyDescent="0.25">
      <c r="A6114">
        <v>20171031</v>
      </c>
      <c r="B6114">
        <v>2017</v>
      </c>
      <c r="C6114">
        <v>10</v>
      </c>
      <c r="D6114">
        <v>1</v>
      </c>
      <c r="E6114">
        <v>10480</v>
      </c>
      <c r="F6114">
        <v>156285</v>
      </c>
      <c r="G6114">
        <v>0</v>
      </c>
      <c r="H6114">
        <v>0</v>
      </c>
      <c r="I6114">
        <v>0</v>
      </c>
      <c r="J6114">
        <v>0</v>
      </c>
      <c r="K6114">
        <v>0</v>
      </c>
      <c r="L6114">
        <v>18000000</v>
      </c>
      <c r="M6114">
        <v>18000000</v>
      </c>
      <c r="N6114">
        <v>18000000</v>
      </c>
      <c r="O6114">
        <v>18000000</v>
      </c>
      <c r="P6114">
        <v>18000000</v>
      </c>
      <c r="Q6114">
        <v>18000000</v>
      </c>
      <c r="R6114" s="14">
        <f>_xlfn.XLOOKUP(Table2[[#This Row],[LoanID]],Table1[G-L ID],Table1[ManagerCode],-99)</f>
        <v>119</v>
      </c>
      <c r="T6114"/>
    </row>
    <row r="6115" spans="1:20" x14ac:dyDescent="0.25">
      <c r="A6115">
        <v>20171031</v>
      </c>
      <c r="B6115">
        <v>2017</v>
      </c>
      <c r="C6115">
        <v>10</v>
      </c>
      <c r="D6115">
        <v>1</v>
      </c>
      <c r="E6115">
        <v>10620</v>
      </c>
      <c r="F6115">
        <v>113594.84</v>
      </c>
      <c r="G6115">
        <v>0</v>
      </c>
      <c r="H6115">
        <v>0</v>
      </c>
      <c r="I6115">
        <v>0</v>
      </c>
      <c r="J6115">
        <v>-104798.44</v>
      </c>
      <c r="K6115">
        <v>0</v>
      </c>
      <c r="L6115">
        <v>11469398.609999999</v>
      </c>
      <c r="M6115">
        <v>11574197.050000001</v>
      </c>
      <c r="N6115">
        <v>11469398.609999999</v>
      </c>
      <c r="O6115">
        <v>11574197.050000001</v>
      </c>
      <c r="P6115">
        <v>11469398.609999999</v>
      </c>
      <c r="Q6115">
        <v>11574197.050000001</v>
      </c>
      <c r="R6115" s="14">
        <f>_xlfn.XLOOKUP(Table2[[#This Row],[LoanID]],Table1[G-L ID],Table1[ManagerCode],-99)</f>
        <v>119</v>
      </c>
      <c r="T6115"/>
    </row>
    <row r="6116" spans="1:20" x14ac:dyDescent="0.25">
      <c r="A6116">
        <v>20171031</v>
      </c>
      <c r="B6116">
        <v>2017</v>
      </c>
      <c r="C6116">
        <v>10</v>
      </c>
      <c r="D6116">
        <v>1</v>
      </c>
      <c r="E6116">
        <v>10670</v>
      </c>
      <c r="F6116">
        <v>270875</v>
      </c>
      <c r="G6116">
        <v>0</v>
      </c>
      <c r="H6116">
        <v>0</v>
      </c>
      <c r="I6116">
        <v>0</v>
      </c>
      <c r="J6116">
        <v>0</v>
      </c>
      <c r="K6116">
        <v>0</v>
      </c>
      <c r="L6116">
        <v>30000000</v>
      </c>
      <c r="M6116">
        <v>30000000</v>
      </c>
      <c r="N6116">
        <v>30000000</v>
      </c>
      <c r="O6116">
        <v>30000000</v>
      </c>
      <c r="P6116">
        <v>30000000</v>
      </c>
      <c r="Q6116">
        <v>30000000</v>
      </c>
      <c r="R6116" s="14">
        <f>_xlfn.XLOOKUP(Table2[[#This Row],[LoanID]],Table1[G-L ID],Table1[ManagerCode],-99)</f>
        <v>119</v>
      </c>
      <c r="T6116"/>
    </row>
    <row r="6117" spans="1:20" x14ac:dyDescent="0.25">
      <c r="A6117">
        <v>20171031</v>
      </c>
      <c r="B6117">
        <v>2017</v>
      </c>
      <c r="C6117">
        <v>10</v>
      </c>
      <c r="D6117">
        <v>1</v>
      </c>
      <c r="E6117">
        <v>10730</v>
      </c>
      <c r="F6117">
        <v>102430.58</v>
      </c>
      <c r="G6117">
        <v>0</v>
      </c>
      <c r="H6117">
        <v>0</v>
      </c>
      <c r="I6117">
        <v>0</v>
      </c>
      <c r="J6117">
        <v>0</v>
      </c>
      <c r="K6117">
        <v>0</v>
      </c>
      <c r="L6117">
        <v>9500000</v>
      </c>
      <c r="M6117">
        <v>9500000</v>
      </c>
      <c r="N6117">
        <v>9500000</v>
      </c>
      <c r="O6117">
        <v>9500000</v>
      </c>
      <c r="P6117">
        <v>9500000</v>
      </c>
      <c r="Q6117">
        <v>9500000</v>
      </c>
      <c r="R6117" s="14">
        <f>_xlfn.XLOOKUP(Table2[[#This Row],[LoanID]],Table1[G-L ID],Table1[ManagerCode],-99)</f>
        <v>119</v>
      </c>
      <c r="T6117"/>
    </row>
    <row r="6118" spans="1:20" x14ac:dyDescent="0.25">
      <c r="A6118">
        <v>20171031</v>
      </c>
      <c r="B6118">
        <v>2017</v>
      </c>
      <c r="C6118">
        <v>10</v>
      </c>
      <c r="D6118">
        <v>1</v>
      </c>
      <c r="E6118">
        <v>10750</v>
      </c>
      <c r="F6118">
        <v>80339.070000000007</v>
      </c>
      <c r="G6118">
        <v>0</v>
      </c>
      <c r="H6118">
        <v>0</v>
      </c>
      <c r="I6118">
        <v>0</v>
      </c>
      <c r="J6118">
        <v>0</v>
      </c>
      <c r="K6118">
        <v>0</v>
      </c>
      <c r="L6118">
        <v>9147924.9299999997</v>
      </c>
      <c r="M6118">
        <v>9147924.9299999997</v>
      </c>
      <c r="N6118">
        <v>9147924.9299999997</v>
      </c>
      <c r="O6118">
        <v>9147924.9299999997</v>
      </c>
      <c r="P6118">
        <v>9147924.9299999997</v>
      </c>
      <c r="Q6118">
        <v>9147924.9299999997</v>
      </c>
      <c r="R6118" s="14">
        <f>_xlfn.XLOOKUP(Table2[[#This Row],[LoanID]],Table1[G-L ID],Table1[ManagerCode],-99)</f>
        <v>119</v>
      </c>
      <c r="T6118"/>
    </row>
    <row r="6119" spans="1:20" x14ac:dyDescent="0.25">
      <c r="A6119">
        <v>20171031</v>
      </c>
      <c r="B6119">
        <v>2017</v>
      </c>
      <c r="C6119">
        <v>10</v>
      </c>
      <c r="D6119">
        <v>1</v>
      </c>
      <c r="E6119">
        <v>10810</v>
      </c>
      <c r="F6119">
        <v>89884.51</v>
      </c>
      <c r="G6119">
        <v>0</v>
      </c>
      <c r="H6119">
        <v>0</v>
      </c>
      <c r="I6119">
        <v>0</v>
      </c>
      <c r="J6119">
        <v>0</v>
      </c>
      <c r="K6119">
        <v>0</v>
      </c>
      <c r="L6119">
        <v>9741000.7100000009</v>
      </c>
      <c r="M6119">
        <v>9741000.7100000009</v>
      </c>
      <c r="N6119">
        <v>9741000.7100000009</v>
      </c>
      <c r="O6119">
        <v>9741000.7100000009</v>
      </c>
      <c r="P6119">
        <v>9741000.7100000009</v>
      </c>
      <c r="Q6119">
        <v>9741000.7100000009</v>
      </c>
      <c r="R6119" s="14">
        <f>_xlfn.XLOOKUP(Table2[[#This Row],[LoanID]],Table1[G-L ID],Table1[ManagerCode],-99)</f>
        <v>119</v>
      </c>
      <c r="T6119"/>
    </row>
    <row r="6120" spans="1:20" x14ac:dyDescent="0.25">
      <c r="A6120">
        <v>20171031</v>
      </c>
      <c r="B6120">
        <v>2017</v>
      </c>
      <c r="C6120">
        <v>10</v>
      </c>
      <c r="D6120">
        <v>1</v>
      </c>
      <c r="E6120">
        <v>10820</v>
      </c>
      <c r="F6120">
        <v>191008.09</v>
      </c>
      <c r="G6120">
        <v>0</v>
      </c>
      <c r="H6120">
        <v>0</v>
      </c>
      <c r="I6120">
        <v>0</v>
      </c>
      <c r="J6120">
        <v>0</v>
      </c>
      <c r="K6120">
        <v>0</v>
      </c>
      <c r="L6120">
        <v>24127338</v>
      </c>
      <c r="M6120">
        <v>24127338</v>
      </c>
      <c r="N6120">
        <v>24127338</v>
      </c>
      <c r="O6120">
        <v>24127338</v>
      </c>
      <c r="P6120">
        <v>24127337.739999998</v>
      </c>
      <c r="Q6120">
        <v>24127337.739999998</v>
      </c>
      <c r="R6120" s="14">
        <f>_xlfn.XLOOKUP(Table2[[#This Row],[LoanID]],Table1[G-L ID],Table1[ManagerCode],-99)</f>
        <v>220</v>
      </c>
      <c r="T6120"/>
    </row>
    <row r="6121" spans="1:20" x14ac:dyDescent="0.25">
      <c r="A6121">
        <v>20171031</v>
      </c>
      <c r="B6121">
        <v>2017</v>
      </c>
      <c r="C6121">
        <v>10</v>
      </c>
      <c r="D6121">
        <v>1</v>
      </c>
      <c r="E6121">
        <v>10830</v>
      </c>
      <c r="F6121">
        <v>61797.84</v>
      </c>
      <c r="G6121">
        <v>0</v>
      </c>
      <c r="H6121">
        <v>0</v>
      </c>
      <c r="I6121">
        <v>0</v>
      </c>
      <c r="J6121">
        <v>0</v>
      </c>
      <c r="K6121">
        <v>0</v>
      </c>
      <c r="L6121">
        <v>7806043.1399999997</v>
      </c>
      <c r="M6121">
        <v>7806043.1399999997</v>
      </c>
      <c r="N6121">
        <v>7806043.1399999997</v>
      </c>
      <c r="O6121">
        <v>7806043.1399999997</v>
      </c>
      <c r="P6121">
        <v>7806043.1399999997</v>
      </c>
      <c r="Q6121">
        <v>7806043.1399999997</v>
      </c>
      <c r="R6121" s="14">
        <f>_xlfn.XLOOKUP(Table2[[#This Row],[LoanID]],Table1[G-L ID],Table1[ManagerCode],-99)</f>
        <v>220</v>
      </c>
      <c r="T6121"/>
    </row>
    <row r="6122" spans="1:20" x14ac:dyDescent="0.25">
      <c r="A6122">
        <v>20171031</v>
      </c>
      <c r="B6122">
        <v>2017</v>
      </c>
      <c r="C6122">
        <v>10</v>
      </c>
      <c r="D6122">
        <v>1</v>
      </c>
      <c r="E6122">
        <v>10840</v>
      </c>
      <c r="F6122">
        <v>100614.41</v>
      </c>
      <c r="G6122">
        <v>0</v>
      </c>
      <c r="H6122">
        <v>0</v>
      </c>
      <c r="I6122">
        <v>0</v>
      </c>
      <c r="J6122">
        <v>0</v>
      </c>
      <c r="K6122">
        <v>0</v>
      </c>
      <c r="L6122">
        <v>12709189</v>
      </c>
      <c r="M6122">
        <v>12709189</v>
      </c>
      <c r="N6122">
        <v>12709189</v>
      </c>
      <c r="O6122">
        <v>12709189</v>
      </c>
      <c r="P6122">
        <v>12709189</v>
      </c>
      <c r="Q6122">
        <v>12709189</v>
      </c>
      <c r="R6122" s="14">
        <f>_xlfn.XLOOKUP(Table2[[#This Row],[LoanID]],Table1[G-L ID],Table1[ManagerCode],-99)</f>
        <v>220</v>
      </c>
      <c r="T6122"/>
    </row>
    <row r="6123" spans="1:20" x14ac:dyDescent="0.25">
      <c r="A6123">
        <v>20171031</v>
      </c>
      <c r="B6123">
        <v>2017</v>
      </c>
      <c r="C6123">
        <v>10</v>
      </c>
      <c r="D6123">
        <v>1</v>
      </c>
      <c r="E6123">
        <v>10850</v>
      </c>
      <c r="F6123">
        <v>106969.15</v>
      </c>
      <c r="G6123">
        <v>0</v>
      </c>
      <c r="H6123">
        <v>0</v>
      </c>
      <c r="I6123">
        <v>0</v>
      </c>
      <c r="J6123">
        <v>0</v>
      </c>
      <c r="K6123">
        <v>0</v>
      </c>
      <c r="L6123">
        <v>13511892</v>
      </c>
      <c r="M6123">
        <v>13511892</v>
      </c>
      <c r="N6123">
        <v>13511892</v>
      </c>
      <c r="O6123">
        <v>13511892</v>
      </c>
      <c r="P6123">
        <v>13511892</v>
      </c>
      <c r="Q6123">
        <v>13511892</v>
      </c>
      <c r="R6123" s="14">
        <f>_xlfn.XLOOKUP(Table2[[#This Row],[LoanID]],Table1[G-L ID],Table1[ManagerCode],-99)</f>
        <v>220</v>
      </c>
      <c r="T6123"/>
    </row>
    <row r="6124" spans="1:20" x14ac:dyDescent="0.25">
      <c r="A6124">
        <v>20171031</v>
      </c>
      <c r="B6124">
        <v>2017</v>
      </c>
      <c r="C6124">
        <v>10</v>
      </c>
      <c r="D6124">
        <v>1</v>
      </c>
      <c r="E6124">
        <v>10890</v>
      </c>
      <c r="F6124">
        <v>117451.51</v>
      </c>
      <c r="G6124">
        <v>167580.62</v>
      </c>
      <c r="H6124">
        <v>0</v>
      </c>
      <c r="I6124">
        <v>0</v>
      </c>
      <c r="J6124">
        <v>-29741.23</v>
      </c>
      <c r="K6124">
        <v>0</v>
      </c>
      <c r="L6124">
        <v>23588177.32</v>
      </c>
      <c r="M6124">
        <v>23785499.170000002</v>
      </c>
      <c r="N6124">
        <v>23588177.32</v>
      </c>
      <c r="O6124">
        <v>23785499.170000002</v>
      </c>
      <c r="P6124">
        <v>23588177.32</v>
      </c>
      <c r="Q6124">
        <v>23785499.170000002</v>
      </c>
      <c r="R6124" s="14">
        <f>_xlfn.XLOOKUP(Table2[[#This Row],[LoanID]],Table1[G-L ID],Table1[ManagerCode],-99)</f>
        <v>183</v>
      </c>
      <c r="T6124"/>
    </row>
    <row r="6125" spans="1:20" x14ac:dyDescent="0.25">
      <c r="A6125">
        <v>20171031</v>
      </c>
      <c r="B6125">
        <v>2017</v>
      </c>
      <c r="C6125">
        <v>10</v>
      </c>
      <c r="D6125">
        <v>1</v>
      </c>
      <c r="E6125">
        <v>10910</v>
      </c>
      <c r="F6125">
        <v>210221.32</v>
      </c>
      <c r="G6125">
        <v>0</v>
      </c>
      <c r="H6125">
        <v>0</v>
      </c>
      <c r="I6125">
        <v>0</v>
      </c>
      <c r="J6125">
        <v>0</v>
      </c>
      <c r="K6125">
        <v>0</v>
      </c>
      <c r="L6125">
        <v>22500000</v>
      </c>
      <c r="M6125">
        <v>22500000</v>
      </c>
      <c r="N6125">
        <v>22500000</v>
      </c>
      <c r="O6125">
        <v>22500000</v>
      </c>
      <c r="P6125">
        <v>22500000</v>
      </c>
      <c r="Q6125">
        <v>22500000</v>
      </c>
      <c r="R6125" s="14">
        <f>_xlfn.XLOOKUP(Table2[[#This Row],[LoanID]],Table1[G-L ID],Table1[ManagerCode],-99)</f>
        <v>119</v>
      </c>
      <c r="T6125"/>
    </row>
    <row r="6126" spans="1:20" x14ac:dyDescent="0.25">
      <c r="A6126">
        <v>20171031</v>
      </c>
      <c r="B6126">
        <v>2017</v>
      </c>
      <c r="C6126">
        <v>10</v>
      </c>
      <c r="D6126">
        <v>1</v>
      </c>
      <c r="E6126">
        <v>10930</v>
      </c>
      <c r="F6126">
        <v>0</v>
      </c>
      <c r="G6126">
        <v>203643</v>
      </c>
      <c r="H6126">
        <v>0</v>
      </c>
      <c r="I6126">
        <v>0</v>
      </c>
      <c r="J6126">
        <v>0</v>
      </c>
      <c r="K6126">
        <v>0</v>
      </c>
      <c r="L6126">
        <v>18444092.77</v>
      </c>
      <c r="M6126">
        <v>18647735.77</v>
      </c>
      <c r="N6126">
        <v>18444092.77</v>
      </c>
      <c r="O6126">
        <v>18647735.77</v>
      </c>
      <c r="P6126">
        <v>18444092.77</v>
      </c>
      <c r="Q6126">
        <v>18647735.77</v>
      </c>
      <c r="R6126" s="14">
        <f>_xlfn.XLOOKUP(Table2[[#This Row],[LoanID]],Table1[G-L ID],Table1[ManagerCode],-99)</f>
        <v>183</v>
      </c>
      <c r="T6126"/>
    </row>
    <row r="6127" spans="1:20" x14ac:dyDescent="0.25">
      <c r="A6127">
        <v>20171031</v>
      </c>
      <c r="B6127">
        <v>2017</v>
      </c>
      <c r="C6127">
        <v>10</v>
      </c>
      <c r="D6127">
        <v>1</v>
      </c>
      <c r="E6127">
        <v>10970</v>
      </c>
      <c r="F6127">
        <v>23624.07</v>
      </c>
      <c r="G6127">
        <v>25858.52</v>
      </c>
      <c r="H6127">
        <v>0</v>
      </c>
      <c r="I6127">
        <v>0</v>
      </c>
      <c r="J6127">
        <v>-23624.07</v>
      </c>
      <c r="K6127">
        <v>0</v>
      </c>
      <c r="L6127">
        <v>4765021.0599999996</v>
      </c>
      <c r="M6127">
        <v>4814503.6500000004</v>
      </c>
      <c r="N6127">
        <v>4765021.0599999996</v>
      </c>
      <c r="O6127">
        <v>4814503.6500000004</v>
      </c>
      <c r="P6127">
        <v>4765021.0599999996</v>
      </c>
      <c r="Q6127">
        <v>4814503.6500000004</v>
      </c>
      <c r="R6127" s="14">
        <f>_xlfn.XLOOKUP(Table2[[#This Row],[LoanID]],Table1[G-L ID],Table1[ManagerCode],-99)</f>
        <v>183</v>
      </c>
      <c r="T6127"/>
    </row>
    <row r="6128" spans="1:20" x14ac:dyDescent="0.25">
      <c r="A6128">
        <v>20171031</v>
      </c>
      <c r="B6128">
        <v>2017</v>
      </c>
      <c r="C6128">
        <v>10</v>
      </c>
      <c r="D6128">
        <v>1</v>
      </c>
      <c r="E6128">
        <v>11060</v>
      </c>
      <c r="F6128">
        <v>193498.07</v>
      </c>
      <c r="G6128">
        <v>0</v>
      </c>
      <c r="H6128">
        <v>0</v>
      </c>
      <c r="I6128">
        <v>0</v>
      </c>
      <c r="J6128">
        <v>0</v>
      </c>
      <c r="K6128">
        <v>0</v>
      </c>
      <c r="L6128">
        <v>22000000</v>
      </c>
      <c r="M6128">
        <v>22000000</v>
      </c>
      <c r="N6128">
        <v>22000000</v>
      </c>
      <c r="O6128">
        <v>22000000</v>
      </c>
      <c r="P6128">
        <v>22000000</v>
      </c>
      <c r="Q6128">
        <v>22000000</v>
      </c>
      <c r="R6128" s="14">
        <f>_xlfn.XLOOKUP(Table2[[#This Row],[LoanID]],Table1[G-L ID],Table1[ManagerCode],-99)</f>
        <v>119</v>
      </c>
      <c r="T6128"/>
    </row>
    <row r="6129" spans="1:20" x14ac:dyDescent="0.25">
      <c r="A6129">
        <v>20171031</v>
      </c>
      <c r="B6129">
        <v>2017</v>
      </c>
      <c r="C6129">
        <v>10</v>
      </c>
      <c r="D6129">
        <v>1</v>
      </c>
      <c r="E6129">
        <v>11080</v>
      </c>
      <c r="F6129">
        <v>347370.22</v>
      </c>
      <c r="G6129">
        <v>0</v>
      </c>
      <c r="H6129">
        <v>0</v>
      </c>
      <c r="I6129">
        <v>0</v>
      </c>
      <c r="J6129">
        <v>0</v>
      </c>
      <c r="K6129">
        <v>61919.27</v>
      </c>
      <c r="L6129">
        <v>39380657.600000001</v>
      </c>
      <c r="M6129">
        <v>39318738.329999998</v>
      </c>
      <c r="N6129">
        <v>39380657.600000001</v>
      </c>
      <c r="O6129">
        <v>39318738.329999998</v>
      </c>
      <c r="P6129">
        <v>39380657.600000001</v>
      </c>
      <c r="Q6129">
        <v>39318738.329999998</v>
      </c>
      <c r="R6129" s="14">
        <f>_xlfn.XLOOKUP(Table2[[#This Row],[LoanID]],Table1[G-L ID],Table1[ManagerCode],-99)</f>
        <v>119</v>
      </c>
      <c r="T6129"/>
    </row>
    <row r="6130" spans="1:20" x14ac:dyDescent="0.25">
      <c r="A6130">
        <v>20171031</v>
      </c>
      <c r="B6130">
        <v>2017</v>
      </c>
      <c r="C6130">
        <v>10</v>
      </c>
      <c r="D6130">
        <v>1</v>
      </c>
      <c r="E6130">
        <v>11090</v>
      </c>
      <c r="F6130">
        <v>0</v>
      </c>
      <c r="G6130">
        <v>0</v>
      </c>
      <c r="H6130">
        <v>0</v>
      </c>
      <c r="I6130">
        <v>0</v>
      </c>
      <c r="J6130">
        <v>0</v>
      </c>
      <c r="K6130">
        <v>0</v>
      </c>
      <c r="L6130">
        <v>10976000</v>
      </c>
      <c r="M6130">
        <v>10976000</v>
      </c>
      <c r="N6130">
        <v>10976000</v>
      </c>
      <c r="O6130">
        <v>10976000</v>
      </c>
      <c r="P6130">
        <v>10976000</v>
      </c>
      <c r="Q6130">
        <v>10976000</v>
      </c>
      <c r="R6130" s="14">
        <f>_xlfn.XLOOKUP(Table2[[#This Row],[LoanID]],Table1[G-L ID],Table1[ManagerCode],-99)</f>
        <v>119</v>
      </c>
      <c r="T6130"/>
    </row>
    <row r="6131" spans="1:20" x14ac:dyDescent="0.25">
      <c r="A6131">
        <v>20171031</v>
      </c>
      <c r="B6131">
        <v>2017</v>
      </c>
      <c r="C6131">
        <v>10</v>
      </c>
      <c r="D6131">
        <v>1</v>
      </c>
      <c r="E6131">
        <v>11150</v>
      </c>
      <c r="F6131">
        <v>105987.1</v>
      </c>
      <c r="G6131">
        <v>0</v>
      </c>
      <c r="H6131">
        <v>0</v>
      </c>
      <c r="I6131">
        <v>0</v>
      </c>
      <c r="J6131">
        <v>0</v>
      </c>
      <c r="K6131">
        <v>0</v>
      </c>
      <c r="L6131">
        <v>9845981.0800000001</v>
      </c>
      <c r="M6131">
        <v>9845981.0800000001</v>
      </c>
      <c r="N6131">
        <v>9845981.0800000001</v>
      </c>
      <c r="O6131">
        <v>9845981.0800000001</v>
      </c>
      <c r="P6131">
        <v>9845981.0800000001</v>
      </c>
      <c r="Q6131">
        <v>9845981.0800000001</v>
      </c>
      <c r="R6131" s="14">
        <f>_xlfn.XLOOKUP(Table2[[#This Row],[LoanID]],Table1[G-L ID],Table1[ManagerCode],-99)</f>
        <v>119</v>
      </c>
      <c r="T6131"/>
    </row>
    <row r="6132" spans="1:20" x14ac:dyDescent="0.25">
      <c r="A6132">
        <v>20171031</v>
      </c>
      <c r="B6132">
        <v>2017</v>
      </c>
      <c r="C6132">
        <v>10</v>
      </c>
      <c r="D6132">
        <v>1</v>
      </c>
      <c r="E6132">
        <v>11160</v>
      </c>
      <c r="F6132">
        <v>284557.48</v>
      </c>
      <c r="G6132">
        <v>179034.21</v>
      </c>
      <c r="H6132">
        <v>0</v>
      </c>
      <c r="I6132">
        <v>0</v>
      </c>
      <c r="J6132">
        <v>-408963.59</v>
      </c>
      <c r="K6132">
        <v>0</v>
      </c>
      <c r="L6132">
        <v>80722627.370000005</v>
      </c>
      <c r="M6132">
        <v>81359097.75</v>
      </c>
      <c r="N6132">
        <v>56878278.060000002</v>
      </c>
      <c r="O6132">
        <v>57514748.439999998</v>
      </c>
      <c r="P6132">
        <v>80722627.370000005</v>
      </c>
      <c r="Q6132">
        <v>81359097.75</v>
      </c>
      <c r="R6132" s="14">
        <f>_xlfn.XLOOKUP(Table2[[#This Row],[LoanID]],Table1[G-L ID],Table1[ManagerCode],-99)</f>
        <v>183</v>
      </c>
      <c r="T6132"/>
    </row>
    <row r="6133" spans="1:20" x14ac:dyDescent="0.25">
      <c r="A6133">
        <v>20171031</v>
      </c>
      <c r="B6133">
        <v>2017</v>
      </c>
      <c r="C6133">
        <v>10</v>
      </c>
      <c r="D6133">
        <v>1</v>
      </c>
      <c r="E6133">
        <v>11210</v>
      </c>
      <c r="F6133">
        <v>57541.25</v>
      </c>
      <c r="G6133">
        <v>0</v>
      </c>
      <c r="H6133">
        <v>0</v>
      </c>
      <c r="I6133">
        <v>0</v>
      </c>
      <c r="J6133">
        <v>0</v>
      </c>
      <c r="K6133">
        <v>0</v>
      </c>
      <c r="L6133">
        <v>7500000</v>
      </c>
      <c r="M6133">
        <v>7500000</v>
      </c>
      <c r="N6133">
        <v>7500000</v>
      </c>
      <c r="O6133">
        <v>7500000</v>
      </c>
      <c r="P6133">
        <v>7500000</v>
      </c>
      <c r="Q6133">
        <v>7500000</v>
      </c>
      <c r="R6133" s="14">
        <f>_xlfn.XLOOKUP(Table2[[#This Row],[LoanID]],Table1[G-L ID],Table1[ManagerCode],-99)</f>
        <v>119</v>
      </c>
      <c r="T6133"/>
    </row>
    <row r="6134" spans="1:20" x14ac:dyDescent="0.25">
      <c r="A6134">
        <v>20171031</v>
      </c>
      <c r="B6134">
        <v>2017</v>
      </c>
      <c r="C6134">
        <v>10</v>
      </c>
      <c r="D6134">
        <v>1</v>
      </c>
      <c r="E6134">
        <v>11340</v>
      </c>
      <c r="F6134">
        <v>283510.2</v>
      </c>
      <c r="G6134">
        <v>0</v>
      </c>
      <c r="H6134">
        <v>0</v>
      </c>
      <c r="I6134">
        <v>0</v>
      </c>
      <c r="J6134">
        <v>0</v>
      </c>
      <c r="K6134">
        <v>72174.039999999994</v>
      </c>
      <c r="L6134">
        <v>48115730.219999999</v>
      </c>
      <c r="M6134">
        <v>48044277.93</v>
      </c>
      <c r="N6134">
        <v>48115730.219999999</v>
      </c>
      <c r="O6134">
        <v>48044277.93</v>
      </c>
      <c r="P6134">
        <v>48601747.719999999</v>
      </c>
      <c r="Q6134">
        <v>48529573.68</v>
      </c>
      <c r="R6134" s="14">
        <f>_xlfn.XLOOKUP(Table2[[#This Row],[LoanID]],Table1[G-L ID],Table1[ManagerCode],-99)</f>
        <v>103</v>
      </c>
      <c r="T6134"/>
    </row>
    <row r="6135" spans="1:20" x14ac:dyDescent="0.25">
      <c r="A6135">
        <v>20171031</v>
      </c>
      <c r="B6135">
        <v>2017</v>
      </c>
      <c r="C6135">
        <v>10</v>
      </c>
      <c r="D6135">
        <v>1</v>
      </c>
      <c r="E6135">
        <v>11350</v>
      </c>
      <c r="F6135">
        <v>320833.33</v>
      </c>
      <c r="G6135">
        <v>0</v>
      </c>
      <c r="H6135">
        <v>0</v>
      </c>
      <c r="I6135">
        <v>0</v>
      </c>
      <c r="J6135">
        <v>0</v>
      </c>
      <c r="K6135">
        <v>0</v>
      </c>
      <c r="L6135">
        <v>54449945.549999997</v>
      </c>
      <c r="M6135">
        <v>54449945.549999997</v>
      </c>
      <c r="N6135">
        <v>54449945.549999997</v>
      </c>
      <c r="O6135">
        <v>54449945.549999997</v>
      </c>
      <c r="P6135">
        <v>55000000</v>
      </c>
      <c r="Q6135">
        <v>55000000</v>
      </c>
      <c r="R6135" s="14">
        <f>_xlfn.XLOOKUP(Table2[[#This Row],[LoanID]],Table1[G-L ID],Table1[ManagerCode],-99)</f>
        <v>103</v>
      </c>
      <c r="T6135"/>
    </row>
    <row r="6136" spans="1:20" x14ac:dyDescent="0.25">
      <c r="A6136">
        <v>20171031</v>
      </c>
      <c r="B6136">
        <v>2017</v>
      </c>
      <c r="C6136">
        <v>10</v>
      </c>
      <c r="D6136">
        <v>1</v>
      </c>
      <c r="E6136">
        <v>11360</v>
      </c>
      <c r="F6136">
        <v>64940.56</v>
      </c>
      <c r="G6136">
        <v>0</v>
      </c>
      <c r="H6136">
        <v>0</v>
      </c>
      <c r="I6136">
        <v>0</v>
      </c>
      <c r="J6136">
        <v>0</v>
      </c>
      <c r="K6136">
        <v>0</v>
      </c>
      <c r="L6136">
        <v>7537500</v>
      </c>
      <c r="M6136">
        <v>7537500</v>
      </c>
      <c r="N6136">
        <v>7537500</v>
      </c>
      <c r="O6136">
        <v>7537500</v>
      </c>
      <c r="P6136">
        <v>7537500</v>
      </c>
      <c r="Q6136">
        <v>7537500</v>
      </c>
      <c r="R6136" s="14">
        <f>_xlfn.XLOOKUP(Table2[[#This Row],[LoanID]],Table1[G-L ID],Table1[ManagerCode],-99)</f>
        <v>119</v>
      </c>
      <c r="T6136"/>
    </row>
    <row r="6137" spans="1:20" x14ac:dyDescent="0.25">
      <c r="A6137">
        <v>20171031</v>
      </c>
      <c r="B6137">
        <v>2017</v>
      </c>
      <c r="C6137">
        <v>10</v>
      </c>
      <c r="D6137">
        <v>1</v>
      </c>
      <c r="E6137">
        <v>11410</v>
      </c>
      <c r="F6137">
        <v>113350</v>
      </c>
      <c r="G6137">
        <v>0</v>
      </c>
      <c r="H6137">
        <v>0</v>
      </c>
      <c r="I6137">
        <v>0</v>
      </c>
      <c r="J6137">
        <v>0</v>
      </c>
      <c r="K6137">
        <v>0</v>
      </c>
      <c r="L6137">
        <v>12000000</v>
      </c>
      <c r="M6137">
        <v>12000000</v>
      </c>
      <c r="N6137">
        <v>12000000</v>
      </c>
      <c r="O6137">
        <v>12000000</v>
      </c>
      <c r="P6137">
        <v>12000000</v>
      </c>
      <c r="Q6137">
        <v>12000000</v>
      </c>
      <c r="R6137" s="14">
        <f>_xlfn.XLOOKUP(Table2[[#This Row],[LoanID]],Table1[G-L ID],Table1[ManagerCode],-99)</f>
        <v>119</v>
      </c>
      <c r="T6137"/>
    </row>
    <row r="6138" spans="1:20" x14ac:dyDescent="0.25">
      <c r="A6138">
        <v>20171031</v>
      </c>
      <c r="B6138">
        <v>2017</v>
      </c>
      <c r="C6138">
        <v>10</v>
      </c>
      <c r="D6138">
        <v>1</v>
      </c>
      <c r="E6138">
        <v>11440</v>
      </c>
      <c r="F6138">
        <v>156250</v>
      </c>
      <c r="G6138">
        <v>0</v>
      </c>
      <c r="H6138">
        <v>0</v>
      </c>
      <c r="I6138">
        <v>0</v>
      </c>
      <c r="J6138">
        <v>0</v>
      </c>
      <c r="K6138">
        <v>0</v>
      </c>
      <c r="L6138">
        <v>18750000</v>
      </c>
      <c r="M6138">
        <v>18750000</v>
      </c>
      <c r="N6138">
        <v>18750000</v>
      </c>
      <c r="O6138">
        <v>18750000</v>
      </c>
      <c r="P6138">
        <v>18750000</v>
      </c>
      <c r="Q6138">
        <v>18750000</v>
      </c>
      <c r="R6138" s="14">
        <f>_xlfn.XLOOKUP(Table2[[#This Row],[LoanID]],Table1[G-L ID],Table1[ManagerCode],-99)</f>
        <v>183</v>
      </c>
      <c r="T6138"/>
    </row>
    <row r="6139" spans="1:20" x14ac:dyDescent="0.25">
      <c r="A6139">
        <v>20171031</v>
      </c>
      <c r="B6139">
        <v>2017</v>
      </c>
      <c r="C6139">
        <v>10</v>
      </c>
      <c r="D6139">
        <v>1</v>
      </c>
      <c r="E6139">
        <v>11450</v>
      </c>
      <c r="F6139">
        <v>138537.97</v>
      </c>
      <c r="G6139">
        <v>0</v>
      </c>
      <c r="H6139">
        <v>0</v>
      </c>
      <c r="I6139">
        <v>0</v>
      </c>
      <c r="J6139">
        <v>0</v>
      </c>
      <c r="K6139">
        <v>0</v>
      </c>
      <c r="L6139">
        <v>16294509.789999999</v>
      </c>
      <c r="M6139">
        <v>16294509.810000001</v>
      </c>
      <c r="N6139">
        <v>16294509.789999999</v>
      </c>
      <c r="O6139">
        <v>16294509.810000001</v>
      </c>
      <c r="P6139">
        <v>16294509.789999999</v>
      </c>
      <c r="Q6139">
        <v>16294509.810000001</v>
      </c>
      <c r="R6139" s="14">
        <f>_xlfn.XLOOKUP(Table2[[#This Row],[LoanID]],Table1[G-L ID],Table1[ManagerCode],-99)</f>
        <v>119</v>
      </c>
      <c r="T6139"/>
    </row>
    <row r="6140" spans="1:20" x14ac:dyDescent="0.25">
      <c r="A6140">
        <v>20171031</v>
      </c>
      <c r="B6140">
        <v>2017</v>
      </c>
      <c r="C6140">
        <v>10</v>
      </c>
      <c r="D6140">
        <v>1</v>
      </c>
      <c r="E6140">
        <v>11480</v>
      </c>
      <c r="F6140">
        <v>422041.67</v>
      </c>
      <c r="G6140">
        <v>0</v>
      </c>
      <c r="H6140">
        <v>0</v>
      </c>
      <c r="I6140">
        <v>0</v>
      </c>
      <c r="J6140">
        <v>0</v>
      </c>
      <c r="K6140">
        <v>0</v>
      </c>
      <c r="L6140">
        <v>66500000</v>
      </c>
      <c r="M6140">
        <v>66500000</v>
      </c>
      <c r="N6140">
        <v>66500000</v>
      </c>
      <c r="O6140">
        <v>66500000</v>
      </c>
      <c r="P6140">
        <v>70000000</v>
      </c>
      <c r="Q6140">
        <v>70000000</v>
      </c>
      <c r="R6140" s="14">
        <f>_xlfn.XLOOKUP(Table2[[#This Row],[LoanID]],Table1[G-L ID],Table1[ManagerCode],-99)</f>
        <v>103</v>
      </c>
      <c r="T6140"/>
    </row>
    <row r="6141" spans="1:20" x14ac:dyDescent="0.25">
      <c r="A6141">
        <v>20171031</v>
      </c>
      <c r="B6141">
        <v>2017</v>
      </c>
      <c r="C6141">
        <v>10</v>
      </c>
      <c r="D6141">
        <v>1</v>
      </c>
      <c r="E6141">
        <v>11490</v>
      </c>
      <c r="F6141">
        <v>388895.83</v>
      </c>
      <c r="G6141">
        <v>0</v>
      </c>
      <c r="H6141">
        <v>0</v>
      </c>
      <c r="I6141">
        <v>0</v>
      </c>
      <c r="J6141">
        <v>0</v>
      </c>
      <c r="K6141">
        <v>0</v>
      </c>
      <c r="L6141">
        <v>52250000</v>
      </c>
      <c r="M6141">
        <v>52250000</v>
      </c>
      <c r="N6141">
        <v>52250000</v>
      </c>
      <c r="O6141">
        <v>52250000</v>
      </c>
      <c r="P6141">
        <v>55000000</v>
      </c>
      <c r="Q6141">
        <v>55000000</v>
      </c>
      <c r="R6141" s="14">
        <f>_xlfn.XLOOKUP(Table2[[#This Row],[LoanID]],Table1[G-L ID],Table1[ManagerCode],-99)</f>
        <v>103</v>
      </c>
      <c r="T6141"/>
    </row>
    <row r="6142" spans="1:20" x14ac:dyDescent="0.25">
      <c r="A6142">
        <v>20171031</v>
      </c>
      <c r="B6142">
        <v>2017</v>
      </c>
      <c r="C6142">
        <v>10</v>
      </c>
      <c r="D6142">
        <v>1</v>
      </c>
      <c r="E6142">
        <v>11520</v>
      </c>
      <c r="F6142">
        <v>58919.42</v>
      </c>
      <c r="G6142">
        <v>0</v>
      </c>
      <c r="H6142">
        <v>0</v>
      </c>
      <c r="I6142">
        <v>0</v>
      </c>
      <c r="J6142">
        <v>0</v>
      </c>
      <c r="K6142">
        <v>0</v>
      </c>
      <c r="L6142">
        <v>9190024.3300000001</v>
      </c>
      <c r="M6142">
        <v>9190024.3300000001</v>
      </c>
      <c r="N6142">
        <v>9190024.3300000001</v>
      </c>
      <c r="O6142">
        <v>9190024.3300000001</v>
      </c>
      <c r="P6142">
        <v>9190024.3300000001</v>
      </c>
      <c r="Q6142">
        <v>9190024.3300000001</v>
      </c>
      <c r="R6142" s="14">
        <f>_xlfn.XLOOKUP(Table2[[#This Row],[LoanID]],Table1[G-L ID],Table1[ManagerCode],-99)</f>
        <v>119</v>
      </c>
      <c r="T6142"/>
    </row>
    <row r="6143" spans="1:20" x14ac:dyDescent="0.25">
      <c r="A6143">
        <v>20171031</v>
      </c>
      <c r="B6143">
        <v>2017</v>
      </c>
      <c r="C6143">
        <v>10</v>
      </c>
      <c r="D6143">
        <v>1</v>
      </c>
      <c r="E6143">
        <v>11530</v>
      </c>
      <c r="F6143">
        <v>130474.01</v>
      </c>
      <c r="G6143">
        <v>0</v>
      </c>
      <c r="H6143">
        <v>0</v>
      </c>
      <c r="I6143">
        <v>0</v>
      </c>
      <c r="J6143">
        <v>0</v>
      </c>
      <c r="K6143">
        <v>0</v>
      </c>
      <c r="L6143">
        <v>14993350.42</v>
      </c>
      <c r="M6143">
        <v>14993350.42</v>
      </c>
      <c r="N6143">
        <v>14993350.42</v>
      </c>
      <c r="O6143">
        <v>14993350.42</v>
      </c>
      <c r="P6143">
        <v>14993350.42</v>
      </c>
      <c r="Q6143">
        <v>14993350.42</v>
      </c>
      <c r="R6143" s="14">
        <f>_xlfn.XLOOKUP(Table2[[#This Row],[LoanID]],Table1[G-L ID],Table1[ManagerCode],-99)</f>
        <v>119</v>
      </c>
      <c r="T6143"/>
    </row>
    <row r="6144" spans="1:20" x14ac:dyDescent="0.25">
      <c r="A6144">
        <v>20171031</v>
      </c>
      <c r="B6144">
        <v>2017</v>
      </c>
      <c r="C6144">
        <v>10</v>
      </c>
      <c r="D6144">
        <v>1</v>
      </c>
      <c r="E6144">
        <v>11590</v>
      </c>
      <c r="F6144">
        <v>36978.76</v>
      </c>
      <c r="G6144">
        <v>0</v>
      </c>
      <c r="H6144">
        <v>0</v>
      </c>
      <c r="I6144">
        <v>0</v>
      </c>
      <c r="J6144">
        <v>0</v>
      </c>
      <c r="K6144">
        <v>1524935.31</v>
      </c>
      <c r="L6144">
        <v>3507224.44</v>
      </c>
      <c r="M6144">
        <v>1982289.13</v>
      </c>
      <c r="N6144">
        <v>3507224.44</v>
      </c>
      <c r="O6144">
        <v>1982289.13</v>
      </c>
      <c r="P6144">
        <v>3507224.44</v>
      </c>
      <c r="Q6144">
        <v>1982289.13</v>
      </c>
      <c r="R6144" s="14">
        <f>_xlfn.XLOOKUP(Table2[[#This Row],[LoanID]],Table1[G-L ID],Table1[ManagerCode],-99)</f>
        <v>119</v>
      </c>
      <c r="T6144"/>
    </row>
    <row r="6145" spans="1:20" x14ac:dyDescent="0.25">
      <c r="A6145">
        <v>20171031</v>
      </c>
      <c r="B6145">
        <v>2017</v>
      </c>
      <c r="C6145">
        <v>10</v>
      </c>
      <c r="D6145">
        <v>1</v>
      </c>
      <c r="E6145">
        <v>11680</v>
      </c>
      <c r="F6145">
        <v>57126.559999999998</v>
      </c>
      <c r="G6145">
        <v>0</v>
      </c>
      <c r="H6145">
        <v>0</v>
      </c>
      <c r="I6145">
        <v>0</v>
      </c>
      <c r="J6145">
        <v>0</v>
      </c>
      <c r="K6145">
        <v>0</v>
      </c>
      <c r="L6145">
        <v>6600000</v>
      </c>
      <c r="M6145">
        <v>6600000</v>
      </c>
      <c r="N6145">
        <v>6600000</v>
      </c>
      <c r="O6145">
        <v>6600000</v>
      </c>
      <c r="P6145">
        <v>6600000</v>
      </c>
      <c r="Q6145">
        <v>6600000</v>
      </c>
      <c r="R6145" s="14">
        <f>_xlfn.XLOOKUP(Table2[[#This Row],[LoanID]],Table1[G-L ID],Table1[ManagerCode],-99)</f>
        <v>183</v>
      </c>
      <c r="T6145"/>
    </row>
    <row r="6146" spans="1:20" x14ac:dyDescent="0.25">
      <c r="A6146">
        <v>20171031</v>
      </c>
      <c r="B6146">
        <v>2017</v>
      </c>
      <c r="C6146">
        <v>10</v>
      </c>
      <c r="D6146">
        <v>1</v>
      </c>
      <c r="E6146">
        <v>11690</v>
      </c>
      <c r="F6146">
        <v>144995.82999999999</v>
      </c>
      <c r="G6146">
        <v>0</v>
      </c>
      <c r="H6146">
        <v>0</v>
      </c>
      <c r="I6146">
        <v>0</v>
      </c>
      <c r="J6146">
        <v>0</v>
      </c>
      <c r="K6146">
        <v>0</v>
      </c>
      <c r="L6146">
        <v>17000000</v>
      </c>
      <c r="M6146">
        <v>17000000</v>
      </c>
      <c r="N6146">
        <v>17000000</v>
      </c>
      <c r="O6146">
        <v>17000000</v>
      </c>
      <c r="P6146">
        <v>17000000</v>
      </c>
      <c r="Q6146">
        <v>17000000</v>
      </c>
      <c r="R6146" s="14">
        <f>_xlfn.XLOOKUP(Table2[[#This Row],[LoanID]],Table1[G-L ID],Table1[ManagerCode],-99)</f>
        <v>119</v>
      </c>
      <c r="T6146"/>
    </row>
    <row r="6147" spans="1:20" x14ac:dyDescent="0.25">
      <c r="A6147">
        <v>20171031</v>
      </c>
      <c r="B6147">
        <v>2017</v>
      </c>
      <c r="C6147">
        <v>10</v>
      </c>
      <c r="D6147">
        <v>1</v>
      </c>
      <c r="E6147">
        <v>11730</v>
      </c>
      <c r="F6147">
        <v>51381.14</v>
      </c>
      <c r="G6147">
        <v>0</v>
      </c>
      <c r="H6147">
        <v>0</v>
      </c>
      <c r="I6147">
        <v>0</v>
      </c>
      <c r="J6147">
        <v>0</v>
      </c>
      <c r="K6147">
        <v>8315</v>
      </c>
      <c r="L6147">
        <v>4918724</v>
      </c>
      <c r="M6147">
        <v>4910409</v>
      </c>
      <c r="N6147">
        <v>4918724</v>
      </c>
      <c r="O6147">
        <v>4910409</v>
      </c>
      <c r="P6147">
        <v>4918724</v>
      </c>
      <c r="Q6147">
        <v>4910409</v>
      </c>
      <c r="R6147" s="14">
        <f>_xlfn.XLOOKUP(Table2[[#This Row],[LoanID]],Table1[G-L ID],Table1[ManagerCode],-99)</f>
        <v>119</v>
      </c>
      <c r="T6147"/>
    </row>
    <row r="6148" spans="1:20" x14ac:dyDescent="0.25">
      <c r="A6148">
        <v>20171031</v>
      </c>
      <c r="B6148">
        <v>2017</v>
      </c>
      <c r="C6148">
        <v>10</v>
      </c>
      <c r="D6148">
        <v>1</v>
      </c>
      <c r="E6148">
        <v>11750</v>
      </c>
      <c r="F6148">
        <v>251571.25</v>
      </c>
      <c r="G6148">
        <v>123953.68</v>
      </c>
      <c r="H6148">
        <v>0</v>
      </c>
      <c r="I6148">
        <v>0</v>
      </c>
      <c r="J6148">
        <v>-223251.82</v>
      </c>
      <c r="K6148">
        <v>0</v>
      </c>
      <c r="L6148">
        <v>53555043.560000002</v>
      </c>
      <c r="M6148">
        <v>53902249.060000002</v>
      </c>
      <c r="N6148">
        <v>53555043.560000002</v>
      </c>
      <c r="O6148">
        <v>53902249.060000002</v>
      </c>
      <c r="P6148">
        <v>53555043.560000002</v>
      </c>
      <c r="Q6148">
        <v>53902249.060000002</v>
      </c>
      <c r="R6148" s="14">
        <f>_xlfn.XLOOKUP(Table2[[#This Row],[LoanID]],Table1[G-L ID],Table1[ManagerCode],-99)</f>
        <v>183</v>
      </c>
      <c r="T6148"/>
    </row>
    <row r="6149" spans="1:20" x14ac:dyDescent="0.25">
      <c r="A6149">
        <v>20171031</v>
      </c>
      <c r="B6149">
        <v>2017</v>
      </c>
      <c r="C6149">
        <v>10</v>
      </c>
      <c r="D6149">
        <v>1</v>
      </c>
      <c r="E6149">
        <v>11830</v>
      </c>
      <c r="F6149">
        <v>90140.75</v>
      </c>
      <c r="G6149">
        <v>0</v>
      </c>
      <c r="H6149">
        <v>0</v>
      </c>
      <c r="I6149">
        <v>0</v>
      </c>
      <c r="J6149">
        <v>-568914.79</v>
      </c>
      <c r="K6149">
        <v>0</v>
      </c>
      <c r="L6149">
        <v>11427631.720000001</v>
      </c>
      <c r="M6149">
        <v>11996546.51</v>
      </c>
      <c r="N6149">
        <v>11427631.720000001</v>
      </c>
      <c r="O6149">
        <v>11996546.51</v>
      </c>
      <c r="P6149">
        <v>11427631.720000001</v>
      </c>
      <c r="Q6149">
        <v>11996546.51</v>
      </c>
      <c r="R6149" s="14">
        <f>_xlfn.XLOOKUP(Table2[[#This Row],[LoanID]],Table1[G-L ID],Table1[ManagerCode],-99)</f>
        <v>119</v>
      </c>
      <c r="T6149"/>
    </row>
    <row r="6150" spans="1:20" x14ac:dyDescent="0.25">
      <c r="A6150">
        <v>20171031</v>
      </c>
      <c r="B6150">
        <v>2017</v>
      </c>
      <c r="C6150">
        <v>10</v>
      </c>
      <c r="D6150">
        <v>1</v>
      </c>
      <c r="E6150">
        <v>11850</v>
      </c>
      <c r="F6150">
        <v>97500</v>
      </c>
      <c r="G6150">
        <v>0</v>
      </c>
      <c r="H6150">
        <v>0</v>
      </c>
      <c r="I6150">
        <v>0</v>
      </c>
      <c r="J6150">
        <v>0</v>
      </c>
      <c r="K6150">
        <v>0</v>
      </c>
      <c r="L6150">
        <v>9000000</v>
      </c>
      <c r="M6150">
        <v>9000000</v>
      </c>
      <c r="N6150">
        <v>9000000</v>
      </c>
      <c r="O6150">
        <v>9000000</v>
      </c>
      <c r="P6150">
        <v>9000000</v>
      </c>
      <c r="Q6150">
        <v>9000000</v>
      </c>
      <c r="R6150" s="14">
        <f>_xlfn.XLOOKUP(Table2[[#This Row],[LoanID]],Table1[G-L ID],Table1[ManagerCode],-99)</f>
        <v>183</v>
      </c>
      <c r="T6150"/>
    </row>
    <row r="6151" spans="1:20" x14ac:dyDescent="0.25">
      <c r="A6151">
        <v>20171031</v>
      </c>
      <c r="B6151">
        <v>2017</v>
      </c>
      <c r="C6151">
        <v>10</v>
      </c>
      <c r="D6151">
        <v>1</v>
      </c>
      <c r="E6151">
        <v>11980</v>
      </c>
      <c r="F6151">
        <v>73297.990000000005</v>
      </c>
      <c r="G6151">
        <v>0</v>
      </c>
      <c r="H6151">
        <v>0</v>
      </c>
      <c r="I6151">
        <v>0</v>
      </c>
      <c r="J6151">
        <v>0</v>
      </c>
      <c r="K6151">
        <v>0</v>
      </c>
      <c r="L6151">
        <v>7400000</v>
      </c>
      <c r="M6151">
        <v>7400000</v>
      </c>
      <c r="N6151">
        <v>7400000</v>
      </c>
      <c r="O6151">
        <v>7400000</v>
      </c>
      <c r="P6151">
        <v>7400000</v>
      </c>
      <c r="Q6151">
        <v>7400000</v>
      </c>
      <c r="R6151" s="14">
        <f>_xlfn.XLOOKUP(Table2[[#This Row],[LoanID]],Table1[G-L ID],Table1[ManagerCode],-99)</f>
        <v>119</v>
      </c>
      <c r="T6151"/>
    </row>
    <row r="6152" spans="1:20" x14ac:dyDescent="0.25">
      <c r="A6152">
        <v>20171031</v>
      </c>
      <c r="B6152">
        <v>2017</v>
      </c>
      <c r="C6152">
        <v>10</v>
      </c>
      <c r="D6152">
        <v>1</v>
      </c>
      <c r="E6152">
        <v>12030</v>
      </c>
      <c r="F6152">
        <v>43339.75</v>
      </c>
      <c r="G6152">
        <v>0</v>
      </c>
      <c r="H6152">
        <v>0</v>
      </c>
      <c r="I6152">
        <v>0</v>
      </c>
      <c r="J6152">
        <v>0</v>
      </c>
      <c r="K6152">
        <v>0</v>
      </c>
      <c r="L6152">
        <v>6375000</v>
      </c>
      <c r="M6152">
        <v>6375000</v>
      </c>
      <c r="N6152">
        <v>6375000</v>
      </c>
      <c r="O6152">
        <v>6375000</v>
      </c>
      <c r="P6152">
        <v>6375000</v>
      </c>
      <c r="Q6152">
        <v>6375000</v>
      </c>
      <c r="R6152" s="14">
        <f>_xlfn.XLOOKUP(Table2[[#This Row],[LoanID]],Table1[G-L ID],Table1[ManagerCode],-99)</f>
        <v>119</v>
      </c>
      <c r="T6152"/>
    </row>
    <row r="6153" spans="1:20" x14ac:dyDescent="0.25">
      <c r="A6153">
        <v>20171031</v>
      </c>
      <c r="B6153">
        <v>2017</v>
      </c>
      <c r="C6153">
        <v>10</v>
      </c>
      <c r="D6153">
        <v>1</v>
      </c>
      <c r="E6153">
        <v>12180</v>
      </c>
      <c r="F6153">
        <v>221237.25</v>
      </c>
      <c r="G6153">
        <v>0</v>
      </c>
      <c r="H6153">
        <v>0</v>
      </c>
      <c r="I6153">
        <v>0</v>
      </c>
      <c r="J6153">
        <v>0</v>
      </c>
      <c r="K6153">
        <v>0</v>
      </c>
      <c r="L6153">
        <v>30393210.870000001</v>
      </c>
      <c r="M6153">
        <v>30393210.870000001</v>
      </c>
      <c r="N6153">
        <v>30393210.870000001</v>
      </c>
      <c r="O6153">
        <v>30393210.870000001</v>
      </c>
      <c r="P6153">
        <v>30393210.870000001</v>
      </c>
      <c r="Q6153">
        <v>30393210.870000001</v>
      </c>
      <c r="R6153" s="14">
        <f>_xlfn.XLOOKUP(Table2[[#This Row],[LoanID]],Table1[G-L ID],Table1[ManagerCode],-99)</f>
        <v>220</v>
      </c>
      <c r="T6153"/>
    </row>
    <row r="6154" spans="1:20" x14ac:dyDescent="0.25">
      <c r="A6154">
        <v>20171031</v>
      </c>
      <c r="B6154">
        <v>2017</v>
      </c>
      <c r="C6154">
        <v>10</v>
      </c>
      <c r="D6154">
        <v>1</v>
      </c>
      <c r="E6154">
        <v>12220</v>
      </c>
      <c r="F6154">
        <v>183747.04</v>
      </c>
      <c r="G6154">
        <v>0</v>
      </c>
      <c r="H6154">
        <v>0</v>
      </c>
      <c r="I6154">
        <v>0</v>
      </c>
      <c r="J6154">
        <v>0</v>
      </c>
      <c r="K6154">
        <v>0</v>
      </c>
      <c r="L6154">
        <v>54500000</v>
      </c>
      <c r="M6154">
        <v>54500000</v>
      </c>
      <c r="N6154">
        <v>27250000</v>
      </c>
      <c r="O6154">
        <v>27250000</v>
      </c>
      <c r="P6154">
        <v>54500000</v>
      </c>
      <c r="Q6154">
        <v>54500000</v>
      </c>
      <c r="R6154" s="14">
        <f>_xlfn.XLOOKUP(Table2[[#This Row],[LoanID]],Table1[G-L ID],Table1[ManagerCode],-99)</f>
        <v>183</v>
      </c>
      <c r="T6154"/>
    </row>
    <row r="6155" spans="1:20" x14ac:dyDescent="0.25">
      <c r="A6155">
        <v>20171031</v>
      </c>
      <c r="B6155">
        <v>2017</v>
      </c>
      <c r="C6155">
        <v>10</v>
      </c>
      <c r="D6155">
        <v>1</v>
      </c>
      <c r="E6155">
        <v>12250</v>
      </c>
      <c r="F6155">
        <v>96660.94</v>
      </c>
      <c r="G6155">
        <v>0</v>
      </c>
      <c r="H6155">
        <v>0</v>
      </c>
      <c r="I6155">
        <v>0</v>
      </c>
      <c r="J6155">
        <v>-134916.62</v>
      </c>
      <c r="K6155">
        <v>0</v>
      </c>
      <c r="L6155">
        <v>11163585.060000001</v>
      </c>
      <c r="M6155">
        <v>11298501.68</v>
      </c>
      <c r="N6155">
        <v>11163585.060000001</v>
      </c>
      <c r="O6155">
        <v>11298501.68</v>
      </c>
      <c r="P6155">
        <v>11163585.060000001</v>
      </c>
      <c r="Q6155">
        <v>11298501.68</v>
      </c>
      <c r="R6155" s="14">
        <f>_xlfn.XLOOKUP(Table2[[#This Row],[LoanID]],Table1[G-L ID],Table1[ManagerCode],-99)</f>
        <v>119</v>
      </c>
      <c r="T6155"/>
    </row>
    <row r="6156" spans="1:20" x14ac:dyDescent="0.25">
      <c r="A6156">
        <v>20171031</v>
      </c>
      <c r="B6156">
        <v>2017</v>
      </c>
      <c r="C6156">
        <v>10</v>
      </c>
      <c r="D6156">
        <v>1</v>
      </c>
      <c r="E6156">
        <v>12260</v>
      </c>
      <c r="F6156">
        <v>109303.12</v>
      </c>
      <c r="G6156">
        <v>0</v>
      </c>
      <c r="H6156">
        <v>0</v>
      </c>
      <c r="I6156">
        <v>0</v>
      </c>
      <c r="J6156">
        <v>-220448.4</v>
      </c>
      <c r="K6156">
        <v>0</v>
      </c>
      <c r="L6156">
        <v>11250000</v>
      </c>
      <c r="M6156">
        <v>11470448.4</v>
      </c>
      <c r="N6156">
        <v>11250000</v>
      </c>
      <c r="O6156">
        <v>11470448.4</v>
      </c>
      <c r="P6156">
        <v>11250000</v>
      </c>
      <c r="Q6156">
        <v>11470448.4</v>
      </c>
      <c r="R6156" s="14">
        <f>_xlfn.XLOOKUP(Table2[[#This Row],[LoanID]],Table1[G-L ID],Table1[ManagerCode],-99)</f>
        <v>119</v>
      </c>
      <c r="T6156"/>
    </row>
    <row r="6157" spans="1:20" x14ac:dyDescent="0.25">
      <c r="A6157">
        <v>20171031</v>
      </c>
      <c r="B6157">
        <v>2017</v>
      </c>
      <c r="C6157">
        <v>10</v>
      </c>
      <c r="D6157">
        <v>1</v>
      </c>
      <c r="E6157">
        <v>12270</v>
      </c>
      <c r="F6157">
        <v>218689.04</v>
      </c>
      <c r="G6157">
        <v>0</v>
      </c>
      <c r="H6157">
        <v>0</v>
      </c>
      <c r="I6157">
        <v>0</v>
      </c>
      <c r="J6157">
        <v>3696990.22</v>
      </c>
      <c r="K6157">
        <v>0</v>
      </c>
      <c r="L6157">
        <v>19902796.600000001</v>
      </c>
      <c r="M6157">
        <v>16205806.380000001</v>
      </c>
      <c r="N6157">
        <v>19902796.600000001</v>
      </c>
      <c r="O6157">
        <v>16205806.380000001</v>
      </c>
      <c r="P6157">
        <v>19902796.600000001</v>
      </c>
      <c r="Q6157">
        <v>16205806.380000001</v>
      </c>
      <c r="R6157" s="14">
        <f>_xlfn.XLOOKUP(Table2[[#This Row],[LoanID]],Table1[G-L ID],Table1[ManagerCode],-99)</f>
        <v>119</v>
      </c>
      <c r="T6157"/>
    </row>
    <row r="6158" spans="1:20" x14ac:dyDescent="0.25">
      <c r="A6158">
        <v>20171031</v>
      </c>
      <c r="B6158">
        <v>2017</v>
      </c>
      <c r="C6158">
        <v>10</v>
      </c>
      <c r="D6158">
        <v>1</v>
      </c>
      <c r="E6158">
        <v>12280</v>
      </c>
      <c r="F6158">
        <v>125395.15</v>
      </c>
      <c r="G6158">
        <v>0</v>
      </c>
      <c r="H6158">
        <v>0</v>
      </c>
      <c r="I6158">
        <v>0</v>
      </c>
      <c r="J6158">
        <v>-1926429.65</v>
      </c>
      <c r="K6158">
        <v>0</v>
      </c>
      <c r="L6158">
        <v>12818750</v>
      </c>
      <c r="M6158">
        <v>14745179.65</v>
      </c>
      <c r="N6158">
        <v>12818750</v>
      </c>
      <c r="O6158">
        <v>14745179.65</v>
      </c>
      <c r="P6158">
        <v>12818750</v>
      </c>
      <c r="Q6158">
        <v>14745179.65</v>
      </c>
      <c r="R6158" s="14">
        <f>_xlfn.XLOOKUP(Table2[[#This Row],[LoanID]],Table1[G-L ID],Table1[ManagerCode],-99)</f>
        <v>119</v>
      </c>
      <c r="T6158"/>
    </row>
    <row r="6159" spans="1:20" x14ac:dyDescent="0.25">
      <c r="A6159">
        <v>20171031</v>
      </c>
      <c r="B6159">
        <v>2017</v>
      </c>
      <c r="C6159">
        <v>10</v>
      </c>
      <c r="D6159">
        <v>1</v>
      </c>
      <c r="E6159">
        <v>12290</v>
      </c>
      <c r="F6159">
        <v>202076.87</v>
      </c>
      <c r="G6159">
        <v>0</v>
      </c>
      <c r="H6159">
        <v>0</v>
      </c>
      <c r="I6159">
        <v>0</v>
      </c>
      <c r="J6159">
        <v>0</v>
      </c>
      <c r="K6159">
        <v>0</v>
      </c>
      <c r="L6159">
        <v>22750000</v>
      </c>
      <c r="M6159">
        <v>22750000</v>
      </c>
      <c r="N6159">
        <v>22750000</v>
      </c>
      <c r="O6159">
        <v>22750000</v>
      </c>
      <c r="P6159">
        <v>22750000</v>
      </c>
      <c r="Q6159">
        <v>22750000</v>
      </c>
      <c r="R6159" s="14">
        <f>_xlfn.XLOOKUP(Table2[[#This Row],[LoanID]],Table1[G-L ID],Table1[ManagerCode],-99)</f>
        <v>119</v>
      </c>
      <c r="T6159"/>
    </row>
    <row r="6160" spans="1:20" x14ac:dyDescent="0.25">
      <c r="A6160">
        <v>20171031</v>
      </c>
      <c r="B6160">
        <v>2017</v>
      </c>
      <c r="C6160">
        <v>10</v>
      </c>
      <c r="D6160">
        <v>1</v>
      </c>
      <c r="E6160">
        <v>12300</v>
      </c>
      <c r="F6160">
        <v>91620.33</v>
      </c>
      <c r="G6160">
        <v>0</v>
      </c>
      <c r="H6160">
        <v>0</v>
      </c>
      <c r="I6160">
        <v>0</v>
      </c>
      <c r="J6160">
        <v>0</v>
      </c>
      <c r="K6160">
        <v>0</v>
      </c>
      <c r="L6160">
        <v>10000000</v>
      </c>
      <c r="M6160">
        <v>10000000</v>
      </c>
      <c r="N6160">
        <v>10000000</v>
      </c>
      <c r="O6160">
        <v>10000000</v>
      </c>
      <c r="P6160">
        <v>10000000</v>
      </c>
      <c r="Q6160">
        <v>10000000</v>
      </c>
      <c r="R6160" s="14">
        <f>_xlfn.XLOOKUP(Table2[[#This Row],[LoanID]],Table1[G-L ID],Table1[ManagerCode],-99)</f>
        <v>119</v>
      </c>
      <c r="T6160"/>
    </row>
    <row r="6161" spans="1:20" x14ac:dyDescent="0.25">
      <c r="A6161">
        <v>20171031</v>
      </c>
      <c r="B6161">
        <v>2017</v>
      </c>
      <c r="C6161">
        <v>10</v>
      </c>
      <c r="D6161">
        <v>1</v>
      </c>
      <c r="E6161">
        <v>12310</v>
      </c>
      <c r="F6161">
        <v>131526.73000000001</v>
      </c>
      <c r="G6161">
        <v>0</v>
      </c>
      <c r="H6161">
        <v>0</v>
      </c>
      <c r="I6161">
        <v>0</v>
      </c>
      <c r="J6161">
        <v>0</v>
      </c>
      <c r="K6161">
        <v>0</v>
      </c>
      <c r="L6161">
        <v>16375000</v>
      </c>
      <c r="M6161">
        <v>16375000</v>
      </c>
      <c r="N6161">
        <v>16375000</v>
      </c>
      <c r="O6161">
        <v>16375000</v>
      </c>
      <c r="P6161">
        <v>16375000</v>
      </c>
      <c r="Q6161">
        <v>16375000</v>
      </c>
      <c r="R6161" s="14">
        <f>_xlfn.XLOOKUP(Table2[[#This Row],[LoanID]],Table1[G-L ID],Table1[ManagerCode],-99)</f>
        <v>119</v>
      </c>
      <c r="T6161"/>
    </row>
    <row r="6162" spans="1:20" x14ac:dyDescent="0.25">
      <c r="A6162">
        <v>20171031</v>
      </c>
      <c r="B6162">
        <v>2017</v>
      </c>
      <c r="C6162">
        <v>10</v>
      </c>
      <c r="D6162">
        <v>1</v>
      </c>
      <c r="E6162">
        <v>12320</v>
      </c>
      <c r="F6162">
        <v>102268.48</v>
      </c>
      <c r="G6162">
        <v>0</v>
      </c>
      <c r="H6162">
        <v>0</v>
      </c>
      <c r="I6162">
        <v>0</v>
      </c>
      <c r="J6162">
        <v>0</v>
      </c>
      <c r="K6162">
        <v>0</v>
      </c>
      <c r="L6162">
        <v>11750000</v>
      </c>
      <c r="M6162">
        <v>11750000</v>
      </c>
      <c r="N6162">
        <v>11750000</v>
      </c>
      <c r="O6162">
        <v>11750000</v>
      </c>
      <c r="P6162">
        <v>11750000</v>
      </c>
      <c r="Q6162">
        <v>11750000</v>
      </c>
      <c r="R6162" s="14">
        <f>_xlfn.XLOOKUP(Table2[[#This Row],[LoanID]],Table1[G-L ID],Table1[ManagerCode],-99)</f>
        <v>119</v>
      </c>
      <c r="T6162"/>
    </row>
    <row r="6163" spans="1:20" x14ac:dyDescent="0.25">
      <c r="A6163">
        <v>20171031</v>
      </c>
      <c r="B6163">
        <v>2017</v>
      </c>
      <c r="C6163">
        <v>10</v>
      </c>
      <c r="D6163">
        <v>1</v>
      </c>
      <c r="E6163">
        <v>12330</v>
      </c>
      <c r="F6163">
        <v>199515.29</v>
      </c>
      <c r="G6163">
        <v>0</v>
      </c>
      <c r="H6163">
        <v>0</v>
      </c>
      <c r="I6163">
        <v>0</v>
      </c>
      <c r="J6163">
        <v>0</v>
      </c>
      <c r="K6163">
        <v>0</v>
      </c>
      <c r="L6163">
        <v>19976500</v>
      </c>
      <c r="M6163">
        <v>19976500</v>
      </c>
      <c r="N6163">
        <v>19976500</v>
      </c>
      <c r="O6163">
        <v>19976500</v>
      </c>
      <c r="P6163">
        <v>19976500</v>
      </c>
      <c r="Q6163">
        <v>19976500</v>
      </c>
      <c r="R6163" s="14">
        <f>_xlfn.XLOOKUP(Table2[[#This Row],[LoanID]],Table1[G-L ID],Table1[ManagerCode],-99)</f>
        <v>119</v>
      </c>
      <c r="T6163"/>
    </row>
    <row r="6164" spans="1:20" x14ac:dyDescent="0.25">
      <c r="A6164">
        <v>20171031</v>
      </c>
      <c r="B6164">
        <v>2017</v>
      </c>
      <c r="C6164">
        <v>10</v>
      </c>
      <c r="D6164">
        <v>1</v>
      </c>
      <c r="E6164">
        <v>12340</v>
      </c>
      <c r="F6164">
        <v>81720</v>
      </c>
      <c r="G6164">
        <v>0</v>
      </c>
      <c r="H6164">
        <v>0</v>
      </c>
      <c r="I6164">
        <v>0</v>
      </c>
      <c r="J6164">
        <v>0</v>
      </c>
      <c r="K6164">
        <v>0</v>
      </c>
      <c r="L6164">
        <v>24000000</v>
      </c>
      <c r="M6164">
        <v>24000000</v>
      </c>
      <c r="N6164">
        <v>12000000</v>
      </c>
      <c r="O6164">
        <v>12000000</v>
      </c>
      <c r="P6164">
        <v>24000000</v>
      </c>
      <c r="Q6164">
        <v>24000000</v>
      </c>
      <c r="R6164" s="14">
        <f>_xlfn.XLOOKUP(Table2[[#This Row],[LoanID]],Table1[G-L ID],Table1[ManagerCode],-99)</f>
        <v>183</v>
      </c>
      <c r="T6164"/>
    </row>
    <row r="6165" spans="1:20" x14ac:dyDescent="0.25">
      <c r="A6165">
        <v>20171031</v>
      </c>
      <c r="B6165">
        <v>2017</v>
      </c>
      <c r="C6165">
        <v>10</v>
      </c>
      <c r="D6165">
        <v>1</v>
      </c>
      <c r="E6165">
        <v>12350</v>
      </c>
      <c r="F6165">
        <v>159675</v>
      </c>
      <c r="G6165">
        <v>0</v>
      </c>
      <c r="H6165">
        <v>0</v>
      </c>
      <c r="I6165">
        <v>0</v>
      </c>
      <c r="J6165">
        <v>0</v>
      </c>
      <c r="K6165">
        <v>0</v>
      </c>
      <c r="L6165">
        <v>60000000</v>
      </c>
      <c r="M6165">
        <v>60000000</v>
      </c>
      <c r="N6165">
        <v>22500000</v>
      </c>
      <c r="O6165">
        <v>22500000</v>
      </c>
      <c r="P6165">
        <v>60000000</v>
      </c>
      <c r="Q6165">
        <v>60000000</v>
      </c>
      <c r="R6165" s="14">
        <f>_xlfn.XLOOKUP(Table2[[#This Row],[LoanID]],Table1[G-L ID],Table1[ManagerCode],-99)</f>
        <v>183</v>
      </c>
      <c r="T6165"/>
    </row>
    <row r="6166" spans="1:20" x14ac:dyDescent="0.25">
      <c r="A6166">
        <v>20171031</v>
      </c>
      <c r="B6166">
        <v>2017</v>
      </c>
      <c r="C6166">
        <v>10</v>
      </c>
      <c r="D6166">
        <v>1</v>
      </c>
      <c r="E6166">
        <v>12360</v>
      </c>
      <c r="F6166">
        <v>115268.3</v>
      </c>
      <c r="G6166">
        <v>0</v>
      </c>
      <c r="H6166">
        <v>0</v>
      </c>
      <c r="I6166">
        <v>0</v>
      </c>
      <c r="J6166">
        <v>0</v>
      </c>
      <c r="K6166">
        <v>0</v>
      </c>
      <c r="L6166">
        <v>60000000</v>
      </c>
      <c r="M6166">
        <v>60000000</v>
      </c>
      <c r="N6166">
        <v>19000000</v>
      </c>
      <c r="O6166">
        <v>19000000</v>
      </c>
      <c r="P6166">
        <v>60000000</v>
      </c>
      <c r="Q6166">
        <v>60000000</v>
      </c>
      <c r="R6166" s="14">
        <f>_xlfn.XLOOKUP(Table2[[#This Row],[LoanID]],Table1[G-L ID],Table1[ManagerCode],-99)</f>
        <v>183</v>
      </c>
      <c r="T6166"/>
    </row>
    <row r="6167" spans="1:20" x14ac:dyDescent="0.25">
      <c r="A6167">
        <v>20171031</v>
      </c>
      <c r="B6167">
        <v>2017</v>
      </c>
      <c r="C6167">
        <v>10</v>
      </c>
      <c r="D6167">
        <v>1</v>
      </c>
      <c r="E6167">
        <v>12370</v>
      </c>
      <c r="F6167">
        <v>349211.78</v>
      </c>
      <c r="G6167">
        <v>0</v>
      </c>
      <c r="H6167">
        <v>0</v>
      </c>
      <c r="I6167">
        <v>0</v>
      </c>
      <c r="J6167">
        <v>0</v>
      </c>
      <c r="K6167">
        <v>0</v>
      </c>
      <c r="L6167">
        <v>104000000</v>
      </c>
      <c r="M6167">
        <v>104000000</v>
      </c>
      <c r="N6167">
        <v>44000000</v>
      </c>
      <c r="O6167">
        <v>44000000</v>
      </c>
      <c r="P6167">
        <v>104000000</v>
      </c>
      <c r="Q6167">
        <v>104000000</v>
      </c>
      <c r="R6167" s="14">
        <f>_xlfn.XLOOKUP(Table2[[#This Row],[LoanID]],Table1[G-L ID],Table1[ManagerCode],-99)</f>
        <v>183</v>
      </c>
      <c r="T6167"/>
    </row>
    <row r="6168" spans="1:20" x14ac:dyDescent="0.25">
      <c r="A6168">
        <v>20171031</v>
      </c>
      <c r="B6168">
        <v>2017</v>
      </c>
      <c r="C6168">
        <v>10</v>
      </c>
      <c r="D6168">
        <v>1</v>
      </c>
      <c r="E6168">
        <v>12380</v>
      </c>
      <c r="F6168">
        <v>130918.12</v>
      </c>
      <c r="G6168">
        <v>0</v>
      </c>
      <c r="H6168">
        <v>0</v>
      </c>
      <c r="I6168">
        <v>0</v>
      </c>
      <c r="J6168">
        <v>0</v>
      </c>
      <c r="K6168">
        <v>0</v>
      </c>
      <c r="L6168">
        <v>32500000</v>
      </c>
      <c r="M6168">
        <v>32500000</v>
      </c>
      <c r="N6168">
        <v>12350000</v>
      </c>
      <c r="O6168">
        <v>12350000</v>
      </c>
      <c r="P6168">
        <v>32500000</v>
      </c>
      <c r="Q6168">
        <v>32500000</v>
      </c>
      <c r="R6168" s="14">
        <f>_xlfn.XLOOKUP(Table2[[#This Row],[LoanID]],Table1[G-L ID],Table1[ManagerCode],-99)</f>
        <v>183</v>
      </c>
      <c r="T6168"/>
    </row>
    <row r="6169" spans="1:20" x14ac:dyDescent="0.25">
      <c r="A6169">
        <v>20171031</v>
      </c>
      <c r="B6169">
        <v>2017</v>
      </c>
      <c r="C6169">
        <v>10</v>
      </c>
      <c r="D6169">
        <v>1</v>
      </c>
      <c r="E6169">
        <v>12390</v>
      </c>
      <c r="F6169">
        <v>162497.19</v>
      </c>
      <c r="G6169">
        <v>268777.76</v>
      </c>
      <c r="H6169">
        <v>0</v>
      </c>
      <c r="I6169">
        <v>0</v>
      </c>
      <c r="J6169">
        <v>-162497.19</v>
      </c>
      <c r="K6169">
        <v>0</v>
      </c>
      <c r="L6169">
        <v>27758463.780000001</v>
      </c>
      <c r="M6169">
        <v>28189738.73</v>
      </c>
      <c r="N6169">
        <v>27758463.780000001</v>
      </c>
      <c r="O6169">
        <v>28189738.73</v>
      </c>
      <c r="P6169">
        <v>27758463.780000001</v>
      </c>
      <c r="Q6169">
        <v>28189738.73</v>
      </c>
      <c r="R6169" s="14">
        <f>_xlfn.XLOOKUP(Table2[[#This Row],[LoanID]],Table1[G-L ID],Table1[ManagerCode],-99)</f>
        <v>183</v>
      </c>
      <c r="T6169"/>
    </row>
    <row r="6170" spans="1:20" x14ac:dyDescent="0.25">
      <c r="A6170">
        <v>20171031</v>
      </c>
      <c r="B6170">
        <v>2017</v>
      </c>
      <c r="C6170">
        <v>10</v>
      </c>
      <c r="D6170">
        <v>1</v>
      </c>
      <c r="E6170">
        <v>12400</v>
      </c>
      <c r="F6170">
        <v>18476.57</v>
      </c>
      <c r="G6170">
        <v>62829.49</v>
      </c>
      <c r="H6170">
        <v>0</v>
      </c>
      <c r="I6170">
        <v>0</v>
      </c>
      <c r="J6170">
        <v>-2200064.2000000002</v>
      </c>
      <c r="K6170">
        <v>0</v>
      </c>
      <c r="L6170">
        <v>11105958.289999999</v>
      </c>
      <c r="M6170">
        <v>13368851.98</v>
      </c>
      <c r="N6170">
        <v>11105958.289999999</v>
      </c>
      <c r="O6170">
        <v>13368851.98</v>
      </c>
      <c r="P6170">
        <v>11105958.289999999</v>
      </c>
      <c r="Q6170">
        <v>13368851.98</v>
      </c>
      <c r="R6170" s="14">
        <f>_xlfn.XLOOKUP(Table2[[#This Row],[LoanID]],Table1[G-L ID],Table1[ManagerCode],-99)</f>
        <v>183</v>
      </c>
      <c r="T6170"/>
    </row>
    <row r="6171" spans="1:20" x14ac:dyDescent="0.25">
      <c r="A6171">
        <v>20171031</v>
      </c>
      <c r="B6171">
        <v>2017</v>
      </c>
      <c r="C6171">
        <v>10</v>
      </c>
      <c r="D6171">
        <v>1</v>
      </c>
      <c r="E6171">
        <v>12410</v>
      </c>
      <c r="F6171">
        <v>322000.98</v>
      </c>
      <c r="G6171">
        <v>257600.78</v>
      </c>
      <c r="H6171">
        <v>0</v>
      </c>
      <c r="I6171">
        <v>0</v>
      </c>
      <c r="J6171">
        <v>0</v>
      </c>
      <c r="K6171">
        <v>0</v>
      </c>
      <c r="L6171">
        <v>76507432.159999996</v>
      </c>
      <c r="M6171">
        <v>76762456.930000007</v>
      </c>
      <c r="N6171">
        <v>76507432.159999996</v>
      </c>
      <c r="O6171">
        <v>76762456.930000007</v>
      </c>
      <c r="P6171">
        <v>77280234.480000004</v>
      </c>
      <c r="Q6171">
        <v>77537835.260000005</v>
      </c>
      <c r="R6171" s="14">
        <f>_xlfn.XLOOKUP(Table2[[#This Row],[LoanID]],Table1[G-L ID],Table1[ManagerCode],-99)</f>
        <v>103</v>
      </c>
      <c r="T6171"/>
    </row>
    <row r="6172" spans="1:20" x14ac:dyDescent="0.25">
      <c r="A6172">
        <v>20171031</v>
      </c>
      <c r="B6172">
        <v>2017</v>
      </c>
      <c r="C6172">
        <v>10</v>
      </c>
      <c r="D6172">
        <v>1</v>
      </c>
      <c r="E6172">
        <v>12420</v>
      </c>
      <c r="F6172">
        <v>25844.51</v>
      </c>
      <c r="G6172">
        <v>0</v>
      </c>
      <c r="H6172">
        <v>0</v>
      </c>
      <c r="I6172">
        <v>0</v>
      </c>
      <c r="J6172">
        <v>-392706</v>
      </c>
      <c r="K6172">
        <v>0</v>
      </c>
      <c r="L6172">
        <v>2483865.4500000002</v>
      </c>
      <c r="M6172">
        <v>2876571.45</v>
      </c>
      <c r="N6172">
        <v>2483865.4500000002</v>
      </c>
      <c r="O6172">
        <v>2876571.45</v>
      </c>
      <c r="P6172">
        <v>2483865.4500000002</v>
      </c>
      <c r="Q6172">
        <v>2876571.45</v>
      </c>
      <c r="R6172" s="14">
        <f>_xlfn.XLOOKUP(Table2[[#This Row],[LoanID]],Table1[G-L ID],Table1[ManagerCode],-99)</f>
        <v>103</v>
      </c>
      <c r="T6172"/>
    </row>
    <row r="6173" spans="1:20" x14ac:dyDescent="0.25">
      <c r="A6173">
        <v>20171031</v>
      </c>
      <c r="B6173">
        <v>2017</v>
      </c>
      <c r="C6173">
        <v>10</v>
      </c>
      <c r="D6173">
        <v>1</v>
      </c>
      <c r="E6173">
        <v>12430</v>
      </c>
      <c r="F6173">
        <v>24099.38</v>
      </c>
      <c r="G6173">
        <v>89051.72</v>
      </c>
      <c r="H6173">
        <v>25000</v>
      </c>
      <c r="I6173">
        <v>0</v>
      </c>
      <c r="J6173">
        <v>-1270791.81</v>
      </c>
      <c r="K6173">
        <v>0</v>
      </c>
      <c r="L6173">
        <v>7528192.0300000003</v>
      </c>
      <c r="M6173">
        <v>8843595</v>
      </c>
      <c r="N6173">
        <v>7528192.0300000003</v>
      </c>
      <c r="O6173">
        <v>8843595</v>
      </c>
      <c r="P6173">
        <v>7949202.8600000003</v>
      </c>
      <c r="Q6173">
        <v>9309046.3900000006</v>
      </c>
      <c r="R6173" s="14">
        <f>_xlfn.XLOOKUP(Table2[[#This Row],[LoanID]],Table1[G-L ID],Table1[ManagerCode],-99)</f>
        <v>103</v>
      </c>
      <c r="T6173"/>
    </row>
    <row r="6174" spans="1:20" x14ac:dyDescent="0.25">
      <c r="A6174">
        <v>20171031</v>
      </c>
      <c r="B6174">
        <v>2017</v>
      </c>
      <c r="C6174">
        <v>10</v>
      </c>
      <c r="D6174">
        <v>1</v>
      </c>
      <c r="E6174">
        <v>12440</v>
      </c>
      <c r="F6174">
        <v>35951.910000000003</v>
      </c>
      <c r="G6174">
        <v>0</v>
      </c>
      <c r="H6174">
        <v>0</v>
      </c>
      <c r="I6174">
        <v>0</v>
      </c>
      <c r="J6174">
        <v>0</v>
      </c>
      <c r="K6174">
        <v>47414.36</v>
      </c>
      <c r="L6174">
        <v>5040220.63</v>
      </c>
      <c r="M6174">
        <v>4964908.41</v>
      </c>
      <c r="N6174">
        <v>5040220.63</v>
      </c>
      <c r="O6174">
        <v>4964908.41</v>
      </c>
      <c r="P6174">
        <v>4314228.84</v>
      </c>
      <c r="Q6174">
        <v>4266814.4800000004</v>
      </c>
      <c r="R6174" s="14">
        <f>_xlfn.XLOOKUP(Table2[[#This Row],[LoanID]],Table1[G-L ID],Table1[ManagerCode],-99)</f>
        <v>103</v>
      </c>
      <c r="T6174"/>
    </row>
    <row r="6175" spans="1:20" x14ac:dyDescent="0.25">
      <c r="A6175">
        <v>20171031</v>
      </c>
      <c r="B6175">
        <v>2017</v>
      </c>
      <c r="C6175">
        <v>10</v>
      </c>
      <c r="D6175">
        <v>1</v>
      </c>
      <c r="E6175">
        <v>12450</v>
      </c>
      <c r="F6175">
        <v>0</v>
      </c>
      <c r="G6175">
        <v>4188.6499999999996</v>
      </c>
      <c r="H6175">
        <v>170000</v>
      </c>
      <c r="I6175">
        <v>0</v>
      </c>
      <c r="J6175">
        <v>-769344.68</v>
      </c>
      <c r="K6175">
        <v>0</v>
      </c>
      <c r="L6175">
        <v>0</v>
      </c>
      <c r="M6175">
        <v>773533.33</v>
      </c>
      <c r="N6175">
        <v>0</v>
      </c>
      <c r="O6175">
        <v>773533.33</v>
      </c>
      <c r="P6175">
        <v>0</v>
      </c>
      <c r="Q6175">
        <v>773533.33</v>
      </c>
      <c r="R6175" s="14">
        <f>_xlfn.XLOOKUP(Table2[[#This Row],[LoanID]],Table1[G-L ID],Table1[ManagerCode],-99)</f>
        <v>183</v>
      </c>
      <c r="T6175"/>
    </row>
    <row r="6176" spans="1:20" x14ac:dyDescent="0.25">
      <c r="A6176">
        <v>20171031</v>
      </c>
      <c r="B6176">
        <v>2017</v>
      </c>
      <c r="C6176">
        <v>10</v>
      </c>
      <c r="D6176">
        <v>1</v>
      </c>
      <c r="E6176">
        <v>12460</v>
      </c>
      <c r="F6176">
        <v>0</v>
      </c>
      <c r="G6176">
        <v>3734.21</v>
      </c>
      <c r="H6176">
        <v>84500</v>
      </c>
      <c r="I6176">
        <v>0</v>
      </c>
      <c r="J6176">
        <v>-5601308.1399999997</v>
      </c>
      <c r="K6176">
        <v>0</v>
      </c>
      <c r="L6176">
        <v>0</v>
      </c>
      <c r="M6176">
        <v>5605042.3499999996</v>
      </c>
      <c r="N6176">
        <v>0</v>
      </c>
      <c r="O6176">
        <v>5605042.3499999996</v>
      </c>
      <c r="P6176">
        <v>0</v>
      </c>
      <c r="Q6176">
        <v>5605042.3499999996</v>
      </c>
      <c r="R6176" s="14">
        <f>_xlfn.XLOOKUP(Table2[[#This Row],[LoanID]],Table1[G-L ID],Table1[ManagerCode],-99)</f>
        <v>183</v>
      </c>
      <c r="T6176"/>
    </row>
    <row r="6177" spans="1:20" x14ac:dyDescent="0.25">
      <c r="A6177">
        <v>20171031</v>
      </c>
      <c r="B6177">
        <v>2017</v>
      </c>
      <c r="C6177">
        <v>10</v>
      </c>
      <c r="D6177">
        <v>1</v>
      </c>
      <c r="E6177">
        <v>12470</v>
      </c>
      <c r="F6177">
        <v>0</v>
      </c>
      <c r="G6177">
        <v>0</v>
      </c>
      <c r="H6177">
        <v>1150000</v>
      </c>
      <c r="I6177">
        <v>0</v>
      </c>
      <c r="J6177">
        <v>-115000000</v>
      </c>
      <c r="K6177">
        <v>69000000</v>
      </c>
      <c r="L6177">
        <v>0</v>
      </c>
      <c r="M6177">
        <v>115000000</v>
      </c>
      <c r="N6177">
        <v>0</v>
      </c>
      <c r="O6177">
        <v>46000000</v>
      </c>
      <c r="P6177">
        <v>0</v>
      </c>
      <c r="Q6177">
        <v>115000000</v>
      </c>
      <c r="R6177" s="14">
        <f>_xlfn.XLOOKUP(Table2[[#This Row],[LoanID]],Table1[G-L ID],Table1[ManagerCode],-99)</f>
        <v>183</v>
      </c>
      <c r="T6177"/>
    </row>
    <row r="6178" spans="1:20" x14ac:dyDescent="0.25">
      <c r="A6178">
        <v>20171031</v>
      </c>
      <c r="B6178">
        <v>2017</v>
      </c>
      <c r="C6178">
        <v>10</v>
      </c>
      <c r="D6178">
        <v>1</v>
      </c>
      <c r="E6178">
        <v>12490</v>
      </c>
      <c r="F6178">
        <v>0</v>
      </c>
      <c r="G6178">
        <v>0</v>
      </c>
      <c r="H6178">
        <v>502000</v>
      </c>
      <c r="I6178">
        <v>0</v>
      </c>
      <c r="J6178">
        <v>-50200000</v>
      </c>
      <c r="K6178">
        <v>30600000</v>
      </c>
      <c r="L6178">
        <v>0</v>
      </c>
      <c r="M6178">
        <v>50200000</v>
      </c>
      <c r="N6178">
        <v>0</v>
      </c>
      <c r="O6178">
        <v>19600000</v>
      </c>
      <c r="P6178">
        <v>0</v>
      </c>
      <c r="Q6178">
        <v>50200000</v>
      </c>
      <c r="R6178" s="14">
        <f>_xlfn.XLOOKUP(Table2[[#This Row],[LoanID]],Table1[G-L ID],Table1[ManagerCode],-99)</f>
        <v>183</v>
      </c>
      <c r="T6178"/>
    </row>
    <row r="6179" spans="1:20" x14ac:dyDescent="0.25">
      <c r="A6179">
        <v>20171031</v>
      </c>
      <c r="B6179">
        <v>2017</v>
      </c>
      <c r="C6179">
        <v>10</v>
      </c>
      <c r="D6179">
        <v>1</v>
      </c>
      <c r="E6179">
        <v>12530</v>
      </c>
      <c r="F6179">
        <v>326714</v>
      </c>
      <c r="G6179">
        <v>0</v>
      </c>
      <c r="H6179">
        <v>332000</v>
      </c>
      <c r="I6179">
        <v>0</v>
      </c>
      <c r="J6179">
        <v>-26200000</v>
      </c>
      <c r="K6179">
        <v>0</v>
      </c>
      <c r="L6179">
        <v>0</v>
      </c>
      <c r="M6179">
        <v>26200000</v>
      </c>
      <c r="N6179">
        <v>0</v>
      </c>
      <c r="O6179">
        <v>26200000</v>
      </c>
      <c r="P6179">
        <v>0</v>
      </c>
      <c r="Q6179">
        <v>26200000</v>
      </c>
      <c r="R6179" s="14">
        <f>_xlfn.XLOOKUP(Table2[[#This Row],[LoanID]],Table1[G-L ID],Table1[ManagerCode],-99)</f>
        <v>119</v>
      </c>
      <c r="T6179"/>
    </row>
    <row r="6180" spans="1:20" x14ac:dyDescent="0.25">
      <c r="A6180">
        <v>20171031</v>
      </c>
      <c r="B6180">
        <v>2017</v>
      </c>
      <c r="C6180">
        <v>10</v>
      </c>
      <c r="D6180">
        <v>1</v>
      </c>
      <c r="E6180">
        <v>12590</v>
      </c>
      <c r="F6180">
        <v>74247.5</v>
      </c>
      <c r="G6180">
        <v>0</v>
      </c>
      <c r="H6180">
        <v>0</v>
      </c>
      <c r="I6180">
        <v>0</v>
      </c>
      <c r="J6180">
        <v>0</v>
      </c>
      <c r="K6180">
        <v>0</v>
      </c>
      <c r="L6180">
        <v>8500000</v>
      </c>
      <c r="M6180">
        <v>8500000</v>
      </c>
      <c r="N6180">
        <v>8500000</v>
      </c>
      <c r="O6180">
        <v>8500000</v>
      </c>
      <c r="P6180">
        <v>8500000</v>
      </c>
      <c r="Q6180">
        <v>8500000</v>
      </c>
      <c r="R6180" s="14">
        <f>_xlfn.XLOOKUP(Table2[[#This Row],[LoanID]],Table1[G-L ID],Table1[ManagerCode],-99)</f>
        <v>119</v>
      </c>
      <c r="T6180"/>
    </row>
    <row r="6181" spans="1:20" x14ac:dyDescent="0.25">
      <c r="A6181">
        <v>20171031</v>
      </c>
      <c r="B6181">
        <v>2017</v>
      </c>
      <c r="C6181">
        <v>10</v>
      </c>
      <c r="D6181">
        <v>1</v>
      </c>
      <c r="E6181">
        <v>12600</v>
      </c>
      <c r="F6181">
        <v>220496.88</v>
      </c>
      <c r="G6181">
        <v>0</v>
      </c>
      <c r="H6181">
        <v>0</v>
      </c>
      <c r="I6181">
        <v>0</v>
      </c>
      <c r="J6181">
        <v>0</v>
      </c>
      <c r="K6181">
        <v>0</v>
      </c>
      <c r="L6181">
        <v>27750000</v>
      </c>
      <c r="M6181">
        <v>27750000</v>
      </c>
      <c r="N6181">
        <v>27750000</v>
      </c>
      <c r="O6181">
        <v>27750000</v>
      </c>
      <c r="P6181">
        <v>27750000</v>
      </c>
      <c r="Q6181">
        <v>27750000</v>
      </c>
      <c r="R6181" s="14">
        <f>_xlfn.XLOOKUP(Table2[[#This Row],[LoanID]],Table1[G-L ID],Table1[ManagerCode],-99)</f>
        <v>119</v>
      </c>
      <c r="T6181"/>
    </row>
    <row r="6182" spans="1:20" x14ac:dyDescent="0.25">
      <c r="A6182">
        <v>20171031</v>
      </c>
      <c r="B6182">
        <v>2017</v>
      </c>
      <c r="C6182">
        <v>10</v>
      </c>
      <c r="D6182">
        <v>1</v>
      </c>
      <c r="E6182">
        <v>12610</v>
      </c>
      <c r="F6182">
        <v>92264.04</v>
      </c>
      <c r="G6182">
        <v>0</v>
      </c>
      <c r="H6182">
        <v>-170654.14</v>
      </c>
      <c r="I6182">
        <v>0</v>
      </c>
      <c r="J6182">
        <v>16650830</v>
      </c>
      <c r="K6182">
        <v>0</v>
      </c>
      <c r="L6182">
        <v>22210000</v>
      </c>
      <c r="M6182">
        <v>5559170</v>
      </c>
      <c r="N6182">
        <v>22210000</v>
      </c>
      <c r="O6182">
        <v>5559170</v>
      </c>
      <c r="P6182">
        <v>22210000</v>
      </c>
      <c r="Q6182">
        <v>5559170</v>
      </c>
      <c r="R6182" s="14">
        <f>_xlfn.XLOOKUP(Table2[[#This Row],[LoanID]],Table1[G-L ID],Table1[ManagerCode],-99)</f>
        <v>119</v>
      </c>
      <c r="T6182"/>
    </row>
    <row r="6183" spans="1:20" x14ac:dyDescent="0.25">
      <c r="A6183">
        <v>20171031</v>
      </c>
      <c r="B6183">
        <v>2017</v>
      </c>
      <c r="C6183">
        <v>10</v>
      </c>
      <c r="D6183">
        <v>1</v>
      </c>
      <c r="E6183">
        <v>12620</v>
      </c>
      <c r="F6183">
        <v>0</v>
      </c>
      <c r="G6183">
        <v>0</v>
      </c>
      <c r="H6183">
        <v>-333900</v>
      </c>
      <c r="I6183">
        <v>0</v>
      </c>
      <c r="J6183">
        <v>28140000</v>
      </c>
      <c r="K6183">
        <v>0</v>
      </c>
      <c r="L6183">
        <v>37520000</v>
      </c>
      <c r="M6183">
        <v>9380000</v>
      </c>
      <c r="N6183">
        <v>37520000</v>
      </c>
      <c r="O6183">
        <v>9380000</v>
      </c>
      <c r="P6183">
        <v>37520000</v>
      </c>
      <c r="Q6183">
        <v>9380000</v>
      </c>
      <c r="R6183" s="14">
        <f>_xlfn.XLOOKUP(Table2[[#This Row],[LoanID]],Table1[G-L ID],Table1[ManagerCode],-99)</f>
        <v>119</v>
      </c>
      <c r="T6183"/>
    </row>
    <row r="6184" spans="1:20" x14ac:dyDescent="0.25">
      <c r="A6184">
        <v>20171031</v>
      </c>
      <c r="B6184">
        <v>2017</v>
      </c>
      <c r="C6184">
        <v>10</v>
      </c>
      <c r="D6184">
        <v>1</v>
      </c>
      <c r="E6184">
        <v>12630</v>
      </c>
      <c r="F6184">
        <v>0</v>
      </c>
      <c r="G6184">
        <v>0</v>
      </c>
      <c r="H6184">
        <v>0</v>
      </c>
      <c r="I6184">
        <v>0</v>
      </c>
      <c r="J6184">
        <v>0</v>
      </c>
      <c r="K6184">
        <v>0</v>
      </c>
      <c r="L6184">
        <v>12797000</v>
      </c>
      <c r="M6184">
        <v>12797000</v>
      </c>
      <c r="N6184">
        <v>12797000</v>
      </c>
      <c r="O6184">
        <v>12797000</v>
      </c>
      <c r="P6184">
        <v>12797000</v>
      </c>
      <c r="Q6184">
        <v>12797000</v>
      </c>
      <c r="R6184" s="14">
        <f>_xlfn.XLOOKUP(Table2[[#This Row],[LoanID]],Table1[G-L ID],Table1[ManagerCode],-99)</f>
        <v>119</v>
      </c>
      <c r="T6184"/>
    </row>
    <row r="6185" spans="1:20" x14ac:dyDescent="0.25">
      <c r="A6185">
        <v>20171031</v>
      </c>
      <c r="B6185">
        <v>2017</v>
      </c>
      <c r="C6185">
        <v>10</v>
      </c>
      <c r="D6185">
        <v>1</v>
      </c>
      <c r="E6185">
        <v>12640</v>
      </c>
      <c r="F6185">
        <v>67136.28</v>
      </c>
      <c r="G6185">
        <v>0</v>
      </c>
      <c r="H6185">
        <v>0</v>
      </c>
      <c r="I6185">
        <v>0</v>
      </c>
      <c r="J6185">
        <v>0</v>
      </c>
      <c r="K6185">
        <v>0</v>
      </c>
      <c r="L6185">
        <v>6903000</v>
      </c>
      <c r="M6185">
        <v>6903000</v>
      </c>
      <c r="N6185">
        <v>6903000</v>
      </c>
      <c r="O6185">
        <v>6903000</v>
      </c>
      <c r="P6185">
        <v>6903000</v>
      </c>
      <c r="Q6185">
        <v>6903000</v>
      </c>
      <c r="R6185" s="14">
        <f>_xlfn.XLOOKUP(Table2[[#This Row],[LoanID]],Table1[G-L ID],Table1[ManagerCode],-99)</f>
        <v>119</v>
      </c>
      <c r="T6185"/>
    </row>
    <row r="6186" spans="1:20" x14ac:dyDescent="0.25">
      <c r="A6186">
        <v>20171031</v>
      </c>
      <c r="B6186">
        <v>2017</v>
      </c>
      <c r="C6186">
        <v>10</v>
      </c>
      <c r="D6186">
        <v>1</v>
      </c>
      <c r="E6186">
        <v>12750</v>
      </c>
      <c r="F6186">
        <v>-28753.59</v>
      </c>
      <c r="G6186">
        <v>83239.13</v>
      </c>
      <c r="H6186">
        <v>0</v>
      </c>
      <c r="I6186">
        <v>0</v>
      </c>
      <c r="J6186">
        <v>0</v>
      </c>
      <c r="K6186">
        <v>0</v>
      </c>
      <c r="L6186">
        <v>21085564.370000001</v>
      </c>
      <c r="M6186">
        <v>21168803.5</v>
      </c>
      <c r="N6186">
        <v>10585564.369999999</v>
      </c>
      <c r="O6186">
        <v>10668803.5</v>
      </c>
      <c r="P6186">
        <v>21085564.370000001</v>
      </c>
      <c r="Q6186">
        <v>21168803.5</v>
      </c>
      <c r="R6186" s="14">
        <f>_xlfn.XLOOKUP(Table2[[#This Row],[LoanID]],Table1[G-L ID],Table1[ManagerCode],-99)</f>
        <v>236</v>
      </c>
      <c r="T6186"/>
    </row>
    <row r="6187" spans="1:20" x14ac:dyDescent="0.25">
      <c r="A6187">
        <v>20171031</v>
      </c>
      <c r="B6187">
        <v>2017</v>
      </c>
      <c r="C6187">
        <v>10</v>
      </c>
      <c r="D6187">
        <v>1</v>
      </c>
      <c r="E6187">
        <v>13010</v>
      </c>
      <c r="F6187">
        <v>1400000</v>
      </c>
      <c r="G6187">
        <v>0</v>
      </c>
      <c r="H6187">
        <v>0</v>
      </c>
      <c r="I6187">
        <v>0</v>
      </c>
      <c r="J6187">
        <v>0</v>
      </c>
      <c r="K6187">
        <v>0</v>
      </c>
      <c r="L6187">
        <v>199500000</v>
      </c>
      <c r="M6187">
        <v>199500000</v>
      </c>
      <c r="N6187">
        <v>199500000</v>
      </c>
      <c r="O6187">
        <v>199500000</v>
      </c>
      <c r="P6187">
        <v>210000000</v>
      </c>
      <c r="Q6187">
        <v>210000000</v>
      </c>
      <c r="R6187" s="14">
        <f>_xlfn.XLOOKUP(Table2[[#This Row],[LoanID]],Table1[G-L ID],Table1[ManagerCode],-99)</f>
        <v>103</v>
      </c>
      <c r="T6187"/>
    </row>
    <row r="6188" spans="1:20" x14ac:dyDescent="0.25">
      <c r="A6188">
        <v>20171031</v>
      </c>
      <c r="B6188">
        <v>2017</v>
      </c>
      <c r="C6188">
        <v>10</v>
      </c>
      <c r="D6188">
        <v>1</v>
      </c>
      <c r="E6188">
        <v>13020</v>
      </c>
      <c r="F6188">
        <v>42134.720000000001</v>
      </c>
      <c r="G6188">
        <v>0</v>
      </c>
      <c r="H6188">
        <v>0</v>
      </c>
      <c r="I6188">
        <v>0</v>
      </c>
      <c r="J6188">
        <v>-5801265.29</v>
      </c>
      <c r="K6188">
        <v>0</v>
      </c>
      <c r="L6188">
        <v>4507120.87</v>
      </c>
      <c r="M6188">
        <v>10308386.16</v>
      </c>
      <c r="N6188">
        <v>4507120.87</v>
      </c>
      <c r="O6188">
        <v>10308386.16</v>
      </c>
      <c r="P6188">
        <v>4507120.87</v>
      </c>
      <c r="Q6188">
        <v>10308386.16</v>
      </c>
      <c r="R6188" s="14">
        <f>_xlfn.XLOOKUP(Table2[[#This Row],[LoanID]],Table1[G-L ID],Table1[ManagerCode],-99)</f>
        <v>103</v>
      </c>
      <c r="T6188"/>
    </row>
    <row r="6189" spans="1:20" x14ac:dyDescent="0.25">
      <c r="A6189">
        <v>20171031</v>
      </c>
      <c r="B6189">
        <v>2017</v>
      </c>
      <c r="C6189">
        <v>10</v>
      </c>
      <c r="D6189">
        <v>1</v>
      </c>
      <c r="E6189">
        <v>13600</v>
      </c>
      <c r="F6189">
        <v>366802.29</v>
      </c>
      <c r="G6189">
        <v>0</v>
      </c>
      <c r="H6189">
        <v>0</v>
      </c>
      <c r="I6189">
        <v>0</v>
      </c>
      <c r="J6189">
        <v>0</v>
      </c>
      <c r="K6189">
        <v>0</v>
      </c>
      <c r="L6189">
        <v>45970000</v>
      </c>
      <c r="M6189">
        <v>45970000</v>
      </c>
      <c r="N6189">
        <v>45970000</v>
      </c>
      <c r="O6189">
        <v>45970000</v>
      </c>
      <c r="P6189">
        <v>45970000</v>
      </c>
      <c r="Q6189">
        <v>45970000</v>
      </c>
      <c r="R6189" s="14">
        <f>_xlfn.XLOOKUP(Table2[[#This Row],[LoanID]],Table1[G-L ID],Table1[ManagerCode],-99)</f>
        <v>298</v>
      </c>
      <c r="T6189"/>
    </row>
    <row r="6190" spans="1:20" x14ac:dyDescent="0.25">
      <c r="A6190">
        <v>20171031</v>
      </c>
      <c r="B6190">
        <v>2017</v>
      </c>
      <c r="C6190">
        <v>10</v>
      </c>
      <c r="D6190">
        <v>1</v>
      </c>
      <c r="E6190">
        <v>13610</v>
      </c>
      <c r="F6190">
        <v>61250</v>
      </c>
      <c r="G6190">
        <v>0</v>
      </c>
      <c r="H6190">
        <v>0</v>
      </c>
      <c r="I6190">
        <v>0</v>
      </c>
      <c r="J6190">
        <v>0</v>
      </c>
      <c r="K6190">
        <v>0</v>
      </c>
      <c r="L6190">
        <v>10500000</v>
      </c>
      <c r="M6190">
        <v>10500000</v>
      </c>
      <c r="N6190">
        <v>10500000</v>
      </c>
      <c r="O6190">
        <v>10500000</v>
      </c>
      <c r="P6190">
        <v>10500000</v>
      </c>
      <c r="Q6190">
        <v>10500000</v>
      </c>
      <c r="R6190" s="14">
        <f>_xlfn.XLOOKUP(Table2[[#This Row],[LoanID]],Table1[G-L ID],Table1[ManagerCode],-99)</f>
        <v>298</v>
      </c>
      <c r="T6190"/>
    </row>
    <row r="6191" spans="1:20" x14ac:dyDescent="0.25">
      <c r="A6191">
        <v>20171031</v>
      </c>
      <c r="B6191">
        <v>2017</v>
      </c>
      <c r="C6191">
        <v>10</v>
      </c>
      <c r="D6191">
        <v>1</v>
      </c>
      <c r="E6191">
        <v>13620</v>
      </c>
      <c r="F6191">
        <v>307708.33</v>
      </c>
      <c r="G6191">
        <v>0</v>
      </c>
      <c r="H6191">
        <v>0</v>
      </c>
      <c r="I6191">
        <v>0</v>
      </c>
      <c r="J6191">
        <v>0</v>
      </c>
      <c r="K6191">
        <v>0</v>
      </c>
      <c r="L6191">
        <v>50000000</v>
      </c>
      <c r="M6191">
        <v>50000000</v>
      </c>
      <c r="N6191">
        <v>50000000</v>
      </c>
      <c r="O6191">
        <v>50000000</v>
      </c>
      <c r="P6191">
        <v>50000000</v>
      </c>
      <c r="Q6191">
        <v>50000000</v>
      </c>
      <c r="R6191" s="14">
        <f>_xlfn.XLOOKUP(Table2[[#This Row],[LoanID]],Table1[G-L ID],Table1[ManagerCode],-99)</f>
        <v>298</v>
      </c>
      <c r="T6191"/>
    </row>
    <row r="6192" spans="1:20" x14ac:dyDescent="0.25">
      <c r="A6192">
        <v>20171031</v>
      </c>
      <c r="B6192">
        <v>2017</v>
      </c>
      <c r="C6192">
        <v>10</v>
      </c>
      <c r="D6192">
        <v>1</v>
      </c>
      <c r="E6192">
        <v>13630</v>
      </c>
      <c r="F6192">
        <v>218506.94</v>
      </c>
      <c r="G6192">
        <v>0</v>
      </c>
      <c r="H6192">
        <v>0</v>
      </c>
      <c r="I6192">
        <v>0</v>
      </c>
      <c r="J6192">
        <v>0</v>
      </c>
      <c r="K6192">
        <v>0</v>
      </c>
      <c r="L6192">
        <v>33569646.990000002</v>
      </c>
      <c r="M6192">
        <v>33569646.990000002</v>
      </c>
      <c r="N6192">
        <v>33569646.990000002</v>
      </c>
      <c r="O6192">
        <v>33569646.990000002</v>
      </c>
      <c r="P6192">
        <v>35000000</v>
      </c>
      <c r="Q6192">
        <v>35000000</v>
      </c>
      <c r="R6192" s="14">
        <f>_xlfn.XLOOKUP(Table2[[#This Row],[LoanID]],Table1[G-L ID],Table1[ManagerCode],-99)</f>
        <v>298</v>
      </c>
      <c r="T6192"/>
    </row>
    <row r="6193" spans="1:20" x14ac:dyDescent="0.25">
      <c r="A6193">
        <v>20171031</v>
      </c>
      <c r="B6193">
        <v>2017</v>
      </c>
      <c r="C6193">
        <v>10</v>
      </c>
      <c r="D6193">
        <v>1</v>
      </c>
      <c r="E6193">
        <v>13640</v>
      </c>
      <c r="F6193">
        <v>219661.46</v>
      </c>
      <c r="G6193">
        <v>0</v>
      </c>
      <c r="H6193">
        <v>0</v>
      </c>
      <c r="I6193">
        <v>0</v>
      </c>
      <c r="J6193">
        <v>0</v>
      </c>
      <c r="K6193">
        <v>0</v>
      </c>
      <c r="L6193">
        <v>30125000</v>
      </c>
      <c r="M6193">
        <v>30125000</v>
      </c>
      <c r="N6193">
        <v>30125000</v>
      </c>
      <c r="O6193">
        <v>30125000</v>
      </c>
      <c r="P6193">
        <v>30125000</v>
      </c>
      <c r="Q6193">
        <v>30125000</v>
      </c>
      <c r="R6193" s="14">
        <f>_xlfn.XLOOKUP(Table2[[#This Row],[LoanID]],Table1[G-L ID],Table1[ManagerCode],-99)</f>
        <v>298</v>
      </c>
      <c r="T6193"/>
    </row>
    <row r="6194" spans="1:20" x14ac:dyDescent="0.25">
      <c r="A6194">
        <v>20171031</v>
      </c>
      <c r="B6194">
        <v>2017</v>
      </c>
      <c r="C6194">
        <v>10</v>
      </c>
      <c r="D6194">
        <v>1</v>
      </c>
      <c r="E6194">
        <v>13650</v>
      </c>
      <c r="F6194">
        <v>216666.67</v>
      </c>
      <c r="G6194">
        <v>0</v>
      </c>
      <c r="H6194">
        <v>0</v>
      </c>
      <c r="I6194">
        <v>0</v>
      </c>
      <c r="J6194">
        <v>0</v>
      </c>
      <c r="K6194">
        <v>0</v>
      </c>
      <c r="L6194">
        <v>40000000</v>
      </c>
      <c r="M6194">
        <v>40000000</v>
      </c>
      <c r="N6194">
        <v>40000000</v>
      </c>
      <c r="O6194">
        <v>40000000</v>
      </c>
      <c r="P6194">
        <v>40000000</v>
      </c>
      <c r="Q6194">
        <v>40000000</v>
      </c>
      <c r="R6194" s="14">
        <f>_xlfn.XLOOKUP(Table2[[#This Row],[LoanID]],Table1[G-L ID],Table1[ManagerCode],-99)</f>
        <v>298</v>
      </c>
      <c r="T6194"/>
    </row>
    <row r="6195" spans="1:20" x14ac:dyDescent="0.25">
      <c r="A6195">
        <v>20171031</v>
      </c>
      <c r="B6195">
        <v>2017</v>
      </c>
      <c r="C6195">
        <v>10</v>
      </c>
      <c r="D6195">
        <v>1</v>
      </c>
      <c r="E6195">
        <v>13660</v>
      </c>
      <c r="F6195">
        <v>114166.67</v>
      </c>
      <c r="G6195">
        <v>0</v>
      </c>
      <c r="H6195">
        <v>0</v>
      </c>
      <c r="I6195">
        <v>0</v>
      </c>
      <c r="J6195">
        <v>0</v>
      </c>
      <c r="K6195">
        <v>0</v>
      </c>
      <c r="L6195">
        <v>20000000</v>
      </c>
      <c r="M6195">
        <v>20000000</v>
      </c>
      <c r="N6195">
        <v>20000000</v>
      </c>
      <c r="O6195">
        <v>20000000</v>
      </c>
      <c r="P6195">
        <v>20000000</v>
      </c>
      <c r="Q6195">
        <v>20000000</v>
      </c>
      <c r="R6195" s="14">
        <f>_xlfn.XLOOKUP(Table2[[#This Row],[LoanID]],Table1[G-L ID],Table1[ManagerCode],-99)</f>
        <v>298</v>
      </c>
      <c r="T6195"/>
    </row>
    <row r="6196" spans="1:20" x14ac:dyDescent="0.25">
      <c r="A6196">
        <v>20171031</v>
      </c>
      <c r="B6196">
        <v>2017</v>
      </c>
      <c r="C6196">
        <v>10</v>
      </c>
      <c r="D6196">
        <v>1</v>
      </c>
      <c r="E6196">
        <v>13670</v>
      </c>
      <c r="F6196">
        <v>304218.75</v>
      </c>
      <c r="G6196">
        <v>0</v>
      </c>
      <c r="H6196">
        <v>0</v>
      </c>
      <c r="I6196">
        <v>0</v>
      </c>
      <c r="J6196">
        <v>0</v>
      </c>
      <c r="K6196">
        <v>0</v>
      </c>
      <c r="L6196">
        <v>37322264.049999997</v>
      </c>
      <c r="M6196">
        <v>37322264.049999997</v>
      </c>
      <c r="N6196">
        <v>37322264.049999997</v>
      </c>
      <c r="O6196">
        <v>37322264.049999997</v>
      </c>
      <c r="P6196">
        <v>37500000</v>
      </c>
      <c r="Q6196">
        <v>37500000</v>
      </c>
      <c r="R6196" s="14">
        <f>_xlfn.XLOOKUP(Table2[[#This Row],[LoanID]],Table1[G-L ID],Table1[ManagerCode],-99)</f>
        <v>298</v>
      </c>
      <c r="T6196"/>
    </row>
    <row r="6197" spans="1:20" x14ac:dyDescent="0.25">
      <c r="A6197">
        <v>20171031</v>
      </c>
      <c r="B6197">
        <v>2017</v>
      </c>
      <c r="C6197">
        <v>10</v>
      </c>
      <c r="D6197">
        <v>1</v>
      </c>
      <c r="E6197">
        <v>13680</v>
      </c>
      <c r="F6197">
        <v>155968.75</v>
      </c>
      <c r="G6197">
        <v>0</v>
      </c>
      <c r="H6197">
        <v>0</v>
      </c>
      <c r="I6197">
        <v>0</v>
      </c>
      <c r="J6197">
        <v>0</v>
      </c>
      <c r="K6197">
        <v>0</v>
      </c>
      <c r="L6197">
        <v>17989534.25</v>
      </c>
      <c r="M6197">
        <v>17989534.25</v>
      </c>
      <c r="N6197">
        <v>17989534.25</v>
      </c>
      <c r="O6197">
        <v>17989534.25</v>
      </c>
      <c r="P6197">
        <v>18000000</v>
      </c>
      <c r="Q6197">
        <v>18000000</v>
      </c>
      <c r="R6197" s="14">
        <f>_xlfn.XLOOKUP(Table2[[#This Row],[LoanID]],Table1[G-L ID],Table1[ManagerCode],-99)</f>
        <v>298</v>
      </c>
      <c r="T6197"/>
    </row>
    <row r="6198" spans="1:20" x14ac:dyDescent="0.25">
      <c r="A6198">
        <v>20171031</v>
      </c>
      <c r="B6198">
        <v>2017</v>
      </c>
      <c r="C6198">
        <v>10</v>
      </c>
      <c r="D6198">
        <v>1</v>
      </c>
      <c r="E6198">
        <v>13690</v>
      </c>
      <c r="F6198">
        <v>129166.67</v>
      </c>
      <c r="G6198">
        <v>0</v>
      </c>
      <c r="H6198">
        <v>0</v>
      </c>
      <c r="I6198">
        <v>0</v>
      </c>
      <c r="J6198">
        <v>0</v>
      </c>
      <c r="K6198">
        <v>0</v>
      </c>
      <c r="L6198">
        <v>18960334.350000001</v>
      </c>
      <c r="M6198">
        <v>18960334.350000001</v>
      </c>
      <c r="N6198">
        <v>18960334.350000001</v>
      </c>
      <c r="O6198">
        <v>18960334.350000001</v>
      </c>
      <c r="P6198">
        <v>20000000</v>
      </c>
      <c r="Q6198">
        <v>20000000</v>
      </c>
      <c r="R6198" s="14">
        <f>_xlfn.XLOOKUP(Table2[[#This Row],[LoanID]],Table1[G-L ID],Table1[ManagerCode],-99)</f>
        <v>298</v>
      </c>
      <c r="T6198"/>
    </row>
    <row r="6199" spans="1:20" x14ac:dyDescent="0.25">
      <c r="A6199">
        <v>20171031</v>
      </c>
      <c r="B6199">
        <v>2017</v>
      </c>
      <c r="C6199">
        <v>10</v>
      </c>
      <c r="D6199">
        <v>1</v>
      </c>
      <c r="E6199">
        <v>14670</v>
      </c>
      <c r="F6199">
        <v>0</v>
      </c>
      <c r="G6199">
        <v>0</v>
      </c>
      <c r="H6199">
        <v>0</v>
      </c>
      <c r="I6199">
        <v>0</v>
      </c>
      <c r="J6199">
        <v>0</v>
      </c>
      <c r="K6199">
        <v>0</v>
      </c>
      <c r="L6199">
        <v>29197500</v>
      </c>
      <c r="M6199">
        <v>29197500</v>
      </c>
      <c r="N6199">
        <v>29197500</v>
      </c>
      <c r="O6199">
        <v>29197500</v>
      </c>
      <c r="P6199">
        <v>29500000</v>
      </c>
      <c r="Q6199">
        <v>29500000</v>
      </c>
      <c r="R6199" s="14">
        <f>_xlfn.XLOOKUP(Table2[[#This Row],[LoanID]],Table1[G-L ID],Table1[ManagerCode],-99)</f>
        <v>220</v>
      </c>
      <c r="T6199"/>
    </row>
    <row r="6200" spans="1:20" x14ac:dyDescent="0.25">
      <c r="A6200">
        <v>20171031</v>
      </c>
      <c r="B6200">
        <v>2017</v>
      </c>
      <c r="C6200">
        <v>10</v>
      </c>
      <c r="D6200">
        <v>1</v>
      </c>
      <c r="E6200">
        <v>15030</v>
      </c>
      <c r="F6200">
        <v>0</v>
      </c>
      <c r="G6200">
        <v>0</v>
      </c>
      <c r="H6200">
        <v>0</v>
      </c>
      <c r="I6200">
        <v>0</v>
      </c>
      <c r="J6200">
        <v>-383679.75</v>
      </c>
      <c r="K6200">
        <v>0</v>
      </c>
      <c r="L6200">
        <v>35105675</v>
      </c>
      <c r="M6200">
        <v>35105675</v>
      </c>
      <c r="N6200">
        <v>11276338.220000001</v>
      </c>
      <c r="O6200">
        <v>11276338.220000001</v>
      </c>
      <c r="P6200">
        <v>35475000</v>
      </c>
      <c r="Q6200">
        <v>35858679.75</v>
      </c>
      <c r="R6200" s="14">
        <f>_xlfn.XLOOKUP(Table2[[#This Row],[LoanID]],Table1[G-L ID],Table1[ManagerCode],-99)</f>
        <v>220</v>
      </c>
      <c r="T6200"/>
    </row>
    <row r="6201" spans="1:20" x14ac:dyDescent="0.25">
      <c r="A6201">
        <v>20171031</v>
      </c>
      <c r="B6201">
        <v>2017</v>
      </c>
      <c r="C6201">
        <v>10</v>
      </c>
      <c r="D6201">
        <v>1</v>
      </c>
      <c r="E6201">
        <v>15540</v>
      </c>
      <c r="F6201">
        <v>231043.75</v>
      </c>
      <c r="G6201">
        <v>8017.92</v>
      </c>
      <c r="H6201">
        <v>0</v>
      </c>
      <c r="I6201">
        <v>-2143.75</v>
      </c>
      <c r="J6201">
        <v>0</v>
      </c>
      <c r="K6201">
        <v>0</v>
      </c>
      <c r="L6201">
        <v>52731043.75</v>
      </c>
      <c r="M6201">
        <v>52739061.670000002</v>
      </c>
      <c r="N6201">
        <v>52731043.75</v>
      </c>
      <c r="O6201">
        <v>52739061.670000002</v>
      </c>
      <c r="P6201">
        <v>52731043.75</v>
      </c>
      <c r="Q6201">
        <v>52739061.670000002</v>
      </c>
      <c r="R6201" s="14">
        <f>_xlfn.XLOOKUP(Table2[[#This Row],[LoanID]],Table1[G-L ID],Table1[ManagerCode],-99)</f>
        <v>212</v>
      </c>
      <c r="T6201"/>
    </row>
    <row r="6202" spans="1:20" x14ac:dyDescent="0.25">
      <c r="A6202">
        <v>20171031</v>
      </c>
      <c r="B6202">
        <v>2017</v>
      </c>
      <c r="C6202">
        <v>10</v>
      </c>
      <c r="D6202">
        <v>1</v>
      </c>
      <c r="E6202">
        <v>15580</v>
      </c>
      <c r="F6202">
        <v>112806.65</v>
      </c>
      <c r="G6202">
        <v>3675.83</v>
      </c>
      <c r="H6202">
        <v>0</v>
      </c>
      <c r="I6202">
        <v>0</v>
      </c>
      <c r="J6202">
        <v>0</v>
      </c>
      <c r="K6202">
        <v>10594.66</v>
      </c>
      <c r="L6202">
        <v>14747182.369999999</v>
      </c>
      <c r="M6202">
        <v>14740263.539999999</v>
      </c>
      <c r="N6202">
        <v>14747182.369999999</v>
      </c>
      <c r="O6202">
        <v>14740263.539999999</v>
      </c>
      <c r="P6202">
        <v>14747182.369999999</v>
      </c>
      <c r="Q6202">
        <v>14740263.539999999</v>
      </c>
      <c r="R6202" s="14">
        <f>_xlfn.XLOOKUP(Table2[[#This Row],[LoanID]],Table1[G-L ID],Table1[ManagerCode],-99)</f>
        <v>212</v>
      </c>
      <c r="T6202"/>
    </row>
    <row r="6203" spans="1:20" x14ac:dyDescent="0.25">
      <c r="A6203">
        <v>20171031</v>
      </c>
      <c r="B6203">
        <v>2017</v>
      </c>
      <c r="C6203">
        <v>10</v>
      </c>
      <c r="D6203">
        <v>1</v>
      </c>
      <c r="E6203">
        <v>15620</v>
      </c>
      <c r="F6203">
        <v>265265</v>
      </c>
      <c r="G6203">
        <v>9312.33</v>
      </c>
      <c r="H6203">
        <v>0</v>
      </c>
      <c r="I6203">
        <v>-9110</v>
      </c>
      <c r="J6203">
        <v>0</v>
      </c>
      <c r="K6203">
        <v>0</v>
      </c>
      <c r="L6203">
        <v>78265265</v>
      </c>
      <c r="M6203">
        <v>78274577.329999998</v>
      </c>
      <c r="N6203">
        <v>78265265</v>
      </c>
      <c r="O6203">
        <v>78274577.329999998</v>
      </c>
      <c r="P6203">
        <v>78265265</v>
      </c>
      <c r="Q6203">
        <v>78274577.329999998</v>
      </c>
      <c r="R6203" s="14">
        <f>_xlfn.XLOOKUP(Table2[[#This Row],[LoanID]],Table1[G-L ID],Table1[ManagerCode],-99)</f>
        <v>212</v>
      </c>
      <c r="T6203"/>
    </row>
    <row r="6204" spans="1:20" x14ac:dyDescent="0.25">
      <c r="A6204">
        <v>20171130</v>
      </c>
      <c r="B6204">
        <v>2017</v>
      </c>
      <c r="C6204">
        <v>11</v>
      </c>
      <c r="D6204">
        <v>1</v>
      </c>
      <c r="E6204">
        <v>10010</v>
      </c>
      <c r="F6204">
        <v>185107.53</v>
      </c>
      <c r="G6204">
        <v>0</v>
      </c>
      <c r="H6204">
        <v>77093.66</v>
      </c>
      <c r="I6204">
        <v>0</v>
      </c>
      <c r="J6204">
        <v>0</v>
      </c>
      <c r="K6204">
        <v>1357431.42</v>
      </c>
      <c r="L6204">
        <v>18978838.640000001</v>
      </c>
      <c r="M6204">
        <v>17621407.219999999</v>
      </c>
      <c r="N6204">
        <v>18978838.640000001</v>
      </c>
      <c r="O6204">
        <v>17621407.219999999</v>
      </c>
      <c r="P6204">
        <v>18978838.640000001</v>
      </c>
      <c r="Q6204">
        <v>17621407.219999999</v>
      </c>
      <c r="R6204" s="14">
        <f>_xlfn.XLOOKUP(Table2[[#This Row],[LoanID]],Table1[G-L ID],Table1[ManagerCode],-99)</f>
        <v>119</v>
      </c>
      <c r="T6204"/>
    </row>
    <row r="6205" spans="1:20" x14ac:dyDescent="0.25">
      <c r="A6205">
        <v>20171130</v>
      </c>
      <c r="B6205">
        <v>2017</v>
      </c>
      <c r="C6205">
        <v>11</v>
      </c>
      <c r="D6205">
        <v>1</v>
      </c>
      <c r="E6205">
        <v>10030</v>
      </c>
      <c r="F6205">
        <v>68540.95</v>
      </c>
      <c r="G6205">
        <v>0</v>
      </c>
      <c r="H6205">
        <v>0</v>
      </c>
      <c r="I6205">
        <v>0</v>
      </c>
      <c r="J6205">
        <v>-209673.91</v>
      </c>
      <c r="K6205">
        <v>0</v>
      </c>
      <c r="L6205">
        <v>7702901.8200000003</v>
      </c>
      <c r="M6205">
        <v>7912575.7300000004</v>
      </c>
      <c r="N6205">
        <v>7702901.8200000003</v>
      </c>
      <c r="O6205">
        <v>7912575.7300000004</v>
      </c>
      <c r="P6205">
        <v>7702901.8200000003</v>
      </c>
      <c r="Q6205">
        <v>7912575.7300000004</v>
      </c>
      <c r="R6205" s="14">
        <f>_xlfn.XLOOKUP(Table2[[#This Row],[LoanID]],Table1[G-L ID],Table1[ManagerCode],-99)</f>
        <v>119</v>
      </c>
      <c r="T6205"/>
    </row>
    <row r="6206" spans="1:20" x14ac:dyDescent="0.25">
      <c r="A6206">
        <v>20171130</v>
      </c>
      <c r="B6206">
        <v>2017</v>
      </c>
      <c r="C6206">
        <v>11</v>
      </c>
      <c r="D6206">
        <v>1</v>
      </c>
      <c r="E6206">
        <v>10040</v>
      </c>
      <c r="F6206">
        <v>48372.92</v>
      </c>
      <c r="G6206">
        <v>0</v>
      </c>
      <c r="H6206">
        <v>0</v>
      </c>
      <c r="I6206">
        <v>0</v>
      </c>
      <c r="J6206">
        <v>0</v>
      </c>
      <c r="K6206">
        <v>0</v>
      </c>
      <c r="L6206">
        <v>5000000</v>
      </c>
      <c r="M6206">
        <v>5000000</v>
      </c>
      <c r="N6206">
        <v>5000000</v>
      </c>
      <c r="O6206">
        <v>5000000</v>
      </c>
      <c r="P6206">
        <v>5000000</v>
      </c>
      <c r="Q6206">
        <v>5000000</v>
      </c>
      <c r="R6206" s="14">
        <f>_xlfn.XLOOKUP(Table2[[#This Row],[LoanID]],Table1[G-L ID],Table1[ManagerCode],-99)</f>
        <v>119</v>
      </c>
      <c r="T6206"/>
    </row>
    <row r="6207" spans="1:20" x14ac:dyDescent="0.25">
      <c r="A6207">
        <v>20171130</v>
      </c>
      <c r="B6207">
        <v>2017</v>
      </c>
      <c r="C6207">
        <v>11</v>
      </c>
      <c r="D6207">
        <v>1</v>
      </c>
      <c r="E6207">
        <v>10050</v>
      </c>
      <c r="F6207">
        <v>153981.01999999999</v>
      </c>
      <c r="G6207">
        <v>0</v>
      </c>
      <c r="H6207">
        <v>0</v>
      </c>
      <c r="I6207">
        <v>-69.44</v>
      </c>
      <c r="J6207">
        <v>0</v>
      </c>
      <c r="K6207">
        <v>0</v>
      </c>
      <c r="L6207">
        <v>36933523.030000001</v>
      </c>
      <c r="M6207">
        <v>37038774.090000004</v>
      </c>
      <c r="N6207">
        <v>36933523.030000001</v>
      </c>
      <c r="O6207">
        <v>37038774.090000004</v>
      </c>
      <c r="P6207">
        <v>33333334</v>
      </c>
      <c r="Q6207">
        <v>33333334</v>
      </c>
      <c r="R6207" s="14">
        <f>_xlfn.XLOOKUP(Table2[[#This Row],[LoanID]],Table1[G-L ID],Table1[ManagerCode],-99)</f>
        <v>103</v>
      </c>
      <c r="T6207"/>
    </row>
    <row r="6208" spans="1:20" x14ac:dyDescent="0.25">
      <c r="A6208">
        <v>20171130</v>
      </c>
      <c r="B6208">
        <v>2017</v>
      </c>
      <c r="C6208">
        <v>11</v>
      </c>
      <c r="D6208">
        <v>1</v>
      </c>
      <c r="E6208">
        <v>10070</v>
      </c>
      <c r="F6208">
        <v>65929.25</v>
      </c>
      <c r="G6208">
        <v>0</v>
      </c>
      <c r="H6208">
        <v>0</v>
      </c>
      <c r="I6208">
        <v>0</v>
      </c>
      <c r="J6208">
        <v>0</v>
      </c>
      <c r="K6208">
        <v>0</v>
      </c>
      <c r="L6208">
        <v>5875000</v>
      </c>
      <c r="M6208">
        <v>5875000</v>
      </c>
      <c r="N6208">
        <v>5875000</v>
      </c>
      <c r="O6208">
        <v>5875000</v>
      </c>
      <c r="P6208">
        <v>5875000</v>
      </c>
      <c r="Q6208">
        <v>5875000</v>
      </c>
      <c r="R6208" s="14">
        <f>_xlfn.XLOOKUP(Table2[[#This Row],[LoanID]],Table1[G-L ID],Table1[ManagerCode],-99)</f>
        <v>119</v>
      </c>
      <c r="T6208"/>
    </row>
    <row r="6209" spans="1:20" x14ac:dyDescent="0.25">
      <c r="A6209">
        <v>20171130</v>
      </c>
      <c r="B6209">
        <v>2017</v>
      </c>
      <c r="C6209">
        <v>11</v>
      </c>
      <c r="D6209">
        <v>1</v>
      </c>
      <c r="E6209">
        <v>10110</v>
      </c>
      <c r="F6209">
        <v>153211.99</v>
      </c>
      <c r="G6209">
        <v>0</v>
      </c>
      <c r="H6209">
        <v>0</v>
      </c>
      <c r="I6209">
        <v>0</v>
      </c>
      <c r="J6209">
        <v>0</v>
      </c>
      <c r="K6209">
        <v>0</v>
      </c>
      <c r="L6209">
        <v>16400000</v>
      </c>
      <c r="M6209">
        <v>16400000</v>
      </c>
      <c r="N6209">
        <v>16400000</v>
      </c>
      <c r="O6209">
        <v>16400000</v>
      </c>
      <c r="P6209">
        <v>16400000</v>
      </c>
      <c r="Q6209">
        <v>16400000</v>
      </c>
      <c r="R6209" s="14">
        <f>_xlfn.XLOOKUP(Table2[[#This Row],[LoanID]],Table1[G-L ID],Table1[ManagerCode],-99)</f>
        <v>119</v>
      </c>
      <c r="T6209"/>
    </row>
    <row r="6210" spans="1:20" x14ac:dyDescent="0.25">
      <c r="A6210">
        <v>20171130</v>
      </c>
      <c r="B6210">
        <v>2017</v>
      </c>
      <c r="C6210">
        <v>11</v>
      </c>
      <c r="D6210">
        <v>1</v>
      </c>
      <c r="E6210">
        <v>10120</v>
      </c>
      <c r="F6210">
        <v>61137.58</v>
      </c>
      <c r="G6210">
        <v>66590.559999999998</v>
      </c>
      <c r="H6210">
        <v>0</v>
      </c>
      <c r="I6210">
        <v>0</v>
      </c>
      <c r="J6210">
        <v>0</v>
      </c>
      <c r="K6210">
        <v>0</v>
      </c>
      <c r="L6210">
        <v>12313511.539999999</v>
      </c>
      <c r="M6210">
        <v>12380102.1</v>
      </c>
      <c r="N6210">
        <v>12313511.539999999</v>
      </c>
      <c r="O6210">
        <v>12380102.1</v>
      </c>
      <c r="P6210">
        <v>12313511.539999999</v>
      </c>
      <c r="Q6210">
        <v>12380102.1</v>
      </c>
      <c r="R6210" s="14">
        <f>_xlfn.XLOOKUP(Table2[[#This Row],[LoanID]],Table1[G-L ID],Table1[ManagerCode],-99)</f>
        <v>183</v>
      </c>
      <c r="T6210"/>
    </row>
    <row r="6211" spans="1:20" x14ac:dyDescent="0.25">
      <c r="A6211">
        <v>20171130</v>
      </c>
      <c r="B6211">
        <v>2017</v>
      </c>
      <c r="C6211">
        <v>11</v>
      </c>
      <c r="D6211">
        <v>1</v>
      </c>
      <c r="E6211">
        <v>10220</v>
      </c>
      <c r="F6211">
        <v>559722.22</v>
      </c>
      <c r="G6211">
        <v>0</v>
      </c>
      <c r="H6211">
        <v>0</v>
      </c>
      <c r="I6211">
        <v>0</v>
      </c>
      <c r="J6211">
        <v>0</v>
      </c>
      <c r="K6211">
        <v>0</v>
      </c>
      <c r="L6211">
        <v>112983638.90000001</v>
      </c>
      <c r="M6211">
        <v>112770207.7</v>
      </c>
      <c r="N6211">
        <v>112983638.90000001</v>
      </c>
      <c r="O6211">
        <v>112770207.7</v>
      </c>
      <c r="P6211">
        <v>100000000</v>
      </c>
      <c r="Q6211">
        <v>100000000</v>
      </c>
      <c r="R6211" s="14">
        <f>_xlfn.XLOOKUP(Table2[[#This Row],[LoanID]],Table1[G-L ID],Table1[ManagerCode],-99)</f>
        <v>103</v>
      </c>
      <c r="T6211"/>
    </row>
    <row r="6212" spans="1:20" x14ac:dyDescent="0.25">
      <c r="A6212">
        <v>20171130</v>
      </c>
      <c r="B6212">
        <v>2017</v>
      </c>
      <c r="C6212">
        <v>11</v>
      </c>
      <c r="D6212">
        <v>1</v>
      </c>
      <c r="E6212">
        <v>10240</v>
      </c>
      <c r="F6212">
        <v>99447.57</v>
      </c>
      <c r="G6212">
        <v>0</v>
      </c>
      <c r="H6212">
        <v>0</v>
      </c>
      <c r="I6212">
        <v>0</v>
      </c>
      <c r="J6212">
        <v>0</v>
      </c>
      <c r="K6212">
        <v>0</v>
      </c>
      <c r="L6212">
        <v>12500000</v>
      </c>
      <c r="M6212">
        <v>12500000</v>
      </c>
      <c r="N6212">
        <v>12500000</v>
      </c>
      <c r="O6212">
        <v>12500000</v>
      </c>
      <c r="P6212">
        <v>12500000</v>
      </c>
      <c r="Q6212">
        <v>12500000</v>
      </c>
      <c r="R6212" s="14">
        <f>_xlfn.XLOOKUP(Table2[[#This Row],[LoanID]],Table1[G-L ID],Table1[ManagerCode],-99)</f>
        <v>220</v>
      </c>
      <c r="T6212"/>
    </row>
    <row r="6213" spans="1:20" x14ac:dyDescent="0.25">
      <c r="A6213">
        <v>20171130</v>
      </c>
      <c r="B6213">
        <v>2017</v>
      </c>
      <c r="C6213">
        <v>11</v>
      </c>
      <c r="D6213">
        <v>1</v>
      </c>
      <c r="E6213">
        <v>10250</v>
      </c>
      <c r="F6213">
        <v>53901.25</v>
      </c>
      <c r="G6213">
        <v>0</v>
      </c>
      <c r="H6213">
        <v>0</v>
      </c>
      <c r="I6213">
        <v>0</v>
      </c>
      <c r="J6213">
        <v>0</v>
      </c>
      <c r="K6213">
        <v>0</v>
      </c>
      <c r="L6213">
        <v>5000000</v>
      </c>
      <c r="M6213">
        <v>5000000</v>
      </c>
      <c r="N6213">
        <v>5000000</v>
      </c>
      <c r="O6213">
        <v>5000000</v>
      </c>
      <c r="P6213">
        <v>5000000</v>
      </c>
      <c r="Q6213">
        <v>5000000</v>
      </c>
      <c r="R6213" s="14">
        <f>_xlfn.XLOOKUP(Table2[[#This Row],[LoanID]],Table1[G-L ID],Table1[ManagerCode],-99)</f>
        <v>119</v>
      </c>
      <c r="T6213"/>
    </row>
    <row r="6214" spans="1:20" x14ac:dyDescent="0.25">
      <c r="A6214">
        <v>20171130</v>
      </c>
      <c r="B6214">
        <v>2017</v>
      </c>
      <c r="C6214">
        <v>11</v>
      </c>
      <c r="D6214">
        <v>1</v>
      </c>
      <c r="E6214">
        <v>10270</v>
      </c>
      <c r="F6214">
        <v>48140.63</v>
      </c>
      <c r="G6214">
        <v>0</v>
      </c>
      <c r="H6214">
        <v>0</v>
      </c>
      <c r="I6214">
        <v>0</v>
      </c>
      <c r="J6214">
        <v>0</v>
      </c>
      <c r="K6214">
        <v>0</v>
      </c>
      <c r="L6214">
        <v>4500000</v>
      </c>
      <c r="M6214">
        <v>4500000</v>
      </c>
      <c r="N6214">
        <v>4500000</v>
      </c>
      <c r="O6214">
        <v>4500000</v>
      </c>
      <c r="P6214">
        <v>4500000</v>
      </c>
      <c r="Q6214">
        <v>4500000</v>
      </c>
      <c r="R6214" s="14">
        <f>_xlfn.XLOOKUP(Table2[[#This Row],[LoanID]],Table1[G-L ID],Table1[ManagerCode],-99)</f>
        <v>119</v>
      </c>
      <c r="T6214"/>
    </row>
    <row r="6215" spans="1:20" x14ac:dyDescent="0.25">
      <c r="A6215">
        <v>20171130</v>
      </c>
      <c r="B6215">
        <v>2017</v>
      </c>
      <c r="C6215">
        <v>11</v>
      </c>
      <c r="D6215">
        <v>1</v>
      </c>
      <c r="E6215">
        <v>10330</v>
      </c>
      <c r="F6215">
        <v>84091.85</v>
      </c>
      <c r="G6215">
        <v>0</v>
      </c>
      <c r="H6215">
        <v>0</v>
      </c>
      <c r="I6215">
        <v>0</v>
      </c>
      <c r="J6215">
        <v>0</v>
      </c>
      <c r="K6215">
        <v>0</v>
      </c>
      <c r="L6215">
        <v>8652759.6999999993</v>
      </c>
      <c r="M6215">
        <v>8652759.6999999993</v>
      </c>
      <c r="N6215">
        <v>8652759.6999999993</v>
      </c>
      <c r="O6215">
        <v>8652759.6999999993</v>
      </c>
      <c r="P6215">
        <v>8652759.6999999993</v>
      </c>
      <c r="Q6215">
        <v>8652759.6999999993</v>
      </c>
      <c r="R6215" s="14">
        <f>_xlfn.XLOOKUP(Table2[[#This Row],[LoanID]],Table1[G-L ID],Table1[ManagerCode],-99)</f>
        <v>119</v>
      </c>
      <c r="T6215"/>
    </row>
    <row r="6216" spans="1:20" x14ac:dyDescent="0.25">
      <c r="A6216">
        <v>20171130</v>
      </c>
      <c r="B6216">
        <v>2017</v>
      </c>
      <c r="C6216">
        <v>11</v>
      </c>
      <c r="D6216">
        <v>1</v>
      </c>
      <c r="E6216">
        <v>10350</v>
      </c>
      <c r="F6216">
        <v>180833.33</v>
      </c>
      <c r="G6216">
        <v>0</v>
      </c>
      <c r="H6216">
        <v>0</v>
      </c>
      <c r="I6216">
        <v>0</v>
      </c>
      <c r="J6216">
        <v>0</v>
      </c>
      <c r="K6216">
        <v>0</v>
      </c>
      <c r="L6216">
        <v>24800000</v>
      </c>
      <c r="M6216">
        <v>24800000</v>
      </c>
      <c r="N6216">
        <v>24800000</v>
      </c>
      <c r="O6216">
        <v>24800000</v>
      </c>
      <c r="P6216">
        <v>24800000</v>
      </c>
      <c r="Q6216">
        <v>24800000</v>
      </c>
      <c r="R6216" s="14">
        <f>_xlfn.XLOOKUP(Table2[[#This Row],[LoanID]],Table1[G-L ID],Table1[ManagerCode],-99)</f>
        <v>220</v>
      </c>
      <c r="T6216"/>
    </row>
    <row r="6217" spans="1:20" x14ac:dyDescent="0.25">
      <c r="A6217">
        <v>20171130</v>
      </c>
      <c r="B6217">
        <v>2017</v>
      </c>
      <c r="C6217">
        <v>11</v>
      </c>
      <c r="D6217">
        <v>1</v>
      </c>
      <c r="E6217">
        <v>10360</v>
      </c>
      <c r="F6217">
        <v>57858.96</v>
      </c>
      <c r="G6217">
        <v>0</v>
      </c>
      <c r="H6217">
        <v>0</v>
      </c>
      <c r="I6217">
        <v>0</v>
      </c>
      <c r="J6217">
        <v>0</v>
      </c>
      <c r="K6217">
        <v>0</v>
      </c>
      <c r="L6217">
        <v>5909000</v>
      </c>
      <c r="M6217">
        <v>5909000</v>
      </c>
      <c r="N6217">
        <v>5909000</v>
      </c>
      <c r="O6217">
        <v>5909000</v>
      </c>
      <c r="P6217">
        <v>5909000</v>
      </c>
      <c r="Q6217">
        <v>5909000</v>
      </c>
      <c r="R6217" s="14">
        <f>_xlfn.XLOOKUP(Table2[[#This Row],[LoanID]],Table1[G-L ID],Table1[ManagerCode],-99)</f>
        <v>183</v>
      </c>
      <c r="T6217"/>
    </row>
    <row r="6218" spans="1:20" x14ac:dyDescent="0.25">
      <c r="A6218">
        <v>20171130</v>
      </c>
      <c r="B6218">
        <v>2017</v>
      </c>
      <c r="C6218">
        <v>11</v>
      </c>
      <c r="D6218">
        <v>1</v>
      </c>
      <c r="E6218">
        <v>10480</v>
      </c>
      <c r="F6218">
        <v>156271</v>
      </c>
      <c r="G6218">
        <v>0</v>
      </c>
      <c r="H6218">
        <v>0</v>
      </c>
      <c r="I6218">
        <v>0</v>
      </c>
      <c r="J6218">
        <v>0</v>
      </c>
      <c r="K6218">
        <v>0</v>
      </c>
      <c r="L6218">
        <v>18000000</v>
      </c>
      <c r="M6218">
        <v>18000000</v>
      </c>
      <c r="N6218">
        <v>18000000</v>
      </c>
      <c r="O6218">
        <v>18000000</v>
      </c>
      <c r="P6218">
        <v>18000000</v>
      </c>
      <c r="Q6218">
        <v>18000000</v>
      </c>
      <c r="R6218" s="14">
        <f>_xlfn.XLOOKUP(Table2[[#This Row],[LoanID]],Table1[G-L ID],Table1[ManagerCode],-99)</f>
        <v>119</v>
      </c>
      <c r="T6218"/>
    </row>
    <row r="6219" spans="1:20" x14ac:dyDescent="0.25">
      <c r="A6219">
        <v>20171130</v>
      </c>
      <c r="B6219">
        <v>2017</v>
      </c>
      <c r="C6219">
        <v>11</v>
      </c>
      <c r="D6219">
        <v>1</v>
      </c>
      <c r="E6219">
        <v>10620</v>
      </c>
      <c r="F6219">
        <v>118518.38</v>
      </c>
      <c r="G6219">
        <v>0</v>
      </c>
      <c r="H6219">
        <v>0</v>
      </c>
      <c r="I6219">
        <v>0</v>
      </c>
      <c r="J6219">
        <v>0</v>
      </c>
      <c r="K6219">
        <v>0</v>
      </c>
      <c r="L6219">
        <v>11574197.050000001</v>
      </c>
      <c r="M6219">
        <v>11574197.050000001</v>
      </c>
      <c r="N6219">
        <v>11574197.050000001</v>
      </c>
      <c r="O6219">
        <v>11574197.050000001</v>
      </c>
      <c r="P6219">
        <v>11574197.050000001</v>
      </c>
      <c r="Q6219">
        <v>11574197.050000001</v>
      </c>
      <c r="R6219" s="14">
        <f>_xlfn.XLOOKUP(Table2[[#This Row],[LoanID]],Table1[G-L ID],Table1[ManagerCode],-99)</f>
        <v>119</v>
      </c>
      <c r="T6219"/>
    </row>
    <row r="6220" spans="1:20" x14ac:dyDescent="0.25">
      <c r="A6220">
        <v>20171130</v>
      </c>
      <c r="B6220">
        <v>2017</v>
      </c>
      <c r="C6220">
        <v>11</v>
      </c>
      <c r="D6220">
        <v>1</v>
      </c>
      <c r="E6220">
        <v>10670</v>
      </c>
      <c r="F6220">
        <v>280007.5</v>
      </c>
      <c r="G6220">
        <v>0</v>
      </c>
      <c r="H6220">
        <v>0</v>
      </c>
      <c r="I6220">
        <v>0</v>
      </c>
      <c r="J6220">
        <v>0</v>
      </c>
      <c r="K6220">
        <v>0</v>
      </c>
      <c r="L6220">
        <v>30000000</v>
      </c>
      <c r="M6220">
        <v>30000000</v>
      </c>
      <c r="N6220">
        <v>30000000</v>
      </c>
      <c r="O6220">
        <v>30000000</v>
      </c>
      <c r="P6220">
        <v>30000000</v>
      </c>
      <c r="Q6220">
        <v>30000000</v>
      </c>
      <c r="R6220" s="14">
        <f>_xlfn.XLOOKUP(Table2[[#This Row],[LoanID]],Table1[G-L ID],Table1[ManagerCode],-99)</f>
        <v>119</v>
      </c>
      <c r="T6220"/>
    </row>
    <row r="6221" spans="1:20" x14ac:dyDescent="0.25">
      <c r="A6221">
        <v>20171130</v>
      </c>
      <c r="B6221">
        <v>2017</v>
      </c>
      <c r="C6221">
        <v>11</v>
      </c>
      <c r="D6221">
        <v>1</v>
      </c>
      <c r="E6221">
        <v>10730</v>
      </c>
      <c r="F6221">
        <v>105905.21</v>
      </c>
      <c r="G6221">
        <v>0</v>
      </c>
      <c r="H6221">
        <v>0</v>
      </c>
      <c r="I6221">
        <v>0</v>
      </c>
      <c r="J6221">
        <v>0</v>
      </c>
      <c r="K6221">
        <v>0</v>
      </c>
      <c r="L6221">
        <v>9500000</v>
      </c>
      <c r="M6221">
        <v>9500000</v>
      </c>
      <c r="N6221">
        <v>9500000</v>
      </c>
      <c r="O6221">
        <v>9500000</v>
      </c>
      <c r="P6221">
        <v>9500000</v>
      </c>
      <c r="Q6221">
        <v>9500000</v>
      </c>
      <c r="R6221" s="14">
        <f>_xlfn.XLOOKUP(Table2[[#This Row],[LoanID]],Table1[G-L ID],Table1[ManagerCode],-99)</f>
        <v>119</v>
      </c>
      <c r="T6221"/>
    </row>
    <row r="6222" spans="1:20" x14ac:dyDescent="0.25">
      <c r="A6222">
        <v>20171130</v>
      </c>
      <c r="B6222">
        <v>2017</v>
      </c>
      <c r="C6222">
        <v>11</v>
      </c>
      <c r="D6222">
        <v>1</v>
      </c>
      <c r="E6222">
        <v>10750</v>
      </c>
      <c r="F6222">
        <v>83042.789999999994</v>
      </c>
      <c r="G6222">
        <v>0</v>
      </c>
      <c r="H6222">
        <v>0</v>
      </c>
      <c r="I6222">
        <v>0</v>
      </c>
      <c r="J6222">
        <v>0</v>
      </c>
      <c r="K6222">
        <v>390664.97</v>
      </c>
      <c r="L6222">
        <v>9147924.9299999997</v>
      </c>
      <c r="M6222">
        <v>8757259.9600000009</v>
      </c>
      <c r="N6222">
        <v>9147924.9299999997</v>
      </c>
      <c r="O6222">
        <v>8757259.9600000009</v>
      </c>
      <c r="P6222">
        <v>9147924.9299999997</v>
      </c>
      <c r="Q6222">
        <v>8757259.9600000009</v>
      </c>
      <c r="R6222" s="14">
        <f>_xlfn.XLOOKUP(Table2[[#This Row],[LoanID]],Table1[G-L ID],Table1[ManagerCode],-99)</f>
        <v>119</v>
      </c>
      <c r="T6222"/>
    </row>
    <row r="6223" spans="1:20" x14ac:dyDescent="0.25">
      <c r="A6223">
        <v>20171130</v>
      </c>
      <c r="B6223">
        <v>2017</v>
      </c>
      <c r="C6223">
        <v>11</v>
      </c>
      <c r="D6223">
        <v>1</v>
      </c>
      <c r="E6223">
        <v>10810</v>
      </c>
      <c r="F6223">
        <v>93501.82</v>
      </c>
      <c r="G6223">
        <v>0</v>
      </c>
      <c r="H6223">
        <v>0</v>
      </c>
      <c r="I6223">
        <v>0</v>
      </c>
      <c r="J6223">
        <v>0</v>
      </c>
      <c r="K6223">
        <v>408912.69</v>
      </c>
      <c r="L6223">
        <v>9741000.7100000009</v>
      </c>
      <c r="M6223">
        <v>9332088.0199999996</v>
      </c>
      <c r="N6223">
        <v>9741000.7100000009</v>
      </c>
      <c r="O6223">
        <v>9332088.0199999996</v>
      </c>
      <c r="P6223">
        <v>9741000.7100000009</v>
      </c>
      <c r="Q6223">
        <v>9332088.0199999996</v>
      </c>
      <c r="R6223" s="14">
        <f>_xlfn.XLOOKUP(Table2[[#This Row],[LoanID]],Table1[G-L ID],Table1[ManagerCode],-99)</f>
        <v>119</v>
      </c>
      <c r="T6223"/>
    </row>
    <row r="6224" spans="1:20" x14ac:dyDescent="0.25">
      <c r="A6224">
        <v>20171130</v>
      </c>
      <c r="B6224">
        <v>2017</v>
      </c>
      <c r="C6224">
        <v>11</v>
      </c>
      <c r="D6224">
        <v>1</v>
      </c>
      <c r="E6224">
        <v>10820</v>
      </c>
      <c r="F6224">
        <v>197375.03</v>
      </c>
      <c r="G6224">
        <v>0</v>
      </c>
      <c r="H6224">
        <v>0</v>
      </c>
      <c r="I6224">
        <v>0</v>
      </c>
      <c r="J6224">
        <v>0</v>
      </c>
      <c r="K6224">
        <v>0</v>
      </c>
      <c r="L6224">
        <v>24127338</v>
      </c>
      <c r="M6224">
        <v>24127337.739999998</v>
      </c>
      <c r="N6224">
        <v>24127338</v>
      </c>
      <c r="O6224">
        <v>24127337.739999998</v>
      </c>
      <c r="P6224">
        <v>24127337.739999998</v>
      </c>
      <c r="Q6224">
        <v>24127337.739999998</v>
      </c>
      <c r="R6224" s="14">
        <f>_xlfn.XLOOKUP(Table2[[#This Row],[LoanID]],Table1[G-L ID],Table1[ManagerCode],-99)</f>
        <v>220</v>
      </c>
      <c r="T6224"/>
    </row>
    <row r="6225" spans="1:20" x14ac:dyDescent="0.25">
      <c r="A6225">
        <v>20171130</v>
      </c>
      <c r="B6225">
        <v>2017</v>
      </c>
      <c r="C6225">
        <v>11</v>
      </c>
      <c r="D6225">
        <v>1</v>
      </c>
      <c r="E6225">
        <v>10830</v>
      </c>
      <c r="F6225">
        <v>63857.77</v>
      </c>
      <c r="G6225">
        <v>0</v>
      </c>
      <c r="H6225">
        <v>0</v>
      </c>
      <c r="I6225">
        <v>0</v>
      </c>
      <c r="J6225">
        <v>0</v>
      </c>
      <c r="K6225">
        <v>0</v>
      </c>
      <c r="L6225">
        <v>7806043.1399999997</v>
      </c>
      <c r="M6225">
        <v>7806043.1399999997</v>
      </c>
      <c r="N6225">
        <v>7806043.1399999997</v>
      </c>
      <c r="O6225">
        <v>7806043.1399999997</v>
      </c>
      <c r="P6225">
        <v>7806043.1399999997</v>
      </c>
      <c r="Q6225">
        <v>7806043.1399999997</v>
      </c>
      <c r="R6225" s="14">
        <f>_xlfn.XLOOKUP(Table2[[#This Row],[LoanID]],Table1[G-L ID],Table1[ManagerCode],-99)</f>
        <v>220</v>
      </c>
      <c r="T6225"/>
    </row>
    <row r="6226" spans="1:20" x14ac:dyDescent="0.25">
      <c r="A6226">
        <v>20171130</v>
      </c>
      <c r="B6226">
        <v>2017</v>
      </c>
      <c r="C6226">
        <v>11</v>
      </c>
      <c r="D6226">
        <v>1</v>
      </c>
      <c r="E6226">
        <v>10840</v>
      </c>
      <c r="F6226">
        <v>103968.23</v>
      </c>
      <c r="G6226">
        <v>0</v>
      </c>
      <c r="H6226">
        <v>0</v>
      </c>
      <c r="I6226">
        <v>0</v>
      </c>
      <c r="J6226">
        <v>0</v>
      </c>
      <c r="K6226">
        <v>0</v>
      </c>
      <c r="L6226">
        <v>12709189</v>
      </c>
      <c r="M6226">
        <v>12709189</v>
      </c>
      <c r="N6226">
        <v>12709189</v>
      </c>
      <c r="O6226">
        <v>12709189</v>
      </c>
      <c r="P6226">
        <v>12709189</v>
      </c>
      <c r="Q6226">
        <v>12709189</v>
      </c>
      <c r="R6226" s="14">
        <f>_xlfn.XLOOKUP(Table2[[#This Row],[LoanID]],Table1[G-L ID],Table1[ManagerCode],-99)</f>
        <v>220</v>
      </c>
      <c r="T6226"/>
    </row>
    <row r="6227" spans="1:20" x14ac:dyDescent="0.25">
      <c r="A6227">
        <v>20171130</v>
      </c>
      <c r="B6227">
        <v>2017</v>
      </c>
      <c r="C6227">
        <v>11</v>
      </c>
      <c r="D6227">
        <v>1</v>
      </c>
      <c r="E6227">
        <v>10850</v>
      </c>
      <c r="F6227">
        <v>110534.78</v>
      </c>
      <c r="G6227">
        <v>0</v>
      </c>
      <c r="H6227">
        <v>0</v>
      </c>
      <c r="I6227">
        <v>0</v>
      </c>
      <c r="J6227">
        <v>0</v>
      </c>
      <c r="K6227">
        <v>0</v>
      </c>
      <c r="L6227">
        <v>13511892</v>
      </c>
      <c r="M6227">
        <v>13511892</v>
      </c>
      <c r="N6227">
        <v>13511892</v>
      </c>
      <c r="O6227">
        <v>13511892</v>
      </c>
      <c r="P6227">
        <v>13511892</v>
      </c>
      <c r="Q6227">
        <v>13511892</v>
      </c>
      <c r="R6227" s="14">
        <f>_xlfn.XLOOKUP(Table2[[#This Row],[LoanID]],Table1[G-L ID],Table1[ManagerCode],-99)</f>
        <v>220</v>
      </c>
      <c r="T6227"/>
    </row>
    <row r="6228" spans="1:20" x14ac:dyDescent="0.25">
      <c r="A6228">
        <v>20171130</v>
      </c>
      <c r="B6228">
        <v>2017</v>
      </c>
      <c r="C6228">
        <v>11</v>
      </c>
      <c r="D6228">
        <v>1</v>
      </c>
      <c r="E6228">
        <v>10890</v>
      </c>
      <c r="F6228">
        <v>283103.90000000002</v>
      </c>
      <c r="G6228">
        <v>0</v>
      </c>
      <c r="H6228">
        <v>0</v>
      </c>
      <c r="I6228">
        <v>0</v>
      </c>
      <c r="J6228">
        <v>0</v>
      </c>
      <c r="K6228">
        <v>23785499.170000002</v>
      </c>
      <c r="L6228">
        <v>23785499.170000002</v>
      </c>
      <c r="M6228">
        <v>0</v>
      </c>
      <c r="N6228">
        <v>23785499.170000002</v>
      </c>
      <c r="O6228">
        <v>0</v>
      </c>
      <c r="P6228">
        <v>23785499.170000002</v>
      </c>
      <c r="Q6228">
        <v>0</v>
      </c>
      <c r="R6228" s="14">
        <f>_xlfn.XLOOKUP(Table2[[#This Row],[LoanID]],Table1[G-L ID],Table1[ManagerCode],-99)</f>
        <v>183</v>
      </c>
      <c r="T6228"/>
    </row>
    <row r="6229" spans="1:20" x14ac:dyDescent="0.25">
      <c r="A6229">
        <v>20171130</v>
      </c>
      <c r="B6229">
        <v>2017</v>
      </c>
      <c r="C6229">
        <v>11</v>
      </c>
      <c r="D6229">
        <v>1</v>
      </c>
      <c r="E6229">
        <v>10910</v>
      </c>
      <c r="F6229">
        <v>355642.33</v>
      </c>
      <c r="G6229">
        <v>0</v>
      </c>
      <c r="H6229">
        <v>0</v>
      </c>
      <c r="I6229">
        <v>0</v>
      </c>
      <c r="J6229">
        <v>0</v>
      </c>
      <c r="K6229">
        <v>1750000</v>
      </c>
      <c r="L6229">
        <v>22500000</v>
      </c>
      <c r="M6229">
        <v>20750000</v>
      </c>
      <c r="N6229">
        <v>22500000</v>
      </c>
      <c r="O6229">
        <v>20750000</v>
      </c>
      <c r="P6229">
        <v>22500000</v>
      </c>
      <c r="Q6229">
        <v>20750000</v>
      </c>
      <c r="R6229" s="14">
        <f>_xlfn.XLOOKUP(Table2[[#This Row],[LoanID]],Table1[G-L ID],Table1[ManagerCode],-99)</f>
        <v>119</v>
      </c>
      <c r="T6229"/>
    </row>
    <row r="6230" spans="1:20" x14ac:dyDescent="0.25">
      <c r="A6230">
        <v>20171130</v>
      </c>
      <c r="B6230">
        <v>2017</v>
      </c>
      <c r="C6230">
        <v>11</v>
      </c>
      <c r="D6230">
        <v>1</v>
      </c>
      <c r="E6230">
        <v>10930</v>
      </c>
      <c r="F6230">
        <v>0</v>
      </c>
      <c r="G6230">
        <v>199249.78</v>
      </c>
      <c r="H6230">
        <v>0</v>
      </c>
      <c r="I6230">
        <v>0</v>
      </c>
      <c r="J6230">
        <v>0</v>
      </c>
      <c r="K6230">
        <v>0</v>
      </c>
      <c r="L6230">
        <v>18647735.77</v>
      </c>
      <c r="M6230">
        <v>18846985.550000001</v>
      </c>
      <c r="N6230">
        <v>18647735.77</v>
      </c>
      <c r="O6230">
        <v>18846985.550000001</v>
      </c>
      <c r="P6230">
        <v>18647735.77</v>
      </c>
      <c r="Q6230">
        <v>18846985.550000001</v>
      </c>
      <c r="R6230" s="14">
        <f>_xlfn.XLOOKUP(Table2[[#This Row],[LoanID]],Table1[G-L ID],Table1[ManagerCode],-99)</f>
        <v>183</v>
      </c>
      <c r="T6230"/>
    </row>
    <row r="6231" spans="1:20" x14ac:dyDescent="0.25">
      <c r="A6231">
        <v>20171130</v>
      </c>
      <c r="B6231">
        <v>2017</v>
      </c>
      <c r="C6231">
        <v>11</v>
      </c>
      <c r="D6231">
        <v>1</v>
      </c>
      <c r="E6231">
        <v>10970</v>
      </c>
      <c r="F6231">
        <v>23869.4</v>
      </c>
      <c r="G6231">
        <v>26127.05</v>
      </c>
      <c r="H6231">
        <v>0</v>
      </c>
      <c r="I6231">
        <v>0</v>
      </c>
      <c r="J6231">
        <v>-23869.4</v>
      </c>
      <c r="K6231">
        <v>0</v>
      </c>
      <c r="L6231">
        <v>4814503.6500000004</v>
      </c>
      <c r="M6231">
        <v>4864500.0999999996</v>
      </c>
      <c r="N6231">
        <v>4814503.6500000004</v>
      </c>
      <c r="O6231">
        <v>4864500.0999999996</v>
      </c>
      <c r="P6231">
        <v>4814503.6500000004</v>
      </c>
      <c r="Q6231">
        <v>4864500.0999999996</v>
      </c>
      <c r="R6231" s="14">
        <f>_xlfn.XLOOKUP(Table2[[#This Row],[LoanID]],Table1[G-L ID],Table1[ManagerCode],-99)</f>
        <v>183</v>
      </c>
      <c r="T6231"/>
    </row>
    <row r="6232" spans="1:20" x14ac:dyDescent="0.25">
      <c r="A6232">
        <v>20171130</v>
      </c>
      <c r="B6232">
        <v>2017</v>
      </c>
      <c r="C6232">
        <v>11</v>
      </c>
      <c r="D6232">
        <v>1</v>
      </c>
      <c r="E6232">
        <v>11060</v>
      </c>
      <c r="F6232">
        <v>200032.3</v>
      </c>
      <c r="G6232">
        <v>0</v>
      </c>
      <c r="H6232">
        <v>0</v>
      </c>
      <c r="I6232">
        <v>0</v>
      </c>
      <c r="J6232">
        <v>0</v>
      </c>
      <c r="K6232">
        <v>0</v>
      </c>
      <c r="L6232">
        <v>22000000</v>
      </c>
      <c r="M6232">
        <v>22000000</v>
      </c>
      <c r="N6232">
        <v>22000000</v>
      </c>
      <c r="O6232">
        <v>22000000</v>
      </c>
      <c r="P6232">
        <v>22000000</v>
      </c>
      <c r="Q6232">
        <v>22000000</v>
      </c>
      <c r="R6232" s="14">
        <f>_xlfn.XLOOKUP(Table2[[#This Row],[LoanID]],Table1[G-L ID],Table1[ManagerCode],-99)</f>
        <v>119</v>
      </c>
      <c r="T6232"/>
    </row>
    <row r="6233" spans="1:20" x14ac:dyDescent="0.25">
      <c r="A6233">
        <v>20171130</v>
      </c>
      <c r="B6233">
        <v>2017</v>
      </c>
      <c r="C6233">
        <v>11</v>
      </c>
      <c r="D6233">
        <v>1</v>
      </c>
      <c r="E6233">
        <v>11080</v>
      </c>
      <c r="F6233">
        <v>0</v>
      </c>
      <c r="G6233">
        <v>0</v>
      </c>
      <c r="H6233">
        <v>0</v>
      </c>
      <c r="I6233">
        <v>0</v>
      </c>
      <c r="J6233">
        <v>0</v>
      </c>
      <c r="K6233">
        <v>0</v>
      </c>
      <c r="L6233">
        <v>39318738.329999998</v>
      </c>
      <c r="M6233">
        <v>39318738.329999998</v>
      </c>
      <c r="N6233">
        <v>39318738.329999998</v>
      </c>
      <c r="O6233">
        <v>39318738.329999998</v>
      </c>
      <c r="P6233">
        <v>39318738.329999998</v>
      </c>
      <c r="Q6233">
        <v>39318738.329999998</v>
      </c>
      <c r="R6233" s="14">
        <f>_xlfn.XLOOKUP(Table2[[#This Row],[LoanID]],Table1[G-L ID],Table1[ManagerCode],-99)</f>
        <v>119</v>
      </c>
      <c r="T6233"/>
    </row>
    <row r="6234" spans="1:20" x14ac:dyDescent="0.25">
      <c r="A6234">
        <v>20171130</v>
      </c>
      <c r="B6234">
        <v>2017</v>
      </c>
      <c r="C6234">
        <v>11</v>
      </c>
      <c r="D6234">
        <v>1</v>
      </c>
      <c r="E6234">
        <v>11090</v>
      </c>
      <c r="F6234">
        <v>101476.31</v>
      </c>
      <c r="G6234">
        <v>0</v>
      </c>
      <c r="H6234">
        <v>0</v>
      </c>
      <c r="I6234">
        <v>0</v>
      </c>
      <c r="J6234">
        <v>0</v>
      </c>
      <c r="K6234">
        <v>12000</v>
      </c>
      <c r="L6234">
        <v>10976000</v>
      </c>
      <c r="M6234">
        <v>10964000</v>
      </c>
      <c r="N6234">
        <v>10976000</v>
      </c>
      <c r="O6234">
        <v>10964000</v>
      </c>
      <c r="P6234">
        <v>10976000</v>
      </c>
      <c r="Q6234">
        <v>10964000</v>
      </c>
      <c r="R6234" s="14">
        <f>_xlfn.XLOOKUP(Table2[[#This Row],[LoanID]],Table1[G-L ID],Table1[ManagerCode],-99)</f>
        <v>119</v>
      </c>
      <c r="T6234"/>
    </row>
    <row r="6235" spans="1:20" x14ac:dyDescent="0.25">
      <c r="A6235">
        <v>20171130</v>
      </c>
      <c r="B6235">
        <v>2017</v>
      </c>
      <c r="C6235">
        <v>11</v>
      </c>
      <c r="D6235">
        <v>1</v>
      </c>
      <c r="E6235">
        <v>11150</v>
      </c>
      <c r="F6235">
        <v>109431.3</v>
      </c>
      <c r="G6235">
        <v>0</v>
      </c>
      <c r="H6235">
        <v>0</v>
      </c>
      <c r="I6235">
        <v>0</v>
      </c>
      <c r="J6235">
        <v>-1062188.8500000001</v>
      </c>
      <c r="K6235">
        <v>0</v>
      </c>
      <c r="L6235">
        <v>9845981.0800000001</v>
      </c>
      <c r="M6235">
        <v>10908169.93</v>
      </c>
      <c r="N6235">
        <v>9845981.0800000001</v>
      </c>
      <c r="O6235">
        <v>10908169.93</v>
      </c>
      <c r="P6235">
        <v>9845981.0800000001</v>
      </c>
      <c r="Q6235">
        <v>10908169.93</v>
      </c>
      <c r="R6235" s="14">
        <f>_xlfn.XLOOKUP(Table2[[#This Row],[LoanID]],Table1[G-L ID],Table1[ManagerCode],-99)</f>
        <v>119</v>
      </c>
      <c r="T6235"/>
    </row>
    <row r="6236" spans="1:20" x14ac:dyDescent="0.25">
      <c r="A6236">
        <v>20171130</v>
      </c>
      <c r="B6236">
        <v>2017</v>
      </c>
      <c r="C6236">
        <v>11</v>
      </c>
      <c r="D6236">
        <v>1</v>
      </c>
      <c r="E6236">
        <v>11160</v>
      </c>
      <c r="F6236">
        <v>276431.53999999998</v>
      </c>
      <c r="G6236">
        <v>180076.57</v>
      </c>
      <c r="H6236">
        <v>0</v>
      </c>
      <c r="I6236">
        <v>0</v>
      </c>
      <c r="J6236">
        <v>-332547.75</v>
      </c>
      <c r="K6236">
        <v>0</v>
      </c>
      <c r="L6236">
        <v>81359097.75</v>
      </c>
      <c r="M6236">
        <v>81871722.069999993</v>
      </c>
      <c r="N6236">
        <v>57514748.439999998</v>
      </c>
      <c r="O6236">
        <v>58027372.759999998</v>
      </c>
      <c r="P6236">
        <v>81359097.75</v>
      </c>
      <c r="Q6236">
        <v>81871722.069999993</v>
      </c>
      <c r="R6236" s="14">
        <f>_xlfn.XLOOKUP(Table2[[#This Row],[LoanID]],Table1[G-L ID],Table1[ManagerCode],-99)</f>
        <v>183</v>
      </c>
      <c r="T6236"/>
    </row>
    <row r="6237" spans="1:20" x14ac:dyDescent="0.25">
      <c r="A6237">
        <v>20171130</v>
      </c>
      <c r="B6237">
        <v>2017</v>
      </c>
      <c r="C6237">
        <v>11</v>
      </c>
      <c r="D6237">
        <v>1</v>
      </c>
      <c r="E6237">
        <v>11210</v>
      </c>
      <c r="F6237">
        <v>67753.740000000005</v>
      </c>
      <c r="G6237">
        <v>0</v>
      </c>
      <c r="H6237">
        <v>0</v>
      </c>
      <c r="I6237">
        <v>0</v>
      </c>
      <c r="J6237">
        <v>0</v>
      </c>
      <c r="K6237">
        <v>0</v>
      </c>
      <c r="L6237">
        <v>7500000</v>
      </c>
      <c r="M6237">
        <v>7500000</v>
      </c>
      <c r="N6237">
        <v>7500000</v>
      </c>
      <c r="O6237">
        <v>7500000</v>
      </c>
      <c r="P6237">
        <v>7500000</v>
      </c>
      <c r="Q6237">
        <v>7500000</v>
      </c>
      <c r="R6237" s="14">
        <f>_xlfn.XLOOKUP(Table2[[#This Row],[LoanID]],Table1[G-L ID],Table1[ManagerCode],-99)</f>
        <v>119</v>
      </c>
      <c r="T6237"/>
    </row>
    <row r="6238" spans="1:20" x14ac:dyDescent="0.25">
      <c r="A6238">
        <v>20171130</v>
      </c>
      <c r="B6238">
        <v>2017</v>
      </c>
      <c r="C6238">
        <v>11</v>
      </c>
      <c r="D6238">
        <v>1</v>
      </c>
      <c r="E6238">
        <v>11340</v>
      </c>
      <c r="F6238">
        <v>292525.49</v>
      </c>
      <c r="G6238">
        <v>0</v>
      </c>
      <c r="H6238">
        <v>0</v>
      </c>
      <c r="I6238">
        <v>0</v>
      </c>
      <c r="J6238">
        <v>0</v>
      </c>
      <c r="K6238">
        <v>66507.289999999994</v>
      </c>
      <c r="L6238">
        <v>48044277.93</v>
      </c>
      <c r="M6238">
        <v>47978435.719999999</v>
      </c>
      <c r="N6238">
        <v>48044277.93</v>
      </c>
      <c r="O6238">
        <v>47978435.719999999</v>
      </c>
      <c r="P6238">
        <v>48529573.68</v>
      </c>
      <c r="Q6238">
        <v>48463066.390000001</v>
      </c>
      <c r="R6238" s="14">
        <f>_xlfn.XLOOKUP(Table2[[#This Row],[LoanID]],Table1[G-L ID],Table1[ManagerCode],-99)</f>
        <v>103</v>
      </c>
      <c r="T6238"/>
    </row>
    <row r="6239" spans="1:20" x14ac:dyDescent="0.25">
      <c r="A6239">
        <v>20171130</v>
      </c>
      <c r="B6239">
        <v>2017</v>
      </c>
      <c r="C6239">
        <v>11</v>
      </c>
      <c r="D6239">
        <v>1</v>
      </c>
      <c r="E6239">
        <v>11350</v>
      </c>
      <c r="F6239">
        <v>331527.78000000003</v>
      </c>
      <c r="G6239">
        <v>0</v>
      </c>
      <c r="H6239">
        <v>0</v>
      </c>
      <c r="I6239">
        <v>0</v>
      </c>
      <c r="J6239">
        <v>0</v>
      </c>
      <c r="K6239">
        <v>0</v>
      </c>
      <c r="L6239">
        <v>54449945.549999997</v>
      </c>
      <c r="M6239">
        <v>54449945.549999997</v>
      </c>
      <c r="N6239">
        <v>54449945.549999997</v>
      </c>
      <c r="O6239">
        <v>54449945.549999997</v>
      </c>
      <c r="P6239">
        <v>55000000</v>
      </c>
      <c r="Q6239">
        <v>55000000</v>
      </c>
      <c r="R6239" s="14">
        <f>_xlfn.XLOOKUP(Table2[[#This Row],[LoanID]],Table1[G-L ID],Table1[ManagerCode],-99)</f>
        <v>103</v>
      </c>
      <c r="T6239"/>
    </row>
    <row r="6240" spans="1:20" x14ac:dyDescent="0.25">
      <c r="A6240">
        <v>20171130</v>
      </c>
      <c r="B6240">
        <v>2017</v>
      </c>
      <c r="C6240">
        <v>11</v>
      </c>
      <c r="D6240">
        <v>1</v>
      </c>
      <c r="E6240">
        <v>11360</v>
      </c>
      <c r="F6240">
        <v>67148.210000000006</v>
      </c>
      <c r="G6240">
        <v>0</v>
      </c>
      <c r="H6240">
        <v>0</v>
      </c>
      <c r="I6240">
        <v>0</v>
      </c>
      <c r="J6240">
        <v>0</v>
      </c>
      <c r="K6240">
        <v>0</v>
      </c>
      <c r="L6240">
        <v>7537500</v>
      </c>
      <c r="M6240">
        <v>7537500</v>
      </c>
      <c r="N6240">
        <v>7537500</v>
      </c>
      <c r="O6240">
        <v>7537500</v>
      </c>
      <c r="P6240">
        <v>7537500</v>
      </c>
      <c r="Q6240">
        <v>7537500</v>
      </c>
      <c r="R6240" s="14">
        <f>_xlfn.XLOOKUP(Table2[[#This Row],[LoanID]],Table1[G-L ID],Table1[ManagerCode],-99)</f>
        <v>119</v>
      </c>
      <c r="T6240"/>
    </row>
    <row r="6241" spans="1:20" x14ac:dyDescent="0.25">
      <c r="A6241">
        <v>20171130</v>
      </c>
      <c r="B6241">
        <v>2017</v>
      </c>
      <c r="C6241">
        <v>11</v>
      </c>
      <c r="D6241">
        <v>1</v>
      </c>
      <c r="E6241">
        <v>11410</v>
      </c>
      <c r="F6241">
        <v>117169.67</v>
      </c>
      <c r="G6241">
        <v>0</v>
      </c>
      <c r="H6241">
        <v>0</v>
      </c>
      <c r="I6241">
        <v>0</v>
      </c>
      <c r="J6241">
        <v>0</v>
      </c>
      <c r="K6241">
        <v>0</v>
      </c>
      <c r="L6241">
        <v>12000000</v>
      </c>
      <c r="M6241">
        <v>12000000</v>
      </c>
      <c r="N6241">
        <v>12000000</v>
      </c>
      <c r="O6241">
        <v>12000000</v>
      </c>
      <c r="P6241">
        <v>12000000</v>
      </c>
      <c r="Q6241">
        <v>12000000</v>
      </c>
      <c r="R6241" s="14">
        <f>_xlfn.XLOOKUP(Table2[[#This Row],[LoanID]],Table1[G-L ID],Table1[ManagerCode],-99)</f>
        <v>119</v>
      </c>
      <c r="T6241"/>
    </row>
    <row r="6242" spans="1:20" x14ac:dyDescent="0.25">
      <c r="A6242">
        <v>20171130</v>
      </c>
      <c r="B6242">
        <v>2017</v>
      </c>
      <c r="C6242">
        <v>11</v>
      </c>
      <c r="D6242">
        <v>1</v>
      </c>
      <c r="E6242">
        <v>11440</v>
      </c>
      <c r="F6242">
        <v>156250</v>
      </c>
      <c r="G6242">
        <v>0</v>
      </c>
      <c r="H6242">
        <v>0</v>
      </c>
      <c r="I6242">
        <v>0</v>
      </c>
      <c r="J6242">
        <v>0</v>
      </c>
      <c r="K6242">
        <v>0</v>
      </c>
      <c r="L6242">
        <v>18750000</v>
      </c>
      <c r="M6242">
        <v>18750000</v>
      </c>
      <c r="N6242">
        <v>18750000</v>
      </c>
      <c r="O6242">
        <v>18750000</v>
      </c>
      <c r="P6242">
        <v>18750000</v>
      </c>
      <c r="Q6242">
        <v>18750000</v>
      </c>
      <c r="R6242" s="14">
        <f>_xlfn.XLOOKUP(Table2[[#This Row],[LoanID]],Table1[G-L ID],Table1[ManagerCode],-99)</f>
        <v>183</v>
      </c>
      <c r="T6242"/>
    </row>
    <row r="6243" spans="1:20" x14ac:dyDescent="0.25">
      <c r="A6243">
        <v>20171130</v>
      </c>
      <c r="B6243">
        <v>2017</v>
      </c>
      <c r="C6243">
        <v>11</v>
      </c>
      <c r="D6243">
        <v>1</v>
      </c>
      <c r="E6243">
        <v>11450</v>
      </c>
      <c r="F6243">
        <v>143653.29999999999</v>
      </c>
      <c r="G6243">
        <v>0</v>
      </c>
      <c r="H6243">
        <v>0</v>
      </c>
      <c r="I6243">
        <v>0</v>
      </c>
      <c r="J6243">
        <v>-190405.46</v>
      </c>
      <c r="K6243">
        <v>0</v>
      </c>
      <c r="L6243">
        <v>16294509.810000001</v>
      </c>
      <c r="M6243">
        <v>16484915.27</v>
      </c>
      <c r="N6243">
        <v>16294509.810000001</v>
      </c>
      <c r="O6243">
        <v>16484915.27</v>
      </c>
      <c r="P6243">
        <v>16294509.810000001</v>
      </c>
      <c r="Q6243">
        <v>16484915.27</v>
      </c>
      <c r="R6243" s="14">
        <f>_xlfn.XLOOKUP(Table2[[#This Row],[LoanID]],Table1[G-L ID],Table1[ManagerCode],-99)</f>
        <v>119</v>
      </c>
      <c r="T6243"/>
    </row>
    <row r="6244" spans="1:20" x14ac:dyDescent="0.25">
      <c r="A6244">
        <v>20171130</v>
      </c>
      <c r="B6244">
        <v>2017</v>
      </c>
      <c r="C6244">
        <v>11</v>
      </c>
      <c r="D6244">
        <v>1</v>
      </c>
      <c r="E6244">
        <v>11480</v>
      </c>
      <c r="F6244">
        <v>436350.83</v>
      </c>
      <c r="G6244">
        <v>0</v>
      </c>
      <c r="H6244">
        <v>0</v>
      </c>
      <c r="I6244">
        <v>0</v>
      </c>
      <c r="J6244">
        <v>0</v>
      </c>
      <c r="K6244">
        <v>0</v>
      </c>
      <c r="L6244">
        <v>66500000</v>
      </c>
      <c r="M6244">
        <v>66500000</v>
      </c>
      <c r="N6244">
        <v>66500000</v>
      </c>
      <c r="O6244">
        <v>66500000</v>
      </c>
      <c r="P6244">
        <v>70000000</v>
      </c>
      <c r="Q6244">
        <v>70000000</v>
      </c>
      <c r="R6244" s="14">
        <f>_xlfn.XLOOKUP(Table2[[#This Row],[LoanID]],Table1[G-L ID],Table1[ManagerCode],-99)</f>
        <v>103</v>
      </c>
      <c r="T6244"/>
    </row>
    <row r="6245" spans="1:20" x14ac:dyDescent="0.25">
      <c r="A6245">
        <v>20171130</v>
      </c>
      <c r="B6245">
        <v>2017</v>
      </c>
      <c r="C6245">
        <v>11</v>
      </c>
      <c r="D6245">
        <v>1</v>
      </c>
      <c r="E6245">
        <v>11490</v>
      </c>
      <c r="F6245">
        <v>402048.47</v>
      </c>
      <c r="G6245">
        <v>0</v>
      </c>
      <c r="H6245">
        <v>0</v>
      </c>
      <c r="I6245">
        <v>0</v>
      </c>
      <c r="J6245">
        <v>0</v>
      </c>
      <c r="K6245">
        <v>0</v>
      </c>
      <c r="L6245">
        <v>52250000</v>
      </c>
      <c r="M6245">
        <v>52250000</v>
      </c>
      <c r="N6245">
        <v>52250000</v>
      </c>
      <c r="O6245">
        <v>52250000</v>
      </c>
      <c r="P6245">
        <v>55000000</v>
      </c>
      <c r="Q6245">
        <v>55000000</v>
      </c>
      <c r="R6245" s="14">
        <f>_xlfn.XLOOKUP(Table2[[#This Row],[LoanID]],Table1[G-L ID],Table1[ManagerCode],-99)</f>
        <v>103</v>
      </c>
      <c r="T6245"/>
    </row>
    <row r="6246" spans="1:20" x14ac:dyDescent="0.25">
      <c r="A6246">
        <v>20171130</v>
      </c>
      <c r="B6246">
        <v>2017</v>
      </c>
      <c r="C6246">
        <v>11</v>
      </c>
      <c r="D6246">
        <v>1</v>
      </c>
      <c r="E6246">
        <v>11520</v>
      </c>
      <c r="F6246">
        <v>59267.94</v>
      </c>
      <c r="G6246">
        <v>0</v>
      </c>
      <c r="H6246">
        <v>0</v>
      </c>
      <c r="I6246">
        <v>0</v>
      </c>
      <c r="J6246">
        <v>-150108.45000000001</v>
      </c>
      <c r="K6246">
        <v>0</v>
      </c>
      <c r="L6246">
        <v>9190024.3300000001</v>
      </c>
      <c r="M6246">
        <v>9340132.7799999993</v>
      </c>
      <c r="N6246">
        <v>9190024.3300000001</v>
      </c>
      <c r="O6246">
        <v>9340132.7799999993</v>
      </c>
      <c r="P6246">
        <v>9190024.3300000001</v>
      </c>
      <c r="Q6246">
        <v>9340132.7799999993</v>
      </c>
      <c r="R6246" s="14">
        <f>_xlfn.XLOOKUP(Table2[[#This Row],[LoanID]],Table1[G-L ID],Table1[ManagerCode],-99)</f>
        <v>119</v>
      </c>
      <c r="T6246"/>
    </row>
    <row r="6247" spans="1:20" x14ac:dyDescent="0.25">
      <c r="A6247">
        <v>20171130</v>
      </c>
      <c r="B6247">
        <v>2017</v>
      </c>
      <c r="C6247">
        <v>11</v>
      </c>
      <c r="D6247">
        <v>1</v>
      </c>
      <c r="E6247">
        <v>11530</v>
      </c>
      <c r="F6247">
        <v>134908.19</v>
      </c>
      <c r="G6247">
        <v>0</v>
      </c>
      <c r="H6247">
        <v>0</v>
      </c>
      <c r="I6247">
        <v>0</v>
      </c>
      <c r="J6247">
        <v>0</v>
      </c>
      <c r="K6247">
        <v>732896.34</v>
      </c>
      <c r="L6247">
        <v>14993350.42</v>
      </c>
      <c r="M6247">
        <v>14260454.08</v>
      </c>
      <c r="N6247">
        <v>14993350.42</v>
      </c>
      <c r="O6247">
        <v>14260454.08</v>
      </c>
      <c r="P6247">
        <v>14993350.42</v>
      </c>
      <c r="Q6247">
        <v>14260454.08</v>
      </c>
      <c r="R6247" s="14">
        <f>_xlfn.XLOOKUP(Table2[[#This Row],[LoanID]],Table1[G-L ID],Table1[ManagerCode],-99)</f>
        <v>119</v>
      </c>
      <c r="T6247"/>
    </row>
    <row r="6248" spans="1:20" x14ac:dyDescent="0.25">
      <c r="A6248">
        <v>20171130</v>
      </c>
      <c r="B6248">
        <v>2017</v>
      </c>
      <c r="C6248">
        <v>11</v>
      </c>
      <c r="D6248">
        <v>1</v>
      </c>
      <c r="E6248">
        <v>11590</v>
      </c>
      <c r="F6248">
        <v>14932.06</v>
      </c>
      <c r="G6248">
        <v>0</v>
      </c>
      <c r="H6248">
        <v>0</v>
      </c>
      <c r="I6248">
        <v>0</v>
      </c>
      <c r="J6248">
        <v>0</v>
      </c>
      <c r="K6248">
        <v>0</v>
      </c>
      <c r="L6248">
        <v>1982289.13</v>
      </c>
      <c r="M6248">
        <v>1982289.13</v>
      </c>
      <c r="N6248">
        <v>1982289.13</v>
      </c>
      <c r="O6248">
        <v>1982289.13</v>
      </c>
      <c r="P6248">
        <v>1982289.13</v>
      </c>
      <c r="Q6248">
        <v>1982289.13</v>
      </c>
      <c r="R6248" s="14">
        <f>_xlfn.XLOOKUP(Table2[[#This Row],[LoanID]],Table1[G-L ID],Table1[ManagerCode],-99)</f>
        <v>119</v>
      </c>
      <c r="T6248"/>
    </row>
    <row r="6249" spans="1:20" x14ac:dyDescent="0.25">
      <c r="A6249">
        <v>20171130</v>
      </c>
      <c r="B6249">
        <v>2017</v>
      </c>
      <c r="C6249">
        <v>11</v>
      </c>
      <c r="D6249">
        <v>1</v>
      </c>
      <c r="E6249">
        <v>11680</v>
      </c>
      <c r="F6249">
        <v>57126.559999999998</v>
      </c>
      <c r="G6249">
        <v>0</v>
      </c>
      <c r="H6249">
        <v>0</v>
      </c>
      <c r="I6249">
        <v>0</v>
      </c>
      <c r="J6249">
        <v>0</v>
      </c>
      <c r="K6249">
        <v>0</v>
      </c>
      <c r="L6249">
        <v>6600000</v>
      </c>
      <c r="M6249">
        <v>6600000</v>
      </c>
      <c r="N6249">
        <v>6600000</v>
      </c>
      <c r="O6249">
        <v>6600000</v>
      </c>
      <c r="P6249">
        <v>6600000</v>
      </c>
      <c r="Q6249">
        <v>6600000</v>
      </c>
      <c r="R6249" s="14">
        <f>_xlfn.XLOOKUP(Table2[[#This Row],[LoanID]],Table1[G-L ID],Table1[ManagerCode],-99)</f>
        <v>183</v>
      </c>
      <c r="T6249"/>
    </row>
    <row r="6250" spans="1:20" x14ac:dyDescent="0.25">
      <c r="A6250">
        <v>20171130</v>
      </c>
      <c r="B6250">
        <v>2017</v>
      </c>
      <c r="C6250">
        <v>11</v>
      </c>
      <c r="D6250">
        <v>1</v>
      </c>
      <c r="E6250">
        <v>11690</v>
      </c>
      <c r="F6250">
        <v>149887.57999999999</v>
      </c>
      <c r="G6250">
        <v>0</v>
      </c>
      <c r="H6250">
        <v>0</v>
      </c>
      <c r="I6250">
        <v>0</v>
      </c>
      <c r="J6250">
        <v>0</v>
      </c>
      <c r="K6250">
        <v>0</v>
      </c>
      <c r="L6250">
        <v>17000000</v>
      </c>
      <c r="M6250">
        <v>17000000</v>
      </c>
      <c r="N6250">
        <v>17000000</v>
      </c>
      <c r="O6250">
        <v>17000000</v>
      </c>
      <c r="P6250">
        <v>17000000</v>
      </c>
      <c r="Q6250">
        <v>17000000</v>
      </c>
      <c r="R6250" s="14">
        <f>_xlfn.XLOOKUP(Table2[[#This Row],[LoanID]],Table1[G-L ID],Table1[ManagerCode],-99)</f>
        <v>119</v>
      </c>
      <c r="T6250"/>
    </row>
    <row r="6251" spans="1:20" x14ac:dyDescent="0.25">
      <c r="A6251">
        <v>20171130</v>
      </c>
      <c r="B6251">
        <v>2017</v>
      </c>
      <c r="C6251">
        <v>11</v>
      </c>
      <c r="D6251">
        <v>1</v>
      </c>
      <c r="E6251">
        <v>11730</v>
      </c>
      <c r="F6251">
        <v>53037.91</v>
      </c>
      <c r="G6251">
        <v>0</v>
      </c>
      <c r="H6251">
        <v>21444.5</v>
      </c>
      <c r="I6251">
        <v>0</v>
      </c>
      <c r="J6251">
        <v>0</v>
      </c>
      <c r="K6251">
        <v>8349.75</v>
      </c>
      <c r="L6251">
        <v>4910409</v>
      </c>
      <c r="M6251">
        <v>4902059.25</v>
      </c>
      <c r="N6251">
        <v>4910409</v>
      </c>
      <c r="O6251">
        <v>4902059.25</v>
      </c>
      <c r="P6251">
        <v>4910409</v>
      </c>
      <c r="Q6251">
        <v>4902059.25</v>
      </c>
      <c r="R6251" s="14">
        <f>_xlfn.XLOOKUP(Table2[[#This Row],[LoanID]],Table1[G-L ID],Table1[ManagerCode],-99)</f>
        <v>119</v>
      </c>
      <c r="T6251"/>
    </row>
    <row r="6252" spans="1:20" x14ac:dyDescent="0.25">
      <c r="A6252">
        <v>20171130</v>
      </c>
      <c r="B6252">
        <v>2017</v>
      </c>
      <c r="C6252">
        <v>11</v>
      </c>
      <c r="D6252">
        <v>1</v>
      </c>
      <c r="E6252">
        <v>11750</v>
      </c>
      <c r="F6252">
        <v>254248.84</v>
      </c>
      <c r="G6252">
        <v>124675.49</v>
      </c>
      <c r="H6252">
        <v>0</v>
      </c>
      <c r="I6252">
        <v>0</v>
      </c>
      <c r="J6252">
        <v>0</v>
      </c>
      <c r="K6252">
        <v>0</v>
      </c>
      <c r="L6252">
        <v>53902249.060000002</v>
      </c>
      <c r="M6252">
        <v>54026924.549999997</v>
      </c>
      <c r="N6252">
        <v>53902249.060000002</v>
      </c>
      <c r="O6252">
        <v>54026924.549999997</v>
      </c>
      <c r="P6252">
        <v>53902249.060000002</v>
      </c>
      <c r="Q6252">
        <v>54026924.549999997</v>
      </c>
      <c r="R6252" s="14">
        <f>_xlfn.XLOOKUP(Table2[[#This Row],[LoanID]],Table1[G-L ID],Table1[ManagerCode],-99)</f>
        <v>183</v>
      </c>
      <c r="T6252"/>
    </row>
    <row r="6253" spans="1:20" x14ac:dyDescent="0.25">
      <c r="A6253">
        <v>20171130</v>
      </c>
      <c r="B6253">
        <v>2017</v>
      </c>
      <c r="C6253">
        <v>11</v>
      </c>
      <c r="D6253">
        <v>1</v>
      </c>
      <c r="E6253">
        <v>11830</v>
      </c>
      <c r="F6253">
        <v>99275.63</v>
      </c>
      <c r="G6253">
        <v>0</v>
      </c>
      <c r="H6253">
        <v>0</v>
      </c>
      <c r="I6253">
        <v>0</v>
      </c>
      <c r="J6253">
        <v>1770830.27</v>
      </c>
      <c r="K6253">
        <v>0</v>
      </c>
      <c r="L6253">
        <v>11996546.51</v>
      </c>
      <c r="M6253">
        <v>10225716.24</v>
      </c>
      <c r="N6253">
        <v>11996546.51</v>
      </c>
      <c r="O6253">
        <v>10225716.24</v>
      </c>
      <c r="P6253">
        <v>11996546.51</v>
      </c>
      <c r="Q6253">
        <v>10225716.24</v>
      </c>
      <c r="R6253" s="14">
        <f>_xlfn.XLOOKUP(Table2[[#This Row],[LoanID]],Table1[G-L ID],Table1[ManagerCode],-99)</f>
        <v>119</v>
      </c>
      <c r="T6253"/>
    </row>
    <row r="6254" spans="1:20" x14ac:dyDescent="0.25">
      <c r="A6254">
        <v>20171130</v>
      </c>
      <c r="B6254">
        <v>2017</v>
      </c>
      <c r="C6254">
        <v>11</v>
      </c>
      <c r="D6254">
        <v>1</v>
      </c>
      <c r="E6254">
        <v>11850</v>
      </c>
      <c r="F6254">
        <v>97500</v>
      </c>
      <c r="G6254">
        <v>0</v>
      </c>
      <c r="H6254">
        <v>0</v>
      </c>
      <c r="I6254">
        <v>0</v>
      </c>
      <c r="J6254">
        <v>0</v>
      </c>
      <c r="K6254">
        <v>0</v>
      </c>
      <c r="L6254">
        <v>9000000</v>
      </c>
      <c r="M6254">
        <v>9000000</v>
      </c>
      <c r="N6254">
        <v>9000000</v>
      </c>
      <c r="O6254">
        <v>9000000</v>
      </c>
      <c r="P6254">
        <v>9000000</v>
      </c>
      <c r="Q6254">
        <v>9000000</v>
      </c>
      <c r="R6254" s="14">
        <f>_xlfn.XLOOKUP(Table2[[#This Row],[LoanID]],Table1[G-L ID],Table1[ManagerCode],-99)</f>
        <v>183</v>
      </c>
      <c r="T6254"/>
    </row>
    <row r="6255" spans="1:20" x14ac:dyDescent="0.25">
      <c r="A6255">
        <v>20171130</v>
      </c>
      <c r="B6255">
        <v>2017</v>
      </c>
      <c r="C6255">
        <v>11</v>
      </c>
      <c r="D6255">
        <v>1</v>
      </c>
      <c r="E6255">
        <v>11980</v>
      </c>
      <c r="F6255">
        <v>99502.46</v>
      </c>
      <c r="G6255">
        <v>0</v>
      </c>
      <c r="H6255">
        <v>0</v>
      </c>
      <c r="I6255">
        <v>0</v>
      </c>
      <c r="J6255">
        <v>0</v>
      </c>
      <c r="K6255">
        <v>0</v>
      </c>
      <c r="L6255">
        <v>7400000</v>
      </c>
      <c r="M6255">
        <v>7400000</v>
      </c>
      <c r="N6255">
        <v>7400000</v>
      </c>
      <c r="O6255">
        <v>7400000</v>
      </c>
      <c r="P6255">
        <v>7400000</v>
      </c>
      <c r="Q6255">
        <v>7400000</v>
      </c>
      <c r="R6255" s="14">
        <f>_xlfn.XLOOKUP(Table2[[#This Row],[LoanID]],Table1[G-L ID],Table1[ManagerCode],-99)</f>
        <v>119</v>
      </c>
      <c r="T6255"/>
    </row>
    <row r="6256" spans="1:20" x14ac:dyDescent="0.25">
      <c r="A6256">
        <v>20171130</v>
      </c>
      <c r="B6256">
        <v>2017</v>
      </c>
      <c r="C6256">
        <v>11</v>
      </c>
      <c r="D6256">
        <v>1</v>
      </c>
      <c r="E6256">
        <v>12030</v>
      </c>
      <c r="F6256">
        <v>51834.7</v>
      </c>
      <c r="G6256">
        <v>0</v>
      </c>
      <c r="H6256">
        <v>0</v>
      </c>
      <c r="I6256">
        <v>0</v>
      </c>
      <c r="J6256">
        <v>0</v>
      </c>
      <c r="K6256">
        <v>0</v>
      </c>
      <c r="L6256">
        <v>6375000</v>
      </c>
      <c r="M6256">
        <v>6375000</v>
      </c>
      <c r="N6256">
        <v>6375000</v>
      </c>
      <c r="O6256">
        <v>6375000</v>
      </c>
      <c r="P6256">
        <v>6375000</v>
      </c>
      <c r="Q6256">
        <v>6375000</v>
      </c>
      <c r="R6256" s="14">
        <f>_xlfn.XLOOKUP(Table2[[#This Row],[LoanID]],Table1[G-L ID],Table1[ManagerCode],-99)</f>
        <v>119</v>
      </c>
      <c r="T6256"/>
    </row>
    <row r="6257" spans="1:20" x14ac:dyDescent="0.25">
      <c r="A6257">
        <v>20171130</v>
      </c>
      <c r="B6257">
        <v>2017</v>
      </c>
      <c r="C6257">
        <v>11</v>
      </c>
      <c r="D6257">
        <v>1</v>
      </c>
      <c r="E6257">
        <v>12180</v>
      </c>
      <c r="F6257">
        <v>228716.51</v>
      </c>
      <c r="G6257">
        <v>0</v>
      </c>
      <c r="H6257">
        <v>0</v>
      </c>
      <c r="I6257">
        <v>0</v>
      </c>
      <c r="J6257">
        <v>0</v>
      </c>
      <c r="K6257">
        <v>0</v>
      </c>
      <c r="L6257">
        <v>30393210.870000001</v>
      </c>
      <c r="M6257">
        <v>30393210.870000001</v>
      </c>
      <c r="N6257">
        <v>30393210.870000001</v>
      </c>
      <c r="O6257">
        <v>30393210.870000001</v>
      </c>
      <c r="P6257">
        <v>30393210.870000001</v>
      </c>
      <c r="Q6257">
        <v>30393210.870000001</v>
      </c>
      <c r="R6257" s="14">
        <f>_xlfn.XLOOKUP(Table2[[#This Row],[LoanID]],Table1[G-L ID],Table1[ManagerCode],-99)</f>
        <v>220</v>
      </c>
      <c r="T6257"/>
    </row>
    <row r="6258" spans="1:20" x14ac:dyDescent="0.25">
      <c r="A6258">
        <v>20171130</v>
      </c>
      <c r="B6258">
        <v>2017</v>
      </c>
      <c r="C6258">
        <v>11</v>
      </c>
      <c r="D6258">
        <v>1</v>
      </c>
      <c r="E6258">
        <v>12220</v>
      </c>
      <c r="F6258">
        <v>178548.61</v>
      </c>
      <c r="G6258">
        <v>0</v>
      </c>
      <c r="H6258">
        <v>0</v>
      </c>
      <c r="I6258">
        <v>0</v>
      </c>
      <c r="J6258">
        <v>0</v>
      </c>
      <c r="K6258">
        <v>0</v>
      </c>
      <c r="L6258">
        <v>54500000</v>
      </c>
      <c r="M6258">
        <v>54500000</v>
      </c>
      <c r="N6258">
        <v>27250000</v>
      </c>
      <c r="O6258">
        <v>27250000</v>
      </c>
      <c r="P6258">
        <v>54500000</v>
      </c>
      <c r="Q6258">
        <v>54500000</v>
      </c>
      <c r="R6258" s="14">
        <f>_xlfn.XLOOKUP(Table2[[#This Row],[LoanID]],Table1[G-L ID],Table1[ManagerCode],-99)</f>
        <v>183</v>
      </c>
      <c r="T6258"/>
    </row>
    <row r="6259" spans="1:20" x14ac:dyDescent="0.25">
      <c r="A6259">
        <v>20171130</v>
      </c>
      <c r="B6259">
        <v>2017</v>
      </c>
      <c r="C6259">
        <v>11</v>
      </c>
      <c r="D6259">
        <v>1</v>
      </c>
      <c r="E6259">
        <v>12250</v>
      </c>
      <c r="F6259">
        <v>97229.71</v>
      </c>
      <c r="G6259">
        <v>0</v>
      </c>
      <c r="H6259">
        <v>0</v>
      </c>
      <c r="I6259">
        <v>0</v>
      </c>
      <c r="J6259">
        <v>0</v>
      </c>
      <c r="K6259">
        <v>0</v>
      </c>
      <c r="L6259">
        <v>11298501.68</v>
      </c>
      <c r="M6259">
        <v>11298501.68</v>
      </c>
      <c r="N6259">
        <v>11298501.68</v>
      </c>
      <c r="O6259">
        <v>11298501.68</v>
      </c>
      <c r="P6259">
        <v>11298501.68</v>
      </c>
      <c r="Q6259">
        <v>11298501.68</v>
      </c>
      <c r="R6259" s="14">
        <f>_xlfn.XLOOKUP(Table2[[#This Row],[LoanID]],Table1[G-L ID],Table1[ManagerCode],-99)</f>
        <v>119</v>
      </c>
      <c r="T6259"/>
    </row>
    <row r="6260" spans="1:20" x14ac:dyDescent="0.25">
      <c r="A6260">
        <v>20171130</v>
      </c>
      <c r="B6260">
        <v>2017</v>
      </c>
      <c r="C6260">
        <v>11</v>
      </c>
      <c r="D6260">
        <v>1</v>
      </c>
      <c r="E6260">
        <v>12260</v>
      </c>
      <c r="F6260">
        <v>110773.74</v>
      </c>
      <c r="G6260">
        <v>0</v>
      </c>
      <c r="H6260">
        <v>0</v>
      </c>
      <c r="I6260">
        <v>0</v>
      </c>
      <c r="J6260">
        <v>0</v>
      </c>
      <c r="K6260">
        <v>0</v>
      </c>
      <c r="L6260">
        <v>11470448.4</v>
      </c>
      <c r="M6260">
        <v>11470448.4</v>
      </c>
      <c r="N6260">
        <v>11470448.4</v>
      </c>
      <c r="O6260">
        <v>11470448.4</v>
      </c>
      <c r="P6260">
        <v>11470448.4</v>
      </c>
      <c r="Q6260">
        <v>11470448.4</v>
      </c>
      <c r="R6260" s="14">
        <f>_xlfn.XLOOKUP(Table2[[#This Row],[LoanID]],Table1[G-L ID],Table1[ManagerCode],-99)</f>
        <v>119</v>
      </c>
      <c r="T6260"/>
    </row>
    <row r="6261" spans="1:20" x14ac:dyDescent="0.25">
      <c r="A6261">
        <v>20171130</v>
      </c>
      <c r="B6261">
        <v>2017</v>
      </c>
      <c r="C6261">
        <v>11</v>
      </c>
      <c r="D6261">
        <v>1</v>
      </c>
      <c r="E6261">
        <v>12270</v>
      </c>
      <c r="F6261">
        <v>156835.82999999999</v>
      </c>
      <c r="G6261">
        <v>0</v>
      </c>
      <c r="H6261">
        <v>0</v>
      </c>
      <c r="I6261">
        <v>0</v>
      </c>
      <c r="J6261">
        <v>0</v>
      </c>
      <c r="K6261">
        <v>0</v>
      </c>
      <c r="L6261">
        <v>16205806.380000001</v>
      </c>
      <c r="M6261">
        <v>16205806.380000001</v>
      </c>
      <c r="N6261">
        <v>16205806.380000001</v>
      </c>
      <c r="O6261">
        <v>16205806.380000001</v>
      </c>
      <c r="P6261">
        <v>16205806.380000001</v>
      </c>
      <c r="Q6261">
        <v>16205806.380000001</v>
      </c>
      <c r="R6261" s="14">
        <f>_xlfn.XLOOKUP(Table2[[#This Row],[LoanID]],Table1[G-L ID],Table1[ManagerCode],-99)</f>
        <v>119</v>
      </c>
      <c r="T6261"/>
    </row>
    <row r="6262" spans="1:20" x14ac:dyDescent="0.25">
      <c r="A6262">
        <v>20171130</v>
      </c>
      <c r="B6262">
        <v>2017</v>
      </c>
      <c r="C6262">
        <v>11</v>
      </c>
      <c r="D6262">
        <v>1</v>
      </c>
      <c r="E6262">
        <v>12280</v>
      </c>
      <c r="F6262">
        <v>141587.26999999999</v>
      </c>
      <c r="G6262">
        <v>0</v>
      </c>
      <c r="H6262">
        <v>0</v>
      </c>
      <c r="I6262">
        <v>0</v>
      </c>
      <c r="J6262">
        <v>-955936.9</v>
      </c>
      <c r="K6262">
        <v>0</v>
      </c>
      <c r="L6262">
        <v>14745179.65</v>
      </c>
      <c r="M6262">
        <v>15701116.550000001</v>
      </c>
      <c r="N6262">
        <v>14745179.65</v>
      </c>
      <c r="O6262">
        <v>15701116.550000001</v>
      </c>
      <c r="P6262">
        <v>14745179.65</v>
      </c>
      <c r="Q6262">
        <v>15701116.550000001</v>
      </c>
      <c r="R6262" s="14">
        <f>_xlfn.XLOOKUP(Table2[[#This Row],[LoanID]],Table1[G-L ID],Table1[ManagerCode],-99)</f>
        <v>119</v>
      </c>
      <c r="T6262"/>
    </row>
    <row r="6263" spans="1:20" x14ac:dyDescent="0.25">
      <c r="A6263">
        <v>20171130</v>
      </c>
      <c r="B6263">
        <v>2017</v>
      </c>
      <c r="C6263">
        <v>11</v>
      </c>
      <c r="D6263">
        <v>1</v>
      </c>
      <c r="E6263">
        <v>12290</v>
      </c>
      <c r="F6263">
        <v>201427.24</v>
      </c>
      <c r="G6263">
        <v>0</v>
      </c>
      <c r="H6263">
        <v>0</v>
      </c>
      <c r="I6263">
        <v>0</v>
      </c>
      <c r="J6263">
        <v>0</v>
      </c>
      <c r="K6263">
        <v>0</v>
      </c>
      <c r="L6263">
        <v>22750000</v>
      </c>
      <c r="M6263">
        <v>22750000</v>
      </c>
      <c r="N6263">
        <v>22750000</v>
      </c>
      <c r="O6263">
        <v>22750000</v>
      </c>
      <c r="P6263">
        <v>22750000</v>
      </c>
      <c r="Q6263">
        <v>22750000</v>
      </c>
      <c r="R6263" s="14">
        <f>_xlfn.XLOOKUP(Table2[[#This Row],[LoanID]],Table1[G-L ID],Table1[ManagerCode],-99)</f>
        <v>119</v>
      </c>
      <c r="T6263"/>
    </row>
    <row r="6264" spans="1:20" x14ac:dyDescent="0.25">
      <c r="A6264">
        <v>20171130</v>
      </c>
      <c r="B6264">
        <v>2017</v>
      </c>
      <c r="C6264">
        <v>11</v>
      </c>
      <c r="D6264">
        <v>1</v>
      </c>
      <c r="E6264">
        <v>12300</v>
      </c>
      <c r="F6264">
        <v>94712.66</v>
      </c>
      <c r="G6264">
        <v>0</v>
      </c>
      <c r="H6264">
        <v>0</v>
      </c>
      <c r="I6264">
        <v>0</v>
      </c>
      <c r="J6264">
        <v>0</v>
      </c>
      <c r="K6264">
        <v>0</v>
      </c>
      <c r="L6264">
        <v>10000000</v>
      </c>
      <c r="M6264">
        <v>10000000</v>
      </c>
      <c r="N6264">
        <v>10000000</v>
      </c>
      <c r="O6264">
        <v>10000000</v>
      </c>
      <c r="P6264">
        <v>10000000</v>
      </c>
      <c r="Q6264">
        <v>10000000</v>
      </c>
      <c r="R6264" s="14">
        <f>_xlfn.XLOOKUP(Table2[[#This Row],[LoanID]],Table1[G-L ID],Table1[ManagerCode],-99)</f>
        <v>119</v>
      </c>
      <c r="T6264"/>
    </row>
    <row r="6265" spans="1:20" x14ac:dyDescent="0.25">
      <c r="A6265">
        <v>20171130</v>
      </c>
      <c r="B6265">
        <v>2017</v>
      </c>
      <c r="C6265">
        <v>11</v>
      </c>
      <c r="D6265">
        <v>1</v>
      </c>
      <c r="E6265">
        <v>12310</v>
      </c>
      <c r="F6265">
        <v>136014.85</v>
      </c>
      <c r="G6265">
        <v>0</v>
      </c>
      <c r="H6265">
        <v>0</v>
      </c>
      <c r="I6265">
        <v>0</v>
      </c>
      <c r="J6265">
        <v>0</v>
      </c>
      <c r="K6265">
        <v>0</v>
      </c>
      <c r="L6265">
        <v>16375000</v>
      </c>
      <c r="M6265">
        <v>16375000</v>
      </c>
      <c r="N6265">
        <v>16375000</v>
      </c>
      <c r="O6265">
        <v>16375000</v>
      </c>
      <c r="P6265">
        <v>16375000</v>
      </c>
      <c r="Q6265">
        <v>16375000</v>
      </c>
      <c r="R6265" s="14">
        <f>_xlfn.XLOOKUP(Table2[[#This Row],[LoanID]],Table1[G-L ID],Table1[ManagerCode],-99)</f>
        <v>119</v>
      </c>
      <c r="T6265"/>
    </row>
    <row r="6266" spans="1:20" x14ac:dyDescent="0.25">
      <c r="A6266">
        <v>20171130</v>
      </c>
      <c r="B6266">
        <v>2017</v>
      </c>
      <c r="C6266">
        <v>11</v>
      </c>
      <c r="D6266">
        <v>1</v>
      </c>
      <c r="E6266">
        <v>12320</v>
      </c>
      <c r="F6266">
        <v>105722.45</v>
      </c>
      <c r="G6266">
        <v>0</v>
      </c>
      <c r="H6266">
        <v>0</v>
      </c>
      <c r="I6266">
        <v>0</v>
      </c>
      <c r="J6266">
        <v>0</v>
      </c>
      <c r="K6266">
        <v>0</v>
      </c>
      <c r="L6266">
        <v>11750000</v>
      </c>
      <c r="M6266">
        <v>11750000</v>
      </c>
      <c r="N6266">
        <v>11750000</v>
      </c>
      <c r="O6266">
        <v>11750000</v>
      </c>
      <c r="P6266">
        <v>11750000</v>
      </c>
      <c r="Q6266">
        <v>11750000</v>
      </c>
      <c r="R6266" s="14">
        <f>_xlfn.XLOOKUP(Table2[[#This Row],[LoanID]],Table1[G-L ID],Table1[ManagerCode],-99)</f>
        <v>119</v>
      </c>
      <c r="T6266"/>
    </row>
    <row r="6267" spans="1:20" x14ac:dyDescent="0.25">
      <c r="A6267">
        <v>20171130</v>
      </c>
      <c r="B6267">
        <v>2017</v>
      </c>
      <c r="C6267">
        <v>11</v>
      </c>
      <c r="D6267">
        <v>1</v>
      </c>
      <c r="E6267">
        <v>12330</v>
      </c>
      <c r="F6267">
        <v>206217.41</v>
      </c>
      <c r="G6267">
        <v>0</v>
      </c>
      <c r="H6267">
        <v>0</v>
      </c>
      <c r="I6267">
        <v>0</v>
      </c>
      <c r="J6267">
        <v>0</v>
      </c>
      <c r="K6267">
        <v>0</v>
      </c>
      <c r="L6267">
        <v>19976500</v>
      </c>
      <c r="M6267">
        <v>19976500</v>
      </c>
      <c r="N6267">
        <v>19976500</v>
      </c>
      <c r="O6267">
        <v>19976500</v>
      </c>
      <c r="P6267">
        <v>19976500</v>
      </c>
      <c r="Q6267">
        <v>19976500</v>
      </c>
      <c r="R6267" s="14">
        <f>_xlfn.XLOOKUP(Table2[[#This Row],[LoanID]],Table1[G-L ID],Table1[ManagerCode],-99)</f>
        <v>119</v>
      </c>
      <c r="T6267"/>
    </row>
    <row r="6268" spans="1:20" x14ac:dyDescent="0.25">
      <c r="A6268">
        <v>20171130</v>
      </c>
      <c r="B6268">
        <v>2017</v>
      </c>
      <c r="C6268">
        <v>11</v>
      </c>
      <c r="D6268">
        <v>1</v>
      </c>
      <c r="E6268">
        <v>12340</v>
      </c>
      <c r="F6268">
        <v>82660</v>
      </c>
      <c r="G6268">
        <v>0</v>
      </c>
      <c r="H6268">
        <v>0</v>
      </c>
      <c r="I6268">
        <v>0</v>
      </c>
      <c r="J6268">
        <v>0</v>
      </c>
      <c r="K6268">
        <v>0</v>
      </c>
      <c r="L6268">
        <v>24000000</v>
      </c>
      <c r="M6268">
        <v>24000000</v>
      </c>
      <c r="N6268">
        <v>12000000</v>
      </c>
      <c r="O6268">
        <v>12000000</v>
      </c>
      <c r="P6268">
        <v>24000000</v>
      </c>
      <c r="Q6268">
        <v>24000000</v>
      </c>
      <c r="R6268" s="14">
        <f>_xlfn.XLOOKUP(Table2[[#This Row],[LoanID]],Table1[G-L ID],Table1[ManagerCode],-99)</f>
        <v>183</v>
      </c>
      <c r="T6268"/>
    </row>
    <row r="6269" spans="1:20" x14ac:dyDescent="0.25">
      <c r="A6269">
        <v>20171130</v>
      </c>
      <c r="B6269">
        <v>2017</v>
      </c>
      <c r="C6269">
        <v>11</v>
      </c>
      <c r="D6269">
        <v>1</v>
      </c>
      <c r="E6269">
        <v>12350</v>
      </c>
      <c r="F6269">
        <v>154944.26999999999</v>
      </c>
      <c r="G6269">
        <v>0</v>
      </c>
      <c r="H6269">
        <v>0</v>
      </c>
      <c r="I6269">
        <v>0</v>
      </c>
      <c r="J6269">
        <v>-1433157.64</v>
      </c>
      <c r="K6269">
        <v>0</v>
      </c>
      <c r="L6269">
        <v>60000000</v>
      </c>
      <c r="M6269">
        <v>61433157.640000001</v>
      </c>
      <c r="N6269">
        <v>22500000</v>
      </c>
      <c r="O6269">
        <v>23933157.640000001</v>
      </c>
      <c r="P6269">
        <v>60000000</v>
      </c>
      <c r="Q6269">
        <v>61433157.640000001</v>
      </c>
      <c r="R6269" s="14">
        <f>_xlfn.XLOOKUP(Table2[[#This Row],[LoanID]],Table1[G-L ID],Table1[ManagerCode],-99)</f>
        <v>183</v>
      </c>
      <c r="T6269"/>
    </row>
    <row r="6270" spans="1:20" x14ac:dyDescent="0.25">
      <c r="A6270">
        <v>20171130</v>
      </c>
      <c r="B6270">
        <v>2017</v>
      </c>
      <c r="C6270">
        <v>11</v>
      </c>
      <c r="D6270">
        <v>1</v>
      </c>
      <c r="E6270">
        <v>12360</v>
      </c>
      <c r="F6270">
        <v>111488.63</v>
      </c>
      <c r="G6270">
        <v>0</v>
      </c>
      <c r="H6270">
        <v>0</v>
      </c>
      <c r="I6270">
        <v>0</v>
      </c>
      <c r="J6270">
        <v>0</v>
      </c>
      <c r="K6270">
        <v>0</v>
      </c>
      <c r="L6270">
        <v>60000000</v>
      </c>
      <c r="M6270">
        <v>60000000</v>
      </c>
      <c r="N6270">
        <v>19000000</v>
      </c>
      <c r="O6270">
        <v>19000000</v>
      </c>
      <c r="P6270">
        <v>60000000</v>
      </c>
      <c r="Q6270">
        <v>60000000</v>
      </c>
      <c r="R6270" s="14">
        <f>_xlfn.XLOOKUP(Table2[[#This Row],[LoanID]],Table1[G-L ID],Table1[ManagerCode],-99)</f>
        <v>183</v>
      </c>
      <c r="T6270"/>
    </row>
    <row r="6271" spans="1:20" x14ac:dyDescent="0.25">
      <c r="A6271">
        <v>20171130</v>
      </c>
      <c r="B6271">
        <v>2017</v>
      </c>
      <c r="C6271">
        <v>11</v>
      </c>
      <c r="D6271">
        <v>1</v>
      </c>
      <c r="E6271">
        <v>12370</v>
      </c>
      <c r="F6271">
        <v>285012.58</v>
      </c>
      <c r="G6271">
        <v>0</v>
      </c>
      <c r="H6271">
        <v>0</v>
      </c>
      <c r="I6271">
        <v>0</v>
      </c>
      <c r="J6271">
        <v>0</v>
      </c>
      <c r="K6271">
        <v>0</v>
      </c>
      <c r="L6271">
        <v>104000000</v>
      </c>
      <c r="M6271">
        <v>104000000</v>
      </c>
      <c r="N6271">
        <v>44000000</v>
      </c>
      <c r="O6271">
        <v>44000000</v>
      </c>
      <c r="P6271">
        <v>104000000</v>
      </c>
      <c r="Q6271">
        <v>104000000</v>
      </c>
      <c r="R6271" s="14">
        <f>_xlfn.XLOOKUP(Table2[[#This Row],[LoanID]],Table1[G-L ID],Table1[ManagerCode],-99)</f>
        <v>183</v>
      </c>
      <c r="T6271"/>
    </row>
    <row r="6272" spans="1:20" x14ac:dyDescent="0.25">
      <c r="A6272">
        <v>20171130</v>
      </c>
      <c r="B6272">
        <v>2017</v>
      </c>
      <c r="C6272">
        <v>11</v>
      </c>
      <c r="D6272">
        <v>1</v>
      </c>
      <c r="E6272">
        <v>12380</v>
      </c>
      <c r="F6272">
        <v>131012.92</v>
      </c>
      <c r="G6272">
        <v>0</v>
      </c>
      <c r="H6272">
        <v>0</v>
      </c>
      <c r="I6272">
        <v>0</v>
      </c>
      <c r="J6272">
        <v>0</v>
      </c>
      <c r="K6272">
        <v>0</v>
      </c>
      <c r="L6272">
        <v>32500000</v>
      </c>
      <c r="M6272">
        <v>32500000</v>
      </c>
      <c r="N6272">
        <v>12350000</v>
      </c>
      <c r="O6272">
        <v>12350000</v>
      </c>
      <c r="P6272">
        <v>32500000</v>
      </c>
      <c r="Q6272">
        <v>32500000</v>
      </c>
      <c r="R6272" s="14">
        <f>_xlfn.XLOOKUP(Table2[[#This Row],[LoanID]],Table1[G-L ID],Table1[ManagerCode],-99)</f>
        <v>183</v>
      </c>
      <c r="T6272"/>
    </row>
    <row r="6273" spans="1:20" x14ac:dyDescent="0.25">
      <c r="A6273">
        <v>20171130</v>
      </c>
      <c r="B6273">
        <v>2017</v>
      </c>
      <c r="C6273">
        <v>11</v>
      </c>
      <c r="D6273">
        <v>1</v>
      </c>
      <c r="E6273">
        <v>12390</v>
      </c>
      <c r="F6273">
        <v>185328.48</v>
      </c>
      <c r="G6273">
        <v>285291.48</v>
      </c>
      <c r="H6273">
        <v>0</v>
      </c>
      <c r="I6273">
        <v>0</v>
      </c>
      <c r="J6273">
        <v>-3319891.67</v>
      </c>
      <c r="K6273">
        <v>0</v>
      </c>
      <c r="L6273">
        <v>28189738.73</v>
      </c>
      <c r="M6273">
        <v>31794921.879999999</v>
      </c>
      <c r="N6273">
        <v>28189738.73</v>
      </c>
      <c r="O6273">
        <v>31794921.879999999</v>
      </c>
      <c r="P6273">
        <v>28189738.73</v>
      </c>
      <c r="Q6273">
        <v>31794921.879999999</v>
      </c>
      <c r="R6273" s="14">
        <f>_xlfn.XLOOKUP(Table2[[#This Row],[LoanID]],Table1[G-L ID],Table1[ManagerCode],-99)</f>
        <v>183</v>
      </c>
      <c r="T6273"/>
    </row>
    <row r="6274" spans="1:20" x14ac:dyDescent="0.25">
      <c r="A6274">
        <v>20171130</v>
      </c>
      <c r="B6274">
        <v>2017</v>
      </c>
      <c r="C6274">
        <v>11</v>
      </c>
      <c r="D6274">
        <v>1</v>
      </c>
      <c r="E6274">
        <v>12400</v>
      </c>
      <c r="F6274">
        <v>57996.45</v>
      </c>
      <c r="G6274">
        <v>76388.45</v>
      </c>
      <c r="H6274">
        <v>0</v>
      </c>
      <c r="I6274">
        <v>0</v>
      </c>
      <c r="J6274">
        <v>-1398261.45</v>
      </c>
      <c r="K6274">
        <v>0</v>
      </c>
      <c r="L6274">
        <v>13368851.98</v>
      </c>
      <c r="M6274">
        <v>14843501.880000001</v>
      </c>
      <c r="N6274">
        <v>13368851.98</v>
      </c>
      <c r="O6274">
        <v>14843501.880000001</v>
      </c>
      <c r="P6274">
        <v>13368851.98</v>
      </c>
      <c r="Q6274">
        <v>14843501.880000001</v>
      </c>
      <c r="R6274" s="14">
        <f>_xlfn.XLOOKUP(Table2[[#This Row],[LoanID]],Table1[G-L ID],Table1[ManagerCode],-99)</f>
        <v>183</v>
      </c>
      <c r="T6274"/>
    </row>
    <row r="6275" spans="1:20" x14ac:dyDescent="0.25">
      <c r="A6275">
        <v>20171130</v>
      </c>
      <c r="B6275">
        <v>2017</v>
      </c>
      <c r="C6275">
        <v>11</v>
      </c>
      <c r="D6275">
        <v>1</v>
      </c>
      <c r="E6275">
        <v>12410</v>
      </c>
      <c r="F6275">
        <v>323074.31</v>
      </c>
      <c r="G6275">
        <v>258459.45</v>
      </c>
      <c r="H6275">
        <v>0</v>
      </c>
      <c r="I6275">
        <v>0</v>
      </c>
      <c r="J6275">
        <v>0</v>
      </c>
      <c r="K6275">
        <v>0</v>
      </c>
      <c r="L6275">
        <v>76762456.930000007</v>
      </c>
      <c r="M6275">
        <v>77018331.790000007</v>
      </c>
      <c r="N6275">
        <v>76762456.930000007</v>
      </c>
      <c r="O6275">
        <v>77018331.790000007</v>
      </c>
      <c r="P6275">
        <v>77537835.260000005</v>
      </c>
      <c r="Q6275">
        <v>77796294.709999993</v>
      </c>
      <c r="R6275" s="14">
        <f>_xlfn.XLOOKUP(Table2[[#This Row],[LoanID]],Table1[G-L ID],Table1[ManagerCode],-99)</f>
        <v>103</v>
      </c>
      <c r="T6275"/>
    </row>
    <row r="6276" spans="1:20" x14ac:dyDescent="0.25">
      <c r="A6276">
        <v>20171130</v>
      </c>
      <c r="B6276">
        <v>2017</v>
      </c>
      <c r="C6276">
        <v>11</v>
      </c>
      <c r="D6276">
        <v>1</v>
      </c>
      <c r="E6276">
        <v>12420</v>
      </c>
      <c r="F6276">
        <v>31633.86</v>
      </c>
      <c r="G6276">
        <v>0</v>
      </c>
      <c r="H6276">
        <v>0</v>
      </c>
      <c r="I6276">
        <v>0</v>
      </c>
      <c r="J6276">
        <v>-211079.48</v>
      </c>
      <c r="K6276">
        <v>0</v>
      </c>
      <c r="L6276">
        <v>2876571.45</v>
      </c>
      <c r="M6276">
        <v>3087650.93</v>
      </c>
      <c r="N6276">
        <v>2876571.45</v>
      </c>
      <c r="O6276">
        <v>3087650.93</v>
      </c>
      <c r="P6276">
        <v>2876571.45</v>
      </c>
      <c r="Q6276">
        <v>3087650.93</v>
      </c>
      <c r="R6276" s="14">
        <f>_xlfn.XLOOKUP(Table2[[#This Row],[LoanID]],Table1[G-L ID],Table1[ManagerCode],-99)</f>
        <v>103</v>
      </c>
      <c r="T6276"/>
    </row>
    <row r="6277" spans="1:20" x14ac:dyDescent="0.25">
      <c r="A6277">
        <v>20171130</v>
      </c>
      <c r="B6277">
        <v>2017</v>
      </c>
      <c r="C6277">
        <v>11</v>
      </c>
      <c r="D6277">
        <v>1</v>
      </c>
      <c r="E6277">
        <v>12430</v>
      </c>
      <c r="F6277">
        <v>28650.62</v>
      </c>
      <c r="G6277">
        <v>0</v>
      </c>
      <c r="H6277">
        <v>0</v>
      </c>
      <c r="I6277">
        <v>0</v>
      </c>
      <c r="J6277">
        <v>-1446397.33</v>
      </c>
      <c r="K6277">
        <v>0</v>
      </c>
      <c r="L6277">
        <v>8731679.3399999999</v>
      </c>
      <c r="M6277">
        <v>10185806.939999999</v>
      </c>
      <c r="N6277">
        <v>8731679.3399999999</v>
      </c>
      <c r="O6277">
        <v>10185806.939999999</v>
      </c>
      <c r="P6277">
        <v>9309046.3900000006</v>
      </c>
      <c r="Q6277">
        <v>10755443.720000001</v>
      </c>
      <c r="R6277" s="14">
        <f>_xlfn.XLOOKUP(Table2[[#This Row],[LoanID]],Table1[G-L ID],Table1[ManagerCode],-99)</f>
        <v>103</v>
      </c>
      <c r="T6277"/>
    </row>
    <row r="6278" spans="1:20" x14ac:dyDescent="0.25">
      <c r="A6278">
        <v>20171130</v>
      </c>
      <c r="B6278">
        <v>2017</v>
      </c>
      <c r="C6278">
        <v>11</v>
      </c>
      <c r="D6278">
        <v>1</v>
      </c>
      <c r="E6278">
        <v>12440</v>
      </c>
      <c r="F6278">
        <v>35556.79</v>
      </c>
      <c r="G6278">
        <v>0</v>
      </c>
      <c r="H6278">
        <v>0</v>
      </c>
      <c r="I6278">
        <v>0</v>
      </c>
      <c r="J6278">
        <v>0</v>
      </c>
      <c r="K6278">
        <v>47809.48</v>
      </c>
      <c r="L6278">
        <v>4964908.41</v>
      </c>
      <c r="M6278">
        <v>4897082.79</v>
      </c>
      <c r="N6278">
        <v>4964908.41</v>
      </c>
      <c r="O6278">
        <v>4897082.79</v>
      </c>
      <c r="P6278">
        <v>4266814.4800000004</v>
      </c>
      <c r="Q6278">
        <v>4219005</v>
      </c>
      <c r="R6278" s="14">
        <f>_xlfn.XLOOKUP(Table2[[#This Row],[LoanID]],Table1[G-L ID],Table1[ManagerCode],-99)</f>
        <v>103</v>
      </c>
      <c r="T6278"/>
    </row>
    <row r="6279" spans="1:20" x14ac:dyDescent="0.25">
      <c r="A6279">
        <v>20171130</v>
      </c>
      <c r="B6279">
        <v>2017</v>
      </c>
      <c r="C6279">
        <v>11</v>
      </c>
      <c r="D6279">
        <v>1</v>
      </c>
      <c r="E6279">
        <v>12450</v>
      </c>
      <c r="F6279">
        <v>3590.28</v>
      </c>
      <c r="G6279">
        <v>4830.42</v>
      </c>
      <c r="H6279">
        <v>0</v>
      </c>
      <c r="I6279">
        <v>0</v>
      </c>
      <c r="J6279">
        <v>-83895.9</v>
      </c>
      <c r="K6279">
        <v>0</v>
      </c>
      <c r="L6279">
        <v>773533.33</v>
      </c>
      <c r="M6279">
        <v>858071</v>
      </c>
      <c r="N6279">
        <v>773533.33</v>
      </c>
      <c r="O6279">
        <v>858071</v>
      </c>
      <c r="P6279">
        <v>773533.33</v>
      </c>
      <c r="Q6279">
        <v>858071</v>
      </c>
      <c r="R6279" s="14">
        <f>_xlfn.XLOOKUP(Table2[[#This Row],[LoanID]],Table1[G-L ID],Table1[ManagerCode],-99)</f>
        <v>183</v>
      </c>
      <c r="T6279"/>
    </row>
    <row r="6280" spans="1:20" x14ac:dyDescent="0.25">
      <c r="A6280">
        <v>20171130</v>
      </c>
      <c r="B6280">
        <v>2017</v>
      </c>
      <c r="C6280">
        <v>11</v>
      </c>
      <c r="D6280">
        <v>1</v>
      </c>
      <c r="E6280">
        <v>12460</v>
      </c>
      <c r="F6280">
        <v>29873.64</v>
      </c>
      <c r="G6280">
        <v>26176.78</v>
      </c>
      <c r="H6280">
        <v>0</v>
      </c>
      <c r="I6280">
        <v>0</v>
      </c>
      <c r="J6280">
        <v>0</v>
      </c>
      <c r="K6280">
        <v>0</v>
      </c>
      <c r="L6280">
        <v>5605042.3499999996</v>
      </c>
      <c r="M6280">
        <v>5631219.1299999999</v>
      </c>
      <c r="N6280">
        <v>5605042.3499999996</v>
      </c>
      <c r="O6280">
        <v>5631219.1299999999</v>
      </c>
      <c r="P6280">
        <v>5605042.3499999996</v>
      </c>
      <c r="Q6280">
        <v>5631219.1299999999</v>
      </c>
      <c r="R6280" s="14">
        <f>_xlfn.XLOOKUP(Table2[[#This Row],[LoanID]],Table1[G-L ID],Table1[ManagerCode],-99)</f>
        <v>183</v>
      </c>
      <c r="T6280"/>
    </row>
    <row r="6281" spans="1:20" x14ac:dyDescent="0.25">
      <c r="A6281">
        <v>20171130</v>
      </c>
      <c r="B6281">
        <v>2017</v>
      </c>
      <c r="C6281">
        <v>11</v>
      </c>
      <c r="D6281">
        <v>1</v>
      </c>
      <c r="E6281">
        <v>12470</v>
      </c>
      <c r="F6281">
        <v>85323.61</v>
      </c>
      <c r="G6281">
        <v>0</v>
      </c>
      <c r="H6281">
        <v>0</v>
      </c>
      <c r="I6281">
        <v>0</v>
      </c>
      <c r="J6281">
        <v>0</v>
      </c>
      <c r="K6281">
        <v>0</v>
      </c>
      <c r="L6281">
        <v>115000000</v>
      </c>
      <c r="M6281">
        <v>115000000</v>
      </c>
      <c r="N6281">
        <v>46000000</v>
      </c>
      <c r="O6281">
        <v>46000000</v>
      </c>
      <c r="P6281">
        <v>115000000</v>
      </c>
      <c r="Q6281">
        <v>115000000</v>
      </c>
      <c r="R6281" s="14">
        <f>_xlfn.XLOOKUP(Table2[[#This Row],[LoanID]],Table1[G-L ID],Table1[ManagerCode],-99)</f>
        <v>183</v>
      </c>
      <c r="T6281"/>
    </row>
    <row r="6282" spans="1:20" x14ac:dyDescent="0.25">
      <c r="A6282">
        <v>20171130</v>
      </c>
      <c r="B6282">
        <v>2017</v>
      </c>
      <c r="C6282">
        <v>11</v>
      </c>
      <c r="D6282">
        <v>1</v>
      </c>
      <c r="E6282">
        <v>12480</v>
      </c>
      <c r="F6282">
        <v>0</v>
      </c>
      <c r="G6282">
        <v>0</v>
      </c>
      <c r="H6282">
        <v>1491000</v>
      </c>
      <c r="I6282">
        <v>0</v>
      </c>
      <c r="J6282">
        <v>-19880000</v>
      </c>
      <c r="K6282">
        <v>10500000</v>
      </c>
      <c r="L6282">
        <v>0</v>
      </c>
      <c r="M6282">
        <v>19880000</v>
      </c>
      <c r="N6282">
        <v>0</v>
      </c>
      <c r="O6282">
        <v>9380000</v>
      </c>
      <c r="P6282">
        <v>0</v>
      </c>
      <c r="Q6282">
        <v>19880000</v>
      </c>
      <c r="R6282" s="14">
        <f>_xlfn.XLOOKUP(Table2[[#This Row],[LoanID]],Table1[G-L ID],Table1[ManagerCode],-99)</f>
        <v>183</v>
      </c>
      <c r="T6282"/>
    </row>
    <row r="6283" spans="1:20" x14ac:dyDescent="0.25">
      <c r="A6283">
        <v>20171130</v>
      </c>
      <c r="B6283">
        <v>2017</v>
      </c>
      <c r="C6283">
        <v>11</v>
      </c>
      <c r="D6283">
        <v>1</v>
      </c>
      <c r="E6283">
        <v>12490</v>
      </c>
      <c r="F6283">
        <v>0</v>
      </c>
      <c r="G6283">
        <v>0</v>
      </c>
      <c r="H6283">
        <v>0</v>
      </c>
      <c r="I6283">
        <v>0</v>
      </c>
      <c r="J6283">
        <v>0</v>
      </c>
      <c r="K6283">
        <v>0</v>
      </c>
      <c r="L6283">
        <v>50200000</v>
      </c>
      <c r="M6283">
        <v>50200000</v>
      </c>
      <c r="N6283">
        <v>19600000</v>
      </c>
      <c r="O6283">
        <v>19600000</v>
      </c>
      <c r="P6283">
        <v>50200000</v>
      </c>
      <c r="Q6283">
        <v>50200000</v>
      </c>
      <c r="R6283" s="14">
        <f>_xlfn.XLOOKUP(Table2[[#This Row],[LoanID]],Table1[G-L ID],Table1[ManagerCode],-99)</f>
        <v>183</v>
      </c>
      <c r="T6283"/>
    </row>
    <row r="6284" spans="1:20" x14ac:dyDescent="0.25">
      <c r="A6284">
        <v>20171130</v>
      </c>
      <c r="B6284">
        <v>2017</v>
      </c>
      <c r="C6284">
        <v>11</v>
      </c>
      <c r="D6284">
        <v>1</v>
      </c>
      <c r="E6284">
        <v>12500</v>
      </c>
      <c r="F6284">
        <v>0</v>
      </c>
      <c r="G6284">
        <v>0</v>
      </c>
      <c r="H6284">
        <v>1150000</v>
      </c>
      <c r="I6284">
        <v>0</v>
      </c>
      <c r="J6284">
        <v>-115000000</v>
      </c>
      <c r="K6284">
        <v>68985000</v>
      </c>
      <c r="L6284">
        <v>0</v>
      </c>
      <c r="M6284">
        <v>115000000</v>
      </c>
      <c r="N6284">
        <v>0</v>
      </c>
      <c r="O6284">
        <v>46015000</v>
      </c>
      <c r="P6284">
        <v>0</v>
      </c>
      <c r="Q6284">
        <v>115000000</v>
      </c>
      <c r="R6284" s="14">
        <f>_xlfn.XLOOKUP(Table2[[#This Row],[LoanID]],Table1[G-L ID],Table1[ManagerCode],-99)</f>
        <v>183</v>
      </c>
      <c r="T6284"/>
    </row>
    <row r="6285" spans="1:20" x14ac:dyDescent="0.25">
      <c r="A6285">
        <v>20171130</v>
      </c>
      <c r="B6285">
        <v>2017</v>
      </c>
      <c r="C6285">
        <v>11</v>
      </c>
      <c r="D6285">
        <v>1</v>
      </c>
      <c r="E6285">
        <v>12530</v>
      </c>
      <c r="F6285">
        <v>0</v>
      </c>
      <c r="G6285">
        <v>0</v>
      </c>
      <c r="H6285">
        <v>0</v>
      </c>
      <c r="I6285">
        <v>0</v>
      </c>
      <c r="J6285">
        <v>0</v>
      </c>
      <c r="K6285">
        <v>0</v>
      </c>
      <c r="L6285">
        <v>26200000</v>
      </c>
      <c r="M6285">
        <v>26200000</v>
      </c>
      <c r="N6285">
        <v>26200000</v>
      </c>
      <c r="O6285">
        <v>26200000</v>
      </c>
      <c r="P6285">
        <v>26200000</v>
      </c>
      <c r="Q6285">
        <v>26200000</v>
      </c>
      <c r="R6285" s="14">
        <f>_xlfn.XLOOKUP(Table2[[#This Row],[LoanID]],Table1[G-L ID],Table1[ManagerCode],-99)</f>
        <v>119</v>
      </c>
      <c r="T6285"/>
    </row>
    <row r="6286" spans="1:20" x14ac:dyDescent="0.25">
      <c r="A6286">
        <v>20171130</v>
      </c>
      <c r="B6286">
        <v>2017</v>
      </c>
      <c r="C6286">
        <v>11</v>
      </c>
      <c r="D6286">
        <v>1</v>
      </c>
      <c r="E6286">
        <v>12540</v>
      </c>
      <c r="F6286">
        <v>90535.679999999993</v>
      </c>
      <c r="G6286">
        <v>0</v>
      </c>
      <c r="H6286">
        <v>115246.42</v>
      </c>
      <c r="I6286">
        <v>0</v>
      </c>
      <c r="J6286">
        <v>-15657141.18</v>
      </c>
      <c r="K6286">
        <v>0</v>
      </c>
      <c r="L6286">
        <v>0</v>
      </c>
      <c r="M6286">
        <v>15657141.18</v>
      </c>
      <c r="N6286">
        <v>0</v>
      </c>
      <c r="O6286">
        <v>15657141.18</v>
      </c>
      <c r="P6286">
        <v>0</v>
      </c>
      <c r="Q6286">
        <v>15657141.18</v>
      </c>
      <c r="R6286" s="14">
        <f>_xlfn.XLOOKUP(Table2[[#This Row],[LoanID]],Table1[G-L ID],Table1[ManagerCode],-99)</f>
        <v>119</v>
      </c>
      <c r="T6286"/>
    </row>
    <row r="6287" spans="1:20" x14ac:dyDescent="0.25">
      <c r="A6287">
        <v>20171130</v>
      </c>
      <c r="B6287">
        <v>2017</v>
      </c>
      <c r="C6287">
        <v>11</v>
      </c>
      <c r="D6287">
        <v>1</v>
      </c>
      <c r="E6287">
        <v>12550</v>
      </c>
      <c r="F6287">
        <v>127591.67</v>
      </c>
      <c r="G6287">
        <v>0</v>
      </c>
      <c r="H6287">
        <v>122511</v>
      </c>
      <c r="I6287">
        <v>0</v>
      </c>
      <c r="J6287">
        <v>-12200000</v>
      </c>
      <c r="K6287">
        <v>0</v>
      </c>
      <c r="L6287">
        <v>0</v>
      </c>
      <c r="M6287">
        <v>12200000</v>
      </c>
      <c r="N6287">
        <v>0</v>
      </c>
      <c r="O6287">
        <v>12200000</v>
      </c>
      <c r="P6287">
        <v>0</v>
      </c>
      <c r="Q6287">
        <v>12200000</v>
      </c>
      <c r="R6287" s="14">
        <f>_xlfn.XLOOKUP(Table2[[#This Row],[LoanID]],Table1[G-L ID],Table1[ManagerCode],-99)</f>
        <v>119</v>
      </c>
      <c r="T6287"/>
    </row>
    <row r="6288" spans="1:20" x14ac:dyDescent="0.25">
      <c r="A6288">
        <v>20171130</v>
      </c>
      <c r="B6288">
        <v>2017</v>
      </c>
      <c r="C6288">
        <v>11</v>
      </c>
      <c r="D6288">
        <v>1</v>
      </c>
      <c r="E6288">
        <v>12560</v>
      </c>
      <c r="F6288">
        <v>62034.27</v>
      </c>
      <c r="G6288">
        <v>0</v>
      </c>
      <c r="H6288">
        <v>1220231</v>
      </c>
      <c r="I6288">
        <v>0</v>
      </c>
      <c r="J6288">
        <v>-44048000</v>
      </c>
      <c r="K6288">
        <v>0</v>
      </c>
      <c r="L6288">
        <v>0</v>
      </c>
      <c r="M6288">
        <v>44048000</v>
      </c>
      <c r="N6288">
        <v>0</v>
      </c>
      <c r="O6288">
        <v>44048000</v>
      </c>
      <c r="P6288">
        <v>0</v>
      </c>
      <c r="Q6288">
        <v>44048000</v>
      </c>
      <c r="R6288" s="14">
        <f>_xlfn.XLOOKUP(Table2[[#This Row],[LoanID]],Table1[G-L ID],Table1[ManagerCode],-99)</f>
        <v>119</v>
      </c>
      <c r="T6288"/>
    </row>
    <row r="6289" spans="1:20" x14ac:dyDescent="0.25">
      <c r="A6289">
        <v>20171130</v>
      </c>
      <c r="B6289">
        <v>2017</v>
      </c>
      <c r="C6289">
        <v>11</v>
      </c>
      <c r="D6289">
        <v>1</v>
      </c>
      <c r="E6289">
        <v>12570</v>
      </c>
      <c r="F6289">
        <v>111792.99</v>
      </c>
      <c r="G6289">
        <v>0</v>
      </c>
      <c r="H6289">
        <v>551320</v>
      </c>
      <c r="I6289">
        <v>0</v>
      </c>
      <c r="J6289">
        <v>-29748000</v>
      </c>
      <c r="K6289">
        <v>0</v>
      </c>
      <c r="L6289">
        <v>0</v>
      </c>
      <c r="M6289">
        <v>29748000</v>
      </c>
      <c r="N6289">
        <v>0</v>
      </c>
      <c r="O6289">
        <v>29748000</v>
      </c>
      <c r="P6289">
        <v>0</v>
      </c>
      <c r="Q6289">
        <v>29748000</v>
      </c>
      <c r="R6289" s="14">
        <f>_xlfn.XLOOKUP(Table2[[#This Row],[LoanID]],Table1[G-L ID],Table1[ManagerCode],-99)</f>
        <v>119</v>
      </c>
      <c r="T6289"/>
    </row>
    <row r="6290" spans="1:20" x14ac:dyDescent="0.25">
      <c r="A6290">
        <v>20171130</v>
      </c>
      <c r="B6290">
        <v>2017</v>
      </c>
      <c r="C6290">
        <v>11</v>
      </c>
      <c r="D6290">
        <v>1</v>
      </c>
      <c r="E6290">
        <v>12590</v>
      </c>
      <c r="F6290">
        <v>76751.69</v>
      </c>
      <c r="G6290">
        <v>0</v>
      </c>
      <c r="H6290">
        <v>0</v>
      </c>
      <c r="I6290">
        <v>0</v>
      </c>
      <c r="J6290">
        <v>0</v>
      </c>
      <c r="K6290">
        <v>0</v>
      </c>
      <c r="L6290">
        <v>8500000</v>
      </c>
      <c r="M6290">
        <v>8500000</v>
      </c>
      <c r="N6290">
        <v>8500000</v>
      </c>
      <c r="O6290">
        <v>8500000</v>
      </c>
      <c r="P6290">
        <v>8500000</v>
      </c>
      <c r="Q6290">
        <v>8500000</v>
      </c>
      <c r="R6290" s="14">
        <f>_xlfn.XLOOKUP(Table2[[#This Row],[LoanID]],Table1[G-L ID],Table1[ManagerCode],-99)</f>
        <v>119</v>
      </c>
      <c r="T6290"/>
    </row>
    <row r="6291" spans="1:20" x14ac:dyDescent="0.25">
      <c r="A6291">
        <v>20171130</v>
      </c>
      <c r="B6291">
        <v>2017</v>
      </c>
      <c r="C6291">
        <v>11</v>
      </c>
      <c r="D6291">
        <v>1</v>
      </c>
      <c r="E6291">
        <v>12600</v>
      </c>
      <c r="F6291">
        <v>227942.35</v>
      </c>
      <c r="G6291">
        <v>0</v>
      </c>
      <c r="H6291">
        <v>0</v>
      </c>
      <c r="I6291">
        <v>0</v>
      </c>
      <c r="J6291">
        <v>0</v>
      </c>
      <c r="K6291">
        <v>0</v>
      </c>
      <c r="L6291">
        <v>27750000</v>
      </c>
      <c r="M6291">
        <v>27750000</v>
      </c>
      <c r="N6291">
        <v>27750000</v>
      </c>
      <c r="O6291">
        <v>27750000</v>
      </c>
      <c r="P6291">
        <v>27750000</v>
      </c>
      <c r="Q6291">
        <v>27750000</v>
      </c>
      <c r="R6291" s="14">
        <f>_xlfn.XLOOKUP(Table2[[#This Row],[LoanID]],Table1[G-L ID],Table1[ManagerCode],-99)</f>
        <v>119</v>
      </c>
      <c r="T6291"/>
    </row>
    <row r="6292" spans="1:20" x14ac:dyDescent="0.25">
      <c r="A6292">
        <v>20171130</v>
      </c>
      <c r="B6292">
        <v>2017</v>
      </c>
      <c r="C6292">
        <v>11</v>
      </c>
      <c r="D6292">
        <v>1</v>
      </c>
      <c r="E6292">
        <v>12610</v>
      </c>
      <c r="F6292">
        <v>58362.36</v>
      </c>
      <c r="G6292">
        <v>0</v>
      </c>
      <c r="H6292">
        <v>0</v>
      </c>
      <c r="I6292">
        <v>0</v>
      </c>
      <c r="J6292">
        <v>0</v>
      </c>
      <c r="K6292">
        <v>0</v>
      </c>
      <c r="L6292">
        <v>5559170</v>
      </c>
      <c r="M6292">
        <v>5559170</v>
      </c>
      <c r="N6292">
        <v>5559170</v>
      </c>
      <c r="O6292">
        <v>5559170</v>
      </c>
      <c r="P6292">
        <v>5559170</v>
      </c>
      <c r="Q6292">
        <v>5559170</v>
      </c>
      <c r="R6292" s="14">
        <f>_xlfn.XLOOKUP(Table2[[#This Row],[LoanID]],Table1[G-L ID],Table1[ManagerCode],-99)</f>
        <v>119</v>
      </c>
      <c r="T6292"/>
    </row>
    <row r="6293" spans="1:20" x14ac:dyDescent="0.25">
      <c r="A6293">
        <v>20171130</v>
      </c>
      <c r="B6293">
        <v>2017</v>
      </c>
      <c r="C6293">
        <v>11</v>
      </c>
      <c r="D6293">
        <v>1</v>
      </c>
      <c r="E6293">
        <v>12620</v>
      </c>
      <c r="F6293">
        <v>84322.55</v>
      </c>
      <c r="G6293">
        <v>0</v>
      </c>
      <c r="H6293">
        <v>0</v>
      </c>
      <c r="I6293">
        <v>0</v>
      </c>
      <c r="J6293">
        <v>0</v>
      </c>
      <c r="K6293">
        <v>0</v>
      </c>
      <c r="L6293">
        <v>9380000</v>
      </c>
      <c r="M6293">
        <v>9380000</v>
      </c>
      <c r="N6293">
        <v>9380000</v>
      </c>
      <c r="O6293">
        <v>9380000</v>
      </c>
      <c r="P6293">
        <v>9380000</v>
      </c>
      <c r="Q6293">
        <v>9380000</v>
      </c>
      <c r="R6293" s="14">
        <f>_xlfn.XLOOKUP(Table2[[#This Row],[LoanID]],Table1[G-L ID],Table1[ManagerCode],-99)</f>
        <v>119</v>
      </c>
      <c r="T6293"/>
    </row>
    <row r="6294" spans="1:20" x14ac:dyDescent="0.25">
      <c r="A6294">
        <v>20171130</v>
      </c>
      <c r="B6294">
        <v>2017</v>
      </c>
      <c r="C6294">
        <v>11</v>
      </c>
      <c r="D6294">
        <v>1</v>
      </c>
      <c r="E6294">
        <v>12630</v>
      </c>
      <c r="F6294">
        <v>107309.24</v>
      </c>
      <c r="G6294">
        <v>0</v>
      </c>
      <c r="H6294">
        <v>0</v>
      </c>
      <c r="I6294">
        <v>0</v>
      </c>
      <c r="J6294">
        <v>0</v>
      </c>
      <c r="K6294">
        <v>0</v>
      </c>
      <c r="L6294">
        <v>12797000</v>
      </c>
      <c r="M6294">
        <v>12797000</v>
      </c>
      <c r="N6294">
        <v>12797000</v>
      </c>
      <c r="O6294">
        <v>12797000</v>
      </c>
      <c r="P6294">
        <v>12797000</v>
      </c>
      <c r="Q6294">
        <v>12797000</v>
      </c>
      <c r="R6294" s="14">
        <f>_xlfn.XLOOKUP(Table2[[#This Row],[LoanID]],Table1[G-L ID],Table1[ManagerCode],-99)</f>
        <v>119</v>
      </c>
      <c r="T6294"/>
    </row>
    <row r="6295" spans="1:20" x14ac:dyDescent="0.25">
      <c r="A6295">
        <v>20171130</v>
      </c>
      <c r="B6295">
        <v>2017</v>
      </c>
      <c r="C6295">
        <v>11</v>
      </c>
      <c r="D6295">
        <v>1</v>
      </c>
      <c r="E6295">
        <v>12640</v>
      </c>
      <c r="F6295">
        <v>69415.48</v>
      </c>
      <c r="G6295">
        <v>0</v>
      </c>
      <c r="H6295">
        <v>0</v>
      </c>
      <c r="I6295">
        <v>0</v>
      </c>
      <c r="J6295">
        <v>-187041.71</v>
      </c>
      <c r="K6295">
        <v>0</v>
      </c>
      <c r="L6295">
        <v>6903000</v>
      </c>
      <c r="M6295">
        <v>7090041.71</v>
      </c>
      <c r="N6295">
        <v>6903000</v>
      </c>
      <c r="O6295">
        <v>7090041.71</v>
      </c>
      <c r="P6295">
        <v>6903000</v>
      </c>
      <c r="Q6295">
        <v>7090041.71</v>
      </c>
      <c r="R6295" s="14">
        <f>_xlfn.XLOOKUP(Table2[[#This Row],[LoanID]],Table1[G-L ID],Table1[ManagerCode],-99)</f>
        <v>119</v>
      </c>
      <c r="T6295"/>
    </row>
    <row r="6296" spans="1:20" x14ac:dyDescent="0.25">
      <c r="A6296">
        <v>20171130</v>
      </c>
      <c r="B6296">
        <v>2017</v>
      </c>
      <c r="C6296">
        <v>11</v>
      </c>
      <c r="D6296">
        <v>1</v>
      </c>
      <c r="E6296">
        <v>12750</v>
      </c>
      <c r="F6296">
        <v>27117.15</v>
      </c>
      <c r="G6296">
        <v>31369.65</v>
      </c>
      <c r="H6296">
        <v>0</v>
      </c>
      <c r="I6296">
        <v>0</v>
      </c>
      <c r="J6296">
        <v>0</v>
      </c>
      <c r="K6296">
        <v>0</v>
      </c>
      <c r="L6296">
        <v>21168803.5</v>
      </c>
      <c r="M6296">
        <v>21200173.149999999</v>
      </c>
      <c r="N6296">
        <v>10668803.5</v>
      </c>
      <c r="O6296">
        <v>10700173.15</v>
      </c>
      <c r="P6296">
        <v>21168803.5</v>
      </c>
      <c r="Q6296">
        <v>21200173.149999999</v>
      </c>
      <c r="R6296" s="14">
        <f>_xlfn.XLOOKUP(Table2[[#This Row],[LoanID]],Table1[G-L ID],Table1[ManagerCode],-99)</f>
        <v>236</v>
      </c>
      <c r="T6296"/>
    </row>
    <row r="6297" spans="1:20" x14ac:dyDescent="0.25">
      <c r="A6297">
        <v>20171130</v>
      </c>
      <c r="B6297">
        <v>2017</v>
      </c>
      <c r="C6297">
        <v>11</v>
      </c>
      <c r="D6297">
        <v>1</v>
      </c>
      <c r="E6297">
        <v>13010</v>
      </c>
      <c r="F6297">
        <v>1400000</v>
      </c>
      <c r="G6297">
        <v>0</v>
      </c>
      <c r="H6297">
        <v>0</v>
      </c>
      <c r="I6297">
        <v>0</v>
      </c>
      <c r="J6297">
        <v>0</v>
      </c>
      <c r="K6297">
        <v>0</v>
      </c>
      <c r="L6297">
        <v>199500000</v>
      </c>
      <c r="M6297">
        <v>199500000</v>
      </c>
      <c r="N6297">
        <v>199500000</v>
      </c>
      <c r="O6297">
        <v>199500000</v>
      </c>
      <c r="P6297">
        <v>210000000</v>
      </c>
      <c r="Q6297">
        <v>210000000</v>
      </c>
      <c r="R6297" s="14">
        <f>_xlfn.XLOOKUP(Table2[[#This Row],[LoanID]],Table1[G-L ID],Table1[ManagerCode],-99)</f>
        <v>103</v>
      </c>
      <c r="T6297"/>
    </row>
    <row r="6298" spans="1:20" x14ac:dyDescent="0.25">
      <c r="A6298">
        <v>20171130</v>
      </c>
      <c r="B6298">
        <v>2017</v>
      </c>
      <c r="C6298">
        <v>11</v>
      </c>
      <c r="D6298">
        <v>1</v>
      </c>
      <c r="E6298">
        <v>13020</v>
      </c>
      <c r="F6298">
        <v>76496.820000000007</v>
      </c>
      <c r="G6298">
        <v>0</v>
      </c>
      <c r="H6298">
        <v>0</v>
      </c>
      <c r="I6298">
        <v>0</v>
      </c>
      <c r="J6298">
        <v>-4701143.93</v>
      </c>
      <c r="K6298">
        <v>0</v>
      </c>
      <c r="L6298">
        <v>10308386.16</v>
      </c>
      <c r="M6298">
        <v>15009530.09</v>
      </c>
      <c r="N6298">
        <v>10308386.16</v>
      </c>
      <c r="O6298">
        <v>15009530.09</v>
      </c>
      <c r="P6298">
        <v>10308386.16</v>
      </c>
      <c r="Q6298">
        <v>15009530.09</v>
      </c>
      <c r="R6298" s="14">
        <f>_xlfn.XLOOKUP(Table2[[#This Row],[LoanID]],Table1[G-L ID],Table1[ManagerCode],-99)</f>
        <v>103</v>
      </c>
      <c r="T6298"/>
    </row>
    <row r="6299" spans="1:20" x14ac:dyDescent="0.25">
      <c r="A6299">
        <v>20171130</v>
      </c>
      <c r="B6299">
        <v>2017</v>
      </c>
      <c r="C6299">
        <v>11</v>
      </c>
      <c r="D6299">
        <v>1</v>
      </c>
      <c r="E6299">
        <v>13600</v>
      </c>
      <c r="F6299">
        <v>379029.03</v>
      </c>
      <c r="G6299">
        <v>0</v>
      </c>
      <c r="H6299">
        <v>0</v>
      </c>
      <c r="I6299">
        <v>0</v>
      </c>
      <c r="J6299">
        <v>0</v>
      </c>
      <c r="K6299">
        <v>0</v>
      </c>
      <c r="L6299">
        <v>45970000</v>
      </c>
      <c r="M6299">
        <v>45970000</v>
      </c>
      <c r="N6299">
        <v>45970000</v>
      </c>
      <c r="O6299">
        <v>45970000</v>
      </c>
      <c r="P6299">
        <v>45970000</v>
      </c>
      <c r="Q6299">
        <v>45970000</v>
      </c>
      <c r="R6299" s="14">
        <f>_xlfn.XLOOKUP(Table2[[#This Row],[LoanID]],Table1[G-L ID],Table1[ManagerCode],-99)</f>
        <v>298</v>
      </c>
      <c r="T6299"/>
    </row>
    <row r="6300" spans="1:20" x14ac:dyDescent="0.25">
      <c r="A6300">
        <v>20171130</v>
      </c>
      <c r="B6300">
        <v>2017</v>
      </c>
      <c r="C6300">
        <v>11</v>
      </c>
      <c r="D6300">
        <v>1</v>
      </c>
      <c r="E6300">
        <v>13610</v>
      </c>
      <c r="F6300">
        <v>63291.67</v>
      </c>
      <c r="G6300">
        <v>0</v>
      </c>
      <c r="H6300">
        <v>0</v>
      </c>
      <c r="I6300">
        <v>0</v>
      </c>
      <c r="J6300">
        <v>0</v>
      </c>
      <c r="K6300">
        <v>0</v>
      </c>
      <c r="L6300">
        <v>10500000</v>
      </c>
      <c r="M6300">
        <v>10500000</v>
      </c>
      <c r="N6300">
        <v>10500000</v>
      </c>
      <c r="O6300">
        <v>10500000</v>
      </c>
      <c r="P6300">
        <v>10500000</v>
      </c>
      <c r="Q6300">
        <v>10500000</v>
      </c>
      <c r="R6300" s="14">
        <f>_xlfn.XLOOKUP(Table2[[#This Row],[LoanID]],Table1[G-L ID],Table1[ManagerCode],-99)</f>
        <v>298</v>
      </c>
      <c r="T6300"/>
    </row>
    <row r="6301" spans="1:20" x14ac:dyDescent="0.25">
      <c r="A6301">
        <v>20171130</v>
      </c>
      <c r="B6301">
        <v>2017</v>
      </c>
      <c r="C6301">
        <v>11</v>
      </c>
      <c r="D6301">
        <v>1</v>
      </c>
      <c r="E6301">
        <v>13620</v>
      </c>
      <c r="F6301">
        <v>318137.5</v>
      </c>
      <c r="G6301">
        <v>0</v>
      </c>
      <c r="H6301">
        <v>0</v>
      </c>
      <c r="I6301">
        <v>0</v>
      </c>
      <c r="J6301">
        <v>0</v>
      </c>
      <c r="K6301">
        <v>0</v>
      </c>
      <c r="L6301">
        <v>50000000</v>
      </c>
      <c r="M6301">
        <v>50000000</v>
      </c>
      <c r="N6301">
        <v>50000000</v>
      </c>
      <c r="O6301">
        <v>50000000</v>
      </c>
      <c r="P6301">
        <v>50000000</v>
      </c>
      <c r="Q6301">
        <v>50000000</v>
      </c>
      <c r="R6301" s="14">
        <f>_xlfn.XLOOKUP(Table2[[#This Row],[LoanID]],Table1[G-L ID],Table1[ManagerCode],-99)</f>
        <v>298</v>
      </c>
      <c r="T6301"/>
    </row>
    <row r="6302" spans="1:20" x14ac:dyDescent="0.25">
      <c r="A6302">
        <v>20171130</v>
      </c>
      <c r="B6302">
        <v>2017</v>
      </c>
      <c r="C6302">
        <v>11</v>
      </c>
      <c r="D6302">
        <v>1</v>
      </c>
      <c r="E6302">
        <v>13630</v>
      </c>
      <c r="F6302">
        <v>211458.33</v>
      </c>
      <c r="G6302">
        <v>0</v>
      </c>
      <c r="H6302">
        <v>0</v>
      </c>
      <c r="I6302">
        <v>0</v>
      </c>
      <c r="J6302">
        <v>0</v>
      </c>
      <c r="K6302">
        <v>0</v>
      </c>
      <c r="L6302">
        <v>33569646.990000002</v>
      </c>
      <c r="M6302">
        <v>33569646.990000002</v>
      </c>
      <c r="N6302">
        <v>33569646.990000002</v>
      </c>
      <c r="O6302">
        <v>33569646.990000002</v>
      </c>
      <c r="P6302">
        <v>35000000</v>
      </c>
      <c r="Q6302">
        <v>35000000</v>
      </c>
      <c r="R6302" s="14">
        <f>_xlfn.XLOOKUP(Table2[[#This Row],[LoanID]],Table1[G-L ID],Table1[ManagerCode],-99)</f>
        <v>298</v>
      </c>
      <c r="T6302"/>
    </row>
    <row r="6303" spans="1:20" x14ac:dyDescent="0.25">
      <c r="A6303">
        <v>20171130</v>
      </c>
      <c r="B6303">
        <v>2017</v>
      </c>
      <c r="C6303">
        <v>11</v>
      </c>
      <c r="D6303">
        <v>1</v>
      </c>
      <c r="E6303">
        <v>13640</v>
      </c>
      <c r="F6303">
        <v>226983.51</v>
      </c>
      <c r="G6303">
        <v>0</v>
      </c>
      <c r="H6303">
        <v>0</v>
      </c>
      <c r="I6303">
        <v>0</v>
      </c>
      <c r="J6303">
        <v>0</v>
      </c>
      <c r="K6303">
        <v>0</v>
      </c>
      <c r="L6303">
        <v>30125000</v>
      </c>
      <c r="M6303">
        <v>30125000</v>
      </c>
      <c r="N6303">
        <v>30125000</v>
      </c>
      <c r="O6303">
        <v>30125000</v>
      </c>
      <c r="P6303">
        <v>30125000</v>
      </c>
      <c r="Q6303">
        <v>30125000</v>
      </c>
      <c r="R6303" s="14">
        <f>_xlfn.XLOOKUP(Table2[[#This Row],[LoanID]],Table1[G-L ID],Table1[ManagerCode],-99)</f>
        <v>298</v>
      </c>
      <c r="T6303"/>
    </row>
    <row r="6304" spans="1:20" x14ac:dyDescent="0.25">
      <c r="A6304">
        <v>20171130</v>
      </c>
      <c r="B6304">
        <v>2017</v>
      </c>
      <c r="C6304">
        <v>11</v>
      </c>
      <c r="D6304">
        <v>1</v>
      </c>
      <c r="E6304">
        <v>13650</v>
      </c>
      <c r="F6304">
        <v>223888.89</v>
      </c>
      <c r="G6304">
        <v>0</v>
      </c>
      <c r="H6304">
        <v>0</v>
      </c>
      <c r="I6304">
        <v>0</v>
      </c>
      <c r="J6304">
        <v>0</v>
      </c>
      <c r="K6304">
        <v>0</v>
      </c>
      <c r="L6304">
        <v>40000000</v>
      </c>
      <c r="M6304">
        <v>40000000</v>
      </c>
      <c r="N6304">
        <v>40000000</v>
      </c>
      <c r="O6304">
        <v>40000000</v>
      </c>
      <c r="P6304">
        <v>40000000</v>
      </c>
      <c r="Q6304">
        <v>40000000</v>
      </c>
      <c r="R6304" s="14">
        <f>_xlfn.XLOOKUP(Table2[[#This Row],[LoanID]],Table1[G-L ID],Table1[ManagerCode],-99)</f>
        <v>298</v>
      </c>
      <c r="T6304"/>
    </row>
    <row r="6305" spans="1:20" x14ac:dyDescent="0.25">
      <c r="A6305">
        <v>20171130</v>
      </c>
      <c r="B6305">
        <v>2017</v>
      </c>
      <c r="C6305">
        <v>11</v>
      </c>
      <c r="D6305">
        <v>1</v>
      </c>
      <c r="E6305">
        <v>13660</v>
      </c>
      <c r="F6305">
        <v>117972.22</v>
      </c>
      <c r="G6305">
        <v>0</v>
      </c>
      <c r="H6305">
        <v>0</v>
      </c>
      <c r="I6305">
        <v>0</v>
      </c>
      <c r="J6305">
        <v>0</v>
      </c>
      <c r="K6305">
        <v>0</v>
      </c>
      <c r="L6305">
        <v>20000000</v>
      </c>
      <c r="M6305">
        <v>20000000</v>
      </c>
      <c r="N6305">
        <v>20000000</v>
      </c>
      <c r="O6305">
        <v>20000000</v>
      </c>
      <c r="P6305">
        <v>20000000</v>
      </c>
      <c r="Q6305">
        <v>20000000</v>
      </c>
      <c r="R6305" s="14">
        <f>_xlfn.XLOOKUP(Table2[[#This Row],[LoanID]],Table1[G-L ID],Table1[ManagerCode],-99)</f>
        <v>298</v>
      </c>
      <c r="T6305"/>
    </row>
    <row r="6306" spans="1:20" x14ac:dyDescent="0.25">
      <c r="A6306">
        <v>20171130</v>
      </c>
      <c r="B6306">
        <v>2017</v>
      </c>
      <c r="C6306">
        <v>11</v>
      </c>
      <c r="D6306">
        <v>1</v>
      </c>
      <c r="E6306">
        <v>13670</v>
      </c>
      <c r="F6306">
        <v>314488.53999999998</v>
      </c>
      <c r="G6306">
        <v>0</v>
      </c>
      <c r="H6306">
        <v>0</v>
      </c>
      <c r="I6306">
        <v>0</v>
      </c>
      <c r="J6306">
        <v>0</v>
      </c>
      <c r="K6306">
        <v>0</v>
      </c>
      <c r="L6306">
        <v>37322264.049999997</v>
      </c>
      <c r="M6306">
        <v>37322264.049999997</v>
      </c>
      <c r="N6306">
        <v>37322264.049999997</v>
      </c>
      <c r="O6306">
        <v>37322264.049999997</v>
      </c>
      <c r="P6306">
        <v>37500000</v>
      </c>
      <c r="Q6306">
        <v>37500000</v>
      </c>
      <c r="R6306" s="14">
        <f>_xlfn.XLOOKUP(Table2[[#This Row],[LoanID]],Table1[G-L ID],Table1[ManagerCode],-99)</f>
        <v>298</v>
      </c>
      <c r="T6306"/>
    </row>
    <row r="6307" spans="1:20" x14ac:dyDescent="0.25">
      <c r="A6307">
        <v>20171130</v>
      </c>
      <c r="B6307">
        <v>2017</v>
      </c>
      <c r="C6307">
        <v>11</v>
      </c>
      <c r="D6307">
        <v>1</v>
      </c>
      <c r="E6307">
        <v>13680</v>
      </c>
      <c r="F6307">
        <v>307500</v>
      </c>
      <c r="G6307">
        <v>0</v>
      </c>
      <c r="H6307">
        <v>0</v>
      </c>
      <c r="I6307">
        <v>0</v>
      </c>
      <c r="J6307">
        <v>0</v>
      </c>
      <c r="K6307">
        <v>0</v>
      </c>
      <c r="L6307">
        <v>17989534.25</v>
      </c>
      <c r="M6307">
        <v>17989534.25</v>
      </c>
      <c r="N6307">
        <v>17989534.25</v>
      </c>
      <c r="O6307">
        <v>17989534.25</v>
      </c>
      <c r="P6307">
        <v>18000000</v>
      </c>
      <c r="Q6307">
        <v>18000000</v>
      </c>
      <c r="R6307" s="14">
        <f>_xlfn.XLOOKUP(Table2[[#This Row],[LoanID]],Table1[G-L ID],Table1[ManagerCode],-99)</f>
        <v>298</v>
      </c>
      <c r="T6307"/>
    </row>
    <row r="6308" spans="1:20" x14ac:dyDescent="0.25">
      <c r="A6308">
        <v>20171130</v>
      </c>
      <c r="B6308">
        <v>2017</v>
      </c>
      <c r="C6308">
        <v>11</v>
      </c>
      <c r="D6308">
        <v>1</v>
      </c>
      <c r="E6308">
        <v>13690</v>
      </c>
      <c r="F6308">
        <v>133472.22</v>
      </c>
      <c r="G6308">
        <v>0</v>
      </c>
      <c r="H6308">
        <v>0</v>
      </c>
      <c r="I6308">
        <v>0</v>
      </c>
      <c r="J6308">
        <v>0</v>
      </c>
      <c r="K6308">
        <v>0</v>
      </c>
      <c r="L6308">
        <v>18960334.350000001</v>
      </c>
      <c r="M6308">
        <v>18960334.350000001</v>
      </c>
      <c r="N6308">
        <v>18960334.350000001</v>
      </c>
      <c r="O6308">
        <v>18960334.350000001</v>
      </c>
      <c r="P6308">
        <v>20000000</v>
      </c>
      <c r="Q6308">
        <v>20000000</v>
      </c>
      <c r="R6308" s="14">
        <f>_xlfn.XLOOKUP(Table2[[#This Row],[LoanID]],Table1[G-L ID],Table1[ManagerCode],-99)</f>
        <v>298</v>
      </c>
      <c r="T6308"/>
    </row>
    <row r="6309" spans="1:20" x14ac:dyDescent="0.25">
      <c r="A6309">
        <v>20171130</v>
      </c>
      <c r="B6309">
        <v>2017</v>
      </c>
      <c r="C6309">
        <v>11</v>
      </c>
      <c r="D6309">
        <v>1</v>
      </c>
      <c r="E6309">
        <v>14670</v>
      </c>
      <c r="F6309">
        <v>132983.54</v>
      </c>
      <c r="G6309">
        <v>0</v>
      </c>
      <c r="H6309">
        <v>0</v>
      </c>
      <c r="I6309">
        <v>0</v>
      </c>
      <c r="J6309">
        <v>0</v>
      </c>
      <c r="K6309">
        <v>0</v>
      </c>
      <c r="L6309">
        <v>29197500</v>
      </c>
      <c r="M6309">
        <v>29197500</v>
      </c>
      <c r="N6309">
        <v>29197500</v>
      </c>
      <c r="O6309">
        <v>29197500</v>
      </c>
      <c r="P6309">
        <v>29500000</v>
      </c>
      <c r="Q6309">
        <v>29500000</v>
      </c>
      <c r="R6309" s="14">
        <f>_xlfn.XLOOKUP(Table2[[#This Row],[LoanID]],Table1[G-L ID],Table1[ManagerCode],-99)</f>
        <v>220</v>
      </c>
      <c r="T6309"/>
    </row>
    <row r="6310" spans="1:20" x14ac:dyDescent="0.25">
      <c r="A6310">
        <v>20171130</v>
      </c>
      <c r="B6310">
        <v>2017</v>
      </c>
      <c r="C6310">
        <v>11</v>
      </c>
      <c r="D6310">
        <v>1</v>
      </c>
      <c r="E6310">
        <v>15030</v>
      </c>
      <c r="F6310">
        <v>132425.22</v>
      </c>
      <c r="G6310">
        <v>0</v>
      </c>
      <c r="H6310">
        <v>0</v>
      </c>
      <c r="I6310">
        <v>0</v>
      </c>
      <c r="J6310">
        <v>-411239.6</v>
      </c>
      <c r="K6310">
        <v>0</v>
      </c>
      <c r="L6310">
        <v>35105675</v>
      </c>
      <c r="M6310">
        <v>35105675</v>
      </c>
      <c r="N6310">
        <v>11276338.220000001</v>
      </c>
      <c r="O6310">
        <v>11276338.220000001</v>
      </c>
      <c r="P6310">
        <v>35858679.75</v>
      </c>
      <c r="Q6310">
        <v>36269919.350000001</v>
      </c>
      <c r="R6310" s="14">
        <f>_xlfn.XLOOKUP(Table2[[#This Row],[LoanID]],Table1[G-L ID],Table1[ManagerCode],-99)</f>
        <v>220</v>
      </c>
      <c r="T6310"/>
    </row>
    <row r="6311" spans="1:20" x14ac:dyDescent="0.25">
      <c r="A6311">
        <v>20171130</v>
      </c>
      <c r="B6311">
        <v>2017</v>
      </c>
      <c r="C6311">
        <v>11</v>
      </c>
      <c r="D6311">
        <v>1</v>
      </c>
      <c r="E6311">
        <v>15540</v>
      </c>
      <c r="F6311">
        <v>239105.42</v>
      </c>
      <c r="G6311">
        <v>-7492.92</v>
      </c>
      <c r="H6311">
        <v>0</v>
      </c>
      <c r="I6311">
        <v>-2304.17</v>
      </c>
      <c r="J6311">
        <v>0</v>
      </c>
      <c r="K6311">
        <v>0</v>
      </c>
      <c r="L6311">
        <v>52739061.670000002</v>
      </c>
      <c r="M6311">
        <v>52731568.75</v>
      </c>
      <c r="N6311">
        <v>52739061.670000002</v>
      </c>
      <c r="O6311">
        <v>52731568.75</v>
      </c>
      <c r="P6311">
        <v>52739061.670000002</v>
      </c>
      <c r="Q6311">
        <v>52731568.75</v>
      </c>
      <c r="R6311" s="14">
        <f>_xlfn.XLOOKUP(Table2[[#This Row],[LoanID]],Table1[G-L ID],Table1[ManagerCode],-99)</f>
        <v>212</v>
      </c>
      <c r="T6311"/>
    </row>
    <row r="6312" spans="1:20" x14ac:dyDescent="0.25">
      <c r="A6312">
        <v>20171130</v>
      </c>
      <c r="B6312">
        <v>2017</v>
      </c>
      <c r="C6312">
        <v>11</v>
      </c>
      <c r="D6312">
        <v>1</v>
      </c>
      <c r="E6312">
        <v>15580</v>
      </c>
      <c r="F6312">
        <v>116482.48</v>
      </c>
      <c r="G6312">
        <v>-3810.83</v>
      </c>
      <c r="H6312">
        <v>0</v>
      </c>
      <c r="I6312">
        <v>0</v>
      </c>
      <c r="J6312">
        <v>0</v>
      </c>
      <c r="K6312">
        <v>6918.83</v>
      </c>
      <c r="L6312">
        <v>14740263.539999999</v>
      </c>
      <c r="M6312">
        <v>14729533.880000001</v>
      </c>
      <c r="N6312">
        <v>14740263.539999999</v>
      </c>
      <c r="O6312">
        <v>14729533.880000001</v>
      </c>
      <c r="P6312">
        <v>14740263.539999999</v>
      </c>
      <c r="Q6312">
        <v>14729533.880000001</v>
      </c>
      <c r="R6312" s="14">
        <f>_xlfn.XLOOKUP(Table2[[#This Row],[LoanID]],Table1[G-L ID],Table1[ManagerCode],-99)</f>
        <v>212</v>
      </c>
      <c r="T6312"/>
    </row>
    <row r="6313" spans="1:20" x14ac:dyDescent="0.25">
      <c r="A6313">
        <v>20171130</v>
      </c>
      <c r="B6313">
        <v>2017</v>
      </c>
      <c r="C6313">
        <v>11</v>
      </c>
      <c r="D6313">
        <v>1</v>
      </c>
      <c r="E6313">
        <v>15620</v>
      </c>
      <c r="F6313">
        <v>274642.33</v>
      </c>
      <c r="G6313">
        <v>-8532.33</v>
      </c>
      <c r="H6313">
        <v>0</v>
      </c>
      <c r="I6313">
        <v>-3423.33</v>
      </c>
      <c r="J6313">
        <v>0</v>
      </c>
      <c r="K6313">
        <v>0</v>
      </c>
      <c r="L6313">
        <v>78274577.329999998</v>
      </c>
      <c r="M6313">
        <v>78266045</v>
      </c>
      <c r="N6313">
        <v>78274577.329999998</v>
      </c>
      <c r="O6313">
        <v>78266045</v>
      </c>
      <c r="P6313">
        <v>78274577.329999998</v>
      </c>
      <c r="Q6313">
        <v>78266045</v>
      </c>
      <c r="R6313" s="14">
        <f>_xlfn.XLOOKUP(Table2[[#This Row],[LoanID]],Table1[G-L ID],Table1[ManagerCode],-99)</f>
        <v>212</v>
      </c>
      <c r="T6313"/>
    </row>
    <row r="6314" spans="1:20" x14ac:dyDescent="0.25">
      <c r="A6314">
        <v>20171231</v>
      </c>
      <c r="B6314">
        <v>2017</v>
      </c>
      <c r="C6314">
        <v>12</v>
      </c>
      <c r="D6314">
        <v>1</v>
      </c>
      <c r="E6314">
        <v>10010</v>
      </c>
      <c r="F6314">
        <v>175323.37</v>
      </c>
      <c r="G6314">
        <v>0</v>
      </c>
      <c r="H6314">
        <v>0</v>
      </c>
      <c r="I6314">
        <v>0</v>
      </c>
      <c r="J6314">
        <v>0</v>
      </c>
      <c r="K6314">
        <v>30330.240000000002</v>
      </c>
      <c r="L6314">
        <v>17621407.219999999</v>
      </c>
      <c r="M6314">
        <v>17591076.98</v>
      </c>
      <c r="N6314">
        <v>17621407.219999999</v>
      </c>
      <c r="O6314">
        <v>17591076.98</v>
      </c>
      <c r="P6314">
        <v>17621407.219999999</v>
      </c>
      <c r="Q6314">
        <v>17591076.98</v>
      </c>
      <c r="R6314" s="14">
        <f>_xlfn.XLOOKUP(Table2[[#This Row],[LoanID]],Table1[G-L ID],Table1[ManagerCode],-99)</f>
        <v>119</v>
      </c>
      <c r="T6314"/>
    </row>
    <row r="6315" spans="1:20" x14ac:dyDescent="0.25">
      <c r="A6315">
        <v>20171231</v>
      </c>
      <c r="B6315">
        <v>2017</v>
      </c>
      <c r="C6315">
        <v>12</v>
      </c>
      <c r="D6315">
        <v>1</v>
      </c>
      <c r="E6315">
        <v>10030</v>
      </c>
      <c r="F6315">
        <v>76833.48</v>
      </c>
      <c r="G6315">
        <v>0</v>
      </c>
      <c r="H6315">
        <v>0</v>
      </c>
      <c r="I6315">
        <v>0</v>
      </c>
      <c r="J6315">
        <v>0</v>
      </c>
      <c r="K6315">
        <v>0</v>
      </c>
      <c r="L6315">
        <v>7912575.7300000004</v>
      </c>
      <c r="M6315">
        <v>7912575.7300000004</v>
      </c>
      <c r="N6315">
        <v>7912575.7300000004</v>
      </c>
      <c r="O6315">
        <v>7912575.7300000004</v>
      </c>
      <c r="P6315">
        <v>7912575.7300000004</v>
      </c>
      <c r="Q6315">
        <v>7912575.7300000004</v>
      </c>
      <c r="R6315" s="14">
        <f>_xlfn.XLOOKUP(Table2[[#This Row],[LoanID]],Table1[G-L ID],Table1[ManagerCode],-99)</f>
        <v>119</v>
      </c>
      <c r="T6315"/>
    </row>
    <row r="6316" spans="1:20" x14ac:dyDescent="0.25">
      <c r="A6316">
        <v>20171231</v>
      </c>
      <c r="B6316">
        <v>2017</v>
      </c>
      <c r="C6316">
        <v>12</v>
      </c>
      <c r="D6316">
        <v>1</v>
      </c>
      <c r="E6316">
        <v>10040</v>
      </c>
      <c r="F6316">
        <v>46862.5</v>
      </c>
      <c r="G6316">
        <v>0</v>
      </c>
      <c r="H6316">
        <v>0</v>
      </c>
      <c r="I6316">
        <v>0</v>
      </c>
      <c r="J6316">
        <v>0</v>
      </c>
      <c r="K6316">
        <v>0</v>
      </c>
      <c r="L6316">
        <v>5000000</v>
      </c>
      <c r="M6316">
        <v>5000000</v>
      </c>
      <c r="N6316">
        <v>5000000</v>
      </c>
      <c r="O6316">
        <v>5000000</v>
      </c>
      <c r="P6316">
        <v>5000000</v>
      </c>
      <c r="Q6316">
        <v>5000000</v>
      </c>
      <c r="R6316" s="14">
        <f>_xlfn.XLOOKUP(Table2[[#This Row],[LoanID]],Table1[G-L ID],Table1[ManagerCode],-99)</f>
        <v>119</v>
      </c>
      <c r="T6316"/>
    </row>
    <row r="6317" spans="1:20" x14ac:dyDescent="0.25">
      <c r="A6317">
        <v>20171231</v>
      </c>
      <c r="B6317">
        <v>2017</v>
      </c>
      <c r="C6317">
        <v>12</v>
      </c>
      <c r="D6317">
        <v>1</v>
      </c>
      <c r="E6317">
        <v>10050</v>
      </c>
      <c r="F6317">
        <v>149013.89000000001</v>
      </c>
      <c r="G6317">
        <v>0</v>
      </c>
      <c r="H6317">
        <v>0</v>
      </c>
      <c r="I6317">
        <v>-69.45</v>
      </c>
      <c r="J6317">
        <v>0</v>
      </c>
      <c r="K6317">
        <v>0</v>
      </c>
      <c r="L6317">
        <v>37038774.090000004</v>
      </c>
      <c r="M6317">
        <v>36937681.439999998</v>
      </c>
      <c r="N6317">
        <v>37038774.090000004</v>
      </c>
      <c r="O6317">
        <v>36937681.439999998</v>
      </c>
      <c r="P6317">
        <v>33333334</v>
      </c>
      <c r="Q6317">
        <v>33333334</v>
      </c>
      <c r="R6317" s="14">
        <f>_xlfn.XLOOKUP(Table2[[#This Row],[LoanID]],Table1[G-L ID],Table1[ManagerCode],-99)</f>
        <v>103</v>
      </c>
      <c r="T6317"/>
    </row>
    <row r="6318" spans="1:20" x14ac:dyDescent="0.25">
      <c r="A6318">
        <v>20171231</v>
      </c>
      <c r="B6318">
        <v>2017</v>
      </c>
      <c r="C6318">
        <v>12</v>
      </c>
      <c r="D6318">
        <v>1</v>
      </c>
      <c r="E6318">
        <v>10070</v>
      </c>
      <c r="F6318">
        <v>61800.1</v>
      </c>
      <c r="G6318">
        <v>0</v>
      </c>
      <c r="H6318">
        <v>0</v>
      </c>
      <c r="I6318">
        <v>0</v>
      </c>
      <c r="J6318">
        <v>0</v>
      </c>
      <c r="K6318">
        <v>0</v>
      </c>
      <c r="L6318">
        <v>5875000</v>
      </c>
      <c r="M6318">
        <v>5875000</v>
      </c>
      <c r="N6318">
        <v>5875000</v>
      </c>
      <c r="O6318">
        <v>5875000</v>
      </c>
      <c r="P6318">
        <v>5875000</v>
      </c>
      <c r="Q6318">
        <v>5875000</v>
      </c>
      <c r="R6318" s="14">
        <f>_xlfn.XLOOKUP(Table2[[#This Row],[LoanID]],Table1[G-L ID],Table1[ManagerCode],-99)</f>
        <v>119</v>
      </c>
      <c r="T6318"/>
    </row>
    <row r="6319" spans="1:20" x14ac:dyDescent="0.25">
      <c r="A6319">
        <v>20171231</v>
      </c>
      <c r="B6319">
        <v>2017</v>
      </c>
      <c r="C6319">
        <v>12</v>
      </c>
      <c r="D6319">
        <v>1</v>
      </c>
      <c r="E6319">
        <v>10110</v>
      </c>
      <c r="F6319">
        <v>148433.67000000001</v>
      </c>
      <c r="G6319">
        <v>0</v>
      </c>
      <c r="H6319">
        <v>0</v>
      </c>
      <c r="I6319">
        <v>0</v>
      </c>
      <c r="J6319">
        <v>0</v>
      </c>
      <c r="K6319">
        <v>0</v>
      </c>
      <c r="L6319">
        <v>16400000</v>
      </c>
      <c r="M6319">
        <v>16400000</v>
      </c>
      <c r="N6319">
        <v>16400000</v>
      </c>
      <c r="O6319">
        <v>16400000</v>
      </c>
      <c r="P6319">
        <v>16400000</v>
      </c>
      <c r="Q6319">
        <v>16400000</v>
      </c>
      <c r="R6319" s="14">
        <f>_xlfn.XLOOKUP(Table2[[#This Row],[LoanID]],Table1[G-L ID],Table1[ManagerCode],-99)</f>
        <v>119</v>
      </c>
      <c r="T6319"/>
    </row>
    <row r="6320" spans="1:20" x14ac:dyDescent="0.25">
      <c r="A6320">
        <v>20171231</v>
      </c>
      <c r="B6320">
        <v>2017</v>
      </c>
      <c r="C6320">
        <v>12</v>
      </c>
      <c r="D6320">
        <v>1</v>
      </c>
      <c r="E6320">
        <v>10120</v>
      </c>
      <c r="F6320">
        <v>61468.21</v>
      </c>
      <c r="G6320">
        <v>66950.679999999993</v>
      </c>
      <c r="H6320">
        <v>0</v>
      </c>
      <c r="I6320">
        <v>0</v>
      </c>
      <c r="J6320">
        <v>0</v>
      </c>
      <c r="K6320">
        <v>0</v>
      </c>
      <c r="L6320">
        <v>12380102.1</v>
      </c>
      <c r="M6320">
        <v>12447052.779999999</v>
      </c>
      <c r="N6320">
        <v>12380102.1</v>
      </c>
      <c r="O6320">
        <v>12447052.779999999</v>
      </c>
      <c r="P6320">
        <v>12380102.1</v>
      </c>
      <c r="Q6320">
        <v>12447052.779999999</v>
      </c>
      <c r="R6320" s="14">
        <f>_xlfn.XLOOKUP(Table2[[#This Row],[LoanID]],Table1[G-L ID],Table1[ManagerCode],-99)</f>
        <v>183</v>
      </c>
      <c r="T6320"/>
    </row>
    <row r="6321" spans="1:20" x14ac:dyDescent="0.25">
      <c r="A6321">
        <v>20171231</v>
      </c>
      <c r="B6321">
        <v>2017</v>
      </c>
      <c r="C6321">
        <v>12</v>
      </c>
      <c r="D6321">
        <v>1</v>
      </c>
      <c r="E6321">
        <v>10220</v>
      </c>
      <c r="F6321">
        <v>1101388.8899999999</v>
      </c>
      <c r="G6321">
        <v>0</v>
      </c>
      <c r="H6321">
        <v>0</v>
      </c>
      <c r="I6321">
        <v>0</v>
      </c>
      <c r="J6321">
        <v>0</v>
      </c>
      <c r="K6321">
        <v>0</v>
      </c>
      <c r="L6321">
        <v>112770207.7</v>
      </c>
      <c r="M6321">
        <v>112296565.3</v>
      </c>
      <c r="N6321">
        <v>112770207.7</v>
      </c>
      <c r="O6321">
        <v>112296565.3</v>
      </c>
      <c r="P6321">
        <v>100000000</v>
      </c>
      <c r="Q6321">
        <v>100000000</v>
      </c>
      <c r="R6321" s="14">
        <f>_xlfn.XLOOKUP(Table2[[#This Row],[LoanID]],Table1[G-L ID],Table1[ManagerCode],-99)</f>
        <v>103</v>
      </c>
      <c r="T6321"/>
    </row>
    <row r="6322" spans="1:20" x14ac:dyDescent="0.25">
      <c r="A6322">
        <v>20171231</v>
      </c>
      <c r="B6322">
        <v>2017</v>
      </c>
      <c r="C6322">
        <v>12</v>
      </c>
      <c r="D6322">
        <v>1</v>
      </c>
      <c r="E6322">
        <v>10240</v>
      </c>
      <c r="F6322">
        <v>96364.58</v>
      </c>
      <c r="G6322">
        <v>0</v>
      </c>
      <c r="H6322">
        <v>0</v>
      </c>
      <c r="I6322">
        <v>0</v>
      </c>
      <c r="J6322">
        <v>0</v>
      </c>
      <c r="K6322">
        <v>0</v>
      </c>
      <c r="L6322">
        <v>12500000</v>
      </c>
      <c r="M6322">
        <v>12500000</v>
      </c>
      <c r="N6322">
        <v>12500000</v>
      </c>
      <c r="O6322">
        <v>12500000</v>
      </c>
      <c r="P6322">
        <v>12500000</v>
      </c>
      <c r="Q6322">
        <v>12500000</v>
      </c>
      <c r="R6322" s="14">
        <f>_xlfn.XLOOKUP(Table2[[#This Row],[LoanID]],Table1[G-L ID],Table1[ManagerCode],-99)</f>
        <v>220</v>
      </c>
      <c r="T6322"/>
    </row>
    <row r="6323" spans="1:20" x14ac:dyDescent="0.25">
      <c r="A6323">
        <v>20171231</v>
      </c>
      <c r="B6323">
        <v>2017</v>
      </c>
      <c r="C6323">
        <v>12</v>
      </c>
      <c r="D6323">
        <v>1</v>
      </c>
      <c r="E6323">
        <v>10250</v>
      </c>
      <c r="F6323">
        <v>52212.5</v>
      </c>
      <c r="G6323">
        <v>0</v>
      </c>
      <c r="H6323">
        <v>0</v>
      </c>
      <c r="I6323">
        <v>0</v>
      </c>
      <c r="J6323">
        <v>0</v>
      </c>
      <c r="K6323">
        <v>0</v>
      </c>
      <c r="L6323">
        <v>5000000</v>
      </c>
      <c r="M6323">
        <v>5000000</v>
      </c>
      <c r="N6323">
        <v>5000000</v>
      </c>
      <c r="O6323">
        <v>5000000</v>
      </c>
      <c r="P6323">
        <v>5000000</v>
      </c>
      <c r="Q6323">
        <v>5000000</v>
      </c>
      <c r="R6323" s="14">
        <f>_xlfn.XLOOKUP(Table2[[#This Row],[LoanID]],Table1[G-L ID],Table1[ManagerCode],-99)</f>
        <v>119</v>
      </c>
      <c r="T6323"/>
    </row>
    <row r="6324" spans="1:20" x14ac:dyDescent="0.25">
      <c r="A6324">
        <v>20171231</v>
      </c>
      <c r="B6324">
        <v>2017</v>
      </c>
      <c r="C6324">
        <v>12</v>
      </c>
      <c r="D6324">
        <v>1</v>
      </c>
      <c r="E6324">
        <v>10270</v>
      </c>
      <c r="F6324">
        <v>46201.88</v>
      </c>
      <c r="G6324">
        <v>0</v>
      </c>
      <c r="H6324">
        <v>0</v>
      </c>
      <c r="I6324">
        <v>0</v>
      </c>
      <c r="J6324">
        <v>0</v>
      </c>
      <c r="K6324">
        <v>0</v>
      </c>
      <c r="L6324">
        <v>4500000</v>
      </c>
      <c r="M6324">
        <v>4500000</v>
      </c>
      <c r="N6324">
        <v>4500000</v>
      </c>
      <c r="O6324">
        <v>4500000</v>
      </c>
      <c r="P6324">
        <v>4500000</v>
      </c>
      <c r="Q6324">
        <v>4500000</v>
      </c>
      <c r="R6324" s="14">
        <f>_xlfn.XLOOKUP(Table2[[#This Row],[LoanID]],Table1[G-L ID],Table1[ManagerCode],-99)</f>
        <v>119</v>
      </c>
      <c r="T6324"/>
    </row>
    <row r="6325" spans="1:20" x14ac:dyDescent="0.25">
      <c r="A6325">
        <v>20171231</v>
      </c>
      <c r="B6325">
        <v>2017</v>
      </c>
      <c r="C6325">
        <v>12</v>
      </c>
      <c r="D6325">
        <v>1</v>
      </c>
      <c r="E6325">
        <v>10330</v>
      </c>
      <c r="F6325">
        <v>78249.789999999994</v>
      </c>
      <c r="G6325">
        <v>0</v>
      </c>
      <c r="H6325">
        <v>0</v>
      </c>
      <c r="I6325">
        <v>0</v>
      </c>
      <c r="J6325">
        <v>0</v>
      </c>
      <c r="K6325">
        <v>0</v>
      </c>
      <c r="L6325">
        <v>8652759.6999999993</v>
      </c>
      <c r="M6325">
        <v>8652759.6999999993</v>
      </c>
      <c r="N6325">
        <v>8652759.6999999993</v>
      </c>
      <c r="O6325">
        <v>8652759.6999999993</v>
      </c>
      <c r="P6325">
        <v>8652759.6999999993</v>
      </c>
      <c r="Q6325">
        <v>8652759.6999999993</v>
      </c>
      <c r="R6325" s="14">
        <f>_xlfn.XLOOKUP(Table2[[#This Row],[LoanID]],Table1[G-L ID],Table1[ManagerCode],-99)</f>
        <v>119</v>
      </c>
      <c r="T6325"/>
    </row>
    <row r="6326" spans="1:20" x14ac:dyDescent="0.25">
      <c r="A6326">
        <v>20171231</v>
      </c>
      <c r="B6326">
        <v>2017</v>
      </c>
      <c r="C6326">
        <v>12</v>
      </c>
      <c r="D6326">
        <v>1</v>
      </c>
      <c r="E6326">
        <v>10350</v>
      </c>
      <c r="F6326">
        <v>180833.33</v>
      </c>
      <c r="G6326">
        <v>0</v>
      </c>
      <c r="H6326">
        <v>0</v>
      </c>
      <c r="I6326">
        <v>0</v>
      </c>
      <c r="J6326">
        <v>0</v>
      </c>
      <c r="K6326">
        <v>0</v>
      </c>
      <c r="L6326">
        <v>24800000</v>
      </c>
      <c r="M6326">
        <v>24800000</v>
      </c>
      <c r="N6326">
        <v>24800000</v>
      </c>
      <c r="O6326">
        <v>24800000</v>
      </c>
      <c r="P6326">
        <v>24800000</v>
      </c>
      <c r="Q6326">
        <v>24800000</v>
      </c>
      <c r="R6326" s="14">
        <f>_xlfn.XLOOKUP(Table2[[#This Row],[LoanID]],Table1[G-L ID],Table1[ManagerCode],-99)</f>
        <v>220</v>
      </c>
      <c r="T6326"/>
    </row>
    <row r="6327" spans="1:20" x14ac:dyDescent="0.25">
      <c r="A6327">
        <v>20171231</v>
      </c>
      <c r="B6327">
        <v>2017</v>
      </c>
      <c r="C6327">
        <v>12</v>
      </c>
      <c r="D6327">
        <v>1</v>
      </c>
      <c r="E6327">
        <v>10360</v>
      </c>
      <c r="F6327">
        <v>57858.96</v>
      </c>
      <c r="G6327">
        <v>0</v>
      </c>
      <c r="H6327">
        <v>0</v>
      </c>
      <c r="I6327">
        <v>0</v>
      </c>
      <c r="J6327">
        <v>0</v>
      </c>
      <c r="K6327">
        <v>0</v>
      </c>
      <c r="L6327">
        <v>5909000</v>
      </c>
      <c r="M6327">
        <v>5909000</v>
      </c>
      <c r="N6327">
        <v>5909000</v>
      </c>
      <c r="O6327">
        <v>5909000</v>
      </c>
      <c r="P6327">
        <v>5909000</v>
      </c>
      <c r="Q6327">
        <v>5909000</v>
      </c>
      <c r="R6327" s="14">
        <f>_xlfn.XLOOKUP(Table2[[#This Row],[LoanID]],Table1[G-L ID],Table1[ManagerCode],-99)</f>
        <v>183</v>
      </c>
      <c r="T6327"/>
    </row>
    <row r="6328" spans="1:20" x14ac:dyDescent="0.25">
      <c r="A6328">
        <v>20171231</v>
      </c>
      <c r="B6328">
        <v>2017</v>
      </c>
      <c r="C6328">
        <v>12</v>
      </c>
      <c r="D6328">
        <v>1</v>
      </c>
      <c r="E6328">
        <v>10480</v>
      </c>
      <c r="F6328">
        <v>145020</v>
      </c>
      <c r="G6328">
        <v>0</v>
      </c>
      <c r="H6328">
        <v>0</v>
      </c>
      <c r="I6328">
        <v>0</v>
      </c>
      <c r="J6328">
        <v>0</v>
      </c>
      <c r="K6328">
        <v>0</v>
      </c>
      <c r="L6328">
        <v>18000000</v>
      </c>
      <c r="M6328">
        <v>18000000</v>
      </c>
      <c r="N6328">
        <v>18000000</v>
      </c>
      <c r="O6328">
        <v>18000000</v>
      </c>
      <c r="P6328">
        <v>18000000</v>
      </c>
      <c r="Q6328">
        <v>18000000</v>
      </c>
      <c r="R6328" s="14">
        <f>_xlfn.XLOOKUP(Table2[[#This Row],[LoanID]],Table1[G-L ID],Table1[ManagerCode],-99)</f>
        <v>119</v>
      </c>
      <c r="T6328"/>
    </row>
    <row r="6329" spans="1:20" x14ac:dyDescent="0.25">
      <c r="A6329">
        <v>20171231</v>
      </c>
      <c r="B6329">
        <v>2017</v>
      </c>
      <c r="C6329">
        <v>12</v>
      </c>
      <c r="D6329">
        <v>1</v>
      </c>
      <c r="E6329">
        <v>10620</v>
      </c>
      <c r="F6329">
        <v>114729.23</v>
      </c>
      <c r="G6329">
        <v>0</v>
      </c>
      <c r="H6329">
        <v>0</v>
      </c>
      <c r="I6329">
        <v>0</v>
      </c>
      <c r="J6329">
        <v>-101706.19</v>
      </c>
      <c r="K6329">
        <v>0</v>
      </c>
      <c r="L6329">
        <v>11574197.050000001</v>
      </c>
      <c r="M6329">
        <v>11675903.24</v>
      </c>
      <c r="N6329">
        <v>11574197.050000001</v>
      </c>
      <c r="O6329">
        <v>11675903.24</v>
      </c>
      <c r="P6329">
        <v>11574197.050000001</v>
      </c>
      <c r="Q6329">
        <v>11675903.24</v>
      </c>
      <c r="R6329" s="14">
        <f>_xlfn.XLOOKUP(Table2[[#This Row],[LoanID]],Table1[G-L ID],Table1[ManagerCode],-99)</f>
        <v>119</v>
      </c>
      <c r="T6329"/>
    </row>
    <row r="6330" spans="1:20" x14ac:dyDescent="0.25">
      <c r="A6330">
        <v>20171231</v>
      </c>
      <c r="B6330">
        <v>2017</v>
      </c>
      <c r="C6330">
        <v>12</v>
      </c>
      <c r="D6330">
        <v>1</v>
      </c>
      <c r="E6330">
        <v>10670</v>
      </c>
      <c r="F6330">
        <v>271275</v>
      </c>
      <c r="G6330">
        <v>0</v>
      </c>
      <c r="H6330">
        <v>0</v>
      </c>
      <c r="I6330">
        <v>0</v>
      </c>
      <c r="J6330">
        <v>0</v>
      </c>
      <c r="K6330">
        <v>0</v>
      </c>
      <c r="L6330">
        <v>30000000</v>
      </c>
      <c r="M6330">
        <v>30000000</v>
      </c>
      <c r="N6330">
        <v>30000000</v>
      </c>
      <c r="O6330">
        <v>30000000</v>
      </c>
      <c r="P6330">
        <v>30000000</v>
      </c>
      <c r="Q6330">
        <v>30000000</v>
      </c>
      <c r="R6330" s="14">
        <f>_xlfn.XLOOKUP(Table2[[#This Row],[LoanID]],Table1[G-L ID],Table1[ManagerCode],-99)</f>
        <v>119</v>
      </c>
      <c r="T6330"/>
    </row>
    <row r="6331" spans="1:20" x14ac:dyDescent="0.25">
      <c r="A6331">
        <v>20171231</v>
      </c>
      <c r="B6331">
        <v>2017</v>
      </c>
      <c r="C6331">
        <v>12</v>
      </c>
      <c r="D6331">
        <v>1</v>
      </c>
      <c r="E6331">
        <v>10730</v>
      </c>
      <c r="F6331">
        <v>102287.29</v>
      </c>
      <c r="G6331">
        <v>0</v>
      </c>
      <c r="H6331">
        <v>0</v>
      </c>
      <c r="I6331">
        <v>0</v>
      </c>
      <c r="J6331">
        <v>0</v>
      </c>
      <c r="K6331">
        <v>0</v>
      </c>
      <c r="L6331">
        <v>9500000</v>
      </c>
      <c r="M6331">
        <v>9500000</v>
      </c>
      <c r="N6331">
        <v>9500000</v>
      </c>
      <c r="O6331">
        <v>9500000</v>
      </c>
      <c r="P6331">
        <v>9500000</v>
      </c>
      <c r="Q6331">
        <v>9500000</v>
      </c>
      <c r="R6331" s="14">
        <f>_xlfn.XLOOKUP(Table2[[#This Row],[LoanID]],Table1[G-L ID],Table1[ManagerCode],-99)</f>
        <v>119</v>
      </c>
      <c r="T6331"/>
    </row>
    <row r="6332" spans="1:20" x14ac:dyDescent="0.25">
      <c r="A6332">
        <v>20171231</v>
      </c>
      <c r="B6332">
        <v>2017</v>
      </c>
      <c r="C6332">
        <v>12</v>
      </c>
      <c r="D6332">
        <v>1</v>
      </c>
      <c r="E6332">
        <v>10750</v>
      </c>
      <c r="F6332">
        <v>79076.41</v>
      </c>
      <c r="G6332">
        <v>0</v>
      </c>
      <c r="H6332">
        <v>0</v>
      </c>
      <c r="I6332">
        <v>0</v>
      </c>
      <c r="J6332">
        <v>0</v>
      </c>
      <c r="K6332">
        <v>0</v>
      </c>
      <c r="L6332">
        <v>8757259.9600000009</v>
      </c>
      <c r="M6332">
        <v>8757259.9600000009</v>
      </c>
      <c r="N6332">
        <v>8757259.9600000009</v>
      </c>
      <c r="O6332">
        <v>8757259.9600000009</v>
      </c>
      <c r="P6332">
        <v>8757259.9600000009</v>
      </c>
      <c r="Q6332">
        <v>8757259.9600000009</v>
      </c>
      <c r="R6332" s="14">
        <f>_xlfn.XLOOKUP(Table2[[#This Row],[LoanID]],Table1[G-L ID],Table1[ManagerCode],-99)</f>
        <v>119</v>
      </c>
      <c r="T6332"/>
    </row>
    <row r="6333" spans="1:20" x14ac:dyDescent="0.25">
      <c r="A6333">
        <v>20171231</v>
      </c>
      <c r="B6333">
        <v>2017</v>
      </c>
      <c r="C6333">
        <v>12</v>
      </c>
      <c r="D6333">
        <v>1</v>
      </c>
      <c r="E6333">
        <v>10810</v>
      </c>
      <c r="F6333">
        <v>88259.56</v>
      </c>
      <c r="G6333">
        <v>0</v>
      </c>
      <c r="H6333">
        <v>0</v>
      </c>
      <c r="I6333">
        <v>0</v>
      </c>
      <c r="J6333">
        <v>0</v>
      </c>
      <c r="K6333">
        <v>0</v>
      </c>
      <c r="L6333">
        <v>9332088.0199999996</v>
      </c>
      <c r="M6333">
        <v>9332088.0199999996</v>
      </c>
      <c r="N6333">
        <v>9332088.0199999996</v>
      </c>
      <c r="O6333">
        <v>9332088.0199999996</v>
      </c>
      <c r="P6333">
        <v>9332088.0199999996</v>
      </c>
      <c r="Q6333">
        <v>9332088.0199999996</v>
      </c>
      <c r="R6333" s="14">
        <f>_xlfn.XLOOKUP(Table2[[#This Row],[LoanID]],Table1[G-L ID],Table1[ManagerCode],-99)</f>
        <v>119</v>
      </c>
      <c r="T6333"/>
    </row>
    <row r="6334" spans="1:20" x14ac:dyDescent="0.25">
      <c r="A6334">
        <v>20171231</v>
      </c>
      <c r="B6334">
        <v>2017</v>
      </c>
      <c r="C6334">
        <v>12</v>
      </c>
      <c r="D6334">
        <v>1</v>
      </c>
      <c r="E6334">
        <v>10820</v>
      </c>
      <c r="F6334">
        <v>191008.09</v>
      </c>
      <c r="G6334">
        <v>0</v>
      </c>
      <c r="H6334">
        <v>0</v>
      </c>
      <c r="I6334">
        <v>0</v>
      </c>
      <c r="J6334">
        <v>-261246.27</v>
      </c>
      <c r="K6334">
        <v>0</v>
      </c>
      <c r="L6334">
        <v>24127337.739999998</v>
      </c>
      <c r="M6334">
        <v>24388584.010000002</v>
      </c>
      <c r="N6334">
        <v>24127337.739999998</v>
      </c>
      <c r="O6334">
        <v>24388584.010000002</v>
      </c>
      <c r="P6334">
        <v>24127337.739999998</v>
      </c>
      <c r="Q6334">
        <v>24388584.010000002</v>
      </c>
      <c r="R6334" s="14">
        <f>_xlfn.XLOOKUP(Table2[[#This Row],[LoanID]],Table1[G-L ID],Table1[ManagerCode],-99)</f>
        <v>220</v>
      </c>
      <c r="T6334"/>
    </row>
    <row r="6335" spans="1:20" x14ac:dyDescent="0.25">
      <c r="A6335">
        <v>20171231</v>
      </c>
      <c r="B6335">
        <v>2017</v>
      </c>
      <c r="C6335">
        <v>12</v>
      </c>
      <c r="D6335">
        <v>1</v>
      </c>
      <c r="E6335">
        <v>10830</v>
      </c>
      <c r="F6335">
        <v>61797.84</v>
      </c>
      <c r="G6335">
        <v>0</v>
      </c>
      <c r="H6335">
        <v>0</v>
      </c>
      <c r="I6335">
        <v>0</v>
      </c>
      <c r="J6335">
        <v>0</v>
      </c>
      <c r="K6335">
        <v>0</v>
      </c>
      <c r="L6335">
        <v>7806043.1399999997</v>
      </c>
      <c r="M6335">
        <v>7806043.1399999997</v>
      </c>
      <c r="N6335">
        <v>7806043.1399999997</v>
      </c>
      <c r="O6335">
        <v>7806043.1399999997</v>
      </c>
      <c r="P6335">
        <v>7806043.1399999997</v>
      </c>
      <c r="Q6335">
        <v>7806043.1399999997</v>
      </c>
      <c r="R6335" s="14">
        <f>_xlfn.XLOOKUP(Table2[[#This Row],[LoanID]],Table1[G-L ID],Table1[ManagerCode],-99)</f>
        <v>220</v>
      </c>
      <c r="T6335"/>
    </row>
    <row r="6336" spans="1:20" x14ac:dyDescent="0.25">
      <c r="A6336">
        <v>20171231</v>
      </c>
      <c r="B6336">
        <v>2017</v>
      </c>
      <c r="C6336">
        <v>12</v>
      </c>
      <c r="D6336">
        <v>1</v>
      </c>
      <c r="E6336">
        <v>10840</v>
      </c>
      <c r="F6336">
        <v>103968.23</v>
      </c>
      <c r="G6336">
        <v>0</v>
      </c>
      <c r="H6336">
        <v>0</v>
      </c>
      <c r="I6336">
        <v>0</v>
      </c>
      <c r="J6336">
        <v>0</v>
      </c>
      <c r="K6336">
        <v>0</v>
      </c>
      <c r="L6336">
        <v>12709189</v>
      </c>
      <c r="M6336">
        <v>12709189</v>
      </c>
      <c r="N6336">
        <v>12709189</v>
      </c>
      <c r="O6336">
        <v>12709189</v>
      </c>
      <c r="P6336">
        <v>12709189</v>
      </c>
      <c r="Q6336">
        <v>12709189</v>
      </c>
      <c r="R6336" s="14">
        <f>_xlfn.XLOOKUP(Table2[[#This Row],[LoanID]],Table1[G-L ID],Table1[ManagerCode],-99)</f>
        <v>220</v>
      </c>
      <c r="T6336"/>
    </row>
    <row r="6337" spans="1:20" x14ac:dyDescent="0.25">
      <c r="A6337">
        <v>20171231</v>
      </c>
      <c r="B6337">
        <v>2017</v>
      </c>
      <c r="C6337">
        <v>12</v>
      </c>
      <c r="D6337">
        <v>1</v>
      </c>
      <c r="E6337">
        <v>10850</v>
      </c>
      <c r="F6337">
        <v>106969.15</v>
      </c>
      <c r="G6337">
        <v>0</v>
      </c>
      <c r="H6337">
        <v>0</v>
      </c>
      <c r="I6337">
        <v>0</v>
      </c>
      <c r="J6337">
        <v>0</v>
      </c>
      <c r="K6337">
        <v>0</v>
      </c>
      <c r="L6337">
        <v>13511892</v>
      </c>
      <c r="M6337">
        <v>13511892</v>
      </c>
      <c r="N6337">
        <v>13511892</v>
      </c>
      <c r="O6337">
        <v>13511892</v>
      </c>
      <c r="P6337">
        <v>13511892</v>
      </c>
      <c r="Q6337">
        <v>13511892</v>
      </c>
      <c r="R6337" s="14">
        <f>_xlfn.XLOOKUP(Table2[[#This Row],[LoanID]],Table1[G-L ID],Table1[ManagerCode],-99)</f>
        <v>220</v>
      </c>
      <c r="T6337"/>
    </row>
    <row r="6338" spans="1:20" x14ac:dyDescent="0.25">
      <c r="A6338">
        <v>20171231</v>
      </c>
      <c r="B6338">
        <v>2017</v>
      </c>
      <c r="C6338">
        <v>12</v>
      </c>
      <c r="D6338">
        <v>1</v>
      </c>
      <c r="E6338">
        <v>10910</v>
      </c>
      <c r="F6338">
        <v>97067.839999999997</v>
      </c>
      <c r="G6338">
        <v>0</v>
      </c>
      <c r="H6338">
        <v>0</v>
      </c>
      <c r="I6338">
        <v>0</v>
      </c>
      <c r="J6338">
        <v>0</v>
      </c>
      <c r="K6338">
        <v>0</v>
      </c>
      <c r="L6338">
        <v>20750000</v>
      </c>
      <c r="M6338">
        <v>20750000</v>
      </c>
      <c r="N6338">
        <v>20750000</v>
      </c>
      <c r="O6338">
        <v>20750000</v>
      </c>
      <c r="P6338">
        <v>20750000</v>
      </c>
      <c r="Q6338">
        <v>20750000</v>
      </c>
      <c r="R6338" s="14">
        <f>_xlfn.XLOOKUP(Table2[[#This Row],[LoanID]],Table1[G-L ID],Table1[ManagerCode],-99)</f>
        <v>119</v>
      </c>
      <c r="T6338"/>
    </row>
    <row r="6339" spans="1:20" x14ac:dyDescent="0.25">
      <c r="A6339">
        <v>20171231</v>
      </c>
      <c r="B6339">
        <v>2017</v>
      </c>
      <c r="C6339">
        <v>12</v>
      </c>
      <c r="D6339">
        <v>1</v>
      </c>
      <c r="E6339">
        <v>10930</v>
      </c>
      <c r="F6339">
        <v>0</v>
      </c>
      <c r="G6339">
        <v>208091.37</v>
      </c>
      <c r="H6339">
        <v>0</v>
      </c>
      <c r="I6339">
        <v>0</v>
      </c>
      <c r="J6339">
        <v>0</v>
      </c>
      <c r="K6339">
        <v>0</v>
      </c>
      <c r="L6339">
        <v>18846985.550000001</v>
      </c>
      <c r="M6339">
        <v>19055076.920000002</v>
      </c>
      <c r="N6339">
        <v>18846985.550000001</v>
      </c>
      <c r="O6339">
        <v>19055076.920000002</v>
      </c>
      <c r="P6339">
        <v>18846985.550000001</v>
      </c>
      <c r="Q6339">
        <v>19055076.920000002</v>
      </c>
      <c r="R6339" s="14">
        <f>_xlfn.XLOOKUP(Table2[[#This Row],[LoanID]],Table1[G-L ID],Table1[ManagerCode],-99)</f>
        <v>183</v>
      </c>
      <c r="T6339"/>
    </row>
    <row r="6340" spans="1:20" x14ac:dyDescent="0.25">
      <c r="A6340">
        <v>20171231</v>
      </c>
      <c r="B6340">
        <v>2017</v>
      </c>
      <c r="C6340">
        <v>12</v>
      </c>
      <c r="D6340">
        <v>1</v>
      </c>
      <c r="E6340">
        <v>10970</v>
      </c>
      <c r="F6340">
        <v>24117.27</v>
      </c>
      <c r="G6340">
        <v>26398.36</v>
      </c>
      <c r="H6340">
        <v>0</v>
      </c>
      <c r="I6340">
        <v>0</v>
      </c>
      <c r="J6340">
        <v>-24117.27</v>
      </c>
      <c r="K6340">
        <v>0</v>
      </c>
      <c r="L6340">
        <v>4864500.0999999996</v>
      </c>
      <c r="M6340">
        <v>4915015.7300000004</v>
      </c>
      <c r="N6340">
        <v>4864500.0999999996</v>
      </c>
      <c r="O6340">
        <v>4915015.7300000004</v>
      </c>
      <c r="P6340">
        <v>4864500.0999999996</v>
      </c>
      <c r="Q6340">
        <v>4915015.7300000004</v>
      </c>
      <c r="R6340" s="14">
        <f>_xlfn.XLOOKUP(Table2[[#This Row],[LoanID]],Table1[G-L ID],Table1[ManagerCode],-99)</f>
        <v>183</v>
      </c>
      <c r="T6340"/>
    </row>
    <row r="6341" spans="1:20" x14ac:dyDescent="0.25">
      <c r="A6341">
        <v>20171231</v>
      </c>
      <c r="B6341">
        <v>2017</v>
      </c>
      <c r="C6341">
        <v>12</v>
      </c>
      <c r="D6341">
        <v>1</v>
      </c>
      <c r="E6341">
        <v>11060</v>
      </c>
      <c r="F6341">
        <v>193788.47</v>
      </c>
      <c r="G6341">
        <v>0</v>
      </c>
      <c r="H6341">
        <v>0</v>
      </c>
      <c r="I6341">
        <v>0</v>
      </c>
      <c r="J6341">
        <v>0</v>
      </c>
      <c r="K6341">
        <v>0</v>
      </c>
      <c r="L6341">
        <v>22000000</v>
      </c>
      <c r="M6341">
        <v>22000000</v>
      </c>
      <c r="N6341">
        <v>22000000</v>
      </c>
      <c r="O6341">
        <v>22000000</v>
      </c>
      <c r="P6341">
        <v>22000000</v>
      </c>
      <c r="Q6341">
        <v>22000000</v>
      </c>
      <c r="R6341" s="14">
        <f>_xlfn.XLOOKUP(Table2[[#This Row],[LoanID]],Table1[G-L ID],Table1[ManagerCode],-99)</f>
        <v>119</v>
      </c>
      <c r="T6341"/>
    </row>
    <row r="6342" spans="1:20" x14ac:dyDescent="0.25">
      <c r="A6342">
        <v>20171231</v>
      </c>
      <c r="B6342">
        <v>2017</v>
      </c>
      <c r="C6342">
        <v>12</v>
      </c>
      <c r="D6342">
        <v>1</v>
      </c>
      <c r="E6342">
        <v>11080</v>
      </c>
      <c r="F6342">
        <v>347057.98</v>
      </c>
      <c r="G6342">
        <v>0</v>
      </c>
      <c r="H6342">
        <v>0</v>
      </c>
      <c r="I6342">
        <v>0</v>
      </c>
      <c r="J6342">
        <v>0</v>
      </c>
      <c r="K6342">
        <v>123838.54</v>
      </c>
      <c r="L6342">
        <v>39318738.329999998</v>
      </c>
      <c r="M6342">
        <v>39194899.789999999</v>
      </c>
      <c r="N6342">
        <v>39318738.329999998</v>
      </c>
      <c r="O6342">
        <v>39194899.789999999</v>
      </c>
      <c r="P6342">
        <v>39318738.329999998</v>
      </c>
      <c r="Q6342">
        <v>39194899.789999999</v>
      </c>
      <c r="R6342" s="14">
        <f>_xlfn.XLOOKUP(Table2[[#This Row],[LoanID]],Table1[G-L ID],Table1[ManagerCode],-99)</f>
        <v>119</v>
      </c>
      <c r="T6342"/>
    </row>
    <row r="6343" spans="1:20" x14ac:dyDescent="0.25">
      <c r="A6343">
        <v>20171231</v>
      </c>
      <c r="B6343">
        <v>2017</v>
      </c>
      <c r="C6343">
        <v>12</v>
      </c>
      <c r="D6343">
        <v>1</v>
      </c>
      <c r="E6343">
        <v>11090</v>
      </c>
      <c r="F6343">
        <v>98372.37</v>
      </c>
      <c r="G6343">
        <v>0</v>
      </c>
      <c r="H6343">
        <v>0</v>
      </c>
      <c r="I6343">
        <v>0</v>
      </c>
      <c r="J6343">
        <v>0</v>
      </c>
      <c r="K6343">
        <v>24000</v>
      </c>
      <c r="L6343">
        <v>10964000</v>
      </c>
      <c r="M6343">
        <v>10940000</v>
      </c>
      <c r="N6343">
        <v>10964000</v>
      </c>
      <c r="O6343">
        <v>10940000</v>
      </c>
      <c r="P6343">
        <v>10964000</v>
      </c>
      <c r="Q6343">
        <v>10940000</v>
      </c>
      <c r="R6343" s="14">
        <f>_xlfn.XLOOKUP(Table2[[#This Row],[LoanID]],Table1[G-L ID],Table1[ManagerCode],-99)</f>
        <v>119</v>
      </c>
      <c r="T6343"/>
    </row>
    <row r="6344" spans="1:20" x14ac:dyDescent="0.25">
      <c r="A6344">
        <v>20171231</v>
      </c>
      <c r="B6344">
        <v>2017</v>
      </c>
      <c r="C6344">
        <v>12</v>
      </c>
      <c r="D6344">
        <v>1</v>
      </c>
      <c r="E6344">
        <v>11150</v>
      </c>
      <c r="F6344">
        <v>107686.16</v>
      </c>
      <c r="G6344">
        <v>0</v>
      </c>
      <c r="H6344">
        <v>0</v>
      </c>
      <c r="I6344">
        <v>0</v>
      </c>
      <c r="J6344">
        <v>679485.81</v>
      </c>
      <c r="K6344">
        <v>0</v>
      </c>
      <c r="L6344">
        <v>10908169.93</v>
      </c>
      <c r="M6344">
        <v>10228684.119999999</v>
      </c>
      <c r="N6344">
        <v>10908169.93</v>
      </c>
      <c r="O6344">
        <v>10228684.119999999</v>
      </c>
      <c r="P6344">
        <v>10908169.93</v>
      </c>
      <c r="Q6344">
        <v>10228684.119999999</v>
      </c>
      <c r="R6344" s="14">
        <f>_xlfn.XLOOKUP(Table2[[#This Row],[LoanID]],Table1[G-L ID],Table1[ManagerCode],-99)</f>
        <v>119</v>
      </c>
      <c r="T6344"/>
    </row>
    <row r="6345" spans="1:20" x14ac:dyDescent="0.25">
      <c r="A6345">
        <v>20171231</v>
      </c>
      <c r="B6345">
        <v>2017</v>
      </c>
      <c r="C6345">
        <v>12</v>
      </c>
      <c r="D6345">
        <v>1</v>
      </c>
      <c r="E6345">
        <v>11160</v>
      </c>
      <c r="F6345">
        <v>285451.90999999997</v>
      </c>
      <c r="G6345">
        <v>181125.23</v>
      </c>
      <c r="H6345">
        <v>0</v>
      </c>
      <c r="I6345">
        <v>0</v>
      </c>
      <c r="J6345">
        <v>-102035.29</v>
      </c>
      <c r="K6345">
        <v>425582.34</v>
      </c>
      <c r="L6345">
        <v>81871722.069999993</v>
      </c>
      <c r="M6345">
        <v>82154882.590000004</v>
      </c>
      <c r="N6345">
        <v>58027372.759999998</v>
      </c>
      <c r="O6345">
        <v>57884950.939999998</v>
      </c>
      <c r="P6345">
        <v>81871722.069999993</v>
      </c>
      <c r="Q6345">
        <v>82154882.590000004</v>
      </c>
      <c r="R6345" s="14">
        <f>_xlfn.XLOOKUP(Table2[[#This Row],[LoanID]],Table1[G-L ID],Table1[ManagerCode],-99)</f>
        <v>183</v>
      </c>
      <c r="T6345"/>
    </row>
    <row r="6346" spans="1:20" x14ac:dyDescent="0.25">
      <c r="A6346">
        <v>20171231</v>
      </c>
      <c r="B6346">
        <v>2017</v>
      </c>
      <c r="C6346">
        <v>12</v>
      </c>
      <c r="D6346">
        <v>1</v>
      </c>
      <c r="E6346">
        <v>11210</v>
      </c>
      <c r="F6346">
        <v>61800</v>
      </c>
      <c r="G6346">
        <v>0</v>
      </c>
      <c r="H6346">
        <v>0</v>
      </c>
      <c r="I6346">
        <v>0</v>
      </c>
      <c r="J6346">
        <v>0</v>
      </c>
      <c r="K6346">
        <v>0</v>
      </c>
      <c r="L6346">
        <v>7500000</v>
      </c>
      <c r="M6346">
        <v>7500000</v>
      </c>
      <c r="N6346">
        <v>7500000</v>
      </c>
      <c r="O6346">
        <v>7500000</v>
      </c>
      <c r="P6346">
        <v>7500000</v>
      </c>
      <c r="Q6346">
        <v>7500000</v>
      </c>
      <c r="R6346" s="14">
        <f>_xlfn.XLOOKUP(Table2[[#This Row],[LoanID]],Table1[G-L ID],Table1[ManagerCode],-99)</f>
        <v>119</v>
      </c>
      <c r="T6346"/>
    </row>
    <row r="6347" spans="1:20" x14ac:dyDescent="0.25">
      <c r="A6347">
        <v>20171231</v>
      </c>
      <c r="B6347">
        <v>2017</v>
      </c>
      <c r="C6347">
        <v>12</v>
      </c>
      <c r="D6347">
        <v>1</v>
      </c>
      <c r="E6347">
        <v>11340</v>
      </c>
      <c r="F6347">
        <v>282701.21999999997</v>
      </c>
      <c r="G6347">
        <v>0</v>
      </c>
      <c r="H6347">
        <v>24231.53</v>
      </c>
      <c r="I6347">
        <v>0</v>
      </c>
      <c r="J6347">
        <v>0</v>
      </c>
      <c r="K6347">
        <v>72682.55</v>
      </c>
      <c r="L6347">
        <v>47978435.719999999</v>
      </c>
      <c r="M6347">
        <v>47906480</v>
      </c>
      <c r="N6347">
        <v>47978435.719999999</v>
      </c>
      <c r="O6347">
        <v>47906480</v>
      </c>
      <c r="P6347">
        <v>48463066.390000001</v>
      </c>
      <c r="Q6347">
        <v>48390383.840000004</v>
      </c>
      <c r="R6347" s="14">
        <f>_xlfn.XLOOKUP(Table2[[#This Row],[LoanID]],Table1[G-L ID],Table1[ManagerCode],-99)</f>
        <v>103</v>
      </c>
      <c r="T6347"/>
    </row>
    <row r="6348" spans="1:20" x14ac:dyDescent="0.25">
      <c r="A6348">
        <v>20171231</v>
      </c>
      <c r="B6348">
        <v>2017</v>
      </c>
      <c r="C6348">
        <v>12</v>
      </c>
      <c r="D6348">
        <v>1</v>
      </c>
      <c r="E6348">
        <v>11350</v>
      </c>
      <c r="F6348">
        <v>320833.33</v>
      </c>
      <c r="G6348">
        <v>0</v>
      </c>
      <c r="H6348">
        <v>27500</v>
      </c>
      <c r="I6348">
        <v>0</v>
      </c>
      <c r="J6348">
        <v>0</v>
      </c>
      <c r="K6348">
        <v>0</v>
      </c>
      <c r="L6348">
        <v>54449945.549999997</v>
      </c>
      <c r="M6348">
        <v>54449945.549999997</v>
      </c>
      <c r="N6348">
        <v>54449945.549999997</v>
      </c>
      <c r="O6348">
        <v>54449945.549999997</v>
      </c>
      <c r="P6348">
        <v>55000000</v>
      </c>
      <c r="Q6348">
        <v>55000000</v>
      </c>
      <c r="R6348" s="14">
        <f>_xlfn.XLOOKUP(Table2[[#This Row],[LoanID]],Table1[G-L ID],Table1[ManagerCode],-99)</f>
        <v>103</v>
      </c>
      <c r="T6348"/>
    </row>
    <row r="6349" spans="1:20" x14ac:dyDescent="0.25">
      <c r="A6349">
        <v>20171231</v>
      </c>
      <c r="B6349">
        <v>2017</v>
      </c>
      <c r="C6349">
        <v>12</v>
      </c>
      <c r="D6349">
        <v>1</v>
      </c>
      <c r="E6349">
        <v>11360</v>
      </c>
      <c r="F6349">
        <v>64874.46</v>
      </c>
      <c r="G6349">
        <v>0</v>
      </c>
      <c r="H6349">
        <v>0</v>
      </c>
      <c r="I6349">
        <v>0</v>
      </c>
      <c r="J6349">
        <v>0</v>
      </c>
      <c r="K6349">
        <v>0</v>
      </c>
      <c r="L6349">
        <v>7537500</v>
      </c>
      <c r="M6349">
        <v>7537500</v>
      </c>
      <c r="N6349">
        <v>7537500</v>
      </c>
      <c r="O6349">
        <v>7537500</v>
      </c>
      <c r="P6349">
        <v>7537500</v>
      </c>
      <c r="Q6349">
        <v>7537500</v>
      </c>
      <c r="R6349" s="14">
        <f>_xlfn.XLOOKUP(Table2[[#This Row],[LoanID]],Table1[G-L ID],Table1[ManagerCode],-99)</f>
        <v>119</v>
      </c>
      <c r="T6349"/>
    </row>
    <row r="6350" spans="1:20" x14ac:dyDescent="0.25">
      <c r="A6350">
        <v>20171231</v>
      </c>
      <c r="B6350">
        <v>2017</v>
      </c>
      <c r="C6350">
        <v>12</v>
      </c>
      <c r="D6350">
        <v>1</v>
      </c>
      <c r="E6350">
        <v>11410</v>
      </c>
      <c r="F6350">
        <v>113510</v>
      </c>
      <c r="G6350">
        <v>0</v>
      </c>
      <c r="H6350">
        <v>0</v>
      </c>
      <c r="I6350">
        <v>0</v>
      </c>
      <c r="J6350">
        <v>0</v>
      </c>
      <c r="K6350">
        <v>0</v>
      </c>
      <c r="L6350">
        <v>12000000</v>
      </c>
      <c r="M6350">
        <v>12000000</v>
      </c>
      <c r="N6350">
        <v>12000000</v>
      </c>
      <c r="O6350">
        <v>12000000</v>
      </c>
      <c r="P6350">
        <v>12000000</v>
      </c>
      <c r="Q6350">
        <v>12000000</v>
      </c>
      <c r="R6350" s="14">
        <f>_xlfn.XLOOKUP(Table2[[#This Row],[LoanID]],Table1[G-L ID],Table1[ManagerCode],-99)</f>
        <v>119</v>
      </c>
      <c r="T6350"/>
    </row>
    <row r="6351" spans="1:20" x14ac:dyDescent="0.25">
      <c r="A6351">
        <v>20171231</v>
      </c>
      <c r="B6351">
        <v>2017</v>
      </c>
      <c r="C6351">
        <v>12</v>
      </c>
      <c r="D6351">
        <v>1</v>
      </c>
      <c r="E6351">
        <v>11440</v>
      </c>
      <c r="F6351">
        <v>156250</v>
      </c>
      <c r="G6351">
        <v>0</v>
      </c>
      <c r="H6351">
        <v>0</v>
      </c>
      <c r="I6351">
        <v>0</v>
      </c>
      <c r="J6351">
        <v>0</v>
      </c>
      <c r="K6351">
        <v>0</v>
      </c>
      <c r="L6351">
        <v>18750000</v>
      </c>
      <c r="M6351">
        <v>18750000</v>
      </c>
      <c r="N6351">
        <v>18750000</v>
      </c>
      <c r="O6351">
        <v>18750000</v>
      </c>
      <c r="P6351">
        <v>18750000</v>
      </c>
      <c r="Q6351">
        <v>18750000</v>
      </c>
      <c r="R6351" s="14">
        <f>_xlfn.XLOOKUP(Table2[[#This Row],[LoanID]],Table1[G-L ID],Table1[ManagerCode],-99)</f>
        <v>183</v>
      </c>
      <c r="T6351"/>
    </row>
    <row r="6352" spans="1:20" x14ac:dyDescent="0.25">
      <c r="A6352">
        <v>20171231</v>
      </c>
      <c r="B6352">
        <v>2017</v>
      </c>
      <c r="C6352">
        <v>12</v>
      </c>
      <c r="D6352">
        <v>1</v>
      </c>
      <c r="E6352">
        <v>11450</v>
      </c>
      <c r="F6352">
        <v>140076.06</v>
      </c>
      <c r="G6352">
        <v>0</v>
      </c>
      <c r="H6352">
        <v>0</v>
      </c>
      <c r="I6352">
        <v>0</v>
      </c>
      <c r="J6352">
        <v>0</v>
      </c>
      <c r="K6352">
        <v>0</v>
      </c>
      <c r="L6352">
        <v>16484915.27</v>
      </c>
      <c r="M6352">
        <v>16484915.27</v>
      </c>
      <c r="N6352">
        <v>16484915.27</v>
      </c>
      <c r="O6352">
        <v>16484915.27</v>
      </c>
      <c r="P6352">
        <v>16484915.27</v>
      </c>
      <c r="Q6352">
        <v>16484915.27</v>
      </c>
      <c r="R6352" s="14">
        <f>_xlfn.XLOOKUP(Table2[[#This Row],[LoanID]],Table1[G-L ID],Table1[ManagerCode],-99)</f>
        <v>119</v>
      </c>
      <c r="T6352"/>
    </row>
    <row r="6353" spans="1:20" x14ac:dyDescent="0.25">
      <c r="A6353">
        <v>20171231</v>
      </c>
      <c r="B6353">
        <v>2017</v>
      </c>
      <c r="C6353">
        <v>12</v>
      </c>
      <c r="D6353">
        <v>1</v>
      </c>
      <c r="E6353">
        <v>11480</v>
      </c>
      <c r="F6353">
        <v>422975</v>
      </c>
      <c r="G6353">
        <v>0</v>
      </c>
      <c r="H6353">
        <v>0</v>
      </c>
      <c r="I6353">
        <v>0</v>
      </c>
      <c r="J6353">
        <v>0</v>
      </c>
      <c r="K6353">
        <v>0</v>
      </c>
      <c r="L6353">
        <v>66500000</v>
      </c>
      <c r="M6353">
        <v>66500000</v>
      </c>
      <c r="N6353">
        <v>66500000</v>
      </c>
      <c r="O6353">
        <v>66500000</v>
      </c>
      <c r="P6353">
        <v>70000000</v>
      </c>
      <c r="Q6353">
        <v>70000000</v>
      </c>
      <c r="R6353" s="14">
        <f>_xlfn.XLOOKUP(Table2[[#This Row],[LoanID]],Table1[G-L ID],Table1[ManagerCode],-99)</f>
        <v>103</v>
      </c>
      <c r="T6353"/>
    </row>
    <row r="6354" spans="1:20" x14ac:dyDescent="0.25">
      <c r="A6354">
        <v>20171231</v>
      </c>
      <c r="B6354">
        <v>2017</v>
      </c>
      <c r="C6354">
        <v>12</v>
      </c>
      <c r="D6354">
        <v>1</v>
      </c>
      <c r="E6354">
        <v>11490</v>
      </c>
      <c r="F6354">
        <v>389629.17</v>
      </c>
      <c r="G6354">
        <v>0</v>
      </c>
      <c r="H6354">
        <v>0</v>
      </c>
      <c r="I6354">
        <v>0</v>
      </c>
      <c r="J6354">
        <v>0</v>
      </c>
      <c r="K6354">
        <v>0</v>
      </c>
      <c r="L6354">
        <v>52250000</v>
      </c>
      <c r="M6354">
        <v>52250000</v>
      </c>
      <c r="N6354">
        <v>52250000</v>
      </c>
      <c r="O6354">
        <v>52250000</v>
      </c>
      <c r="P6354">
        <v>55000000</v>
      </c>
      <c r="Q6354">
        <v>55000000</v>
      </c>
      <c r="R6354" s="14">
        <f>_xlfn.XLOOKUP(Table2[[#This Row],[LoanID]],Table1[G-L ID],Table1[ManagerCode],-99)</f>
        <v>103</v>
      </c>
      <c r="T6354"/>
    </row>
    <row r="6355" spans="1:20" x14ac:dyDescent="0.25">
      <c r="A6355">
        <v>20171231</v>
      </c>
      <c r="B6355">
        <v>2017</v>
      </c>
      <c r="C6355">
        <v>12</v>
      </c>
      <c r="D6355">
        <v>1</v>
      </c>
      <c r="E6355">
        <v>11520</v>
      </c>
      <c r="F6355">
        <v>50465.63</v>
      </c>
      <c r="G6355">
        <v>0</v>
      </c>
      <c r="H6355">
        <v>0</v>
      </c>
      <c r="I6355">
        <v>0</v>
      </c>
      <c r="J6355">
        <v>0</v>
      </c>
      <c r="K6355">
        <v>3405401.48</v>
      </c>
      <c r="L6355">
        <v>9340132.7799999993</v>
      </c>
      <c r="M6355">
        <v>5934731.2999999998</v>
      </c>
      <c r="N6355">
        <v>9340132.7799999993</v>
      </c>
      <c r="O6355">
        <v>5934731.2999999998</v>
      </c>
      <c r="P6355">
        <v>9340132.7799999993</v>
      </c>
      <c r="Q6355">
        <v>5934731.2999999998</v>
      </c>
      <c r="R6355" s="14">
        <f>_xlfn.XLOOKUP(Table2[[#This Row],[LoanID]],Table1[G-L ID],Table1[ManagerCode],-99)</f>
        <v>119</v>
      </c>
      <c r="T6355"/>
    </row>
    <row r="6356" spans="1:20" x14ac:dyDescent="0.25">
      <c r="A6356">
        <v>20171231</v>
      </c>
      <c r="B6356">
        <v>2017</v>
      </c>
      <c r="C6356">
        <v>12</v>
      </c>
      <c r="D6356">
        <v>1</v>
      </c>
      <c r="E6356">
        <v>11530</v>
      </c>
      <c r="F6356">
        <v>160330.6</v>
      </c>
      <c r="G6356">
        <v>0</v>
      </c>
      <c r="H6356">
        <v>0</v>
      </c>
      <c r="I6356">
        <v>0</v>
      </c>
      <c r="J6356">
        <v>0</v>
      </c>
      <c r="K6356">
        <v>0</v>
      </c>
      <c r="L6356">
        <v>14260454.08</v>
      </c>
      <c r="M6356">
        <v>14260454.08</v>
      </c>
      <c r="N6356">
        <v>14260454.08</v>
      </c>
      <c r="O6356">
        <v>14260454.08</v>
      </c>
      <c r="P6356">
        <v>14260454.08</v>
      </c>
      <c r="Q6356">
        <v>14260454.08</v>
      </c>
      <c r="R6356" s="14">
        <f>_xlfn.XLOOKUP(Table2[[#This Row],[LoanID]],Table1[G-L ID],Table1[ManagerCode],-99)</f>
        <v>119</v>
      </c>
      <c r="T6356"/>
    </row>
    <row r="6357" spans="1:20" x14ac:dyDescent="0.25">
      <c r="A6357">
        <v>20171231</v>
      </c>
      <c r="B6357">
        <v>2017</v>
      </c>
      <c r="C6357">
        <v>12</v>
      </c>
      <c r="D6357">
        <v>1</v>
      </c>
      <c r="E6357">
        <v>11590</v>
      </c>
      <c r="F6357">
        <v>14454.19</v>
      </c>
      <c r="G6357">
        <v>0</v>
      </c>
      <c r="H6357">
        <v>0</v>
      </c>
      <c r="I6357">
        <v>0</v>
      </c>
      <c r="J6357">
        <v>0</v>
      </c>
      <c r="K6357">
        <v>0</v>
      </c>
      <c r="L6357">
        <v>1982289.13</v>
      </c>
      <c r="M6357">
        <v>1982289.13</v>
      </c>
      <c r="N6357">
        <v>1982289.13</v>
      </c>
      <c r="O6357">
        <v>1982289.13</v>
      </c>
      <c r="P6357">
        <v>1982289.13</v>
      </c>
      <c r="Q6357">
        <v>1982289.13</v>
      </c>
      <c r="R6357" s="14">
        <f>_xlfn.XLOOKUP(Table2[[#This Row],[LoanID]],Table1[G-L ID],Table1[ManagerCode],-99)</f>
        <v>119</v>
      </c>
      <c r="T6357"/>
    </row>
    <row r="6358" spans="1:20" x14ac:dyDescent="0.25">
      <c r="A6358">
        <v>20171231</v>
      </c>
      <c r="B6358">
        <v>2017</v>
      </c>
      <c r="C6358">
        <v>12</v>
      </c>
      <c r="D6358">
        <v>1</v>
      </c>
      <c r="E6358">
        <v>11680</v>
      </c>
      <c r="F6358">
        <v>57126.559999999998</v>
      </c>
      <c r="G6358">
        <v>0</v>
      </c>
      <c r="H6358">
        <v>0</v>
      </c>
      <c r="I6358">
        <v>0</v>
      </c>
      <c r="J6358">
        <v>0</v>
      </c>
      <c r="K6358">
        <v>0</v>
      </c>
      <c r="L6358">
        <v>6600000</v>
      </c>
      <c r="M6358">
        <v>6600000</v>
      </c>
      <c r="N6358">
        <v>6600000</v>
      </c>
      <c r="O6358">
        <v>6600000</v>
      </c>
      <c r="P6358">
        <v>6600000</v>
      </c>
      <c r="Q6358">
        <v>6600000</v>
      </c>
      <c r="R6358" s="14">
        <f>_xlfn.XLOOKUP(Table2[[#This Row],[LoanID]],Table1[G-L ID],Table1[ManagerCode],-99)</f>
        <v>183</v>
      </c>
      <c r="T6358"/>
    </row>
    <row r="6359" spans="1:20" x14ac:dyDescent="0.25">
      <c r="A6359">
        <v>20171231</v>
      </c>
      <c r="B6359">
        <v>2017</v>
      </c>
      <c r="C6359">
        <v>12</v>
      </c>
      <c r="D6359">
        <v>1</v>
      </c>
      <c r="E6359">
        <v>11690</v>
      </c>
      <c r="F6359">
        <v>145222.5</v>
      </c>
      <c r="G6359">
        <v>0</v>
      </c>
      <c r="H6359">
        <v>0</v>
      </c>
      <c r="I6359">
        <v>0</v>
      </c>
      <c r="J6359">
        <v>0</v>
      </c>
      <c r="K6359">
        <v>0</v>
      </c>
      <c r="L6359">
        <v>17000000</v>
      </c>
      <c r="M6359">
        <v>17000000</v>
      </c>
      <c r="N6359">
        <v>17000000</v>
      </c>
      <c r="O6359">
        <v>17000000</v>
      </c>
      <c r="P6359">
        <v>17000000</v>
      </c>
      <c r="Q6359">
        <v>17000000</v>
      </c>
      <c r="R6359" s="14">
        <f>_xlfn.XLOOKUP(Table2[[#This Row],[LoanID]],Table1[G-L ID],Table1[ManagerCode],-99)</f>
        <v>119</v>
      </c>
      <c r="T6359"/>
    </row>
    <row r="6360" spans="1:20" x14ac:dyDescent="0.25">
      <c r="A6360">
        <v>20171231</v>
      </c>
      <c r="B6360">
        <v>2017</v>
      </c>
      <c r="C6360">
        <v>12</v>
      </c>
      <c r="D6360">
        <v>1</v>
      </c>
      <c r="E6360">
        <v>11730</v>
      </c>
      <c r="F6360">
        <v>51135.24</v>
      </c>
      <c r="G6360">
        <v>0</v>
      </c>
      <c r="H6360">
        <v>0</v>
      </c>
      <c r="I6360">
        <v>0</v>
      </c>
      <c r="J6360">
        <v>0</v>
      </c>
      <c r="K6360">
        <v>8384.25</v>
      </c>
      <c r="L6360">
        <v>4902059.25</v>
      </c>
      <c r="M6360">
        <v>4893675</v>
      </c>
      <c r="N6360">
        <v>4902059.25</v>
      </c>
      <c r="O6360">
        <v>4893675</v>
      </c>
      <c r="P6360">
        <v>4902059.25</v>
      </c>
      <c r="Q6360">
        <v>4893675</v>
      </c>
      <c r="R6360" s="14">
        <f>_xlfn.XLOOKUP(Table2[[#This Row],[LoanID]],Table1[G-L ID],Table1[ManagerCode],-99)</f>
        <v>119</v>
      </c>
      <c r="T6360"/>
    </row>
    <row r="6361" spans="1:20" x14ac:dyDescent="0.25">
      <c r="A6361">
        <v>20171231</v>
      </c>
      <c r="B6361">
        <v>2017</v>
      </c>
      <c r="C6361">
        <v>12</v>
      </c>
      <c r="D6361">
        <v>1</v>
      </c>
      <c r="E6361">
        <v>11750</v>
      </c>
      <c r="F6361">
        <v>255597.39</v>
      </c>
      <c r="G6361">
        <v>125401.49</v>
      </c>
      <c r="H6361">
        <v>0</v>
      </c>
      <c r="I6361">
        <v>0</v>
      </c>
      <c r="J6361">
        <v>0</v>
      </c>
      <c r="K6361">
        <v>0</v>
      </c>
      <c r="L6361">
        <v>54026924.549999997</v>
      </c>
      <c r="M6361">
        <v>54152326.049999997</v>
      </c>
      <c r="N6361">
        <v>54026924.549999997</v>
      </c>
      <c r="O6361">
        <v>54152326.049999997</v>
      </c>
      <c r="P6361">
        <v>54026924.549999997</v>
      </c>
      <c r="Q6361">
        <v>54152326.049999997</v>
      </c>
      <c r="R6361" s="14">
        <f>_xlfn.XLOOKUP(Table2[[#This Row],[LoanID]],Table1[G-L ID],Table1[ManagerCode],-99)</f>
        <v>183</v>
      </c>
      <c r="T6361"/>
    </row>
    <row r="6362" spans="1:20" x14ac:dyDescent="0.25">
      <c r="A6362">
        <v>20171231</v>
      </c>
      <c r="B6362">
        <v>2017</v>
      </c>
      <c r="C6362">
        <v>12</v>
      </c>
      <c r="D6362">
        <v>1</v>
      </c>
      <c r="E6362">
        <v>11830</v>
      </c>
      <c r="F6362">
        <v>91515.42</v>
      </c>
      <c r="G6362">
        <v>0</v>
      </c>
      <c r="H6362">
        <v>0</v>
      </c>
      <c r="I6362">
        <v>0</v>
      </c>
      <c r="J6362">
        <v>-419182.87</v>
      </c>
      <c r="K6362">
        <v>0</v>
      </c>
      <c r="L6362">
        <v>10225716.24</v>
      </c>
      <c r="M6362">
        <v>10644899.109999999</v>
      </c>
      <c r="N6362">
        <v>10225716.24</v>
      </c>
      <c r="O6362">
        <v>10644899.109999999</v>
      </c>
      <c r="P6362">
        <v>10225716.24</v>
      </c>
      <c r="Q6362">
        <v>10644899.109999999</v>
      </c>
      <c r="R6362" s="14">
        <f>_xlfn.XLOOKUP(Table2[[#This Row],[LoanID]],Table1[G-L ID],Table1[ManagerCode],-99)</f>
        <v>119</v>
      </c>
      <c r="T6362"/>
    </row>
    <row r="6363" spans="1:20" x14ac:dyDescent="0.25">
      <c r="A6363">
        <v>20171231</v>
      </c>
      <c r="B6363">
        <v>2017</v>
      </c>
      <c r="C6363">
        <v>12</v>
      </c>
      <c r="D6363">
        <v>1</v>
      </c>
      <c r="E6363">
        <v>11850</v>
      </c>
      <c r="F6363">
        <v>97500</v>
      </c>
      <c r="G6363">
        <v>0</v>
      </c>
      <c r="H6363">
        <v>0</v>
      </c>
      <c r="I6363">
        <v>0</v>
      </c>
      <c r="J6363">
        <v>0</v>
      </c>
      <c r="K6363">
        <v>0</v>
      </c>
      <c r="L6363">
        <v>9000000</v>
      </c>
      <c r="M6363">
        <v>9000000</v>
      </c>
      <c r="N6363">
        <v>9000000</v>
      </c>
      <c r="O6363">
        <v>9000000</v>
      </c>
      <c r="P6363">
        <v>9000000</v>
      </c>
      <c r="Q6363">
        <v>9000000</v>
      </c>
      <c r="R6363" s="14">
        <f>_xlfn.XLOOKUP(Table2[[#This Row],[LoanID]],Table1[G-L ID],Table1[ManagerCode],-99)</f>
        <v>183</v>
      </c>
      <c r="T6363"/>
    </row>
    <row r="6364" spans="1:20" x14ac:dyDescent="0.25">
      <c r="A6364">
        <v>20171231</v>
      </c>
      <c r="B6364">
        <v>2017</v>
      </c>
      <c r="C6364">
        <v>12</v>
      </c>
      <c r="D6364">
        <v>1</v>
      </c>
      <c r="E6364">
        <v>11980</v>
      </c>
      <c r="F6364">
        <v>65744.639999999999</v>
      </c>
      <c r="G6364">
        <v>0</v>
      </c>
      <c r="H6364">
        <v>0</v>
      </c>
      <c r="I6364">
        <v>0</v>
      </c>
      <c r="J6364">
        <v>0</v>
      </c>
      <c r="K6364">
        <v>0</v>
      </c>
      <c r="L6364">
        <v>7400000</v>
      </c>
      <c r="M6364">
        <v>7400000</v>
      </c>
      <c r="N6364">
        <v>7400000</v>
      </c>
      <c r="O6364">
        <v>7400000</v>
      </c>
      <c r="P6364">
        <v>7400000</v>
      </c>
      <c r="Q6364">
        <v>7400000</v>
      </c>
      <c r="R6364" s="14">
        <f>_xlfn.XLOOKUP(Table2[[#This Row],[LoanID]],Table1[G-L ID],Table1[ManagerCode],-99)</f>
        <v>119</v>
      </c>
      <c r="T6364"/>
    </row>
    <row r="6365" spans="1:20" x14ac:dyDescent="0.25">
      <c r="A6365">
        <v>20171231</v>
      </c>
      <c r="B6365">
        <v>2017</v>
      </c>
      <c r="C6365">
        <v>12</v>
      </c>
      <c r="D6365">
        <v>1</v>
      </c>
      <c r="E6365">
        <v>12030</v>
      </c>
      <c r="F6365">
        <v>46959.69</v>
      </c>
      <c r="G6365">
        <v>0</v>
      </c>
      <c r="H6365">
        <v>0</v>
      </c>
      <c r="I6365">
        <v>0</v>
      </c>
      <c r="J6365">
        <v>0</v>
      </c>
      <c r="K6365">
        <v>0</v>
      </c>
      <c r="L6365">
        <v>6375000</v>
      </c>
      <c r="M6365">
        <v>6375000</v>
      </c>
      <c r="N6365">
        <v>6375000</v>
      </c>
      <c r="O6365">
        <v>6375000</v>
      </c>
      <c r="P6365">
        <v>6375000</v>
      </c>
      <c r="Q6365">
        <v>6375000</v>
      </c>
      <c r="R6365" s="14">
        <f>_xlfn.XLOOKUP(Table2[[#This Row],[LoanID]],Table1[G-L ID],Table1[ManagerCode],-99)</f>
        <v>119</v>
      </c>
      <c r="T6365"/>
    </row>
    <row r="6366" spans="1:20" x14ac:dyDescent="0.25">
      <c r="A6366">
        <v>20171231</v>
      </c>
      <c r="B6366">
        <v>2017</v>
      </c>
      <c r="C6366">
        <v>12</v>
      </c>
      <c r="D6366">
        <v>1</v>
      </c>
      <c r="E6366">
        <v>12180</v>
      </c>
      <c r="F6366">
        <v>221237.25</v>
      </c>
      <c r="G6366">
        <v>0</v>
      </c>
      <c r="H6366">
        <v>0</v>
      </c>
      <c r="I6366">
        <v>0</v>
      </c>
      <c r="J6366">
        <v>0</v>
      </c>
      <c r="K6366">
        <v>0</v>
      </c>
      <c r="L6366">
        <v>30393210.870000001</v>
      </c>
      <c r="M6366">
        <v>30393210.870000001</v>
      </c>
      <c r="N6366">
        <v>30393210.870000001</v>
      </c>
      <c r="O6366">
        <v>30393210.870000001</v>
      </c>
      <c r="P6366">
        <v>30393210.870000001</v>
      </c>
      <c r="Q6366">
        <v>30393210.870000001</v>
      </c>
      <c r="R6366" s="14">
        <f>_xlfn.XLOOKUP(Table2[[#This Row],[LoanID]],Table1[G-L ID],Table1[ManagerCode],-99)</f>
        <v>220</v>
      </c>
      <c r="T6366"/>
    </row>
    <row r="6367" spans="1:20" x14ac:dyDescent="0.25">
      <c r="A6367">
        <v>20171231</v>
      </c>
      <c r="B6367">
        <v>2017</v>
      </c>
      <c r="C6367">
        <v>12</v>
      </c>
      <c r="D6367">
        <v>1</v>
      </c>
      <c r="E6367">
        <v>12220</v>
      </c>
      <c r="F6367">
        <v>177986.53</v>
      </c>
      <c r="G6367">
        <v>0</v>
      </c>
      <c r="H6367">
        <v>0</v>
      </c>
      <c r="I6367">
        <v>0</v>
      </c>
      <c r="J6367">
        <v>0</v>
      </c>
      <c r="K6367">
        <v>0</v>
      </c>
      <c r="L6367">
        <v>54500000</v>
      </c>
      <c r="M6367">
        <v>54500000</v>
      </c>
      <c r="N6367">
        <v>27250000</v>
      </c>
      <c r="O6367">
        <v>27250000</v>
      </c>
      <c r="P6367">
        <v>54500000</v>
      </c>
      <c r="Q6367">
        <v>54500000</v>
      </c>
      <c r="R6367" s="14">
        <f>_xlfn.XLOOKUP(Table2[[#This Row],[LoanID]],Table1[G-L ID],Table1[ManagerCode],-99)</f>
        <v>183</v>
      </c>
      <c r="T6367"/>
    </row>
    <row r="6368" spans="1:20" x14ac:dyDescent="0.25">
      <c r="A6368">
        <v>20171231</v>
      </c>
      <c r="B6368">
        <v>2017</v>
      </c>
      <c r="C6368">
        <v>12</v>
      </c>
      <c r="D6368">
        <v>1</v>
      </c>
      <c r="E6368">
        <v>12250</v>
      </c>
      <c r="F6368">
        <v>88124.98</v>
      </c>
      <c r="G6368">
        <v>0</v>
      </c>
      <c r="H6368">
        <v>0</v>
      </c>
      <c r="I6368">
        <v>0</v>
      </c>
      <c r="J6368">
        <v>580126.26</v>
      </c>
      <c r="K6368">
        <v>0</v>
      </c>
      <c r="L6368">
        <v>11298501.68</v>
      </c>
      <c r="M6368">
        <v>10718375.42</v>
      </c>
      <c r="N6368">
        <v>11298501.68</v>
      </c>
      <c r="O6368">
        <v>10718375.42</v>
      </c>
      <c r="P6368">
        <v>11298501.68</v>
      </c>
      <c r="Q6368">
        <v>10718375.42</v>
      </c>
      <c r="R6368" s="14">
        <f>_xlfn.XLOOKUP(Table2[[#This Row],[LoanID]],Table1[G-L ID],Table1[ManagerCode],-99)</f>
        <v>119</v>
      </c>
      <c r="T6368"/>
    </row>
    <row r="6369" spans="1:20" x14ac:dyDescent="0.25">
      <c r="A6369">
        <v>20171231</v>
      </c>
      <c r="B6369">
        <v>2017</v>
      </c>
      <c r="C6369">
        <v>12</v>
      </c>
      <c r="D6369">
        <v>1</v>
      </c>
      <c r="E6369">
        <v>12260</v>
      </c>
      <c r="F6369">
        <v>102794</v>
      </c>
      <c r="G6369">
        <v>0</v>
      </c>
      <c r="H6369">
        <v>0</v>
      </c>
      <c r="I6369">
        <v>0</v>
      </c>
      <c r="J6369">
        <v>0</v>
      </c>
      <c r="K6369">
        <v>0</v>
      </c>
      <c r="L6369">
        <v>11470448.4</v>
      </c>
      <c r="M6369">
        <v>11470448.4</v>
      </c>
      <c r="N6369">
        <v>11470448.4</v>
      </c>
      <c r="O6369">
        <v>11470448.4</v>
      </c>
      <c r="P6369">
        <v>11470448.4</v>
      </c>
      <c r="Q6369">
        <v>11470448.4</v>
      </c>
      <c r="R6369" s="14">
        <f>_xlfn.XLOOKUP(Table2[[#This Row],[LoanID]],Table1[G-L ID],Table1[ManagerCode],-99)</f>
        <v>119</v>
      </c>
      <c r="T6369"/>
    </row>
    <row r="6370" spans="1:20" x14ac:dyDescent="0.25">
      <c r="A6370">
        <v>20171231</v>
      </c>
      <c r="B6370">
        <v>2017</v>
      </c>
      <c r="C6370">
        <v>12</v>
      </c>
      <c r="D6370">
        <v>1</v>
      </c>
      <c r="E6370">
        <v>12270</v>
      </c>
      <c r="F6370">
        <v>212556.57</v>
      </c>
      <c r="G6370">
        <v>0</v>
      </c>
      <c r="H6370">
        <v>0</v>
      </c>
      <c r="I6370">
        <v>0</v>
      </c>
      <c r="J6370">
        <v>6476976</v>
      </c>
      <c r="K6370">
        <v>0</v>
      </c>
      <c r="L6370">
        <v>16205806.380000001</v>
      </c>
      <c r="M6370">
        <v>9728830.3800000008</v>
      </c>
      <c r="N6370">
        <v>16205806.380000001</v>
      </c>
      <c r="O6370">
        <v>9728830.3800000008</v>
      </c>
      <c r="P6370">
        <v>16205806.380000001</v>
      </c>
      <c r="Q6370">
        <v>9728830.3800000008</v>
      </c>
      <c r="R6370" s="14">
        <f>_xlfn.XLOOKUP(Table2[[#This Row],[LoanID]],Table1[G-L ID],Table1[ManagerCode],-99)</f>
        <v>119</v>
      </c>
      <c r="T6370"/>
    </row>
    <row r="6371" spans="1:20" x14ac:dyDescent="0.25">
      <c r="A6371">
        <v>20171231</v>
      </c>
      <c r="B6371">
        <v>2017</v>
      </c>
      <c r="C6371">
        <v>12</v>
      </c>
      <c r="D6371">
        <v>1</v>
      </c>
      <c r="E6371">
        <v>12280</v>
      </c>
      <c r="F6371">
        <v>138150.20000000001</v>
      </c>
      <c r="G6371">
        <v>0</v>
      </c>
      <c r="H6371">
        <v>0</v>
      </c>
      <c r="I6371">
        <v>0</v>
      </c>
      <c r="J6371">
        <v>-1138760.1200000001</v>
      </c>
      <c r="K6371">
        <v>0</v>
      </c>
      <c r="L6371">
        <v>15701116.550000001</v>
      </c>
      <c r="M6371">
        <v>16839876.670000002</v>
      </c>
      <c r="N6371">
        <v>15701116.550000001</v>
      </c>
      <c r="O6371">
        <v>16839876.670000002</v>
      </c>
      <c r="P6371">
        <v>15701116.550000001</v>
      </c>
      <c r="Q6371">
        <v>16839876.670000002</v>
      </c>
      <c r="R6371" s="14">
        <f>_xlfn.XLOOKUP(Table2[[#This Row],[LoanID]],Table1[G-L ID],Table1[ManagerCode],-99)</f>
        <v>119</v>
      </c>
      <c r="T6371"/>
    </row>
    <row r="6372" spans="1:20" x14ac:dyDescent="0.25">
      <c r="A6372">
        <v>20171231</v>
      </c>
      <c r="B6372">
        <v>2017</v>
      </c>
      <c r="C6372">
        <v>12</v>
      </c>
      <c r="D6372">
        <v>1</v>
      </c>
      <c r="E6372">
        <v>12290</v>
      </c>
      <c r="F6372">
        <v>186322.5</v>
      </c>
      <c r="G6372">
        <v>0</v>
      </c>
      <c r="H6372">
        <v>0</v>
      </c>
      <c r="I6372">
        <v>0</v>
      </c>
      <c r="J6372">
        <v>0</v>
      </c>
      <c r="K6372">
        <v>0</v>
      </c>
      <c r="L6372">
        <v>22750000</v>
      </c>
      <c r="M6372">
        <v>22750000</v>
      </c>
      <c r="N6372">
        <v>22750000</v>
      </c>
      <c r="O6372">
        <v>22750000</v>
      </c>
      <c r="P6372">
        <v>22750000</v>
      </c>
      <c r="Q6372">
        <v>22750000</v>
      </c>
      <c r="R6372" s="14">
        <f>_xlfn.XLOOKUP(Table2[[#This Row],[LoanID]],Table1[G-L ID],Table1[ManagerCode],-99)</f>
        <v>119</v>
      </c>
      <c r="T6372"/>
    </row>
    <row r="6373" spans="1:20" x14ac:dyDescent="0.25">
      <c r="A6373">
        <v>20171231</v>
      </c>
      <c r="B6373">
        <v>2017</v>
      </c>
      <c r="C6373">
        <v>12</v>
      </c>
      <c r="D6373">
        <v>1</v>
      </c>
      <c r="E6373">
        <v>12300</v>
      </c>
      <c r="F6373">
        <v>91752.33</v>
      </c>
      <c r="G6373">
        <v>0</v>
      </c>
      <c r="H6373">
        <v>0</v>
      </c>
      <c r="I6373">
        <v>0</v>
      </c>
      <c r="J6373">
        <v>0</v>
      </c>
      <c r="K6373">
        <v>0</v>
      </c>
      <c r="L6373">
        <v>10000000</v>
      </c>
      <c r="M6373">
        <v>10000000</v>
      </c>
      <c r="N6373">
        <v>10000000</v>
      </c>
      <c r="O6373">
        <v>10000000</v>
      </c>
      <c r="P6373">
        <v>10000000</v>
      </c>
      <c r="Q6373">
        <v>10000000</v>
      </c>
      <c r="R6373" s="14">
        <f>_xlfn.XLOOKUP(Table2[[#This Row],[LoanID]],Table1[G-L ID],Table1[ManagerCode],-99)</f>
        <v>119</v>
      </c>
      <c r="T6373"/>
    </row>
    <row r="6374" spans="1:20" x14ac:dyDescent="0.25">
      <c r="A6374">
        <v>20171231</v>
      </c>
      <c r="B6374">
        <v>2017</v>
      </c>
      <c r="C6374">
        <v>12</v>
      </c>
      <c r="D6374">
        <v>1</v>
      </c>
      <c r="E6374">
        <v>12310</v>
      </c>
      <c r="F6374">
        <v>131279.74</v>
      </c>
      <c r="G6374">
        <v>0</v>
      </c>
      <c r="H6374">
        <v>0</v>
      </c>
      <c r="I6374">
        <v>0</v>
      </c>
      <c r="J6374">
        <v>0</v>
      </c>
      <c r="K6374">
        <v>0</v>
      </c>
      <c r="L6374">
        <v>16375000</v>
      </c>
      <c r="M6374">
        <v>16375000</v>
      </c>
      <c r="N6374">
        <v>16375000</v>
      </c>
      <c r="O6374">
        <v>16375000</v>
      </c>
      <c r="P6374">
        <v>16375000</v>
      </c>
      <c r="Q6374">
        <v>16375000</v>
      </c>
      <c r="R6374" s="14">
        <f>_xlfn.XLOOKUP(Table2[[#This Row],[LoanID]],Table1[G-L ID],Table1[ManagerCode],-99)</f>
        <v>119</v>
      </c>
      <c r="T6374"/>
    </row>
    <row r="6375" spans="1:20" x14ac:dyDescent="0.25">
      <c r="A6375">
        <v>20171231</v>
      </c>
      <c r="B6375">
        <v>2017</v>
      </c>
      <c r="C6375">
        <v>12</v>
      </c>
      <c r="D6375">
        <v>1</v>
      </c>
      <c r="E6375">
        <v>12320</v>
      </c>
      <c r="F6375">
        <v>102423.58</v>
      </c>
      <c r="G6375">
        <v>0</v>
      </c>
      <c r="H6375">
        <v>0</v>
      </c>
      <c r="I6375">
        <v>0</v>
      </c>
      <c r="J6375">
        <v>0</v>
      </c>
      <c r="K6375">
        <v>0</v>
      </c>
      <c r="L6375">
        <v>11750000</v>
      </c>
      <c r="M6375">
        <v>11750000</v>
      </c>
      <c r="N6375">
        <v>11750000</v>
      </c>
      <c r="O6375">
        <v>11750000</v>
      </c>
      <c r="P6375">
        <v>11750000</v>
      </c>
      <c r="Q6375">
        <v>11750000</v>
      </c>
      <c r="R6375" s="14">
        <f>_xlfn.XLOOKUP(Table2[[#This Row],[LoanID]],Table1[G-L ID],Table1[ManagerCode],-99)</f>
        <v>119</v>
      </c>
      <c r="T6375"/>
    </row>
    <row r="6376" spans="1:20" x14ac:dyDescent="0.25">
      <c r="A6376">
        <v>20171231</v>
      </c>
      <c r="B6376">
        <v>2017</v>
      </c>
      <c r="C6376">
        <v>12</v>
      </c>
      <c r="D6376">
        <v>1</v>
      </c>
      <c r="E6376">
        <v>12330</v>
      </c>
      <c r="F6376">
        <v>199681.76</v>
      </c>
      <c r="G6376">
        <v>0</v>
      </c>
      <c r="H6376">
        <v>0</v>
      </c>
      <c r="I6376">
        <v>0</v>
      </c>
      <c r="J6376">
        <v>0</v>
      </c>
      <c r="K6376">
        <v>0</v>
      </c>
      <c r="L6376">
        <v>19976500</v>
      </c>
      <c r="M6376">
        <v>19976500</v>
      </c>
      <c r="N6376">
        <v>19976500</v>
      </c>
      <c r="O6376">
        <v>19976500</v>
      </c>
      <c r="P6376">
        <v>19976500</v>
      </c>
      <c r="Q6376">
        <v>19976500</v>
      </c>
      <c r="R6376" s="14">
        <f>_xlfn.XLOOKUP(Table2[[#This Row],[LoanID]],Table1[G-L ID],Table1[ManagerCode],-99)</f>
        <v>119</v>
      </c>
      <c r="T6376"/>
    </row>
    <row r="6377" spans="1:20" x14ac:dyDescent="0.25">
      <c r="A6377">
        <v>20171231</v>
      </c>
      <c r="B6377">
        <v>2017</v>
      </c>
      <c r="C6377">
        <v>12</v>
      </c>
      <c r="D6377">
        <v>1</v>
      </c>
      <c r="E6377">
        <v>12340</v>
      </c>
      <c r="F6377">
        <v>82860</v>
      </c>
      <c r="G6377">
        <v>0</v>
      </c>
      <c r="H6377">
        <v>0</v>
      </c>
      <c r="I6377">
        <v>0</v>
      </c>
      <c r="J6377">
        <v>0</v>
      </c>
      <c r="K6377">
        <v>0</v>
      </c>
      <c r="L6377">
        <v>24000000</v>
      </c>
      <c r="M6377">
        <v>24000000</v>
      </c>
      <c r="N6377">
        <v>12000000</v>
      </c>
      <c r="O6377">
        <v>12000000</v>
      </c>
      <c r="P6377">
        <v>24000000</v>
      </c>
      <c r="Q6377">
        <v>24000000</v>
      </c>
      <c r="R6377" s="14">
        <f>_xlfn.XLOOKUP(Table2[[#This Row],[LoanID]],Table1[G-L ID],Table1[ManagerCode],-99)</f>
        <v>183</v>
      </c>
      <c r="T6377"/>
    </row>
    <row r="6378" spans="1:20" x14ac:dyDescent="0.25">
      <c r="A6378">
        <v>20171231</v>
      </c>
      <c r="B6378">
        <v>2017</v>
      </c>
      <c r="C6378">
        <v>12</v>
      </c>
      <c r="D6378">
        <v>1</v>
      </c>
      <c r="E6378">
        <v>12350</v>
      </c>
      <c r="F6378">
        <v>151142.69</v>
      </c>
      <c r="G6378">
        <v>0</v>
      </c>
      <c r="H6378">
        <v>0</v>
      </c>
      <c r="I6378">
        <v>0</v>
      </c>
      <c r="J6378">
        <v>0</v>
      </c>
      <c r="K6378">
        <v>0</v>
      </c>
      <c r="L6378">
        <v>61433157.640000001</v>
      </c>
      <c r="M6378">
        <v>61433157.640000001</v>
      </c>
      <c r="N6378">
        <v>23933157.640000001</v>
      </c>
      <c r="O6378">
        <v>23933157.640000001</v>
      </c>
      <c r="P6378">
        <v>61433157.640000001</v>
      </c>
      <c r="Q6378">
        <v>61433157.640000001</v>
      </c>
      <c r="R6378" s="14">
        <f>_xlfn.XLOOKUP(Table2[[#This Row],[LoanID]],Table1[G-L ID],Table1[ManagerCode],-99)</f>
        <v>183</v>
      </c>
      <c r="T6378"/>
    </row>
    <row r="6379" spans="1:20" x14ac:dyDescent="0.25">
      <c r="A6379">
        <v>20171231</v>
      </c>
      <c r="B6379">
        <v>2017</v>
      </c>
      <c r="C6379">
        <v>12</v>
      </c>
      <c r="D6379">
        <v>1</v>
      </c>
      <c r="E6379">
        <v>12360</v>
      </c>
      <c r="F6379">
        <v>115212.1</v>
      </c>
      <c r="G6379">
        <v>0</v>
      </c>
      <c r="H6379">
        <v>0</v>
      </c>
      <c r="I6379">
        <v>0</v>
      </c>
      <c r="J6379">
        <v>0</v>
      </c>
      <c r="K6379">
        <v>0</v>
      </c>
      <c r="L6379">
        <v>60000000</v>
      </c>
      <c r="M6379">
        <v>60000000</v>
      </c>
      <c r="N6379">
        <v>19000000</v>
      </c>
      <c r="O6379">
        <v>19000000</v>
      </c>
      <c r="P6379">
        <v>60000000</v>
      </c>
      <c r="Q6379">
        <v>60000000</v>
      </c>
      <c r="R6379" s="14">
        <f>_xlfn.XLOOKUP(Table2[[#This Row],[LoanID]],Table1[G-L ID],Table1[ManagerCode],-99)</f>
        <v>183</v>
      </c>
      <c r="T6379"/>
    </row>
    <row r="6380" spans="1:20" x14ac:dyDescent="0.25">
      <c r="A6380">
        <v>20171231</v>
      </c>
      <c r="B6380">
        <v>2017</v>
      </c>
      <c r="C6380">
        <v>12</v>
      </c>
      <c r="D6380">
        <v>1</v>
      </c>
      <c r="E6380">
        <v>12370</v>
      </c>
      <c r="F6380">
        <v>316135.7</v>
      </c>
      <c r="G6380">
        <v>0</v>
      </c>
      <c r="H6380">
        <v>0</v>
      </c>
      <c r="I6380">
        <v>0</v>
      </c>
      <c r="J6380">
        <v>0</v>
      </c>
      <c r="K6380">
        <v>0</v>
      </c>
      <c r="L6380">
        <v>104000000</v>
      </c>
      <c r="M6380">
        <v>104000000</v>
      </c>
      <c r="N6380">
        <v>44000000</v>
      </c>
      <c r="O6380">
        <v>44000000</v>
      </c>
      <c r="P6380">
        <v>104000000</v>
      </c>
      <c r="Q6380">
        <v>104000000</v>
      </c>
      <c r="R6380" s="14">
        <f>_xlfn.XLOOKUP(Table2[[#This Row],[LoanID]],Table1[G-L ID],Table1[ManagerCode],-99)</f>
        <v>183</v>
      </c>
      <c r="T6380"/>
    </row>
    <row r="6381" spans="1:20" x14ac:dyDescent="0.25">
      <c r="A6381">
        <v>20171231</v>
      </c>
      <c r="B6381">
        <v>2017</v>
      </c>
      <c r="C6381">
        <v>12</v>
      </c>
      <c r="D6381">
        <v>1</v>
      </c>
      <c r="E6381">
        <v>12380</v>
      </c>
      <c r="F6381">
        <v>85143.58</v>
      </c>
      <c r="G6381">
        <v>0</v>
      </c>
      <c r="H6381">
        <v>0</v>
      </c>
      <c r="I6381">
        <v>0</v>
      </c>
      <c r="J6381">
        <v>0</v>
      </c>
      <c r="K6381">
        <v>0</v>
      </c>
      <c r="L6381">
        <v>32500000</v>
      </c>
      <c r="M6381">
        <v>32500000</v>
      </c>
      <c r="N6381">
        <v>12350000</v>
      </c>
      <c r="O6381">
        <v>12350000</v>
      </c>
      <c r="P6381">
        <v>32500000</v>
      </c>
      <c r="Q6381">
        <v>32500000</v>
      </c>
      <c r="R6381" s="14">
        <f>_xlfn.XLOOKUP(Table2[[#This Row],[LoanID]],Table1[G-L ID],Table1[ManagerCode],-99)</f>
        <v>183</v>
      </c>
      <c r="T6381"/>
    </row>
    <row r="6382" spans="1:20" x14ac:dyDescent="0.25">
      <c r="A6382">
        <v>20171231</v>
      </c>
      <c r="B6382">
        <v>2017</v>
      </c>
      <c r="C6382">
        <v>12</v>
      </c>
      <c r="D6382">
        <v>1</v>
      </c>
      <c r="E6382">
        <v>12390</v>
      </c>
      <c r="F6382">
        <v>207762.85</v>
      </c>
      <c r="G6382">
        <v>309481.84999999998</v>
      </c>
      <c r="H6382">
        <v>0</v>
      </c>
      <c r="I6382">
        <v>0</v>
      </c>
      <c r="J6382">
        <v>-6830075.8499999996</v>
      </c>
      <c r="K6382">
        <v>0</v>
      </c>
      <c r="L6382">
        <v>31794921.879999999</v>
      </c>
      <c r="M6382">
        <v>38934479.579999998</v>
      </c>
      <c r="N6382">
        <v>31794921.879999999</v>
      </c>
      <c r="O6382">
        <v>38934479.579999998</v>
      </c>
      <c r="P6382">
        <v>31794921.879999999</v>
      </c>
      <c r="Q6382">
        <v>38934479.579999998</v>
      </c>
      <c r="R6382" s="14">
        <f>_xlfn.XLOOKUP(Table2[[#This Row],[LoanID]],Table1[G-L ID],Table1[ManagerCode],-99)</f>
        <v>183</v>
      </c>
      <c r="T6382"/>
    </row>
    <row r="6383" spans="1:20" x14ac:dyDescent="0.25">
      <c r="A6383">
        <v>20171231</v>
      </c>
      <c r="B6383">
        <v>2017</v>
      </c>
      <c r="C6383">
        <v>12</v>
      </c>
      <c r="D6383">
        <v>1</v>
      </c>
      <c r="E6383">
        <v>12400</v>
      </c>
      <c r="F6383">
        <v>70512.42</v>
      </c>
      <c r="G6383">
        <v>81398.66</v>
      </c>
      <c r="H6383">
        <v>0</v>
      </c>
      <c r="I6383">
        <v>0</v>
      </c>
      <c r="J6383">
        <v>-375006.56</v>
      </c>
      <c r="K6383">
        <v>0</v>
      </c>
      <c r="L6383">
        <v>14843501.880000001</v>
      </c>
      <c r="M6383">
        <v>15299907.1</v>
      </c>
      <c r="N6383">
        <v>14843501.880000001</v>
      </c>
      <c r="O6383">
        <v>15299907.1</v>
      </c>
      <c r="P6383">
        <v>14843501.880000001</v>
      </c>
      <c r="Q6383">
        <v>15299907.1</v>
      </c>
      <c r="R6383" s="14">
        <f>_xlfn.XLOOKUP(Table2[[#This Row],[LoanID]],Table1[G-L ID],Table1[ManagerCode],-99)</f>
        <v>183</v>
      </c>
      <c r="T6383"/>
    </row>
    <row r="6384" spans="1:20" x14ac:dyDescent="0.25">
      <c r="A6384">
        <v>20171231</v>
      </c>
      <c r="B6384">
        <v>2017</v>
      </c>
      <c r="C6384">
        <v>12</v>
      </c>
      <c r="D6384">
        <v>1</v>
      </c>
      <c r="E6384">
        <v>12410</v>
      </c>
      <c r="F6384">
        <v>324151.23</v>
      </c>
      <c r="G6384">
        <v>259320.98</v>
      </c>
      <c r="H6384">
        <v>0</v>
      </c>
      <c r="I6384">
        <v>0</v>
      </c>
      <c r="J6384">
        <v>0</v>
      </c>
      <c r="K6384">
        <v>0</v>
      </c>
      <c r="L6384">
        <v>77018331.790000007</v>
      </c>
      <c r="M6384">
        <v>76481610.650000006</v>
      </c>
      <c r="N6384">
        <v>77018331.790000007</v>
      </c>
      <c r="O6384">
        <v>76481610.650000006</v>
      </c>
      <c r="P6384">
        <v>77796294.709999993</v>
      </c>
      <c r="Q6384">
        <v>78055615.689999998</v>
      </c>
      <c r="R6384" s="14">
        <f>_xlfn.XLOOKUP(Table2[[#This Row],[LoanID]],Table1[G-L ID],Table1[ManagerCode],-99)</f>
        <v>103</v>
      </c>
      <c r="T6384"/>
    </row>
    <row r="6385" spans="1:20" x14ac:dyDescent="0.25">
      <c r="A6385">
        <v>20171231</v>
      </c>
      <c r="B6385">
        <v>2017</v>
      </c>
      <c r="C6385">
        <v>12</v>
      </c>
      <c r="D6385">
        <v>1</v>
      </c>
      <c r="E6385">
        <v>12420</v>
      </c>
      <c r="F6385">
        <v>33532.18</v>
      </c>
      <c r="G6385">
        <v>0</v>
      </c>
      <c r="H6385">
        <v>0</v>
      </c>
      <c r="I6385">
        <v>0</v>
      </c>
      <c r="J6385">
        <v>0</v>
      </c>
      <c r="K6385">
        <v>0</v>
      </c>
      <c r="L6385">
        <v>3087650.93</v>
      </c>
      <c r="M6385">
        <v>3087650.93</v>
      </c>
      <c r="N6385">
        <v>3087650.93</v>
      </c>
      <c r="O6385">
        <v>3087650.93</v>
      </c>
      <c r="P6385">
        <v>3087650.93</v>
      </c>
      <c r="Q6385">
        <v>3087650.93</v>
      </c>
      <c r="R6385" s="14">
        <f>_xlfn.XLOOKUP(Table2[[#This Row],[LoanID]],Table1[G-L ID],Table1[ManagerCode],-99)</f>
        <v>103</v>
      </c>
      <c r="T6385"/>
    </row>
    <row r="6386" spans="1:20" x14ac:dyDescent="0.25">
      <c r="A6386">
        <v>20171231</v>
      </c>
      <c r="B6386">
        <v>2017</v>
      </c>
      <c r="C6386">
        <v>12</v>
      </c>
      <c r="D6386">
        <v>1</v>
      </c>
      <c r="E6386">
        <v>12430</v>
      </c>
      <c r="F6386">
        <v>33611.57</v>
      </c>
      <c r="G6386">
        <v>0</v>
      </c>
      <c r="H6386">
        <v>0</v>
      </c>
      <c r="I6386">
        <v>0</v>
      </c>
      <c r="J6386">
        <v>-1613751.66</v>
      </c>
      <c r="K6386">
        <v>0</v>
      </c>
      <c r="L6386">
        <v>10185806.939999999</v>
      </c>
      <c r="M6386">
        <v>11714090.039999999</v>
      </c>
      <c r="N6386">
        <v>10185806.939999999</v>
      </c>
      <c r="O6386">
        <v>11714090.039999999</v>
      </c>
      <c r="P6386">
        <v>10755443.720000001</v>
      </c>
      <c r="Q6386">
        <v>12369195.380000001</v>
      </c>
      <c r="R6386" s="14">
        <f>_xlfn.XLOOKUP(Table2[[#This Row],[LoanID]],Table1[G-L ID],Table1[ManagerCode],-99)</f>
        <v>103</v>
      </c>
      <c r="T6386"/>
    </row>
    <row r="6387" spans="1:20" x14ac:dyDescent="0.25">
      <c r="A6387">
        <v>20171231</v>
      </c>
      <c r="B6387">
        <v>2017</v>
      </c>
      <c r="C6387">
        <v>12</v>
      </c>
      <c r="D6387">
        <v>1</v>
      </c>
      <c r="E6387">
        <v>12440</v>
      </c>
      <c r="F6387">
        <v>35158.379999999997</v>
      </c>
      <c r="G6387">
        <v>0</v>
      </c>
      <c r="H6387">
        <v>0</v>
      </c>
      <c r="I6387">
        <v>0</v>
      </c>
      <c r="J6387">
        <v>0</v>
      </c>
      <c r="K6387">
        <v>48207.89</v>
      </c>
      <c r="L6387">
        <v>4897082.79</v>
      </c>
      <c r="M6387">
        <v>4823370.7699999996</v>
      </c>
      <c r="N6387">
        <v>4897082.79</v>
      </c>
      <c r="O6387">
        <v>4823370.7699999996</v>
      </c>
      <c r="P6387">
        <v>4219005</v>
      </c>
      <c r="Q6387">
        <v>4170797.11</v>
      </c>
      <c r="R6387" s="14">
        <f>_xlfn.XLOOKUP(Table2[[#This Row],[LoanID]],Table1[G-L ID],Table1[ManagerCode],-99)</f>
        <v>103</v>
      </c>
      <c r="T6387"/>
    </row>
    <row r="6388" spans="1:20" x14ac:dyDescent="0.25">
      <c r="A6388">
        <v>20171231</v>
      </c>
      <c r="B6388">
        <v>2017</v>
      </c>
      <c r="C6388">
        <v>12</v>
      </c>
      <c r="D6388">
        <v>1</v>
      </c>
      <c r="E6388">
        <v>12450</v>
      </c>
      <c r="F6388">
        <v>4140.3599999999997</v>
      </c>
      <c r="G6388">
        <v>6431.74</v>
      </c>
      <c r="H6388">
        <v>0</v>
      </c>
      <c r="I6388">
        <v>0</v>
      </c>
      <c r="J6388">
        <v>-393228.11</v>
      </c>
      <c r="K6388">
        <v>0</v>
      </c>
      <c r="L6388">
        <v>858071</v>
      </c>
      <c r="M6388">
        <v>1252900.43</v>
      </c>
      <c r="N6388">
        <v>858071</v>
      </c>
      <c r="O6388">
        <v>1252900.43</v>
      </c>
      <c r="P6388">
        <v>858071</v>
      </c>
      <c r="Q6388">
        <v>1252900.43</v>
      </c>
      <c r="R6388" s="14">
        <f>_xlfn.XLOOKUP(Table2[[#This Row],[LoanID]],Table1[G-L ID],Table1[ManagerCode],-99)</f>
        <v>183</v>
      </c>
      <c r="T6388"/>
    </row>
    <row r="6389" spans="1:20" x14ac:dyDescent="0.25">
      <c r="A6389">
        <v>20171231</v>
      </c>
      <c r="B6389">
        <v>2017</v>
      </c>
      <c r="C6389">
        <v>12</v>
      </c>
      <c r="D6389">
        <v>1</v>
      </c>
      <c r="E6389">
        <v>12460</v>
      </c>
      <c r="F6389">
        <v>29519.43</v>
      </c>
      <c r="G6389">
        <v>29609.43</v>
      </c>
      <c r="H6389">
        <v>0</v>
      </c>
      <c r="I6389">
        <v>0</v>
      </c>
      <c r="J6389">
        <v>-650000</v>
      </c>
      <c r="K6389">
        <v>0</v>
      </c>
      <c r="L6389">
        <v>5631219.1299999999</v>
      </c>
      <c r="M6389">
        <v>6310828.5599999996</v>
      </c>
      <c r="N6389">
        <v>5631219.1299999999</v>
      </c>
      <c r="O6389">
        <v>6310828.5599999996</v>
      </c>
      <c r="P6389">
        <v>5631219.1299999999</v>
      </c>
      <c r="Q6389">
        <v>6310828.5599999996</v>
      </c>
      <c r="R6389" s="14">
        <f>_xlfn.XLOOKUP(Table2[[#This Row],[LoanID]],Table1[G-L ID],Table1[ManagerCode],-99)</f>
        <v>183</v>
      </c>
      <c r="T6389"/>
    </row>
    <row r="6390" spans="1:20" x14ac:dyDescent="0.25">
      <c r="A6390">
        <v>20171231</v>
      </c>
      <c r="B6390">
        <v>2017</v>
      </c>
      <c r="C6390">
        <v>12</v>
      </c>
      <c r="D6390">
        <v>1</v>
      </c>
      <c r="E6390">
        <v>12470</v>
      </c>
      <c r="F6390">
        <v>432342.5</v>
      </c>
      <c r="G6390">
        <v>0</v>
      </c>
      <c r="H6390">
        <v>0</v>
      </c>
      <c r="I6390">
        <v>0</v>
      </c>
      <c r="J6390">
        <v>0</v>
      </c>
      <c r="K6390">
        <v>0</v>
      </c>
      <c r="L6390">
        <v>115000000</v>
      </c>
      <c r="M6390">
        <v>115000000</v>
      </c>
      <c r="N6390">
        <v>46000000</v>
      </c>
      <c r="O6390">
        <v>46000000</v>
      </c>
      <c r="P6390">
        <v>115000000</v>
      </c>
      <c r="Q6390">
        <v>115000000</v>
      </c>
      <c r="R6390" s="14">
        <f>_xlfn.XLOOKUP(Table2[[#This Row],[LoanID]],Table1[G-L ID],Table1[ManagerCode],-99)</f>
        <v>183</v>
      </c>
      <c r="T6390"/>
    </row>
    <row r="6391" spans="1:20" x14ac:dyDescent="0.25">
      <c r="A6391">
        <v>20171231</v>
      </c>
      <c r="B6391">
        <v>2017</v>
      </c>
      <c r="C6391">
        <v>12</v>
      </c>
      <c r="D6391">
        <v>1</v>
      </c>
      <c r="E6391">
        <v>12480</v>
      </c>
      <c r="F6391">
        <v>47548.65</v>
      </c>
      <c r="G6391">
        <v>0</v>
      </c>
      <c r="H6391">
        <v>0</v>
      </c>
      <c r="I6391">
        <v>0</v>
      </c>
      <c r="J6391">
        <v>0</v>
      </c>
      <c r="K6391">
        <v>0</v>
      </c>
      <c r="L6391">
        <v>19880000</v>
      </c>
      <c r="M6391">
        <v>19880000</v>
      </c>
      <c r="N6391">
        <v>9380000</v>
      </c>
      <c r="O6391">
        <v>9380000</v>
      </c>
      <c r="P6391">
        <v>19880000</v>
      </c>
      <c r="Q6391">
        <v>19880000</v>
      </c>
      <c r="R6391" s="14">
        <f>_xlfn.XLOOKUP(Table2[[#This Row],[LoanID]],Table1[G-L ID],Table1[ManagerCode],-99)</f>
        <v>183</v>
      </c>
      <c r="T6391"/>
    </row>
    <row r="6392" spans="1:20" x14ac:dyDescent="0.25">
      <c r="A6392">
        <v>20171231</v>
      </c>
      <c r="B6392">
        <v>2017</v>
      </c>
      <c r="C6392">
        <v>12</v>
      </c>
      <c r="D6392">
        <v>1</v>
      </c>
      <c r="E6392">
        <v>12490</v>
      </c>
      <c r="F6392">
        <v>202962.68</v>
      </c>
      <c r="G6392">
        <v>0</v>
      </c>
      <c r="H6392">
        <v>0</v>
      </c>
      <c r="I6392">
        <v>0</v>
      </c>
      <c r="J6392">
        <v>0</v>
      </c>
      <c r="K6392">
        <v>0</v>
      </c>
      <c r="L6392">
        <v>50200000</v>
      </c>
      <c r="M6392">
        <v>50200000</v>
      </c>
      <c r="N6392">
        <v>19600000</v>
      </c>
      <c r="O6392">
        <v>19600000</v>
      </c>
      <c r="P6392">
        <v>50200000</v>
      </c>
      <c r="Q6392">
        <v>50200000</v>
      </c>
      <c r="R6392" s="14">
        <f>_xlfn.XLOOKUP(Table2[[#This Row],[LoanID]],Table1[G-L ID],Table1[ManagerCode],-99)</f>
        <v>183</v>
      </c>
      <c r="T6392"/>
    </row>
    <row r="6393" spans="1:20" x14ac:dyDescent="0.25">
      <c r="A6393">
        <v>20171231</v>
      </c>
      <c r="B6393">
        <v>2017</v>
      </c>
      <c r="C6393">
        <v>12</v>
      </c>
      <c r="D6393">
        <v>1</v>
      </c>
      <c r="E6393">
        <v>12500</v>
      </c>
      <c r="F6393">
        <v>315898.61</v>
      </c>
      <c r="G6393">
        <v>0</v>
      </c>
      <c r="H6393">
        <v>0</v>
      </c>
      <c r="I6393">
        <v>0</v>
      </c>
      <c r="J6393">
        <v>0</v>
      </c>
      <c r="K6393">
        <v>0</v>
      </c>
      <c r="L6393">
        <v>115000000</v>
      </c>
      <c r="M6393">
        <v>115000000</v>
      </c>
      <c r="N6393">
        <v>46015000</v>
      </c>
      <c r="O6393">
        <v>46015000</v>
      </c>
      <c r="P6393">
        <v>115000000</v>
      </c>
      <c r="Q6393">
        <v>115000000</v>
      </c>
      <c r="R6393" s="14">
        <f>_xlfn.XLOOKUP(Table2[[#This Row],[LoanID]],Table1[G-L ID],Table1[ManagerCode],-99)</f>
        <v>183</v>
      </c>
      <c r="T6393"/>
    </row>
    <row r="6394" spans="1:20" x14ac:dyDescent="0.25">
      <c r="A6394">
        <v>20171231</v>
      </c>
      <c r="B6394">
        <v>2017</v>
      </c>
      <c r="C6394">
        <v>12</v>
      </c>
      <c r="D6394">
        <v>1</v>
      </c>
      <c r="E6394">
        <v>12510</v>
      </c>
      <c r="F6394">
        <v>0</v>
      </c>
      <c r="G6394">
        <v>0</v>
      </c>
      <c r="H6394">
        <v>1400000</v>
      </c>
      <c r="I6394">
        <v>0</v>
      </c>
      <c r="J6394">
        <v>-131500000</v>
      </c>
      <c r="K6394">
        <v>85475000</v>
      </c>
      <c r="L6394">
        <v>0</v>
      </c>
      <c r="M6394">
        <v>131500000</v>
      </c>
      <c r="N6394">
        <v>0</v>
      </c>
      <c r="O6394">
        <v>46025000</v>
      </c>
      <c r="P6394">
        <v>0</v>
      </c>
      <c r="Q6394">
        <v>131500000</v>
      </c>
      <c r="R6394" s="14">
        <f>_xlfn.XLOOKUP(Table2[[#This Row],[LoanID]],Table1[G-L ID],Table1[ManagerCode],-99)</f>
        <v>183</v>
      </c>
      <c r="T6394"/>
    </row>
    <row r="6395" spans="1:20" x14ac:dyDescent="0.25">
      <c r="A6395">
        <v>20171231</v>
      </c>
      <c r="B6395">
        <v>2017</v>
      </c>
      <c r="C6395">
        <v>12</v>
      </c>
      <c r="D6395">
        <v>1</v>
      </c>
      <c r="E6395">
        <v>12520</v>
      </c>
      <c r="F6395">
        <v>0</v>
      </c>
      <c r="G6395">
        <v>0</v>
      </c>
      <c r="H6395">
        <v>510000</v>
      </c>
      <c r="I6395">
        <v>0</v>
      </c>
      <c r="J6395">
        <v>-42000000</v>
      </c>
      <c r="K6395">
        <v>24750000</v>
      </c>
      <c r="L6395">
        <v>0</v>
      </c>
      <c r="M6395">
        <v>42000000</v>
      </c>
      <c r="N6395">
        <v>0</v>
      </c>
      <c r="O6395">
        <v>17250000</v>
      </c>
      <c r="P6395">
        <v>0</v>
      </c>
      <c r="Q6395">
        <v>42000000</v>
      </c>
      <c r="R6395" s="14">
        <f>_xlfn.XLOOKUP(Table2[[#This Row],[LoanID]],Table1[G-L ID],Table1[ManagerCode],-99)</f>
        <v>183</v>
      </c>
      <c r="T6395"/>
    </row>
    <row r="6396" spans="1:20" x14ac:dyDescent="0.25">
      <c r="A6396">
        <v>20171231</v>
      </c>
      <c r="B6396">
        <v>2017</v>
      </c>
      <c r="C6396">
        <v>12</v>
      </c>
      <c r="D6396">
        <v>1</v>
      </c>
      <c r="E6396">
        <v>12530</v>
      </c>
      <c r="F6396">
        <v>218224.17</v>
      </c>
      <c r="G6396">
        <v>0</v>
      </c>
      <c r="H6396">
        <v>0</v>
      </c>
      <c r="I6396">
        <v>0</v>
      </c>
      <c r="J6396">
        <v>0</v>
      </c>
      <c r="K6396">
        <v>0</v>
      </c>
      <c r="L6396">
        <v>26200000</v>
      </c>
      <c r="M6396">
        <v>26200000</v>
      </c>
      <c r="N6396">
        <v>26200000</v>
      </c>
      <c r="O6396">
        <v>26200000</v>
      </c>
      <c r="P6396">
        <v>26200000</v>
      </c>
      <c r="Q6396">
        <v>26200000</v>
      </c>
      <c r="R6396" s="14">
        <f>_xlfn.XLOOKUP(Table2[[#This Row],[LoanID]],Table1[G-L ID],Table1[ManagerCode],-99)</f>
        <v>119</v>
      </c>
      <c r="T6396"/>
    </row>
    <row r="6397" spans="1:20" x14ac:dyDescent="0.25">
      <c r="A6397">
        <v>20171231</v>
      </c>
      <c r="B6397">
        <v>2017</v>
      </c>
      <c r="C6397">
        <v>12</v>
      </c>
      <c r="D6397">
        <v>1</v>
      </c>
      <c r="E6397">
        <v>12540</v>
      </c>
      <c r="F6397">
        <v>0</v>
      </c>
      <c r="G6397">
        <v>0</v>
      </c>
      <c r="H6397">
        <v>0</v>
      </c>
      <c r="I6397">
        <v>0</v>
      </c>
      <c r="J6397">
        <v>0</v>
      </c>
      <c r="K6397">
        <v>0</v>
      </c>
      <c r="L6397">
        <v>15657141.18</v>
      </c>
      <c r="M6397">
        <v>15657141.18</v>
      </c>
      <c r="N6397">
        <v>15657141.18</v>
      </c>
      <c r="O6397">
        <v>15657141.18</v>
      </c>
      <c r="P6397">
        <v>15657141.18</v>
      </c>
      <c r="Q6397">
        <v>15657141.18</v>
      </c>
      <c r="R6397" s="14">
        <f>_xlfn.XLOOKUP(Table2[[#This Row],[LoanID]],Table1[G-L ID],Table1[ManagerCode],-99)</f>
        <v>119</v>
      </c>
      <c r="T6397"/>
    </row>
    <row r="6398" spans="1:20" x14ac:dyDescent="0.25">
      <c r="A6398">
        <v>20171231</v>
      </c>
      <c r="B6398">
        <v>2017</v>
      </c>
      <c r="C6398">
        <v>12</v>
      </c>
      <c r="D6398">
        <v>1</v>
      </c>
      <c r="E6398">
        <v>12550</v>
      </c>
      <c r="F6398">
        <v>0</v>
      </c>
      <c r="G6398">
        <v>0</v>
      </c>
      <c r="H6398">
        <v>0</v>
      </c>
      <c r="I6398">
        <v>0</v>
      </c>
      <c r="J6398">
        <v>4783900.8499999996</v>
      </c>
      <c r="K6398">
        <v>0</v>
      </c>
      <c r="L6398">
        <v>12200000</v>
      </c>
      <c r="M6398">
        <v>7416099.1500000004</v>
      </c>
      <c r="N6398">
        <v>12200000</v>
      </c>
      <c r="O6398">
        <v>7416099.1500000004</v>
      </c>
      <c r="P6398">
        <v>12200000</v>
      </c>
      <c r="Q6398">
        <v>7416099.1500000004</v>
      </c>
      <c r="R6398" s="14">
        <f>_xlfn.XLOOKUP(Table2[[#This Row],[LoanID]],Table1[G-L ID],Table1[ManagerCode],-99)</f>
        <v>119</v>
      </c>
      <c r="T6398"/>
    </row>
    <row r="6399" spans="1:20" x14ac:dyDescent="0.25">
      <c r="A6399">
        <v>20171231</v>
      </c>
      <c r="B6399">
        <v>2017</v>
      </c>
      <c r="C6399">
        <v>12</v>
      </c>
      <c r="D6399">
        <v>1</v>
      </c>
      <c r="E6399">
        <v>12560</v>
      </c>
      <c r="F6399">
        <v>0</v>
      </c>
      <c r="G6399">
        <v>0</v>
      </c>
      <c r="H6399">
        <v>-466756.5</v>
      </c>
      <c r="I6399">
        <v>0</v>
      </c>
      <c r="J6399">
        <v>30833600</v>
      </c>
      <c r="K6399">
        <v>0</v>
      </c>
      <c r="L6399">
        <v>44048000</v>
      </c>
      <c r="M6399">
        <v>13214400</v>
      </c>
      <c r="N6399">
        <v>44048000</v>
      </c>
      <c r="O6399">
        <v>13214400</v>
      </c>
      <c r="P6399">
        <v>44048000</v>
      </c>
      <c r="Q6399">
        <v>13214400</v>
      </c>
      <c r="R6399" s="14">
        <f>_xlfn.XLOOKUP(Table2[[#This Row],[LoanID]],Table1[G-L ID],Table1[ManagerCode],-99)</f>
        <v>119</v>
      </c>
      <c r="T6399"/>
    </row>
    <row r="6400" spans="1:20" x14ac:dyDescent="0.25">
      <c r="A6400">
        <v>20171231</v>
      </c>
      <c r="B6400">
        <v>2017</v>
      </c>
      <c r="C6400">
        <v>12</v>
      </c>
      <c r="D6400">
        <v>1</v>
      </c>
      <c r="E6400">
        <v>12570</v>
      </c>
      <c r="F6400">
        <v>0</v>
      </c>
      <c r="G6400">
        <v>0</v>
      </c>
      <c r="H6400">
        <v>-385924</v>
      </c>
      <c r="I6400">
        <v>0</v>
      </c>
      <c r="J6400">
        <v>20823600</v>
      </c>
      <c r="K6400">
        <v>0</v>
      </c>
      <c r="L6400">
        <v>29748000</v>
      </c>
      <c r="M6400">
        <v>8924400</v>
      </c>
      <c r="N6400">
        <v>29748000</v>
      </c>
      <c r="O6400">
        <v>8924400</v>
      </c>
      <c r="P6400">
        <v>29748000</v>
      </c>
      <c r="Q6400">
        <v>8924400</v>
      </c>
      <c r="R6400" s="14">
        <f>_xlfn.XLOOKUP(Table2[[#This Row],[LoanID]],Table1[G-L ID],Table1[ManagerCode],-99)</f>
        <v>119</v>
      </c>
      <c r="T6400"/>
    </row>
    <row r="6401" spans="1:20" x14ac:dyDescent="0.25">
      <c r="A6401">
        <v>20171231</v>
      </c>
      <c r="B6401">
        <v>2017</v>
      </c>
      <c r="C6401">
        <v>12</v>
      </c>
      <c r="D6401">
        <v>1</v>
      </c>
      <c r="E6401">
        <v>12580</v>
      </c>
      <c r="F6401">
        <v>0</v>
      </c>
      <c r="G6401">
        <v>0</v>
      </c>
      <c r="H6401">
        <v>845000</v>
      </c>
      <c r="I6401">
        <v>0</v>
      </c>
      <c r="J6401">
        <v>-18000000</v>
      </c>
      <c r="K6401">
        <v>0</v>
      </c>
      <c r="L6401">
        <v>0</v>
      </c>
      <c r="M6401">
        <v>18000000</v>
      </c>
      <c r="N6401">
        <v>0</v>
      </c>
      <c r="O6401">
        <v>18000000</v>
      </c>
      <c r="P6401">
        <v>0</v>
      </c>
      <c r="Q6401">
        <v>18000000</v>
      </c>
      <c r="R6401" s="14">
        <f>_xlfn.XLOOKUP(Table2[[#This Row],[LoanID]],Table1[G-L ID],Table1[ManagerCode],-99)</f>
        <v>119</v>
      </c>
      <c r="T6401"/>
    </row>
    <row r="6402" spans="1:20" x14ac:dyDescent="0.25">
      <c r="A6402">
        <v>20171231</v>
      </c>
      <c r="B6402">
        <v>2017</v>
      </c>
      <c r="C6402">
        <v>12</v>
      </c>
      <c r="D6402">
        <v>1</v>
      </c>
      <c r="E6402">
        <v>12590</v>
      </c>
      <c r="F6402">
        <v>74360.83</v>
      </c>
      <c r="G6402">
        <v>0</v>
      </c>
      <c r="H6402">
        <v>0</v>
      </c>
      <c r="I6402">
        <v>0</v>
      </c>
      <c r="J6402">
        <v>0</v>
      </c>
      <c r="K6402">
        <v>0</v>
      </c>
      <c r="L6402">
        <v>8500000</v>
      </c>
      <c r="M6402">
        <v>8500000</v>
      </c>
      <c r="N6402">
        <v>8500000</v>
      </c>
      <c r="O6402">
        <v>8500000</v>
      </c>
      <c r="P6402">
        <v>8500000</v>
      </c>
      <c r="Q6402">
        <v>8500000</v>
      </c>
      <c r="R6402" s="14">
        <f>_xlfn.XLOOKUP(Table2[[#This Row],[LoanID]],Table1[G-L ID],Table1[ManagerCode],-99)</f>
        <v>119</v>
      </c>
      <c r="T6402"/>
    </row>
    <row r="6403" spans="1:20" x14ac:dyDescent="0.25">
      <c r="A6403">
        <v>20171231</v>
      </c>
      <c r="B6403">
        <v>2017</v>
      </c>
      <c r="C6403">
        <v>12</v>
      </c>
      <c r="D6403">
        <v>1</v>
      </c>
      <c r="E6403">
        <v>12600</v>
      </c>
      <c r="F6403">
        <v>220866.88</v>
      </c>
      <c r="G6403">
        <v>0</v>
      </c>
      <c r="H6403">
        <v>0</v>
      </c>
      <c r="I6403">
        <v>0</v>
      </c>
      <c r="J6403">
        <v>0</v>
      </c>
      <c r="K6403">
        <v>0</v>
      </c>
      <c r="L6403">
        <v>27750000</v>
      </c>
      <c r="M6403">
        <v>27750000</v>
      </c>
      <c r="N6403">
        <v>27750000</v>
      </c>
      <c r="O6403">
        <v>27750000</v>
      </c>
      <c r="P6403">
        <v>27750000</v>
      </c>
      <c r="Q6403">
        <v>27750000</v>
      </c>
      <c r="R6403" s="14">
        <f>_xlfn.XLOOKUP(Table2[[#This Row],[LoanID]],Table1[G-L ID],Table1[ManagerCode],-99)</f>
        <v>119</v>
      </c>
      <c r="T6403"/>
    </row>
    <row r="6404" spans="1:20" x14ac:dyDescent="0.25">
      <c r="A6404">
        <v>20171231</v>
      </c>
      <c r="B6404">
        <v>2017</v>
      </c>
      <c r="C6404">
        <v>12</v>
      </c>
      <c r="D6404">
        <v>1</v>
      </c>
      <c r="E6404">
        <v>12610</v>
      </c>
      <c r="F6404">
        <v>79300.52</v>
      </c>
      <c r="G6404">
        <v>0</v>
      </c>
      <c r="H6404">
        <v>0</v>
      </c>
      <c r="I6404">
        <v>0</v>
      </c>
      <c r="J6404">
        <v>-13290000</v>
      </c>
      <c r="K6404">
        <v>0</v>
      </c>
      <c r="L6404">
        <v>5559170</v>
      </c>
      <c r="M6404">
        <v>18849170</v>
      </c>
      <c r="N6404">
        <v>5559170</v>
      </c>
      <c r="O6404">
        <v>18849170</v>
      </c>
      <c r="P6404">
        <v>5559170</v>
      </c>
      <c r="Q6404">
        <v>18849170</v>
      </c>
      <c r="R6404" s="14">
        <f>_xlfn.XLOOKUP(Table2[[#This Row],[LoanID]],Table1[G-L ID],Table1[ManagerCode],-99)</f>
        <v>119</v>
      </c>
      <c r="T6404"/>
    </row>
    <row r="6405" spans="1:20" x14ac:dyDescent="0.25">
      <c r="A6405">
        <v>20171231</v>
      </c>
      <c r="B6405">
        <v>2017</v>
      </c>
      <c r="C6405">
        <v>12</v>
      </c>
      <c r="D6405">
        <v>1</v>
      </c>
      <c r="E6405">
        <v>12620</v>
      </c>
      <c r="F6405">
        <v>81691.98</v>
      </c>
      <c r="G6405">
        <v>0</v>
      </c>
      <c r="H6405">
        <v>0</v>
      </c>
      <c r="I6405">
        <v>0</v>
      </c>
      <c r="J6405">
        <v>0</v>
      </c>
      <c r="K6405">
        <v>0</v>
      </c>
      <c r="L6405">
        <v>9380000</v>
      </c>
      <c r="M6405">
        <v>9380000</v>
      </c>
      <c r="N6405">
        <v>9380000</v>
      </c>
      <c r="O6405">
        <v>9380000</v>
      </c>
      <c r="P6405">
        <v>9380000</v>
      </c>
      <c r="Q6405">
        <v>9380000</v>
      </c>
      <c r="R6405" s="14">
        <f>_xlfn.XLOOKUP(Table2[[#This Row],[LoanID]],Table1[G-L ID],Table1[ManagerCode],-99)</f>
        <v>119</v>
      </c>
      <c r="T6405"/>
    </row>
    <row r="6406" spans="1:20" x14ac:dyDescent="0.25">
      <c r="A6406">
        <v>20171231</v>
      </c>
      <c r="B6406">
        <v>2017</v>
      </c>
      <c r="C6406">
        <v>12</v>
      </c>
      <c r="D6406">
        <v>1</v>
      </c>
      <c r="E6406">
        <v>12630</v>
      </c>
      <c r="F6406">
        <v>103911.64</v>
      </c>
      <c r="G6406">
        <v>0</v>
      </c>
      <c r="H6406">
        <v>0</v>
      </c>
      <c r="I6406">
        <v>0</v>
      </c>
      <c r="J6406">
        <v>0</v>
      </c>
      <c r="K6406">
        <v>0</v>
      </c>
      <c r="L6406">
        <v>12797000</v>
      </c>
      <c r="M6406">
        <v>12797000</v>
      </c>
      <c r="N6406">
        <v>12797000</v>
      </c>
      <c r="O6406">
        <v>12797000</v>
      </c>
      <c r="P6406">
        <v>12797000</v>
      </c>
      <c r="Q6406">
        <v>12797000</v>
      </c>
      <c r="R6406" s="14">
        <f>_xlfn.XLOOKUP(Table2[[#This Row],[LoanID]],Table1[G-L ID],Table1[ManagerCode],-99)</f>
        <v>119</v>
      </c>
      <c r="T6406"/>
    </row>
    <row r="6407" spans="1:20" x14ac:dyDescent="0.25">
      <c r="A6407">
        <v>20171231</v>
      </c>
      <c r="B6407">
        <v>2017</v>
      </c>
      <c r="C6407">
        <v>12</v>
      </c>
      <c r="D6407">
        <v>1</v>
      </c>
      <c r="E6407">
        <v>12640</v>
      </c>
      <c r="F6407">
        <v>67077.67</v>
      </c>
      <c r="G6407">
        <v>0</v>
      </c>
      <c r="H6407">
        <v>0</v>
      </c>
      <c r="I6407">
        <v>0</v>
      </c>
      <c r="J6407">
        <v>0</v>
      </c>
      <c r="K6407">
        <v>0</v>
      </c>
      <c r="L6407">
        <v>7090041.71</v>
      </c>
      <c r="M6407">
        <v>7090041.71</v>
      </c>
      <c r="N6407">
        <v>7090041.71</v>
      </c>
      <c r="O6407">
        <v>7090041.71</v>
      </c>
      <c r="P6407">
        <v>7090041.71</v>
      </c>
      <c r="Q6407">
        <v>7090041.71</v>
      </c>
      <c r="R6407" s="14">
        <f>_xlfn.XLOOKUP(Table2[[#This Row],[LoanID]],Table1[G-L ID],Table1[ManagerCode],-99)</f>
        <v>119</v>
      </c>
      <c r="T6407"/>
    </row>
    <row r="6408" spans="1:20" x14ac:dyDescent="0.25">
      <c r="A6408">
        <v>20171231</v>
      </c>
      <c r="B6408">
        <v>2017</v>
      </c>
      <c r="C6408">
        <v>12</v>
      </c>
      <c r="D6408">
        <v>1</v>
      </c>
      <c r="E6408">
        <v>12750</v>
      </c>
      <c r="F6408">
        <v>1357.8</v>
      </c>
      <c r="G6408">
        <v>57326.71</v>
      </c>
      <c r="H6408">
        <v>0</v>
      </c>
      <c r="I6408">
        <v>0</v>
      </c>
      <c r="J6408">
        <v>-493792.64</v>
      </c>
      <c r="K6408">
        <v>-10500000</v>
      </c>
      <c r="L6408">
        <v>21200173.149999999</v>
      </c>
      <c r="M6408">
        <v>21751292.5</v>
      </c>
      <c r="N6408">
        <v>10700173.15</v>
      </c>
      <c r="O6408">
        <v>21751292.5</v>
      </c>
      <c r="P6408">
        <v>21200173.149999999</v>
      </c>
      <c r="Q6408">
        <v>21751292.5</v>
      </c>
      <c r="R6408" s="14">
        <f>_xlfn.XLOOKUP(Table2[[#This Row],[LoanID]],Table1[G-L ID],Table1[ManagerCode],-99)</f>
        <v>236</v>
      </c>
      <c r="T6408"/>
    </row>
    <row r="6409" spans="1:20" x14ac:dyDescent="0.25">
      <c r="A6409">
        <v>20171231</v>
      </c>
      <c r="B6409">
        <v>2017</v>
      </c>
      <c r="C6409">
        <v>12</v>
      </c>
      <c r="D6409">
        <v>1</v>
      </c>
      <c r="E6409">
        <v>13010</v>
      </c>
      <c r="F6409">
        <v>1400000</v>
      </c>
      <c r="G6409">
        <v>0</v>
      </c>
      <c r="H6409">
        <v>0</v>
      </c>
      <c r="I6409">
        <v>0</v>
      </c>
      <c r="J6409">
        <v>0</v>
      </c>
      <c r="K6409">
        <v>0</v>
      </c>
      <c r="L6409">
        <v>199500000</v>
      </c>
      <c r="M6409">
        <v>199500000</v>
      </c>
      <c r="N6409">
        <v>199500000</v>
      </c>
      <c r="O6409">
        <v>199500000</v>
      </c>
      <c r="P6409">
        <v>210000000</v>
      </c>
      <c r="Q6409">
        <v>210000000</v>
      </c>
      <c r="R6409" s="14">
        <f>_xlfn.XLOOKUP(Table2[[#This Row],[LoanID]],Table1[G-L ID],Table1[ManagerCode],-99)</f>
        <v>103</v>
      </c>
      <c r="T6409"/>
    </row>
    <row r="6410" spans="1:20" x14ac:dyDescent="0.25">
      <c r="A6410">
        <v>20171231</v>
      </c>
      <c r="B6410">
        <v>2017</v>
      </c>
      <c r="C6410">
        <v>12</v>
      </c>
      <c r="D6410">
        <v>1</v>
      </c>
      <c r="E6410">
        <v>13020</v>
      </c>
      <c r="F6410">
        <v>112180.78</v>
      </c>
      <c r="G6410">
        <v>0</v>
      </c>
      <c r="H6410">
        <v>0</v>
      </c>
      <c r="I6410">
        <v>0</v>
      </c>
      <c r="J6410">
        <v>-2972761.53</v>
      </c>
      <c r="K6410">
        <v>0</v>
      </c>
      <c r="L6410">
        <v>15009530.09</v>
      </c>
      <c r="M6410">
        <v>17982291.620000001</v>
      </c>
      <c r="N6410">
        <v>15009530.09</v>
      </c>
      <c r="O6410">
        <v>17982291.620000001</v>
      </c>
      <c r="P6410">
        <v>15009530.09</v>
      </c>
      <c r="Q6410">
        <v>17982291.620000001</v>
      </c>
      <c r="R6410" s="14">
        <f>_xlfn.XLOOKUP(Table2[[#This Row],[LoanID]],Table1[G-L ID],Table1[ManagerCode],-99)</f>
        <v>103</v>
      </c>
      <c r="T6410"/>
    </row>
    <row r="6411" spans="1:20" x14ac:dyDescent="0.25">
      <c r="A6411">
        <v>20171231</v>
      </c>
      <c r="B6411">
        <v>2017</v>
      </c>
      <c r="C6411">
        <v>12</v>
      </c>
      <c r="D6411">
        <v>1</v>
      </c>
      <c r="E6411">
        <v>13570</v>
      </c>
      <c r="F6411">
        <v>0</v>
      </c>
      <c r="G6411">
        <v>0</v>
      </c>
      <c r="H6411">
        <v>0</v>
      </c>
      <c r="I6411">
        <v>0</v>
      </c>
      <c r="J6411">
        <v>-45800000</v>
      </c>
      <c r="K6411">
        <v>0</v>
      </c>
      <c r="L6411">
        <v>0</v>
      </c>
      <c r="M6411">
        <v>45116657.68</v>
      </c>
      <c r="N6411">
        <v>0</v>
      </c>
      <c r="O6411">
        <v>45116657.68</v>
      </c>
      <c r="P6411">
        <v>0</v>
      </c>
      <c r="Q6411">
        <v>45800000</v>
      </c>
      <c r="R6411" s="14">
        <f>_xlfn.XLOOKUP(Table2[[#This Row],[LoanID]],Table1[G-L ID],Table1[ManagerCode],-99)</f>
        <v>298</v>
      </c>
      <c r="T6411"/>
    </row>
    <row r="6412" spans="1:20" x14ac:dyDescent="0.25">
      <c r="A6412">
        <v>20171231</v>
      </c>
      <c r="B6412">
        <v>2017</v>
      </c>
      <c r="C6412">
        <v>12</v>
      </c>
      <c r="D6412">
        <v>1</v>
      </c>
      <c r="E6412">
        <v>13580</v>
      </c>
      <c r="F6412">
        <v>0</v>
      </c>
      <c r="G6412">
        <v>0</v>
      </c>
      <c r="H6412">
        <v>0</v>
      </c>
      <c r="I6412">
        <v>0</v>
      </c>
      <c r="J6412">
        <v>-66500000</v>
      </c>
      <c r="K6412">
        <v>0</v>
      </c>
      <c r="L6412">
        <v>0</v>
      </c>
      <c r="M6412">
        <v>63400000</v>
      </c>
      <c r="N6412">
        <v>0</v>
      </c>
      <c r="O6412">
        <v>63400000</v>
      </c>
      <c r="P6412">
        <v>0</v>
      </c>
      <c r="Q6412">
        <v>66500000</v>
      </c>
      <c r="R6412" s="14">
        <f>_xlfn.XLOOKUP(Table2[[#This Row],[LoanID]],Table1[G-L ID],Table1[ManagerCode],-99)</f>
        <v>298</v>
      </c>
      <c r="T6412"/>
    </row>
    <row r="6413" spans="1:20" x14ac:dyDescent="0.25">
      <c r="A6413">
        <v>20171231</v>
      </c>
      <c r="B6413">
        <v>2017</v>
      </c>
      <c r="C6413">
        <v>12</v>
      </c>
      <c r="D6413">
        <v>1</v>
      </c>
      <c r="E6413">
        <v>13600</v>
      </c>
      <c r="F6413">
        <v>366802.29</v>
      </c>
      <c r="G6413">
        <v>0</v>
      </c>
      <c r="H6413">
        <v>0</v>
      </c>
      <c r="I6413">
        <v>0</v>
      </c>
      <c r="J6413">
        <v>0</v>
      </c>
      <c r="K6413">
        <v>0</v>
      </c>
      <c r="L6413">
        <v>45970000</v>
      </c>
      <c r="M6413">
        <v>45970000</v>
      </c>
      <c r="N6413">
        <v>45970000</v>
      </c>
      <c r="O6413">
        <v>45970000</v>
      </c>
      <c r="P6413">
        <v>45970000</v>
      </c>
      <c r="Q6413">
        <v>45970000</v>
      </c>
      <c r="R6413" s="14">
        <f>_xlfn.XLOOKUP(Table2[[#This Row],[LoanID]],Table1[G-L ID],Table1[ManagerCode],-99)</f>
        <v>298</v>
      </c>
      <c r="T6413"/>
    </row>
    <row r="6414" spans="1:20" x14ac:dyDescent="0.25">
      <c r="A6414">
        <v>20171231</v>
      </c>
      <c r="B6414">
        <v>2017</v>
      </c>
      <c r="C6414">
        <v>12</v>
      </c>
      <c r="D6414">
        <v>1</v>
      </c>
      <c r="E6414">
        <v>13610</v>
      </c>
      <c r="F6414">
        <v>61250</v>
      </c>
      <c r="G6414">
        <v>0</v>
      </c>
      <c r="H6414">
        <v>0</v>
      </c>
      <c r="I6414">
        <v>0</v>
      </c>
      <c r="J6414">
        <v>0</v>
      </c>
      <c r="K6414">
        <v>0</v>
      </c>
      <c r="L6414">
        <v>10500000</v>
      </c>
      <c r="M6414">
        <v>10549064</v>
      </c>
      <c r="N6414">
        <v>10500000</v>
      </c>
      <c r="O6414">
        <v>10549064</v>
      </c>
      <c r="P6414">
        <v>10500000</v>
      </c>
      <c r="Q6414">
        <v>10500000</v>
      </c>
      <c r="R6414" s="14">
        <f>_xlfn.XLOOKUP(Table2[[#This Row],[LoanID]],Table1[G-L ID],Table1[ManagerCode],-99)</f>
        <v>298</v>
      </c>
      <c r="T6414"/>
    </row>
    <row r="6415" spans="1:20" x14ac:dyDescent="0.25">
      <c r="A6415">
        <v>20171231</v>
      </c>
      <c r="B6415">
        <v>2017</v>
      </c>
      <c r="C6415">
        <v>12</v>
      </c>
      <c r="D6415">
        <v>1</v>
      </c>
      <c r="E6415">
        <v>13620</v>
      </c>
      <c r="F6415">
        <v>308375</v>
      </c>
      <c r="G6415">
        <v>0</v>
      </c>
      <c r="H6415">
        <v>0</v>
      </c>
      <c r="I6415">
        <v>0</v>
      </c>
      <c r="J6415">
        <v>0</v>
      </c>
      <c r="K6415">
        <v>0</v>
      </c>
      <c r="L6415">
        <v>50000000</v>
      </c>
      <c r="M6415">
        <v>49919787</v>
      </c>
      <c r="N6415">
        <v>50000000</v>
      </c>
      <c r="O6415">
        <v>49919787</v>
      </c>
      <c r="P6415">
        <v>50000000</v>
      </c>
      <c r="Q6415">
        <v>50000000</v>
      </c>
      <c r="R6415" s="14">
        <f>_xlfn.XLOOKUP(Table2[[#This Row],[LoanID]],Table1[G-L ID],Table1[ManagerCode],-99)</f>
        <v>298</v>
      </c>
      <c r="T6415"/>
    </row>
    <row r="6416" spans="1:20" x14ac:dyDescent="0.25">
      <c r="A6416">
        <v>20171231</v>
      </c>
      <c r="B6416">
        <v>2017</v>
      </c>
      <c r="C6416">
        <v>12</v>
      </c>
      <c r="D6416">
        <v>1</v>
      </c>
      <c r="E6416">
        <v>13630</v>
      </c>
      <c r="F6416">
        <v>218506.94</v>
      </c>
      <c r="G6416">
        <v>0</v>
      </c>
      <c r="H6416">
        <v>0</v>
      </c>
      <c r="I6416">
        <v>0</v>
      </c>
      <c r="J6416">
        <v>0</v>
      </c>
      <c r="K6416">
        <v>0</v>
      </c>
      <c r="L6416">
        <v>33569646.990000002</v>
      </c>
      <c r="M6416">
        <v>35537284.43</v>
      </c>
      <c r="N6416">
        <v>33569646.990000002</v>
      </c>
      <c r="O6416">
        <v>35537284.43</v>
      </c>
      <c r="P6416">
        <v>35000000</v>
      </c>
      <c r="Q6416">
        <v>35000000</v>
      </c>
      <c r="R6416" s="14">
        <f>_xlfn.XLOOKUP(Table2[[#This Row],[LoanID]],Table1[G-L ID],Table1[ManagerCode],-99)</f>
        <v>298</v>
      </c>
      <c r="T6416"/>
    </row>
    <row r="6417" spans="1:20" x14ac:dyDescent="0.25">
      <c r="A6417">
        <v>20171231</v>
      </c>
      <c r="B6417">
        <v>2017</v>
      </c>
      <c r="C6417">
        <v>12</v>
      </c>
      <c r="D6417">
        <v>1</v>
      </c>
      <c r="E6417">
        <v>13640</v>
      </c>
      <c r="F6417">
        <v>219661.46</v>
      </c>
      <c r="G6417">
        <v>0</v>
      </c>
      <c r="H6417">
        <v>0</v>
      </c>
      <c r="I6417">
        <v>0</v>
      </c>
      <c r="J6417">
        <v>0</v>
      </c>
      <c r="K6417">
        <v>0</v>
      </c>
      <c r="L6417">
        <v>30125000</v>
      </c>
      <c r="M6417">
        <v>30282941</v>
      </c>
      <c r="N6417">
        <v>30125000</v>
      </c>
      <c r="O6417">
        <v>30282941</v>
      </c>
      <c r="P6417">
        <v>30125000</v>
      </c>
      <c r="Q6417">
        <v>30125000</v>
      </c>
      <c r="R6417" s="14">
        <f>_xlfn.XLOOKUP(Table2[[#This Row],[LoanID]],Table1[G-L ID],Table1[ManagerCode],-99)</f>
        <v>298</v>
      </c>
      <c r="T6417"/>
    </row>
    <row r="6418" spans="1:20" x14ac:dyDescent="0.25">
      <c r="A6418">
        <v>20171231</v>
      </c>
      <c r="B6418">
        <v>2017</v>
      </c>
      <c r="C6418">
        <v>12</v>
      </c>
      <c r="D6418">
        <v>1</v>
      </c>
      <c r="E6418">
        <v>13650</v>
      </c>
      <c r="F6418">
        <v>216666.67</v>
      </c>
      <c r="G6418">
        <v>0</v>
      </c>
      <c r="H6418">
        <v>0</v>
      </c>
      <c r="I6418">
        <v>0</v>
      </c>
      <c r="J6418">
        <v>0</v>
      </c>
      <c r="K6418">
        <v>0</v>
      </c>
      <c r="L6418">
        <v>40000000</v>
      </c>
      <c r="M6418">
        <v>38811572</v>
      </c>
      <c r="N6418">
        <v>40000000</v>
      </c>
      <c r="O6418">
        <v>38811572</v>
      </c>
      <c r="P6418">
        <v>40000000</v>
      </c>
      <c r="Q6418">
        <v>40000000</v>
      </c>
      <c r="R6418" s="14">
        <f>_xlfn.XLOOKUP(Table2[[#This Row],[LoanID]],Table1[G-L ID],Table1[ManagerCode],-99)</f>
        <v>298</v>
      </c>
      <c r="T6418"/>
    </row>
    <row r="6419" spans="1:20" x14ac:dyDescent="0.25">
      <c r="A6419">
        <v>20171231</v>
      </c>
      <c r="B6419">
        <v>2017</v>
      </c>
      <c r="C6419">
        <v>12</v>
      </c>
      <c r="D6419">
        <v>1</v>
      </c>
      <c r="E6419">
        <v>13660</v>
      </c>
      <c r="F6419">
        <v>114166.67</v>
      </c>
      <c r="G6419">
        <v>0</v>
      </c>
      <c r="H6419">
        <v>0</v>
      </c>
      <c r="I6419">
        <v>0</v>
      </c>
      <c r="J6419">
        <v>0</v>
      </c>
      <c r="K6419">
        <v>0</v>
      </c>
      <c r="L6419">
        <v>20000000</v>
      </c>
      <c r="M6419">
        <v>18948845</v>
      </c>
      <c r="N6419">
        <v>20000000</v>
      </c>
      <c r="O6419">
        <v>18948845</v>
      </c>
      <c r="P6419">
        <v>20000000</v>
      </c>
      <c r="Q6419">
        <v>20000000</v>
      </c>
      <c r="R6419" s="14">
        <f>_xlfn.XLOOKUP(Table2[[#This Row],[LoanID]],Table1[G-L ID],Table1[ManagerCode],-99)</f>
        <v>298</v>
      </c>
      <c r="T6419"/>
    </row>
    <row r="6420" spans="1:20" x14ac:dyDescent="0.25">
      <c r="A6420">
        <v>20171231</v>
      </c>
      <c r="B6420">
        <v>2017</v>
      </c>
      <c r="C6420">
        <v>12</v>
      </c>
      <c r="D6420">
        <v>1</v>
      </c>
      <c r="E6420">
        <v>13670</v>
      </c>
      <c r="F6420">
        <v>304718.75</v>
      </c>
      <c r="G6420">
        <v>0</v>
      </c>
      <c r="H6420">
        <v>0</v>
      </c>
      <c r="I6420">
        <v>0</v>
      </c>
      <c r="J6420">
        <v>0</v>
      </c>
      <c r="K6420">
        <v>0</v>
      </c>
      <c r="L6420">
        <v>37322264.049999997</v>
      </c>
      <c r="M6420">
        <v>37539280.890000001</v>
      </c>
      <c r="N6420">
        <v>37322264.049999997</v>
      </c>
      <c r="O6420">
        <v>37539280.890000001</v>
      </c>
      <c r="P6420">
        <v>37500000</v>
      </c>
      <c r="Q6420">
        <v>37500000</v>
      </c>
      <c r="R6420" s="14">
        <f>_xlfn.XLOOKUP(Table2[[#This Row],[LoanID]],Table1[G-L ID],Table1[ManagerCode],-99)</f>
        <v>298</v>
      </c>
      <c r="T6420"/>
    </row>
    <row r="6421" spans="1:20" x14ac:dyDescent="0.25">
      <c r="A6421">
        <v>20171231</v>
      </c>
      <c r="B6421">
        <v>2017</v>
      </c>
      <c r="C6421">
        <v>12</v>
      </c>
      <c r="D6421">
        <v>1</v>
      </c>
      <c r="E6421">
        <v>13680</v>
      </c>
      <c r="F6421">
        <v>0</v>
      </c>
      <c r="G6421">
        <v>0</v>
      </c>
      <c r="H6421">
        <v>0</v>
      </c>
      <c r="I6421">
        <v>0</v>
      </c>
      <c r="J6421">
        <v>0</v>
      </c>
      <c r="K6421">
        <v>19047.990000000002</v>
      </c>
      <c r="L6421">
        <v>17989534.25</v>
      </c>
      <c r="M6421">
        <v>17971328.219999999</v>
      </c>
      <c r="N6421">
        <v>17989534.25</v>
      </c>
      <c r="O6421">
        <v>17971328.219999999</v>
      </c>
      <c r="P6421">
        <v>18000000</v>
      </c>
      <c r="Q6421">
        <v>17980952.010000002</v>
      </c>
      <c r="R6421" s="14">
        <f>_xlfn.XLOOKUP(Table2[[#This Row],[LoanID]],Table1[G-L ID],Table1[ManagerCode],-99)</f>
        <v>298</v>
      </c>
      <c r="T6421"/>
    </row>
    <row r="6422" spans="1:20" x14ac:dyDescent="0.25">
      <c r="A6422">
        <v>20171231</v>
      </c>
      <c r="B6422">
        <v>2017</v>
      </c>
      <c r="C6422">
        <v>12</v>
      </c>
      <c r="D6422">
        <v>1</v>
      </c>
      <c r="E6422">
        <v>13690</v>
      </c>
      <c r="F6422">
        <v>129166.67</v>
      </c>
      <c r="G6422">
        <v>0</v>
      </c>
      <c r="H6422">
        <v>0</v>
      </c>
      <c r="I6422">
        <v>0</v>
      </c>
      <c r="J6422">
        <v>0</v>
      </c>
      <c r="K6422">
        <v>0</v>
      </c>
      <c r="L6422">
        <v>18960334.350000001</v>
      </c>
      <c r="M6422">
        <v>19779539.27</v>
      </c>
      <c r="N6422">
        <v>18960334.350000001</v>
      </c>
      <c r="O6422">
        <v>19779539.27</v>
      </c>
      <c r="P6422">
        <v>20000000</v>
      </c>
      <c r="Q6422">
        <v>20000000</v>
      </c>
      <c r="R6422" s="14">
        <f>_xlfn.XLOOKUP(Table2[[#This Row],[LoanID]],Table1[G-L ID],Table1[ManagerCode],-99)</f>
        <v>298</v>
      </c>
      <c r="T6422"/>
    </row>
    <row r="6423" spans="1:20" x14ac:dyDescent="0.25">
      <c r="A6423">
        <v>20171231</v>
      </c>
      <c r="B6423">
        <v>2017</v>
      </c>
      <c r="C6423">
        <v>12</v>
      </c>
      <c r="D6423">
        <v>1</v>
      </c>
      <c r="E6423">
        <v>14670</v>
      </c>
      <c r="F6423">
        <v>128890.42</v>
      </c>
      <c r="G6423">
        <v>0</v>
      </c>
      <c r="H6423">
        <v>0</v>
      </c>
      <c r="I6423">
        <v>0</v>
      </c>
      <c r="J6423">
        <v>0</v>
      </c>
      <c r="K6423">
        <v>21048250</v>
      </c>
      <c r="L6423">
        <v>29197500</v>
      </c>
      <c r="M6423">
        <v>29636184</v>
      </c>
      <c r="N6423">
        <v>29197500</v>
      </c>
      <c r="O6423">
        <v>8587934</v>
      </c>
      <c r="P6423">
        <v>29500000</v>
      </c>
      <c r="Q6423">
        <v>29500000</v>
      </c>
      <c r="R6423" s="14">
        <f>_xlfn.XLOOKUP(Table2[[#This Row],[LoanID]],Table1[G-L ID],Table1[ManagerCode],-99)</f>
        <v>220</v>
      </c>
      <c r="T6423"/>
    </row>
    <row r="6424" spans="1:20" x14ac:dyDescent="0.25">
      <c r="A6424">
        <v>20171231</v>
      </c>
      <c r="B6424">
        <v>2017</v>
      </c>
      <c r="C6424">
        <v>12</v>
      </c>
      <c r="D6424">
        <v>1</v>
      </c>
      <c r="E6424">
        <v>14680</v>
      </c>
      <c r="F6424">
        <v>27587.58</v>
      </c>
      <c r="G6424">
        <v>0</v>
      </c>
      <c r="H6424">
        <v>280000</v>
      </c>
      <c r="I6424">
        <v>0</v>
      </c>
      <c r="J6424">
        <v>-27000000</v>
      </c>
      <c r="K6424">
        <v>20250000</v>
      </c>
      <c r="L6424">
        <v>0</v>
      </c>
      <c r="M6424">
        <v>27000000</v>
      </c>
      <c r="N6424">
        <v>0</v>
      </c>
      <c r="O6424">
        <v>6750000</v>
      </c>
      <c r="P6424">
        <v>0</v>
      </c>
      <c r="Q6424">
        <v>27000000</v>
      </c>
      <c r="R6424" s="14">
        <f>_xlfn.XLOOKUP(Table2[[#This Row],[LoanID]],Table1[G-L ID],Table1[ManagerCode],-99)</f>
        <v>220</v>
      </c>
      <c r="T6424"/>
    </row>
    <row r="6425" spans="1:20" x14ac:dyDescent="0.25">
      <c r="A6425">
        <v>20171231</v>
      </c>
      <c r="B6425">
        <v>2017</v>
      </c>
      <c r="C6425">
        <v>12</v>
      </c>
      <c r="D6425">
        <v>1</v>
      </c>
      <c r="E6425">
        <v>14790</v>
      </c>
      <c r="F6425">
        <v>138428.82999999999</v>
      </c>
      <c r="G6425">
        <v>0</v>
      </c>
      <c r="H6425">
        <v>400000</v>
      </c>
      <c r="I6425">
        <v>0</v>
      </c>
      <c r="J6425">
        <v>-69200000</v>
      </c>
      <c r="K6425">
        <v>0</v>
      </c>
      <c r="L6425">
        <v>0</v>
      </c>
      <c r="M6425">
        <v>69200000</v>
      </c>
      <c r="N6425">
        <v>0</v>
      </c>
      <c r="O6425">
        <v>69200000</v>
      </c>
      <c r="P6425">
        <v>0</v>
      </c>
      <c r="Q6425">
        <v>69200000</v>
      </c>
      <c r="R6425" s="14">
        <f>_xlfn.XLOOKUP(Table2[[#This Row],[LoanID]],Table1[G-L ID],Table1[ManagerCode],-99)</f>
        <v>220</v>
      </c>
      <c r="T6425"/>
    </row>
    <row r="6426" spans="1:20" x14ac:dyDescent="0.25">
      <c r="A6426">
        <v>20171231</v>
      </c>
      <c r="B6426">
        <v>2017</v>
      </c>
      <c r="C6426">
        <v>12</v>
      </c>
      <c r="D6426">
        <v>1</v>
      </c>
      <c r="E6426">
        <v>15030</v>
      </c>
      <c r="F6426">
        <v>269628.25</v>
      </c>
      <c r="G6426">
        <v>0</v>
      </c>
      <c r="H6426">
        <v>0</v>
      </c>
      <c r="I6426">
        <v>0</v>
      </c>
      <c r="J6426">
        <v>-201415.46</v>
      </c>
      <c r="K6426">
        <v>0</v>
      </c>
      <c r="L6426">
        <v>35105675</v>
      </c>
      <c r="M6426">
        <v>36471335</v>
      </c>
      <c r="N6426">
        <v>11276338.220000001</v>
      </c>
      <c r="O6426">
        <v>12641998.220000001</v>
      </c>
      <c r="P6426">
        <v>36269919.350000001</v>
      </c>
      <c r="Q6426">
        <v>36471334.810000002</v>
      </c>
      <c r="R6426" s="14">
        <f>_xlfn.XLOOKUP(Table2[[#This Row],[LoanID]],Table1[G-L ID],Table1[ManagerCode],-99)</f>
        <v>220</v>
      </c>
      <c r="T6426"/>
    </row>
    <row r="6427" spans="1:20" x14ac:dyDescent="0.25">
      <c r="A6427">
        <v>20171231</v>
      </c>
      <c r="B6427">
        <v>2017</v>
      </c>
      <c r="C6427">
        <v>12</v>
      </c>
      <c r="D6427">
        <v>1</v>
      </c>
      <c r="E6427">
        <v>15540</v>
      </c>
      <c r="F6427">
        <v>231568.75</v>
      </c>
      <c r="G6427">
        <v>13912.5</v>
      </c>
      <c r="H6427">
        <v>0</v>
      </c>
      <c r="I6427">
        <v>-2187.5</v>
      </c>
      <c r="J6427">
        <v>0</v>
      </c>
      <c r="K6427">
        <v>0</v>
      </c>
      <c r="L6427">
        <v>52731568.75</v>
      </c>
      <c r="M6427">
        <v>52745481.25</v>
      </c>
      <c r="N6427">
        <v>52731568.75</v>
      </c>
      <c r="O6427">
        <v>52745481.25</v>
      </c>
      <c r="P6427">
        <v>52731568.75</v>
      </c>
      <c r="Q6427">
        <v>52745481.25</v>
      </c>
      <c r="R6427" s="14">
        <f>_xlfn.XLOOKUP(Table2[[#This Row],[LoanID]],Table1[G-L ID],Table1[ManagerCode],-99)</f>
        <v>212</v>
      </c>
      <c r="T6427"/>
    </row>
    <row r="6428" spans="1:20" x14ac:dyDescent="0.25">
      <c r="A6428">
        <v>20171231</v>
      </c>
      <c r="B6428">
        <v>2017</v>
      </c>
      <c r="C6428">
        <v>12</v>
      </c>
      <c r="D6428">
        <v>1</v>
      </c>
      <c r="E6428">
        <v>15580</v>
      </c>
      <c r="F6428">
        <v>112671.65</v>
      </c>
      <c r="G6428">
        <v>3670.25</v>
      </c>
      <c r="H6428">
        <v>0</v>
      </c>
      <c r="I6428">
        <v>0</v>
      </c>
      <c r="J6428">
        <v>0</v>
      </c>
      <c r="K6428">
        <v>10729.66</v>
      </c>
      <c r="L6428">
        <v>14729533.880000001</v>
      </c>
      <c r="M6428">
        <v>14722474.470000001</v>
      </c>
      <c r="N6428">
        <v>14729533.880000001</v>
      </c>
      <c r="O6428">
        <v>14722474.470000001</v>
      </c>
      <c r="P6428">
        <v>14729533.880000001</v>
      </c>
      <c r="Q6428">
        <v>14722474.470000001</v>
      </c>
      <c r="R6428" s="14">
        <f>_xlfn.XLOOKUP(Table2[[#This Row],[LoanID]],Table1[G-L ID],Table1[ManagerCode],-99)</f>
        <v>212</v>
      </c>
      <c r="T6428"/>
    </row>
    <row r="6429" spans="1:20" x14ac:dyDescent="0.25">
      <c r="A6429">
        <v>20171231</v>
      </c>
      <c r="B6429">
        <v>2017</v>
      </c>
      <c r="C6429">
        <v>12</v>
      </c>
      <c r="D6429">
        <v>1</v>
      </c>
      <c r="E6429">
        <v>15620</v>
      </c>
      <c r="F6429">
        <v>266045</v>
      </c>
      <c r="G6429">
        <v>18070</v>
      </c>
      <c r="H6429">
        <v>0</v>
      </c>
      <c r="I6429">
        <v>-3250</v>
      </c>
      <c r="J6429">
        <v>0</v>
      </c>
      <c r="K6429">
        <v>0</v>
      </c>
      <c r="L6429">
        <v>78266045</v>
      </c>
      <c r="M6429">
        <v>78284115</v>
      </c>
      <c r="N6429">
        <v>78266045</v>
      </c>
      <c r="O6429">
        <v>78284115</v>
      </c>
      <c r="P6429">
        <v>78266045</v>
      </c>
      <c r="Q6429">
        <v>78284115</v>
      </c>
      <c r="R6429" s="14">
        <f>_xlfn.XLOOKUP(Table2[[#This Row],[LoanID]],Table1[G-L ID],Table1[ManagerCode],-99)</f>
        <v>212</v>
      </c>
      <c r="T6429"/>
    </row>
    <row r="6430" spans="1:20" x14ac:dyDescent="0.25">
      <c r="A6430">
        <v>20180131</v>
      </c>
      <c r="B6430">
        <v>2018</v>
      </c>
      <c r="C6430">
        <v>1</v>
      </c>
      <c r="D6430">
        <v>1</v>
      </c>
      <c r="E6430">
        <v>10010</v>
      </c>
      <c r="F6430">
        <v>182793.83</v>
      </c>
      <c r="G6430">
        <v>0</v>
      </c>
      <c r="H6430">
        <v>0</v>
      </c>
      <c r="I6430">
        <v>0</v>
      </c>
      <c r="J6430">
        <v>28013.42</v>
      </c>
      <c r="K6430">
        <v>0</v>
      </c>
      <c r="L6430">
        <v>17591076.98</v>
      </c>
      <c r="M6430">
        <v>17563063.559999999</v>
      </c>
      <c r="N6430">
        <v>17591076.98</v>
      </c>
      <c r="O6430">
        <v>17563063.559999999</v>
      </c>
      <c r="P6430">
        <v>17591076.98</v>
      </c>
      <c r="Q6430">
        <v>17563063.559999999</v>
      </c>
      <c r="R6430" s="14">
        <f>_xlfn.XLOOKUP(Table2[[#This Row],[LoanID]],Table1[G-L ID],Table1[ManagerCode],-99)</f>
        <v>119</v>
      </c>
      <c r="T6430"/>
    </row>
    <row r="6431" spans="1:20" x14ac:dyDescent="0.25">
      <c r="A6431">
        <v>20180131</v>
      </c>
      <c r="B6431">
        <v>2018</v>
      </c>
      <c r="C6431">
        <v>1</v>
      </c>
      <c r="D6431">
        <v>1</v>
      </c>
      <c r="E6431">
        <v>10030</v>
      </c>
      <c r="F6431">
        <v>83362.100000000006</v>
      </c>
      <c r="G6431">
        <v>0</v>
      </c>
      <c r="H6431">
        <v>0</v>
      </c>
      <c r="I6431">
        <v>0</v>
      </c>
      <c r="J6431">
        <v>0</v>
      </c>
      <c r="K6431">
        <v>0</v>
      </c>
      <c r="L6431">
        <v>7912575.7300000004</v>
      </c>
      <c r="M6431">
        <v>7912575.7300000004</v>
      </c>
      <c r="N6431">
        <v>7912575.7300000004</v>
      </c>
      <c r="O6431">
        <v>7912575.7300000004</v>
      </c>
      <c r="P6431">
        <v>7912575.7300000004</v>
      </c>
      <c r="Q6431">
        <v>7912575.7300000004</v>
      </c>
      <c r="R6431" s="14">
        <f>_xlfn.XLOOKUP(Table2[[#This Row],[LoanID]],Table1[G-L ID],Table1[ManagerCode],-99)</f>
        <v>119</v>
      </c>
      <c r="T6431"/>
    </row>
    <row r="6432" spans="1:20" x14ac:dyDescent="0.25">
      <c r="A6432">
        <v>20180131</v>
      </c>
      <c r="B6432">
        <v>2018</v>
      </c>
      <c r="C6432">
        <v>1</v>
      </c>
      <c r="D6432">
        <v>1</v>
      </c>
      <c r="E6432">
        <v>10040</v>
      </c>
      <c r="F6432">
        <v>49221.11</v>
      </c>
      <c r="G6432">
        <v>0</v>
      </c>
      <c r="H6432">
        <v>0</v>
      </c>
      <c r="I6432">
        <v>0</v>
      </c>
      <c r="J6432">
        <v>0</v>
      </c>
      <c r="K6432">
        <v>0</v>
      </c>
      <c r="L6432">
        <v>5000000</v>
      </c>
      <c r="M6432">
        <v>5000000</v>
      </c>
      <c r="N6432">
        <v>5000000</v>
      </c>
      <c r="O6432">
        <v>5000000</v>
      </c>
      <c r="P6432">
        <v>5000000</v>
      </c>
      <c r="Q6432">
        <v>5000000</v>
      </c>
      <c r="R6432" s="14">
        <f>_xlfn.XLOOKUP(Table2[[#This Row],[LoanID]],Table1[G-L ID],Table1[ManagerCode],-99)</f>
        <v>119</v>
      </c>
      <c r="T6432"/>
    </row>
    <row r="6433" spans="1:20" x14ac:dyDescent="0.25">
      <c r="A6433">
        <v>20180131</v>
      </c>
      <c r="B6433">
        <v>2018</v>
      </c>
      <c r="C6433">
        <v>1</v>
      </c>
      <c r="D6433">
        <v>1</v>
      </c>
      <c r="E6433">
        <v>10050</v>
      </c>
      <c r="F6433">
        <v>153981.01999999999</v>
      </c>
      <c r="G6433">
        <v>0</v>
      </c>
      <c r="H6433">
        <v>0</v>
      </c>
      <c r="I6433">
        <v>-69.44</v>
      </c>
      <c r="J6433">
        <v>0</v>
      </c>
      <c r="K6433">
        <v>0</v>
      </c>
      <c r="L6433">
        <v>36937681.439999998</v>
      </c>
      <c r="M6433">
        <v>36196715.68</v>
      </c>
      <c r="N6433">
        <v>36937681.439999998</v>
      </c>
      <c r="O6433">
        <v>36196715.68</v>
      </c>
      <c r="P6433">
        <v>33333334</v>
      </c>
      <c r="Q6433">
        <v>33333334</v>
      </c>
      <c r="R6433" s="14">
        <f>_xlfn.XLOOKUP(Table2[[#This Row],[LoanID]],Table1[G-L ID],Table1[ManagerCode],-99)</f>
        <v>103</v>
      </c>
      <c r="T6433"/>
    </row>
    <row r="6434" spans="1:20" x14ac:dyDescent="0.25">
      <c r="A6434">
        <v>20180131</v>
      </c>
      <c r="B6434">
        <v>2018</v>
      </c>
      <c r="C6434">
        <v>1</v>
      </c>
      <c r="D6434">
        <v>1</v>
      </c>
      <c r="E6434">
        <v>10070</v>
      </c>
      <c r="F6434">
        <v>69022.77</v>
      </c>
      <c r="G6434">
        <v>0</v>
      </c>
      <c r="H6434">
        <v>0</v>
      </c>
      <c r="I6434">
        <v>0</v>
      </c>
      <c r="J6434">
        <v>0</v>
      </c>
      <c r="K6434">
        <v>0</v>
      </c>
      <c r="L6434">
        <v>5875000</v>
      </c>
      <c r="M6434">
        <v>5875000</v>
      </c>
      <c r="N6434">
        <v>5875000</v>
      </c>
      <c r="O6434">
        <v>5875000</v>
      </c>
      <c r="P6434">
        <v>5875000</v>
      </c>
      <c r="Q6434">
        <v>5875000</v>
      </c>
      <c r="R6434" s="14">
        <f>_xlfn.XLOOKUP(Table2[[#This Row],[LoanID]],Table1[G-L ID],Table1[ManagerCode],-99)</f>
        <v>119</v>
      </c>
      <c r="T6434"/>
    </row>
    <row r="6435" spans="1:20" x14ac:dyDescent="0.25">
      <c r="A6435">
        <v>20180131</v>
      </c>
      <c r="B6435">
        <v>2018</v>
      </c>
      <c r="C6435">
        <v>1</v>
      </c>
      <c r="D6435">
        <v>1</v>
      </c>
      <c r="E6435">
        <v>10110</v>
      </c>
      <c r="F6435">
        <v>156587.20000000001</v>
      </c>
      <c r="G6435">
        <v>0</v>
      </c>
      <c r="H6435">
        <v>0</v>
      </c>
      <c r="I6435">
        <v>0</v>
      </c>
      <c r="J6435">
        <v>0</v>
      </c>
      <c r="K6435">
        <v>0</v>
      </c>
      <c r="L6435">
        <v>16400000</v>
      </c>
      <c r="M6435">
        <v>16400000</v>
      </c>
      <c r="N6435">
        <v>16400000</v>
      </c>
      <c r="O6435">
        <v>16400000</v>
      </c>
      <c r="P6435">
        <v>16400000</v>
      </c>
      <c r="Q6435">
        <v>16400000</v>
      </c>
      <c r="R6435" s="14">
        <f>_xlfn.XLOOKUP(Table2[[#This Row],[LoanID]],Table1[G-L ID],Table1[ManagerCode],-99)</f>
        <v>119</v>
      </c>
      <c r="T6435"/>
    </row>
    <row r="6436" spans="1:20" x14ac:dyDescent="0.25">
      <c r="A6436">
        <v>20180131</v>
      </c>
      <c r="B6436">
        <v>2018</v>
      </c>
      <c r="C6436">
        <v>1</v>
      </c>
      <c r="D6436">
        <v>1</v>
      </c>
      <c r="E6436">
        <v>10120</v>
      </c>
      <c r="F6436">
        <v>61800.62</v>
      </c>
      <c r="G6436">
        <v>67312.740000000005</v>
      </c>
      <c r="H6436">
        <v>0</v>
      </c>
      <c r="I6436">
        <v>0</v>
      </c>
      <c r="J6436">
        <v>0</v>
      </c>
      <c r="K6436">
        <v>0</v>
      </c>
      <c r="L6436">
        <v>12447052.779999999</v>
      </c>
      <c r="M6436">
        <v>12514365.52</v>
      </c>
      <c r="N6436">
        <v>12447052.779999999</v>
      </c>
      <c r="O6436">
        <v>12514365.52</v>
      </c>
      <c r="P6436">
        <v>12447052.779999999</v>
      </c>
      <c r="Q6436">
        <v>12514365.52</v>
      </c>
      <c r="R6436" s="14">
        <f>_xlfn.XLOOKUP(Table2[[#This Row],[LoanID]],Table1[G-L ID],Table1[ManagerCode],-99)</f>
        <v>183</v>
      </c>
      <c r="T6436"/>
    </row>
    <row r="6437" spans="1:20" x14ac:dyDescent="0.25">
      <c r="A6437">
        <v>20180131</v>
      </c>
      <c r="B6437">
        <v>2018</v>
      </c>
      <c r="C6437">
        <v>1</v>
      </c>
      <c r="D6437">
        <v>1</v>
      </c>
      <c r="E6437">
        <v>10220</v>
      </c>
      <c r="F6437">
        <v>0</v>
      </c>
      <c r="G6437">
        <v>0</v>
      </c>
      <c r="H6437">
        <v>0</v>
      </c>
      <c r="I6437">
        <v>0</v>
      </c>
      <c r="J6437">
        <v>0</v>
      </c>
      <c r="K6437">
        <v>0</v>
      </c>
      <c r="L6437">
        <v>112296565.3</v>
      </c>
      <c r="M6437">
        <v>112394087</v>
      </c>
      <c r="N6437">
        <v>112296565.3</v>
      </c>
      <c r="O6437">
        <v>112394087</v>
      </c>
      <c r="P6437">
        <v>100000000</v>
      </c>
      <c r="Q6437">
        <v>100000000</v>
      </c>
      <c r="R6437" s="14">
        <f>_xlfn.XLOOKUP(Table2[[#This Row],[LoanID]],Table1[G-L ID],Table1[ManagerCode],-99)</f>
        <v>103</v>
      </c>
      <c r="T6437"/>
    </row>
    <row r="6438" spans="1:20" x14ac:dyDescent="0.25">
      <c r="A6438">
        <v>20180131</v>
      </c>
      <c r="B6438">
        <v>2018</v>
      </c>
      <c r="C6438">
        <v>1</v>
      </c>
      <c r="D6438">
        <v>1</v>
      </c>
      <c r="E6438">
        <v>10240</v>
      </c>
      <c r="F6438">
        <v>102020.14</v>
      </c>
      <c r="G6438">
        <v>0</v>
      </c>
      <c r="H6438">
        <v>0</v>
      </c>
      <c r="I6438">
        <v>0</v>
      </c>
      <c r="J6438">
        <v>0</v>
      </c>
      <c r="K6438">
        <v>12500000</v>
      </c>
      <c r="L6438">
        <v>12500000</v>
      </c>
      <c r="M6438">
        <v>0</v>
      </c>
      <c r="N6438">
        <v>12500000</v>
      </c>
      <c r="O6438">
        <v>0</v>
      </c>
      <c r="P6438">
        <v>12500000</v>
      </c>
      <c r="Q6438">
        <v>0</v>
      </c>
      <c r="R6438" s="14">
        <f>_xlfn.XLOOKUP(Table2[[#This Row],[LoanID]],Table1[G-L ID],Table1[ManagerCode],-99)</f>
        <v>220</v>
      </c>
      <c r="T6438"/>
    </row>
    <row r="6439" spans="1:20" x14ac:dyDescent="0.25">
      <c r="A6439">
        <v>20180131</v>
      </c>
      <c r="B6439">
        <v>2018</v>
      </c>
      <c r="C6439">
        <v>1</v>
      </c>
      <c r="D6439">
        <v>1</v>
      </c>
      <c r="E6439">
        <v>10250</v>
      </c>
      <c r="F6439">
        <v>54930.28</v>
      </c>
      <c r="G6439">
        <v>0</v>
      </c>
      <c r="H6439">
        <v>0</v>
      </c>
      <c r="I6439">
        <v>0</v>
      </c>
      <c r="J6439">
        <v>0</v>
      </c>
      <c r="K6439">
        <v>0</v>
      </c>
      <c r="L6439">
        <v>5000000</v>
      </c>
      <c r="M6439">
        <v>5000000</v>
      </c>
      <c r="N6439">
        <v>5000000</v>
      </c>
      <c r="O6439">
        <v>5000000</v>
      </c>
      <c r="P6439">
        <v>5000000</v>
      </c>
      <c r="Q6439">
        <v>5000000</v>
      </c>
      <c r="R6439" s="14">
        <f>_xlfn.XLOOKUP(Table2[[#This Row],[LoanID]],Table1[G-L ID],Table1[ManagerCode],-99)</f>
        <v>119</v>
      </c>
      <c r="T6439"/>
    </row>
    <row r="6440" spans="1:20" x14ac:dyDescent="0.25">
      <c r="A6440">
        <v>20180131</v>
      </c>
      <c r="B6440">
        <v>2018</v>
      </c>
      <c r="C6440">
        <v>1</v>
      </c>
      <c r="D6440">
        <v>1</v>
      </c>
      <c r="E6440">
        <v>10270</v>
      </c>
      <c r="F6440">
        <v>49094.87</v>
      </c>
      <c r="G6440">
        <v>0</v>
      </c>
      <c r="H6440">
        <v>0</v>
      </c>
      <c r="I6440">
        <v>0</v>
      </c>
      <c r="J6440">
        <v>0</v>
      </c>
      <c r="K6440">
        <v>0</v>
      </c>
      <c r="L6440">
        <v>4500000</v>
      </c>
      <c r="M6440">
        <v>4500000</v>
      </c>
      <c r="N6440">
        <v>4500000</v>
      </c>
      <c r="O6440">
        <v>4500000</v>
      </c>
      <c r="P6440">
        <v>4500000</v>
      </c>
      <c r="Q6440">
        <v>4500000</v>
      </c>
      <c r="R6440" s="14">
        <f>_xlfn.XLOOKUP(Table2[[#This Row],[LoanID]],Table1[G-L ID],Table1[ManagerCode],-99)</f>
        <v>119</v>
      </c>
      <c r="T6440"/>
    </row>
    <row r="6441" spans="1:20" x14ac:dyDescent="0.25">
      <c r="A6441">
        <v>20180131</v>
      </c>
      <c r="B6441">
        <v>2018</v>
      </c>
      <c r="C6441">
        <v>1</v>
      </c>
      <c r="D6441">
        <v>1</v>
      </c>
      <c r="E6441">
        <v>10330</v>
      </c>
      <c r="F6441">
        <v>88828.27</v>
      </c>
      <c r="G6441">
        <v>0</v>
      </c>
      <c r="H6441">
        <v>0</v>
      </c>
      <c r="I6441">
        <v>0</v>
      </c>
      <c r="J6441">
        <v>0</v>
      </c>
      <c r="K6441">
        <v>0</v>
      </c>
      <c r="L6441">
        <v>8652759.6999999993</v>
      </c>
      <c r="M6441">
        <v>8652759.6999999993</v>
      </c>
      <c r="N6441">
        <v>8652759.6999999993</v>
      </c>
      <c r="O6441">
        <v>8652759.6999999993</v>
      </c>
      <c r="P6441">
        <v>8652759.6999999993</v>
      </c>
      <c r="Q6441">
        <v>8652759.6999999993</v>
      </c>
      <c r="R6441" s="14">
        <f>_xlfn.XLOOKUP(Table2[[#This Row],[LoanID]],Table1[G-L ID],Table1[ManagerCode],-99)</f>
        <v>119</v>
      </c>
      <c r="T6441"/>
    </row>
    <row r="6442" spans="1:20" x14ac:dyDescent="0.25">
      <c r="A6442">
        <v>20180131</v>
      </c>
      <c r="B6442">
        <v>2018</v>
      </c>
      <c r="C6442">
        <v>1</v>
      </c>
      <c r="D6442">
        <v>1</v>
      </c>
      <c r="E6442">
        <v>10350</v>
      </c>
      <c r="F6442">
        <v>198400</v>
      </c>
      <c r="G6442">
        <v>0</v>
      </c>
      <c r="H6442">
        <v>0</v>
      </c>
      <c r="I6442">
        <v>0</v>
      </c>
      <c r="J6442">
        <v>0</v>
      </c>
      <c r="K6442">
        <v>0</v>
      </c>
      <c r="L6442">
        <v>24800000</v>
      </c>
      <c r="M6442">
        <v>24800000</v>
      </c>
      <c r="N6442">
        <v>24800000</v>
      </c>
      <c r="O6442">
        <v>24800000</v>
      </c>
      <c r="P6442">
        <v>24800000</v>
      </c>
      <c r="Q6442">
        <v>24800000</v>
      </c>
      <c r="R6442" s="14">
        <f>_xlfn.XLOOKUP(Table2[[#This Row],[LoanID]],Table1[G-L ID],Table1[ManagerCode],-99)</f>
        <v>220</v>
      </c>
      <c r="T6442"/>
    </row>
    <row r="6443" spans="1:20" x14ac:dyDescent="0.25">
      <c r="A6443">
        <v>20180131</v>
      </c>
      <c r="B6443">
        <v>2018</v>
      </c>
      <c r="C6443">
        <v>1</v>
      </c>
      <c r="D6443">
        <v>1</v>
      </c>
      <c r="E6443">
        <v>10360</v>
      </c>
      <c r="F6443">
        <v>57858.96</v>
      </c>
      <c r="G6443">
        <v>0</v>
      </c>
      <c r="H6443">
        <v>0</v>
      </c>
      <c r="I6443">
        <v>0</v>
      </c>
      <c r="J6443">
        <v>0</v>
      </c>
      <c r="K6443">
        <v>0</v>
      </c>
      <c r="L6443">
        <v>5909000</v>
      </c>
      <c r="M6443">
        <v>5909000</v>
      </c>
      <c r="N6443">
        <v>5909000</v>
      </c>
      <c r="O6443">
        <v>5909000</v>
      </c>
      <c r="P6443">
        <v>5909000</v>
      </c>
      <c r="Q6443">
        <v>5909000</v>
      </c>
      <c r="R6443" s="14">
        <f>_xlfn.XLOOKUP(Table2[[#This Row],[LoanID]],Table1[G-L ID],Table1[ManagerCode],-99)</f>
        <v>183</v>
      </c>
      <c r="T6443"/>
    </row>
    <row r="6444" spans="1:20" x14ac:dyDescent="0.25">
      <c r="A6444">
        <v>20180131</v>
      </c>
      <c r="B6444">
        <v>2018</v>
      </c>
      <c r="C6444">
        <v>1</v>
      </c>
      <c r="D6444">
        <v>1</v>
      </c>
      <c r="E6444">
        <v>10480</v>
      </c>
      <c r="F6444">
        <v>162734</v>
      </c>
      <c r="G6444">
        <v>0</v>
      </c>
      <c r="H6444">
        <v>0</v>
      </c>
      <c r="I6444">
        <v>0</v>
      </c>
      <c r="J6444">
        <v>0</v>
      </c>
      <c r="K6444">
        <v>0</v>
      </c>
      <c r="L6444">
        <v>18000000</v>
      </c>
      <c r="M6444">
        <v>18000000</v>
      </c>
      <c r="N6444">
        <v>18000000</v>
      </c>
      <c r="O6444">
        <v>18000000</v>
      </c>
      <c r="P6444">
        <v>18000000</v>
      </c>
      <c r="Q6444">
        <v>18000000</v>
      </c>
      <c r="R6444" s="14">
        <f>_xlfn.XLOOKUP(Table2[[#This Row],[LoanID]],Table1[G-L ID],Table1[ManagerCode],-99)</f>
        <v>119</v>
      </c>
      <c r="T6444"/>
    </row>
    <row r="6445" spans="1:20" x14ac:dyDescent="0.25">
      <c r="A6445">
        <v>20180131</v>
      </c>
      <c r="B6445">
        <v>2018</v>
      </c>
      <c r="C6445">
        <v>1</v>
      </c>
      <c r="D6445">
        <v>1</v>
      </c>
      <c r="E6445">
        <v>10620</v>
      </c>
      <c r="F6445">
        <v>121811.5</v>
      </c>
      <c r="G6445">
        <v>0</v>
      </c>
      <c r="H6445">
        <v>0</v>
      </c>
      <c r="I6445">
        <v>0</v>
      </c>
      <c r="J6445">
        <v>-275405.57</v>
      </c>
      <c r="K6445">
        <v>0</v>
      </c>
      <c r="L6445">
        <v>11675903.24</v>
      </c>
      <c r="M6445">
        <v>11951308.810000001</v>
      </c>
      <c r="N6445">
        <v>11675903.24</v>
      </c>
      <c r="O6445">
        <v>11951308.810000001</v>
      </c>
      <c r="P6445">
        <v>11675903.24</v>
      </c>
      <c r="Q6445">
        <v>11951308.810000001</v>
      </c>
      <c r="R6445" s="14">
        <f>_xlfn.XLOOKUP(Table2[[#This Row],[LoanID]],Table1[G-L ID],Table1[ManagerCode],-99)</f>
        <v>119</v>
      </c>
      <c r="T6445"/>
    </row>
    <row r="6446" spans="1:20" x14ac:dyDescent="0.25">
      <c r="A6446">
        <v>20180131</v>
      </c>
      <c r="B6446">
        <v>2018</v>
      </c>
      <c r="C6446">
        <v>1</v>
      </c>
      <c r="D6446">
        <v>1</v>
      </c>
      <c r="E6446">
        <v>10670</v>
      </c>
      <c r="F6446">
        <v>286181.67</v>
      </c>
      <c r="G6446">
        <v>0</v>
      </c>
      <c r="H6446">
        <v>0</v>
      </c>
      <c r="I6446">
        <v>0</v>
      </c>
      <c r="J6446">
        <v>0</v>
      </c>
      <c r="K6446">
        <v>0</v>
      </c>
      <c r="L6446">
        <v>30000000</v>
      </c>
      <c r="M6446">
        <v>30000000</v>
      </c>
      <c r="N6446">
        <v>30000000</v>
      </c>
      <c r="O6446">
        <v>30000000</v>
      </c>
      <c r="P6446">
        <v>30000000</v>
      </c>
      <c r="Q6446">
        <v>30000000</v>
      </c>
      <c r="R6446" s="14">
        <f>_xlfn.XLOOKUP(Table2[[#This Row],[LoanID]],Table1[G-L ID],Table1[ManagerCode],-99)</f>
        <v>119</v>
      </c>
      <c r="T6446"/>
    </row>
    <row r="6447" spans="1:20" x14ac:dyDescent="0.25">
      <c r="A6447">
        <v>20180131</v>
      </c>
      <c r="B6447">
        <v>2018</v>
      </c>
      <c r="C6447">
        <v>1</v>
      </c>
      <c r="D6447">
        <v>1</v>
      </c>
      <c r="E6447">
        <v>10730</v>
      </c>
      <c r="F6447">
        <v>108553.07</v>
      </c>
      <c r="G6447">
        <v>0</v>
      </c>
      <c r="H6447">
        <v>0</v>
      </c>
      <c r="I6447">
        <v>0</v>
      </c>
      <c r="J6447">
        <v>0</v>
      </c>
      <c r="K6447">
        <v>0</v>
      </c>
      <c r="L6447">
        <v>9500000</v>
      </c>
      <c r="M6447">
        <v>9500000</v>
      </c>
      <c r="N6447">
        <v>9500000</v>
      </c>
      <c r="O6447">
        <v>9500000</v>
      </c>
      <c r="P6447">
        <v>9500000</v>
      </c>
      <c r="Q6447">
        <v>9500000</v>
      </c>
      <c r="R6447" s="14">
        <f>_xlfn.XLOOKUP(Table2[[#This Row],[LoanID]],Table1[G-L ID],Table1[ManagerCode],-99)</f>
        <v>119</v>
      </c>
      <c r="T6447"/>
    </row>
    <row r="6448" spans="1:20" x14ac:dyDescent="0.25">
      <c r="A6448">
        <v>20180131</v>
      </c>
      <c r="B6448">
        <v>2018</v>
      </c>
      <c r="C6448">
        <v>1</v>
      </c>
      <c r="D6448">
        <v>1</v>
      </c>
      <c r="E6448">
        <v>10750</v>
      </c>
      <c r="F6448">
        <v>82919.899999999994</v>
      </c>
      <c r="G6448">
        <v>0</v>
      </c>
      <c r="H6448">
        <v>0</v>
      </c>
      <c r="I6448">
        <v>0</v>
      </c>
      <c r="J6448">
        <v>0</v>
      </c>
      <c r="K6448">
        <v>0</v>
      </c>
      <c r="L6448">
        <v>8757259.9600000009</v>
      </c>
      <c r="M6448">
        <v>8757259.9600000009</v>
      </c>
      <c r="N6448">
        <v>8757259.9600000009</v>
      </c>
      <c r="O6448">
        <v>8757259.9600000009</v>
      </c>
      <c r="P6448">
        <v>8757259.9600000009</v>
      </c>
      <c r="Q6448">
        <v>8757259.9600000009</v>
      </c>
      <c r="R6448" s="14">
        <f>_xlfn.XLOOKUP(Table2[[#This Row],[LoanID]],Table1[G-L ID],Table1[ManagerCode],-99)</f>
        <v>119</v>
      </c>
      <c r="T6448"/>
    </row>
    <row r="6449" spans="1:20" x14ac:dyDescent="0.25">
      <c r="A6449">
        <v>20180131</v>
      </c>
      <c r="B6449">
        <v>2018</v>
      </c>
      <c r="C6449">
        <v>1</v>
      </c>
      <c r="D6449">
        <v>1</v>
      </c>
      <c r="E6449">
        <v>10790</v>
      </c>
      <c r="F6449">
        <v>23419.59</v>
      </c>
      <c r="G6449">
        <v>0</v>
      </c>
      <c r="H6449">
        <v>0</v>
      </c>
      <c r="I6449">
        <v>0</v>
      </c>
      <c r="J6449">
        <v>0</v>
      </c>
      <c r="K6449">
        <v>46048.66</v>
      </c>
      <c r="L6449">
        <v>5298361.53</v>
      </c>
      <c r="M6449">
        <v>5144240.62</v>
      </c>
      <c r="N6449">
        <v>5298361.53</v>
      </c>
      <c r="O6449">
        <v>5144240.62</v>
      </c>
      <c r="P6449">
        <v>4997911.01</v>
      </c>
      <c r="Q6449">
        <v>4954576.1500000004</v>
      </c>
      <c r="R6449" s="14">
        <f>_xlfn.XLOOKUP(Table2[[#This Row],[LoanID]],Table1[G-L ID],Table1[ManagerCode],-99)</f>
        <v>103</v>
      </c>
      <c r="T6449"/>
    </row>
    <row r="6450" spans="1:20" x14ac:dyDescent="0.25">
      <c r="A6450">
        <v>20180131</v>
      </c>
      <c r="B6450">
        <v>2018</v>
      </c>
      <c r="C6450">
        <v>1</v>
      </c>
      <c r="D6450">
        <v>1</v>
      </c>
      <c r="E6450">
        <v>10810</v>
      </c>
      <c r="F6450">
        <v>96633.4</v>
      </c>
      <c r="G6450">
        <v>0</v>
      </c>
      <c r="H6450">
        <v>0</v>
      </c>
      <c r="I6450">
        <v>0</v>
      </c>
      <c r="J6450">
        <v>0</v>
      </c>
      <c r="K6450">
        <v>0</v>
      </c>
      <c r="L6450">
        <v>9332088.0199999996</v>
      </c>
      <c r="M6450">
        <v>9332088.0199999996</v>
      </c>
      <c r="N6450">
        <v>9332088.0199999996</v>
      </c>
      <c r="O6450">
        <v>9332088.0199999996</v>
      </c>
      <c r="P6450">
        <v>9332088.0199999996</v>
      </c>
      <c r="Q6450">
        <v>9332088.0199999996</v>
      </c>
      <c r="R6450" s="14">
        <f>_xlfn.XLOOKUP(Table2[[#This Row],[LoanID]],Table1[G-L ID],Table1[ManagerCode],-99)</f>
        <v>119</v>
      </c>
      <c r="T6450"/>
    </row>
    <row r="6451" spans="1:20" x14ac:dyDescent="0.25">
      <c r="A6451">
        <v>20180131</v>
      </c>
      <c r="B6451">
        <v>2018</v>
      </c>
      <c r="C6451">
        <v>1</v>
      </c>
      <c r="D6451">
        <v>1</v>
      </c>
      <c r="E6451">
        <v>10820</v>
      </c>
      <c r="F6451">
        <v>199581.11</v>
      </c>
      <c r="G6451">
        <v>0</v>
      </c>
      <c r="H6451">
        <v>0</v>
      </c>
      <c r="I6451">
        <v>0</v>
      </c>
      <c r="J6451">
        <v>0</v>
      </c>
      <c r="K6451">
        <v>0</v>
      </c>
      <c r="L6451">
        <v>24388584.010000002</v>
      </c>
      <c r="M6451">
        <v>24388584.010000002</v>
      </c>
      <c r="N6451">
        <v>24388584.010000002</v>
      </c>
      <c r="O6451">
        <v>24388584.010000002</v>
      </c>
      <c r="P6451">
        <v>24388584.010000002</v>
      </c>
      <c r="Q6451">
        <v>24388584.010000002</v>
      </c>
      <c r="R6451" s="14">
        <f>_xlfn.XLOOKUP(Table2[[#This Row],[LoanID]],Table1[G-L ID],Table1[ManagerCode],-99)</f>
        <v>220</v>
      </c>
      <c r="T6451"/>
    </row>
    <row r="6452" spans="1:20" x14ac:dyDescent="0.25">
      <c r="A6452">
        <v>20180131</v>
      </c>
      <c r="B6452">
        <v>2018</v>
      </c>
      <c r="C6452">
        <v>1</v>
      </c>
      <c r="D6452">
        <v>1</v>
      </c>
      <c r="E6452">
        <v>10830</v>
      </c>
      <c r="F6452">
        <v>63857.77</v>
      </c>
      <c r="G6452">
        <v>0</v>
      </c>
      <c r="H6452">
        <v>0</v>
      </c>
      <c r="I6452">
        <v>0</v>
      </c>
      <c r="J6452">
        <v>0</v>
      </c>
      <c r="K6452">
        <v>0</v>
      </c>
      <c r="L6452">
        <v>7806043.1399999997</v>
      </c>
      <c r="M6452">
        <v>7806043.1399999997</v>
      </c>
      <c r="N6452">
        <v>7806043.1399999997</v>
      </c>
      <c r="O6452">
        <v>7806043.1399999997</v>
      </c>
      <c r="P6452">
        <v>7806043.1399999997</v>
      </c>
      <c r="Q6452">
        <v>7806043.1399999997</v>
      </c>
      <c r="R6452" s="14">
        <f>_xlfn.XLOOKUP(Table2[[#This Row],[LoanID]],Table1[G-L ID],Table1[ManagerCode],-99)</f>
        <v>220</v>
      </c>
      <c r="T6452"/>
    </row>
    <row r="6453" spans="1:20" x14ac:dyDescent="0.25">
      <c r="A6453">
        <v>20180131</v>
      </c>
      <c r="B6453">
        <v>2018</v>
      </c>
      <c r="C6453">
        <v>1</v>
      </c>
      <c r="D6453">
        <v>1</v>
      </c>
      <c r="E6453">
        <v>10840</v>
      </c>
      <c r="F6453">
        <v>103968.23</v>
      </c>
      <c r="G6453">
        <v>0</v>
      </c>
      <c r="H6453">
        <v>0</v>
      </c>
      <c r="I6453">
        <v>0</v>
      </c>
      <c r="J6453">
        <v>0</v>
      </c>
      <c r="K6453">
        <v>0</v>
      </c>
      <c r="L6453">
        <v>12709189</v>
      </c>
      <c r="M6453">
        <v>12709189</v>
      </c>
      <c r="N6453">
        <v>12709189</v>
      </c>
      <c r="O6453">
        <v>12709189</v>
      </c>
      <c r="P6453">
        <v>12709189</v>
      </c>
      <c r="Q6453">
        <v>12709189</v>
      </c>
      <c r="R6453" s="14">
        <f>_xlfn.XLOOKUP(Table2[[#This Row],[LoanID]],Table1[G-L ID],Table1[ManagerCode],-99)</f>
        <v>220</v>
      </c>
      <c r="T6453"/>
    </row>
    <row r="6454" spans="1:20" x14ac:dyDescent="0.25">
      <c r="A6454">
        <v>20180131</v>
      </c>
      <c r="B6454">
        <v>2018</v>
      </c>
      <c r="C6454">
        <v>1</v>
      </c>
      <c r="D6454">
        <v>1</v>
      </c>
      <c r="E6454">
        <v>10850</v>
      </c>
      <c r="F6454">
        <v>110534.78</v>
      </c>
      <c r="G6454">
        <v>0</v>
      </c>
      <c r="H6454">
        <v>0</v>
      </c>
      <c r="I6454">
        <v>0</v>
      </c>
      <c r="J6454">
        <v>0</v>
      </c>
      <c r="K6454">
        <v>0</v>
      </c>
      <c r="L6454">
        <v>13511892</v>
      </c>
      <c r="M6454">
        <v>13511892</v>
      </c>
      <c r="N6454">
        <v>13511892</v>
      </c>
      <c r="O6454">
        <v>13511892</v>
      </c>
      <c r="P6454">
        <v>13511892</v>
      </c>
      <c r="Q6454">
        <v>13511892</v>
      </c>
      <c r="R6454" s="14">
        <f>_xlfn.XLOOKUP(Table2[[#This Row],[LoanID]],Table1[G-L ID],Table1[ManagerCode],-99)</f>
        <v>220</v>
      </c>
      <c r="T6454"/>
    </row>
    <row r="6455" spans="1:20" x14ac:dyDescent="0.25">
      <c r="A6455">
        <v>20180131</v>
      </c>
      <c r="B6455">
        <v>2018</v>
      </c>
      <c r="C6455">
        <v>1</v>
      </c>
      <c r="D6455">
        <v>1</v>
      </c>
      <c r="E6455">
        <v>10910</v>
      </c>
      <c r="F6455">
        <v>349374.78</v>
      </c>
      <c r="G6455">
        <v>0</v>
      </c>
      <c r="H6455">
        <v>0</v>
      </c>
      <c r="I6455">
        <v>0</v>
      </c>
      <c r="J6455">
        <v>0</v>
      </c>
      <c r="K6455">
        <v>2000000</v>
      </c>
      <c r="L6455">
        <v>20750000</v>
      </c>
      <c r="M6455">
        <v>18750000</v>
      </c>
      <c r="N6455">
        <v>20750000</v>
      </c>
      <c r="O6455">
        <v>18750000</v>
      </c>
      <c r="P6455">
        <v>20750000</v>
      </c>
      <c r="Q6455">
        <v>18750000</v>
      </c>
      <c r="R6455" s="14">
        <f>_xlfn.XLOOKUP(Table2[[#This Row],[LoanID]],Table1[G-L ID],Table1[ManagerCode],-99)</f>
        <v>119</v>
      </c>
      <c r="T6455"/>
    </row>
    <row r="6456" spans="1:20" x14ac:dyDescent="0.25">
      <c r="A6456">
        <v>20180131</v>
      </c>
      <c r="B6456">
        <v>2018</v>
      </c>
      <c r="C6456">
        <v>1</v>
      </c>
      <c r="D6456">
        <v>1</v>
      </c>
      <c r="E6456">
        <v>10930</v>
      </c>
      <c r="F6456">
        <v>0</v>
      </c>
      <c r="G6456">
        <v>210388.93</v>
      </c>
      <c r="H6456">
        <v>0</v>
      </c>
      <c r="I6456">
        <v>0</v>
      </c>
      <c r="J6456">
        <v>0</v>
      </c>
      <c r="K6456">
        <v>0</v>
      </c>
      <c r="L6456">
        <v>19055076.920000002</v>
      </c>
      <c r="M6456">
        <v>19265465.850000001</v>
      </c>
      <c r="N6456">
        <v>19055076.920000002</v>
      </c>
      <c r="O6456">
        <v>19265465.850000001</v>
      </c>
      <c r="P6456">
        <v>19055076.920000002</v>
      </c>
      <c r="Q6456">
        <v>19265465.850000001</v>
      </c>
      <c r="R6456" s="14">
        <f>_xlfn.XLOOKUP(Table2[[#This Row],[LoanID]],Table1[G-L ID],Table1[ManagerCode],-99)</f>
        <v>183</v>
      </c>
      <c r="T6456"/>
    </row>
    <row r="6457" spans="1:20" x14ac:dyDescent="0.25">
      <c r="A6457">
        <v>20180131</v>
      </c>
      <c r="B6457">
        <v>2018</v>
      </c>
      <c r="C6457">
        <v>1</v>
      </c>
      <c r="D6457">
        <v>1</v>
      </c>
      <c r="E6457">
        <v>10970</v>
      </c>
      <c r="F6457">
        <v>24367.72</v>
      </c>
      <c r="G6457">
        <v>26672.5</v>
      </c>
      <c r="H6457">
        <v>0</v>
      </c>
      <c r="I6457">
        <v>0</v>
      </c>
      <c r="J6457">
        <v>-24367.72</v>
      </c>
      <c r="K6457">
        <v>0</v>
      </c>
      <c r="L6457">
        <v>4915015.7300000004</v>
      </c>
      <c r="M6457">
        <v>4966055.95</v>
      </c>
      <c r="N6457">
        <v>4915015.7300000004</v>
      </c>
      <c r="O6457">
        <v>4966055.95</v>
      </c>
      <c r="P6457">
        <v>4915015.7300000004</v>
      </c>
      <c r="Q6457">
        <v>4966055.95</v>
      </c>
      <c r="R6457" s="14">
        <f>_xlfn.XLOOKUP(Table2[[#This Row],[LoanID]],Table1[G-L ID],Table1[ManagerCode],-99)</f>
        <v>183</v>
      </c>
      <c r="T6457"/>
    </row>
    <row r="6458" spans="1:20" x14ac:dyDescent="0.25">
      <c r="A6458">
        <v>20180131</v>
      </c>
      <c r="B6458">
        <v>2018</v>
      </c>
      <c r="C6458">
        <v>1</v>
      </c>
      <c r="D6458">
        <v>1</v>
      </c>
      <c r="E6458">
        <v>11060</v>
      </c>
      <c r="F6458">
        <v>204543.74</v>
      </c>
      <c r="G6458">
        <v>0</v>
      </c>
      <c r="H6458">
        <v>0</v>
      </c>
      <c r="I6458">
        <v>0</v>
      </c>
      <c r="J6458">
        <v>0</v>
      </c>
      <c r="K6458">
        <v>0</v>
      </c>
      <c r="L6458">
        <v>22000000</v>
      </c>
      <c r="M6458">
        <v>22000000</v>
      </c>
      <c r="N6458">
        <v>22000000</v>
      </c>
      <c r="O6458">
        <v>22000000</v>
      </c>
      <c r="P6458">
        <v>22000000</v>
      </c>
      <c r="Q6458">
        <v>22000000</v>
      </c>
      <c r="R6458" s="14">
        <f>_xlfn.XLOOKUP(Table2[[#This Row],[LoanID]],Table1[G-L ID],Table1[ManagerCode],-99)</f>
        <v>119</v>
      </c>
      <c r="T6458"/>
    </row>
    <row r="6459" spans="1:20" x14ac:dyDescent="0.25">
      <c r="A6459">
        <v>20180131</v>
      </c>
      <c r="B6459">
        <v>2018</v>
      </c>
      <c r="C6459">
        <v>1</v>
      </c>
      <c r="D6459">
        <v>1</v>
      </c>
      <c r="E6459">
        <v>11080</v>
      </c>
      <c r="F6459">
        <v>356600.1</v>
      </c>
      <c r="G6459">
        <v>0</v>
      </c>
      <c r="H6459">
        <v>0</v>
      </c>
      <c r="I6459">
        <v>0</v>
      </c>
      <c r="J6459">
        <v>0</v>
      </c>
      <c r="K6459">
        <v>61919.27</v>
      </c>
      <c r="L6459">
        <v>39194899.789999999</v>
      </c>
      <c r="M6459">
        <v>39132980.520000003</v>
      </c>
      <c r="N6459">
        <v>39194899.789999999</v>
      </c>
      <c r="O6459">
        <v>39132980.520000003</v>
      </c>
      <c r="P6459">
        <v>39194899.789999999</v>
      </c>
      <c r="Q6459">
        <v>39132980.520000003</v>
      </c>
      <c r="R6459" s="14">
        <f>_xlfn.XLOOKUP(Table2[[#This Row],[LoanID]],Table1[G-L ID],Table1[ManagerCode],-99)</f>
        <v>119</v>
      </c>
      <c r="T6459"/>
    </row>
    <row r="6460" spans="1:20" x14ac:dyDescent="0.25">
      <c r="A6460">
        <v>20180131</v>
      </c>
      <c r="B6460">
        <v>2018</v>
      </c>
      <c r="C6460">
        <v>1</v>
      </c>
      <c r="D6460">
        <v>1</v>
      </c>
      <c r="E6460">
        <v>11090</v>
      </c>
      <c r="F6460">
        <v>0</v>
      </c>
      <c r="G6460">
        <v>0</v>
      </c>
      <c r="H6460">
        <v>0</v>
      </c>
      <c r="I6460">
        <v>0</v>
      </c>
      <c r="J6460">
        <v>0</v>
      </c>
      <c r="K6460">
        <v>0</v>
      </c>
      <c r="L6460">
        <v>10940000</v>
      </c>
      <c r="M6460">
        <v>10940000</v>
      </c>
      <c r="N6460">
        <v>10940000</v>
      </c>
      <c r="O6460">
        <v>10940000</v>
      </c>
      <c r="P6460">
        <v>10940000</v>
      </c>
      <c r="Q6460">
        <v>10940000</v>
      </c>
      <c r="R6460" s="14">
        <f>_xlfn.XLOOKUP(Table2[[#This Row],[LoanID]],Table1[G-L ID],Table1[ManagerCode],-99)</f>
        <v>119</v>
      </c>
      <c r="T6460"/>
    </row>
    <row r="6461" spans="1:20" x14ac:dyDescent="0.25">
      <c r="A6461">
        <v>20180131</v>
      </c>
      <c r="B6461">
        <v>2018</v>
      </c>
      <c r="C6461">
        <v>1</v>
      </c>
      <c r="D6461">
        <v>1</v>
      </c>
      <c r="E6461">
        <v>11150</v>
      </c>
      <c r="F6461">
        <v>116858.61</v>
      </c>
      <c r="G6461">
        <v>0</v>
      </c>
      <c r="H6461">
        <v>0</v>
      </c>
      <c r="I6461">
        <v>0</v>
      </c>
      <c r="J6461">
        <v>0</v>
      </c>
      <c r="K6461">
        <v>0</v>
      </c>
      <c r="L6461">
        <v>10228684.119999999</v>
      </c>
      <c r="M6461">
        <v>10228684.119999999</v>
      </c>
      <c r="N6461">
        <v>10228684.119999999</v>
      </c>
      <c r="O6461">
        <v>10228684.119999999</v>
      </c>
      <c r="P6461">
        <v>10228684.119999999</v>
      </c>
      <c r="Q6461">
        <v>10228684.119999999</v>
      </c>
      <c r="R6461" s="14">
        <f>_xlfn.XLOOKUP(Table2[[#This Row],[LoanID]],Table1[G-L ID],Table1[ManagerCode],-99)</f>
        <v>119</v>
      </c>
      <c r="T6461"/>
    </row>
    <row r="6462" spans="1:20" x14ac:dyDescent="0.25">
      <c r="A6462">
        <v>20180131</v>
      </c>
      <c r="B6462">
        <v>2018</v>
      </c>
      <c r="C6462">
        <v>1</v>
      </c>
      <c r="D6462">
        <v>1</v>
      </c>
      <c r="E6462">
        <v>11160</v>
      </c>
      <c r="F6462">
        <v>292779.68</v>
      </c>
      <c r="G6462">
        <v>182179.95</v>
      </c>
      <c r="H6462">
        <v>0</v>
      </c>
      <c r="I6462">
        <v>0</v>
      </c>
      <c r="J6462">
        <v>-279370.36</v>
      </c>
      <c r="K6462">
        <v>2452927.2400000002</v>
      </c>
      <c r="L6462">
        <v>82154882.590000004</v>
      </c>
      <c r="M6462">
        <v>78180327.290000007</v>
      </c>
      <c r="N6462">
        <v>57884950.939999998</v>
      </c>
      <c r="O6462">
        <v>55893574.009999998</v>
      </c>
      <c r="P6462">
        <v>82154882.590000004</v>
      </c>
      <c r="Q6462">
        <v>78180327.290000007</v>
      </c>
      <c r="R6462" s="14">
        <f>_xlfn.XLOOKUP(Table2[[#This Row],[LoanID]],Table1[G-L ID],Table1[ManagerCode],-99)</f>
        <v>183</v>
      </c>
      <c r="T6462"/>
    </row>
    <row r="6463" spans="1:20" x14ac:dyDescent="0.25">
      <c r="A6463">
        <v>20180131</v>
      </c>
      <c r="B6463">
        <v>2018</v>
      </c>
      <c r="C6463">
        <v>1</v>
      </c>
      <c r="D6463">
        <v>1</v>
      </c>
      <c r="E6463">
        <v>11210</v>
      </c>
      <c r="F6463">
        <v>61024.79</v>
      </c>
      <c r="G6463">
        <v>0</v>
      </c>
      <c r="H6463">
        <v>0</v>
      </c>
      <c r="I6463">
        <v>0</v>
      </c>
      <c r="J6463">
        <v>0</v>
      </c>
      <c r="K6463">
        <v>0</v>
      </c>
      <c r="L6463">
        <v>7500000</v>
      </c>
      <c r="M6463">
        <v>7500000</v>
      </c>
      <c r="N6463">
        <v>7500000</v>
      </c>
      <c r="O6463">
        <v>7500000</v>
      </c>
      <c r="P6463">
        <v>7500000</v>
      </c>
      <c r="Q6463">
        <v>7500000</v>
      </c>
      <c r="R6463" s="14">
        <f>_xlfn.XLOOKUP(Table2[[#This Row],[LoanID]],Table1[G-L ID],Table1[ManagerCode],-99)</f>
        <v>119</v>
      </c>
      <c r="T6463"/>
    </row>
    <row r="6464" spans="1:20" x14ac:dyDescent="0.25">
      <c r="A6464">
        <v>20180131</v>
      </c>
      <c r="B6464">
        <v>2018</v>
      </c>
      <c r="C6464">
        <v>1</v>
      </c>
      <c r="D6464">
        <v>1</v>
      </c>
      <c r="E6464">
        <v>11340</v>
      </c>
      <c r="F6464">
        <v>291686.48</v>
      </c>
      <c r="G6464">
        <v>0</v>
      </c>
      <c r="H6464">
        <v>0</v>
      </c>
      <c r="I6464">
        <v>0</v>
      </c>
      <c r="J6464">
        <v>0</v>
      </c>
      <c r="K6464">
        <v>67034.67</v>
      </c>
      <c r="L6464">
        <v>47906480</v>
      </c>
      <c r="M6464">
        <v>47840115.689999998</v>
      </c>
      <c r="N6464">
        <v>47906480</v>
      </c>
      <c r="O6464">
        <v>47840115.689999998</v>
      </c>
      <c r="P6464">
        <v>48390383.840000004</v>
      </c>
      <c r="Q6464">
        <v>48323349.170000002</v>
      </c>
      <c r="R6464" s="14">
        <f>_xlfn.XLOOKUP(Table2[[#This Row],[LoanID]],Table1[G-L ID],Table1[ManagerCode],-99)</f>
        <v>103</v>
      </c>
      <c r="T6464"/>
    </row>
    <row r="6465" spans="1:20" x14ac:dyDescent="0.25">
      <c r="A6465">
        <v>20180131</v>
      </c>
      <c r="B6465">
        <v>2018</v>
      </c>
      <c r="C6465">
        <v>1</v>
      </c>
      <c r="D6465">
        <v>1</v>
      </c>
      <c r="E6465">
        <v>11350</v>
      </c>
      <c r="F6465">
        <v>331527.78000000003</v>
      </c>
      <c r="G6465">
        <v>0</v>
      </c>
      <c r="H6465">
        <v>0</v>
      </c>
      <c r="I6465">
        <v>0</v>
      </c>
      <c r="J6465">
        <v>0</v>
      </c>
      <c r="K6465">
        <v>0</v>
      </c>
      <c r="L6465">
        <v>54449945.549999997</v>
      </c>
      <c r="M6465">
        <v>54449945.549999997</v>
      </c>
      <c r="N6465">
        <v>54449945.549999997</v>
      </c>
      <c r="O6465">
        <v>54449945.549999997</v>
      </c>
      <c r="P6465">
        <v>55000000</v>
      </c>
      <c r="Q6465">
        <v>55000000</v>
      </c>
      <c r="R6465" s="14">
        <f>_xlfn.XLOOKUP(Table2[[#This Row],[LoanID]],Table1[G-L ID],Table1[ManagerCode],-99)</f>
        <v>103</v>
      </c>
      <c r="T6465"/>
    </row>
    <row r="6466" spans="1:20" x14ac:dyDescent="0.25">
      <c r="A6466">
        <v>20180131</v>
      </c>
      <c r="B6466">
        <v>2018</v>
      </c>
      <c r="C6466">
        <v>1</v>
      </c>
      <c r="D6466">
        <v>1</v>
      </c>
      <c r="E6466">
        <v>11360</v>
      </c>
      <c r="F6466">
        <v>69126.94</v>
      </c>
      <c r="G6466">
        <v>0</v>
      </c>
      <c r="H6466">
        <v>0</v>
      </c>
      <c r="I6466">
        <v>0</v>
      </c>
      <c r="J6466">
        <v>0</v>
      </c>
      <c r="K6466">
        <v>0</v>
      </c>
      <c r="L6466">
        <v>7537500</v>
      </c>
      <c r="M6466">
        <v>7537500</v>
      </c>
      <c r="N6466">
        <v>7537500</v>
      </c>
      <c r="O6466">
        <v>7537500</v>
      </c>
      <c r="P6466">
        <v>7537500</v>
      </c>
      <c r="Q6466">
        <v>7537500</v>
      </c>
      <c r="R6466" s="14">
        <f>_xlfn.XLOOKUP(Table2[[#This Row],[LoanID]],Table1[G-L ID],Table1[ManagerCode],-99)</f>
        <v>119</v>
      </c>
      <c r="T6466"/>
    </row>
    <row r="6467" spans="1:20" x14ac:dyDescent="0.25">
      <c r="A6467">
        <v>20180131</v>
      </c>
      <c r="B6467">
        <v>2018</v>
      </c>
      <c r="C6467">
        <v>1</v>
      </c>
      <c r="D6467">
        <v>1</v>
      </c>
      <c r="E6467">
        <v>11410</v>
      </c>
      <c r="F6467">
        <v>119639.33</v>
      </c>
      <c r="G6467">
        <v>0</v>
      </c>
      <c r="H6467">
        <v>0</v>
      </c>
      <c r="I6467">
        <v>0</v>
      </c>
      <c r="J6467">
        <v>0</v>
      </c>
      <c r="K6467">
        <v>0</v>
      </c>
      <c r="L6467">
        <v>12000000</v>
      </c>
      <c r="M6467">
        <v>12000000</v>
      </c>
      <c r="N6467">
        <v>12000000</v>
      </c>
      <c r="O6467">
        <v>12000000</v>
      </c>
      <c r="P6467">
        <v>12000000</v>
      </c>
      <c r="Q6467">
        <v>12000000</v>
      </c>
      <c r="R6467" s="14">
        <f>_xlfn.XLOOKUP(Table2[[#This Row],[LoanID]],Table1[G-L ID],Table1[ManagerCode],-99)</f>
        <v>119</v>
      </c>
      <c r="T6467"/>
    </row>
    <row r="6468" spans="1:20" x14ac:dyDescent="0.25">
      <c r="A6468">
        <v>20180131</v>
      </c>
      <c r="B6468">
        <v>2018</v>
      </c>
      <c r="C6468">
        <v>1</v>
      </c>
      <c r="D6468">
        <v>1</v>
      </c>
      <c r="E6468">
        <v>11440</v>
      </c>
      <c r="F6468">
        <v>156250</v>
      </c>
      <c r="G6468">
        <v>0</v>
      </c>
      <c r="H6468">
        <v>0</v>
      </c>
      <c r="I6468">
        <v>0</v>
      </c>
      <c r="J6468">
        <v>0</v>
      </c>
      <c r="K6468">
        <v>0</v>
      </c>
      <c r="L6468">
        <v>18750000</v>
      </c>
      <c r="M6468">
        <v>18750000</v>
      </c>
      <c r="N6468">
        <v>18750000</v>
      </c>
      <c r="O6468">
        <v>18750000</v>
      </c>
      <c r="P6468">
        <v>18750000</v>
      </c>
      <c r="Q6468">
        <v>18750000</v>
      </c>
      <c r="R6468" s="14">
        <f>_xlfn.XLOOKUP(Table2[[#This Row],[LoanID]],Table1[G-L ID],Table1[ManagerCode],-99)</f>
        <v>183</v>
      </c>
      <c r="T6468"/>
    </row>
    <row r="6469" spans="1:20" x14ac:dyDescent="0.25">
      <c r="A6469">
        <v>20180131</v>
      </c>
      <c r="B6469">
        <v>2018</v>
      </c>
      <c r="C6469">
        <v>1</v>
      </c>
      <c r="D6469">
        <v>1</v>
      </c>
      <c r="E6469">
        <v>11450</v>
      </c>
      <c r="F6469">
        <v>148085.82999999999</v>
      </c>
      <c r="G6469">
        <v>0</v>
      </c>
      <c r="H6469">
        <v>0</v>
      </c>
      <c r="I6469">
        <v>0</v>
      </c>
      <c r="J6469">
        <v>-35779.870000000003</v>
      </c>
      <c r="K6469">
        <v>0</v>
      </c>
      <c r="L6469">
        <v>16484915.27</v>
      </c>
      <c r="M6469">
        <v>16520695.140000001</v>
      </c>
      <c r="N6469">
        <v>16484915.27</v>
      </c>
      <c r="O6469">
        <v>16520695.140000001</v>
      </c>
      <c r="P6469">
        <v>16484915.27</v>
      </c>
      <c r="Q6469">
        <v>16520695.140000001</v>
      </c>
      <c r="R6469" s="14">
        <f>_xlfn.XLOOKUP(Table2[[#This Row],[LoanID]],Table1[G-L ID],Table1[ManagerCode],-99)</f>
        <v>119</v>
      </c>
      <c r="T6469"/>
    </row>
    <row r="6470" spans="1:20" x14ac:dyDescent="0.25">
      <c r="A6470">
        <v>20180131</v>
      </c>
      <c r="B6470">
        <v>2018</v>
      </c>
      <c r="C6470">
        <v>1</v>
      </c>
      <c r="D6470">
        <v>1</v>
      </c>
      <c r="E6470">
        <v>11480</v>
      </c>
      <c r="F6470">
        <v>450757.22</v>
      </c>
      <c r="G6470">
        <v>0</v>
      </c>
      <c r="H6470">
        <v>0</v>
      </c>
      <c r="I6470">
        <v>0</v>
      </c>
      <c r="J6470">
        <v>0</v>
      </c>
      <c r="K6470">
        <v>0</v>
      </c>
      <c r="L6470">
        <v>66500000</v>
      </c>
      <c r="M6470">
        <v>70000000</v>
      </c>
      <c r="N6470">
        <v>66500000</v>
      </c>
      <c r="O6470">
        <v>70000000</v>
      </c>
      <c r="P6470">
        <v>70000000</v>
      </c>
      <c r="Q6470">
        <v>70000000</v>
      </c>
      <c r="R6470" s="14">
        <f>_xlfn.XLOOKUP(Table2[[#This Row],[LoanID]],Table1[G-L ID],Table1[ManagerCode],-99)</f>
        <v>103</v>
      </c>
      <c r="T6470"/>
    </row>
    <row r="6471" spans="1:20" x14ac:dyDescent="0.25">
      <c r="A6471">
        <v>20180131</v>
      </c>
      <c r="B6471">
        <v>2018</v>
      </c>
      <c r="C6471">
        <v>1</v>
      </c>
      <c r="D6471">
        <v>1</v>
      </c>
      <c r="E6471">
        <v>11490</v>
      </c>
      <c r="F6471">
        <v>413367.78</v>
      </c>
      <c r="G6471">
        <v>0</v>
      </c>
      <c r="H6471">
        <v>0</v>
      </c>
      <c r="I6471">
        <v>0</v>
      </c>
      <c r="J6471">
        <v>0</v>
      </c>
      <c r="K6471">
        <v>0</v>
      </c>
      <c r="L6471">
        <v>52250000</v>
      </c>
      <c r="M6471">
        <v>52250000</v>
      </c>
      <c r="N6471">
        <v>52250000</v>
      </c>
      <c r="O6471">
        <v>52250000</v>
      </c>
      <c r="P6471">
        <v>55000000</v>
      </c>
      <c r="Q6471">
        <v>55000000</v>
      </c>
      <c r="R6471" s="14">
        <f>_xlfn.XLOOKUP(Table2[[#This Row],[LoanID]],Table1[G-L ID],Table1[ManagerCode],-99)</f>
        <v>103</v>
      </c>
      <c r="T6471"/>
    </row>
    <row r="6472" spans="1:20" x14ac:dyDescent="0.25">
      <c r="A6472">
        <v>20180131</v>
      </c>
      <c r="B6472">
        <v>2018</v>
      </c>
      <c r="C6472">
        <v>1</v>
      </c>
      <c r="D6472">
        <v>1</v>
      </c>
      <c r="E6472">
        <v>11520</v>
      </c>
      <c r="F6472">
        <v>52741.04</v>
      </c>
      <c r="G6472">
        <v>0</v>
      </c>
      <c r="H6472">
        <v>0</v>
      </c>
      <c r="I6472">
        <v>0</v>
      </c>
      <c r="J6472">
        <v>-363433.07</v>
      </c>
      <c r="K6472">
        <v>0</v>
      </c>
      <c r="L6472">
        <v>5934731.2999999998</v>
      </c>
      <c r="M6472">
        <v>6298164.3700000001</v>
      </c>
      <c r="N6472">
        <v>5934731.2999999998</v>
      </c>
      <c r="O6472">
        <v>6298164.3700000001</v>
      </c>
      <c r="P6472">
        <v>5934731.2999999998</v>
      </c>
      <c r="Q6472">
        <v>6298164.3700000001</v>
      </c>
      <c r="R6472" s="14">
        <f>_xlfn.XLOOKUP(Table2[[#This Row],[LoanID]],Table1[G-L ID],Table1[ManagerCode],-99)</f>
        <v>119</v>
      </c>
      <c r="T6472"/>
    </row>
    <row r="6473" spans="1:20" x14ac:dyDescent="0.25">
      <c r="A6473">
        <v>20180131</v>
      </c>
      <c r="B6473">
        <v>2018</v>
      </c>
      <c r="C6473">
        <v>1</v>
      </c>
      <c r="D6473">
        <v>1</v>
      </c>
      <c r="E6473">
        <v>11530</v>
      </c>
      <c r="F6473">
        <v>150669.22</v>
      </c>
      <c r="G6473">
        <v>0</v>
      </c>
      <c r="H6473">
        <v>0</v>
      </c>
      <c r="I6473">
        <v>0</v>
      </c>
      <c r="J6473">
        <v>0</v>
      </c>
      <c r="K6473">
        <v>0</v>
      </c>
      <c r="L6473">
        <v>14260454.08</v>
      </c>
      <c r="M6473">
        <v>14260454.08</v>
      </c>
      <c r="N6473">
        <v>14260454.08</v>
      </c>
      <c r="O6473">
        <v>14260454.08</v>
      </c>
      <c r="P6473">
        <v>14260454.08</v>
      </c>
      <c r="Q6473">
        <v>14260454.08</v>
      </c>
      <c r="R6473" s="14">
        <f>_xlfn.XLOOKUP(Table2[[#This Row],[LoanID]],Table1[G-L ID],Table1[ManagerCode],-99)</f>
        <v>119</v>
      </c>
      <c r="T6473"/>
    </row>
    <row r="6474" spans="1:20" x14ac:dyDescent="0.25">
      <c r="A6474">
        <v>20180131</v>
      </c>
      <c r="B6474">
        <v>2018</v>
      </c>
      <c r="C6474">
        <v>1</v>
      </c>
      <c r="D6474">
        <v>1</v>
      </c>
      <c r="E6474">
        <v>11590</v>
      </c>
      <c r="F6474">
        <v>15328.6</v>
      </c>
      <c r="G6474">
        <v>0</v>
      </c>
      <c r="H6474">
        <v>0</v>
      </c>
      <c r="I6474">
        <v>0</v>
      </c>
      <c r="J6474">
        <v>0</v>
      </c>
      <c r="K6474">
        <v>0</v>
      </c>
      <c r="L6474">
        <v>1982289.13</v>
      </c>
      <c r="M6474">
        <v>1982289.13</v>
      </c>
      <c r="N6474">
        <v>1982289.13</v>
      </c>
      <c r="O6474">
        <v>1982289.13</v>
      </c>
      <c r="P6474">
        <v>1982289.13</v>
      </c>
      <c r="Q6474">
        <v>1982289.13</v>
      </c>
      <c r="R6474" s="14">
        <f>_xlfn.XLOOKUP(Table2[[#This Row],[LoanID]],Table1[G-L ID],Table1[ManagerCode],-99)</f>
        <v>119</v>
      </c>
      <c r="T6474"/>
    </row>
    <row r="6475" spans="1:20" x14ac:dyDescent="0.25">
      <c r="A6475">
        <v>20180131</v>
      </c>
      <c r="B6475">
        <v>2018</v>
      </c>
      <c r="C6475">
        <v>1</v>
      </c>
      <c r="D6475">
        <v>1</v>
      </c>
      <c r="E6475">
        <v>11680</v>
      </c>
      <c r="F6475">
        <v>57126.559999999998</v>
      </c>
      <c r="G6475">
        <v>0</v>
      </c>
      <c r="H6475">
        <v>0</v>
      </c>
      <c r="I6475">
        <v>0</v>
      </c>
      <c r="J6475">
        <v>0</v>
      </c>
      <c r="K6475">
        <v>0</v>
      </c>
      <c r="L6475">
        <v>6600000</v>
      </c>
      <c r="M6475">
        <v>6600000</v>
      </c>
      <c r="N6475">
        <v>6600000</v>
      </c>
      <c r="O6475">
        <v>6600000</v>
      </c>
      <c r="P6475">
        <v>6600000</v>
      </c>
      <c r="Q6475">
        <v>6600000</v>
      </c>
      <c r="R6475" s="14">
        <f>_xlfn.XLOOKUP(Table2[[#This Row],[LoanID]],Table1[G-L ID],Table1[ManagerCode],-99)</f>
        <v>183</v>
      </c>
      <c r="T6475"/>
    </row>
    <row r="6476" spans="1:20" x14ac:dyDescent="0.25">
      <c r="A6476">
        <v>20180131</v>
      </c>
      <c r="B6476">
        <v>2018</v>
      </c>
      <c r="C6476">
        <v>1</v>
      </c>
      <c r="D6476">
        <v>1</v>
      </c>
      <c r="E6476">
        <v>11690</v>
      </c>
      <c r="F6476">
        <v>153386.28</v>
      </c>
      <c r="G6476">
        <v>0</v>
      </c>
      <c r="H6476">
        <v>0</v>
      </c>
      <c r="I6476">
        <v>0</v>
      </c>
      <c r="J6476">
        <v>0</v>
      </c>
      <c r="K6476">
        <v>0</v>
      </c>
      <c r="L6476">
        <v>17000000</v>
      </c>
      <c r="M6476">
        <v>17000000</v>
      </c>
      <c r="N6476">
        <v>17000000</v>
      </c>
      <c r="O6476">
        <v>17000000</v>
      </c>
      <c r="P6476">
        <v>17000000</v>
      </c>
      <c r="Q6476">
        <v>17000000</v>
      </c>
      <c r="R6476" s="14">
        <f>_xlfn.XLOOKUP(Table2[[#This Row],[LoanID]],Table1[G-L ID],Table1[ManagerCode],-99)</f>
        <v>119</v>
      </c>
      <c r="T6476"/>
    </row>
    <row r="6477" spans="1:20" x14ac:dyDescent="0.25">
      <c r="A6477">
        <v>20180131</v>
      </c>
      <c r="B6477">
        <v>2018</v>
      </c>
      <c r="C6477">
        <v>1</v>
      </c>
      <c r="D6477">
        <v>1</v>
      </c>
      <c r="E6477">
        <v>11730</v>
      </c>
      <c r="F6477">
        <v>54218.55</v>
      </c>
      <c r="G6477">
        <v>0</v>
      </c>
      <c r="H6477">
        <v>0</v>
      </c>
      <c r="I6477">
        <v>0</v>
      </c>
      <c r="J6477">
        <v>0</v>
      </c>
      <c r="K6477">
        <v>8418.86</v>
      </c>
      <c r="L6477">
        <v>4893675</v>
      </c>
      <c r="M6477">
        <v>4885256.1399999997</v>
      </c>
      <c r="N6477">
        <v>4893675</v>
      </c>
      <c r="O6477">
        <v>4885256.1399999997</v>
      </c>
      <c r="P6477">
        <v>4893675</v>
      </c>
      <c r="Q6477">
        <v>4885256.1399999997</v>
      </c>
      <c r="R6477" s="14">
        <f>_xlfn.XLOOKUP(Table2[[#This Row],[LoanID]],Table1[G-L ID],Table1[ManagerCode],-99)</f>
        <v>119</v>
      </c>
      <c r="T6477"/>
    </row>
    <row r="6478" spans="1:20" x14ac:dyDescent="0.25">
      <c r="A6478">
        <v>20180131</v>
      </c>
      <c r="B6478">
        <v>2018</v>
      </c>
      <c r="C6478">
        <v>1</v>
      </c>
      <c r="D6478">
        <v>1</v>
      </c>
      <c r="E6478">
        <v>11750</v>
      </c>
      <c r="F6478">
        <v>259902.13</v>
      </c>
      <c r="G6478">
        <v>126131.74</v>
      </c>
      <c r="H6478">
        <v>0</v>
      </c>
      <c r="I6478">
        <v>0</v>
      </c>
      <c r="J6478">
        <v>0</v>
      </c>
      <c r="K6478">
        <v>0</v>
      </c>
      <c r="L6478">
        <v>54152326.049999997</v>
      </c>
      <c r="M6478">
        <v>54278457.780000001</v>
      </c>
      <c r="N6478">
        <v>54152326.049999997</v>
      </c>
      <c r="O6478">
        <v>54278457.780000001</v>
      </c>
      <c r="P6478">
        <v>54152326.049999997</v>
      </c>
      <c r="Q6478">
        <v>54278457.780000001</v>
      </c>
      <c r="R6478" s="14">
        <f>_xlfn.XLOOKUP(Table2[[#This Row],[LoanID]],Table1[G-L ID],Table1[ManagerCode],-99)</f>
        <v>183</v>
      </c>
      <c r="T6478"/>
    </row>
    <row r="6479" spans="1:20" x14ac:dyDescent="0.25">
      <c r="A6479">
        <v>20180131</v>
      </c>
      <c r="B6479">
        <v>2018</v>
      </c>
      <c r="C6479">
        <v>1</v>
      </c>
      <c r="D6479">
        <v>1</v>
      </c>
      <c r="E6479">
        <v>11830</v>
      </c>
      <c r="F6479">
        <v>97576.99</v>
      </c>
      <c r="G6479">
        <v>0</v>
      </c>
      <c r="H6479">
        <v>0</v>
      </c>
      <c r="I6479">
        <v>0</v>
      </c>
      <c r="J6479">
        <v>-640143.97</v>
      </c>
      <c r="K6479">
        <v>0</v>
      </c>
      <c r="L6479">
        <v>10644899.109999999</v>
      </c>
      <c r="M6479">
        <v>11285043.08</v>
      </c>
      <c r="N6479">
        <v>10644899.109999999</v>
      </c>
      <c r="O6479">
        <v>11285043.08</v>
      </c>
      <c r="P6479">
        <v>10644899.109999999</v>
      </c>
      <c r="Q6479">
        <v>11285043.08</v>
      </c>
      <c r="R6479" s="14">
        <f>_xlfn.XLOOKUP(Table2[[#This Row],[LoanID]],Table1[G-L ID],Table1[ManagerCode],-99)</f>
        <v>119</v>
      </c>
      <c r="T6479"/>
    </row>
    <row r="6480" spans="1:20" x14ac:dyDescent="0.25">
      <c r="A6480">
        <v>20180131</v>
      </c>
      <c r="B6480">
        <v>2018</v>
      </c>
      <c r="C6480">
        <v>1</v>
      </c>
      <c r="D6480">
        <v>1</v>
      </c>
      <c r="E6480">
        <v>11850</v>
      </c>
      <c r="F6480">
        <v>97500</v>
      </c>
      <c r="G6480">
        <v>0</v>
      </c>
      <c r="H6480">
        <v>0</v>
      </c>
      <c r="I6480">
        <v>0</v>
      </c>
      <c r="J6480">
        <v>0</v>
      </c>
      <c r="K6480">
        <v>0</v>
      </c>
      <c r="L6480">
        <v>9000000</v>
      </c>
      <c r="M6480">
        <v>9000000</v>
      </c>
      <c r="N6480">
        <v>9000000</v>
      </c>
      <c r="O6480">
        <v>9000000</v>
      </c>
      <c r="P6480">
        <v>9000000</v>
      </c>
      <c r="Q6480">
        <v>9000000</v>
      </c>
      <c r="R6480" s="14">
        <f>_xlfn.XLOOKUP(Table2[[#This Row],[LoanID]],Table1[G-L ID],Table1[ManagerCode],-99)</f>
        <v>183</v>
      </c>
      <c r="T6480"/>
    </row>
    <row r="6481" spans="1:20" x14ac:dyDescent="0.25">
      <c r="A6481">
        <v>20180131</v>
      </c>
      <c r="B6481">
        <v>2018</v>
      </c>
      <c r="C6481">
        <v>1</v>
      </c>
      <c r="D6481">
        <v>1</v>
      </c>
      <c r="E6481">
        <v>11980</v>
      </c>
      <c r="F6481">
        <v>72212.61</v>
      </c>
      <c r="G6481">
        <v>0</v>
      </c>
      <c r="H6481">
        <v>0</v>
      </c>
      <c r="I6481">
        <v>0</v>
      </c>
      <c r="J6481">
        <v>0</v>
      </c>
      <c r="K6481">
        <v>0</v>
      </c>
      <c r="L6481">
        <v>7400000</v>
      </c>
      <c r="M6481">
        <v>7400000</v>
      </c>
      <c r="N6481">
        <v>7400000</v>
      </c>
      <c r="O6481">
        <v>7400000</v>
      </c>
      <c r="P6481">
        <v>7400000</v>
      </c>
      <c r="Q6481">
        <v>7400000</v>
      </c>
      <c r="R6481" s="14">
        <f>_xlfn.XLOOKUP(Table2[[#This Row],[LoanID]],Table1[G-L ID],Table1[ManagerCode],-99)</f>
        <v>119</v>
      </c>
      <c r="T6481"/>
    </row>
    <row r="6482" spans="1:20" x14ac:dyDescent="0.25">
      <c r="A6482">
        <v>20180131</v>
      </c>
      <c r="B6482">
        <v>2018</v>
      </c>
      <c r="C6482">
        <v>1</v>
      </c>
      <c r="D6482">
        <v>1</v>
      </c>
      <c r="E6482">
        <v>12030</v>
      </c>
      <c r="F6482">
        <v>46115.08</v>
      </c>
      <c r="G6482">
        <v>0</v>
      </c>
      <c r="H6482">
        <v>0</v>
      </c>
      <c r="I6482">
        <v>0</v>
      </c>
      <c r="J6482">
        <v>0</v>
      </c>
      <c r="K6482">
        <v>0</v>
      </c>
      <c r="L6482">
        <v>6375000</v>
      </c>
      <c r="M6482">
        <v>6375000</v>
      </c>
      <c r="N6482">
        <v>6375000</v>
      </c>
      <c r="O6482">
        <v>6375000</v>
      </c>
      <c r="P6482">
        <v>6375000</v>
      </c>
      <c r="Q6482">
        <v>6375000</v>
      </c>
      <c r="R6482" s="14">
        <f>_xlfn.XLOOKUP(Table2[[#This Row],[LoanID]],Table1[G-L ID],Table1[ManagerCode],-99)</f>
        <v>119</v>
      </c>
      <c r="T6482"/>
    </row>
    <row r="6483" spans="1:20" x14ac:dyDescent="0.25">
      <c r="A6483">
        <v>20180131</v>
      </c>
      <c r="B6483">
        <v>2018</v>
      </c>
      <c r="C6483">
        <v>1</v>
      </c>
      <c r="D6483">
        <v>1</v>
      </c>
      <c r="E6483">
        <v>12180</v>
      </c>
      <c r="F6483">
        <v>234971.6</v>
      </c>
      <c r="G6483">
        <v>0</v>
      </c>
      <c r="H6483">
        <v>0</v>
      </c>
      <c r="I6483">
        <v>0</v>
      </c>
      <c r="J6483">
        <v>0</v>
      </c>
      <c r="K6483">
        <v>0</v>
      </c>
      <c r="L6483">
        <v>30393210.870000001</v>
      </c>
      <c r="M6483">
        <v>30400000</v>
      </c>
      <c r="N6483">
        <v>30393210.870000001</v>
      </c>
      <c r="O6483">
        <v>30400000</v>
      </c>
      <c r="P6483">
        <v>30393210.870000001</v>
      </c>
      <c r="Q6483">
        <v>30393210.870000001</v>
      </c>
      <c r="R6483" s="14">
        <f>_xlfn.XLOOKUP(Table2[[#This Row],[LoanID]],Table1[G-L ID],Table1[ManagerCode],-99)</f>
        <v>220</v>
      </c>
      <c r="T6483"/>
    </row>
    <row r="6484" spans="1:20" x14ac:dyDescent="0.25">
      <c r="A6484">
        <v>20180131</v>
      </c>
      <c r="B6484">
        <v>2018</v>
      </c>
      <c r="C6484">
        <v>1</v>
      </c>
      <c r="D6484">
        <v>1</v>
      </c>
      <c r="E6484">
        <v>12220</v>
      </c>
      <c r="F6484">
        <v>183757.96</v>
      </c>
      <c r="G6484">
        <v>0</v>
      </c>
      <c r="H6484">
        <v>0</v>
      </c>
      <c r="I6484">
        <v>0</v>
      </c>
      <c r="J6484">
        <v>0</v>
      </c>
      <c r="K6484">
        <v>0</v>
      </c>
      <c r="L6484">
        <v>54500000</v>
      </c>
      <c r="M6484">
        <v>54500000</v>
      </c>
      <c r="N6484">
        <v>27250000</v>
      </c>
      <c r="O6484">
        <v>27250000</v>
      </c>
      <c r="P6484">
        <v>54500000</v>
      </c>
      <c r="Q6484">
        <v>54500000</v>
      </c>
      <c r="R6484" s="14">
        <f>_xlfn.XLOOKUP(Table2[[#This Row],[LoanID]],Table1[G-L ID],Table1[ManagerCode],-99)</f>
        <v>183</v>
      </c>
      <c r="T6484"/>
    </row>
    <row r="6485" spans="1:20" x14ac:dyDescent="0.25">
      <c r="A6485">
        <v>20180131</v>
      </c>
      <c r="B6485">
        <v>2018</v>
      </c>
      <c r="C6485">
        <v>1</v>
      </c>
      <c r="D6485">
        <v>1</v>
      </c>
      <c r="E6485">
        <v>12250</v>
      </c>
      <c r="F6485">
        <v>99433.17</v>
      </c>
      <c r="G6485">
        <v>0</v>
      </c>
      <c r="H6485">
        <v>0</v>
      </c>
      <c r="I6485">
        <v>0</v>
      </c>
      <c r="J6485">
        <v>-128964.74</v>
      </c>
      <c r="K6485">
        <v>0</v>
      </c>
      <c r="L6485">
        <v>10718375.42</v>
      </c>
      <c r="M6485">
        <v>10847340.16</v>
      </c>
      <c r="N6485">
        <v>10718375.42</v>
      </c>
      <c r="O6485">
        <v>10847340.16</v>
      </c>
      <c r="P6485">
        <v>10718375.42</v>
      </c>
      <c r="Q6485">
        <v>10847340.16</v>
      </c>
      <c r="R6485" s="14">
        <f>_xlfn.XLOOKUP(Table2[[#This Row],[LoanID]],Table1[G-L ID],Table1[ManagerCode],-99)</f>
        <v>119</v>
      </c>
      <c r="T6485"/>
    </row>
    <row r="6486" spans="1:20" x14ac:dyDescent="0.25">
      <c r="A6486">
        <v>20180131</v>
      </c>
      <c r="B6486">
        <v>2018</v>
      </c>
      <c r="C6486">
        <v>1</v>
      </c>
      <c r="D6486">
        <v>1</v>
      </c>
      <c r="E6486">
        <v>12260</v>
      </c>
      <c r="F6486">
        <v>116626.05</v>
      </c>
      <c r="G6486">
        <v>0</v>
      </c>
      <c r="H6486">
        <v>0</v>
      </c>
      <c r="I6486">
        <v>0</v>
      </c>
      <c r="J6486">
        <v>0</v>
      </c>
      <c r="K6486">
        <v>0</v>
      </c>
      <c r="L6486">
        <v>11470448.4</v>
      </c>
      <c r="M6486">
        <v>11470448.4</v>
      </c>
      <c r="N6486">
        <v>11470448.4</v>
      </c>
      <c r="O6486">
        <v>11470448.4</v>
      </c>
      <c r="P6486">
        <v>11470448.4</v>
      </c>
      <c r="Q6486">
        <v>11470448.4</v>
      </c>
      <c r="R6486" s="14">
        <f>_xlfn.XLOOKUP(Table2[[#This Row],[LoanID]],Table1[G-L ID],Table1[ManagerCode],-99)</f>
        <v>119</v>
      </c>
      <c r="T6486"/>
    </row>
    <row r="6487" spans="1:20" x14ac:dyDescent="0.25">
      <c r="A6487">
        <v>20180131</v>
      </c>
      <c r="B6487">
        <v>2018</v>
      </c>
      <c r="C6487">
        <v>1</v>
      </c>
      <c r="D6487">
        <v>1</v>
      </c>
      <c r="E6487">
        <v>12270</v>
      </c>
      <c r="F6487">
        <v>35078.11</v>
      </c>
      <c r="G6487">
        <v>0</v>
      </c>
      <c r="H6487">
        <v>0</v>
      </c>
      <c r="I6487">
        <v>0</v>
      </c>
      <c r="J6487">
        <v>0</v>
      </c>
      <c r="K6487">
        <v>0</v>
      </c>
      <c r="L6487">
        <v>9728830.3800000008</v>
      </c>
      <c r="M6487">
        <v>9728830.3800000008</v>
      </c>
      <c r="N6487">
        <v>9728830.3800000008</v>
      </c>
      <c r="O6487">
        <v>9728830.3800000008</v>
      </c>
      <c r="P6487">
        <v>9728830.3800000008</v>
      </c>
      <c r="Q6487">
        <v>9728830.3800000008</v>
      </c>
      <c r="R6487" s="14">
        <f>_xlfn.XLOOKUP(Table2[[#This Row],[LoanID]],Table1[G-L ID],Table1[ManagerCode],-99)</f>
        <v>119</v>
      </c>
      <c r="T6487"/>
    </row>
    <row r="6488" spans="1:20" x14ac:dyDescent="0.25">
      <c r="A6488">
        <v>20180131</v>
      </c>
      <c r="B6488">
        <v>2018</v>
      </c>
      <c r="C6488">
        <v>1</v>
      </c>
      <c r="D6488">
        <v>1</v>
      </c>
      <c r="E6488">
        <v>12280</v>
      </c>
      <c r="F6488">
        <v>153234.89000000001</v>
      </c>
      <c r="G6488">
        <v>0</v>
      </c>
      <c r="H6488">
        <v>0</v>
      </c>
      <c r="I6488">
        <v>0</v>
      </c>
      <c r="J6488">
        <v>-1052998.33</v>
      </c>
      <c r="K6488">
        <v>0</v>
      </c>
      <c r="L6488">
        <v>16839876.670000002</v>
      </c>
      <c r="M6488">
        <v>17892875</v>
      </c>
      <c r="N6488">
        <v>16839876.670000002</v>
      </c>
      <c r="O6488">
        <v>17892875</v>
      </c>
      <c r="P6488">
        <v>16839876.670000002</v>
      </c>
      <c r="Q6488">
        <v>17892875</v>
      </c>
      <c r="R6488" s="14">
        <f>_xlfn.XLOOKUP(Table2[[#This Row],[LoanID]],Table1[G-L ID],Table1[ManagerCode],-99)</f>
        <v>119</v>
      </c>
      <c r="T6488"/>
    </row>
    <row r="6489" spans="1:20" x14ac:dyDescent="0.25">
      <c r="A6489">
        <v>20180131</v>
      </c>
      <c r="B6489">
        <v>2018</v>
      </c>
      <c r="C6489">
        <v>1</v>
      </c>
      <c r="D6489">
        <v>1</v>
      </c>
      <c r="E6489">
        <v>12290</v>
      </c>
      <c r="F6489">
        <v>210354.09</v>
      </c>
      <c r="G6489">
        <v>0</v>
      </c>
      <c r="H6489">
        <v>0</v>
      </c>
      <c r="I6489">
        <v>0</v>
      </c>
      <c r="J6489">
        <v>0</v>
      </c>
      <c r="K6489">
        <v>0</v>
      </c>
      <c r="L6489">
        <v>22750000</v>
      </c>
      <c r="M6489">
        <v>22750000</v>
      </c>
      <c r="N6489">
        <v>22750000</v>
      </c>
      <c r="O6489">
        <v>22750000</v>
      </c>
      <c r="P6489">
        <v>22750000</v>
      </c>
      <c r="Q6489">
        <v>22750000</v>
      </c>
      <c r="R6489" s="14">
        <f>_xlfn.XLOOKUP(Table2[[#This Row],[LoanID]],Table1[G-L ID],Table1[ManagerCode],-99)</f>
        <v>119</v>
      </c>
      <c r="T6489"/>
    </row>
    <row r="6490" spans="1:20" x14ac:dyDescent="0.25">
      <c r="A6490">
        <v>20180131</v>
      </c>
      <c r="B6490">
        <v>2018</v>
      </c>
      <c r="C6490">
        <v>1</v>
      </c>
      <c r="D6490">
        <v>1</v>
      </c>
      <c r="E6490">
        <v>12300</v>
      </c>
      <c r="F6490">
        <v>96763.31</v>
      </c>
      <c r="G6490">
        <v>0</v>
      </c>
      <c r="H6490">
        <v>0</v>
      </c>
      <c r="I6490">
        <v>0</v>
      </c>
      <c r="J6490">
        <v>0</v>
      </c>
      <c r="K6490">
        <v>0</v>
      </c>
      <c r="L6490">
        <v>10000000</v>
      </c>
      <c r="M6490">
        <v>10000000</v>
      </c>
      <c r="N6490">
        <v>10000000</v>
      </c>
      <c r="O6490">
        <v>10000000</v>
      </c>
      <c r="P6490">
        <v>10000000</v>
      </c>
      <c r="Q6490">
        <v>10000000</v>
      </c>
      <c r="R6490" s="14">
        <f>_xlfn.XLOOKUP(Table2[[#This Row],[LoanID]],Table1[G-L ID],Table1[ManagerCode],-99)</f>
        <v>119</v>
      </c>
      <c r="T6490"/>
    </row>
    <row r="6491" spans="1:20" x14ac:dyDescent="0.25">
      <c r="A6491">
        <v>20180131</v>
      </c>
      <c r="B6491">
        <v>2018</v>
      </c>
      <c r="C6491">
        <v>1</v>
      </c>
      <c r="D6491">
        <v>1</v>
      </c>
      <c r="E6491">
        <v>12310</v>
      </c>
      <c r="F6491">
        <v>140578.92000000001</v>
      </c>
      <c r="G6491">
        <v>0</v>
      </c>
      <c r="H6491">
        <v>0</v>
      </c>
      <c r="I6491">
        <v>0</v>
      </c>
      <c r="J6491">
        <v>0</v>
      </c>
      <c r="K6491">
        <v>0</v>
      </c>
      <c r="L6491">
        <v>16375000</v>
      </c>
      <c r="M6491">
        <v>16375000</v>
      </c>
      <c r="N6491">
        <v>16375000</v>
      </c>
      <c r="O6491">
        <v>16375000</v>
      </c>
      <c r="P6491">
        <v>16375000</v>
      </c>
      <c r="Q6491">
        <v>16375000</v>
      </c>
      <c r="R6491" s="14">
        <f>_xlfn.XLOOKUP(Table2[[#This Row],[LoanID]],Table1[G-L ID],Table1[ManagerCode],-99)</f>
        <v>119</v>
      </c>
      <c r="T6491"/>
    </row>
    <row r="6492" spans="1:20" x14ac:dyDescent="0.25">
      <c r="A6492">
        <v>20180131</v>
      </c>
      <c r="B6492">
        <v>2018</v>
      </c>
      <c r="C6492">
        <v>1</v>
      </c>
      <c r="D6492">
        <v>1</v>
      </c>
      <c r="E6492">
        <v>12320</v>
      </c>
      <c r="F6492">
        <v>108131.96</v>
      </c>
      <c r="G6492">
        <v>0</v>
      </c>
      <c r="H6492">
        <v>0</v>
      </c>
      <c r="I6492">
        <v>0</v>
      </c>
      <c r="J6492">
        <v>0</v>
      </c>
      <c r="K6492">
        <v>0</v>
      </c>
      <c r="L6492">
        <v>11750000</v>
      </c>
      <c r="M6492">
        <v>11750000</v>
      </c>
      <c r="N6492">
        <v>11750000</v>
      </c>
      <c r="O6492">
        <v>11750000</v>
      </c>
      <c r="P6492">
        <v>11750000</v>
      </c>
      <c r="Q6492">
        <v>11750000</v>
      </c>
      <c r="R6492" s="14">
        <f>_xlfn.XLOOKUP(Table2[[#This Row],[LoanID]],Table1[G-L ID],Table1[ManagerCode],-99)</f>
        <v>119</v>
      </c>
      <c r="T6492"/>
    </row>
    <row r="6493" spans="1:20" x14ac:dyDescent="0.25">
      <c r="A6493">
        <v>20180131</v>
      </c>
      <c r="B6493">
        <v>2018</v>
      </c>
      <c r="C6493">
        <v>1</v>
      </c>
      <c r="D6493">
        <v>1</v>
      </c>
      <c r="E6493">
        <v>12330</v>
      </c>
      <c r="F6493">
        <v>209554.59</v>
      </c>
      <c r="G6493">
        <v>0</v>
      </c>
      <c r="H6493">
        <v>0</v>
      </c>
      <c r="I6493">
        <v>0</v>
      </c>
      <c r="J6493">
        <v>0</v>
      </c>
      <c r="K6493">
        <v>0</v>
      </c>
      <c r="L6493">
        <v>19976500</v>
      </c>
      <c r="M6493">
        <v>19976500</v>
      </c>
      <c r="N6493">
        <v>19976500</v>
      </c>
      <c r="O6493">
        <v>19976500</v>
      </c>
      <c r="P6493">
        <v>19976500</v>
      </c>
      <c r="Q6493">
        <v>19976500</v>
      </c>
      <c r="R6493" s="14">
        <f>_xlfn.XLOOKUP(Table2[[#This Row],[LoanID]],Table1[G-L ID],Table1[ManagerCode],-99)</f>
        <v>119</v>
      </c>
      <c r="T6493"/>
    </row>
    <row r="6494" spans="1:20" x14ac:dyDescent="0.25">
      <c r="A6494">
        <v>20180131</v>
      </c>
      <c r="B6494">
        <v>2018</v>
      </c>
      <c r="C6494">
        <v>1</v>
      </c>
      <c r="D6494">
        <v>1</v>
      </c>
      <c r="E6494">
        <v>12340</v>
      </c>
      <c r="F6494">
        <v>81830</v>
      </c>
      <c r="G6494">
        <v>0</v>
      </c>
      <c r="H6494">
        <v>0</v>
      </c>
      <c r="I6494">
        <v>0</v>
      </c>
      <c r="J6494">
        <v>0</v>
      </c>
      <c r="K6494">
        <v>0</v>
      </c>
      <c r="L6494">
        <v>24000000</v>
      </c>
      <c r="M6494">
        <v>24000000</v>
      </c>
      <c r="N6494">
        <v>12000000</v>
      </c>
      <c r="O6494">
        <v>12000000</v>
      </c>
      <c r="P6494">
        <v>24000000</v>
      </c>
      <c r="Q6494">
        <v>24000000</v>
      </c>
      <c r="R6494" s="14">
        <f>_xlfn.XLOOKUP(Table2[[#This Row],[LoanID]],Table1[G-L ID],Table1[ManagerCode],-99)</f>
        <v>183</v>
      </c>
      <c r="T6494"/>
    </row>
    <row r="6495" spans="1:20" x14ac:dyDescent="0.25">
      <c r="A6495">
        <v>20180131</v>
      </c>
      <c r="B6495">
        <v>2018</v>
      </c>
      <c r="C6495">
        <v>1</v>
      </c>
      <c r="D6495">
        <v>1</v>
      </c>
      <c r="E6495">
        <v>12350</v>
      </c>
      <c r="F6495">
        <v>153901.43</v>
      </c>
      <c r="G6495">
        <v>0</v>
      </c>
      <c r="H6495">
        <v>0</v>
      </c>
      <c r="I6495">
        <v>0</v>
      </c>
      <c r="J6495">
        <v>-1799564.05</v>
      </c>
      <c r="K6495">
        <v>0</v>
      </c>
      <c r="L6495">
        <v>61433157.640000001</v>
      </c>
      <c r="M6495">
        <v>63232721.689999998</v>
      </c>
      <c r="N6495">
        <v>23933157.640000001</v>
      </c>
      <c r="O6495">
        <v>25732721.690000001</v>
      </c>
      <c r="P6495">
        <v>61433157.640000001</v>
      </c>
      <c r="Q6495">
        <v>63232721.689999998</v>
      </c>
      <c r="R6495" s="14">
        <f>_xlfn.XLOOKUP(Table2[[#This Row],[LoanID]],Table1[G-L ID],Table1[ManagerCode],-99)</f>
        <v>183</v>
      </c>
      <c r="T6495"/>
    </row>
    <row r="6496" spans="1:20" x14ac:dyDescent="0.25">
      <c r="A6496">
        <v>20180131</v>
      </c>
      <c r="B6496">
        <v>2018</v>
      </c>
      <c r="C6496">
        <v>1</v>
      </c>
      <c r="D6496">
        <v>1</v>
      </c>
      <c r="E6496">
        <v>12360</v>
      </c>
      <c r="F6496">
        <v>122822.1</v>
      </c>
      <c r="G6496">
        <v>0</v>
      </c>
      <c r="H6496">
        <v>0</v>
      </c>
      <c r="I6496">
        <v>0</v>
      </c>
      <c r="J6496">
        <v>0</v>
      </c>
      <c r="K6496">
        <v>0</v>
      </c>
      <c r="L6496">
        <v>60000000</v>
      </c>
      <c r="M6496">
        <v>60000000</v>
      </c>
      <c r="N6496">
        <v>19000000</v>
      </c>
      <c r="O6496">
        <v>19000000</v>
      </c>
      <c r="P6496">
        <v>60000000</v>
      </c>
      <c r="Q6496">
        <v>60000000</v>
      </c>
      <c r="R6496" s="14">
        <f>_xlfn.XLOOKUP(Table2[[#This Row],[LoanID]],Table1[G-L ID],Table1[ManagerCode],-99)</f>
        <v>183</v>
      </c>
      <c r="T6496"/>
    </row>
    <row r="6497" spans="1:20" x14ac:dyDescent="0.25">
      <c r="A6497">
        <v>20180131</v>
      </c>
      <c r="B6497">
        <v>2018</v>
      </c>
      <c r="C6497">
        <v>1</v>
      </c>
      <c r="D6497">
        <v>1</v>
      </c>
      <c r="E6497">
        <v>12370</v>
      </c>
      <c r="F6497">
        <v>327299.23</v>
      </c>
      <c r="G6497">
        <v>0</v>
      </c>
      <c r="H6497">
        <v>0</v>
      </c>
      <c r="I6497">
        <v>0</v>
      </c>
      <c r="J6497">
        <v>0</v>
      </c>
      <c r="K6497">
        <v>0</v>
      </c>
      <c r="L6497">
        <v>104000000</v>
      </c>
      <c r="M6497">
        <v>104000000</v>
      </c>
      <c r="N6497">
        <v>44000000</v>
      </c>
      <c r="O6497">
        <v>44000000</v>
      </c>
      <c r="P6497">
        <v>104000000</v>
      </c>
      <c r="Q6497">
        <v>104000000</v>
      </c>
      <c r="R6497" s="14">
        <f>_xlfn.XLOOKUP(Table2[[#This Row],[LoanID]],Table1[G-L ID],Table1[ManagerCode],-99)</f>
        <v>183</v>
      </c>
      <c r="T6497"/>
    </row>
    <row r="6498" spans="1:20" x14ac:dyDescent="0.25">
      <c r="A6498">
        <v>20180131</v>
      </c>
      <c r="B6498">
        <v>2018</v>
      </c>
      <c r="C6498">
        <v>1</v>
      </c>
      <c r="D6498">
        <v>1</v>
      </c>
      <c r="E6498">
        <v>12380</v>
      </c>
      <c r="F6498">
        <v>89265.67</v>
      </c>
      <c r="G6498">
        <v>0</v>
      </c>
      <c r="H6498">
        <v>0</v>
      </c>
      <c r="I6498">
        <v>0</v>
      </c>
      <c r="J6498">
        <v>0</v>
      </c>
      <c r="K6498">
        <v>0</v>
      </c>
      <c r="L6498">
        <v>32500000</v>
      </c>
      <c r="M6498">
        <v>32500000</v>
      </c>
      <c r="N6498">
        <v>12350000</v>
      </c>
      <c r="O6498">
        <v>12350000</v>
      </c>
      <c r="P6498">
        <v>32500000</v>
      </c>
      <c r="Q6498">
        <v>32500000</v>
      </c>
      <c r="R6498" s="14">
        <f>_xlfn.XLOOKUP(Table2[[#This Row],[LoanID]],Table1[G-L ID],Table1[ManagerCode],-99)</f>
        <v>183</v>
      </c>
      <c r="T6498"/>
    </row>
    <row r="6499" spans="1:20" x14ac:dyDescent="0.25">
      <c r="A6499">
        <v>20180131</v>
      </c>
      <c r="B6499">
        <v>2018</v>
      </c>
      <c r="C6499">
        <v>1</v>
      </c>
      <c r="D6499">
        <v>1</v>
      </c>
      <c r="E6499">
        <v>12390</v>
      </c>
      <c r="F6499">
        <v>242342.3</v>
      </c>
      <c r="G6499">
        <v>324358.62</v>
      </c>
      <c r="H6499">
        <v>0</v>
      </c>
      <c r="I6499">
        <v>0</v>
      </c>
      <c r="J6499">
        <v>-4465171.09</v>
      </c>
      <c r="K6499">
        <v>0</v>
      </c>
      <c r="L6499">
        <v>38934479.579999998</v>
      </c>
      <c r="M6499">
        <v>43724009.289999999</v>
      </c>
      <c r="N6499">
        <v>38934479.579999998</v>
      </c>
      <c r="O6499">
        <v>43724009.289999999</v>
      </c>
      <c r="P6499">
        <v>38934479.579999998</v>
      </c>
      <c r="Q6499">
        <v>43724009.289999999</v>
      </c>
      <c r="R6499" s="14">
        <f>_xlfn.XLOOKUP(Table2[[#This Row],[LoanID]],Table1[G-L ID],Table1[ManagerCode],-99)</f>
        <v>183</v>
      </c>
      <c r="T6499"/>
    </row>
    <row r="6500" spans="1:20" x14ac:dyDescent="0.25">
      <c r="A6500">
        <v>20180131</v>
      </c>
      <c r="B6500">
        <v>2018</v>
      </c>
      <c r="C6500">
        <v>1</v>
      </c>
      <c r="D6500">
        <v>1</v>
      </c>
      <c r="E6500">
        <v>12400</v>
      </c>
      <c r="F6500">
        <v>75137.22</v>
      </c>
      <c r="G6500">
        <v>83271.97</v>
      </c>
      <c r="H6500">
        <v>0</v>
      </c>
      <c r="I6500">
        <v>0</v>
      </c>
      <c r="J6500">
        <v>-188146.51</v>
      </c>
      <c r="K6500">
        <v>0</v>
      </c>
      <c r="L6500">
        <v>15299907.1</v>
      </c>
      <c r="M6500">
        <v>15571325.58</v>
      </c>
      <c r="N6500">
        <v>15299907.1</v>
      </c>
      <c r="O6500">
        <v>15571325.58</v>
      </c>
      <c r="P6500">
        <v>15299907.1</v>
      </c>
      <c r="Q6500">
        <v>15571325.58</v>
      </c>
      <c r="R6500" s="14">
        <f>_xlfn.XLOOKUP(Table2[[#This Row],[LoanID]],Table1[G-L ID],Table1[ManagerCode],-99)</f>
        <v>183</v>
      </c>
      <c r="T6500"/>
    </row>
    <row r="6501" spans="1:20" x14ac:dyDescent="0.25">
      <c r="A6501">
        <v>20180131</v>
      </c>
      <c r="B6501">
        <v>2018</v>
      </c>
      <c r="C6501">
        <v>1</v>
      </c>
      <c r="D6501">
        <v>1</v>
      </c>
      <c r="E6501">
        <v>12410</v>
      </c>
      <c r="F6501">
        <v>325231.73</v>
      </c>
      <c r="G6501">
        <v>260185.39</v>
      </c>
      <c r="H6501">
        <v>0</v>
      </c>
      <c r="I6501">
        <v>0</v>
      </c>
      <c r="J6501">
        <v>0</v>
      </c>
      <c r="K6501">
        <v>0</v>
      </c>
      <c r="L6501">
        <v>76481610.650000006</v>
      </c>
      <c r="M6501">
        <v>74138938.650000006</v>
      </c>
      <c r="N6501">
        <v>76481610.650000006</v>
      </c>
      <c r="O6501">
        <v>74138938.650000006</v>
      </c>
      <c r="P6501">
        <v>78055615.689999998</v>
      </c>
      <c r="Q6501">
        <v>78315801.079999998</v>
      </c>
      <c r="R6501" s="14">
        <f>_xlfn.XLOOKUP(Table2[[#This Row],[LoanID]],Table1[G-L ID],Table1[ManagerCode],-99)</f>
        <v>103</v>
      </c>
      <c r="T6501"/>
    </row>
    <row r="6502" spans="1:20" x14ac:dyDescent="0.25">
      <c r="A6502">
        <v>20180131</v>
      </c>
      <c r="B6502">
        <v>2018</v>
      </c>
      <c r="C6502">
        <v>1</v>
      </c>
      <c r="D6502">
        <v>1</v>
      </c>
      <c r="E6502">
        <v>12420</v>
      </c>
      <c r="F6502">
        <v>36237.94</v>
      </c>
      <c r="G6502">
        <v>0</v>
      </c>
      <c r="H6502">
        <v>0</v>
      </c>
      <c r="I6502">
        <v>0</v>
      </c>
      <c r="J6502">
        <v>0</v>
      </c>
      <c r="K6502">
        <v>0</v>
      </c>
      <c r="L6502">
        <v>3087650.93</v>
      </c>
      <c r="M6502">
        <v>3087650.93</v>
      </c>
      <c r="N6502">
        <v>3087650.93</v>
      </c>
      <c r="O6502">
        <v>3087650.93</v>
      </c>
      <c r="P6502">
        <v>3087650.93</v>
      </c>
      <c r="Q6502">
        <v>3087650.93</v>
      </c>
      <c r="R6502" s="14">
        <f>_xlfn.XLOOKUP(Table2[[#This Row],[LoanID]],Table1[G-L ID],Table1[ManagerCode],-99)</f>
        <v>103</v>
      </c>
      <c r="T6502"/>
    </row>
    <row r="6503" spans="1:20" x14ac:dyDescent="0.25">
      <c r="A6503">
        <v>20180131</v>
      </c>
      <c r="B6503">
        <v>2018</v>
      </c>
      <c r="C6503">
        <v>1</v>
      </c>
      <c r="D6503">
        <v>1</v>
      </c>
      <c r="E6503">
        <v>12430</v>
      </c>
      <c r="F6503">
        <v>39080.51</v>
      </c>
      <c r="G6503">
        <v>152014.04999999999</v>
      </c>
      <c r="H6503">
        <v>0</v>
      </c>
      <c r="I6503">
        <v>0</v>
      </c>
      <c r="J6503">
        <v>-1406311.07</v>
      </c>
      <c r="K6503">
        <v>0</v>
      </c>
      <c r="L6503">
        <v>11714090.039999999</v>
      </c>
      <c r="M6503">
        <v>12799529.800000001</v>
      </c>
      <c r="N6503">
        <v>11714090.039999999</v>
      </c>
      <c r="O6503">
        <v>12799529.800000001</v>
      </c>
      <c r="P6503">
        <v>12369195.380000001</v>
      </c>
      <c r="Q6503">
        <v>13927520.5</v>
      </c>
      <c r="R6503" s="14">
        <f>_xlfn.XLOOKUP(Table2[[#This Row],[LoanID]],Table1[G-L ID],Table1[ManagerCode],-99)</f>
        <v>103</v>
      </c>
      <c r="T6503"/>
    </row>
    <row r="6504" spans="1:20" x14ac:dyDescent="0.25">
      <c r="A6504">
        <v>20180131</v>
      </c>
      <c r="B6504">
        <v>2018</v>
      </c>
      <c r="C6504">
        <v>1</v>
      </c>
      <c r="D6504">
        <v>1</v>
      </c>
      <c r="E6504">
        <v>12440</v>
      </c>
      <c r="F6504">
        <v>34756.639999999999</v>
      </c>
      <c r="G6504">
        <v>0</v>
      </c>
      <c r="H6504">
        <v>0</v>
      </c>
      <c r="I6504">
        <v>0</v>
      </c>
      <c r="J6504">
        <v>0</v>
      </c>
      <c r="K6504">
        <v>48609.63</v>
      </c>
      <c r="L6504">
        <v>4823370.7699999996</v>
      </c>
      <c r="M6504">
        <v>4719703.95</v>
      </c>
      <c r="N6504">
        <v>4823370.7699999996</v>
      </c>
      <c r="O6504">
        <v>4719703.95</v>
      </c>
      <c r="P6504">
        <v>4170797.11</v>
      </c>
      <c r="Q6504">
        <v>4122187.48</v>
      </c>
      <c r="R6504" s="14">
        <f>_xlfn.XLOOKUP(Table2[[#This Row],[LoanID]],Table1[G-L ID],Table1[ManagerCode],-99)</f>
        <v>103</v>
      </c>
      <c r="T6504"/>
    </row>
    <row r="6505" spans="1:20" x14ac:dyDescent="0.25">
      <c r="A6505">
        <v>20180131</v>
      </c>
      <c r="B6505">
        <v>2018</v>
      </c>
      <c r="C6505">
        <v>1</v>
      </c>
      <c r="D6505">
        <v>1</v>
      </c>
      <c r="E6505">
        <v>12450</v>
      </c>
      <c r="F6505">
        <v>5512.92</v>
      </c>
      <c r="G6505">
        <v>9766.56</v>
      </c>
      <c r="H6505">
        <v>0</v>
      </c>
      <c r="I6505">
        <v>0</v>
      </c>
      <c r="J6505">
        <v>-674214.47</v>
      </c>
      <c r="K6505">
        <v>0</v>
      </c>
      <c r="L6505">
        <v>1252900.43</v>
      </c>
      <c r="M6505">
        <v>1930449.72</v>
      </c>
      <c r="N6505">
        <v>1252900.43</v>
      </c>
      <c r="O6505">
        <v>1930449.72</v>
      </c>
      <c r="P6505">
        <v>1252900.43</v>
      </c>
      <c r="Q6505">
        <v>1930449.72</v>
      </c>
      <c r="R6505" s="14">
        <f>_xlfn.XLOOKUP(Table2[[#This Row],[LoanID]],Table1[G-L ID],Table1[ManagerCode],-99)</f>
        <v>183</v>
      </c>
      <c r="T6505"/>
    </row>
    <row r="6506" spans="1:20" x14ac:dyDescent="0.25">
      <c r="A6506">
        <v>20180131</v>
      </c>
      <c r="B6506">
        <v>2018</v>
      </c>
      <c r="C6506">
        <v>1</v>
      </c>
      <c r="D6506">
        <v>1</v>
      </c>
      <c r="E6506">
        <v>12460</v>
      </c>
      <c r="F6506">
        <v>33201.980000000003</v>
      </c>
      <c r="G6506">
        <v>34006.300000000003</v>
      </c>
      <c r="H6506">
        <v>0</v>
      </c>
      <c r="I6506">
        <v>0</v>
      </c>
      <c r="J6506">
        <v>-1025000</v>
      </c>
      <c r="K6506">
        <v>0</v>
      </c>
      <c r="L6506">
        <v>6310828.5599999996</v>
      </c>
      <c r="M6506">
        <v>7369834.8600000003</v>
      </c>
      <c r="N6506">
        <v>6310828.5599999996</v>
      </c>
      <c r="O6506">
        <v>7369834.8600000003</v>
      </c>
      <c r="P6506">
        <v>6310828.5599999996</v>
      </c>
      <c r="Q6506">
        <v>7369834.8600000003</v>
      </c>
      <c r="R6506" s="14">
        <f>_xlfn.XLOOKUP(Table2[[#This Row],[LoanID]],Table1[G-L ID],Table1[ManagerCode],-99)</f>
        <v>183</v>
      </c>
      <c r="T6506"/>
    </row>
    <row r="6507" spans="1:20" x14ac:dyDescent="0.25">
      <c r="A6507">
        <v>20180131</v>
      </c>
      <c r="B6507">
        <v>2018</v>
      </c>
      <c r="C6507">
        <v>1</v>
      </c>
      <c r="D6507">
        <v>1</v>
      </c>
      <c r="E6507">
        <v>12470</v>
      </c>
      <c r="F6507">
        <v>307375.83</v>
      </c>
      <c r="G6507">
        <v>0</v>
      </c>
      <c r="H6507">
        <v>0</v>
      </c>
      <c r="I6507">
        <v>0</v>
      </c>
      <c r="J6507">
        <v>0</v>
      </c>
      <c r="K6507">
        <v>0</v>
      </c>
      <c r="L6507">
        <v>115000000</v>
      </c>
      <c r="M6507">
        <v>115000000</v>
      </c>
      <c r="N6507">
        <v>46000000</v>
      </c>
      <c r="O6507">
        <v>46000000</v>
      </c>
      <c r="P6507">
        <v>115000000</v>
      </c>
      <c r="Q6507">
        <v>115000000</v>
      </c>
      <c r="R6507" s="14">
        <f>_xlfn.XLOOKUP(Table2[[#This Row],[LoanID]],Table1[G-L ID],Table1[ManagerCode],-99)</f>
        <v>183</v>
      </c>
      <c r="T6507"/>
    </row>
    <row r="6508" spans="1:20" x14ac:dyDescent="0.25">
      <c r="A6508">
        <v>20180131</v>
      </c>
      <c r="B6508">
        <v>2018</v>
      </c>
      <c r="C6508">
        <v>1</v>
      </c>
      <c r="D6508">
        <v>1</v>
      </c>
      <c r="E6508">
        <v>12480</v>
      </c>
      <c r="F6508">
        <v>80959.14</v>
      </c>
      <c r="G6508">
        <v>0</v>
      </c>
      <c r="H6508">
        <v>0</v>
      </c>
      <c r="I6508">
        <v>0</v>
      </c>
      <c r="J6508">
        <v>0</v>
      </c>
      <c r="K6508">
        <v>0</v>
      </c>
      <c r="L6508">
        <v>19880000</v>
      </c>
      <c r="M6508">
        <v>19880000</v>
      </c>
      <c r="N6508">
        <v>9380000</v>
      </c>
      <c r="O6508">
        <v>9380000</v>
      </c>
      <c r="P6508">
        <v>19880000</v>
      </c>
      <c r="Q6508">
        <v>19880000</v>
      </c>
      <c r="R6508" s="14">
        <f>_xlfn.XLOOKUP(Table2[[#This Row],[LoanID]],Table1[G-L ID],Table1[ManagerCode],-99)</f>
        <v>183</v>
      </c>
      <c r="T6508"/>
    </row>
    <row r="6509" spans="1:20" x14ac:dyDescent="0.25">
      <c r="A6509">
        <v>20180131</v>
      </c>
      <c r="B6509">
        <v>2018</v>
      </c>
      <c r="C6509">
        <v>1</v>
      </c>
      <c r="D6509">
        <v>1</v>
      </c>
      <c r="E6509">
        <v>12490</v>
      </c>
      <c r="F6509">
        <v>202104.83</v>
      </c>
      <c r="G6509">
        <v>0</v>
      </c>
      <c r="H6509">
        <v>0</v>
      </c>
      <c r="I6509">
        <v>0</v>
      </c>
      <c r="J6509">
        <v>0</v>
      </c>
      <c r="K6509">
        <v>0</v>
      </c>
      <c r="L6509">
        <v>50200000</v>
      </c>
      <c r="M6509">
        <v>50200000</v>
      </c>
      <c r="N6509">
        <v>19600000</v>
      </c>
      <c r="O6509">
        <v>19600000</v>
      </c>
      <c r="P6509">
        <v>50200000</v>
      </c>
      <c r="Q6509">
        <v>50200000</v>
      </c>
      <c r="R6509" s="14">
        <f>_xlfn.XLOOKUP(Table2[[#This Row],[LoanID]],Table1[G-L ID],Table1[ManagerCode],-99)</f>
        <v>183</v>
      </c>
      <c r="T6509"/>
    </row>
    <row r="6510" spans="1:20" x14ac:dyDescent="0.25">
      <c r="A6510">
        <v>20180131</v>
      </c>
      <c r="B6510">
        <v>2018</v>
      </c>
      <c r="C6510">
        <v>1</v>
      </c>
      <c r="D6510">
        <v>1</v>
      </c>
      <c r="E6510">
        <v>12500</v>
      </c>
      <c r="F6510">
        <v>377657.09</v>
      </c>
      <c r="G6510">
        <v>0</v>
      </c>
      <c r="H6510">
        <v>0</v>
      </c>
      <c r="I6510">
        <v>0</v>
      </c>
      <c r="J6510">
        <v>0</v>
      </c>
      <c r="K6510">
        <v>0</v>
      </c>
      <c r="L6510">
        <v>115000000</v>
      </c>
      <c r="M6510">
        <v>115000000</v>
      </c>
      <c r="N6510">
        <v>46015000</v>
      </c>
      <c r="O6510">
        <v>46015000</v>
      </c>
      <c r="P6510">
        <v>115000000</v>
      </c>
      <c r="Q6510">
        <v>115000000</v>
      </c>
      <c r="R6510" s="14">
        <f>_xlfn.XLOOKUP(Table2[[#This Row],[LoanID]],Table1[G-L ID],Table1[ManagerCode],-99)</f>
        <v>183</v>
      </c>
      <c r="T6510"/>
    </row>
    <row r="6511" spans="1:20" x14ac:dyDescent="0.25">
      <c r="A6511">
        <v>20180131</v>
      </c>
      <c r="B6511">
        <v>2018</v>
      </c>
      <c r="C6511">
        <v>1</v>
      </c>
      <c r="D6511">
        <v>1</v>
      </c>
      <c r="E6511">
        <v>12510</v>
      </c>
      <c r="F6511">
        <v>367495.01</v>
      </c>
      <c r="G6511">
        <v>0</v>
      </c>
      <c r="H6511">
        <v>0</v>
      </c>
      <c r="I6511">
        <v>0</v>
      </c>
      <c r="J6511">
        <v>0</v>
      </c>
      <c r="K6511">
        <v>0</v>
      </c>
      <c r="L6511">
        <v>131500000</v>
      </c>
      <c r="M6511">
        <v>131500000</v>
      </c>
      <c r="N6511">
        <v>46025000</v>
      </c>
      <c r="O6511">
        <v>46025000</v>
      </c>
      <c r="P6511">
        <v>131500000</v>
      </c>
      <c r="Q6511">
        <v>131500000</v>
      </c>
      <c r="R6511" s="14">
        <f>_xlfn.XLOOKUP(Table2[[#This Row],[LoanID]],Table1[G-L ID],Table1[ManagerCode],-99)</f>
        <v>183</v>
      </c>
      <c r="T6511"/>
    </row>
    <row r="6512" spans="1:20" x14ac:dyDescent="0.25">
      <c r="A6512">
        <v>20180131</v>
      </c>
      <c r="B6512">
        <v>2018</v>
      </c>
      <c r="C6512">
        <v>1</v>
      </c>
      <c r="D6512">
        <v>1</v>
      </c>
      <c r="E6512">
        <v>12520</v>
      </c>
      <c r="F6512">
        <v>0</v>
      </c>
      <c r="G6512">
        <v>0</v>
      </c>
      <c r="H6512">
        <v>0</v>
      </c>
      <c r="I6512">
        <v>0</v>
      </c>
      <c r="J6512">
        <v>0</v>
      </c>
      <c r="K6512">
        <v>0</v>
      </c>
      <c r="L6512">
        <v>42000000</v>
      </c>
      <c r="M6512">
        <v>42000000</v>
      </c>
      <c r="N6512">
        <v>17250000</v>
      </c>
      <c r="O6512">
        <v>17250000</v>
      </c>
      <c r="P6512">
        <v>42000000</v>
      </c>
      <c r="Q6512">
        <v>42000000</v>
      </c>
      <c r="R6512" s="14">
        <f>_xlfn.XLOOKUP(Table2[[#This Row],[LoanID]],Table1[G-L ID],Table1[ManagerCode],-99)</f>
        <v>183</v>
      </c>
      <c r="T6512"/>
    </row>
    <row r="6513" spans="1:20" x14ac:dyDescent="0.25">
      <c r="A6513">
        <v>20180131</v>
      </c>
      <c r="B6513">
        <v>2018</v>
      </c>
      <c r="C6513">
        <v>1</v>
      </c>
      <c r="D6513">
        <v>1</v>
      </c>
      <c r="E6513">
        <v>12530</v>
      </c>
      <c r="F6513">
        <v>229717.23</v>
      </c>
      <c r="G6513">
        <v>0</v>
      </c>
      <c r="H6513">
        <v>0</v>
      </c>
      <c r="I6513">
        <v>0</v>
      </c>
      <c r="J6513">
        <v>0</v>
      </c>
      <c r="K6513">
        <v>0</v>
      </c>
      <c r="L6513">
        <v>26200000</v>
      </c>
      <c r="M6513">
        <v>26200000</v>
      </c>
      <c r="N6513">
        <v>26200000</v>
      </c>
      <c r="O6513">
        <v>26200000</v>
      </c>
      <c r="P6513">
        <v>26200000</v>
      </c>
      <c r="Q6513">
        <v>26200000</v>
      </c>
      <c r="R6513" s="14">
        <f>_xlfn.XLOOKUP(Table2[[#This Row],[LoanID]],Table1[G-L ID],Table1[ManagerCode],-99)</f>
        <v>119</v>
      </c>
      <c r="T6513"/>
    </row>
    <row r="6514" spans="1:20" x14ac:dyDescent="0.25">
      <c r="A6514">
        <v>20180131</v>
      </c>
      <c r="B6514">
        <v>2018</v>
      </c>
      <c r="C6514">
        <v>1</v>
      </c>
      <c r="D6514">
        <v>1</v>
      </c>
      <c r="E6514">
        <v>12540</v>
      </c>
      <c r="F6514">
        <v>270405.78000000003</v>
      </c>
      <c r="G6514">
        <v>0</v>
      </c>
      <c r="H6514">
        <v>0</v>
      </c>
      <c r="I6514">
        <v>0</v>
      </c>
      <c r="J6514">
        <v>0</v>
      </c>
      <c r="K6514">
        <v>0</v>
      </c>
      <c r="L6514">
        <v>15657141.18</v>
      </c>
      <c r="M6514">
        <v>15657141.18</v>
      </c>
      <c r="N6514">
        <v>15657141.18</v>
      </c>
      <c r="O6514">
        <v>15657141.18</v>
      </c>
      <c r="P6514">
        <v>15657141.18</v>
      </c>
      <c r="Q6514">
        <v>15657141.18</v>
      </c>
      <c r="R6514" s="14">
        <f>_xlfn.XLOOKUP(Table2[[#This Row],[LoanID]],Table1[G-L ID],Table1[ManagerCode],-99)</f>
        <v>119</v>
      </c>
      <c r="T6514"/>
    </row>
    <row r="6515" spans="1:20" x14ac:dyDescent="0.25">
      <c r="A6515">
        <v>20180131</v>
      </c>
      <c r="B6515">
        <v>2018</v>
      </c>
      <c r="C6515">
        <v>1</v>
      </c>
      <c r="D6515">
        <v>1</v>
      </c>
      <c r="E6515">
        <v>12550</v>
      </c>
      <c r="F6515">
        <v>73005.73</v>
      </c>
      <c r="G6515">
        <v>0</v>
      </c>
      <c r="H6515">
        <v>0</v>
      </c>
      <c r="I6515">
        <v>0</v>
      </c>
      <c r="J6515">
        <v>0</v>
      </c>
      <c r="K6515">
        <v>0</v>
      </c>
      <c r="L6515">
        <v>7416099.1500000004</v>
      </c>
      <c r="M6515">
        <v>7416099.1500000004</v>
      </c>
      <c r="N6515">
        <v>7416099.1500000004</v>
      </c>
      <c r="O6515">
        <v>7416099.1500000004</v>
      </c>
      <c r="P6515">
        <v>7416099.1500000004</v>
      </c>
      <c r="Q6515">
        <v>7416099.1500000004</v>
      </c>
      <c r="R6515" s="14">
        <f>_xlfn.XLOOKUP(Table2[[#This Row],[LoanID]],Table1[G-L ID],Table1[ManagerCode],-99)</f>
        <v>119</v>
      </c>
      <c r="T6515"/>
    </row>
    <row r="6516" spans="1:20" x14ac:dyDescent="0.25">
      <c r="A6516">
        <v>20180131</v>
      </c>
      <c r="B6516">
        <v>2018</v>
      </c>
      <c r="C6516">
        <v>1</v>
      </c>
      <c r="D6516">
        <v>1</v>
      </c>
      <c r="E6516">
        <v>12560</v>
      </c>
      <c r="F6516">
        <v>153309.87</v>
      </c>
      <c r="G6516">
        <v>0</v>
      </c>
      <c r="H6516">
        <v>0</v>
      </c>
      <c r="I6516">
        <v>0</v>
      </c>
      <c r="J6516">
        <v>-217410.35</v>
      </c>
      <c r="K6516">
        <v>0</v>
      </c>
      <c r="L6516">
        <v>13214400</v>
      </c>
      <c r="M6516">
        <v>13431810.35</v>
      </c>
      <c r="N6516">
        <v>13214400</v>
      </c>
      <c r="O6516">
        <v>13431810.35</v>
      </c>
      <c r="P6516">
        <v>13214400</v>
      </c>
      <c r="Q6516">
        <v>13431810.35</v>
      </c>
      <c r="R6516" s="14">
        <f>_xlfn.XLOOKUP(Table2[[#This Row],[LoanID]],Table1[G-L ID],Table1[ManagerCode],-99)</f>
        <v>119</v>
      </c>
      <c r="T6516"/>
    </row>
    <row r="6517" spans="1:20" x14ac:dyDescent="0.25">
      <c r="A6517">
        <v>20180131</v>
      </c>
      <c r="B6517">
        <v>2018</v>
      </c>
      <c r="C6517">
        <v>1</v>
      </c>
      <c r="D6517">
        <v>1</v>
      </c>
      <c r="E6517">
        <v>12570</v>
      </c>
      <c r="F6517">
        <v>99042.65</v>
      </c>
      <c r="G6517">
        <v>0</v>
      </c>
      <c r="H6517">
        <v>0</v>
      </c>
      <c r="I6517">
        <v>0</v>
      </c>
      <c r="J6517">
        <v>0</v>
      </c>
      <c r="K6517">
        <v>0</v>
      </c>
      <c r="L6517">
        <v>8924400</v>
      </c>
      <c r="M6517">
        <v>8924400</v>
      </c>
      <c r="N6517">
        <v>8924400</v>
      </c>
      <c r="O6517">
        <v>8924400</v>
      </c>
      <c r="P6517">
        <v>8924400</v>
      </c>
      <c r="Q6517">
        <v>8924400</v>
      </c>
      <c r="R6517" s="14">
        <f>_xlfn.XLOOKUP(Table2[[#This Row],[LoanID]],Table1[G-L ID],Table1[ManagerCode],-99)</f>
        <v>119</v>
      </c>
      <c r="T6517"/>
    </row>
    <row r="6518" spans="1:20" x14ac:dyDescent="0.25">
      <c r="A6518">
        <v>20180131</v>
      </c>
      <c r="B6518">
        <v>2018</v>
      </c>
      <c r="C6518">
        <v>1</v>
      </c>
      <c r="D6518">
        <v>1</v>
      </c>
      <c r="E6518">
        <v>12580</v>
      </c>
      <c r="F6518">
        <v>185620.5</v>
      </c>
      <c r="G6518">
        <v>0</v>
      </c>
      <c r="H6518">
        <v>0</v>
      </c>
      <c r="I6518">
        <v>0</v>
      </c>
      <c r="J6518">
        <v>0</v>
      </c>
      <c r="K6518">
        <v>0</v>
      </c>
      <c r="L6518">
        <v>18000000</v>
      </c>
      <c r="M6518">
        <v>18000000</v>
      </c>
      <c r="N6518">
        <v>18000000</v>
      </c>
      <c r="O6518">
        <v>18000000</v>
      </c>
      <c r="P6518">
        <v>18000000</v>
      </c>
      <c r="Q6518">
        <v>18000000</v>
      </c>
      <c r="R6518" s="14">
        <f>_xlfn.XLOOKUP(Table2[[#This Row],[LoanID]],Table1[G-L ID],Table1[ManagerCode],-99)</f>
        <v>119</v>
      </c>
      <c r="T6518"/>
    </row>
    <row r="6519" spans="1:20" x14ac:dyDescent="0.25">
      <c r="A6519">
        <v>20180131</v>
      </c>
      <c r="B6519">
        <v>2018</v>
      </c>
      <c r="C6519">
        <v>1</v>
      </c>
      <c r="D6519">
        <v>1</v>
      </c>
      <c r="E6519">
        <v>12590</v>
      </c>
      <c r="F6519">
        <v>78501.039999999994</v>
      </c>
      <c r="G6519">
        <v>0</v>
      </c>
      <c r="H6519">
        <v>0</v>
      </c>
      <c r="I6519">
        <v>0</v>
      </c>
      <c r="J6519">
        <v>0</v>
      </c>
      <c r="K6519">
        <v>0</v>
      </c>
      <c r="L6519">
        <v>8500000</v>
      </c>
      <c r="M6519">
        <v>8500000</v>
      </c>
      <c r="N6519">
        <v>8500000</v>
      </c>
      <c r="O6519">
        <v>8500000</v>
      </c>
      <c r="P6519">
        <v>8500000</v>
      </c>
      <c r="Q6519">
        <v>8500000</v>
      </c>
      <c r="R6519" s="14">
        <f>_xlfn.XLOOKUP(Table2[[#This Row],[LoanID]],Table1[G-L ID],Table1[ManagerCode],-99)</f>
        <v>119</v>
      </c>
      <c r="T6519"/>
    </row>
    <row r="6520" spans="1:20" x14ac:dyDescent="0.25">
      <c r="A6520">
        <v>20180131</v>
      </c>
      <c r="B6520">
        <v>2018</v>
      </c>
      <c r="C6520">
        <v>1</v>
      </c>
      <c r="D6520">
        <v>1</v>
      </c>
      <c r="E6520">
        <v>12600</v>
      </c>
      <c r="F6520">
        <v>233653.46</v>
      </c>
      <c r="G6520">
        <v>0</v>
      </c>
      <c r="H6520">
        <v>0</v>
      </c>
      <c r="I6520">
        <v>0</v>
      </c>
      <c r="J6520">
        <v>0</v>
      </c>
      <c r="K6520">
        <v>0</v>
      </c>
      <c r="L6520">
        <v>27750000</v>
      </c>
      <c r="M6520">
        <v>27750000</v>
      </c>
      <c r="N6520">
        <v>27750000</v>
      </c>
      <c r="O6520">
        <v>27750000</v>
      </c>
      <c r="P6520">
        <v>27750000</v>
      </c>
      <c r="Q6520">
        <v>27750000</v>
      </c>
      <c r="R6520" s="14">
        <f>_xlfn.XLOOKUP(Table2[[#This Row],[LoanID]],Table1[G-L ID],Table1[ManagerCode],-99)</f>
        <v>119</v>
      </c>
      <c r="T6520"/>
    </row>
    <row r="6521" spans="1:20" x14ac:dyDescent="0.25">
      <c r="A6521">
        <v>20180131</v>
      </c>
      <c r="B6521">
        <v>2018</v>
      </c>
      <c r="C6521">
        <v>1</v>
      </c>
      <c r="D6521">
        <v>1</v>
      </c>
      <c r="E6521">
        <v>12610</v>
      </c>
      <c r="F6521">
        <v>49122.83</v>
      </c>
      <c r="G6521">
        <v>0</v>
      </c>
      <c r="H6521">
        <v>0</v>
      </c>
      <c r="I6521">
        <v>0</v>
      </c>
      <c r="J6521">
        <v>0</v>
      </c>
      <c r="K6521">
        <v>0</v>
      </c>
      <c r="L6521">
        <v>18849170</v>
      </c>
      <c r="M6521">
        <v>18849170</v>
      </c>
      <c r="N6521">
        <v>18849170</v>
      </c>
      <c r="O6521">
        <v>18849170</v>
      </c>
      <c r="P6521">
        <v>18849170</v>
      </c>
      <c r="Q6521">
        <v>18849170</v>
      </c>
      <c r="R6521" s="14">
        <f>_xlfn.XLOOKUP(Table2[[#This Row],[LoanID]],Table1[G-L ID],Table1[ManagerCode],-99)</f>
        <v>119</v>
      </c>
      <c r="T6521"/>
    </row>
    <row r="6522" spans="1:20" x14ac:dyDescent="0.25">
      <c r="A6522">
        <v>20180131</v>
      </c>
      <c r="B6522">
        <v>2018</v>
      </c>
      <c r="C6522">
        <v>1</v>
      </c>
      <c r="D6522">
        <v>1</v>
      </c>
      <c r="E6522">
        <v>12620</v>
      </c>
      <c r="F6522">
        <v>86248.58</v>
      </c>
      <c r="G6522">
        <v>0</v>
      </c>
      <c r="H6522">
        <v>0</v>
      </c>
      <c r="I6522">
        <v>0</v>
      </c>
      <c r="J6522">
        <v>0</v>
      </c>
      <c r="K6522">
        <v>0</v>
      </c>
      <c r="L6522">
        <v>9380000</v>
      </c>
      <c r="M6522">
        <v>9380000</v>
      </c>
      <c r="N6522">
        <v>9380000</v>
      </c>
      <c r="O6522">
        <v>9380000</v>
      </c>
      <c r="P6522">
        <v>9380000</v>
      </c>
      <c r="Q6522">
        <v>9380000</v>
      </c>
      <c r="R6522" s="14">
        <f>_xlfn.XLOOKUP(Table2[[#This Row],[LoanID]],Table1[G-L ID],Table1[ManagerCode],-99)</f>
        <v>119</v>
      </c>
      <c r="T6522"/>
    </row>
    <row r="6523" spans="1:20" x14ac:dyDescent="0.25">
      <c r="A6523">
        <v>20180131</v>
      </c>
      <c r="B6523">
        <v>2018</v>
      </c>
      <c r="C6523">
        <v>1</v>
      </c>
      <c r="D6523">
        <v>1</v>
      </c>
      <c r="E6523">
        <v>12630</v>
      </c>
      <c r="F6523">
        <v>109447.05</v>
      </c>
      <c r="G6523">
        <v>0</v>
      </c>
      <c r="H6523">
        <v>0</v>
      </c>
      <c r="I6523">
        <v>0</v>
      </c>
      <c r="J6523">
        <v>0</v>
      </c>
      <c r="K6523">
        <v>0</v>
      </c>
      <c r="L6523">
        <v>12797000</v>
      </c>
      <c r="M6523">
        <v>12797000</v>
      </c>
      <c r="N6523">
        <v>12797000</v>
      </c>
      <c r="O6523">
        <v>12797000</v>
      </c>
      <c r="P6523">
        <v>12797000</v>
      </c>
      <c r="Q6523">
        <v>12797000</v>
      </c>
      <c r="R6523" s="14">
        <f>_xlfn.XLOOKUP(Table2[[#This Row],[LoanID]],Table1[G-L ID],Table1[ManagerCode],-99)</f>
        <v>119</v>
      </c>
      <c r="T6523"/>
    </row>
    <row r="6524" spans="1:20" x14ac:dyDescent="0.25">
      <c r="A6524">
        <v>20180131</v>
      </c>
      <c r="B6524">
        <v>2018</v>
      </c>
      <c r="C6524">
        <v>1</v>
      </c>
      <c r="D6524">
        <v>1</v>
      </c>
      <c r="E6524">
        <v>12640</v>
      </c>
      <c r="F6524">
        <v>72810.66</v>
      </c>
      <c r="G6524">
        <v>0</v>
      </c>
      <c r="H6524">
        <v>0</v>
      </c>
      <c r="I6524">
        <v>0</v>
      </c>
      <c r="J6524">
        <v>0</v>
      </c>
      <c r="K6524">
        <v>0</v>
      </c>
      <c r="L6524">
        <v>7090041.71</v>
      </c>
      <c r="M6524">
        <v>7090041.71</v>
      </c>
      <c r="N6524">
        <v>7090041.71</v>
      </c>
      <c r="O6524">
        <v>7090041.71</v>
      </c>
      <c r="P6524">
        <v>7090041.71</v>
      </c>
      <c r="Q6524">
        <v>7090041.71</v>
      </c>
      <c r="R6524" s="14">
        <f>_xlfn.XLOOKUP(Table2[[#This Row],[LoanID]],Table1[G-L ID],Table1[ManagerCode],-99)</f>
        <v>119</v>
      </c>
      <c r="T6524"/>
    </row>
    <row r="6525" spans="1:20" x14ac:dyDescent="0.25">
      <c r="A6525">
        <v>20180131</v>
      </c>
      <c r="B6525">
        <v>2018</v>
      </c>
      <c r="C6525">
        <v>1</v>
      </c>
      <c r="D6525">
        <v>1</v>
      </c>
      <c r="E6525">
        <v>12650</v>
      </c>
      <c r="F6525">
        <v>0</v>
      </c>
      <c r="G6525">
        <v>0</v>
      </c>
      <c r="H6525">
        <v>1112000</v>
      </c>
      <c r="I6525">
        <v>0</v>
      </c>
      <c r="J6525">
        <v>-111200000</v>
      </c>
      <c r="K6525">
        <v>66720000</v>
      </c>
      <c r="L6525">
        <v>0</v>
      </c>
      <c r="M6525">
        <v>111200000</v>
      </c>
      <c r="N6525">
        <v>0</v>
      </c>
      <c r="O6525">
        <v>44480000</v>
      </c>
      <c r="P6525">
        <v>0</v>
      </c>
      <c r="Q6525">
        <v>111200000</v>
      </c>
      <c r="R6525" s="14">
        <f>_xlfn.XLOOKUP(Table2[[#This Row],[LoanID]],Table1[G-L ID],Table1[ManagerCode],-99)</f>
        <v>183</v>
      </c>
      <c r="T6525"/>
    </row>
    <row r="6526" spans="1:20" x14ac:dyDescent="0.25">
      <c r="A6526">
        <v>20180131</v>
      </c>
      <c r="B6526">
        <v>2018</v>
      </c>
      <c r="C6526">
        <v>1</v>
      </c>
      <c r="D6526">
        <v>1</v>
      </c>
      <c r="E6526">
        <v>12680</v>
      </c>
      <c r="F6526">
        <v>-27915.39</v>
      </c>
      <c r="G6526">
        <v>0</v>
      </c>
      <c r="H6526">
        <v>86260</v>
      </c>
      <c r="I6526">
        <v>0</v>
      </c>
      <c r="J6526">
        <v>-16126000</v>
      </c>
      <c r="K6526">
        <v>0</v>
      </c>
      <c r="L6526">
        <v>0</v>
      </c>
      <c r="M6526">
        <v>16126000</v>
      </c>
      <c r="N6526">
        <v>0</v>
      </c>
      <c r="O6526">
        <v>16126000</v>
      </c>
      <c r="P6526">
        <v>0</v>
      </c>
      <c r="Q6526">
        <v>16126000</v>
      </c>
      <c r="R6526" s="14">
        <f>_xlfn.XLOOKUP(Table2[[#This Row],[LoanID]],Table1[G-L ID],Table1[ManagerCode],-99)</f>
        <v>119</v>
      </c>
      <c r="T6526"/>
    </row>
    <row r="6527" spans="1:20" x14ac:dyDescent="0.25">
      <c r="A6527">
        <v>20180131</v>
      </c>
      <c r="B6527">
        <v>2018</v>
      </c>
      <c r="C6527">
        <v>1</v>
      </c>
      <c r="D6527">
        <v>1</v>
      </c>
      <c r="E6527">
        <v>12690</v>
      </c>
      <c r="F6527">
        <v>-14251.13</v>
      </c>
      <c r="G6527">
        <v>0</v>
      </c>
      <c r="H6527">
        <v>86755</v>
      </c>
      <c r="I6527">
        <v>0</v>
      </c>
      <c r="J6527">
        <v>-10175500</v>
      </c>
      <c r="K6527">
        <v>0</v>
      </c>
      <c r="L6527">
        <v>0</v>
      </c>
      <c r="M6527">
        <v>10175500</v>
      </c>
      <c r="N6527">
        <v>0</v>
      </c>
      <c r="O6527">
        <v>10175500</v>
      </c>
      <c r="P6527">
        <v>0</v>
      </c>
      <c r="Q6527">
        <v>10175500</v>
      </c>
      <c r="R6527" s="14">
        <f>_xlfn.XLOOKUP(Table2[[#This Row],[LoanID]],Table1[G-L ID],Table1[ManagerCode],-99)</f>
        <v>119</v>
      </c>
      <c r="T6527"/>
    </row>
    <row r="6528" spans="1:20" x14ac:dyDescent="0.25">
      <c r="A6528">
        <v>20180131</v>
      </c>
      <c r="B6528">
        <v>2018</v>
      </c>
      <c r="C6528">
        <v>1</v>
      </c>
      <c r="D6528">
        <v>1</v>
      </c>
      <c r="E6528">
        <v>12750</v>
      </c>
      <c r="F6528">
        <v>0</v>
      </c>
      <c r="G6528">
        <v>90708.73</v>
      </c>
      <c r="H6528">
        <v>0</v>
      </c>
      <c r="I6528">
        <v>-100662</v>
      </c>
      <c r="J6528">
        <v>-273198.95</v>
      </c>
      <c r="K6528">
        <v>11012246.029999999</v>
      </c>
      <c r="L6528">
        <v>21751292.5</v>
      </c>
      <c r="M6528">
        <v>22115200.18</v>
      </c>
      <c r="N6528">
        <v>21751292.5</v>
      </c>
      <c r="O6528">
        <v>11102954.15</v>
      </c>
      <c r="P6528">
        <v>21751292.5</v>
      </c>
      <c r="Q6528">
        <v>22115200.18</v>
      </c>
      <c r="R6528" s="14">
        <f>_xlfn.XLOOKUP(Table2[[#This Row],[LoanID]],Table1[G-L ID],Table1[ManagerCode],-99)</f>
        <v>236</v>
      </c>
      <c r="T6528"/>
    </row>
    <row r="6529" spans="1:20" x14ac:dyDescent="0.25">
      <c r="A6529">
        <v>20180131</v>
      </c>
      <c r="B6529">
        <v>2018</v>
      </c>
      <c r="C6529">
        <v>1</v>
      </c>
      <c r="D6529">
        <v>1</v>
      </c>
      <c r="E6529">
        <v>13000</v>
      </c>
      <c r="F6529">
        <v>0</v>
      </c>
      <c r="G6529">
        <v>0</v>
      </c>
      <c r="H6529">
        <v>448300</v>
      </c>
      <c r="I6529">
        <v>0</v>
      </c>
      <c r="J6529">
        <v>-2873027.26</v>
      </c>
      <c r="K6529">
        <v>0</v>
      </c>
      <c r="L6529">
        <v>0</v>
      </c>
      <c r="M6529">
        <v>2856599.57</v>
      </c>
      <c r="N6529">
        <v>0</v>
      </c>
      <c r="O6529">
        <v>2856599.57</v>
      </c>
      <c r="P6529">
        <v>0</v>
      </c>
      <c r="Q6529">
        <v>2873027.26</v>
      </c>
      <c r="R6529" s="14">
        <f>_xlfn.XLOOKUP(Table2[[#This Row],[LoanID]],Table1[G-L ID],Table1[ManagerCode],-99)</f>
        <v>103</v>
      </c>
      <c r="T6529"/>
    </row>
    <row r="6530" spans="1:20" x14ac:dyDescent="0.25">
      <c r="A6530">
        <v>20180131</v>
      </c>
      <c r="B6530">
        <v>2018</v>
      </c>
      <c r="C6530">
        <v>1</v>
      </c>
      <c r="D6530">
        <v>1</v>
      </c>
      <c r="E6530">
        <v>13010</v>
      </c>
      <c r="F6530">
        <v>1400000</v>
      </c>
      <c r="G6530">
        <v>0</v>
      </c>
      <c r="H6530">
        <v>0</v>
      </c>
      <c r="I6530">
        <v>0</v>
      </c>
      <c r="J6530">
        <v>0</v>
      </c>
      <c r="K6530">
        <v>0</v>
      </c>
      <c r="L6530">
        <v>199500000</v>
      </c>
      <c r="M6530">
        <v>199500000</v>
      </c>
      <c r="N6530">
        <v>199500000</v>
      </c>
      <c r="O6530">
        <v>199500000</v>
      </c>
      <c r="P6530">
        <v>210000000</v>
      </c>
      <c r="Q6530">
        <v>210000000</v>
      </c>
      <c r="R6530" s="14">
        <f>_xlfn.XLOOKUP(Table2[[#This Row],[LoanID]],Table1[G-L ID],Table1[ManagerCode],-99)</f>
        <v>103</v>
      </c>
      <c r="T6530"/>
    </row>
    <row r="6531" spans="1:20" x14ac:dyDescent="0.25">
      <c r="A6531">
        <v>20180131</v>
      </c>
      <c r="B6531">
        <v>2018</v>
      </c>
      <c r="C6531">
        <v>1</v>
      </c>
      <c r="D6531">
        <v>1</v>
      </c>
      <c r="E6531">
        <v>13020</v>
      </c>
      <c r="F6531">
        <v>160019.54</v>
      </c>
      <c r="G6531">
        <v>0</v>
      </c>
      <c r="H6531">
        <v>0</v>
      </c>
      <c r="I6531">
        <v>0</v>
      </c>
      <c r="J6531">
        <v>-160019.54</v>
      </c>
      <c r="K6531">
        <v>0</v>
      </c>
      <c r="L6531">
        <v>17982291.620000001</v>
      </c>
      <c r="M6531">
        <v>18142311.16</v>
      </c>
      <c r="N6531">
        <v>17982291.620000001</v>
      </c>
      <c r="O6531">
        <v>18142311.16</v>
      </c>
      <c r="P6531">
        <v>17982291.620000001</v>
      </c>
      <c r="Q6531">
        <v>18142311.16</v>
      </c>
      <c r="R6531" s="14">
        <f>_xlfn.XLOOKUP(Table2[[#This Row],[LoanID]],Table1[G-L ID],Table1[ManagerCode],-99)</f>
        <v>103</v>
      </c>
      <c r="T6531"/>
    </row>
    <row r="6532" spans="1:20" x14ac:dyDescent="0.25">
      <c r="A6532">
        <v>20180131</v>
      </c>
      <c r="B6532">
        <v>2018</v>
      </c>
      <c r="C6532">
        <v>1</v>
      </c>
      <c r="D6532">
        <v>1</v>
      </c>
      <c r="E6532">
        <v>13570</v>
      </c>
      <c r="F6532">
        <v>277598.88</v>
      </c>
      <c r="G6532">
        <v>0</v>
      </c>
      <c r="H6532">
        <v>0</v>
      </c>
      <c r="I6532">
        <v>0</v>
      </c>
      <c r="J6532">
        <v>0</v>
      </c>
      <c r="K6532">
        <v>0</v>
      </c>
      <c r="L6532">
        <v>45116657.68</v>
      </c>
      <c r="M6532">
        <v>45146326.600000001</v>
      </c>
      <c r="N6532">
        <v>45116657.68</v>
      </c>
      <c r="O6532">
        <v>45146326.600000001</v>
      </c>
      <c r="P6532">
        <v>45800000</v>
      </c>
      <c r="Q6532">
        <v>45800000</v>
      </c>
      <c r="R6532" s="14">
        <f>_xlfn.XLOOKUP(Table2[[#This Row],[LoanID]],Table1[G-L ID],Table1[ManagerCode],-99)</f>
        <v>298</v>
      </c>
      <c r="T6532"/>
    </row>
    <row r="6533" spans="1:20" x14ac:dyDescent="0.25">
      <c r="A6533">
        <v>20180131</v>
      </c>
      <c r="B6533">
        <v>2018</v>
      </c>
      <c r="C6533">
        <v>1</v>
      </c>
      <c r="D6533">
        <v>1</v>
      </c>
      <c r="E6533">
        <v>13580</v>
      </c>
      <c r="F6533">
        <v>304791.67</v>
      </c>
      <c r="G6533">
        <v>0</v>
      </c>
      <c r="H6533">
        <v>0</v>
      </c>
      <c r="I6533">
        <v>0</v>
      </c>
      <c r="J6533">
        <v>0</v>
      </c>
      <c r="K6533">
        <v>0</v>
      </c>
      <c r="L6533">
        <v>63400000</v>
      </c>
      <c r="M6533">
        <v>63472911.189999998</v>
      </c>
      <c r="N6533">
        <v>63400000</v>
      </c>
      <c r="O6533">
        <v>63472911.189999998</v>
      </c>
      <c r="P6533">
        <v>66500000</v>
      </c>
      <c r="Q6533">
        <v>66500000</v>
      </c>
      <c r="R6533" s="14">
        <f>_xlfn.XLOOKUP(Table2[[#This Row],[LoanID]],Table1[G-L ID],Table1[ManagerCode],-99)</f>
        <v>298</v>
      </c>
      <c r="T6533"/>
    </row>
    <row r="6534" spans="1:20" x14ac:dyDescent="0.25">
      <c r="A6534">
        <v>20180131</v>
      </c>
      <c r="B6534">
        <v>2018</v>
      </c>
      <c r="C6534">
        <v>1</v>
      </c>
      <c r="D6534">
        <v>1</v>
      </c>
      <c r="E6534">
        <v>13600</v>
      </c>
      <c r="F6534">
        <v>379029.03</v>
      </c>
      <c r="G6534">
        <v>0</v>
      </c>
      <c r="H6534">
        <v>0</v>
      </c>
      <c r="I6534">
        <v>0</v>
      </c>
      <c r="J6534">
        <v>0</v>
      </c>
      <c r="K6534">
        <v>0</v>
      </c>
      <c r="L6534">
        <v>45970000</v>
      </c>
      <c r="M6534">
        <v>45970000</v>
      </c>
      <c r="N6534">
        <v>45970000</v>
      </c>
      <c r="O6534">
        <v>45970000</v>
      </c>
      <c r="P6534">
        <v>45970000</v>
      </c>
      <c r="Q6534">
        <v>45970000</v>
      </c>
      <c r="R6534" s="14">
        <f>_xlfn.XLOOKUP(Table2[[#This Row],[LoanID]],Table1[G-L ID],Table1[ManagerCode],-99)</f>
        <v>298</v>
      </c>
      <c r="T6534"/>
    </row>
    <row r="6535" spans="1:20" x14ac:dyDescent="0.25">
      <c r="A6535">
        <v>20180131</v>
      </c>
      <c r="B6535">
        <v>2018</v>
      </c>
      <c r="C6535">
        <v>1</v>
      </c>
      <c r="D6535">
        <v>1</v>
      </c>
      <c r="E6535">
        <v>13610</v>
      </c>
      <c r="F6535">
        <v>63291.67</v>
      </c>
      <c r="G6535">
        <v>0</v>
      </c>
      <c r="H6535">
        <v>0</v>
      </c>
      <c r="I6535">
        <v>0</v>
      </c>
      <c r="J6535">
        <v>0</v>
      </c>
      <c r="K6535">
        <v>0</v>
      </c>
      <c r="L6535">
        <v>10549064</v>
      </c>
      <c r="M6535">
        <v>10549064</v>
      </c>
      <c r="N6535">
        <v>10549064</v>
      </c>
      <c r="O6535">
        <v>10549064</v>
      </c>
      <c r="P6535">
        <v>10500000</v>
      </c>
      <c r="Q6535">
        <v>10500000</v>
      </c>
      <c r="R6535" s="14">
        <f>_xlfn.XLOOKUP(Table2[[#This Row],[LoanID]],Table1[G-L ID],Table1[ManagerCode],-99)</f>
        <v>298</v>
      </c>
      <c r="T6535"/>
    </row>
    <row r="6536" spans="1:20" x14ac:dyDescent="0.25">
      <c r="A6536">
        <v>20180131</v>
      </c>
      <c r="B6536">
        <v>2018</v>
      </c>
      <c r="C6536">
        <v>1</v>
      </c>
      <c r="D6536">
        <v>1</v>
      </c>
      <c r="E6536">
        <v>13620</v>
      </c>
      <c r="F6536">
        <v>328427.78000000003</v>
      </c>
      <c r="G6536">
        <v>0</v>
      </c>
      <c r="H6536">
        <v>0</v>
      </c>
      <c r="I6536">
        <v>0</v>
      </c>
      <c r="J6536">
        <v>0</v>
      </c>
      <c r="K6536">
        <v>0</v>
      </c>
      <c r="L6536">
        <v>49919787</v>
      </c>
      <c r="M6536">
        <v>49919787</v>
      </c>
      <c r="N6536">
        <v>49919787</v>
      </c>
      <c r="O6536">
        <v>49919787</v>
      </c>
      <c r="P6536">
        <v>50000000</v>
      </c>
      <c r="Q6536">
        <v>50000000</v>
      </c>
      <c r="R6536" s="14">
        <f>_xlfn.XLOOKUP(Table2[[#This Row],[LoanID]],Table1[G-L ID],Table1[ManagerCode],-99)</f>
        <v>298</v>
      </c>
      <c r="T6536"/>
    </row>
    <row r="6537" spans="1:20" x14ac:dyDescent="0.25">
      <c r="A6537">
        <v>20180131</v>
      </c>
      <c r="B6537">
        <v>2018</v>
      </c>
      <c r="C6537">
        <v>1</v>
      </c>
      <c r="D6537">
        <v>1</v>
      </c>
      <c r="E6537">
        <v>13630</v>
      </c>
      <c r="F6537">
        <v>218506.94</v>
      </c>
      <c r="G6537">
        <v>0</v>
      </c>
      <c r="H6537">
        <v>0</v>
      </c>
      <c r="I6537">
        <v>0</v>
      </c>
      <c r="J6537">
        <v>0</v>
      </c>
      <c r="K6537">
        <v>0</v>
      </c>
      <c r="L6537">
        <v>35537284.43</v>
      </c>
      <c r="M6537">
        <v>35537284.43</v>
      </c>
      <c r="N6537">
        <v>35537284.43</v>
      </c>
      <c r="O6537">
        <v>35537284.43</v>
      </c>
      <c r="P6537">
        <v>35000000</v>
      </c>
      <c r="Q6537">
        <v>35000000</v>
      </c>
      <c r="R6537" s="14">
        <f>_xlfn.XLOOKUP(Table2[[#This Row],[LoanID]],Table1[G-L ID],Table1[ManagerCode],-99)</f>
        <v>298</v>
      </c>
      <c r="T6537"/>
    </row>
    <row r="6538" spans="1:20" x14ac:dyDescent="0.25">
      <c r="A6538">
        <v>20180131</v>
      </c>
      <c r="B6538">
        <v>2018</v>
      </c>
      <c r="C6538">
        <v>1</v>
      </c>
      <c r="D6538">
        <v>1</v>
      </c>
      <c r="E6538">
        <v>13640</v>
      </c>
      <c r="F6538">
        <v>226983.51</v>
      </c>
      <c r="G6538">
        <v>0</v>
      </c>
      <c r="H6538">
        <v>0</v>
      </c>
      <c r="I6538">
        <v>0</v>
      </c>
      <c r="J6538">
        <v>0</v>
      </c>
      <c r="K6538">
        <v>0</v>
      </c>
      <c r="L6538">
        <v>30282941</v>
      </c>
      <c r="M6538">
        <v>30282941</v>
      </c>
      <c r="N6538">
        <v>30282941</v>
      </c>
      <c r="O6538">
        <v>30282941</v>
      </c>
      <c r="P6538">
        <v>30125000</v>
      </c>
      <c r="Q6538">
        <v>30125000</v>
      </c>
      <c r="R6538" s="14">
        <f>_xlfn.XLOOKUP(Table2[[#This Row],[LoanID]],Table1[G-L ID],Table1[ManagerCode],-99)</f>
        <v>298</v>
      </c>
      <c r="T6538"/>
    </row>
    <row r="6539" spans="1:20" x14ac:dyDescent="0.25">
      <c r="A6539">
        <v>20180131</v>
      </c>
      <c r="B6539">
        <v>2018</v>
      </c>
      <c r="C6539">
        <v>1</v>
      </c>
      <c r="D6539">
        <v>1</v>
      </c>
      <c r="E6539">
        <v>13650</v>
      </c>
      <c r="F6539">
        <v>223888.89</v>
      </c>
      <c r="G6539">
        <v>0</v>
      </c>
      <c r="H6539">
        <v>0</v>
      </c>
      <c r="I6539">
        <v>0</v>
      </c>
      <c r="J6539">
        <v>0</v>
      </c>
      <c r="K6539">
        <v>0</v>
      </c>
      <c r="L6539">
        <v>38811572</v>
      </c>
      <c r="M6539">
        <v>38811572</v>
      </c>
      <c r="N6539">
        <v>38811572</v>
      </c>
      <c r="O6539">
        <v>38811572</v>
      </c>
      <c r="P6539">
        <v>40000000</v>
      </c>
      <c r="Q6539">
        <v>40000000</v>
      </c>
      <c r="R6539" s="14">
        <f>_xlfn.XLOOKUP(Table2[[#This Row],[LoanID]],Table1[G-L ID],Table1[ManagerCode],-99)</f>
        <v>298</v>
      </c>
      <c r="T6539"/>
    </row>
    <row r="6540" spans="1:20" x14ac:dyDescent="0.25">
      <c r="A6540">
        <v>20180131</v>
      </c>
      <c r="B6540">
        <v>2018</v>
      </c>
      <c r="C6540">
        <v>1</v>
      </c>
      <c r="D6540">
        <v>1</v>
      </c>
      <c r="E6540">
        <v>13660</v>
      </c>
      <c r="F6540">
        <v>117972.22</v>
      </c>
      <c r="G6540">
        <v>0</v>
      </c>
      <c r="H6540">
        <v>0</v>
      </c>
      <c r="I6540">
        <v>0</v>
      </c>
      <c r="J6540">
        <v>0</v>
      </c>
      <c r="K6540">
        <v>0</v>
      </c>
      <c r="L6540">
        <v>18948845</v>
      </c>
      <c r="M6540">
        <v>18948845</v>
      </c>
      <c r="N6540">
        <v>18948845</v>
      </c>
      <c r="O6540">
        <v>18948845</v>
      </c>
      <c r="P6540">
        <v>20000000</v>
      </c>
      <c r="Q6540">
        <v>20000000</v>
      </c>
      <c r="R6540" s="14">
        <f>_xlfn.XLOOKUP(Table2[[#This Row],[LoanID]],Table1[G-L ID],Table1[ManagerCode],-99)</f>
        <v>298</v>
      </c>
      <c r="T6540"/>
    </row>
    <row r="6541" spans="1:20" x14ac:dyDescent="0.25">
      <c r="A6541">
        <v>20180131</v>
      </c>
      <c r="B6541">
        <v>2018</v>
      </c>
      <c r="C6541">
        <v>1</v>
      </c>
      <c r="D6541">
        <v>1</v>
      </c>
      <c r="E6541">
        <v>13670</v>
      </c>
      <c r="F6541">
        <v>322206.25</v>
      </c>
      <c r="G6541">
        <v>0</v>
      </c>
      <c r="H6541">
        <v>0</v>
      </c>
      <c r="I6541">
        <v>0</v>
      </c>
      <c r="J6541">
        <v>0</v>
      </c>
      <c r="K6541">
        <v>0</v>
      </c>
      <c r="L6541">
        <v>37539280.890000001</v>
      </c>
      <c r="M6541">
        <v>37539280.890000001</v>
      </c>
      <c r="N6541">
        <v>37539280.890000001</v>
      </c>
      <c r="O6541">
        <v>37539280.890000001</v>
      </c>
      <c r="P6541">
        <v>37500000</v>
      </c>
      <c r="Q6541">
        <v>37500000</v>
      </c>
      <c r="R6541" s="14">
        <f>_xlfn.XLOOKUP(Table2[[#This Row],[LoanID]],Table1[G-L ID],Table1[ManagerCode],-99)</f>
        <v>298</v>
      </c>
      <c r="T6541"/>
    </row>
    <row r="6542" spans="1:20" x14ac:dyDescent="0.25">
      <c r="A6542">
        <v>20180131</v>
      </c>
      <c r="B6542">
        <v>2018</v>
      </c>
      <c r="C6542">
        <v>1</v>
      </c>
      <c r="D6542">
        <v>1</v>
      </c>
      <c r="E6542">
        <v>13680</v>
      </c>
      <c r="F6542">
        <v>161610.04999999999</v>
      </c>
      <c r="G6542">
        <v>0</v>
      </c>
      <c r="H6542">
        <v>0</v>
      </c>
      <c r="I6542">
        <v>0</v>
      </c>
      <c r="J6542">
        <v>0</v>
      </c>
      <c r="K6542">
        <v>19047.990000000002</v>
      </c>
      <c r="L6542">
        <v>17971328.219999999</v>
      </c>
      <c r="M6542">
        <v>17971328.219999999</v>
      </c>
      <c r="N6542">
        <v>17971328.219999999</v>
      </c>
      <c r="O6542">
        <v>17971328.219999999</v>
      </c>
      <c r="P6542">
        <v>17980952.010000002</v>
      </c>
      <c r="Q6542">
        <v>17961904.02</v>
      </c>
      <c r="R6542" s="14">
        <f>_xlfn.XLOOKUP(Table2[[#This Row],[LoanID]],Table1[G-L ID],Table1[ManagerCode],-99)</f>
        <v>298</v>
      </c>
      <c r="T6542"/>
    </row>
    <row r="6543" spans="1:20" x14ac:dyDescent="0.25">
      <c r="A6543">
        <v>20180131</v>
      </c>
      <c r="B6543">
        <v>2018</v>
      </c>
      <c r="C6543">
        <v>1</v>
      </c>
      <c r="D6543">
        <v>1</v>
      </c>
      <c r="E6543">
        <v>13690</v>
      </c>
      <c r="F6543">
        <v>133472.22</v>
      </c>
      <c r="G6543">
        <v>0</v>
      </c>
      <c r="H6543">
        <v>0</v>
      </c>
      <c r="I6543">
        <v>0</v>
      </c>
      <c r="J6543">
        <v>0</v>
      </c>
      <c r="K6543">
        <v>0</v>
      </c>
      <c r="L6543">
        <v>19779539.27</v>
      </c>
      <c r="M6543">
        <v>19779539.27</v>
      </c>
      <c r="N6543">
        <v>19779539.27</v>
      </c>
      <c r="O6543">
        <v>19779539.27</v>
      </c>
      <c r="P6543">
        <v>20000000</v>
      </c>
      <c r="Q6543">
        <v>20000000</v>
      </c>
      <c r="R6543" s="14">
        <f>_xlfn.XLOOKUP(Table2[[#This Row],[LoanID]],Table1[G-L ID],Table1[ManagerCode],-99)</f>
        <v>298</v>
      </c>
      <c r="T6543"/>
    </row>
    <row r="6544" spans="1:20" x14ac:dyDescent="0.25">
      <c r="A6544">
        <v>20180131</v>
      </c>
      <c r="B6544">
        <v>2018</v>
      </c>
      <c r="C6544">
        <v>1</v>
      </c>
      <c r="D6544">
        <v>1</v>
      </c>
      <c r="E6544">
        <v>14670</v>
      </c>
      <c r="F6544">
        <v>67060.490000000005</v>
      </c>
      <c r="G6544">
        <v>0</v>
      </c>
      <c r="H6544">
        <v>0</v>
      </c>
      <c r="I6544">
        <v>0</v>
      </c>
      <c r="J6544">
        <v>0</v>
      </c>
      <c r="K6544">
        <v>0</v>
      </c>
      <c r="L6544">
        <v>29636184</v>
      </c>
      <c r="M6544">
        <v>29636184</v>
      </c>
      <c r="N6544">
        <v>8587934</v>
      </c>
      <c r="O6544">
        <v>8587934</v>
      </c>
      <c r="P6544">
        <v>29500000</v>
      </c>
      <c r="Q6544">
        <v>29500000</v>
      </c>
      <c r="R6544" s="14">
        <f>_xlfn.XLOOKUP(Table2[[#This Row],[LoanID]],Table1[G-L ID],Table1[ManagerCode],-99)</f>
        <v>220</v>
      </c>
      <c r="T6544"/>
    </row>
    <row r="6545" spans="1:20" x14ac:dyDescent="0.25">
      <c r="A6545">
        <v>20180131</v>
      </c>
      <c r="B6545">
        <v>2018</v>
      </c>
      <c r="C6545">
        <v>1</v>
      </c>
      <c r="D6545">
        <v>1</v>
      </c>
      <c r="E6545">
        <v>14680</v>
      </c>
      <c r="F6545">
        <v>-58907.41</v>
      </c>
      <c r="G6545">
        <v>0</v>
      </c>
      <c r="H6545">
        <v>0</v>
      </c>
      <c r="I6545">
        <v>0</v>
      </c>
      <c r="J6545">
        <v>0</v>
      </c>
      <c r="K6545">
        <v>0</v>
      </c>
      <c r="L6545">
        <v>27000000</v>
      </c>
      <c r="M6545">
        <v>27000000</v>
      </c>
      <c r="N6545">
        <v>6750000</v>
      </c>
      <c r="O6545">
        <v>6750000</v>
      </c>
      <c r="P6545">
        <v>27000000</v>
      </c>
      <c r="Q6545">
        <v>27000000</v>
      </c>
      <c r="R6545" s="14">
        <f>_xlfn.XLOOKUP(Table2[[#This Row],[LoanID]],Table1[G-L ID],Table1[ManagerCode],-99)</f>
        <v>220</v>
      </c>
      <c r="T6545"/>
    </row>
    <row r="6546" spans="1:20" x14ac:dyDescent="0.25">
      <c r="A6546">
        <v>20180131</v>
      </c>
      <c r="B6546">
        <v>2018</v>
      </c>
      <c r="C6546">
        <v>1</v>
      </c>
      <c r="D6546">
        <v>1</v>
      </c>
      <c r="E6546">
        <v>14790</v>
      </c>
      <c r="F6546">
        <v>0</v>
      </c>
      <c r="G6546">
        <v>0</v>
      </c>
      <c r="H6546">
        <v>0</v>
      </c>
      <c r="I6546">
        <v>0</v>
      </c>
      <c r="J6546">
        <v>0</v>
      </c>
      <c r="K6546">
        <v>0</v>
      </c>
      <c r="L6546">
        <v>69200000</v>
      </c>
      <c r="M6546">
        <v>69200000</v>
      </c>
      <c r="N6546">
        <v>69200000</v>
      </c>
      <c r="O6546">
        <v>69200000</v>
      </c>
      <c r="P6546">
        <v>69200000</v>
      </c>
      <c r="Q6546">
        <v>69200000</v>
      </c>
      <c r="R6546" s="14">
        <f>_xlfn.XLOOKUP(Table2[[#This Row],[LoanID]],Table1[G-L ID],Table1[ManagerCode],-99)</f>
        <v>220</v>
      </c>
      <c r="T6546"/>
    </row>
    <row r="6547" spans="1:20" x14ac:dyDescent="0.25">
      <c r="A6547">
        <v>20180131</v>
      </c>
      <c r="B6547">
        <v>2018</v>
      </c>
      <c r="C6547">
        <v>1</v>
      </c>
      <c r="D6547">
        <v>1</v>
      </c>
      <c r="E6547">
        <v>15030</v>
      </c>
      <c r="F6547">
        <v>-74153.240000000005</v>
      </c>
      <c r="G6547">
        <v>0</v>
      </c>
      <c r="H6547">
        <v>0</v>
      </c>
      <c r="I6547">
        <v>0</v>
      </c>
      <c r="J6547">
        <v>-262549.17</v>
      </c>
      <c r="K6547">
        <v>0</v>
      </c>
      <c r="L6547">
        <v>36471335</v>
      </c>
      <c r="M6547">
        <v>36733883.979999997</v>
      </c>
      <c r="N6547">
        <v>12641998.220000001</v>
      </c>
      <c r="O6547">
        <v>12904547.199999999</v>
      </c>
      <c r="P6547">
        <v>36471334.810000002</v>
      </c>
      <c r="Q6547">
        <v>36733883.979999997</v>
      </c>
      <c r="R6547" s="14">
        <f>_xlfn.XLOOKUP(Table2[[#This Row],[LoanID]],Table1[G-L ID],Table1[ManagerCode],-99)</f>
        <v>220</v>
      </c>
      <c r="T6547"/>
    </row>
    <row r="6548" spans="1:20" x14ac:dyDescent="0.25">
      <c r="A6548">
        <v>20180131</v>
      </c>
      <c r="B6548">
        <v>2018</v>
      </c>
      <c r="C6548">
        <v>1</v>
      </c>
      <c r="D6548">
        <v>1</v>
      </c>
      <c r="E6548">
        <v>15540</v>
      </c>
      <c r="F6548">
        <v>245481.25</v>
      </c>
      <c r="G6548">
        <v>8001.88</v>
      </c>
      <c r="H6548">
        <v>0</v>
      </c>
      <c r="I6548">
        <v>-2260.42</v>
      </c>
      <c r="J6548">
        <v>0</v>
      </c>
      <c r="K6548">
        <v>0</v>
      </c>
      <c r="L6548">
        <v>52745481.25</v>
      </c>
      <c r="M6548">
        <v>52753483.130000003</v>
      </c>
      <c r="N6548">
        <v>52745481.25</v>
      </c>
      <c r="O6548">
        <v>52753483.130000003</v>
      </c>
      <c r="P6548">
        <v>52745481.25</v>
      </c>
      <c r="Q6548">
        <v>52753483.130000003</v>
      </c>
      <c r="R6548" s="14">
        <f>_xlfn.XLOOKUP(Table2[[#This Row],[LoanID]],Table1[G-L ID],Table1[ManagerCode],-99)</f>
        <v>212</v>
      </c>
      <c r="T6548"/>
    </row>
    <row r="6549" spans="1:20" x14ac:dyDescent="0.25">
      <c r="A6549">
        <v>20180131</v>
      </c>
      <c r="B6549">
        <v>2018</v>
      </c>
      <c r="C6549">
        <v>1</v>
      </c>
      <c r="D6549">
        <v>1</v>
      </c>
      <c r="E6549">
        <v>15580</v>
      </c>
      <c r="F6549">
        <v>116341.9</v>
      </c>
      <c r="G6549">
        <v>-56.23</v>
      </c>
      <c r="H6549">
        <v>0</v>
      </c>
      <c r="I6549">
        <v>0</v>
      </c>
      <c r="J6549">
        <v>0</v>
      </c>
      <c r="K6549">
        <v>7059.41</v>
      </c>
      <c r="L6549">
        <v>14722474.470000001</v>
      </c>
      <c r="M6549">
        <v>14715358.83</v>
      </c>
      <c r="N6549">
        <v>14722474.470000001</v>
      </c>
      <c r="O6549">
        <v>14715358.83</v>
      </c>
      <c r="P6549">
        <v>14722474.470000001</v>
      </c>
      <c r="Q6549">
        <v>14715358.83</v>
      </c>
      <c r="R6549" s="14">
        <f>_xlfn.XLOOKUP(Table2[[#This Row],[LoanID]],Table1[G-L ID],Table1[ManagerCode],-99)</f>
        <v>212</v>
      </c>
      <c r="T6549"/>
    </row>
    <row r="6550" spans="1:20" x14ac:dyDescent="0.25">
      <c r="A6550">
        <v>20180131</v>
      </c>
      <c r="B6550">
        <v>2018</v>
      </c>
      <c r="C6550">
        <v>1</v>
      </c>
      <c r="D6550">
        <v>1</v>
      </c>
      <c r="E6550">
        <v>15620</v>
      </c>
      <c r="F6550">
        <v>284115</v>
      </c>
      <c r="G6550">
        <v>11888.5</v>
      </c>
      <c r="H6550">
        <v>0</v>
      </c>
      <c r="I6550">
        <v>-3358.33</v>
      </c>
      <c r="J6550">
        <v>0</v>
      </c>
      <c r="K6550">
        <v>0</v>
      </c>
      <c r="L6550">
        <v>78284115</v>
      </c>
      <c r="M6550">
        <v>78296003.5</v>
      </c>
      <c r="N6550">
        <v>78284115</v>
      </c>
      <c r="O6550">
        <v>78296003.5</v>
      </c>
      <c r="P6550">
        <v>78284115</v>
      </c>
      <c r="Q6550">
        <v>78296003.5</v>
      </c>
      <c r="R6550" s="14">
        <f>_xlfn.XLOOKUP(Table2[[#This Row],[LoanID]],Table1[G-L ID],Table1[ManagerCode],-99)</f>
        <v>212</v>
      </c>
      <c r="T6550"/>
    </row>
    <row r="6551" spans="1:20" x14ac:dyDescent="0.25">
      <c r="A6551">
        <v>20180228</v>
      </c>
      <c r="B6551">
        <v>2018</v>
      </c>
      <c r="C6551">
        <v>2</v>
      </c>
      <c r="D6551">
        <v>1</v>
      </c>
      <c r="E6551">
        <v>10010</v>
      </c>
      <c r="F6551">
        <v>186849.72</v>
      </c>
      <c r="G6551">
        <v>0</v>
      </c>
      <c r="H6551">
        <v>0</v>
      </c>
      <c r="I6551">
        <v>0</v>
      </c>
      <c r="J6551">
        <v>28134.03</v>
      </c>
      <c r="K6551">
        <v>0</v>
      </c>
      <c r="L6551">
        <v>17563063.559999999</v>
      </c>
      <c r="M6551">
        <v>17534929.530000001</v>
      </c>
      <c r="N6551">
        <v>17563063.559999999</v>
      </c>
      <c r="O6551">
        <v>17534929.530000001</v>
      </c>
      <c r="P6551">
        <v>17563063.559999999</v>
      </c>
      <c r="Q6551">
        <v>17534929.530000001</v>
      </c>
      <c r="R6551" s="14">
        <f>_xlfn.XLOOKUP(Table2[[#This Row],[LoanID]],Table1[G-L ID],Table1[ManagerCode],-99)</f>
        <v>119</v>
      </c>
      <c r="T6551"/>
    </row>
    <row r="6552" spans="1:20" x14ac:dyDescent="0.25">
      <c r="A6552">
        <v>20180228</v>
      </c>
      <c r="B6552">
        <v>2018</v>
      </c>
      <c r="C6552">
        <v>2</v>
      </c>
      <c r="D6552">
        <v>1</v>
      </c>
      <c r="E6552">
        <v>10030</v>
      </c>
      <c r="F6552">
        <v>74376.539999999994</v>
      </c>
      <c r="G6552">
        <v>0</v>
      </c>
      <c r="H6552">
        <v>0</v>
      </c>
      <c r="I6552">
        <v>0</v>
      </c>
      <c r="J6552">
        <v>-366365.14</v>
      </c>
      <c r="K6552">
        <v>0</v>
      </c>
      <c r="L6552">
        <v>7912575.7300000004</v>
      </c>
      <c r="M6552">
        <v>8278940.8700000001</v>
      </c>
      <c r="N6552">
        <v>7912575.7300000004</v>
      </c>
      <c r="O6552">
        <v>8278940.8700000001</v>
      </c>
      <c r="P6552">
        <v>7912575.7300000004</v>
      </c>
      <c r="Q6552">
        <v>8278940.8700000001</v>
      </c>
      <c r="R6552" s="14">
        <f>_xlfn.XLOOKUP(Table2[[#This Row],[LoanID]],Table1[G-L ID],Table1[ManagerCode],-99)</f>
        <v>119</v>
      </c>
      <c r="T6552"/>
    </row>
    <row r="6553" spans="1:20" x14ac:dyDescent="0.25">
      <c r="A6553">
        <v>20180228</v>
      </c>
      <c r="B6553">
        <v>2018</v>
      </c>
      <c r="C6553">
        <v>2</v>
      </c>
      <c r="D6553">
        <v>1</v>
      </c>
      <c r="E6553">
        <v>10040</v>
      </c>
      <c r="F6553">
        <v>49746.39</v>
      </c>
      <c r="G6553">
        <v>0</v>
      </c>
      <c r="H6553">
        <v>0</v>
      </c>
      <c r="I6553">
        <v>0</v>
      </c>
      <c r="J6553">
        <v>0</v>
      </c>
      <c r="K6553">
        <v>0</v>
      </c>
      <c r="L6553">
        <v>5000000</v>
      </c>
      <c r="M6553">
        <v>5000000</v>
      </c>
      <c r="N6553">
        <v>5000000</v>
      </c>
      <c r="O6553">
        <v>5000000</v>
      </c>
      <c r="P6553">
        <v>5000000</v>
      </c>
      <c r="Q6553">
        <v>5000000</v>
      </c>
      <c r="R6553" s="14">
        <f>_xlfn.XLOOKUP(Table2[[#This Row],[LoanID]],Table1[G-L ID],Table1[ManagerCode],-99)</f>
        <v>119</v>
      </c>
      <c r="T6553"/>
    </row>
    <row r="6554" spans="1:20" x14ac:dyDescent="0.25">
      <c r="A6554">
        <v>20180228</v>
      </c>
      <c r="B6554">
        <v>2018</v>
      </c>
      <c r="C6554">
        <v>2</v>
      </c>
      <c r="D6554">
        <v>1</v>
      </c>
      <c r="E6554">
        <v>10050</v>
      </c>
      <c r="F6554">
        <v>153981.01999999999</v>
      </c>
      <c r="G6554">
        <v>0</v>
      </c>
      <c r="H6554">
        <v>0</v>
      </c>
      <c r="I6554">
        <v>-69.44</v>
      </c>
      <c r="J6554">
        <v>0</v>
      </c>
      <c r="K6554">
        <v>0</v>
      </c>
      <c r="L6554">
        <v>36196715.68</v>
      </c>
      <c r="M6554">
        <v>35861816.100000001</v>
      </c>
      <c r="N6554">
        <v>36196715.68</v>
      </c>
      <c r="O6554">
        <v>35861816.100000001</v>
      </c>
      <c r="P6554">
        <v>33333334</v>
      </c>
      <c r="Q6554">
        <v>33333334</v>
      </c>
      <c r="R6554" s="14">
        <f>_xlfn.XLOOKUP(Table2[[#This Row],[LoanID]],Table1[G-L ID],Table1[ManagerCode],-99)</f>
        <v>103</v>
      </c>
      <c r="T6554"/>
    </row>
    <row r="6555" spans="1:20" x14ac:dyDescent="0.25">
      <c r="A6555">
        <v>20180228</v>
      </c>
      <c r="B6555">
        <v>2018</v>
      </c>
      <c r="C6555">
        <v>2</v>
      </c>
      <c r="D6555">
        <v>1</v>
      </c>
      <c r="E6555">
        <v>10070</v>
      </c>
      <c r="F6555">
        <v>69507.13</v>
      </c>
      <c r="G6555">
        <v>0</v>
      </c>
      <c r="H6555">
        <v>0</v>
      </c>
      <c r="I6555">
        <v>0</v>
      </c>
      <c r="J6555">
        <v>0</v>
      </c>
      <c r="K6555">
        <v>0</v>
      </c>
      <c r="L6555">
        <v>5875000</v>
      </c>
      <c r="M6555">
        <v>5875000</v>
      </c>
      <c r="N6555">
        <v>5875000</v>
      </c>
      <c r="O6555">
        <v>5875000</v>
      </c>
      <c r="P6555">
        <v>5875000</v>
      </c>
      <c r="Q6555">
        <v>5875000</v>
      </c>
      <c r="R6555" s="14">
        <f>_xlfn.XLOOKUP(Table2[[#This Row],[LoanID]],Table1[G-L ID],Table1[ManagerCode],-99)</f>
        <v>119</v>
      </c>
      <c r="T6555"/>
    </row>
    <row r="6556" spans="1:20" x14ac:dyDescent="0.25">
      <c r="A6556">
        <v>20180228</v>
      </c>
      <c r="B6556">
        <v>2018</v>
      </c>
      <c r="C6556">
        <v>2</v>
      </c>
      <c r="D6556">
        <v>1</v>
      </c>
      <c r="E6556">
        <v>10110</v>
      </c>
      <c r="F6556">
        <v>157745.22</v>
      </c>
      <c r="G6556">
        <v>0</v>
      </c>
      <c r="H6556">
        <v>0</v>
      </c>
      <c r="I6556">
        <v>0</v>
      </c>
      <c r="J6556">
        <v>0</v>
      </c>
      <c r="K6556">
        <v>0</v>
      </c>
      <c r="L6556">
        <v>16400000</v>
      </c>
      <c r="M6556">
        <v>16400000</v>
      </c>
      <c r="N6556">
        <v>16400000</v>
      </c>
      <c r="O6556">
        <v>16400000</v>
      </c>
      <c r="P6556">
        <v>16400000</v>
      </c>
      <c r="Q6556">
        <v>16400000</v>
      </c>
      <c r="R6556" s="14">
        <f>_xlfn.XLOOKUP(Table2[[#This Row],[LoanID]],Table1[G-L ID],Table1[ManagerCode],-99)</f>
        <v>119</v>
      </c>
      <c r="T6556"/>
    </row>
    <row r="6557" spans="1:20" x14ac:dyDescent="0.25">
      <c r="A6557">
        <v>20180228</v>
      </c>
      <c r="B6557">
        <v>2018</v>
      </c>
      <c r="C6557">
        <v>2</v>
      </c>
      <c r="D6557">
        <v>1</v>
      </c>
      <c r="E6557">
        <v>10120</v>
      </c>
      <c r="F6557">
        <v>62134.84</v>
      </c>
      <c r="G6557">
        <v>0</v>
      </c>
      <c r="H6557">
        <v>0</v>
      </c>
      <c r="I6557">
        <v>0</v>
      </c>
      <c r="J6557">
        <v>0</v>
      </c>
      <c r="K6557">
        <v>12514365.52</v>
      </c>
      <c r="L6557">
        <v>12514365.52</v>
      </c>
      <c r="M6557">
        <v>0</v>
      </c>
      <c r="N6557">
        <v>12514365.52</v>
      </c>
      <c r="O6557">
        <v>0</v>
      </c>
      <c r="P6557">
        <v>12514365.52</v>
      </c>
      <c r="Q6557">
        <v>0</v>
      </c>
      <c r="R6557" s="14">
        <f>_xlfn.XLOOKUP(Table2[[#This Row],[LoanID]],Table1[G-L ID],Table1[ManagerCode],-99)</f>
        <v>183</v>
      </c>
      <c r="T6557"/>
    </row>
    <row r="6558" spans="1:20" x14ac:dyDescent="0.25">
      <c r="A6558">
        <v>20180228</v>
      </c>
      <c r="B6558">
        <v>2018</v>
      </c>
      <c r="C6558">
        <v>2</v>
      </c>
      <c r="D6558">
        <v>1</v>
      </c>
      <c r="E6558">
        <v>10220</v>
      </c>
      <c r="F6558">
        <v>559722.22</v>
      </c>
      <c r="G6558">
        <v>0</v>
      </c>
      <c r="H6558">
        <v>0</v>
      </c>
      <c r="I6558">
        <v>0</v>
      </c>
      <c r="J6558">
        <v>0</v>
      </c>
      <c r="K6558">
        <v>0</v>
      </c>
      <c r="L6558">
        <v>112394087</v>
      </c>
      <c r="M6558">
        <v>110153371.2</v>
      </c>
      <c r="N6558">
        <v>112394087</v>
      </c>
      <c r="O6558">
        <v>110153371.2</v>
      </c>
      <c r="P6558">
        <v>100000000</v>
      </c>
      <c r="Q6558">
        <v>100000000</v>
      </c>
      <c r="R6558" s="14">
        <f>_xlfn.XLOOKUP(Table2[[#This Row],[LoanID]],Table1[G-L ID],Table1[ManagerCode],-99)</f>
        <v>103</v>
      </c>
      <c r="T6558"/>
    </row>
    <row r="6559" spans="1:20" x14ac:dyDescent="0.25">
      <c r="A6559">
        <v>20180228</v>
      </c>
      <c r="B6559">
        <v>2018</v>
      </c>
      <c r="C6559">
        <v>2</v>
      </c>
      <c r="D6559">
        <v>1</v>
      </c>
      <c r="E6559">
        <v>10250</v>
      </c>
      <c r="F6559">
        <v>55283.33</v>
      </c>
      <c r="G6559">
        <v>0</v>
      </c>
      <c r="H6559">
        <v>0</v>
      </c>
      <c r="I6559">
        <v>0</v>
      </c>
      <c r="J6559">
        <v>0</v>
      </c>
      <c r="K6559">
        <v>0</v>
      </c>
      <c r="L6559">
        <v>5000000</v>
      </c>
      <c r="M6559">
        <v>5000000</v>
      </c>
      <c r="N6559">
        <v>5000000</v>
      </c>
      <c r="O6559">
        <v>5000000</v>
      </c>
      <c r="P6559">
        <v>5000000</v>
      </c>
      <c r="Q6559">
        <v>5000000</v>
      </c>
      <c r="R6559" s="14">
        <f>_xlfn.XLOOKUP(Table2[[#This Row],[LoanID]],Table1[G-L ID],Table1[ManagerCode],-99)</f>
        <v>119</v>
      </c>
      <c r="T6559"/>
    </row>
    <row r="6560" spans="1:20" x14ac:dyDescent="0.25">
      <c r="A6560">
        <v>20180228</v>
      </c>
      <c r="B6560">
        <v>2018</v>
      </c>
      <c r="C6560">
        <v>2</v>
      </c>
      <c r="D6560">
        <v>1</v>
      </c>
      <c r="E6560">
        <v>10270</v>
      </c>
      <c r="F6560">
        <v>49430.62</v>
      </c>
      <c r="G6560">
        <v>0</v>
      </c>
      <c r="H6560">
        <v>0</v>
      </c>
      <c r="I6560">
        <v>0</v>
      </c>
      <c r="J6560">
        <v>0</v>
      </c>
      <c r="K6560">
        <v>0</v>
      </c>
      <c r="L6560">
        <v>4500000</v>
      </c>
      <c r="M6560">
        <v>4500000</v>
      </c>
      <c r="N6560">
        <v>4500000</v>
      </c>
      <c r="O6560">
        <v>4500000</v>
      </c>
      <c r="P6560">
        <v>4500000</v>
      </c>
      <c r="Q6560">
        <v>4500000</v>
      </c>
      <c r="R6560" s="14">
        <f>_xlfn.XLOOKUP(Table2[[#This Row],[LoanID]],Table1[G-L ID],Table1[ManagerCode],-99)</f>
        <v>119</v>
      </c>
      <c r="T6560"/>
    </row>
    <row r="6561" spans="1:20" x14ac:dyDescent="0.25">
      <c r="A6561">
        <v>20180228</v>
      </c>
      <c r="B6561">
        <v>2018</v>
      </c>
      <c r="C6561">
        <v>2</v>
      </c>
      <c r="D6561">
        <v>1</v>
      </c>
      <c r="E6561">
        <v>10330</v>
      </c>
      <c r="F6561">
        <v>89541.64</v>
      </c>
      <c r="G6561">
        <v>0</v>
      </c>
      <c r="H6561">
        <v>0</v>
      </c>
      <c r="I6561">
        <v>0</v>
      </c>
      <c r="J6561">
        <v>0</v>
      </c>
      <c r="K6561">
        <v>0</v>
      </c>
      <c r="L6561">
        <v>8652759.6999999993</v>
      </c>
      <c r="M6561">
        <v>8652759.6999999993</v>
      </c>
      <c r="N6561">
        <v>8652759.6999999993</v>
      </c>
      <c r="O6561">
        <v>8652759.6999999993</v>
      </c>
      <c r="P6561">
        <v>8652759.6999999993</v>
      </c>
      <c r="Q6561">
        <v>8652759.6999999993</v>
      </c>
      <c r="R6561" s="14">
        <f>_xlfn.XLOOKUP(Table2[[#This Row],[LoanID]],Table1[G-L ID],Table1[ManagerCode],-99)</f>
        <v>119</v>
      </c>
      <c r="T6561"/>
    </row>
    <row r="6562" spans="1:20" x14ac:dyDescent="0.25">
      <c r="A6562">
        <v>20180228</v>
      </c>
      <c r="B6562">
        <v>2018</v>
      </c>
      <c r="C6562">
        <v>2</v>
      </c>
      <c r="D6562">
        <v>1</v>
      </c>
      <c r="E6562">
        <v>10350</v>
      </c>
      <c r="F6562">
        <v>191166.67</v>
      </c>
      <c r="G6562">
        <v>0</v>
      </c>
      <c r="H6562">
        <v>0</v>
      </c>
      <c r="I6562">
        <v>0</v>
      </c>
      <c r="J6562">
        <v>0</v>
      </c>
      <c r="K6562">
        <v>0</v>
      </c>
      <c r="L6562">
        <v>24800000</v>
      </c>
      <c r="M6562">
        <v>24800000</v>
      </c>
      <c r="N6562">
        <v>24800000</v>
      </c>
      <c r="O6562">
        <v>24800000</v>
      </c>
      <c r="P6562">
        <v>24800000</v>
      </c>
      <c r="Q6562">
        <v>24800000</v>
      </c>
      <c r="R6562" s="14">
        <f>_xlfn.XLOOKUP(Table2[[#This Row],[LoanID]],Table1[G-L ID],Table1[ManagerCode],-99)</f>
        <v>220</v>
      </c>
      <c r="T6562"/>
    </row>
    <row r="6563" spans="1:20" x14ac:dyDescent="0.25">
      <c r="A6563">
        <v>20180228</v>
      </c>
      <c r="B6563">
        <v>2018</v>
      </c>
      <c r="C6563">
        <v>2</v>
      </c>
      <c r="D6563">
        <v>1</v>
      </c>
      <c r="E6563">
        <v>10360</v>
      </c>
      <c r="F6563">
        <v>57858.96</v>
      </c>
      <c r="G6563">
        <v>0</v>
      </c>
      <c r="H6563">
        <v>0</v>
      </c>
      <c r="I6563">
        <v>0</v>
      </c>
      <c r="J6563">
        <v>0</v>
      </c>
      <c r="K6563">
        <v>0</v>
      </c>
      <c r="L6563">
        <v>5909000</v>
      </c>
      <c r="M6563">
        <v>5909000</v>
      </c>
      <c r="N6563">
        <v>5909000</v>
      </c>
      <c r="O6563">
        <v>5909000</v>
      </c>
      <c r="P6563">
        <v>5909000</v>
      </c>
      <c r="Q6563">
        <v>5909000</v>
      </c>
      <c r="R6563" s="14">
        <f>_xlfn.XLOOKUP(Table2[[#This Row],[LoanID]],Table1[G-L ID],Table1[ManagerCode],-99)</f>
        <v>183</v>
      </c>
      <c r="T6563"/>
    </row>
    <row r="6564" spans="1:20" x14ac:dyDescent="0.25">
      <c r="A6564">
        <v>20180228</v>
      </c>
      <c r="B6564">
        <v>2018</v>
      </c>
      <c r="C6564">
        <v>2</v>
      </c>
      <c r="D6564">
        <v>1</v>
      </c>
      <c r="E6564">
        <v>10480</v>
      </c>
      <c r="F6564">
        <v>167380</v>
      </c>
      <c r="G6564">
        <v>0</v>
      </c>
      <c r="H6564">
        <v>0</v>
      </c>
      <c r="I6564">
        <v>0</v>
      </c>
      <c r="J6564">
        <v>0</v>
      </c>
      <c r="K6564">
        <v>0</v>
      </c>
      <c r="L6564">
        <v>18000000</v>
      </c>
      <c r="M6564">
        <v>18000000</v>
      </c>
      <c r="N6564">
        <v>18000000</v>
      </c>
      <c r="O6564">
        <v>18000000</v>
      </c>
      <c r="P6564">
        <v>18000000</v>
      </c>
      <c r="Q6564">
        <v>18000000</v>
      </c>
      <c r="R6564" s="14">
        <f>_xlfn.XLOOKUP(Table2[[#This Row],[LoanID]],Table1[G-L ID],Table1[ManagerCode],-99)</f>
        <v>119</v>
      </c>
      <c r="T6564"/>
    </row>
    <row r="6565" spans="1:20" x14ac:dyDescent="0.25">
      <c r="A6565">
        <v>20180228</v>
      </c>
      <c r="B6565">
        <v>2018</v>
      </c>
      <c r="C6565">
        <v>2</v>
      </c>
      <c r="D6565">
        <v>1</v>
      </c>
      <c r="E6565">
        <v>10620</v>
      </c>
      <c r="F6565">
        <v>126541.37</v>
      </c>
      <c r="G6565">
        <v>0</v>
      </c>
      <c r="H6565">
        <v>0</v>
      </c>
      <c r="I6565">
        <v>0</v>
      </c>
      <c r="J6565">
        <v>0</v>
      </c>
      <c r="K6565">
        <v>0</v>
      </c>
      <c r="L6565">
        <v>11951308.810000001</v>
      </c>
      <c r="M6565">
        <v>11951308.810000001</v>
      </c>
      <c r="N6565">
        <v>11951308.810000001</v>
      </c>
      <c r="O6565">
        <v>11951308.810000001</v>
      </c>
      <c r="P6565">
        <v>11951308.810000001</v>
      </c>
      <c r="Q6565">
        <v>11951308.810000001</v>
      </c>
      <c r="R6565" s="14">
        <f>_xlfn.XLOOKUP(Table2[[#This Row],[LoanID]],Table1[G-L ID],Table1[ManagerCode],-99)</f>
        <v>119</v>
      </c>
      <c r="T6565"/>
    </row>
    <row r="6566" spans="1:20" x14ac:dyDescent="0.25">
      <c r="A6566">
        <v>20180228</v>
      </c>
      <c r="B6566">
        <v>2018</v>
      </c>
      <c r="C6566">
        <v>2</v>
      </c>
      <c r="D6566">
        <v>1</v>
      </c>
      <c r="E6566">
        <v>10670</v>
      </c>
      <c r="F6566">
        <v>297600</v>
      </c>
      <c r="G6566">
        <v>0</v>
      </c>
      <c r="H6566">
        <v>300000</v>
      </c>
      <c r="I6566">
        <v>0</v>
      </c>
      <c r="J6566">
        <v>0</v>
      </c>
      <c r="K6566">
        <v>30000000</v>
      </c>
      <c r="L6566">
        <v>30000000</v>
      </c>
      <c r="M6566">
        <v>0</v>
      </c>
      <c r="N6566">
        <v>30000000</v>
      </c>
      <c r="O6566">
        <v>0</v>
      </c>
      <c r="P6566">
        <v>30000000</v>
      </c>
      <c r="Q6566">
        <v>0</v>
      </c>
      <c r="R6566" s="14">
        <f>_xlfn.XLOOKUP(Table2[[#This Row],[LoanID]],Table1[G-L ID],Table1[ManagerCode],-99)</f>
        <v>119</v>
      </c>
      <c r="T6566"/>
    </row>
    <row r="6567" spans="1:20" x14ac:dyDescent="0.25">
      <c r="A6567">
        <v>20180228</v>
      </c>
      <c r="B6567">
        <v>2018</v>
      </c>
      <c r="C6567">
        <v>2</v>
      </c>
      <c r="D6567">
        <v>1</v>
      </c>
      <c r="E6567">
        <v>10730</v>
      </c>
      <c r="F6567">
        <v>109261.87</v>
      </c>
      <c r="G6567">
        <v>0</v>
      </c>
      <c r="H6567">
        <v>0</v>
      </c>
      <c r="I6567">
        <v>0</v>
      </c>
      <c r="J6567">
        <v>0</v>
      </c>
      <c r="K6567">
        <v>0</v>
      </c>
      <c r="L6567">
        <v>9500000</v>
      </c>
      <c r="M6567">
        <v>9500000</v>
      </c>
      <c r="N6567">
        <v>9500000</v>
      </c>
      <c r="O6567">
        <v>9500000</v>
      </c>
      <c r="P6567">
        <v>9500000</v>
      </c>
      <c r="Q6567">
        <v>9500000</v>
      </c>
      <c r="R6567" s="14">
        <f>_xlfn.XLOOKUP(Table2[[#This Row],[LoanID]],Table1[G-L ID],Table1[ManagerCode],-99)</f>
        <v>119</v>
      </c>
      <c r="T6567"/>
    </row>
    <row r="6568" spans="1:20" x14ac:dyDescent="0.25">
      <c r="A6568">
        <v>20180228</v>
      </c>
      <c r="B6568">
        <v>2018</v>
      </c>
      <c r="C6568">
        <v>2</v>
      </c>
      <c r="D6568">
        <v>1</v>
      </c>
      <c r="E6568">
        <v>10750</v>
      </c>
      <c r="F6568">
        <v>84847.47</v>
      </c>
      <c r="G6568">
        <v>0</v>
      </c>
      <c r="H6568">
        <v>0</v>
      </c>
      <c r="I6568">
        <v>0</v>
      </c>
      <c r="J6568">
        <v>0</v>
      </c>
      <c r="K6568">
        <v>0</v>
      </c>
      <c r="L6568">
        <v>8757259.9600000009</v>
      </c>
      <c r="M6568">
        <v>8757259.9600000009</v>
      </c>
      <c r="N6568">
        <v>8757259.9600000009</v>
      </c>
      <c r="O6568">
        <v>8757259.9600000009</v>
      </c>
      <c r="P6568">
        <v>8757259.9600000009</v>
      </c>
      <c r="Q6568">
        <v>8757259.9600000009</v>
      </c>
      <c r="R6568" s="14">
        <f>_xlfn.XLOOKUP(Table2[[#This Row],[LoanID]],Table1[G-L ID],Table1[ManagerCode],-99)</f>
        <v>119</v>
      </c>
      <c r="T6568"/>
    </row>
    <row r="6569" spans="1:20" x14ac:dyDescent="0.25">
      <c r="A6569">
        <v>20180228</v>
      </c>
      <c r="B6569">
        <v>2018</v>
      </c>
      <c r="C6569">
        <v>2</v>
      </c>
      <c r="D6569">
        <v>1</v>
      </c>
      <c r="E6569">
        <v>10790</v>
      </c>
      <c r="F6569">
        <v>23203.93</v>
      </c>
      <c r="G6569">
        <v>0</v>
      </c>
      <c r="H6569">
        <v>0</v>
      </c>
      <c r="I6569">
        <v>0</v>
      </c>
      <c r="J6569">
        <v>0</v>
      </c>
      <c r="K6569">
        <v>46264.32</v>
      </c>
      <c r="L6569">
        <v>5144240.62</v>
      </c>
      <c r="M6569">
        <v>5080375.22</v>
      </c>
      <c r="N6569">
        <v>5144240.62</v>
      </c>
      <c r="O6569">
        <v>5080375.22</v>
      </c>
      <c r="P6569">
        <v>4954576.1500000004</v>
      </c>
      <c r="Q6569">
        <v>4908311.83</v>
      </c>
      <c r="R6569" s="14">
        <f>_xlfn.XLOOKUP(Table2[[#This Row],[LoanID]],Table1[G-L ID],Table1[ManagerCode],-99)</f>
        <v>103</v>
      </c>
      <c r="T6569"/>
    </row>
    <row r="6570" spans="1:20" x14ac:dyDescent="0.25">
      <c r="A6570">
        <v>20180228</v>
      </c>
      <c r="B6570">
        <v>2018</v>
      </c>
      <c r="C6570">
        <v>2</v>
      </c>
      <c r="D6570">
        <v>1</v>
      </c>
      <c r="E6570">
        <v>10810</v>
      </c>
      <c r="F6570">
        <v>96160.78</v>
      </c>
      <c r="G6570">
        <v>0</v>
      </c>
      <c r="H6570">
        <v>0</v>
      </c>
      <c r="I6570">
        <v>0</v>
      </c>
      <c r="J6570">
        <v>0</v>
      </c>
      <c r="K6570">
        <v>0</v>
      </c>
      <c r="L6570">
        <v>9332088.0199999996</v>
      </c>
      <c r="M6570">
        <v>9332088.0199999996</v>
      </c>
      <c r="N6570">
        <v>9332088.0199999996</v>
      </c>
      <c r="O6570">
        <v>9332088.0199999996</v>
      </c>
      <c r="P6570">
        <v>9332088.0199999996</v>
      </c>
      <c r="Q6570">
        <v>9332088.0199999996</v>
      </c>
      <c r="R6570" s="14">
        <f>_xlfn.XLOOKUP(Table2[[#This Row],[LoanID]],Table1[G-L ID],Table1[ManagerCode],-99)</f>
        <v>119</v>
      </c>
      <c r="T6570"/>
    </row>
    <row r="6571" spans="1:20" x14ac:dyDescent="0.25">
      <c r="A6571">
        <v>20180228</v>
      </c>
      <c r="B6571">
        <v>2018</v>
      </c>
      <c r="C6571">
        <v>2</v>
      </c>
      <c r="D6571">
        <v>1</v>
      </c>
      <c r="E6571">
        <v>10820</v>
      </c>
      <c r="F6571">
        <v>199512.17</v>
      </c>
      <c r="G6571">
        <v>0</v>
      </c>
      <c r="H6571">
        <v>0</v>
      </c>
      <c r="I6571">
        <v>0</v>
      </c>
      <c r="J6571">
        <v>0</v>
      </c>
      <c r="K6571">
        <v>0</v>
      </c>
      <c r="L6571">
        <v>24388584.010000002</v>
      </c>
      <c r="M6571">
        <v>24388584.010000002</v>
      </c>
      <c r="N6571">
        <v>24388584.010000002</v>
      </c>
      <c r="O6571">
        <v>24388584.010000002</v>
      </c>
      <c r="P6571">
        <v>24388584.010000002</v>
      </c>
      <c r="Q6571">
        <v>24388584.010000002</v>
      </c>
      <c r="R6571" s="14">
        <f>_xlfn.XLOOKUP(Table2[[#This Row],[LoanID]],Table1[G-L ID],Table1[ManagerCode],-99)</f>
        <v>220</v>
      </c>
      <c r="T6571"/>
    </row>
    <row r="6572" spans="1:20" x14ac:dyDescent="0.25">
      <c r="A6572">
        <v>20180228</v>
      </c>
      <c r="B6572">
        <v>2018</v>
      </c>
      <c r="C6572">
        <v>2</v>
      </c>
      <c r="D6572">
        <v>1</v>
      </c>
      <c r="E6572">
        <v>10830</v>
      </c>
      <c r="F6572">
        <v>63857.77</v>
      </c>
      <c r="G6572">
        <v>0</v>
      </c>
      <c r="H6572">
        <v>0</v>
      </c>
      <c r="I6572">
        <v>0</v>
      </c>
      <c r="J6572">
        <v>0</v>
      </c>
      <c r="K6572">
        <v>0</v>
      </c>
      <c r="L6572">
        <v>7806043.1399999997</v>
      </c>
      <c r="M6572">
        <v>7806043.1399999997</v>
      </c>
      <c r="N6572">
        <v>7806043.1399999997</v>
      </c>
      <c r="O6572">
        <v>7806043.1399999997</v>
      </c>
      <c r="P6572">
        <v>7806043.1399999997</v>
      </c>
      <c r="Q6572">
        <v>7806043.1399999997</v>
      </c>
      <c r="R6572" s="14">
        <f>_xlfn.XLOOKUP(Table2[[#This Row],[LoanID]],Table1[G-L ID],Table1[ManagerCode],-99)</f>
        <v>220</v>
      </c>
      <c r="T6572"/>
    </row>
    <row r="6573" spans="1:20" x14ac:dyDescent="0.25">
      <c r="A6573">
        <v>20180228</v>
      </c>
      <c r="B6573">
        <v>2018</v>
      </c>
      <c r="C6573">
        <v>2</v>
      </c>
      <c r="D6573">
        <v>1</v>
      </c>
      <c r="E6573">
        <v>10840</v>
      </c>
      <c r="F6573">
        <v>103968.23</v>
      </c>
      <c r="G6573">
        <v>0</v>
      </c>
      <c r="H6573">
        <v>0</v>
      </c>
      <c r="I6573">
        <v>0</v>
      </c>
      <c r="J6573">
        <v>0</v>
      </c>
      <c r="K6573">
        <v>0</v>
      </c>
      <c r="L6573">
        <v>12709189</v>
      </c>
      <c r="M6573">
        <v>12709189</v>
      </c>
      <c r="N6573">
        <v>12709189</v>
      </c>
      <c r="O6573">
        <v>12709189</v>
      </c>
      <c r="P6573">
        <v>12709189</v>
      </c>
      <c r="Q6573">
        <v>12709189</v>
      </c>
      <c r="R6573" s="14">
        <f>_xlfn.XLOOKUP(Table2[[#This Row],[LoanID]],Table1[G-L ID],Table1[ManagerCode],-99)</f>
        <v>220</v>
      </c>
      <c r="T6573"/>
    </row>
    <row r="6574" spans="1:20" x14ac:dyDescent="0.25">
      <c r="A6574">
        <v>20180228</v>
      </c>
      <c r="B6574">
        <v>2018</v>
      </c>
      <c r="C6574">
        <v>2</v>
      </c>
      <c r="D6574">
        <v>1</v>
      </c>
      <c r="E6574">
        <v>10850</v>
      </c>
      <c r="F6574">
        <v>110534.78</v>
      </c>
      <c r="G6574">
        <v>0</v>
      </c>
      <c r="H6574">
        <v>0</v>
      </c>
      <c r="I6574">
        <v>0</v>
      </c>
      <c r="J6574">
        <v>0</v>
      </c>
      <c r="K6574">
        <v>0</v>
      </c>
      <c r="L6574">
        <v>13511892</v>
      </c>
      <c r="M6574">
        <v>13511892</v>
      </c>
      <c r="N6574">
        <v>13511892</v>
      </c>
      <c r="O6574">
        <v>13511892</v>
      </c>
      <c r="P6574">
        <v>13511892</v>
      </c>
      <c r="Q6574">
        <v>13511892</v>
      </c>
      <c r="R6574" s="14">
        <f>_xlfn.XLOOKUP(Table2[[#This Row],[LoanID]],Table1[G-L ID],Table1[ManagerCode],-99)</f>
        <v>220</v>
      </c>
      <c r="T6574"/>
    </row>
    <row r="6575" spans="1:20" x14ac:dyDescent="0.25">
      <c r="A6575">
        <v>20180228</v>
      </c>
      <c r="B6575">
        <v>2018</v>
      </c>
      <c r="C6575">
        <v>2</v>
      </c>
      <c r="D6575">
        <v>1</v>
      </c>
      <c r="E6575">
        <v>10910</v>
      </c>
      <c r="F6575">
        <v>-17552.61</v>
      </c>
      <c r="G6575">
        <v>0</v>
      </c>
      <c r="H6575">
        <v>0</v>
      </c>
      <c r="I6575">
        <v>0</v>
      </c>
      <c r="J6575">
        <v>0</v>
      </c>
      <c r="K6575">
        <v>0</v>
      </c>
      <c r="L6575">
        <v>18750000</v>
      </c>
      <c r="M6575">
        <v>18750000</v>
      </c>
      <c r="N6575">
        <v>18750000</v>
      </c>
      <c r="O6575">
        <v>18750000</v>
      </c>
      <c r="P6575">
        <v>18750000</v>
      </c>
      <c r="Q6575">
        <v>18750000</v>
      </c>
      <c r="R6575" s="14">
        <f>_xlfn.XLOOKUP(Table2[[#This Row],[LoanID]],Table1[G-L ID],Table1[ManagerCode],-99)</f>
        <v>119</v>
      </c>
      <c r="T6575"/>
    </row>
    <row r="6576" spans="1:20" x14ac:dyDescent="0.25">
      <c r="A6576">
        <v>20180228</v>
      </c>
      <c r="B6576">
        <v>2018</v>
      </c>
      <c r="C6576">
        <v>2</v>
      </c>
      <c r="D6576">
        <v>1</v>
      </c>
      <c r="E6576">
        <v>10930</v>
      </c>
      <c r="F6576">
        <v>0</v>
      </c>
      <c r="G6576">
        <v>192126.84</v>
      </c>
      <c r="H6576">
        <v>0</v>
      </c>
      <c r="I6576">
        <v>0</v>
      </c>
      <c r="J6576">
        <v>0</v>
      </c>
      <c r="K6576">
        <v>0</v>
      </c>
      <c r="L6576">
        <v>19265465.850000001</v>
      </c>
      <c r="M6576">
        <v>19457592.690000001</v>
      </c>
      <c r="N6576">
        <v>19265465.850000001</v>
      </c>
      <c r="O6576">
        <v>19457592.690000001</v>
      </c>
      <c r="P6576">
        <v>19265465.850000001</v>
      </c>
      <c r="Q6576">
        <v>19457592.690000001</v>
      </c>
      <c r="R6576" s="14">
        <f>_xlfn.XLOOKUP(Table2[[#This Row],[LoanID]],Table1[G-L ID],Table1[ManagerCode],-99)</f>
        <v>183</v>
      </c>
      <c r="T6576"/>
    </row>
    <row r="6577" spans="1:20" x14ac:dyDescent="0.25">
      <c r="A6577">
        <v>20180228</v>
      </c>
      <c r="B6577">
        <v>2018</v>
      </c>
      <c r="C6577">
        <v>2</v>
      </c>
      <c r="D6577">
        <v>1</v>
      </c>
      <c r="E6577">
        <v>10970</v>
      </c>
      <c r="F6577">
        <v>24620.77</v>
      </c>
      <c r="G6577">
        <v>26949.48</v>
      </c>
      <c r="H6577">
        <v>0</v>
      </c>
      <c r="I6577">
        <v>0</v>
      </c>
      <c r="J6577">
        <v>-24620.77</v>
      </c>
      <c r="K6577">
        <v>0</v>
      </c>
      <c r="L6577">
        <v>4966055.95</v>
      </c>
      <c r="M6577">
        <v>5017626.2</v>
      </c>
      <c r="N6577">
        <v>4966055.95</v>
      </c>
      <c r="O6577">
        <v>5017626.2</v>
      </c>
      <c r="P6577">
        <v>4966055.95</v>
      </c>
      <c r="Q6577">
        <v>5017626.2</v>
      </c>
      <c r="R6577" s="14">
        <f>_xlfn.XLOOKUP(Table2[[#This Row],[LoanID]],Table1[G-L ID],Table1[ManagerCode],-99)</f>
        <v>183</v>
      </c>
      <c r="T6577"/>
    </row>
    <row r="6578" spans="1:20" x14ac:dyDescent="0.25">
      <c r="A6578">
        <v>20180228</v>
      </c>
      <c r="B6578">
        <v>2018</v>
      </c>
      <c r="C6578">
        <v>2</v>
      </c>
      <c r="D6578">
        <v>1</v>
      </c>
      <c r="E6578">
        <v>11060</v>
      </c>
      <c r="F6578">
        <v>206105.14</v>
      </c>
      <c r="G6578">
        <v>0</v>
      </c>
      <c r="H6578">
        <v>0</v>
      </c>
      <c r="I6578">
        <v>0</v>
      </c>
      <c r="J6578">
        <v>0</v>
      </c>
      <c r="K6578">
        <v>0</v>
      </c>
      <c r="L6578">
        <v>22000000</v>
      </c>
      <c r="M6578">
        <v>22000000</v>
      </c>
      <c r="N6578">
        <v>22000000</v>
      </c>
      <c r="O6578">
        <v>22000000</v>
      </c>
      <c r="P6578">
        <v>22000000</v>
      </c>
      <c r="Q6578">
        <v>22000000</v>
      </c>
      <c r="R6578" s="14">
        <f>_xlfn.XLOOKUP(Table2[[#This Row],[LoanID]],Table1[G-L ID],Table1[ManagerCode],-99)</f>
        <v>119</v>
      </c>
      <c r="T6578"/>
    </row>
    <row r="6579" spans="1:20" x14ac:dyDescent="0.25">
      <c r="A6579">
        <v>20180228</v>
      </c>
      <c r="B6579">
        <v>2018</v>
      </c>
      <c r="C6579">
        <v>2</v>
      </c>
      <c r="D6579">
        <v>1</v>
      </c>
      <c r="E6579">
        <v>11080</v>
      </c>
      <c r="F6579">
        <v>332512.5</v>
      </c>
      <c r="G6579">
        <v>0</v>
      </c>
      <c r="H6579">
        <v>0</v>
      </c>
      <c r="I6579">
        <v>0</v>
      </c>
      <c r="J6579">
        <v>0</v>
      </c>
      <c r="K6579">
        <v>61919.27</v>
      </c>
      <c r="L6579">
        <v>39132980.520000003</v>
      </c>
      <c r="M6579">
        <v>39071061.25</v>
      </c>
      <c r="N6579">
        <v>39132980.520000003</v>
      </c>
      <c r="O6579">
        <v>39071061.25</v>
      </c>
      <c r="P6579">
        <v>39132980.520000003</v>
      </c>
      <c r="Q6579">
        <v>39071061.25</v>
      </c>
      <c r="R6579" s="14">
        <f>_xlfn.XLOOKUP(Table2[[#This Row],[LoanID]],Table1[G-L ID],Table1[ManagerCode],-99)</f>
        <v>119</v>
      </c>
      <c r="T6579"/>
    </row>
    <row r="6580" spans="1:20" x14ac:dyDescent="0.25">
      <c r="A6580">
        <v>20180228</v>
      </c>
      <c r="B6580">
        <v>2018</v>
      </c>
      <c r="C6580">
        <v>2</v>
      </c>
      <c r="D6580">
        <v>1</v>
      </c>
      <c r="E6580">
        <v>11090</v>
      </c>
      <c r="F6580">
        <v>104415.67</v>
      </c>
      <c r="G6580">
        <v>0</v>
      </c>
      <c r="H6580">
        <v>0</v>
      </c>
      <c r="I6580">
        <v>0</v>
      </c>
      <c r="J6580">
        <v>0</v>
      </c>
      <c r="K6580">
        <v>12000</v>
      </c>
      <c r="L6580">
        <v>10940000</v>
      </c>
      <c r="M6580">
        <v>10928000</v>
      </c>
      <c r="N6580">
        <v>10940000</v>
      </c>
      <c r="O6580">
        <v>10928000</v>
      </c>
      <c r="P6580">
        <v>10940000</v>
      </c>
      <c r="Q6580">
        <v>10928000</v>
      </c>
      <c r="R6580" s="14">
        <f>_xlfn.XLOOKUP(Table2[[#This Row],[LoanID]],Table1[G-L ID],Table1[ManagerCode],-99)</f>
        <v>119</v>
      </c>
      <c r="T6580"/>
    </row>
    <row r="6581" spans="1:20" x14ac:dyDescent="0.25">
      <c r="A6581">
        <v>20180228</v>
      </c>
      <c r="B6581">
        <v>2018</v>
      </c>
      <c r="C6581">
        <v>2</v>
      </c>
      <c r="D6581">
        <v>1</v>
      </c>
      <c r="E6581">
        <v>11150</v>
      </c>
      <c r="F6581">
        <v>117689.34</v>
      </c>
      <c r="G6581">
        <v>0</v>
      </c>
      <c r="H6581">
        <v>0</v>
      </c>
      <c r="I6581">
        <v>0</v>
      </c>
      <c r="J6581">
        <v>0</v>
      </c>
      <c r="K6581">
        <v>0</v>
      </c>
      <c r="L6581">
        <v>10228684.119999999</v>
      </c>
      <c r="M6581">
        <v>10228684.119999999</v>
      </c>
      <c r="N6581">
        <v>10228684.119999999</v>
      </c>
      <c r="O6581">
        <v>10228684.119999999</v>
      </c>
      <c r="P6581">
        <v>10228684.119999999</v>
      </c>
      <c r="Q6581">
        <v>10228684.119999999</v>
      </c>
      <c r="R6581" s="14">
        <f>_xlfn.XLOOKUP(Table2[[#This Row],[LoanID]],Table1[G-L ID],Table1[ManagerCode],-99)</f>
        <v>119</v>
      </c>
      <c r="T6581"/>
    </row>
    <row r="6582" spans="1:20" x14ac:dyDescent="0.25">
      <c r="A6582">
        <v>20180228</v>
      </c>
      <c r="B6582">
        <v>2018</v>
      </c>
      <c r="C6582">
        <v>2</v>
      </c>
      <c r="D6582">
        <v>1</v>
      </c>
      <c r="E6582">
        <v>11160</v>
      </c>
      <c r="F6582">
        <v>275975.23</v>
      </c>
      <c r="G6582">
        <v>183240.83</v>
      </c>
      <c r="H6582">
        <v>0</v>
      </c>
      <c r="I6582">
        <v>0</v>
      </c>
      <c r="J6582">
        <v>-302918.96999999997</v>
      </c>
      <c r="K6582">
        <v>11549707.92</v>
      </c>
      <c r="L6582">
        <v>78180327.290000007</v>
      </c>
      <c r="M6582">
        <v>67261301.810000002</v>
      </c>
      <c r="N6582">
        <v>55893574.009999998</v>
      </c>
      <c r="O6582">
        <v>44830025.890000001</v>
      </c>
      <c r="P6582">
        <v>78180327.290000007</v>
      </c>
      <c r="Q6582">
        <v>67261301.810000002</v>
      </c>
      <c r="R6582" s="14">
        <f>_xlfn.XLOOKUP(Table2[[#This Row],[LoanID]],Table1[G-L ID],Table1[ManagerCode],-99)</f>
        <v>183</v>
      </c>
      <c r="T6582"/>
    </row>
    <row r="6583" spans="1:20" x14ac:dyDescent="0.25">
      <c r="A6583">
        <v>20180228</v>
      </c>
      <c r="B6583">
        <v>2018</v>
      </c>
      <c r="C6583">
        <v>2</v>
      </c>
      <c r="D6583">
        <v>1</v>
      </c>
      <c r="E6583">
        <v>11210</v>
      </c>
      <c r="F6583">
        <v>70228.12</v>
      </c>
      <c r="G6583">
        <v>0</v>
      </c>
      <c r="H6583">
        <v>0</v>
      </c>
      <c r="I6583">
        <v>0</v>
      </c>
      <c r="J6583">
        <v>0</v>
      </c>
      <c r="K6583">
        <v>0</v>
      </c>
      <c r="L6583">
        <v>7500000</v>
      </c>
      <c r="M6583">
        <v>7500000</v>
      </c>
      <c r="N6583">
        <v>7500000</v>
      </c>
      <c r="O6583">
        <v>7500000</v>
      </c>
      <c r="P6583">
        <v>7500000</v>
      </c>
      <c r="Q6583">
        <v>7500000</v>
      </c>
      <c r="R6583" s="14">
        <f>_xlfn.XLOOKUP(Table2[[#This Row],[LoanID]],Table1[G-L ID],Table1[ManagerCode],-99)</f>
        <v>119</v>
      </c>
      <c r="T6583"/>
    </row>
    <row r="6584" spans="1:20" x14ac:dyDescent="0.25">
      <c r="A6584">
        <v>20180228</v>
      </c>
      <c r="B6584">
        <v>2018</v>
      </c>
      <c r="C6584">
        <v>2</v>
      </c>
      <c r="D6584">
        <v>1</v>
      </c>
      <c r="E6584">
        <v>11340</v>
      </c>
      <c r="F6584">
        <v>291282.40999999997</v>
      </c>
      <c r="G6584">
        <v>0</v>
      </c>
      <c r="H6584">
        <v>0</v>
      </c>
      <c r="I6584">
        <v>0</v>
      </c>
      <c r="J6584">
        <v>0</v>
      </c>
      <c r="K6584">
        <v>67288.649999999994</v>
      </c>
      <c r="L6584">
        <v>47840115.689999998</v>
      </c>
      <c r="M6584">
        <v>47773499.899999999</v>
      </c>
      <c r="N6584">
        <v>47840115.689999998</v>
      </c>
      <c r="O6584">
        <v>47773499.899999999</v>
      </c>
      <c r="P6584">
        <v>48323349.170000002</v>
      </c>
      <c r="Q6584">
        <v>48256060.520000003</v>
      </c>
      <c r="R6584" s="14">
        <f>_xlfn.XLOOKUP(Table2[[#This Row],[LoanID]],Table1[G-L ID],Table1[ManagerCode],-99)</f>
        <v>103</v>
      </c>
      <c r="T6584"/>
    </row>
    <row r="6585" spans="1:20" x14ac:dyDescent="0.25">
      <c r="A6585">
        <v>20180228</v>
      </c>
      <c r="B6585">
        <v>2018</v>
      </c>
      <c r="C6585">
        <v>2</v>
      </c>
      <c r="D6585">
        <v>1</v>
      </c>
      <c r="E6585">
        <v>11350</v>
      </c>
      <c r="F6585">
        <v>331527.78000000003</v>
      </c>
      <c r="G6585">
        <v>0</v>
      </c>
      <c r="H6585">
        <v>0</v>
      </c>
      <c r="I6585">
        <v>0</v>
      </c>
      <c r="J6585">
        <v>0</v>
      </c>
      <c r="K6585">
        <v>0</v>
      </c>
      <c r="L6585">
        <v>54449945.549999997</v>
      </c>
      <c r="M6585">
        <v>54449945.549999997</v>
      </c>
      <c r="N6585">
        <v>54449945.549999997</v>
      </c>
      <c r="O6585">
        <v>54449945.549999997</v>
      </c>
      <c r="P6585">
        <v>55000000</v>
      </c>
      <c r="Q6585">
        <v>55000000</v>
      </c>
      <c r="R6585" s="14">
        <f>_xlfn.XLOOKUP(Table2[[#This Row],[LoanID]],Table1[G-L ID],Table1[ManagerCode],-99)</f>
        <v>103</v>
      </c>
      <c r="T6585"/>
    </row>
    <row r="6586" spans="1:20" x14ac:dyDescent="0.25">
      <c r="A6586">
        <v>20180228</v>
      </c>
      <c r="B6586">
        <v>2018</v>
      </c>
      <c r="C6586">
        <v>2</v>
      </c>
      <c r="D6586">
        <v>1</v>
      </c>
      <c r="E6586">
        <v>11360</v>
      </c>
      <c r="F6586">
        <v>69682.62</v>
      </c>
      <c r="G6586">
        <v>0</v>
      </c>
      <c r="H6586">
        <v>0</v>
      </c>
      <c r="I6586">
        <v>0</v>
      </c>
      <c r="J6586">
        <v>0</v>
      </c>
      <c r="K6586">
        <v>0</v>
      </c>
      <c r="L6586">
        <v>7537500</v>
      </c>
      <c r="M6586">
        <v>7537500</v>
      </c>
      <c r="N6586">
        <v>7537500</v>
      </c>
      <c r="O6586">
        <v>7537500</v>
      </c>
      <c r="P6586">
        <v>7537500</v>
      </c>
      <c r="Q6586">
        <v>7537500</v>
      </c>
      <c r="R6586" s="14">
        <f>_xlfn.XLOOKUP(Table2[[#This Row],[LoanID]],Table1[G-L ID],Table1[ManagerCode],-99)</f>
        <v>119</v>
      </c>
      <c r="T6586"/>
    </row>
    <row r="6587" spans="1:20" x14ac:dyDescent="0.25">
      <c r="A6587">
        <v>20180228</v>
      </c>
      <c r="B6587">
        <v>2018</v>
      </c>
      <c r="C6587">
        <v>2</v>
      </c>
      <c r="D6587">
        <v>1</v>
      </c>
      <c r="E6587">
        <v>11410</v>
      </c>
      <c r="F6587">
        <v>120486.67</v>
      </c>
      <c r="G6587">
        <v>0</v>
      </c>
      <c r="H6587">
        <v>0</v>
      </c>
      <c r="I6587">
        <v>0</v>
      </c>
      <c r="J6587">
        <v>0</v>
      </c>
      <c r="K6587">
        <v>0</v>
      </c>
      <c r="L6587">
        <v>12000000</v>
      </c>
      <c r="M6587">
        <v>12000000</v>
      </c>
      <c r="N6587">
        <v>12000000</v>
      </c>
      <c r="O6587">
        <v>12000000</v>
      </c>
      <c r="P6587">
        <v>12000000</v>
      </c>
      <c r="Q6587">
        <v>12000000</v>
      </c>
      <c r="R6587" s="14">
        <f>_xlfn.XLOOKUP(Table2[[#This Row],[LoanID]],Table1[G-L ID],Table1[ManagerCode],-99)</f>
        <v>119</v>
      </c>
      <c r="T6587"/>
    </row>
    <row r="6588" spans="1:20" x14ac:dyDescent="0.25">
      <c r="A6588">
        <v>20180228</v>
      </c>
      <c r="B6588">
        <v>2018</v>
      </c>
      <c r="C6588">
        <v>2</v>
      </c>
      <c r="D6588">
        <v>1</v>
      </c>
      <c r="E6588">
        <v>11440</v>
      </c>
      <c r="F6588">
        <v>156250</v>
      </c>
      <c r="G6588">
        <v>0</v>
      </c>
      <c r="H6588">
        <v>0</v>
      </c>
      <c r="I6588">
        <v>0</v>
      </c>
      <c r="J6588">
        <v>0</v>
      </c>
      <c r="K6588">
        <v>0</v>
      </c>
      <c r="L6588">
        <v>18750000</v>
      </c>
      <c r="M6588">
        <v>18750000</v>
      </c>
      <c r="N6588">
        <v>18750000</v>
      </c>
      <c r="O6588">
        <v>18750000</v>
      </c>
      <c r="P6588">
        <v>18750000</v>
      </c>
      <c r="Q6588">
        <v>18750000</v>
      </c>
      <c r="R6588" s="14">
        <f>_xlfn.XLOOKUP(Table2[[#This Row],[LoanID]],Table1[G-L ID],Table1[ManagerCode],-99)</f>
        <v>183</v>
      </c>
      <c r="T6588"/>
    </row>
    <row r="6589" spans="1:20" x14ac:dyDescent="0.25">
      <c r="A6589">
        <v>20180228</v>
      </c>
      <c r="B6589">
        <v>2018</v>
      </c>
      <c r="C6589">
        <v>2</v>
      </c>
      <c r="D6589">
        <v>1</v>
      </c>
      <c r="E6589">
        <v>11450</v>
      </c>
      <c r="F6589">
        <v>149803.46</v>
      </c>
      <c r="G6589">
        <v>0</v>
      </c>
      <c r="H6589">
        <v>0</v>
      </c>
      <c r="I6589">
        <v>0</v>
      </c>
      <c r="J6589">
        <v>0</v>
      </c>
      <c r="K6589">
        <v>0</v>
      </c>
      <c r="L6589">
        <v>16520695.140000001</v>
      </c>
      <c r="M6589">
        <v>16520695.140000001</v>
      </c>
      <c r="N6589">
        <v>16520695.140000001</v>
      </c>
      <c r="O6589">
        <v>16520695.140000001</v>
      </c>
      <c r="P6589">
        <v>16520695.140000001</v>
      </c>
      <c r="Q6589">
        <v>16520695.140000001</v>
      </c>
      <c r="R6589" s="14">
        <f>_xlfn.XLOOKUP(Table2[[#This Row],[LoanID]],Table1[G-L ID],Table1[ManagerCode],-99)</f>
        <v>119</v>
      </c>
      <c r="T6589"/>
    </row>
    <row r="6590" spans="1:20" x14ac:dyDescent="0.25">
      <c r="A6590">
        <v>20180228</v>
      </c>
      <c r="B6590">
        <v>2018</v>
      </c>
      <c r="C6590">
        <v>2</v>
      </c>
      <c r="D6590">
        <v>1</v>
      </c>
      <c r="E6590">
        <v>11480</v>
      </c>
      <c r="F6590">
        <v>455700</v>
      </c>
      <c r="G6590">
        <v>0</v>
      </c>
      <c r="H6590">
        <v>0</v>
      </c>
      <c r="I6590">
        <v>0</v>
      </c>
      <c r="J6590">
        <v>0</v>
      </c>
      <c r="K6590">
        <v>0</v>
      </c>
      <c r="L6590">
        <v>70000000</v>
      </c>
      <c r="M6590">
        <v>70000000</v>
      </c>
      <c r="N6590">
        <v>70000000</v>
      </c>
      <c r="O6590">
        <v>70000000</v>
      </c>
      <c r="P6590">
        <v>70000000</v>
      </c>
      <c r="Q6590">
        <v>70000000</v>
      </c>
      <c r="R6590" s="14">
        <f>_xlfn.XLOOKUP(Table2[[#This Row],[LoanID]],Table1[G-L ID],Table1[ManagerCode],-99)</f>
        <v>103</v>
      </c>
      <c r="T6590"/>
    </row>
    <row r="6591" spans="1:20" x14ac:dyDescent="0.25">
      <c r="A6591">
        <v>20180228</v>
      </c>
      <c r="B6591">
        <v>2018</v>
      </c>
      <c r="C6591">
        <v>2</v>
      </c>
      <c r="D6591">
        <v>1</v>
      </c>
      <c r="E6591">
        <v>11490</v>
      </c>
      <c r="F6591">
        <v>417251.39</v>
      </c>
      <c r="G6591">
        <v>0</v>
      </c>
      <c r="H6591">
        <v>0</v>
      </c>
      <c r="I6591">
        <v>0</v>
      </c>
      <c r="J6591">
        <v>0</v>
      </c>
      <c r="K6591">
        <v>0</v>
      </c>
      <c r="L6591">
        <v>52250000</v>
      </c>
      <c r="M6591">
        <v>52250000</v>
      </c>
      <c r="N6591">
        <v>52250000</v>
      </c>
      <c r="O6591">
        <v>52250000</v>
      </c>
      <c r="P6591">
        <v>55000000</v>
      </c>
      <c r="Q6591">
        <v>55000000</v>
      </c>
      <c r="R6591" s="14">
        <f>_xlfn.XLOOKUP(Table2[[#This Row],[LoanID]],Table1[G-L ID],Table1[ManagerCode],-99)</f>
        <v>103</v>
      </c>
      <c r="T6591"/>
    </row>
    <row r="6592" spans="1:20" x14ac:dyDescent="0.25">
      <c r="A6592">
        <v>20180228</v>
      </c>
      <c r="B6592">
        <v>2018</v>
      </c>
      <c r="C6592">
        <v>2</v>
      </c>
      <c r="D6592">
        <v>1</v>
      </c>
      <c r="E6592">
        <v>11520</v>
      </c>
      <c r="F6592">
        <v>58357.43</v>
      </c>
      <c r="G6592">
        <v>0</v>
      </c>
      <c r="H6592">
        <v>0</v>
      </c>
      <c r="I6592">
        <v>0</v>
      </c>
      <c r="J6592">
        <v>-476296.37</v>
      </c>
      <c r="K6592">
        <v>0</v>
      </c>
      <c r="L6592">
        <v>6298164.3700000001</v>
      </c>
      <c r="M6592">
        <v>6774460.7400000002</v>
      </c>
      <c r="N6592">
        <v>6298164.3700000001</v>
      </c>
      <c r="O6592">
        <v>6774460.7400000002</v>
      </c>
      <c r="P6592">
        <v>6298164.3700000001</v>
      </c>
      <c r="Q6592">
        <v>6774460.7400000002</v>
      </c>
      <c r="R6592" s="14">
        <f>_xlfn.XLOOKUP(Table2[[#This Row],[LoanID]],Table1[G-L ID],Table1[ManagerCode],-99)</f>
        <v>119</v>
      </c>
      <c r="T6592"/>
    </row>
    <row r="6593" spans="1:20" x14ac:dyDescent="0.25">
      <c r="A6593">
        <v>20180228</v>
      </c>
      <c r="B6593">
        <v>2018</v>
      </c>
      <c r="C6593">
        <v>2</v>
      </c>
      <c r="D6593">
        <v>1</v>
      </c>
      <c r="E6593">
        <v>11530</v>
      </c>
      <c r="F6593">
        <v>151733.22</v>
      </c>
      <c r="G6593">
        <v>0</v>
      </c>
      <c r="H6593">
        <v>0</v>
      </c>
      <c r="I6593">
        <v>0</v>
      </c>
      <c r="J6593">
        <v>0</v>
      </c>
      <c r="K6593">
        <v>0</v>
      </c>
      <c r="L6593">
        <v>14260454.08</v>
      </c>
      <c r="M6593">
        <v>14260454.08</v>
      </c>
      <c r="N6593">
        <v>14260454.08</v>
      </c>
      <c r="O6593">
        <v>14260454.08</v>
      </c>
      <c r="P6593">
        <v>14260454.08</v>
      </c>
      <c r="Q6593">
        <v>14260454.08</v>
      </c>
      <c r="R6593" s="14">
        <f>_xlfn.XLOOKUP(Table2[[#This Row],[LoanID]],Table1[G-L ID],Table1[ManagerCode],-99)</f>
        <v>119</v>
      </c>
      <c r="T6593"/>
    </row>
    <row r="6594" spans="1:20" x14ac:dyDescent="0.25">
      <c r="A6594">
        <v>20180228</v>
      </c>
      <c r="B6594">
        <v>2018</v>
      </c>
      <c r="C6594">
        <v>2</v>
      </c>
      <c r="D6594">
        <v>1</v>
      </c>
      <c r="E6594">
        <v>11590</v>
      </c>
      <c r="F6594">
        <v>15465.16</v>
      </c>
      <c r="G6594">
        <v>0</v>
      </c>
      <c r="H6594">
        <v>4955.72</v>
      </c>
      <c r="I6594">
        <v>0</v>
      </c>
      <c r="J6594">
        <v>0</v>
      </c>
      <c r="K6594">
        <v>0</v>
      </c>
      <c r="L6594">
        <v>1982289.13</v>
      </c>
      <c r="M6594">
        <v>1982289.13</v>
      </c>
      <c r="N6594">
        <v>1982289.13</v>
      </c>
      <c r="O6594">
        <v>1982289.13</v>
      </c>
      <c r="P6594">
        <v>1982289.13</v>
      </c>
      <c r="Q6594">
        <v>1982289.13</v>
      </c>
      <c r="R6594" s="14">
        <f>_xlfn.XLOOKUP(Table2[[#This Row],[LoanID]],Table1[G-L ID],Table1[ManagerCode],-99)</f>
        <v>119</v>
      </c>
      <c r="T6594"/>
    </row>
    <row r="6595" spans="1:20" x14ac:dyDescent="0.25">
      <c r="A6595">
        <v>20180228</v>
      </c>
      <c r="B6595">
        <v>2018</v>
      </c>
      <c r="C6595">
        <v>2</v>
      </c>
      <c r="D6595">
        <v>1</v>
      </c>
      <c r="E6595">
        <v>11680</v>
      </c>
      <c r="F6595">
        <v>57126.559999999998</v>
      </c>
      <c r="G6595">
        <v>0</v>
      </c>
      <c r="H6595">
        <v>0</v>
      </c>
      <c r="I6595">
        <v>0</v>
      </c>
      <c r="J6595">
        <v>0</v>
      </c>
      <c r="K6595">
        <v>0</v>
      </c>
      <c r="L6595">
        <v>6600000</v>
      </c>
      <c r="M6595">
        <v>6600000</v>
      </c>
      <c r="N6595">
        <v>6600000</v>
      </c>
      <c r="O6595">
        <v>6600000</v>
      </c>
      <c r="P6595">
        <v>6600000</v>
      </c>
      <c r="Q6595">
        <v>6600000</v>
      </c>
      <c r="R6595" s="14">
        <f>_xlfn.XLOOKUP(Table2[[#This Row],[LoanID]],Table1[G-L ID],Table1[ManagerCode],-99)</f>
        <v>183</v>
      </c>
      <c r="T6595"/>
    </row>
    <row r="6596" spans="1:20" x14ac:dyDescent="0.25">
      <c r="A6596">
        <v>20180228</v>
      </c>
      <c r="B6596">
        <v>2018</v>
      </c>
      <c r="C6596">
        <v>2</v>
      </c>
      <c r="D6596">
        <v>1</v>
      </c>
      <c r="E6596">
        <v>11690</v>
      </c>
      <c r="F6596">
        <v>154586.67000000001</v>
      </c>
      <c r="G6596">
        <v>0</v>
      </c>
      <c r="H6596">
        <v>0</v>
      </c>
      <c r="I6596">
        <v>0</v>
      </c>
      <c r="J6596">
        <v>0</v>
      </c>
      <c r="K6596">
        <v>0</v>
      </c>
      <c r="L6596">
        <v>17000000</v>
      </c>
      <c r="M6596">
        <v>17000000</v>
      </c>
      <c r="N6596">
        <v>17000000</v>
      </c>
      <c r="O6596">
        <v>17000000</v>
      </c>
      <c r="P6596">
        <v>17000000</v>
      </c>
      <c r="Q6596">
        <v>17000000</v>
      </c>
      <c r="R6596" s="14">
        <f>_xlfn.XLOOKUP(Table2[[#This Row],[LoanID]],Table1[G-L ID],Table1[ManagerCode],-99)</f>
        <v>119</v>
      </c>
      <c r="T6596"/>
    </row>
    <row r="6597" spans="1:20" x14ac:dyDescent="0.25">
      <c r="A6597">
        <v>20180228</v>
      </c>
      <c r="B6597">
        <v>2018</v>
      </c>
      <c r="C6597">
        <v>2</v>
      </c>
      <c r="D6597">
        <v>1</v>
      </c>
      <c r="E6597">
        <v>11730</v>
      </c>
      <c r="F6597">
        <v>54491.25</v>
      </c>
      <c r="G6597">
        <v>0</v>
      </c>
      <c r="H6597">
        <v>0</v>
      </c>
      <c r="I6597">
        <v>0</v>
      </c>
      <c r="J6597">
        <v>0</v>
      </c>
      <c r="K6597">
        <v>8453.61</v>
      </c>
      <c r="L6597">
        <v>4885256.1399999997</v>
      </c>
      <c r="M6597">
        <v>4876802.53</v>
      </c>
      <c r="N6597">
        <v>4885256.1399999997</v>
      </c>
      <c r="O6597">
        <v>4876802.53</v>
      </c>
      <c r="P6597">
        <v>4885256.1399999997</v>
      </c>
      <c r="Q6597">
        <v>4876802.53</v>
      </c>
      <c r="R6597" s="14">
        <f>_xlfn.XLOOKUP(Table2[[#This Row],[LoanID]],Table1[G-L ID],Table1[ManagerCode],-99)</f>
        <v>119</v>
      </c>
      <c r="T6597"/>
    </row>
    <row r="6598" spans="1:20" x14ac:dyDescent="0.25">
      <c r="A6598">
        <v>20180228</v>
      </c>
      <c r="B6598">
        <v>2018</v>
      </c>
      <c r="C6598">
        <v>2</v>
      </c>
      <c r="D6598">
        <v>1</v>
      </c>
      <c r="E6598">
        <v>11750</v>
      </c>
      <c r="F6598">
        <v>265483.09999999998</v>
      </c>
      <c r="G6598">
        <v>126866.23</v>
      </c>
      <c r="H6598">
        <v>0</v>
      </c>
      <c r="I6598">
        <v>0</v>
      </c>
      <c r="J6598">
        <v>0</v>
      </c>
      <c r="K6598">
        <v>0</v>
      </c>
      <c r="L6598">
        <v>54278457.780000001</v>
      </c>
      <c r="M6598">
        <v>54405324.009999998</v>
      </c>
      <c r="N6598">
        <v>54278457.780000001</v>
      </c>
      <c r="O6598">
        <v>54405324.009999998</v>
      </c>
      <c r="P6598">
        <v>54278457.780000001</v>
      </c>
      <c r="Q6598">
        <v>54405324.009999998</v>
      </c>
      <c r="R6598" s="14">
        <f>_xlfn.XLOOKUP(Table2[[#This Row],[LoanID]],Table1[G-L ID],Table1[ManagerCode],-99)</f>
        <v>183</v>
      </c>
      <c r="T6598"/>
    </row>
    <row r="6599" spans="1:20" x14ac:dyDescent="0.25">
      <c r="A6599">
        <v>20180228</v>
      </c>
      <c r="B6599">
        <v>2018</v>
      </c>
      <c r="C6599">
        <v>2</v>
      </c>
      <c r="D6599">
        <v>1</v>
      </c>
      <c r="E6599">
        <v>11830</v>
      </c>
      <c r="F6599">
        <v>102545.3</v>
      </c>
      <c r="G6599">
        <v>0</v>
      </c>
      <c r="H6599">
        <v>0</v>
      </c>
      <c r="I6599">
        <v>0</v>
      </c>
      <c r="J6599">
        <v>-318139.71000000002</v>
      </c>
      <c r="K6599">
        <v>0</v>
      </c>
      <c r="L6599">
        <v>11285043.08</v>
      </c>
      <c r="M6599">
        <v>11603182.789999999</v>
      </c>
      <c r="N6599">
        <v>11285043.08</v>
      </c>
      <c r="O6599">
        <v>11603182.789999999</v>
      </c>
      <c r="P6599">
        <v>11285043.08</v>
      </c>
      <c r="Q6599">
        <v>11603182.789999999</v>
      </c>
      <c r="R6599" s="14">
        <f>_xlfn.XLOOKUP(Table2[[#This Row],[LoanID]],Table1[G-L ID],Table1[ManagerCode],-99)</f>
        <v>119</v>
      </c>
      <c r="T6599"/>
    </row>
    <row r="6600" spans="1:20" x14ac:dyDescent="0.25">
      <c r="A6600">
        <v>20180228</v>
      </c>
      <c r="B6600">
        <v>2018</v>
      </c>
      <c r="C6600">
        <v>2</v>
      </c>
      <c r="D6600">
        <v>1</v>
      </c>
      <c r="E6600">
        <v>11850</v>
      </c>
      <c r="F6600">
        <v>97500</v>
      </c>
      <c r="G6600">
        <v>97500</v>
      </c>
      <c r="H6600">
        <v>0</v>
      </c>
      <c r="I6600">
        <v>0</v>
      </c>
      <c r="J6600">
        <v>0</v>
      </c>
      <c r="K6600">
        <v>0</v>
      </c>
      <c r="L6600">
        <v>9000000</v>
      </c>
      <c r="M6600">
        <v>9097500</v>
      </c>
      <c r="N6600">
        <v>9000000</v>
      </c>
      <c r="O6600">
        <v>9097500</v>
      </c>
      <c r="P6600">
        <v>9000000</v>
      </c>
      <c r="Q6600">
        <v>9097500</v>
      </c>
      <c r="R6600" s="14">
        <f>_xlfn.XLOOKUP(Table2[[#This Row],[LoanID]],Table1[G-L ID],Table1[ManagerCode],-99)</f>
        <v>183</v>
      </c>
      <c r="T6600"/>
    </row>
    <row r="6601" spans="1:20" x14ac:dyDescent="0.25">
      <c r="A6601">
        <v>20180228</v>
      </c>
      <c r="B6601">
        <v>2018</v>
      </c>
      <c r="C6601">
        <v>2</v>
      </c>
      <c r="D6601">
        <v>1</v>
      </c>
      <c r="E6601">
        <v>11980</v>
      </c>
      <c r="F6601">
        <v>65332.02</v>
      </c>
      <c r="G6601">
        <v>0</v>
      </c>
      <c r="H6601">
        <v>0</v>
      </c>
      <c r="I6601">
        <v>0</v>
      </c>
      <c r="J6601">
        <v>0</v>
      </c>
      <c r="K6601">
        <v>0</v>
      </c>
      <c r="L6601">
        <v>7400000</v>
      </c>
      <c r="M6601">
        <v>7400000</v>
      </c>
      <c r="N6601">
        <v>7400000</v>
      </c>
      <c r="O6601">
        <v>7400000</v>
      </c>
      <c r="P6601">
        <v>7400000</v>
      </c>
      <c r="Q6601">
        <v>7400000</v>
      </c>
      <c r="R6601" s="14">
        <f>_xlfn.XLOOKUP(Table2[[#This Row],[LoanID]],Table1[G-L ID],Table1[ManagerCode],-99)</f>
        <v>119</v>
      </c>
      <c r="T6601"/>
    </row>
    <row r="6602" spans="1:20" x14ac:dyDescent="0.25">
      <c r="A6602">
        <v>20180228</v>
      </c>
      <c r="B6602">
        <v>2018</v>
      </c>
      <c r="C6602">
        <v>2</v>
      </c>
      <c r="D6602">
        <v>1</v>
      </c>
      <c r="E6602">
        <v>12030</v>
      </c>
      <c r="F6602">
        <v>53937.919999999998</v>
      </c>
      <c r="G6602">
        <v>0</v>
      </c>
      <c r="H6602">
        <v>0</v>
      </c>
      <c r="I6602">
        <v>0</v>
      </c>
      <c r="J6602">
        <v>0</v>
      </c>
      <c r="K6602">
        <v>0</v>
      </c>
      <c r="L6602">
        <v>6375000</v>
      </c>
      <c r="M6602">
        <v>6375000</v>
      </c>
      <c r="N6602">
        <v>6375000</v>
      </c>
      <c r="O6602">
        <v>6375000</v>
      </c>
      <c r="P6602">
        <v>6375000</v>
      </c>
      <c r="Q6602">
        <v>6375000</v>
      </c>
      <c r="R6602" s="14">
        <f>_xlfn.XLOOKUP(Table2[[#This Row],[LoanID]],Table1[G-L ID],Table1[ManagerCode],-99)</f>
        <v>119</v>
      </c>
      <c r="T6602"/>
    </row>
    <row r="6603" spans="1:20" x14ac:dyDescent="0.25">
      <c r="A6603">
        <v>20180228</v>
      </c>
      <c r="B6603">
        <v>2018</v>
      </c>
      <c r="C6603">
        <v>2</v>
      </c>
      <c r="D6603">
        <v>1</v>
      </c>
      <c r="E6603">
        <v>12180</v>
      </c>
      <c r="F6603">
        <v>237117.7</v>
      </c>
      <c r="G6603">
        <v>0</v>
      </c>
      <c r="H6603">
        <v>0</v>
      </c>
      <c r="I6603">
        <v>0</v>
      </c>
      <c r="J6603">
        <v>0</v>
      </c>
      <c r="K6603">
        <v>0</v>
      </c>
      <c r="L6603">
        <v>30400000</v>
      </c>
      <c r="M6603">
        <v>30400000</v>
      </c>
      <c r="N6603">
        <v>30400000</v>
      </c>
      <c r="O6603">
        <v>30400000</v>
      </c>
      <c r="P6603">
        <v>30393210.870000001</v>
      </c>
      <c r="Q6603">
        <v>30393210.870000001</v>
      </c>
      <c r="R6603" s="14">
        <f>_xlfn.XLOOKUP(Table2[[#This Row],[LoanID]],Table1[G-L ID],Table1[ManagerCode],-99)</f>
        <v>220</v>
      </c>
      <c r="T6603"/>
    </row>
    <row r="6604" spans="1:20" x14ac:dyDescent="0.25">
      <c r="A6604">
        <v>20180228</v>
      </c>
      <c r="B6604">
        <v>2018</v>
      </c>
      <c r="C6604">
        <v>2</v>
      </c>
      <c r="D6604">
        <v>1</v>
      </c>
      <c r="E6604">
        <v>12220</v>
      </c>
      <c r="F6604">
        <v>179893.75</v>
      </c>
      <c r="G6604">
        <v>0</v>
      </c>
      <c r="H6604">
        <v>0</v>
      </c>
      <c r="I6604">
        <v>0</v>
      </c>
      <c r="J6604">
        <v>0</v>
      </c>
      <c r="K6604">
        <v>0</v>
      </c>
      <c r="L6604">
        <v>54500000</v>
      </c>
      <c r="M6604">
        <v>54500000</v>
      </c>
      <c r="N6604">
        <v>27250000</v>
      </c>
      <c r="O6604">
        <v>27250000</v>
      </c>
      <c r="P6604">
        <v>54500000</v>
      </c>
      <c r="Q6604">
        <v>54500000</v>
      </c>
      <c r="R6604" s="14">
        <f>_xlfn.XLOOKUP(Table2[[#This Row],[LoanID]],Table1[G-L ID],Table1[ManagerCode],-99)</f>
        <v>183</v>
      </c>
      <c r="T6604"/>
    </row>
    <row r="6605" spans="1:20" x14ac:dyDescent="0.25">
      <c r="A6605">
        <v>20180228</v>
      </c>
      <c r="B6605">
        <v>2018</v>
      </c>
      <c r="C6605">
        <v>2</v>
      </c>
      <c r="D6605">
        <v>1</v>
      </c>
      <c r="E6605">
        <v>12250</v>
      </c>
      <c r="F6605">
        <v>102813.9</v>
      </c>
      <c r="G6605">
        <v>0</v>
      </c>
      <c r="H6605">
        <v>0</v>
      </c>
      <c r="I6605">
        <v>0</v>
      </c>
      <c r="J6605">
        <v>-138815.54</v>
      </c>
      <c r="K6605">
        <v>0</v>
      </c>
      <c r="L6605">
        <v>10847340.16</v>
      </c>
      <c r="M6605">
        <v>10986155.699999999</v>
      </c>
      <c r="N6605">
        <v>10847340.16</v>
      </c>
      <c r="O6605">
        <v>10986155.699999999</v>
      </c>
      <c r="P6605">
        <v>10847340.16</v>
      </c>
      <c r="Q6605">
        <v>10986155.699999999</v>
      </c>
      <c r="R6605" s="14">
        <f>_xlfn.XLOOKUP(Table2[[#This Row],[LoanID]],Table1[G-L ID],Table1[ManagerCode],-99)</f>
        <v>119</v>
      </c>
      <c r="T6605"/>
    </row>
    <row r="6606" spans="1:20" x14ac:dyDescent="0.25">
      <c r="A6606">
        <v>20180228</v>
      </c>
      <c r="B6606">
        <v>2018</v>
      </c>
      <c r="C6606">
        <v>2</v>
      </c>
      <c r="D6606">
        <v>1</v>
      </c>
      <c r="E6606">
        <v>12260</v>
      </c>
      <c r="F6606">
        <v>117569.13</v>
      </c>
      <c r="G6606">
        <v>0</v>
      </c>
      <c r="H6606">
        <v>0</v>
      </c>
      <c r="I6606">
        <v>0</v>
      </c>
      <c r="J6606">
        <v>0</v>
      </c>
      <c r="K6606">
        <v>0</v>
      </c>
      <c r="L6606">
        <v>11470448.4</v>
      </c>
      <c r="M6606">
        <v>11470448.4</v>
      </c>
      <c r="N6606">
        <v>11470448.4</v>
      </c>
      <c r="O6606">
        <v>11470448.4</v>
      </c>
      <c r="P6606">
        <v>11470448.4</v>
      </c>
      <c r="Q6606">
        <v>11470448.4</v>
      </c>
      <c r="R6606" s="14">
        <f>_xlfn.XLOOKUP(Table2[[#This Row],[LoanID]],Table1[G-L ID],Table1[ManagerCode],-99)</f>
        <v>119</v>
      </c>
      <c r="T6606"/>
    </row>
    <row r="6607" spans="1:20" x14ac:dyDescent="0.25">
      <c r="A6607">
        <v>20180228</v>
      </c>
      <c r="B6607">
        <v>2018</v>
      </c>
      <c r="C6607">
        <v>2</v>
      </c>
      <c r="D6607">
        <v>1</v>
      </c>
      <c r="E6607">
        <v>12270</v>
      </c>
      <c r="F6607">
        <v>96886.99</v>
      </c>
      <c r="G6607">
        <v>0</v>
      </c>
      <c r="H6607">
        <v>0</v>
      </c>
      <c r="I6607">
        <v>0</v>
      </c>
      <c r="J6607">
        <v>0</v>
      </c>
      <c r="K6607">
        <v>0</v>
      </c>
      <c r="L6607">
        <v>9728830.3800000008</v>
      </c>
      <c r="M6607">
        <v>9728830.3800000008</v>
      </c>
      <c r="N6607">
        <v>9728830.3800000008</v>
      </c>
      <c r="O6607">
        <v>9728830.3800000008</v>
      </c>
      <c r="P6607">
        <v>9728830.3800000008</v>
      </c>
      <c r="Q6607">
        <v>9728830.3800000008</v>
      </c>
      <c r="R6607" s="14">
        <f>_xlfn.XLOOKUP(Table2[[#This Row],[LoanID]],Table1[G-L ID],Table1[ManagerCode],-99)</f>
        <v>119</v>
      </c>
      <c r="T6607"/>
    </row>
    <row r="6608" spans="1:20" x14ac:dyDescent="0.25">
      <c r="A6608">
        <v>20180228</v>
      </c>
      <c r="B6608">
        <v>2018</v>
      </c>
      <c r="C6608">
        <v>2</v>
      </c>
      <c r="D6608">
        <v>1</v>
      </c>
      <c r="E6608">
        <v>12280</v>
      </c>
      <c r="F6608">
        <v>159851.51999999999</v>
      </c>
      <c r="G6608">
        <v>0</v>
      </c>
      <c r="H6608">
        <v>0</v>
      </c>
      <c r="I6608">
        <v>0</v>
      </c>
      <c r="J6608">
        <v>-569030.9</v>
      </c>
      <c r="K6608">
        <v>0</v>
      </c>
      <c r="L6608">
        <v>17892875</v>
      </c>
      <c r="M6608">
        <v>18461905.899999999</v>
      </c>
      <c r="N6608">
        <v>17892875</v>
      </c>
      <c r="O6608">
        <v>18461905.899999999</v>
      </c>
      <c r="P6608">
        <v>17892875</v>
      </c>
      <c r="Q6608">
        <v>18461905.899999999</v>
      </c>
      <c r="R6608" s="14">
        <f>_xlfn.XLOOKUP(Table2[[#This Row],[LoanID]],Table1[G-L ID],Table1[ManagerCode],-99)</f>
        <v>119</v>
      </c>
      <c r="T6608"/>
    </row>
    <row r="6609" spans="1:20" x14ac:dyDescent="0.25">
      <c r="A6609">
        <v>20180228</v>
      </c>
      <c r="B6609">
        <v>2018</v>
      </c>
      <c r="C6609">
        <v>2</v>
      </c>
      <c r="D6609">
        <v>1</v>
      </c>
      <c r="E6609">
        <v>12290</v>
      </c>
      <c r="F6609">
        <v>216226.12</v>
      </c>
      <c r="G6609">
        <v>0</v>
      </c>
      <c r="H6609">
        <v>0</v>
      </c>
      <c r="I6609">
        <v>0</v>
      </c>
      <c r="J6609">
        <v>0</v>
      </c>
      <c r="K6609">
        <v>0</v>
      </c>
      <c r="L6609">
        <v>22750000</v>
      </c>
      <c r="M6609">
        <v>22750000</v>
      </c>
      <c r="N6609">
        <v>22750000</v>
      </c>
      <c r="O6609">
        <v>22750000</v>
      </c>
      <c r="P6609">
        <v>22750000</v>
      </c>
      <c r="Q6609">
        <v>22750000</v>
      </c>
      <c r="R6609" s="14">
        <f>_xlfn.XLOOKUP(Table2[[#This Row],[LoanID]],Table1[G-L ID],Table1[ManagerCode],-99)</f>
        <v>119</v>
      </c>
      <c r="T6609"/>
    </row>
    <row r="6610" spans="1:20" x14ac:dyDescent="0.25">
      <c r="A6610">
        <v>20180228</v>
      </c>
      <c r="B6610">
        <v>2018</v>
      </c>
      <c r="C6610">
        <v>2</v>
      </c>
      <c r="D6610">
        <v>1</v>
      </c>
      <c r="E6610">
        <v>12300</v>
      </c>
      <c r="F6610">
        <v>97473.04</v>
      </c>
      <c r="G6610">
        <v>0</v>
      </c>
      <c r="H6610">
        <v>0</v>
      </c>
      <c r="I6610">
        <v>0</v>
      </c>
      <c r="J6610">
        <v>0</v>
      </c>
      <c r="K6610">
        <v>0</v>
      </c>
      <c r="L6610">
        <v>10000000</v>
      </c>
      <c r="M6610">
        <v>10000000</v>
      </c>
      <c r="N6610">
        <v>10000000</v>
      </c>
      <c r="O6610">
        <v>10000000</v>
      </c>
      <c r="P6610">
        <v>10000000</v>
      </c>
      <c r="Q6610">
        <v>10000000</v>
      </c>
      <c r="R6610" s="14">
        <f>_xlfn.XLOOKUP(Table2[[#This Row],[LoanID]],Table1[G-L ID],Table1[ManagerCode],-99)</f>
        <v>119</v>
      </c>
      <c r="T6610"/>
    </row>
    <row r="6611" spans="1:20" x14ac:dyDescent="0.25">
      <c r="A6611">
        <v>20180228</v>
      </c>
      <c r="B6611">
        <v>2018</v>
      </c>
      <c r="C6611">
        <v>2</v>
      </c>
      <c r="D6611">
        <v>1</v>
      </c>
      <c r="E6611">
        <v>12310</v>
      </c>
      <c r="F6611">
        <v>141800.68</v>
      </c>
      <c r="G6611">
        <v>0</v>
      </c>
      <c r="H6611">
        <v>0</v>
      </c>
      <c r="I6611">
        <v>0</v>
      </c>
      <c r="J6611">
        <v>0</v>
      </c>
      <c r="K6611">
        <v>0</v>
      </c>
      <c r="L6611">
        <v>16375000</v>
      </c>
      <c r="M6611">
        <v>16375000</v>
      </c>
      <c r="N6611">
        <v>16375000</v>
      </c>
      <c r="O6611">
        <v>16375000</v>
      </c>
      <c r="P6611">
        <v>16375000</v>
      </c>
      <c r="Q6611">
        <v>16375000</v>
      </c>
      <c r="R6611" s="14">
        <f>_xlfn.XLOOKUP(Table2[[#This Row],[LoanID]],Table1[G-L ID],Table1[ManagerCode],-99)</f>
        <v>119</v>
      </c>
      <c r="T6611"/>
    </row>
    <row r="6612" spans="1:20" x14ac:dyDescent="0.25">
      <c r="A6612">
        <v>20180228</v>
      </c>
      <c r="B6612">
        <v>2018</v>
      </c>
      <c r="C6612">
        <v>2</v>
      </c>
      <c r="D6612">
        <v>1</v>
      </c>
      <c r="E6612">
        <v>12320</v>
      </c>
      <c r="F6612">
        <v>108965.89</v>
      </c>
      <c r="G6612">
        <v>0</v>
      </c>
      <c r="H6612">
        <v>0</v>
      </c>
      <c r="I6612">
        <v>0</v>
      </c>
      <c r="J6612">
        <v>0</v>
      </c>
      <c r="K6612">
        <v>0</v>
      </c>
      <c r="L6612">
        <v>11750000</v>
      </c>
      <c r="M6612">
        <v>11750000</v>
      </c>
      <c r="N6612">
        <v>11750000</v>
      </c>
      <c r="O6612">
        <v>11750000</v>
      </c>
      <c r="P6612">
        <v>11750000</v>
      </c>
      <c r="Q6612">
        <v>11750000</v>
      </c>
      <c r="R6612" s="14">
        <f>_xlfn.XLOOKUP(Table2[[#This Row],[LoanID]],Table1[G-L ID],Table1[ManagerCode],-99)</f>
        <v>119</v>
      </c>
      <c r="T6612"/>
    </row>
    <row r="6613" spans="1:20" x14ac:dyDescent="0.25">
      <c r="A6613">
        <v>20180228</v>
      </c>
      <c r="B6613">
        <v>2018</v>
      </c>
      <c r="C6613">
        <v>2</v>
      </c>
      <c r="D6613">
        <v>1</v>
      </c>
      <c r="E6613">
        <v>12330</v>
      </c>
      <c r="F6613">
        <v>211842.46</v>
      </c>
      <c r="G6613">
        <v>0</v>
      </c>
      <c r="H6613">
        <v>0</v>
      </c>
      <c r="I6613">
        <v>0</v>
      </c>
      <c r="J6613">
        <v>0</v>
      </c>
      <c r="K6613">
        <v>0</v>
      </c>
      <c r="L6613">
        <v>19976500</v>
      </c>
      <c r="M6613">
        <v>19976500</v>
      </c>
      <c r="N6613">
        <v>19976500</v>
      </c>
      <c r="O6613">
        <v>19976500</v>
      </c>
      <c r="P6613">
        <v>19976500</v>
      </c>
      <c r="Q6613">
        <v>19976500</v>
      </c>
      <c r="R6613" s="14">
        <f>_xlfn.XLOOKUP(Table2[[#This Row],[LoanID]],Table1[G-L ID],Table1[ManagerCode],-99)</f>
        <v>119</v>
      </c>
      <c r="T6613"/>
    </row>
    <row r="6614" spans="1:20" x14ac:dyDescent="0.25">
      <c r="A6614">
        <v>20180228</v>
      </c>
      <c r="B6614">
        <v>2018</v>
      </c>
      <c r="C6614">
        <v>2</v>
      </c>
      <c r="D6614">
        <v>1</v>
      </c>
      <c r="E6614">
        <v>12340</v>
      </c>
      <c r="F6614">
        <v>87540</v>
      </c>
      <c r="G6614">
        <v>0</v>
      </c>
      <c r="H6614">
        <v>0</v>
      </c>
      <c r="I6614">
        <v>0</v>
      </c>
      <c r="J6614">
        <v>0</v>
      </c>
      <c r="K6614">
        <v>0</v>
      </c>
      <c r="L6614">
        <v>24000000</v>
      </c>
      <c r="M6614">
        <v>24000000</v>
      </c>
      <c r="N6614">
        <v>12000000</v>
      </c>
      <c r="O6614">
        <v>12000000</v>
      </c>
      <c r="P6614">
        <v>24000000</v>
      </c>
      <c r="Q6614">
        <v>24000000</v>
      </c>
      <c r="R6614" s="14">
        <f>_xlfn.XLOOKUP(Table2[[#This Row],[LoanID]],Table1[G-L ID],Table1[ManagerCode],-99)</f>
        <v>183</v>
      </c>
      <c r="T6614"/>
    </row>
    <row r="6615" spans="1:20" x14ac:dyDescent="0.25">
      <c r="A6615">
        <v>20180228</v>
      </c>
      <c r="B6615">
        <v>2018</v>
      </c>
      <c r="C6615">
        <v>2</v>
      </c>
      <c r="D6615">
        <v>1</v>
      </c>
      <c r="E6615">
        <v>12350</v>
      </c>
      <c r="F6615">
        <v>182087.38</v>
      </c>
      <c r="G6615">
        <v>0</v>
      </c>
      <c r="H6615">
        <v>0</v>
      </c>
      <c r="I6615">
        <v>0</v>
      </c>
      <c r="J6615">
        <v>0</v>
      </c>
      <c r="K6615">
        <v>0</v>
      </c>
      <c r="L6615">
        <v>63232721.689999998</v>
      </c>
      <c r="M6615">
        <v>63232721.689999998</v>
      </c>
      <c r="N6615">
        <v>25732721.690000001</v>
      </c>
      <c r="O6615">
        <v>25732721.690000001</v>
      </c>
      <c r="P6615">
        <v>63232721.689999998</v>
      </c>
      <c r="Q6615">
        <v>63232721.689999998</v>
      </c>
      <c r="R6615" s="14">
        <f>_xlfn.XLOOKUP(Table2[[#This Row],[LoanID]],Table1[G-L ID],Table1[ManagerCode],-99)</f>
        <v>183</v>
      </c>
      <c r="T6615"/>
    </row>
    <row r="6616" spans="1:20" x14ac:dyDescent="0.25">
      <c r="A6616">
        <v>20180228</v>
      </c>
      <c r="B6616">
        <v>2018</v>
      </c>
      <c r="C6616">
        <v>2</v>
      </c>
      <c r="D6616">
        <v>1</v>
      </c>
      <c r="E6616">
        <v>12360</v>
      </c>
      <c r="F6616">
        <v>118945</v>
      </c>
      <c r="G6616">
        <v>0</v>
      </c>
      <c r="H6616">
        <v>0</v>
      </c>
      <c r="I6616">
        <v>0</v>
      </c>
      <c r="J6616">
        <v>0</v>
      </c>
      <c r="K6616">
        <v>0</v>
      </c>
      <c r="L6616">
        <v>60000000</v>
      </c>
      <c r="M6616">
        <v>60000000</v>
      </c>
      <c r="N6616">
        <v>19000000</v>
      </c>
      <c r="O6616">
        <v>19000000</v>
      </c>
      <c r="P6616">
        <v>60000000</v>
      </c>
      <c r="Q6616">
        <v>60000000</v>
      </c>
      <c r="R6616" s="14">
        <f>_xlfn.XLOOKUP(Table2[[#This Row],[LoanID]],Table1[G-L ID],Table1[ManagerCode],-99)</f>
        <v>183</v>
      </c>
      <c r="T6616"/>
    </row>
    <row r="6617" spans="1:20" x14ac:dyDescent="0.25">
      <c r="A6617">
        <v>20180228</v>
      </c>
      <c r="B6617">
        <v>2018</v>
      </c>
      <c r="C6617">
        <v>2</v>
      </c>
      <c r="D6617">
        <v>1</v>
      </c>
      <c r="E6617">
        <v>12370</v>
      </c>
      <c r="F6617">
        <v>327273.33</v>
      </c>
      <c r="G6617">
        <v>0</v>
      </c>
      <c r="H6617">
        <v>0</v>
      </c>
      <c r="I6617">
        <v>0</v>
      </c>
      <c r="J6617">
        <v>0</v>
      </c>
      <c r="K6617">
        <v>0</v>
      </c>
      <c r="L6617">
        <v>104000000</v>
      </c>
      <c r="M6617">
        <v>104000000</v>
      </c>
      <c r="N6617">
        <v>44000000</v>
      </c>
      <c r="O6617">
        <v>44000000</v>
      </c>
      <c r="P6617">
        <v>104000000</v>
      </c>
      <c r="Q6617">
        <v>104000000</v>
      </c>
      <c r="R6617" s="14">
        <f>_xlfn.XLOOKUP(Table2[[#This Row],[LoanID]],Table1[G-L ID],Table1[ManagerCode],-99)</f>
        <v>183</v>
      </c>
      <c r="T6617"/>
    </row>
    <row r="6618" spans="1:20" x14ac:dyDescent="0.25">
      <c r="A6618">
        <v>20180228</v>
      </c>
      <c r="B6618">
        <v>2018</v>
      </c>
      <c r="C6618">
        <v>2</v>
      </c>
      <c r="D6618">
        <v>1</v>
      </c>
      <c r="E6618">
        <v>12380</v>
      </c>
      <c r="F6618">
        <v>79146.17</v>
      </c>
      <c r="G6618">
        <v>0</v>
      </c>
      <c r="H6618">
        <v>0</v>
      </c>
      <c r="I6618">
        <v>0</v>
      </c>
      <c r="J6618">
        <v>0</v>
      </c>
      <c r="K6618">
        <v>0</v>
      </c>
      <c r="L6618">
        <v>32500000</v>
      </c>
      <c r="M6618">
        <v>32500000</v>
      </c>
      <c r="N6618">
        <v>12350000</v>
      </c>
      <c r="O6618">
        <v>12350000</v>
      </c>
      <c r="P6618">
        <v>32500000</v>
      </c>
      <c r="Q6618">
        <v>32500000</v>
      </c>
      <c r="R6618" s="14">
        <f>_xlfn.XLOOKUP(Table2[[#This Row],[LoanID]],Table1[G-L ID],Table1[ManagerCode],-99)</f>
        <v>183</v>
      </c>
      <c r="T6618"/>
    </row>
    <row r="6619" spans="1:20" x14ac:dyDescent="0.25">
      <c r="A6619">
        <v>20180228</v>
      </c>
      <c r="B6619">
        <v>2018</v>
      </c>
      <c r="C6619">
        <v>2</v>
      </c>
      <c r="D6619">
        <v>1</v>
      </c>
      <c r="E6619">
        <v>12390</v>
      </c>
      <c r="F6619">
        <v>261951.98</v>
      </c>
      <c r="G6619">
        <v>345844.8</v>
      </c>
      <c r="H6619">
        <v>0</v>
      </c>
      <c r="I6619">
        <v>0</v>
      </c>
      <c r="J6619">
        <v>-261951.98</v>
      </c>
      <c r="K6619">
        <v>0</v>
      </c>
      <c r="L6619">
        <v>43724009.289999999</v>
      </c>
      <c r="M6619">
        <v>44331806.07</v>
      </c>
      <c r="N6619">
        <v>43724009.289999999</v>
      </c>
      <c r="O6619">
        <v>44331806.07</v>
      </c>
      <c r="P6619">
        <v>43724009.289999999</v>
      </c>
      <c r="Q6619">
        <v>44331806.07</v>
      </c>
      <c r="R6619" s="14">
        <f>_xlfn.XLOOKUP(Table2[[#This Row],[LoanID]],Table1[G-L ID],Table1[ManagerCode],-99)</f>
        <v>183</v>
      </c>
      <c r="T6619"/>
    </row>
    <row r="6620" spans="1:20" x14ac:dyDescent="0.25">
      <c r="A6620">
        <v>20180228</v>
      </c>
      <c r="B6620">
        <v>2018</v>
      </c>
      <c r="C6620">
        <v>2</v>
      </c>
      <c r="D6620">
        <v>1</v>
      </c>
      <c r="E6620">
        <v>12400</v>
      </c>
      <c r="F6620">
        <v>76866.44</v>
      </c>
      <c r="G6620">
        <v>86229.68</v>
      </c>
      <c r="H6620">
        <v>0</v>
      </c>
      <c r="I6620">
        <v>0</v>
      </c>
      <c r="J6620">
        <v>-665309.72</v>
      </c>
      <c r="K6620">
        <v>0</v>
      </c>
      <c r="L6620">
        <v>15571325.58</v>
      </c>
      <c r="M6620">
        <v>16322864.98</v>
      </c>
      <c r="N6620">
        <v>15571325.58</v>
      </c>
      <c r="O6620">
        <v>16322864.98</v>
      </c>
      <c r="P6620">
        <v>15571325.58</v>
      </c>
      <c r="Q6620">
        <v>16322864.98</v>
      </c>
      <c r="R6620" s="14">
        <f>_xlfn.XLOOKUP(Table2[[#This Row],[LoanID]],Table1[G-L ID],Table1[ManagerCode],-99)</f>
        <v>183</v>
      </c>
      <c r="T6620"/>
    </row>
    <row r="6621" spans="1:20" x14ac:dyDescent="0.25">
      <c r="A6621">
        <v>20180228</v>
      </c>
      <c r="B6621">
        <v>2018</v>
      </c>
      <c r="C6621">
        <v>2</v>
      </c>
      <c r="D6621">
        <v>1</v>
      </c>
      <c r="E6621">
        <v>12410</v>
      </c>
      <c r="F6621">
        <v>326315.84000000003</v>
      </c>
      <c r="G6621">
        <v>261052.67</v>
      </c>
      <c r="H6621">
        <v>0</v>
      </c>
      <c r="I6621">
        <v>0</v>
      </c>
      <c r="J6621">
        <v>0</v>
      </c>
      <c r="K6621">
        <v>1561452</v>
      </c>
      <c r="L6621">
        <v>74138938.650000006</v>
      </c>
      <c r="M6621">
        <v>73815169.569999993</v>
      </c>
      <c r="N6621">
        <v>74138938.650000006</v>
      </c>
      <c r="O6621">
        <v>73815169.569999993</v>
      </c>
      <c r="P6621">
        <v>78315801.079999998</v>
      </c>
      <c r="Q6621">
        <v>77015401.75</v>
      </c>
      <c r="R6621" s="14">
        <f>_xlfn.XLOOKUP(Table2[[#This Row],[LoanID]],Table1[G-L ID],Table1[ManagerCode],-99)</f>
        <v>103</v>
      </c>
      <c r="T6621"/>
    </row>
    <row r="6622" spans="1:20" x14ac:dyDescent="0.25">
      <c r="A6622">
        <v>20180228</v>
      </c>
      <c r="B6622">
        <v>2018</v>
      </c>
      <c r="C6622">
        <v>2</v>
      </c>
      <c r="D6622">
        <v>1</v>
      </c>
      <c r="E6622">
        <v>12420</v>
      </c>
      <c r="F6622">
        <v>36722.82</v>
      </c>
      <c r="G6622">
        <v>0</v>
      </c>
      <c r="H6622">
        <v>0</v>
      </c>
      <c r="I6622">
        <v>0</v>
      </c>
      <c r="J6622">
        <v>0</v>
      </c>
      <c r="K6622">
        <v>0</v>
      </c>
      <c r="L6622">
        <v>3087650.93</v>
      </c>
      <c r="M6622">
        <v>3087650.93</v>
      </c>
      <c r="N6622">
        <v>3087650.93</v>
      </c>
      <c r="O6622">
        <v>3087650.93</v>
      </c>
      <c r="P6622">
        <v>3087650.93</v>
      </c>
      <c r="Q6622">
        <v>3087650.93</v>
      </c>
      <c r="R6622" s="14">
        <f>_xlfn.XLOOKUP(Table2[[#This Row],[LoanID]],Table1[G-L ID],Table1[ManagerCode],-99)</f>
        <v>103</v>
      </c>
      <c r="T6622"/>
    </row>
    <row r="6623" spans="1:20" x14ac:dyDescent="0.25">
      <c r="A6623">
        <v>20180228</v>
      </c>
      <c r="B6623">
        <v>2018</v>
      </c>
      <c r="C6623">
        <v>2</v>
      </c>
      <c r="D6623">
        <v>1</v>
      </c>
      <c r="E6623">
        <v>12430</v>
      </c>
      <c r="F6623">
        <v>44864.3</v>
      </c>
      <c r="G6623">
        <v>0</v>
      </c>
      <c r="H6623">
        <v>0</v>
      </c>
      <c r="I6623">
        <v>0</v>
      </c>
      <c r="J6623">
        <v>-1296583.28</v>
      </c>
      <c r="K6623">
        <v>0</v>
      </c>
      <c r="L6623">
        <v>12799529.800000001</v>
      </c>
      <c r="M6623">
        <v>13878369.91</v>
      </c>
      <c r="N6623">
        <v>12799529.800000001</v>
      </c>
      <c r="O6623">
        <v>13878369.91</v>
      </c>
      <c r="P6623">
        <v>13927520.5</v>
      </c>
      <c r="Q6623">
        <v>15224103.779999999</v>
      </c>
      <c r="R6623" s="14">
        <f>_xlfn.XLOOKUP(Table2[[#This Row],[LoanID]],Table1[G-L ID],Table1[ManagerCode],-99)</f>
        <v>103</v>
      </c>
      <c r="T6623"/>
    </row>
    <row r="6624" spans="1:20" x14ac:dyDescent="0.25">
      <c r="A6624">
        <v>20180228</v>
      </c>
      <c r="B6624">
        <v>2018</v>
      </c>
      <c r="C6624">
        <v>2</v>
      </c>
      <c r="D6624">
        <v>1</v>
      </c>
      <c r="E6624">
        <v>12440</v>
      </c>
      <c r="F6624">
        <v>68294.67</v>
      </c>
      <c r="G6624">
        <v>0</v>
      </c>
      <c r="H6624">
        <v>0</v>
      </c>
      <c r="I6624">
        <v>0</v>
      </c>
      <c r="J6624">
        <v>0</v>
      </c>
      <c r="K6624">
        <v>49014.71</v>
      </c>
      <c r="L6624">
        <v>4719703.95</v>
      </c>
      <c r="M6624">
        <v>4600944.53</v>
      </c>
      <c r="N6624">
        <v>4719703.95</v>
      </c>
      <c r="O6624">
        <v>4600944.53</v>
      </c>
      <c r="P6624">
        <v>4122187.48</v>
      </c>
      <c r="Q6624">
        <v>4073172.77</v>
      </c>
      <c r="R6624" s="14">
        <f>_xlfn.XLOOKUP(Table2[[#This Row],[LoanID]],Table1[G-L ID],Table1[ManagerCode],-99)</f>
        <v>103</v>
      </c>
      <c r="T6624"/>
    </row>
    <row r="6625" spans="1:20" x14ac:dyDescent="0.25">
      <c r="A6625">
        <v>20180228</v>
      </c>
      <c r="B6625">
        <v>2018</v>
      </c>
      <c r="C6625">
        <v>2</v>
      </c>
      <c r="D6625">
        <v>1</v>
      </c>
      <c r="E6625">
        <v>12450</v>
      </c>
      <c r="F6625">
        <v>8371.34</v>
      </c>
      <c r="G6625">
        <v>14484.97</v>
      </c>
      <c r="H6625">
        <v>0</v>
      </c>
      <c r="I6625">
        <v>0</v>
      </c>
      <c r="J6625">
        <v>-885221.72</v>
      </c>
      <c r="K6625">
        <v>0</v>
      </c>
      <c r="L6625">
        <v>1930449.72</v>
      </c>
      <c r="M6625">
        <v>2820389.85</v>
      </c>
      <c r="N6625">
        <v>1930449.72</v>
      </c>
      <c r="O6625">
        <v>2820389.85</v>
      </c>
      <c r="P6625">
        <v>1930449.72</v>
      </c>
      <c r="Q6625">
        <v>2820389.85</v>
      </c>
      <c r="R6625" s="14">
        <f>_xlfn.XLOOKUP(Table2[[#This Row],[LoanID]],Table1[G-L ID],Table1[ManagerCode],-99)</f>
        <v>183</v>
      </c>
      <c r="T6625"/>
    </row>
    <row r="6626" spans="1:20" x14ac:dyDescent="0.25">
      <c r="A6626">
        <v>20180228</v>
      </c>
      <c r="B6626">
        <v>2018</v>
      </c>
      <c r="C6626">
        <v>2</v>
      </c>
      <c r="D6626">
        <v>1</v>
      </c>
      <c r="E6626">
        <v>12460</v>
      </c>
      <c r="F6626">
        <v>38142.080000000002</v>
      </c>
      <c r="G6626">
        <v>38836.69</v>
      </c>
      <c r="H6626">
        <v>0</v>
      </c>
      <c r="I6626">
        <v>0</v>
      </c>
      <c r="J6626">
        <v>-1173691.8600000001</v>
      </c>
      <c r="K6626">
        <v>0</v>
      </c>
      <c r="L6626">
        <v>7369834.8600000003</v>
      </c>
      <c r="M6626">
        <v>8582604.0600000005</v>
      </c>
      <c r="N6626">
        <v>7369834.8600000003</v>
      </c>
      <c r="O6626">
        <v>8582604.0600000005</v>
      </c>
      <c r="P6626">
        <v>7369834.8600000003</v>
      </c>
      <c r="Q6626">
        <v>8582604.0600000005</v>
      </c>
      <c r="R6626" s="14">
        <f>_xlfn.XLOOKUP(Table2[[#This Row],[LoanID]],Table1[G-L ID],Table1[ManagerCode],-99)</f>
        <v>183</v>
      </c>
      <c r="T6626"/>
    </row>
    <row r="6627" spans="1:20" x14ac:dyDescent="0.25">
      <c r="A6627">
        <v>20180228</v>
      </c>
      <c r="B6627">
        <v>2018</v>
      </c>
      <c r="C6627">
        <v>2</v>
      </c>
      <c r="D6627">
        <v>1</v>
      </c>
      <c r="E6627">
        <v>12470</v>
      </c>
      <c r="F6627">
        <v>313815.83</v>
      </c>
      <c r="G6627">
        <v>0</v>
      </c>
      <c r="H6627">
        <v>0</v>
      </c>
      <c r="I6627">
        <v>0</v>
      </c>
      <c r="J6627">
        <v>0</v>
      </c>
      <c r="K6627">
        <v>0</v>
      </c>
      <c r="L6627">
        <v>115000000</v>
      </c>
      <c r="M6627">
        <v>115000000</v>
      </c>
      <c r="N6627">
        <v>46000000</v>
      </c>
      <c r="O6627">
        <v>46000000</v>
      </c>
      <c r="P6627">
        <v>115000000</v>
      </c>
      <c r="Q6627">
        <v>115000000</v>
      </c>
      <c r="R6627" s="14">
        <f>_xlfn.XLOOKUP(Table2[[#This Row],[LoanID]],Table1[G-L ID],Table1[ManagerCode],-99)</f>
        <v>183</v>
      </c>
      <c r="T6627"/>
    </row>
    <row r="6628" spans="1:20" x14ac:dyDescent="0.25">
      <c r="A6628">
        <v>20180228</v>
      </c>
      <c r="B6628">
        <v>2018</v>
      </c>
      <c r="C6628">
        <v>2</v>
      </c>
      <c r="D6628">
        <v>1</v>
      </c>
      <c r="E6628">
        <v>12480</v>
      </c>
      <c r="F6628">
        <v>67291.64</v>
      </c>
      <c r="G6628">
        <v>0</v>
      </c>
      <c r="H6628">
        <v>0</v>
      </c>
      <c r="I6628">
        <v>0</v>
      </c>
      <c r="J6628">
        <v>0</v>
      </c>
      <c r="K6628">
        <v>0</v>
      </c>
      <c r="L6628">
        <v>19880000</v>
      </c>
      <c r="M6628">
        <v>19880000</v>
      </c>
      <c r="N6628">
        <v>9380000</v>
      </c>
      <c r="O6628">
        <v>9380000</v>
      </c>
      <c r="P6628">
        <v>19880000</v>
      </c>
      <c r="Q6628">
        <v>19880000</v>
      </c>
      <c r="R6628" s="14">
        <f>_xlfn.XLOOKUP(Table2[[#This Row],[LoanID]],Table1[G-L ID],Table1[ManagerCode],-99)</f>
        <v>183</v>
      </c>
      <c r="T6628"/>
    </row>
    <row r="6629" spans="1:20" x14ac:dyDescent="0.25">
      <c r="A6629">
        <v>20180228</v>
      </c>
      <c r="B6629">
        <v>2018</v>
      </c>
      <c r="C6629">
        <v>2</v>
      </c>
      <c r="D6629">
        <v>1</v>
      </c>
      <c r="E6629">
        <v>12490</v>
      </c>
      <c r="F6629">
        <v>209760.33</v>
      </c>
      <c r="G6629">
        <v>0</v>
      </c>
      <c r="H6629">
        <v>0</v>
      </c>
      <c r="I6629">
        <v>0</v>
      </c>
      <c r="J6629">
        <v>0</v>
      </c>
      <c r="K6629">
        <v>0</v>
      </c>
      <c r="L6629">
        <v>50200000</v>
      </c>
      <c r="M6629">
        <v>50200000</v>
      </c>
      <c r="N6629">
        <v>19600000</v>
      </c>
      <c r="O6629">
        <v>19600000</v>
      </c>
      <c r="P6629">
        <v>50200000</v>
      </c>
      <c r="Q6629">
        <v>50200000</v>
      </c>
      <c r="R6629" s="14">
        <f>_xlfn.XLOOKUP(Table2[[#This Row],[LoanID]],Table1[G-L ID],Table1[ManagerCode],-99)</f>
        <v>183</v>
      </c>
      <c r="T6629"/>
    </row>
    <row r="6630" spans="1:20" x14ac:dyDescent="0.25">
      <c r="A6630">
        <v>20180228</v>
      </c>
      <c r="B6630">
        <v>2018</v>
      </c>
      <c r="C6630">
        <v>2</v>
      </c>
      <c r="D6630">
        <v>1</v>
      </c>
      <c r="E6630">
        <v>12500</v>
      </c>
      <c r="F6630">
        <v>270751.40000000002</v>
      </c>
      <c r="G6630">
        <v>0</v>
      </c>
      <c r="H6630">
        <v>0</v>
      </c>
      <c r="I6630">
        <v>0</v>
      </c>
      <c r="J6630">
        <v>0</v>
      </c>
      <c r="K6630">
        <v>0</v>
      </c>
      <c r="L6630">
        <v>115000000</v>
      </c>
      <c r="M6630">
        <v>115000000</v>
      </c>
      <c r="N6630">
        <v>46015000</v>
      </c>
      <c r="O6630">
        <v>46015000</v>
      </c>
      <c r="P6630">
        <v>115000000</v>
      </c>
      <c r="Q6630">
        <v>115000000</v>
      </c>
      <c r="R6630" s="14">
        <f>_xlfn.XLOOKUP(Table2[[#This Row],[LoanID]],Table1[G-L ID],Table1[ManagerCode],-99)</f>
        <v>183</v>
      </c>
      <c r="T6630"/>
    </row>
    <row r="6631" spans="1:20" x14ac:dyDescent="0.25">
      <c r="A6631">
        <v>20180228</v>
      </c>
      <c r="B6631">
        <v>2018</v>
      </c>
      <c r="C6631">
        <v>2</v>
      </c>
      <c r="D6631">
        <v>1</v>
      </c>
      <c r="E6631">
        <v>12510</v>
      </c>
      <c r="F6631">
        <v>301117.46999999997</v>
      </c>
      <c r="G6631">
        <v>0</v>
      </c>
      <c r="H6631">
        <v>0</v>
      </c>
      <c r="I6631">
        <v>0</v>
      </c>
      <c r="J6631">
        <v>0</v>
      </c>
      <c r="K6631">
        <v>0</v>
      </c>
      <c r="L6631">
        <v>131500000</v>
      </c>
      <c r="M6631">
        <v>131500000</v>
      </c>
      <c r="N6631">
        <v>46025000</v>
      </c>
      <c r="O6631">
        <v>46025000</v>
      </c>
      <c r="P6631">
        <v>131500000</v>
      </c>
      <c r="Q6631">
        <v>131500000</v>
      </c>
      <c r="R6631" s="14">
        <f>_xlfn.XLOOKUP(Table2[[#This Row],[LoanID]],Table1[G-L ID],Table1[ManagerCode],-99)</f>
        <v>183</v>
      </c>
      <c r="T6631"/>
    </row>
    <row r="6632" spans="1:20" x14ac:dyDescent="0.25">
      <c r="A6632">
        <v>20180228</v>
      </c>
      <c r="B6632">
        <v>2018</v>
      </c>
      <c r="C6632">
        <v>2</v>
      </c>
      <c r="D6632">
        <v>1</v>
      </c>
      <c r="E6632">
        <v>12520</v>
      </c>
      <c r="F6632">
        <v>294443.33</v>
      </c>
      <c r="G6632">
        <v>0</v>
      </c>
      <c r="H6632">
        <v>0</v>
      </c>
      <c r="I6632">
        <v>0</v>
      </c>
      <c r="J6632">
        <v>0</v>
      </c>
      <c r="K6632">
        <v>0</v>
      </c>
      <c r="L6632">
        <v>42000000</v>
      </c>
      <c r="M6632">
        <v>42000000</v>
      </c>
      <c r="N6632">
        <v>17250000</v>
      </c>
      <c r="O6632">
        <v>17250000</v>
      </c>
      <c r="P6632">
        <v>42000000</v>
      </c>
      <c r="Q6632">
        <v>42000000</v>
      </c>
      <c r="R6632" s="14">
        <f>_xlfn.XLOOKUP(Table2[[#This Row],[LoanID]],Table1[G-L ID],Table1[ManagerCode],-99)</f>
        <v>183</v>
      </c>
      <c r="T6632"/>
    </row>
    <row r="6633" spans="1:20" x14ac:dyDescent="0.25">
      <c r="A6633">
        <v>20180228</v>
      </c>
      <c r="B6633">
        <v>2018</v>
      </c>
      <c r="C6633">
        <v>2</v>
      </c>
      <c r="D6633">
        <v>1</v>
      </c>
      <c r="E6633">
        <v>12530</v>
      </c>
      <c r="F6633">
        <v>232717.86</v>
      </c>
      <c r="G6633">
        <v>0</v>
      </c>
      <c r="H6633">
        <v>0</v>
      </c>
      <c r="I6633">
        <v>0</v>
      </c>
      <c r="J6633">
        <v>0</v>
      </c>
      <c r="K6633">
        <v>0</v>
      </c>
      <c r="L6633">
        <v>26200000</v>
      </c>
      <c r="M6633">
        <v>26200000</v>
      </c>
      <c r="N6633">
        <v>26200000</v>
      </c>
      <c r="O6633">
        <v>26200000</v>
      </c>
      <c r="P6633">
        <v>26200000</v>
      </c>
      <c r="Q6633">
        <v>26200000</v>
      </c>
      <c r="R6633" s="14">
        <f>_xlfn.XLOOKUP(Table2[[#This Row],[LoanID]],Table1[G-L ID],Table1[ManagerCode],-99)</f>
        <v>119</v>
      </c>
      <c r="T6633"/>
    </row>
    <row r="6634" spans="1:20" x14ac:dyDescent="0.25">
      <c r="A6634">
        <v>20180228</v>
      </c>
      <c r="B6634">
        <v>2018</v>
      </c>
      <c r="C6634">
        <v>2</v>
      </c>
      <c r="D6634">
        <v>1</v>
      </c>
      <c r="E6634">
        <v>12540</v>
      </c>
      <c r="F6634">
        <v>137993.78</v>
      </c>
      <c r="G6634">
        <v>0</v>
      </c>
      <c r="H6634">
        <v>0</v>
      </c>
      <c r="I6634">
        <v>0</v>
      </c>
      <c r="J6634">
        <v>0</v>
      </c>
      <c r="K6634">
        <v>0</v>
      </c>
      <c r="L6634">
        <v>15657141.18</v>
      </c>
      <c r="M6634">
        <v>15657141.18</v>
      </c>
      <c r="N6634">
        <v>15657141.18</v>
      </c>
      <c r="O6634">
        <v>15657141.18</v>
      </c>
      <c r="P6634">
        <v>15657141.18</v>
      </c>
      <c r="Q6634">
        <v>15657141.18</v>
      </c>
      <c r="R6634" s="14">
        <f>_xlfn.XLOOKUP(Table2[[#This Row],[LoanID]],Table1[G-L ID],Table1[ManagerCode],-99)</f>
        <v>119</v>
      </c>
      <c r="T6634"/>
    </row>
    <row r="6635" spans="1:20" x14ac:dyDescent="0.25">
      <c r="A6635">
        <v>20180228</v>
      </c>
      <c r="B6635">
        <v>2018</v>
      </c>
      <c r="C6635">
        <v>2</v>
      </c>
      <c r="D6635">
        <v>1</v>
      </c>
      <c r="E6635">
        <v>12550</v>
      </c>
      <c r="F6635">
        <v>73855.08</v>
      </c>
      <c r="G6635">
        <v>0</v>
      </c>
      <c r="H6635">
        <v>0</v>
      </c>
      <c r="I6635">
        <v>0</v>
      </c>
      <c r="J6635">
        <v>0</v>
      </c>
      <c r="K6635">
        <v>0</v>
      </c>
      <c r="L6635">
        <v>7416099.1500000004</v>
      </c>
      <c r="M6635">
        <v>7416099.1500000004</v>
      </c>
      <c r="N6635">
        <v>7416099.1500000004</v>
      </c>
      <c r="O6635">
        <v>7416099.1500000004</v>
      </c>
      <c r="P6635">
        <v>7416099.1500000004</v>
      </c>
      <c r="Q6635">
        <v>7416099.1500000004</v>
      </c>
      <c r="R6635" s="14">
        <f>_xlfn.XLOOKUP(Table2[[#This Row],[LoanID]],Table1[G-L ID],Table1[ManagerCode],-99)</f>
        <v>119</v>
      </c>
      <c r="T6635"/>
    </row>
    <row r="6636" spans="1:20" x14ac:dyDescent="0.25">
      <c r="A6636">
        <v>20180228</v>
      </c>
      <c r="B6636">
        <v>2018</v>
      </c>
      <c r="C6636">
        <v>2</v>
      </c>
      <c r="D6636">
        <v>1</v>
      </c>
      <c r="E6636">
        <v>12560</v>
      </c>
      <c r="F6636">
        <v>109317.54</v>
      </c>
      <c r="G6636">
        <v>0</v>
      </c>
      <c r="H6636">
        <v>0</v>
      </c>
      <c r="I6636">
        <v>0</v>
      </c>
      <c r="J6636">
        <v>-224174.22</v>
      </c>
      <c r="K6636">
        <v>0</v>
      </c>
      <c r="L6636">
        <v>13431810.35</v>
      </c>
      <c r="M6636">
        <v>13655984.57</v>
      </c>
      <c r="N6636">
        <v>13431810.35</v>
      </c>
      <c r="O6636">
        <v>13655984.57</v>
      </c>
      <c r="P6636">
        <v>13431810.35</v>
      </c>
      <c r="Q6636">
        <v>13655984.57</v>
      </c>
      <c r="R6636" s="14">
        <f>_xlfn.XLOOKUP(Table2[[#This Row],[LoanID]],Table1[G-L ID],Table1[ManagerCode],-99)</f>
        <v>119</v>
      </c>
      <c r="T6636"/>
    </row>
    <row r="6637" spans="1:20" x14ac:dyDescent="0.25">
      <c r="A6637">
        <v>20180228</v>
      </c>
      <c r="B6637">
        <v>2018</v>
      </c>
      <c r="C6637">
        <v>2</v>
      </c>
      <c r="D6637">
        <v>1</v>
      </c>
      <c r="E6637">
        <v>12570</v>
      </c>
      <c r="F6637">
        <v>77231.960000000006</v>
      </c>
      <c r="G6637">
        <v>0</v>
      </c>
      <c r="H6637">
        <v>0</v>
      </c>
      <c r="I6637">
        <v>0</v>
      </c>
      <c r="J6637">
        <v>0</v>
      </c>
      <c r="K6637">
        <v>0</v>
      </c>
      <c r="L6637">
        <v>8924400</v>
      </c>
      <c r="M6637">
        <v>8924400</v>
      </c>
      <c r="N6637">
        <v>8924400</v>
      </c>
      <c r="O6637">
        <v>8924400</v>
      </c>
      <c r="P6637">
        <v>8924400</v>
      </c>
      <c r="Q6637">
        <v>8924400</v>
      </c>
      <c r="R6637" s="14">
        <f>_xlfn.XLOOKUP(Table2[[#This Row],[LoanID]],Table1[G-L ID],Table1[ManagerCode],-99)</f>
        <v>119</v>
      </c>
      <c r="T6637"/>
    </row>
    <row r="6638" spans="1:20" x14ac:dyDescent="0.25">
      <c r="A6638">
        <v>20180228</v>
      </c>
      <c r="B6638">
        <v>2018</v>
      </c>
      <c r="C6638">
        <v>2</v>
      </c>
      <c r="D6638">
        <v>1</v>
      </c>
      <c r="E6638">
        <v>12580</v>
      </c>
      <c r="F6638">
        <v>161305.67000000001</v>
      </c>
      <c r="G6638">
        <v>0</v>
      </c>
      <c r="H6638">
        <v>0</v>
      </c>
      <c r="I6638">
        <v>0</v>
      </c>
      <c r="J6638">
        <v>0</v>
      </c>
      <c r="K6638">
        <v>0</v>
      </c>
      <c r="L6638">
        <v>18000000</v>
      </c>
      <c r="M6638">
        <v>18000000</v>
      </c>
      <c r="N6638">
        <v>18000000</v>
      </c>
      <c r="O6638">
        <v>18000000</v>
      </c>
      <c r="P6638">
        <v>18000000</v>
      </c>
      <c r="Q6638">
        <v>18000000</v>
      </c>
      <c r="R6638" s="14">
        <f>_xlfn.XLOOKUP(Table2[[#This Row],[LoanID]],Table1[G-L ID],Table1[ManagerCode],-99)</f>
        <v>119</v>
      </c>
      <c r="T6638"/>
    </row>
    <row r="6639" spans="1:20" x14ac:dyDescent="0.25">
      <c r="A6639">
        <v>20180228</v>
      </c>
      <c r="B6639">
        <v>2018</v>
      </c>
      <c r="C6639">
        <v>2</v>
      </c>
      <c r="D6639">
        <v>1</v>
      </c>
      <c r="E6639">
        <v>12590</v>
      </c>
      <c r="F6639">
        <v>79101.240000000005</v>
      </c>
      <c r="G6639">
        <v>0</v>
      </c>
      <c r="H6639">
        <v>0</v>
      </c>
      <c r="I6639">
        <v>0</v>
      </c>
      <c r="J6639">
        <v>0</v>
      </c>
      <c r="K6639">
        <v>0</v>
      </c>
      <c r="L6639">
        <v>8500000</v>
      </c>
      <c r="M6639">
        <v>8500000</v>
      </c>
      <c r="N6639">
        <v>8500000</v>
      </c>
      <c r="O6639">
        <v>8500000</v>
      </c>
      <c r="P6639">
        <v>8500000</v>
      </c>
      <c r="Q6639">
        <v>8500000</v>
      </c>
      <c r="R6639" s="14">
        <f>_xlfn.XLOOKUP(Table2[[#This Row],[LoanID]],Table1[G-L ID],Table1[ManagerCode],-99)</f>
        <v>119</v>
      </c>
      <c r="T6639"/>
    </row>
    <row r="6640" spans="1:20" x14ac:dyDescent="0.25">
      <c r="A6640">
        <v>20180228</v>
      </c>
      <c r="B6640">
        <v>2018</v>
      </c>
      <c r="C6640">
        <v>2</v>
      </c>
      <c r="D6640">
        <v>1</v>
      </c>
      <c r="E6640">
        <v>12600</v>
      </c>
      <c r="F6640">
        <v>235612.92</v>
      </c>
      <c r="G6640">
        <v>0</v>
      </c>
      <c r="H6640">
        <v>0</v>
      </c>
      <c r="I6640">
        <v>0</v>
      </c>
      <c r="J6640">
        <v>0</v>
      </c>
      <c r="K6640">
        <v>0</v>
      </c>
      <c r="L6640">
        <v>27750000</v>
      </c>
      <c r="M6640">
        <v>27750000</v>
      </c>
      <c r="N6640">
        <v>27750000</v>
      </c>
      <c r="O6640">
        <v>27750000</v>
      </c>
      <c r="P6640">
        <v>27750000</v>
      </c>
      <c r="Q6640">
        <v>27750000</v>
      </c>
      <c r="R6640" s="14">
        <f>_xlfn.XLOOKUP(Table2[[#This Row],[LoanID]],Table1[G-L ID],Table1[ManagerCode],-99)</f>
        <v>119</v>
      </c>
      <c r="T6640"/>
    </row>
    <row r="6641" spans="1:20" x14ac:dyDescent="0.25">
      <c r="A6641">
        <v>20180228</v>
      </c>
      <c r="B6641">
        <v>2018</v>
      </c>
      <c r="C6641">
        <v>2</v>
      </c>
      <c r="D6641">
        <v>1</v>
      </c>
      <c r="E6641">
        <v>12610</v>
      </c>
      <c r="F6641">
        <v>110299.79</v>
      </c>
      <c r="G6641">
        <v>0</v>
      </c>
      <c r="H6641">
        <v>0</v>
      </c>
      <c r="I6641">
        <v>0</v>
      </c>
      <c r="J6641">
        <v>9974170</v>
      </c>
      <c r="K6641">
        <v>0</v>
      </c>
      <c r="L6641">
        <v>18849170</v>
      </c>
      <c r="M6641">
        <v>8875000</v>
      </c>
      <c r="N6641">
        <v>18849170</v>
      </c>
      <c r="O6641">
        <v>8875000</v>
      </c>
      <c r="P6641">
        <v>18849170</v>
      </c>
      <c r="Q6641">
        <v>8875000</v>
      </c>
      <c r="R6641" s="14">
        <f>_xlfn.XLOOKUP(Table2[[#This Row],[LoanID]],Table1[G-L ID],Table1[ManagerCode],-99)</f>
        <v>119</v>
      </c>
      <c r="T6641"/>
    </row>
    <row r="6642" spans="1:20" x14ac:dyDescent="0.25">
      <c r="A6642">
        <v>20180228</v>
      </c>
      <c r="B6642">
        <v>2018</v>
      </c>
      <c r="C6642">
        <v>2</v>
      </c>
      <c r="D6642">
        <v>1</v>
      </c>
      <c r="E6642">
        <v>12620</v>
      </c>
      <c r="F6642">
        <v>104950.1</v>
      </c>
      <c r="G6642">
        <v>0</v>
      </c>
      <c r="H6642">
        <v>0</v>
      </c>
      <c r="I6642">
        <v>0</v>
      </c>
      <c r="J6642">
        <v>1946909.03</v>
      </c>
      <c r="K6642">
        <v>0</v>
      </c>
      <c r="L6642">
        <v>9380000</v>
      </c>
      <c r="M6642">
        <v>7433090.9699999997</v>
      </c>
      <c r="N6642">
        <v>9380000</v>
      </c>
      <c r="O6642">
        <v>7433090.9699999997</v>
      </c>
      <c r="P6642">
        <v>9380000</v>
      </c>
      <c r="Q6642">
        <v>7433090.9699999997</v>
      </c>
      <c r="R6642" s="14">
        <f>_xlfn.XLOOKUP(Table2[[#This Row],[LoanID]],Table1[G-L ID],Table1[ManagerCode],-99)</f>
        <v>119</v>
      </c>
      <c r="T6642"/>
    </row>
    <row r="6643" spans="1:20" x14ac:dyDescent="0.25">
      <c r="A6643">
        <v>20180228</v>
      </c>
      <c r="B6643">
        <v>2018</v>
      </c>
      <c r="C6643">
        <v>2</v>
      </c>
      <c r="D6643">
        <v>1</v>
      </c>
      <c r="E6643">
        <v>12630</v>
      </c>
      <c r="F6643">
        <v>110780.43</v>
      </c>
      <c r="G6643">
        <v>0</v>
      </c>
      <c r="H6643">
        <v>0</v>
      </c>
      <c r="I6643">
        <v>0</v>
      </c>
      <c r="J6643">
        <v>-414200.35</v>
      </c>
      <c r="K6643">
        <v>0</v>
      </c>
      <c r="L6643">
        <v>12797000</v>
      </c>
      <c r="M6643">
        <v>13211200.35</v>
      </c>
      <c r="N6643">
        <v>12797000</v>
      </c>
      <c r="O6643">
        <v>13211200.35</v>
      </c>
      <c r="P6643">
        <v>12797000</v>
      </c>
      <c r="Q6643">
        <v>13211200.35</v>
      </c>
      <c r="R6643" s="14">
        <f>_xlfn.XLOOKUP(Table2[[#This Row],[LoanID]],Table1[G-L ID],Table1[ManagerCode],-99)</f>
        <v>119</v>
      </c>
      <c r="T6643"/>
    </row>
    <row r="6644" spans="1:20" x14ac:dyDescent="0.25">
      <c r="A6644">
        <v>20180228</v>
      </c>
      <c r="B6644">
        <v>2018</v>
      </c>
      <c r="C6644">
        <v>2</v>
      </c>
      <c r="D6644">
        <v>1</v>
      </c>
      <c r="E6644">
        <v>12640</v>
      </c>
      <c r="F6644">
        <v>72785.08</v>
      </c>
      <c r="G6644">
        <v>0</v>
      </c>
      <c r="H6644">
        <v>0</v>
      </c>
      <c r="I6644">
        <v>0</v>
      </c>
      <c r="J6644">
        <v>-343925.73</v>
      </c>
      <c r="K6644">
        <v>0</v>
      </c>
      <c r="L6644">
        <v>7090041.71</v>
      </c>
      <c r="M6644">
        <v>7433967.4400000004</v>
      </c>
      <c r="N6644">
        <v>7090041.71</v>
      </c>
      <c r="O6644">
        <v>7433967.4400000004</v>
      </c>
      <c r="P6644">
        <v>7090041.71</v>
      </c>
      <c r="Q6644">
        <v>7433967.4400000004</v>
      </c>
      <c r="R6644" s="14">
        <f>_xlfn.XLOOKUP(Table2[[#This Row],[LoanID]],Table1[G-L ID],Table1[ManagerCode],-99)</f>
        <v>119</v>
      </c>
      <c r="T6644"/>
    </row>
    <row r="6645" spans="1:20" x14ac:dyDescent="0.25">
      <c r="A6645">
        <v>20180228</v>
      </c>
      <c r="B6645">
        <v>2018</v>
      </c>
      <c r="C6645">
        <v>2</v>
      </c>
      <c r="D6645">
        <v>1</v>
      </c>
      <c r="E6645">
        <v>12650</v>
      </c>
      <c r="F6645">
        <v>510778.67</v>
      </c>
      <c r="G6645">
        <v>0</v>
      </c>
      <c r="H6645">
        <v>0</v>
      </c>
      <c r="I6645">
        <v>0</v>
      </c>
      <c r="J6645">
        <v>0</v>
      </c>
      <c r="K6645">
        <v>0</v>
      </c>
      <c r="L6645">
        <v>111200000</v>
      </c>
      <c r="M6645">
        <v>111200000</v>
      </c>
      <c r="N6645">
        <v>44480000</v>
      </c>
      <c r="O6645">
        <v>44480000</v>
      </c>
      <c r="P6645">
        <v>111200000</v>
      </c>
      <c r="Q6645">
        <v>111200000</v>
      </c>
      <c r="R6645" s="14">
        <f>_xlfn.XLOOKUP(Table2[[#This Row],[LoanID]],Table1[G-L ID],Table1[ManagerCode],-99)</f>
        <v>183</v>
      </c>
      <c r="T6645"/>
    </row>
    <row r="6646" spans="1:20" x14ac:dyDescent="0.25">
      <c r="A6646">
        <v>20180228</v>
      </c>
      <c r="B6646">
        <v>2018</v>
      </c>
      <c r="C6646">
        <v>2</v>
      </c>
      <c r="D6646">
        <v>1</v>
      </c>
      <c r="E6646">
        <v>12670</v>
      </c>
      <c r="F6646">
        <v>0</v>
      </c>
      <c r="G6646">
        <v>0</v>
      </c>
      <c r="H6646">
        <v>190000</v>
      </c>
      <c r="I6646">
        <v>0</v>
      </c>
      <c r="J6646">
        <v>-15500000</v>
      </c>
      <c r="K6646">
        <v>8250000</v>
      </c>
      <c r="L6646">
        <v>0</v>
      </c>
      <c r="M6646">
        <v>15500000</v>
      </c>
      <c r="N6646">
        <v>0</v>
      </c>
      <c r="O6646">
        <v>7250000</v>
      </c>
      <c r="P6646">
        <v>0</v>
      </c>
      <c r="Q6646">
        <v>15500000</v>
      </c>
      <c r="R6646" s="14">
        <f>_xlfn.XLOOKUP(Table2[[#This Row],[LoanID]],Table1[G-L ID],Table1[ManagerCode],-99)</f>
        <v>183</v>
      </c>
      <c r="T6646"/>
    </row>
    <row r="6647" spans="1:20" x14ac:dyDescent="0.25">
      <c r="A6647">
        <v>20180228</v>
      </c>
      <c r="B6647">
        <v>2018</v>
      </c>
      <c r="C6647">
        <v>2</v>
      </c>
      <c r="D6647">
        <v>1</v>
      </c>
      <c r="E6647">
        <v>12680</v>
      </c>
      <c r="F6647">
        <v>144305.5</v>
      </c>
      <c r="G6647">
        <v>0</v>
      </c>
      <c r="H6647">
        <v>0</v>
      </c>
      <c r="I6647">
        <v>0</v>
      </c>
      <c r="J6647">
        <v>0</v>
      </c>
      <c r="K6647">
        <v>0</v>
      </c>
      <c r="L6647">
        <v>16126000</v>
      </c>
      <c r="M6647">
        <v>16126000</v>
      </c>
      <c r="N6647">
        <v>16126000</v>
      </c>
      <c r="O6647">
        <v>16126000</v>
      </c>
      <c r="P6647">
        <v>16126000</v>
      </c>
      <c r="Q6647">
        <v>16126000</v>
      </c>
      <c r="R6647" s="14">
        <f>_xlfn.XLOOKUP(Table2[[#This Row],[LoanID]],Table1[G-L ID],Table1[ManagerCode],-99)</f>
        <v>119</v>
      </c>
      <c r="T6647"/>
    </row>
    <row r="6648" spans="1:20" x14ac:dyDescent="0.25">
      <c r="A6648">
        <v>20180228</v>
      </c>
      <c r="B6648">
        <v>2018</v>
      </c>
      <c r="C6648">
        <v>2</v>
      </c>
      <c r="D6648">
        <v>1</v>
      </c>
      <c r="E6648">
        <v>12690</v>
      </c>
      <c r="F6648">
        <v>128928.34</v>
      </c>
      <c r="G6648">
        <v>0</v>
      </c>
      <c r="H6648">
        <v>0</v>
      </c>
      <c r="I6648">
        <v>0</v>
      </c>
      <c r="J6648">
        <v>0</v>
      </c>
      <c r="K6648">
        <v>0</v>
      </c>
      <c r="L6648">
        <v>10175500</v>
      </c>
      <c r="M6648">
        <v>10175500</v>
      </c>
      <c r="N6648">
        <v>10175500</v>
      </c>
      <c r="O6648">
        <v>10175500</v>
      </c>
      <c r="P6648">
        <v>10175500</v>
      </c>
      <c r="Q6648">
        <v>10175500</v>
      </c>
      <c r="R6648" s="14">
        <f>_xlfn.XLOOKUP(Table2[[#This Row],[LoanID]],Table1[G-L ID],Table1[ManagerCode],-99)</f>
        <v>119</v>
      </c>
      <c r="T6648"/>
    </row>
    <row r="6649" spans="1:20" x14ac:dyDescent="0.25">
      <c r="A6649">
        <v>20180228</v>
      </c>
      <c r="B6649">
        <v>2018</v>
      </c>
      <c r="C6649">
        <v>2</v>
      </c>
      <c r="D6649">
        <v>1</v>
      </c>
      <c r="E6649">
        <v>12700</v>
      </c>
      <c r="F6649">
        <v>55055.56</v>
      </c>
      <c r="G6649">
        <v>0</v>
      </c>
      <c r="H6649">
        <v>187500</v>
      </c>
      <c r="I6649">
        <v>0</v>
      </c>
      <c r="J6649">
        <v>-25000000</v>
      </c>
      <c r="K6649">
        <v>0</v>
      </c>
      <c r="L6649">
        <v>0</v>
      </c>
      <c r="M6649">
        <v>25000000</v>
      </c>
      <c r="N6649">
        <v>0</v>
      </c>
      <c r="O6649">
        <v>25000000</v>
      </c>
      <c r="P6649">
        <v>0</v>
      </c>
      <c r="Q6649">
        <v>25000000</v>
      </c>
      <c r="R6649" s="14">
        <f>_xlfn.XLOOKUP(Table2[[#This Row],[LoanID]],Table1[G-L ID],Table1[ManagerCode],-99)</f>
        <v>119</v>
      </c>
      <c r="T6649"/>
    </row>
    <row r="6650" spans="1:20" x14ac:dyDescent="0.25">
      <c r="A6650">
        <v>20180228</v>
      </c>
      <c r="B6650">
        <v>2018</v>
      </c>
      <c r="C6650">
        <v>2</v>
      </c>
      <c r="D6650">
        <v>1</v>
      </c>
      <c r="E6650">
        <v>12710</v>
      </c>
      <c r="F6650">
        <v>0</v>
      </c>
      <c r="G6650">
        <v>0</v>
      </c>
      <c r="H6650">
        <v>97389.75</v>
      </c>
      <c r="I6650">
        <v>0</v>
      </c>
      <c r="J6650">
        <v>-9738975</v>
      </c>
      <c r="K6650">
        <v>0</v>
      </c>
      <c r="L6650">
        <v>0</v>
      </c>
      <c r="M6650">
        <v>9738975</v>
      </c>
      <c r="N6650">
        <v>0</v>
      </c>
      <c r="O6650">
        <v>9738975</v>
      </c>
      <c r="P6650">
        <v>0</v>
      </c>
      <c r="Q6650">
        <v>9738975</v>
      </c>
      <c r="R6650" s="14">
        <f>_xlfn.XLOOKUP(Table2[[#This Row],[LoanID]],Table1[G-L ID],Table1[ManagerCode],-99)</f>
        <v>119</v>
      </c>
      <c r="T6650"/>
    </row>
    <row r="6651" spans="1:20" x14ac:dyDescent="0.25">
      <c r="A6651">
        <v>20180228</v>
      </c>
      <c r="B6651">
        <v>2018</v>
      </c>
      <c r="C6651">
        <v>2</v>
      </c>
      <c r="D6651">
        <v>1</v>
      </c>
      <c r="E6651">
        <v>12750</v>
      </c>
      <c r="F6651">
        <v>-57891.59</v>
      </c>
      <c r="G6651">
        <v>96354.6</v>
      </c>
      <c r="H6651">
        <v>0</v>
      </c>
      <c r="I6651">
        <v>0</v>
      </c>
      <c r="J6651">
        <v>-480718.33</v>
      </c>
      <c r="K6651">
        <v>285713.53000000003</v>
      </c>
      <c r="L6651">
        <v>22115200.18</v>
      </c>
      <c r="M6651">
        <v>22692273.109999999</v>
      </c>
      <c r="N6651">
        <v>11102954.15</v>
      </c>
      <c r="O6651">
        <v>11394313.550000001</v>
      </c>
      <c r="P6651">
        <v>22115200.18</v>
      </c>
      <c r="Q6651">
        <v>22692273.109999999</v>
      </c>
      <c r="R6651" s="14">
        <f>_xlfn.XLOOKUP(Table2[[#This Row],[LoanID]],Table1[G-L ID],Table1[ManagerCode],-99)</f>
        <v>236</v>
      </c>
      <c r="T6651"/>
    </row>
    <row r="6652" spans="1:20" x14ac:dyDescent="0.25">
      <c r="A6652">
        <v>20180228</v>
      </c>
      <c r="B6652">
        <v>2018</v>
      </c>
      <c r="C6652">
        <v>2</v>
      </c>
      <c r="D6652">
        <v>1</v>
      </c>
      <c r="E6652">
        <v>12950</v>
      </c>
      <c r="F6652">
        <v>476989.04</v>
      </c>
      <c r="G6652">
        <v>0</v>
      </c>
      <c r="H6652">
        <v>224830.63</v>
      </c>
      <c r="I6652">
        <v>0</v>
      </c>
      <c r="J6652">
        <v>-26732750</v>
      </c>
      <c r="K6652">
        <v>0</v>
      </c>
      <c r="L6652">
        <v>0</v>
      </c>
      <c r="M6652">
        <v>26732750</v>
      </c>
      <c r="N6652">
        <v>0</v>
      </c>
      <c r="O6652">
        <v>26732750</v>
      </c>
      <c r="P6652">
        <v>0</v>
      </c>
      <c r="Q6652">
        <v>26732750</v>
      </c>
      <c r="R6652" s="14">
        <f>_xlfn.XLOOKUP(Table2[[#This Row],[LoanID]],Table1[G-L ID],Table1[ManagerCode],-99)</f>
        <v>119</v>
      </c>
      <c r="T6652"/>
    </row>
    <row r="6653" spans="1:20" x14ac:dyDescent="0.25">
      <c r="A6653">
        <v>20180228</v>
      </c>
      <c r="B6653">
        <v>2018</v>
      </c>
      <c r="C6653">
        <v>2</v>
      </c>
      <c r="D6653">
        <v>1</v>
      </c>
      <c r="E6653">
        <v>12960</v>
      </c>
      <c r="F6653">
        <v>0</v>
      </c>
      <c r="G6653">
        <v>0</v>
      </c>
      <c r="H6653">
        <v>347000</v>
      </c>
      <c r="I6653">
        <v>0</v>
      </c>
      <c r="J6653">
        <v>-35400000</v>
      </c>
      <c r="K6653">
        <v>0</v>
      </c>
      <c r="L6653">
        <v>0</v>
      </c>
      <c r="M6653">
        <v>35400000</v>
      </c>
      <c r="N6653">
        <v>0</v>
      </c>
      <c r="O6653">
        <v>35400000</v>
      </c>
      <c r="P6653">
        <v>0</v>
      </c>
      <c r="Q6653">
        <v>35400000</v>
      </c>
      <c r="R6653" s="14">
        <f>_xlfn.XLOOKUP(Table2[[#This Row],[LoanID]],Table1[G-L ID],Table1[ManagerCode],-99)</f>
        <v>119</v>
      </c>
      <c r="T6653"/>
    </row>
    <row r="6654" spans="1:20" x14ac:dyDescent="0.25">
      <c r="A6654">
        <v>20180228</v>
      </c>
      <c r="B6654">
        <v>2018</v>
      </c>
      <c r="C6654">
        <v>2</v>
      </c>
      <c r="D6654">
        <v>1</v>
      </c>
      <c r="E6654">
        <v>13000</v>
      </c>
      <c r="F6654">
        <v>629.70000000000005</v>
      </c>
      <c r="G6654">
        <v>0</v>
      </c>
      <c r="H6654">
        <v>0</v>
      </c>
      <c r="I6654">
        <v>0</v>
      </c>
      <c r="J6654">
        <v>-629.70000000000005</v>
      </c>
      <c r="K6654">
        <v>0</v>
      </c>
      <c r="L6654">
        <v>2856599.57</v>
      </c>
      <c r="M6654">
        <v>2856599.57</v>
      </c>
      <c r="N6654">
        <v>2856599.57</v>
      </c>
      <c r="O6654">
        <v>2856599.57</v>
      </c>
      <c r="P6654">
        <v>2873027.26</v>
      </c>
      <c r="Q6654">
        <v>2873656.96</v>
      </c>
      <c r="R6654" s="14">
        <f>_xlfn.XLOOKUP(Table2[[#This Row],[LoanID]],Table1[G-L ID],Table1[ManagerCode],-99)</f>
        <v>103</v>
      </c>
      <c r="T6654"/>
    </row>
    <row r="6655" spans="1:20" x14ac:dyDescent="0.25">
      <c r="A6655">
        <v>20180228</v>
      </c>
      <c r="B6655">
        <v>2018</v>
      </c>
      <c r="C6655">
        <v>2</v>
      </c>
      <c r="D6655">
        <v>1</v>
      </c>
      <c r="E6655">
        <v>13010</v>
      </c>
      <c r="F6655">
        <v>1400000</v>
      </c>
      <c r="G6655">
        <v>0</v>
      </c>
      <c r="H6655">
        <v>0</v>
      </c>
      <c r="I6655">
        <v>0</v>
      </c>
      <c r="J6655">
        <v>0</v>
      </c>
      <c r="K6655">
        <v>0</v>
      </c>
      <c r="L6655">
        <v>199500000</v>
      </c>
      <c r="M6655">
        <v>199500000</v>
      </c>
      <c r="N6655">
        <v>199500000</v>
      </c>
      <c r="O6655">
        <v>199500000</v>
      </c>
      <c r="P6655">
        <v>210000000</v>
      </c>
      <c r="Q6655">
        <v>210000000</v>
      </c>
      <c r="R6655" s="14">
        <f>_xlfn.XLOOKUP(Table2[[#This Row],[LoanID]],Table1[G-L ID],Table1[ManagerCode],-99)</f>
        <v>103</v>
      </c>
      <c r="T6655"/>
    </row>
    <row r="6656" spans="1:20" x14ac:dyDescent="0.25">
      <c r="A6656">
        <v>20180228</v>
      </c>
      <c r="B6656">
        <v>2018</v>
      </c>
      <c r="C6656">
        <v>2</v>
      </c>
      <c r="D6656">
        <v>1</v>
      </c>
      <c r="E6656">
        <v>13020</v>
      </c>
      <c r="F6656">
        <v>187470.55</v>
      </c>
      <c r="G6656">
        <v>0</v>
      </c>
      <c r="H6656">
        <v>0</v>
      </c>
      <c r="I6656">
        <v>0</v>
      </c>
      <c r="J6656">
        <v>-187470.55</v>
      </c>
      <c r="K6656">
        <v>0</v>
      </c>
      <c r="L6656">
        <v>18142311.16</v>
      </c>
      <c r="M6656">
        <v>18329781.710000001</v>
      </c>
      <c r="N6656">
        <v>18142311.16</v>
      </c>
      <c r="O6656">
        <v>18329781.710000001</v>
      </c>
      <c r="P6656">
        <v>18142311.16</v>
      </c>
      <c r="Q6656">
        <v>18329781.710000001</v>
      </c>
      <c r="R6656" s="14">
        <f>_xlfn.XLOOKUP(Table2[[#This Row],[LoanID]],Table1[G-L ID],Table1[ManagerCode],-99)</f>
        <v>103</v>
      </c>
      <c r="T6656"/>
    </row>
    <row r="6657" spans="1:20" x14ac:dyDescent="0.25">
      <c r="A6657">
        <v>20180228</v>
      </c>
      <c r="B6657">
        <v>2018</v>
      </c>
      <c r="C6657">
        <v>2</v>
      </c>
      <c r="D6657">
        <v>1</v>
      </c>
      <c r="E6657">
        <v>13570</v>
      </c>
      <c r="F6657">
        <v>347456.61</v>
      </c>
      <c r="G6657">
        <v>0</v>
      </c>
      <c r="H6657">
        <v>0</v>
      </c>
      <c r="I6657">
        <v>0</v>
      </c>
      <c r="J6657">
        <v>0</v>
      </c>
      <c r="K6657">
        <v>0</v>
      </c>
      <c r="L6657">
        <v>45146326.600000001</v>
      </c>
      <c r="M6657">
        <v>45173124.340000004</v>
      </c>
      <c r="N6657">
        <v>45146326.600000001</v>
      </c>
      <c r="O6657">
        <v>45173124.340000004</v>
      </c>
      <c r="P6657">
        <v>45800000</v>
      </c>
      <c r="Q6657">
        <v>45800000</v>
      </c>
      <c r="R6657" s="14">
        <f>_xlfn.XLOOKUP(Table2[[#This Row],[LoanID]],Table1[G-L ID],Table1[ManagerCode],-99)</f>
        <v>298</v>
      </c>
      <c r="T6657"/>
    </row>
    <row r="6658" spans="1:20" x14ac:dyDescent="0.25">
      <c r="A6658">
        <v>20180228</v>
      </c>
      <c r="B6658">
        <v>2018</v>
      </c>
      <c r="C6658">
        <v>2</v>
      </c>
      <c r="D6658">
        <v>1</v>
      </c>
      <c r="E6658">
        <v>13580</v>
      </c>
      <c r="F6658">
        <v>429479.17</v>
      </c>
      <c r="G6658">
        <v>0</v>
      </c>
      <c r="H6658">
        <v>0</v>
      </c>
      <c r="I6658">
        <v>0</v>
      </c>
      <c r="J6658">
        <v>0</v>
      </c>
      <c r="K6658">
        <v>0</v>
      </c>
      <c r="L6658">
        <v>63472911.189999998</v>
      </c>
      <c r="M6658">
        <v>63538766.460000001</v>
      </c>
      <c r="N6658">
        <v>63472911.189999998</v>
      </c>
      <c r="O6658">
        <v>63538766.460000001</v>
      </c>
      <c r="P6658">
        <v>66500000</v>
      </c>
      <c r="Q6658">
        <v>66500000</v>
      </c>
      <c r="R6658" s="14">
        <f>_xlfn.XLOOKUP(Table2[[#This Row],[LoanID]],Table1[G-L ID],Table1[ManagerCode],-99)</f>
        <v>298</v>
      </c>
      <c r="T6658"/>
    </row>
    <row r="6659" spans="1:20" x14ac:dyDescent="0.25">
      <c r="A6659">
        <v>20180228</v>
      </c>
      <c r="B6659">
        <v>2018</v>
      </c>
      <c r="C6659">
        <v>2</v>
      </c>
      <c r="D6659">
        <v>1</v>
      </c>
      <c r="E6659">
        <v>13600</v>
      </c>
      <c r="F6659">
        <v>379029.03</v>
      </c>
      <c r="G6659">
        <v>0</v>
      </c>
      <c r="H6659">
        <v>0</v>
      </c>
      <c r="I6659">
        <v>0</v>
      </c>
      <c r="J6659">
        <v>0</v>
      </c>
      <c r="K6659">
        <v>0</v>
      </c>
      <c r="L6659">
        <v>45970000</v>
      </c>
      <c r="M6659">
        <v>45970000</v>
      </c>
      <c r="N6659">
        <v>45970000</v>
      </c>
      <c r="O6659">
        <v>45970000</v>
      </c>
      <c r="P6659">
        <v>45970000</v>
      </c>
      <c r="Q6659">
        <v>45970000</v>
      </c>
      <c r="R6659" s="14">
        <f>_xlfn.XLOOKUP(Table2[[#This Row],[LoanID]],Table1[G-L ID],Table1[ManagerCode],-99)</f>
        <v>298</v>
      </c>
      <c r="T6659"/>
    </row>
    <row r="6660" spans="1:20" x14ac:dyDescent="0.25">
      <c r="A6660">
        <v>20180228</v>
      </c>
      <c r="B6660">
        <v>2018</v>
      </c>
      <c r="C6660">
        <v>2</v>
      </c>
      <c r="D6660">
        <v>1</v>
      </c>
      <c r="E6660">
        <v>13610</v>
      </c>
      <c r="F6660">
        <v>63291.67</v>
      </c>
      <c r="G6660">
        <v>0</v>
      </c>
      <c r="H6660">
        <v>0</v>
      </c>
      <c r="I6660">
        <v>0</v>
      </c>
      <c r="J6660">
        <v>0</v>
      </c>
      <c r="K6660">
        <v>0</v>
      </c>
      <c r="L6660">
        <v>10549064</v>
      </c>
      <c r="M6660">
        <v>10549064</v>
      </c>
      <c r="N6660">
        <v>10549064</v>
      </c>
      <c r="O6660">
        <v>10549064</v>
      </c>
      <c r="P6660">
        <v>10500000</v>
      </c>
      <c r="Q6660">
        <v>10500000</v>
      </c>
      <c r="R6660" s="14">
        <f>_xlfn.XLOOKUP(Table2[[#This Row],[LoanID]],Table1[G-L ID],Table1[ManagerCode],-99)</f>
        <v>298</v>
      </c>
      <c r="T6660"/>
    </row>
    <row r="6661" spans="1:20" x14ac:dyDescent="0.25">
      <c r="A6661">
        <v>20180228</v>
      </c>
      <c r="B6661">
        <v>2018</v>
      </c>
      <c r="C6661">
        <v>2</v>
      </c>
      <c r="D6661">
        <v>1</v>
      </c>
      <c r="E6661">
        <v>13620</v>
      </c>
      <c r="F6661">
        <v>331958.33</v>
      </c>
      <c r="G6661">
        <v>0</v>
      </c>
      <c r="H6661">
        <v>0</v>
      </c>
      <c r="I6661">
        <v>0</v>
      </c>
      <c r="J6661">
        <v>0</v>
      </c>
      <c r="K6661">
        <v>0</v>
      </c>
      <c r="L6661">
        <v>49919787</v>
      </c>
      <c r="M6661">
        <v>49919787</v>
      </c>
      <c r="N6661">
        <v>49919787</v>
      </c>
      <c r="O6661">
        <v>49919787</v>
      </c>
      <c r="P6661">
        <v>50000000</v>
      </c>
      <c r="Q6661">
        <v>50000000</v>
      </c>
      <c r="R6661" s="14">
        <f>_xlfn.XLOOKUP(Table2[[#This Row],[LoanID]],Table1[G-L ID],Table1[ManagerCode],-99)</f>
        <v>298</v>
      </c>
      <c r="T6661"/>
    </row>
    <row r="6662" spans="1:20" x14ac:dyDescent="0.25">
      <c r="A6662">
        <v>20180228</v>
      </c>
      <c r="B6662">
        <v>2018</v>
      </c>
      <c r="C6662">
        <v>2</v>
      </c>
      <c r="D6662">
        <v>1</v>
      </c>
      <c r="E6662">
        <v>13630</v>
      </c>
      <c r="F6662">
        <v>197361.11</v>
      </c>
      <c r="G6662">
        <v>0</v>
      </c>
      <c r="H6662">
        <v>0</v>
      </c>
      <c r="I6662">
        <v>0</v>
      </c>
      <c r="J6662">
        <v>0</v>
      </c>
      <c r="K6662">
        <v>0</v>
      </c>
      <c r="L6662">
        <v>35537284.43</v>
      </c>
      <c r="M6662">
        <v>35537284.43</v>
      </c>
      <c r="N6662">
        <v>35537284.43</v>
      </c>
      <c r="O6662">
        <v>35537284.43</v>
      </c>
      <c r="P6662">
        <v>35000000</v>
      </c>
      <c r="Q6662">
        <v>35000000</v>
      </c>
      <c r="R6662" s="14">
        <f>_xlfn.XLOOKUP(Table2[[#This Row],[LoanID]],Table1[G-L ID],Table1[ManagerCode],-99)</f>
        <v>298</v>
      </c>
      <c r="T6662"/>
    </row>
    <row r="6663" spans="1:20" x14ac:dyDescent="0.25">
      <c r="A6663">
        <v>20180228</v>
      </c>
      <c r="B6663">
        <v>2018</v>
      </c>
      <c r="C6663">
        <v>2</v>
      </c>
      <c r="D6663">
        <v>1</v>
      </c>
      <c r="E6663">
        <v>13640</v>
      </c>
      <c r="F6663">
        <v>226983.51</v>
      </c>
      <c r="G6663">
        <v>0</v>
      </c>
      <c r="H6663">
        <v>0</v>
      </c>
      <c r="I6663">
        <v>0</v>
      </c>
      <c r="J6663">
        <v>0</v>
      </c>
      <c r="K6663">
        <v>0</v>
      </c>
      <c r="L6663">
        <v>30282941</v>
      </c>
      <c r="M6663">
        <v>30282941</v>
      </c>
      <c r="N6663">
        <v>30282941</v>
      </c>
      <c r="O6663">
        <v>30282941</v>
      </c>
      <c r="P6663">
        <v>30125000</v>
      </c>
      <c r="Q6663">
        <v>30125000</v>
      </c>
      <c r="R6663" s="14">
        <f>_xlfn.XLOOKUP(Table2[[#This Row],[LoanID]],Table1[G-L ID],Table1[ManagerCode],-99)</f>
        <v>298</v>
      </c>
      <c r="T6663"/>
    </row>
    <row r="6664" spans="1:20" x14ac:dyDescent="0.25">
      <c r="A6664">
        <v>20180228</v>
      </c>
      <c r="B6664">
        <v>2018</v>
      </c>
      <c r="C6664">
        <v>2</v>
      </c>
      <c r="D6664">
        <v>1</v>
      </c>
      <c r="E6664">
        <v>13650</v>
      </c>
      <c r="F6664">
        <v>223888.89</v>
      </c>
      <c r="G6664">
        <v>0</v>
      </c>
      <c r="H6664">
        <v>0</v>
      </c>
      <c r="I6664">
        <v>0</v>
      </c>
      <c r="J6664">
        <v>0</v>
      </c>
      <c r="K6664">
        <v>0</v>
      </c>
      <c r="L6664">
        <v>38811572</v>
      </c>
      <c r="M6664">
        <v>38811572</v>
      </c>
      <c r="N6664">
        <v>38811572</v>
      </c>
      <c r="O6664">
        <v>38811572</v>
      </c>
      <c r="P6664">
        <v>40000000</v>
      </c>
      <c r="Q6664">
        <v>40000000</v>
      </c>
      <c r="R6664" s="14">
        <f>_xlfn.XLOOKUP(Table2[[#This Row],[LoanID]],Table1[G-L ID],Table1[ManagerCode],-99)</f>
        <v>298</v>
      </c>
      <c r="T6664"/>
    </row>
    <row r="6665" spans="1:20" x14ac:dyDescent="0.25">
      <c r="A6665">
        <v>20180228</v>
      </c>
      <c r="B6665">
        <v>2018</v>
      </c>
      <c r="C6665">
        <v>2</v>
      </c>
      <c r="D6665">
        <v>1</v>
      </c>
      <c r="E6665">
        <v>13660</v>
      </c>
      <c r="F6665">
        <v>117972.22</v>
      </c>
      <c r="G6665">
        <v>0</v>
      </c>
      <c r="H6665">
        <v>0</v>
      </c>
      <c r="I6665">
        <v>0</v>
      </c>
      <c r="J6665">
        <v>0</v>
      </c>
      <c r="K6665">
        <v>0</v>
      </c>
      <c r="L6665">
        <v>18948845</v>
      </c>
      <c r="M6665">
        <v>18948845</v>
      </c>
      <c r="N6665">
        <v>18948845</v>
      </c>
      <c r="O6665">
        <v>18948845</v>
      </c>
      <c r="P6665">
        <v>20000000</v>
      </c>
      <c r="Q6665">
        <v>20000000</v>
      </c>
      <c r="R6665" s="14">
        <f>_xlfn.XLOOKUP(Table2[[#This Row],[LoanID]],Table1[G-L ID],Table1[ManagerCode],-99)</f>
        <v>298</v>
      </c>
      <c r="T6665"/>
    </row>
    <row r="6666" spans="1:20" x14ac:dyDescent="0.25">
      <c r="A6666">
        <v>20180228</v>
      </c>
      <c r="B6666">
        <v>2018</v>
      </c>
      <c r="C6666">
        <v>2</v>
      </c>
      <c r="D6666">
        <v>1</v>
      </c>
      <c r="E6666">
        <v>13670</v>
      </c>
      <c r="F6666">
        <v>324854.17</v>
      </c>
      <c r="G6666">
        <v>0</v>
      </c>
      <c r="H6666">
        <v>0</v>
      </c>
      <c r="I6666">
        <v>0</v>
      </c>
      <c r="J6666">
        <v>0</v>
      </c>
      <c r="K6666">
        <v>0</v>
      </c>
      <c r="L6666">
        <v>37539280.890000001</v>
      </c>
      <c r="M6666">
        <v>37539280.890000001</v>
      </c>
      <c r="N6666">
        <v>37539280.890000001</v>
      </c>
      <c r="O6666">
        <v>37539280.890000001</v>
      </c>
      <c r="P6666">
        <v>37500000</v>
      </c>
      <c r="Q6666">
        <v>37500000</v>
      </c>
      <c r="R6666" s="14">
        <f>_xlfn.XLOOKUP(Table2[[#This Row],[LoanID]],Table1[G-L ID],Table1[ManagerCode],-99)</f>
        <v>298</v>
      </c>
      <c r="T6666"/>
    </row>
    <row r="6667" spans="1:20" x14ac:dyDescent="0.25">
      <c r="A6667">
        <v>20180228</v>
      </c>
      <c r="B6667">
        <v>2018</v>
      </c>
      <c r="C6667">
        <v>2</v>
      </c>
      <c r="D6667">
        <v>1</v>
      </c>
      <c r="E6667">
        <v>13680</v>
      </c>
      <c r="F6667">
        <v>156231.14000000001</v>
      </c>
      <c r="G6667">
        <v>0</v>
      </c>
      <c r="H6667">
        <v>0</v>
      </c>
      <c r="I6667">
        <v>0</v>
      </c>
      <c r="J6667">
        <v>0</v>
      </c>
      <c r="K6667">
        <v>19047.990000000002</v>
      </c>
      <c r="L6667">
        <v>17971328.219999999</v>
      </c>
      <c r="M6667">
        <v>17971328.219999999</v>
      </c>
      <c r="N6667">
        <v>17971328.219999999</v>
      </c>
      <c r="O6667">
        <v>17971328.219999999</v>
      </c>
      <c r="P6667">
        <v>17961904.02</v>
      </c>
      <c r="Q6667">
        <v>17942856.030000001</v>
      </c>
      <c r="R6667" s="14">
        <f>_xlfn.XLOOKUP(Table2[[#This Row],[LoanID]],Table1[G-L ID],Table1[ManagerCode],-99)</f>
        <v>298</v>
      </c>
      <c r="T6667"/>
    </row>
    <row r="6668" spans="1:20" x14ac:dyDescent="0.25">
      <c r="A6668">
        <v>20180228</v>
      </c>
      <c r="B6668">
        <v>2018</v>
      </c>
      <c r="C6668">
        <v>2</v>
      </c>
      <c r="D6668">
        <v>1</v>
      </c>
      <c r="E6668">
        <v>13690</v>
      </c>
      <c r="F6668">
        <v>133472.22</v>
      </c>
      <c r="G6668">
        <v>0</v>
      </c>
      <c r="H6668">
        <v>0</v>
      </c>
      <c r="I6668">
        <v>0</v>
      </c>
      <c r="J6668">
        <v>0</v>
      </c>
      <c r="K6668">
        <v>0</v>
      </c>
      <c r="L6668">
        <v>19779539.27</v>
      </c>
      <c r="M6668">
        <v>19779539.27</v>
      </c>
      <c r="N6668">
        <v>19779539.27</v>
      </c>
      <c r="O6668">
        <v>19779539.27</v>
      </c>
      <c r="P6668">
        <v>20000000</v>
      </c>
      <c r="Q6668">
        <v>20000000</v>
      </c>
      <c r="R6668" s="14">
        <f>_xlfn.XLOOKUP(Table2[[#This Row],[LoanID]],Table1[G-L ID],Table1[ManagerCode],-99)</f>
        <v>298</v>
      </c>
      <c r="T6668"/>
    </row>
    <row r="6669" spans="1:20" x14ac:dyDescent="0.25">
      <c r="A6669">
        <v>20180228</v>
      </c>
      <c r="B6669">
        <v>2018</v>
      </c>
      <c r="C6669">
        <v>2</v>
      </c>
      <c r="D6669">
        <v>1</v>
      </c>
      <c r="E6669">
        <v>14670</v>
      </c>
      <c r="F6669">
        <v>76821.97</v>
      </c>
      <c r="G6669">
        <v>0</v>
      </c>
      <c r="H6669">
        <v>0</v>
      </c>
      <c r="I6669">
        <v>0</v>
      </c>
      <c r="J6669">
        <v>0</v>
      </c>
      <c r="K6669">
        <v>0</v>
      </c>
      <c r="L6669">
        <v>29636184</v>
      </c>
      <c r="M6669">
        <v>29636184</v>
      </c>
      <c r="N6669">
        <v>8587934</v>
      </c>
      <c r="O6669">
        <v>8587934</v>
      </c>
      <c r="P6669">
        <v>29500000</v>
      </c>
      <c r="Q6669">
        <v>29500000</v>
      </c>
      <c r="R6669" s="14">
        <f>_xlfn.XLOOKUP(Table2[[#This Row],[LoanID]],Table1[G-L ID],Table1[ManagerCode],-99)</f>
        <v>220</v>
      </c>
      <c r="T6669"/>
    </row>
    <row r="6670" spans="1:20" x14ac:dyDescent="0.25">
      <c r="A6670">
        <v>20180228</v>
      </c>
      <c r="B6670">
        <v>2018</v>
      </c>
      <c r="C6670">
        <v>2</v>
      </c>
      <c r="D6670">
        <v>1</v>
      </c>
      <c r="E6670">
        <v>14680</v>
      </c>
      <c r="F6670">
        <v>48620.25</v>
      </c>
      <c r="G6670">
        <v>0</v>
      </c>
      <c r="H6670">
        <v>0</v>
      </c>
      <c r="I6670">
        <v>0</v>
      </c>
      <c r="J6670">
        <v>0</v>
      </c>
      <c r="K6670">
        <v>0</v>
      </c>
      <c r="L6670">
        <v>27000000</v>
      </c>
      <c r="M6670">
        <v>27000000</v>
      </c>
      <c r="N6670">
        <v>6750000</v>
      </c>
      <c r="O6670">
        <v>6750000</v>
      </c>
      <c r="P6670">
        <v>27000000</v>
      </c>
      <c r="Q6670">
        <v>27000000</v>
      </c>
      <c r="R6670" s="14">
        <f>_xlfn.XLOOKUP(Table2[[#This Row],[LoanID]],Table1[G-L ID],Table1[ManagerCode],-99)</f>
        <v>220</v>
      </c>
      <c r="T6670"/>
    </row>
    <row r="6671" spans="1:20" x14ac:dyDescent="0.25">
      <c r="A6671">
        <v>20180228</v>
      </c>
      <c r="B6671">
        <v>2018</v>
      </c>
      <c r="C6671">
        <v>2</v>
      </c>
      <c r="D6671">
        <v>1</v>
      </c>
      <c r="E6671">
        <v>14790</v>
      </c>
      <c r="F6671">
        <v>289423.23</v>
      </c>
      <c r="G6671">
        <v>0</v>
      </c>
      <c r="H6671">
        <v>0</v>
      </c>
      <c r="I6671">
        <v>0</v>
      </c>
      <c r="J6671">
        <v>0</v>
      </c>
      <c r="K6671">
        <v>0</v>
      </c>
      <c r="L6671">
        <v>69200000</v>
      </c>
      <c r="M6671">
        <v>69200000</v>
      </c>
      <c r="N6671">
        <v>69200000</v>
      </c>
      <c r="O6671">
        <v>69200000</v>
      </c>
      <c r="P6671">
        <v>69200000</v>
      </c>
      <c r="Q6671">
        <v>69200000</v>
      </c>
      <c r="R6671" s="14">
        <f>_xlfn.XLOOKUP(Table2[[#This Row],[LoanID]],Table1[G-L ID],Table1[ManagerCode],-99)</f>
        <v>220</v>
      </c>
      <c r="T6671"/>
    </row>
    <row r="6672" spans="1:20" x14ac:dyDescent="0.25">
      <c r="A6672">
        <v>20180228</v>
      </c>
      <c r="B6672">
        <v>2018</v>
      </c>
      <c r="C6672">
        <v>2</v>
      </c>
      <c r="D6672">
        <v>1</v>
      </c>
      <c r="E6672">
        <v>15030</v>
      </c>
      <c r="F6672">
        <v>77532.63</v>
      </c>
      <c r="G6672">
        <v>0</v>
      </c>
      <c r="H6672">
        <v>0</v>
      </c>
      <c r="I6672">
        <v>0</v>
      </c>
      <c r="J6672">
        <v>-123791.9</v>
      </c>
      <c r="K6672">
        <v>0</v>
      </c>
      <c r="L6672">
        <v>36733883.979999997</v>
      </c>
      <c r="M6672">
        <v>36857675.880000003</v>
      </c>
      <c r="N6672">
        <v>12904547.199999999</v>
      </c>
      <c r="O6672">
        <v>13028339.1</v>
      </c>
      <c r="P6672">
        <v>36733883.979999997</v>
      </c>
      <c r="Q6672">
        <v>36857675.880000003</v>
      </c>
      <c r="R6672" s="14">
        <f>_xlfn.XLOOKUP(Table2[[#This Row],[LoanID]],Table1[G-L ID],Table1[ManagerCode],-99)</f>
        <v>220</v>
      </c>
      <c r="T6672"/>
    </row>
    <row r="6673" spans="1:20" x14ac:dyDescent="0.25">
      <c r="A6673">
        <v>20180228</v>
      </c>
      <c r="B6673">
        <v>2018</v>
      </c>
      <c r="C6673">
        <v>2</v>
      </c>
      <c r="D6673">
        <v>1</v>
      </c>
      <c r="E6673">
        <v>15540</v>
      </c>
      <c r="F6673">
        <v>253483.13</v>
      </c>
      <c r="G6673">
        <v>-23591.46</v>
      </c>
      <c r="H6673">
        <v>0</v>
      </c>
      <c r="I6673">
        <v>-2260.42</v>
      </c>
      <c r="J6673">
        <v>0</v>
      </c>
      <c r="K6673">
        <v>0</v>
      </c>
      <c r="L6673">
        <v>52753483.130000003</v>
      </c>
      <c r="M6673">
        <v>52729891.670000002</v>
      </c>
      <c r="N6673">
        <v>52753483.130000003</v>
      </c>
      <c r="O6673">
        <v>52729891.670000002</v>
      </c>
      <c r="P6673">
        <v>52753483.130000003</v>
      </c>
      <c r="Q6673">
        <v>52729891.670000002</v>
      </c>
      <c r="R6673" s="14">
        <f>_xlfn.XLOOKUP(Table2[[#This Row],[LoanID]],Table1[G-L ID],Table1[ManagerCode],-99)</f>
        <v>212</v>
      </c>
      <c r="T6673"/>
    </row>
    <row r="6674" spans="1:20" x14ac:dyDescent="0.25">
      <c r="A6674">
        <v>20180228</v>
      </c>
      <c r="B6674">
        <v>2018</v>
      </c>
      <c r="C6674">
        <v>2</v>
      </c>
      <c r="D6674">
        <v>1</v>
      </c>
      <c r="E6674">
        <v>15580</v>
      </c>
      <c r="F6674">
        <v>116285.67</v>
      </c>
      <c r="G6674">
        <v>-11304.64</v>
      </c>
      <c r="H6674">
        <v>0</v>
      </c>
      <c r="I6674">
        <v>0</v>
      </c>
      <c r="J6674">
        <v>0</v>
      </c>
      <c r="K6674">
        <v>7115.64</v>
      </c>
      <c r="L6674">
        <v>14715358.83</v>
      </c>
      <c r="M6674">
        <v>14696938.550000001</v>
      </c>
      <c r="N6674">
        <v>14715358.83</v>
      </c>
      <c r="O6674">
        <v>14696938.550000001</v>
      </c>
      <c r="P6674">
        <v>14715358.83</v>
      </c>
      <c r="Q6674">
        <v>14696938.550000001</v>
      </c>
      <c r="R6674" s="14">
        <f>_xlfn.XLOOKUP(Table2[[#This Row],[LoanID]],Table1[G-L ID],Table1[ManagerCode],-99)</f>
        <v>212</v>
      </c>
      <c r="T6674"/>
    </row>
    <row r="6675" spans="1:20" x14ac:dyDescent="0.25">
      <c r="A6675">
        <v>20180228</v>
      </c>
      <c r="B6675">
        <v>2018</v>
      </c>
      <c r="C6675">
        <v>2</v>
      </c>
      <c r="D6675">
        <v>1</v>
      </c>
      <c r="E6675">
        <v>15620</v>
      </c>
      <c r="F6675">
        <v>296003.5</v>
      </c>
      <c r="G6675">
        <v>-27250.17</v>
      </c>
      <c r="H6675">
        <v>0</v>
      </c>
      <c r="I6675">
        <v>-3358.33</v>
      </c>
      <c r="J6675">
        <v>0</v>
      </c>
      <c r="K6675">
        <v>0</v>
      </c>
      <c r="L6675">
        <v>78296003.5</v>
      </c>
      <c r="M6675">
        <v>78268753.329999998</v>
      </c>
      <c r="N6675">
        <v>78296003.5</v>
      </c>
      <c r="O6675">
        <v>78268753.329999998</v>
      </c>
      <c r="P6675">
        <v>78296003.5</v>
      </c>
      <c r="Q6675">
        <v>78268753.329999998</v>
      </c>
      <c r="R6675" s="14">
        <f>_xlfn.XLOOKUP(Table2[[#This Row],[LoanID]],Table1[G-L ID],Table1[ManagerCode],-99)</f>
        <v>212</v>
      </c>
      <c r="T6675"/>
    </row>
    <row r="6676" spans="1:20" x14ac:dyDescent="0.25">
      <c r="A6676">
        <v>20180331</v>
      </c>
      <c r="B6676">
        <v>2018</v>
      </c>
      <c r="C6676">
        <v>3</v>
      </c>
      <c r="D6676">
        <v>1</v>
      </c>
      <c r="E6676">
        <v>10010</v>
      </c>
      <c r="F6676">
        <v>167624.74</v>
      </c>
      <c r="G6676">
        <v>0</v>
      </c>
      <c r="H6676">
        <v>0</v>
      </c>
      <c r="I6676">
        <v>0</v>
      </c>
      <c r="J6676">
        <v>35561.379999999997</v>
      </c>
      <c r="K6676">
        <v>0</v>
      </c>
      <c r="L6676">
        <v>17534929.530000001</v>
      </c>
      <c r="M6676">
        <v>17499368.149999999</v>
      </c>
      <c r="N6676">
        <v>17534929.530000001</v>
      </c>
      <c r="O6676">
        <v>17499368.149999999</v>
      </c>
      <c r="P6676">
        <v>17534929.530000001</v>
      </c>
      <c r="Q6676">
        <v>17499368.149999999</v>
      </c>
      <c r="R6676" s="14">
        <f>_xlfn.XLOOKUP(Table2[[#This Row],[LoanID]],Table1[G-L ID],Table1[ManagerCode],-99)</f>
        <v>119</v>
      </c>
      <c r="T6676"/>
    </row>
    <row r="6677" spans="1:20" x14ac:dyDescent="0.25">
      <c r="A6677">
        <v>20180331</v>
      </c>
      <c r="B6677">
        <v>2018</v>
      </c>
      <c r="C6677">
        <v>3</v>
      </c>
      <c r="D6677">
        <v>1</v>
      </c>
      <c r="E6677">
        <v>10030</v>
      </c>
      <c r="F6677">
        <v>76123.92</v>
      </c>
      <c r="G6677">
        <v>0</v>
      </c>
      <c r="H6677">
        <v>0</v>
      </c>
      <c r="I6677">
        <v>0</v>
      </c>
      <c r="J6677">
        <v>0</v>
      </c>
      <c r="K6677">
        <v>0</v>
      </c>
      <c r="L6677">
        <v>8278940.8700000001</v>
      </c>
      <c r="M6677">
        <v>8278940.8700000001</v>
      </c>
      <c r="N6677">
        <v>8278940.8700000001</v>
      </c>
      <c r="O6677">
        <v>8278940.8700000001</v>
      </c>
      <c r="P6677">
        <v>8278940.8700000001</v>
      </c>
      <c r="Q6677">
        <v>8278940.8700000001</v>
      </c>
      <c r="R6677" s="14">
        <f>_xlfn.XLOOKUP(Table2[[#This Row],[LoanID]],Table1[G-L ID],Table1[ManagerCode],-99)</f>
        <v>119</v>
      </c>
      <c r="T6677"/>
    </row>
    <row r="6678" spans="1:20" x14ac:dyDescent="0.25">
      <c r="A6678">
        <v>20180331</v>
      </c>
      <c r="B6678">
        <v>2018</v>
      </c>
      <c r="C6678">
        <v>3</v>
      </c>
      <c r="D6678">
        <v>1</v>
      </c>
      <c r="E6678">
        <v>10040</v>
      </c>
      <c r="F6678">
        <v>53190</v>
      </c>
      <c r="G6678">
        <v>0</v>
      </c>
      <c r="H6678">
        <v>50000</v>
      </c>
      <c r="I6678">
        <v>0</v>
      </c>
      <c r="J6678">
        <v>0</v>
      </c>
      <c r="K6678">
        <v>5000000</v>
      </c>
      <c r="L6678">
        <v>5000000</v>
      </c>
      <c r="M6678">
        <v>0</v>
      </c>
      <c r="N6678">
        <v>5000000</v>
      </c>
      <c r="O6678">
        <v>0</v>
      </c>
      <c r="P6678">
        <v>5000000</v>
      </c>
      <c r="Q6678">
        <v>0</v>
      </c>
      <c r="R6678" s="14">
        <f>_xlfn.XLOOKUP(Table2[[#This Row],[LoanID]],Table1[G-L ID],Table1[ManagerCode],-99)</f>
        <v>119</v>
      </c>
      <c r="T6678"/>
    </row>
    <row r="6679" spans="1:20" x14ac:dyDescent="0.25">
      <c r="A6679">
        <v>20180331</v>
      </c>
      <c r="B6679">
        <v>2018</v>
      </c>
      <c r="C6679">
        <v>3</v>
      </c>
      <c r="D6679">
        <v>1</v>
      </c>
      <c r="E6679">
        <v>10050</v>
      </c>
      <c r="F6679">
        <v>139079.63</v>
      </c>
      <c r="G6679">
        <v>0</v>
      </c>
      <c r="H6679">
        <v>0</v>
      </c>
      <c r="I6679">
        <v>-69.44</v>
      </c>
      <c r="J6679">
        <v>0</v>
      </c>
      <c r="K6679">
        <v>0</v>
      </c>
      <c r="L6679">
        <v>35861816.100000001</v>
      </c>
      <c r="M6679">
        <v>36254709.25</v>
      </c>
      <c r="N6679">
        <v>35861816.100000001</v>
      </c>
      <c r="O6679">
        <v>36254709.25</v>
      </c>
      <c r="P6679">
        <v>33333334</v>
      </c>
      <c r="Q6679">
        <v>33333334</v>
      </c>
      <c r="R6679" s="14">
        <f>_xlfn.XLOOKUP(Table2[[#This Row],[LoanID]],Table1[G-L ID],Table1[ManagerCode],-99)</f>
        <v>103</v>
      </c>
      <c r="T6679"/>
    </row>
    <row r="6680" spans="1:20" x14ac:dyDescent="0.25">
      <c r="A6680">
        <v>20180331</v>
      </c>
      <c r="B6680">
        <v>2018</v>
      </c>
      <c r="C6680">
        <v>3</v>
      </c>
      <c r="D6680">
        <v>1</v>
      </c>
      <c r="E6680">
        <v>10070</v>
      </c>
      <c r="F6680">
        <v>55269.72</v>
      </c>
      <c r="G6680">
        <v>0</v>
      </c>
      <c r="H6680">
        <v>0</v>
      </c>
      <c r="I6680">
        <v>0</v>
      </c>
      <c r="J6680">
        <v>0</v>
      </c>
      <c r="K6680">
        <v>0</v>
      </c>
      <c r="L6680">
        <v>5875000</v>
      </c>
      <c r="M6680">
        <v>5875000</v>
      </c>
      <c r="N6680">
        <v>5875000</v>
      </c>
      <c r="O6680">
        <v>5875000</v>
      </c>
      <c r="P6680">
        <v>5875000</v>
      </c>
      <c r="Q6680">
        <v>5875000</v>
      </c>
      <c r="R6680" s="14">
        <f>_xlfn.XLOOKUP(Table2[[#This Row],[LoanID]],Table1[G-L ID],Table1[ManagerCode],-99)</f>
        <v>119</v>
      </c>
      <c r="T6680"/>
    </row>
    <row r="6681" spans="1:20" x14ac:dyDescent="0.25">
      <c r="A6681">
        <v>20180331</v>
      </c>
      <c r="B6681">
        <v>2018</v>
      </c>
      <c r="C6681">
        <v>3</v>
      </c>
      <c r="D6681">
        <v>1</v>
      </c>
      <c r="E6681">
        <v>10110</v>
      </c>
      <c r="F6681">
        <v>142836.71</v>
      </c>
      <c r="G6681">
        <v>0</v>
      </c>
      <c r="H6681">
        <v>0</v>
      </c>
      <c r="I6681">
        <v>0</v>
      </c>
      <c r="J6681">
        <v>0</v>
      </c>
      <c r="K6681">
        <v>0</v>
      </c>
      <c r="L6681">
        <v>16400000</v>
      </c>
      <c r="M6681">
        <v>16400000</v>
      </c>
      <c r="N6681">
        <v>16400000</v>
      </c>
      <c r="O6681">
        <v>16400000</v>
      </c>
      <c r="P6681">
        <v>16400000</v>
      </c>
      <c r="Q6681">
        <v>16400000</v>
      </c>
      <c r="R6681" s="14">
        <f>_xlfn.XLOOKUP(Table2[[#This Row],[LoanID]],Table1[G-L ID],Table1[ManagerCode],-99)</f>
        <v>119</v>
      </c>
      <c r="T6681"/>
    </row>
    <row r="6682" spans="1:20" x14ac:dyDescent="0.25">
      <c r="A6682">
        <v>20180331</v>
      </c>
      <c r="B6682">
        <v>2018</v>
      </c>
      <c r="C6682">
        <v>3</v>
      </c>
      <c r="D6682">
        <v>1</v>
      </c>
      <c r="E6682">
        <v>10220</v>
      </c>
      <c r="F6682">
        <v>505555.56</v>
      </c>
      <c r="G6682">
        <v>0</v>
      </c>
      <c r="H6682">
        <v>0</v>
      </c>
      <c r="I6682">
        <v>0</v>
      </c>
      <c r="J6682">
        <v>0</v>
      </c>
      <c r="K6682">
        <v>0</v>
      </c>
      <c r="L6682">
        <v>110153371.2</v>
      </c>
      <c r="M6682">
        <v>110639911.7</v>
      </c>
      <c r="N6682">
        <v>110153371.2</v>
      </c>
      <c r="O6682">
        <v>110639911.7</v>
      </c>
      <c r="P6682">
        <v>100000000</v>
      </c>
      <c r="Q6682">
        <v>100000000</v>
      </c>
      <c r="R6682" s="14">
        <f>_xlfn.XLOOKUP(Table2[[#This Row],[LoanID]],Table1[G-L ID],Table1[ManagerCode],-99)</f>
        <v>103</v>
      </c>
      <c r="T6682"/>
    </row>
    <row r="6683" spans="1:20" x14ac:dyDescent="0.25">
      <c r="A6683">
        <v>20180331</v>
      </c>
      <c r="B6683">
        <v>2018</v>
      </c>
      <c r="C6683">
        <v>3</v>
      </c>
      <c r="D6683">
        <v>1</v>
      </c>
      <c r="E6683">
        <v>10250</v>
      </c>
      <c r="F6683">
        <v>50042.22</v>
      </c>
      <c r="G6683">
        <v>0</v>
      </c>
      <c r="H6683">
        <v>0</v>
      </c>
      <c r="I6683">
        <v>0</v>
      </c>
      <c r="J6683">
        <v>0</v>
      </c>
      <c r="K6683">
        <v>0</v>
      </c>
      <c r="L6683">
        <v>5000000</v>
      </c>
      <c r="M6683">
        <v>5000000</v>
      </c>
      <c r="N6683">
        <v>5000000</v>
      </c>
      <c r="O6683">
        <v>5000000</v>
      </c>
      <c r="P6683">
        <v>5000000</v>
      </c>
      <c r="Q6683">
        <v>5000000</v>
      </c>
      <c r="R6683" s="14">
        <f>_xlfn.XLOOKUP(Table2[[#This Row],[LoanID]],Table1[G-L ID],Table1[ManagerCode],-99)</f>
        <v>119</v>
      </c>
      <c r="T6683"/>
    </row>
    <row r="6684" spans="1:20" x14ac:dyDescent="0.25">
      <c r="A6684">
        <v>20180331</v>
      </c>
      <c r="B6684">
        <v>2018</v>
      </c>
      <c r="C6684">
        <v>3</v>
      </c>
      <c r="D6684">
        <v>1</v>
      </c>
      <c r="E6684">
        <v>10270</v>
      </c>
      <c r="F6684">
        <v>44552</v>
      </c>
      <c r="G6684">
        <v>0</v>
      </c>
      <c r="H6684">
        <v>0</v>
      </c>
      <c r="I6684">
        <v>0</v>
      </c>
      <c r="J6684">
        <v>0</v>
      </c>
      <c r="K6684">
        <v>0</v>
      </c>
      <c r="L6684">
        <v>4500000</v>
      </c>
      <c r="M6684">
        <v>4500000</v>
      </c>
      <c r="N6684">
        <v>4500000</v>
      </c>
      <c r="O6684">
        <v>4500000</v>
      </c>
      <c r="P6684">
        <v>4500000</v>
      </c>
      <c r="Q6684">
        <v>4500000</v>
      </c>
      <c r="R6684" s="14">
        <f>_xlfn.XLOOKUP(Table2[[#This Row],[LoanID]],Table1[G-L ID],Table1[ManagerCode],-99)</f>
        <v>119</v>
      </c>
      <c r="T6684"/>
    </row>
    <row r="6685" spans="1:20" x14ac:dyDescent="0.25">
      <c r="A6685">
        <v>20180331</v>
      </c>
      <c r="B6685">
        <v>2018</v>
      </c>
      <c r="C6685">
        <v>3</v>
      </c>
      <c r="D6685">
        <v>1</v>
      </c>
      <c r="E6685">
        <v>10330</v>
      </c>
      <c r="F6685">
        <v>69110.559999999998</v>
      </c>
      <c r="G6685">
        <v>0</v>
      </c>
      <c r="H6685">
        <v>0</v>
      </c>
      <c r="I6685">
        <v>0</v>
      </c>
      <c r="J6685">
        <v>0</v>
      </c>
      <c r="K6685">
        <v>0</v>
      </c>
      <c r="L6685">
        <v>8652759.6999999993</v>
      </c>
      <c r="M6685">
        <v>8652759.6999999993</v>
      </c>
      <c r="N6685">
        <v>8652759.6999999993</v>
      </c>
      <c r="O6685">
        <v>8652759.6999999993</v>
      </c>
      <c r="P6685">
        <v>8652759.6999999993</v>
      </c>
      <c r="Q6685">
        <v>8652759.6999999993</v>
      </c>
      <c r="R6685" s="14">
        <f>_xlfn.XLOOKUP(Table2[[#This Row],[LoanID]],Table1[G-L ID],Table1[ManagerCode],-99)</f>
        <v>119</v>
      </c>
      <c r="T6685"/>
    </row>
    <row r="6686" spans="1:20" x14ac:dyDescent="0.25">
      <c r="A6686">
        <v>20180331</v>
      </c>
      <c r="B6686">
        <v>2018</v>
      </c>
      <c r="C6686">
        <v>3</v>
      </c>
      <c r="D6686">
        <v>1</v>
      </c>
      <c r="E6686">
        <v>10350</v>
      </c>
      <c r="F6686">
        <v>179627.78</v>
      </c>
      <c r="G6686">
        <v>0</v>
      </c>
      <c r="H6686">
        <v>0</v>
      </c>
      <c r="I6686">
        <v>0</v>
      </c>
      <c r="J6686">
        <v>0</v>
      </c>
      <c r="K6686">
        <v>0</v>
      </c>
      <c r="L6686">
        <v>24800000</v>
      </c>
      <c r="M6686">
        <v>24800000</v>
      </c>
      <c r="N6686">
        <v>24800000</v>
      </c>
      <c r="O6686">
        <v>24800000</v>
      </c>
      <c r="P6686">
        <v>24800000</v>
      </c>
      <c r="Q6686">
        <v>24800000</v>
      </c>
      <c r="R6686" s="14">
        <f>_xlfn.XLOOKUP(Table2[[#This Row],[LoanID]],Table1[G-L ID],Table1[ManagerCode],-99)</f>
        <v>220</v>
      </c>
      <c r="T6686"/>
    </row>
    <row r="6687" spans="1:20" x14ac:dyDescent="0.25">
      <c r="A6687">
        <v>20180331</v>
      </c>
      <c r="B6687">
        <v>2018</v>
      </c>
      <c r="C6687">
        <v>3</v>
      </c>
      <c r="D6687">
        <v>1</v>
      </c>
      <c r="E6687">
        <v>10360</v>
      </c>
      <c r="F6687">
        <v>57858.96</v>
      </c>
      <c r="G6687">
        <v>0</v>
      </c>
      <c r="H6687">
        <v>0</v>
      </c>
      <c r="I6687">
        <v>0</v>
      </c>
      <c r="J6687">
        <v>0</v>
      </c>
      <c r="K6687">
        <v>0</v>
      </c>
      <c r="L6687">
        <v>5909000</v>
      </c>
      <c r="M6687">
        <v>5909000</v>
      </c>
      <c r="N6687">
        <v>5909000</v>
      </c>
      <c r="O6687">
        <v>5909000</v>
      </c>
      <c r="P6687">
        <v>5909000</v>
      </c>
      <c r="Q6687">
        <v>5909000</v>
      </c>
      <c r="R6687" s="14">
        <f>_xlfn.XLOOKUP(Table2[[#This Row],[LoanID]],Table1[G-L ID],Table1[ManagerCode],-99)</f>
        <v>183</v>
      </c>
      <c r="T6687"/>
    </row>
    <row r="6688" spans="1:20" x14ac:dyDescent="0.25">
      <c r="A6688">
        <v>20180331</v>
      </c>
      <c r="B6688">
        <v>2018</v>
      </c>
      <c r="C6688">
        <v>3</v>
      </c>
      <c r="D6688">
        <v>1</v>
      </c>
      <c r="E6688">
        <v>10480</v>
      </c>
      <c r="F6688">
        <v>128376</v>
      </c>
      <c r="G6688">
        <v>0</v>
      </c>
      <c r="H6688">
        <v>0</v>
      </c>
      <c r="I6688">
        <v>0</v>
      </c>
      <c r="J6688">
        <v>-123440.3</v>
      </c>
      <c r="K6688">
        <v>0</v>
      </c>
      <c r="L6688">
        <v>18000000</v>
      </c>
      <c r="M6688">
        <v>18123440.300000001</v>
      </c>
      <c r="N6688">
        <v>18000000</v>
      </c>
      <c r="O6688">
        <v>18123440.300000001</v>
      </c>
      <c r="P6688">
        <v>18000000</v>
      </c>
      <c r="Q6688">
        <v>18123440.300000001</v>
      </c>
      <c r="R6688" s="14">
        <f>_xlfn.XLOOKUP(Table2[[#This Row],[LoanID]],Table1[G-L ID],Table1[ManagerCode],-99)</f>
        <v>119</v>
      </c>
      <c r="T6688"/>
    </row>
    <row r="6689" spans="1:20" x14ac:dyDescent="0.25">
      <c r="A6689">
        <v>20180331</v>
      </c>
      <c r="B6689">
        <v>2018</v>
      </c>
      <c r="C6689">
        <v>3</v>
      </c>
      <c r="D6689">
        <v>1</v>
      </c>
      <c r="E6689">
        <v>10620</v>
      </c>
      <c r="F6689">
        <v>113692.8</v>
      </c>
      <c r="G6689">
        <v>0</v>
      </c>
      <c r="H6689">
        <v>0</v>
      </c>
      <c r="I6689">
        <v>0</v>
      </c>
      <c r="J6689">
        <v>0</v>
      </c>
      <c r="K6689">
        <v>0</v>
      </c>
      <c r="L6689">
        <v>11951308.810000001</v>
      </c>
      <c r="M6689">
        <v>11951308.810000001</v>
      </c>
      <c r="N6689">
        <v>11951308.810000001</v>
      </c>
      <c r="O6689">
        <v>11951308.810000001</v>
      </c>
      <c r="P6689">
        <v>11951308.810000001</v>
      </c>
      <c r="Q6689">
        <v>11951308.810000001</v>
      </c>
      <c r="R6689" s="14">
        <f>_xlfn.XLOOKUP(Table2[[#This Row],[LoanID]],Table1[G-L ID],Table1[ManagerCode],-99)</f>
        <v>119</v>
      </c>
      <c r="T6689"/>
    </row>
    <row r="6690" spans="1:20" x14ac:dyDescent="0.25">
      <c r="A6690">
        <v>20180331</v>
      </c>
      <c r="B6690">
        <v>2018</v>
      </c>
      <c r="C6690">
        <v>3</v>
      </c>
      <c r="D6690">
        <v>1</v>
      </c>
      <c r="E6690">
        <v>10730</v>
      </c>
      <c r="F6690">
        <v>98487.55</v>
      </c>
      <c r="G6690">
        <v>0</v>
      </c>
      <c r="H6690">
        <v>0</v>
      </c>
      <c r="I6690">
        <v>0</v>
      </c>
      <c r="J6690">
        <v>0</v>
      </c>
      <c r="K6690">
        <v>0</v>
      </c>
      <c r="L6690">
        <v>9500000</v>
      </c>
      <c r="M6690">
        <v>9500000</v>
      </c>
      <c r="N6690">
        <v>9500000</v>
      </c>
      <c r="O6690">
        <v>9500000</v>
      </c>
      <c r="P6690">
        <v>9500000</v>
      </c>
      <c r="Q6690">
        <v>9500000</v>
      </c>
      <c r="R6690" s="14">
        <f>_xlfn.XLOOKUP(Table2[[#This Row],[LoanID]],Table1[G-L ID],Table1[ManagerCode],-99)</f>
        <v>119</v>
      </c>
      <c r="T6690"/>
    </row>
    <row r="6691" spans="1:20" x14ac:dyDescent="0.25">
      <c r="A6691">
        <v>20180331</v>
      </c>
      <c r="B6691">
        <v>2018</v>
      </c>
      <c r="C6691">
        <v>3</v>
      </c>
      <c r="D6691">
        <v>1</v>
      </c>
      <c r="E6691">
        <v>10750</v>
      </c>
      <c r="F6691">
        <v>76262.55</v>
      </c>
      <c r="G6691">
        <v>0</v>
      </c>
      <c r="H6691">
        <v>0</v>
      </c>
      <c r="I6691">
        <v>0</v>
      </c>
      <c r="J6691">
        <v>0</v>
      </c>
      <c r="K6691">
        <v>0</v>
      </c>
      <c r="L6691">
        <v>8757259.9600000009</v>
      </c>
      <c r="M6691">
        <v>8757259.9600000009</v>
      </c>
      <c r="N6691">
        <v>8757259.9600000009</v>
      </c>
      <c r="O6691">
        <v>8757259.9600000009</v>
      </c>
      <c r="P6691">
        <v>8757259.9600000009</v>
      </c>
      <c r="Q6691">
        <v>8757259.9600000009</v>
      </c>
      <c r="R6691" s="14">
        <f>_xlfn.XLOOKUP(Table2[[#This Row],[LoanID]],Table1[G-L ID],Table1[ManagerCode],-99)</f>
        <v>119</v>
      </c>
      <c r="T6691"/>
    </row>
    <row r="6692" spans="1:20" x14ac:dyDescent="0.25">
      <c r="A6692">
        <v>20180331</v>
      </c>
      <c r="B6692">
        <v>2018</v>
      </c>
      <c r="C6692">
        <v>3</v>
      </c>
      <c r="D6692">
        <v>1</v>
      </c>
      <c r="E6692">
        <v>10790</v>
      </c>
      <c r="F6692">
        <v>22987.26</v>
      </c>
      <c r="G6692">
        <v>0</v>
      </c>
      <c r="H6692">
        <v>0</v>
      </c>
      <c r="I6692">
        <v>0</v>
      </c>
      <c r="J6692">
        <v>0</v>
      </c>
      <c r="K6692">
        <v>46480.99</v>
      </c>
      <c r="L6692">
        <v>5080375.22</v>
      </c>
      <c r="M6692">
        <v>5030977.8</v>
      </c>
      <c r="N6692">
        <v>5080375.22</v>
      </c>
      <c r="O6692">
        <v>5030977.8</v>
      </c>
      <c r="P6692">
        <v>4908311.83</v>
      </c>
      <c r="Q6692">
        <v>4861830.84</v>
      </c>
      <c r="R6692" s="14">
        <f>_xlfn.XLOOKUP(Table2[[#This Row],[LoanID]],Table1[G-L ID],Table1[ManagerCode],-99)</f>
        <v>103</v>
      </c>
      <c r="T6692"/>
    </row>
    <row r="6693" spans="1:20" x14ac:dyDescent="0.25">
      <c r="A6693">
        <v>20180331</v>
      </c>
      <c r="B6693">
        <v>2018</v>
      </c>
      <c r="C6693">
        <v>3</v>
      </c>
      <c r="D6693">
        <v>1</v>
      </c>
      <c r="E6693">
        <v>10810</v>
      </c>
      <c r="F6693">
        <v>86760.68</v>
      </c>
      <c r="G6693">
        <v>0</v>
      </c>
      <c r="H6693">
        <v>0</v>
      </c>
      <c r="I6693">
        <v>0</v>
      </c>
      <c r="J6693">
        <v>0</v>
      </c>
      <c r="K6693">
        <v>0</v>
      </c>
      <c r="L6693">
        <v>9332088.0199999996</v>
      </c>
      <c r="M6693">
        <v>9332088.0199999996</v>
      </c>
      <c r="N6693">
        <v>9332088.0199999996</v>
      </c>
      <c r="O6693">
        <v>9332088.0199999996</v>
      </c>
      <c r="P6693">
        <v>9332088.0199999996</v>
      </c>
      <c r="Q6693">
        <v>9332088.0199999996</v>
      </c>
      <c r="R6693" s="14">
        <f>_xlfn.XLOOKUP(Table2[[#This Row],[LoanID]],Table1[G-L ID],Table1[ManagerCode],-99)</f>
        <v>119</v>
      </c>
      <c r="T6693"/>
    </row>
    <row r="6694" spans="1:20" x14ac:dyDescent="0.25">
      <c r="A6694">
        <v>20180331</v>
      </c>
      <c r="B6694">
        <v>2018</v>
      </c>
      <c r="C6694">
        <v>3</v>
      </c>
      <c r="D6694">
        <v>1</v>
      </c>
      <c r="E6694">
        <v>10820</v>
      </c>
      <c r="F6694">
        <v>180204.54</v>
      </c>
      <c r="G6694">
        <v>0</v>
      </c>
      <c r="H6694">
        <v>0</v>
      </c>
      <c r="I6694">
        <v>0</v>
      </c>
      <c r="J6694">
        <v>0</v>
      </c>
      <c r="K6694">
        <v>0</v>
      </c>
      <c r="L6694">
        <v>24388584.010000002</v>
      </c>
      <c r="M6694">
        <v>24388584.010000002</v>
      </c>
      <c r="N6694">
        <v>24388584.010000002</v>
      </c>
      <c r="O6694">
        <v>24388584.010000002</v>
      </c>
      <c r="P6694">
        <v>24388584.010000002</v>
      </c>
      <c r="Q6694">
        <v>24388584.010000002</v>
      </c>
      <c r="R6694" s="14">
        <f>_xlfn.XLOOKUP(Table2[[#This Row],[LoanID]],Table1[G-L ID],Table1[ManagerCode],-99)</f>
        <v>220</v>
      </c>
      <c r="T6694"/>
    </row>
    <row r="6695" spans="1:20" x14ac:dyDescent="0.25">
      <c r="A6695">
        <v>20180331</v>
      </c>
      <c r="B6695">
        <v>2018</v>
      </c>
      <c r="C6695">
        <v>3</v>
      </c>
      <c r="D6695">
        <v>1</v>
      </c>
      <c r="E6695">
        <v>10830</v>
      </c>
      <c r="F6695">
        <v>57677.99</v>
      </c>
      <c r="G6695">
        <v>0</v>
      </c>
      <c r="H6695">
        <v>0</v>
      </c>
      <c r="I6695">
        <v>0</v>
      </c>
      <c r="J6695">
        <v>0</v>
      </c>
      <c r="K6695">
        <v>0</v>
      </c>
      <c r="L6695">
        <v>7806043.1399999997</v>
      </c>
      <c r="M6695">
        <v>7806043.1399999997</v>
      </c>
      <c r="N6695">
        <v>7806043.1399999997</v>
      </c>
      <c r="O6695">
        <v>7806043.1399999997</v>
      </c>
      <c r="P6695">
        <v>7806043.1399999997</v>
      </c>
      <c r="Q6695">
        <v>7806043.1399999997</v>
      </c>
      <c r="R6695" s="14">
        <f>_xlfn.XLOOKUP(Table2[[#This Row],[LoanID]],Table1[G-L ID],Table1[ManagerCode],-99)</f>
        <v>220</v>
      </c>
      <c r="T6695"/>
    </row>
    <row r="6696" spans="1:20" x14ac:dyDescent="0.25">
      <c r="A6696">
        <v>20180331</v>
      </c>
      <c r="B6696">
        <v>2018</v>
      </c>
      <c r="C6696">
        <v>3</v>
      </c>
      <c r="D6696">
        <v>1</v>
      </c>
      <c r="E6696">
        <v>10840</v>
      </c>
      <c r="F6696">
        <v>93906.79</v>
      </c>
      <c r="G6696">
        <v>0</v>
      </c>
      <c r="H6696">
        <v>0</v>
      </c>
      <c r="I6696">
        <v>0</v>
      </c>
      <c r="J6696">
        <v>0</v>
      </c>
      <c r="K6696">
        <v>0</v>
      </c>
      <c r="L6696">
        <v>12709189</v>
      </c>
      <c r="M6696">
        <v>12709189</v>
      </c>
      <c r="N6696">
        <v>12709189</v>
      </c>
      <c r="O6696">
        <v>12709189</v>
      </c>
      <c r="P6696">
        <v>12709189</v>
      </c>
      <c r="Q6696">
        <v>12709189</v>
      </c>
      <c r="R6696" s="14">
        <f>_xlfn.XLOOKUP(Table2[[#This Row],[LoanID]],Table1[G-L ID],Table1[ManagerCode],-99)</f>
        <v>220</v>
      </c>
      <c r="T6696"/>
    </row>
    <row r="6697" spans="1:20" x14ac:dyDescent="0.25">
      <c r="A6697">
        <v>20180331</v>
      </c>
      <c r="B6697">
        <v>2018</v>
      </c>
      <c r="C6697">
        <v>3</v>
      </c>
      <c r="D6697">
        <v>1</v>
      </c>
      <c r="E6697">
        <v>10850</v>
      </c>
      <c r="F6697">
        <v>99837.87</v>
      </c>
      <c r="G6697">
        <v>0</v>
      </c>
      <c r="H6697">
        <v>0</v>
      </c>
      <c r="I6697">
        <v>0</v>
      </c>
      <c r="J6697">
        <v>0</v>
      </c>
      <c r="K6697">
        <v>0</v>
      </c>
      <c r="L6697">
        <v>13511892</v>
      </c>
      <c r="M6697">
        <v>13511892</v>
      </c>
      <c r="N6697">
        <v>13511892</v>
      </c>
      <c r="O6697">
        <v>13511892</v>
      </c>
      <c r="P6697">
        <v>13511892</v>
      </c>
      <c r="Q6697">
        <v>13511892</v>
      </c>
      <c r="R6697" s="14">
        <f>_xlfn.XLOOKUP(Table2[[#This Row],[LoanID]],Table1[G-L ID],Table1[ManagerCode],-99)</f>
        <v>220</v>
      </c>
      <c r="T6697"/>
    </row>
    <row r="6698" spans="1:20" x14ac:dyDescent="0.25">
      <c r="A6698">
        <v>20180331</v>
      </c>
      <c r="B6698">
        <v>2018</v>
      </c>
      <c r="C6698">
        <v>3</v>
      </c>
      <c r="D6698">
        <v>1</v>
      </c>
      <c r="E6698">
        <v>10910</v>
      </c>
      <c r="F6698">
        <v>209323.62</v>
      </c>
      <c r="G6698">
        <v>0</v>
      </c>
      <c r="H6698">
        <v>0</v>
      </c>
      <c r="I6698">
        <v>0</v>
      </c>
      <c r="J6698">
        <v>0</v>
      </c>
      <c r="K6698">
        <v>10762500</v>
      </c>
      <c r="L6698">
        <v>18750000</v>
      </c>
      <c r="M6698">
        <v>7987500</v>
      </c>
      <c r="N6698">
        <v>18750000</v>
      </c>
      <c r="O6698">
        <v>7987500</v>
      </c>
      <c r="P6698">
        <v>18750000</v>
      </c>
      <c r="Q6698">
        <v>7987500</v>
      </c>
      <c r="R6698" s="14">
        <f>_xlfn.XLOOKUP(Table2[[#This Row],[LoanID]],Table1[G-L ID],Table1[ManagerCode],-99)</f>
        <v>119</v>
      </c>
      <c r="T6698"/>
    </row>
    <row r="6699" spans="1:20" x14ac:dyDescent="0.25">
      <c r="A6699">
        <v>20180331</v>
      </c>
      <c r="B6699">
        <v>2018</v>
      </c>
      <c r="C6699">
        <v>3</v>
      </c>
      <c r="D6699">
        <v>1</v>
      </c>
      <c r="E6699">
        <v>10930</v>
      </c>
      <c r="F6699">
        <v>0</v>
      </c>
      <c r="G6699">
        <v>206392.21</v>
      </c>
      <c r="H6699">
        <v>0</v>
      </c>
      <c r="I6699">
        <v>0</v>
      </c>
      <c r="J6699">
        <v>0</v>
      </c>
      <c r="K6699">
        <v>0</v>
      </c>
      <c r="L6699">
        <v>19457592.690000001</v>
      </c>
      <c r="M6699">
        <v>19663984.899999999</v>
      </c>
      <c r="N6699">
        <v>19457592.690000001</v>
      </c>
      <c r="O6699">
        <v>19663984.899999999</v>
      </c>
      <c r="P6699">
        <v>19457592.690000001</v>
      </c>
      <c r="Q6699">
        <v>19663984.899999999</v>
      </c>
      <c r="R6699" s="14">
        <f>_xlfn.XLOOKUP(Table2[[#This Row],[LoanID]],Table1[G-L ID],Table1[ManagerCode],-99)</f>
        <v>183</v>
      </c>
      <c r="T6699"/>
    </row>
    <row r="6700" spans="1:20" x14ac:dyDescent="0.25">
      <c r="A6700">
        <v>20180331</v>
      </c>
      <c r="B6700">
        <v>2018</v>
      </c>
      <c r="C6700">
        <v>3</v>
      </c>
      <c r="D6700">
        <v>1</v>
      </c>
      <c r="E6700">
        <v>10970</v>
      </c>
      <c r="F6700">
        <v>24876.44</v>
      </c>
      <c r="G6700">
        <v>27229.34</v>
      </c>
      <c r="H6700">
        <v>0</v>
      </c>
      <c r="I6700">
        <v>0</v>
      </c>
      <c r="J6700">
        <v>-24876.44</v>
      </c>
      <c r="K6700">
        <v>0</v>
      </c>
      <c r="L6700">
        <v>5017626.2</v>
      </c>
      <c r="M6700">
        <v>5069731.9800000004</v>
      </c>
      <c r="N6700">
        <v>5017626.2</v>
      </c>
      <c r="O6700">
        <v>5069731.9800000004</v>
      </c>
      <c r="P6700">
        <v>5017626.2</v>
      </c>
      <c r="Q6700">
        <v>5069731.9800000004</v>
      </c>
      <c r="R6700" s="14">
        <f>_xlfn.XLOOKUP(Table2[[#This Row],[LoanID]],Table1[G-L ID],Table1[ManagerCode],-99)</f>
        <v>183</v>
      </c>
      <c r="T6700"/>
    </row>
    <row r="6701" spans="1:20" x14ac:dyDescent="0.25">
      <c r="A6701">
        <v>20180331</v>
      </c>
      <c r="B6701">
        <v>2018</v>
      </c>
      <c r="C6701">
        <v>3</v>
      </c>
      <c r="D6701">
        <v>1</v>
      </c>
      <c r="E6701">
        <v>11060</v>
      </c>
      <c r="F6701">
        <v>186639.44</v>
      </c>
      <c r="G6701">
        <v>0</v>
      </c>
      <c r="H6701">
        <v>0</v>
      </c>
      <c r="I6701">
        <v>0</v>
      </c>
      <c r="J6701">
        <v>0</v>
      </c>
      <c r="K6701">
        <v>0</v>
      </c>
      <c r="L6701">
        <v>22000000</v>
      </c>
      <c r="M6701">
        <v>22000000</v>
      </c>
      <c r="N6701">
        <v>22000000</v>
      </c>
      <c r="O6701">
        <v>22000000</v>
      </c>
      <c r="P6701">
        <v>22000000</v>
      </c>
      <c r="Q6701">
        <v>22000000</v>
      </c>
      <c r="R6701" s="14">
        <f>_xlfn.XLOOKUP(Table2[[#This Row],[LoanID]],Table1[G-L ID],Table1[ManagerCode],-99)</f>
        <v>119</v>
      </c>
      <c r="T6701"/>
    </row>
    <row r="6702" spans="1:20" x14ac:dyDescent="0.25">
      <c r="A6702">
        <v>20180331</v>
      </c>
      <c r="B6702">
        <v>2018</v>
      </c>
      <c r="C6702">
        <v>3</v>
      </c>
      <c r="D6702">
        <v>1</v>
      </c>
      <c r="E6702">
        <v>11080</v>
      </c>
      <c r="F6702">
        <v>382520.62</v>
      </c>
      <c r="G6702">
        <v>0</v>
      </c>
      <c r="H6702">
        <v>0</v>
      </c>
      <c r="I6702">
        <v>0</v>
      </c>
      <c r="J6702">
        <v>0</v>
      </c>
      <c r="K6702">
        <v>61919.27</v>
      </c>
      <c r="L6702">
        <v>39071061.25</v>
      </c>
      <c r="M6702">
        <v>39009141.979999997</v>
      </c>
      <c r="N6702">
        <v>39071061.25</v>
      </c>
      <c r="O6702">
        <v>39009141.979999997</v>
      </c>
      <c r="P6702">
        <v>39071061.25</v>
      </c>
      <c r="Q6702">
        <v>39009141.979999997</v>
      </c>
      <c r="R6702" s="14">
        <f>_xlfn.XLOOKUP(Table2[[#This Row],[LoanID]],Table1[G-L ID],Table1[ManagerCode],-99)</f>
        <v>119</v>
      </c>
      <c r="T6702"/>
    </row>
    <row r="6703" spans="1:20" x14ac:dyDescent="0.25">
      <c r="A6703">
        <v>20180331</v>
      </c>
      <c r="B6703">
        <v>2018</v>
      </c>
      <c r="C6703">
        <v>3</v>
      </c>
      <c r="D6703">
        <v>1</v>
      </c>
      <c r="E6703">
        <v>11090</v>
      </c>
      <c r="F6703">
        <v>94255.6</v>
      </c>
      <c r="G6703">
        <v>0</v>
      </c>
      <c r="H6703">
        <v>0</v>
      </c>
      <c r="I6703">
        <v>0</v>
      </c>
      <c r="J6703">
        <v>0</v>
      </c>
      <c r="K6703">
        <v>24000</v>
      </c>
      <c r="L6703">
        <v>10928000</v>
      </c>
      <c r="M6703">
        <v>10904000</v>
      </c>
      <c r="N6703">
        <v>10928000</v>
      </c>
      <c r="O6703">
        <v>10904000</v>
      </c>
      <c r="P6703">
        <v>10928000</v>
      </c>
      <c r="Q6703">
        <v>10904000</v>
      </c>
      <c r="R6703" s="14">
        <f>_xlfn.XLOOKUP(Table2[[#This Row],[LoanID]],Table1[G-L ID],Table1[ManagerCode],-99)</f>
        <v>119</v>
      </c>
      <c r="T6703"/>
    </row>
    <row r="6704" spans="1:20" x14ac:dyDescent="0.25">
      <c r="A6704">
        <v>20180331</v>
      </c>
      <c r="B6704">
        <v>2018</v>
      </c>
      <c r="C6704">
        <v>3</v>
      </c>
      <c r="D6704">
        <v>1</v>
      </c>
      <c r="E6704">
        <v>11150</v>
      </c>
      <c r="F6704">
        <v>95051.48</v>
      </c>
      <c r="G6704">
        <v>0</v>
      </c>
      <c r="H6704">
        <v>0</v>
      </c>
      <c r="I6704">
        <v>0</v>
      </c>
      <c r="J6704">
        <v>0</v>
      </c>
      <c r="K6704">
        <v>0</v>
      </c>
      <c r="L6704">
        <v>10228684.119999999</v>
      </c>
      <c r="M6704">
        <v>10228684.119999999</v>
      </c>
      <c r="N6704">
        <v>10228684.119999999</v>
      </c>
      <c r="O6704">
        <v>10228684.119999999</v>
      </c>
      <c r="P6704">
        <v>10228684.119999999</v>
      </c>
      <c r="Q6704">
        <v>10228684.119999999</v>
      </c>
      <c r="R6704" s="14">
        <f>_xlfn.XLOOKUP(Table2[[#This Row],[LoanID]],Table1[G-L ID],Table1[ManagerCode],-99)</f>
        <v>119</v>
      </c>
      <c r="T6704"/>
    </row>
    <row r="6705" spans="1:20" x14ac:dyDescent="0.25">
      <c r="A6705">
        <v>20180331</v>
      </c>
      <c r="B6705">
        <v>2018</v>
      </c>
      <c r="C6705">
        <v>3</v>
      </c>
      <c r="D6705">
        <v>1</v>
      </c>
      <c r="E6705">
        <v>11160</v>
      </c>
      <c r="F6705">
        <v>280150.18</v>
      </c>
      <c r="G6705">
        <v>184307.87</v>
      </c>
      <c r="H6705">
        <v>0</v>
      </c>
      <c r="I6705">
        <v>0</v>
      </c>
      <c r="J6705">
        <v>-137582.24</v>
      </c>
      <c r="K6705">
        <v>-4246465.9400000004</v>
      </c>
      <c r="L6705">
        <v>67261301.810000002</v>
      </c>
      <c r="M6705">
        <v>65423491.659999996</v>
      </c>
      <c r="N6705">
        <v>44830025.890000001</v>
      </c>
      <c r="O6705">
        <v>49398381.939999998</v>
      </c>
      <c r="P6705">
        <v>67261301.810000002</v>
      </c>
      <c r="Q6705">
        <v>65423491.659999996</v>
      </c>
      <c r="R6705" s="14">
        <f>_xlfn.XLOOKUP(Table2[[#This Row],[LoanID]],Table1[G-L ID],Table1[ManagerCode],-99)</f>
        <v>183</v>
      </c>
      <c r="T6705"/>
    </row>
    <row r="6706" spans="1:20" x14ac:dyDescent="0.25">
      <c r="A6706">
        <v>20180331</v>
      </c>
      <c r="B6706">
        <v>2018</v>
      </c>
      <c r="C6706">
        <v>3</v>
      </c>
      <c r="D6706">
        <v>1</v>
      </c>
      <c r="E6706">
        <v>11210</v>
      </c>
      <c r="F6706">
        <v>59575.83</v>
      </c>
      <c r="G6706">
        <v>0</v>
      </c>
      <c r="H6706">
        <v>0</v>
      </c>
      <c r="I6706">
        <v>0</v>
      </c>
      <c r="J6706">
        <v>0</v>
      </c>
      <c r="K6706">
        <v>0</v>
      </c>
      <c r="L6706">
        <v>7500000</v>
      </c>
      <c r="M6706">
        <v>7500000</v>
      </c>
      <c r="N6706">
        <v>7500000</v>
      </c>
      <c r="O6706">
        <v>7500000</v>
      </c>
      <c r="P6706">
        <v>7500000</v>
      </c>
      <c r="Q6706">
        <v>7500000</v>
      </c>
      <c r="R6706" s="14">
        <f>_xlfn.XLOOKUP(Table2[[#This Row],[LoanID]],Table1[G-L ID],Table1[ManagerCode],-99)</f>
        <v>119</v>
      </c>
      <c r="T6706"/>
    </row>
    <row r="6707" spans="1:20" x14ac:dyDescent="0.25">
      <c r="A6707">
        <v>20180331</v>
      </c>
      <c r="B6707">
        <v>2018</v>
      </c>
      <c r="C6707">
        <v>3</v>
      </c>
      <c r="D6707">
        <v>1</v>
      </c>
      <c r="E6707">
        <v>11340</v>
      </c>
      <c r="F6707">
        <v>262727.44</v>
      </c>
      <c r="G6707">
        <v>0</v>
      </c>
      <c r="H6707">
        <v>0</v>
      </c>
      <c r="I6707">
        <v>0</v>
      </c>
      <c r="J6707">
        <v>0</v>
      </c>
      <c r="K6707">
        <v>85237.49</v>
      </c>
      <c r="L6707">
        <v>47773499.899999999</v>
      </c>
      <c r="M6707">
        <v>47689114.799999997</v>
      </c>
      <c r="N6707">
        <v>47773499.899999999</v>
      </c>
      <c r="O6707">
        <v>47689114.799999997</v>
      </c>
      <c r="P6707">
        <v>48256060.520000003</v>
      </c>
      <c r="Q6707">
        <v>48170823.030000001</v>
      </c>
      <c r="R6707" s="14">
        <f>_xlfn.XLOOKUP(Table2[[#This Row],[LoanID]],Table1[G-L ID],Table1[ManagerCode],-99)</f>
        <v>103</v>
      </c>
      <c r="T6707"/>
    </row>
    <row r="6708" spans="1:20" x14ac:dyDescent="0.25">
      <c r="A6708">
        <v>20180331</v>
      </c>
      <c r="B6708">
        <v>2018</v>
      </c>
      <c r="C6708">
        <v>3</v>
      </c>
      <c r="D6708">
        <v>1</v>
      </c>
      <c r="E6708">
        <v>11350</v>
      </c>
      <c r="F6708">
        <v>299444.44</v>
      </c>
      <c r="G6708">
        <v>0</v>
      </c>
      <c r="H6708">
        <v>0</v>
      </c>
      <c r="I6708">
        <v>0</v>
      </c>
      <c r="J6708">
        <v>0</v>
      </c>
      <c r="K6708">
        <v>0</v>
      </c>
      <c r="L6708">
        <v>54449945.549999997</v>
      </c>
      <c r="M6708">
        <v>54449945.549999997</v>
      </c>
      <c r="N6708">
        <v>54449945.549999997</v>
      </c>
      <c r="O6708">
        <v>54449945.549999997</v>
      </c>
      <c r="P6708">
        <v>55000000</v>
      </c>
      <c r="Q6708">
        <v>55000000</v>
      </c>
      <c r="R6708" s="14">
        <f>_xlfn.XLOOKUP(Table2[[#This Row],[LoanID]],Table1[G-L ID],Table1[ManagerCode],-99)</f>
        <v>103</v>
      </c>
      <c r="T6708"/>
    </row>
    <row r="6709" spans="1:20" x14ac:dyDescent="0.25">
      <c r="A6709">
        <v>20180331</v>
      </c>
      <c r="B6709">
        <v>2018</v>
      </c>
      <c r="C6709">
        <v>3</v>
      </c>
      <c r="D6709">
        <v>1</v>
      </c>
      <c r="E6709">
        <v>11360</v>
      </c>
      <c r="F6709">
        <v>62851.83</v>
      </c>
      <c r="G6709">
        <v>0</v>
      </c>
      <c r="H6709">
        <v>0</v>
      </c>
      <c r="I6709">
        <v>0</v>
      </c>
      <c r="J6709">
        <v>0</v>
      </c>
      <c r="K6709">
        <v>0</v>
      </c>
      <c r="L6709">
        <v>7537500</v>
      </c>
      <c r="M6709">
        <v>7537500</v>
      </c>
      <c r="N6709">
        <v>7537500</v>
      </c>
      <c r="O6709">
        <v>7537500</v>
      </c>
      <c r="P6709">
        <v>7537500</v>
      </c>
      <c r="Q6709">
        <v>7537500</v>
      </c>
      <c r="R6709" s="14">
        <f>_xlfn.XLOOKUP(Table2[[#This Row],[LoanID]],Table1[G-L ID],Table1[ManagerCode],-99)</f>
        <v>119</v>
      </c>
      <c r="T6709"/>
    </row>
    <row r="6710" spans="1:20" x14ac:dyDescent="0.25">
      <c r="A6710">
        <v>20180331</v>
      </c>
      <c r="B6710">
        <v>2018</v>
      </c>
      <c r="C6710">
        <v>3</v>
      </c>
      <c r="D6710">
        <v>1</v>
      </c>
      <c r="E6710">
        <v>11410</v>
      </c>
      <c r="F6710">
        <v>109088</v>
      </c>
      <c r="G6710">
        <v>0</v>
      </c>
      <c r="H6710">
        <v>0</v>
      </c>
      <c r="I6710">
        <v>0</v>
      </c>
      <c r="J6710">
        <v>0</v>
      </c>
      <c r="K6710">
        <v>0</v>
      </c>
      <c r="L6710">
        <v>12000000</v>
      </c>
      <c r="M6710">
        <v>12000000</v>
      </c>
      <c r="N6710">
        <v>12000000</v>
      </c>
      <c r="O6710">
        <v>12000000</v>
      </c>
      <c r="P6710">
        <v>12000000</v>
      </c>
      <c r="Q6710">
        <v>12000000</v>
      </c>
      <c r="R6710" s="14">
        <f>_xlfn.XLOOKUP(Table2[[#This Row],[LoanID]],Table1[G-L ID],Table1[ManagerCode],-99)</f>
        <v>119</v>
      </c>
      <c r="T6710"/>
    </row>
    <row r="6711" spans="1:20" x14ac:dyDescent="0.25">
      <c r="A6711">
        <v>20180331</v>
      </c>
      <c r="B6711">
        <v>2018</v>
      </c>
      <c r="C6711">
        <v>3</v>
      </c>
      <c r="D6711">
        <v>1</v>
      </c>
      <c r="E6711">
        <v>11440</v>
      </c>
      <c r="F6711">
        <v>156250</v>
      </c>
      <c r="G6711">
        <v>0</v>
      </c>
      <c r="H6711">
        <v>0</v>
      </c>
      <c r="I6711">
        <v>0</v>
      </c>
      <c r="J6711">
        <v>0</v>
      </c>
      <c r="K6711">
        <v>0</v>
      </c>
      <c r="L6711">
        <v>18750000</v>
      </c>
      <c r="M6711">
        <v>18750000</v>
      </c>
      <c r="N6711">
        <v>18750000</v>
      </c>
      <c r="O6711">
        <v>18750000</v>
      </c>
      <c r="P6711">
        <v>18750000</v>
      </c>
      <c r="Q6711">
        <v>18750000</v>
      </c>
      <c r="R6711" s="14">
        <f>_xlfn.XLOOKUP(Table2[[#This Row],[LoanID]],Table1[G-L ID],Table1[ManagerCode],-99)</f>
        <v>183</v>
      </c>
      <c r="T6711"/>
    </row>
    <row r="6712" spans="1:20" x14ac:dyDescent="0.25">
      <c r="A6712">
        <v>20180331</v>
      </c>
      <c r="B6712">
        <v>2018</v>
      </c>
      <c r="C6712">
        <v>3</v>
      </c>
      <c r="D6712">
        <v>1</v>
      </c>
      <c r="E6712">
        <v>11450</v>
      </c>
      <c r="F6712">
        <v>136125.26999999999</v>
      </c>
      <c r="G6712">
        <v>0</v>
      </c>
      <c r="H6712">
        <v>0</v>
      </c>
      <c r="I6712">
        <v>0</v>
      </c>
      <c r="J6712">
        <v>-158038.91</v>
      </c>
      <c r="K6712">
        <v>0</v>
      </c>
      <c r="L6712">
        <v>16520695.140000001</v>
      </c>
      <c r="M6712">
        <v>16678734.050000001</v>
      </c>
      <c r="N6712">
        <v>16520695.140000001</v>
      </c>
      <c r="O6712">
        <v>16678734.050000001</v>
      </c>
      <c r="P6712">
        <v>16520695.140000001</v>
      </c>
      <c r="Q6712">
        <v>16678734.050000001</v>
      </c>
      <c r="R6712" s="14">
        <f>_xlfn.XLOOKUP(Table2[[#This Row],[LoanID]],Table1[G-L ID],Table1[ManagerCode],-99)</f>
        <v>119</v>
      </c>
      <c r="T6712"/>
    </row>
    <row r="6713" spans="1:20" x14ac:dyDescent="0.25">
      <c r="A6713">
        <v>20180331</v>
      </c>
      <c r="B6713">
        <v>2018</v>
      </c>
      <c r="C6713">
        <v>3</v>
      </c>
      <c r="D6713">
        <v>1</v>
      </c>
      <c r="E6713">
        <v>11480</v>
      </c>
      <c r="F6713">
        <v>413124.44</v>
      </c>
      <c r="G6713">
        <v>0</v>
      </c>
      <c r="H6713">
        <v>0</v>
      </c>
      <c r="I6713">
        <v>0</v>
      </c>
      <c r="J6713">
        <v>0</v>
      </c>
      <c r="K6713">
        <v>0</v>
      </c>
      <c r="L6713">
        <v>70000000</v>
      </c>
      <c r="M6713">
        <v>70000000</v>
      </c>
      <c r="N6713">
        <v>70000000</v>
      </c>
      <c r="O6713">
        <v>70000000</v>
      </c>
      <c r="P6713">
        <v>70000000</v>
      </c>
      <c r="Q6713">
        <v>70000000</v>
      </c>
      <c r="R6713" s="14">
        <f>_xlfn.XLOOKUP(Table2[[#This Row],[LoanID]],Table1[G-L ID],Table1[ManagerCode],-99)</f>
        <v>103</v>
      </c>
      <c r="T6713"/>
    </row>
    <row r="6714" spans="1:20" x14ac:dyDescent="0.25">
      <c r="A6714">
        <v>20180331</v>
      </c>
      <c r="B6714">
        <v>2018</v>
      </c>
      <c r="C6714">
        <v>3</v>
      </c>
      <c r="D6714">
        <v>1</v>
      </c>
      <c r="E6714">
        <v>11490</v>
      </c>
      <c r="F6714">
        <v>378070</v>
      </c>
      <c r="G6714">
        <v>0</v>
      </c>
      <c r="H6714">
        <v>0</v>
      </c>
      <c r="I6714">
        <v>0</v>
      </c>
      <c r="J6714">
        <v>0</v>
      </c>
      <c r="K6714">
        <v>0</v>
      </c>
      <c r="L6714">
        <v>52250000</v>
      </c>
      <c r="M6714">
        <v>52250000</v>
      </c>
      <c r="N6714">
        <v>52250000</v>
      </c>
      <c r="O6714">
        <v>52250000</v>
      </c>
      <c r="P6714">
        <v>55000000</v>
      </c>
      <c r="Q6714">
        <v>55000000</v>
      </c>
      <c r="R6714" s="14">
        <f>_xlfn.XLOOKUP(Table2[[#This Row],[LoanID]],Table1[G-L ID],Table1[ManagerCode],-99)</f>
        <v>103</v>
      </c>
      <c r="T6714"/>
    </row>
    <row r="6715" spans="1:20" x14ac:dyDescent="0.25">
      <c r="A6715">
        <v>20180331</v>
      </c>
      <c r="B6715">
        <v>2018</v>
      </c>
      <c r="C6715">
        <v>3</v>
      </c>
      <c r="D6715">
        <v>1</v>
      </c>
      <c r="E6715">
        <v>11520</v>
      </c>
      <c r="F6715">
        <v>44411.37</v>
      </c>
      <c r="G6715">
        <v>0</v>
      </c>
      <c r="H6715">
        <v>0</v>
      </c>
      <c r="I6715">
        <v>0</v>
      </c>
      <c r="J6715">
        <v>-1352672.53</v>
      </c>
      <c r="K6715">
        <v>0</v>
      </c>
      <c r="L6715">
        <v>6774460.7400000002</v>
      </c>
      <c r="M6715">
        <v>8127133.2699999996</v>
      </c>
      <c r="N6715">
        <v>6774460.7400000002</v>
      </c>
      <c r="O6715">
        <v>8127133.2699999996</v>
      </c>
      <c r="P6715">
        <v>6774460.7400000002</v>
      </c>
      <c r="Q6715">
        <v>8127133.2699999996</v>
      </c>
      <c r="R6715" s="14">
        <f>_xlfn.XLOOKUP(Table2[[#This Row],[LoanID]],Table1[G-L ID],Table1[ManagerCode],-99)</f>
        <v>119</v>
      </c>
      <c r="T6715"/>
    </row>
    <row r="6716" spans="1:20" x14ac:dyDescent="0.25">
      <c r="A6716">
        <v>20180331</v>
      </c>
      <c r="B6716">
        <v>2018</v>
      </c>
      <c r="C6716">
        <v>3</v>
      </c>
      <c r="D6716">
        <v>1</v>
      </c>
      <c r="E6716">
        <v>11530</v>
      </c>
      <c r="F6716">
        <v>136748.24</v>
      </c>
      <c r="G6716">
        <v>0</v>
      </c>
      <c r="H6716">
        <v>0</v>
      </c>
      <c r="I6716">
        <v>0</v>
      </c>
      <c r="J6716">
        <v>0</v>
      </c>
      <c r="K6716">
        <v>0</v>
      </c>
      <c r="L6716">
        <v>14260454.08</v>
      </c>
      <c r="M6716">
        <v>14260454.08</v>
      </c>
      <c r="N6716">
        <v>14260454.08</v>
      </c>
      <c r="O6716">
        <v>14260454.08</v>
      </c>
      <c r="P6716">
        <v>14260454.08</v>
      </c>
      <c r="Q6716">
        <v>14260454.08</v>
      </c>
      <c r="R6716" s="14">
        <f>_xlfn.XLOOKUP(Table2[[#This Row],[LoanID]],Table1[G-L ID],Table1[ManagerCode],-99)</f>
        <v>119</v>
      </c>
      <c r="T6716"/>
    </row>
    <row r="6717" spans="1:20" x14ac:dyDescent="0.25">
      <c r="A6717">
        <v>20180331</v>
      </c>
      <c r="B6717">
        <v>2018</v>
      </c>
      <c r="C6717">
        <v>3</v>
      </c>
      <c r="D6717">
        <v>1</v>
      </c>
      <c r="E6717">
        <v>11590</v>
      </c>
      <c r="F6717">
        <v>14014.78</v>
      </c>
      <c r="G6717">
        <v>0</v>
      </c>
      <c r="H6717">
        <v>0</v>
      </c>
      <c r="I6717">
        <v>0</v>
      </c>
      <c r="J6717">
        <v>0</v>
      </c>
      <c r="K6717">
        <v>0</v>
      </c>
      <c r="L6717">
        <v>1982289.13</v>
      </c>
      <c r="M6717">
        <v>1982289.13</v>
      </c>
      <c r="N6717">
        <v>1982289.13</v>
      </c>
      <c r="O6717">
        <v>1982289.13</v>
      </c>
      <c r="P6717">
        <v>1982289.13</v>
      </c>
      <c r="Q6717">
        <v>1982289.13</v>
      </c>
      <c r="R6717" s="14">
        <f>_xlfn.XLOOKUP(Table2[[#This Row],[LoanID]],Table1[G-L ID],Table1[ManagerCode],-99)</f>
        <v>119</v>
      </c>
      <c r="T6717"/>
    </row>
    <row r="6718" spans="1:20" x14ac:dyDescent="0.25">
      <c r="A6718">
        <v>20180331</v>
      </c>
      <c r="B6718">
        <v>2018</v>
      </c>
      <c r="C6718">
        <v>3</v>
      </c>
      <c r="D6718">
        <v>1</v>
      </c>
      <c r="E6718">
        <v>11680</v>
      </c>
      <c r="F6718">
        <v>57126.559999999998</v>
      </c>
      <c r="G6718">
        <v>0</v>
      </c>
      <c r="H6718">
        <v>0</v>
      </c>
      <c r="I6718">
        <v>0</v>
      </c>
      <c r="J6718">
        <v>0</v>
      </c>
      <c r="K6718">
        <v>0</v>
      </c>
      <c r="L6718">
        <v>6600000</v>
      </c>
      <c r="M6718">
        <v>6600000</v>
      </c>
      <c r="N6718">
        <v>6600000</v>
      </c>
      <c r="O6718">
        <v>6600000</v>
      </c>
      <c r="P6718">
        <v>6600000</v>
      </c>
      <c r="Q6718">
        <v>6600000</v>
      </c>
      <c r="R6718" s="14">
        <f>_xlfn.XLOOKUP(Table2[[#This Row],[LoanID]],Table1[G-L ID],Table1[ManagerCode],-99)</f>
        <v>183</v>
      </c>
      <c r="T6718"/>
    </row>
    <row r="6719" spans="1:20" x14ac:dyDescent="0.25">
      <c r="A6719">
        <v>20180331</v>
      </c>
      <c r="B6719">
        <v>2018</v>
      </c>
      <c r="C6719">
        <v>3</v>
      </c>
      <c r="D6719">
        <v>1</v>
      </c>
      <c r="E6719">
        <v>11690</v>
      </c>
      <c r="F6719">
        <v>139996.89000000001</v>
      </c>
      <c r="G6719">
        <v>0</v>
      </c>
      <c r="H6719">
        <v>0</v>
      </c>
      <c r="I6719">
        <v>0</v>
      </c>
      <c r="J6719">
        <v>0</v>
      </c>
      <c r="K6719">
        <v>0</v>
      </c>
      <c r="L6719">
        <v>17000000</v>
      </c>
      <c r="M6719">
        <v>17000000</v>
      </c>
      <c r="N6719">
        <v>17000000</v>
      </c>
      <c r="O6719">
        <v>17000000</v>
      </c>
      <c r="P6719">
        <v>17000000</v>
      </c>
      <c r="Q6719">
        <v>17000000</v>
      </c>
      <c r="R6719" s="14">
        <f>_xlfn.XLOOKUP(Table2[[#This Row],[LoanID]],Table1[G-L ID],Table1[ManagerCode],-99)</f>
        <v>119</v>
      </c>
      <c r="T6719"/>
    </row>
    <row r="6720" spans="1:20" x14ac:dyDescent="0.25">
      <c r="A6720">
        <v>20180331</v>
      </c>
      <c r="B6720">
        <v>2018</v>
      </c>
      <c r="C6720">
        <v>3</v>
      </c>
      <c r="D6720">
        <v>1</v>
      </c>
      <c r="E6720">
        <v>11730</v>
      </c>
      <c r="F6720">
        <v>49020.63</v>
      </c>
      <c r="G6720">
        <v>0</v>
      </c>
      <c r="H6720">
        <v>0</v>
      </c>
      <c r="I6720">
        <v>0</v>
      </c>
      <c r="J6720">
        <v>0</v>
      </c>
      <c r="K6720">
        <v>8489.93</v>
      </c>
      <c r="L6720">
        <v>4876802.53</v>
      </c>
      <c r="M6720">
        <v>4868312.5999999996</v>
      </c>
      <c r="N6720">
        <v>4876802.53</v>
      </c>
      <c r="O6720">
        <v>4868312.5999999996</v>
      </c>
      <c r="P6720">
        <v>4876802.53</v>
      </c>
      <c r="Q6720">
        <v>4868312.5999999996</v>
      </c>
      <c r="R6720" s="14">
        <f>_xlfn.XLOOKUP(Table2[[#This Row],[LoanID]],Table1[G-L ID],Table1[ManagerCode],-99)</f>
        <v>119</v>
      </c>
      <c r="T6720"/>
    </row>
    <row r="6721" spans="1:20" x14ac:dyDescent="0.25">
      <c r="A6721">
        <v>20180331</v>
      </c>
      <c r="B6721">
        <v>2018</v>
      </c>
      <c r="C6721">
        <v>3</v>
      </c>
      <c r="D6721">
        <v>1</v>
      </c>
      <c r="E6721">
        <v>11750</v>
      </c>
      <c r="F6721">
        <v>266600.03999999998</v>
      </c>
      <c r="G6721">
        <v>127604.99</v>
      </c>
      <c r="H6721">
        <v>0</v>
      </c>
      <c r="I6721">
        <v>0</v>
      </c>
      <c r="J6721">
        <v>0</v>
      </c>
      <c r="K6721">
        <v>0</v>
      </c>
      <c r="L6721">
        <v>54405324.009999998</v>
      </c>
      <c r="M6721">
        <v>54532928.990000002</v>
      </c>
      <c r="N6721">
        <v>54405324.009999998</v>
      </c>
      <c r="O6721">
        <v>54532928.990000002</v>
      </c>
      <c r="P6721">
        <v>54405324.009999998</v>
      </c>
      <c r="Q6721">
        <v>54532928.990000002</v>
      </c>
      <c r="R6721" s="14">
        <f>_xlfn.XLOOKUP(Table2[[#This Row],[LoanID]],Table1[G-L ID],Table1[ManagerCode],-99)</f>
        <v>183</v>
      </c>
      <c r="T6721"/>
    </row>
    <row r="6722" spans="1:20" x14ac:dyDescent="0.25">
      <c r="A6722">
        <v>20180331</v>
      </c>
      <c r="B6722">
        <v>2018</v>
      </c>
      <c r="C6722">
        <v>3</v>
      </c>
      <c r="D6722">
        <v>1</v>
      </c>
      <c r="E6722">
        <v>11830</v>
      </c>
      <c r="F6722">
        <v>93855</v>
      </c>
      <c r="G6722">
        <v>0</v>
      </c>
      <c r="H6722">
        <v>0</v>
      </c>
      <c r="I6722">
        <v>0</v>
      </c>
      <c r="J6722">
        <v>-637740.66</v>
      </c>
      <c r="K6722">
        <v>0</v>
      </c>
      <c r="L6722">
        <v>11603182.789999999</v>
      </c>
      <c r="M6722">
        <v>12240923.449999999</v>
      </c>
      <c r="N6722">
        <v>11603182.789999999</v>
      </c>
      <c r="O6722">
        <v>12240923.449999999</v>
      </c>
      <c r="P6722">
        <v>11603182.789999999</v>
      </c>
      <c r="Q6722">
        <v>12240923.449999999</v>
      </c>
      <c r="R6722" s="14">
        <f>_xlfn.XLOOKUP(Table2[[#This Row],[LoanID]],Table1[G-L ID],Table1[ManagerCode],-99)</f>
        <v>119</v>
      </c>
      <c r="T6722"/>
    </row>
    <row r="6723" spans="1:20" x14ac:dyDescent="0.25">
      <c r="A6723">
        <v>20180331</v>
      </c>
      <c r="B6723">
        <v>2018</v>
      </c>
      <c r="C6723">
        <v>3</v>
      </c>
      <c r="D6723">
        <v>1</v>
      </c>
      <c r="E6723">
        <v>11850</v>
      </c>
      <c r="F6723">
        <v>0</v>
      </c>
      <c r="G6723">
        <v>98239.38</v>
      </c>
      <c r="H6723">
        <v>0</v>
      </c>
      <c r="I6723">
        <v>0</v>
      </c>
      <c r="J6723">
        <v>0</v>
      </c>
      <c r="K6723">
        <v>0</v>
      </c>
      <c r="L6723">
        <v>9097500</v>
      </c>
      <c r="M6723">
        <v>9195739.3800000008</v>
      </c>
      <c r="N6723">
        <v>9097500</v>
      </c>
      <c r="O6723">
        <v>9195739.3800000008</v>
      </c>
      <c r="P6723">
        <v>9097500</v>
      </c>
      <c r="Q6723">
        <v>9195739.3800000008</v>
      </c>
      <c r="R6723" s="14">
        <f>_xlfn.XLOOKUP(Table2[[#This Row],[LoanID]],Table1[G-L ID],Table1[ManagerCode],-99)</f>
        <v>183</v>
      </c>
      <c r="T6723"/>
    </row>
    <row r="6724" spans="1:20" x14ac:dyDescent="0.25">
      <c r="A6724">
        <v>20180331</v>
      </c>
      <c r="B6724">
        <v>2018</v>
      </c>
      <c r="C6724">
        <v>3</v>
      </c>
      <c r="D6724">
        <v>1</v>
      </c>
      <c r="E6724">
        <v>11980</v>
      </c>
      <c r="F6724">
        <v>103710.99</v>
      </c>
      <c r="G6724">
        <v>0</v>
      </c>
      <c r="H6724">
        <v>0</v>
      </c>
      <c r="I6724">
        <v>0</v>
      </c>
      <c r="J6724">
        <v>0</v>
      </c>
      <c r="K6724">
        <v>7400000</v>
      </c>
      <c r="L6724">
        <v>7400000</v>
      </c>
      <c r="M6724">
        <v>0</v>
      </c>
      <c r="N6724">
        <v>7400000</v>
      </c>
      <c r="O6724">
        <v>0</v>
      </c>
      <c r="P6724">
        <v>7400000</v>
      </c>
      <c r="Q6724">
        <v>0</v>
      </c>
      <c r="R6724" s="14">
        <f>_xlfn.XLOOKUP(Table2[[#This Row],[LoanID]],Table1[G-L ID],Table1[ManagerCode],-99)</f>
        <v>119</v>
      </c>
      <c r="T6724"/>
    </row>
    <row r="6725" spans="1:20" x14ac:dyDescent="0.25">
      <c r="A6725">
        <v>20180331</v>
      </c>
      <c r="B6725">
        <v>2018</v>
      </c>
      <c r="C6725">
        <v>3</v>
      </c>
      <c r="D6725">
        <v>1</v>
      </c>
      <c r="E6725">
        <v>12030</v>
      </c>
      <c r="F6725">
        <v>45440.5</v>
      </c>
      <c r="G6725">
        <v>0</v>
      </c>
      <c r="H6725">
        <v>0</v>
      </c>
      <c r="I6725">
        <v>0</v>
      </c>
      <c r="J6725">
        <v>0</v>
      </c>
      <c r="K6725">
        <v>0</v>
      </c>
      <c r="L6725">
        <v>6375000</v>
      </c>
      <c r="M6725">
        <v>6375000</v>
      </c>
      <c r="N6725">
        <v>6375000</v>
      </c>
      <c r="O6725">
        <v>6375000</v>
      </c>
      <c r="P6725">
        <v>6375000</v>
      </c>
      <c r="Q6725">
        <v>6375000</v>
      </c>
      <c r="R6725" s="14">
        <f>_xlfn.XLOOKUP(Table2[[#This Row],[LoanID]],Table1[G-L ID],Table1[ManagerCode],-99)</f>
        <v>119</v>
      </c>
      <c r="T6725"/>
    </row>
    <row r="6726" spans="1:20" x14ac:dyDescent="0.25">
      <c r="A6726">
        <v>20180331</v>
      </c>
      <c r="B6726">
        <v>2018</v>
      </c>
      <c r="C6726">
        <v>3</v>
      </c>
      <c r="D6726">
        <v>1</v>
      </c>
      <c r="E6726">
        <v>12180</v>
      </c>
      <c r="F6726">
        <v>214832.72</v>
      </c>
      <c r="G6726">
        <v>0</v>
      </c>
      <c r="H6726">
        <v>0</v>
      </c>
      <c r="I6726">
        <v>0</v>
      </c>
      <c r="J6726">
        <v>0</v>
      </c>
      <c r="K6726">
        <v>0</v>
      </c>
      <c r="L6726">
        <v>30400000</v>
      </c>
      <c r="M6726">
        <v>30400000</v>
      </c>
      <c r="N6726">
        <v>30400000</v>
      </c>
      <c r="O6726">
        <v>30400000</v>
      </c>
      <c r="P6726">
        <v>30393210.870000001</v>
      </c>
      <c r="Q6726">
        <v>30393210.870000001</v>
      </c>
      <c r="R6726" s="14">
        <f>_xlfn.XLOOKUP(Table2[[#This Row],[LoanID]],Table1[G-L ID],Table1[ManagerCode],-99)</f>
        <v>220</v>
      </c>
      <c r="T6726"/>
    </row>
    <row r="6727" spans="1:20" x14ac:dyDescent="0.25">
      <c r="A6727">
        <v>20180331</v>
      </c>
      <c r="B6727">
        <v>2018</v>
      </c>
      <c r="C6727">
        <v>3</v>
      </c>
      <c r="D6727">
        <v>1</v>
      </c>
      <c r="E6727">
        <v>12220</v>
      </c>
      <c r="F6727">
        <v>194325.9</v>
      </c>
      <c r="G6727">
        <v>0</v>
      </c>
      <c r="H6727">
        <v>0</v>
      </c>
      <c r="I6727">
        <v>0</v>
      </c>
      <c r="J6727">
        <v>0</v>
      </c>
      <c r="K6727">
        <v>0</v>
      </c>
      <c r="L6727">
        <v>54500000</v>
      </c>
      <c r="M6727">
        <v>54500000</v>
      </c>
      <c r="N6727">
        <v>27250000</v>
      </c>
      <c r="O6727">
        <v>27250000</v>
      </c>
      <c r="P6727">
        <v>54500000</v>
      </c>
      <c r="Q6727">
        <v>54500000</v>
      </c>
      <c r="R6727" s="14">
        <f>_xlfn.XLOOKUP(Table2[[#This Row],[LoanID]],Table1[G-L ID],Table1[ManagerCode],-99)</f>
        <v>183</v>
      </c>
      <c r="T6727"/>
    </row>
    <row r="6728" spans="1:20" x14ac:dyDescent="0.25">
      <c r="A6728">
        <v>20180331</v>
      </c>
      <c r="B6728">
        <v>2018</v>
      </c>
      <c r="C6728">
        <v>3</v>
      </c>
      <c r="D6728">
        <v>1</v>
      </c>
      <c r="E6728">
        <v>12250</v>
      </c>
      <c r="F6728">
        <v>78852.41</v>
      </c>
      <c r="G6728">
        <v>0</v>
      </c>
      <c r="H6728">
        <v>0</v>
      </c>
      <c r="I6728">
        <v>0</v>
      </c>
      <c r="J6728">
        <v>-758891.03</v>
      </c>
      <c r="K6728">
        <v>0</v>
      </c>
      <c r="L6728">
        <v>10986155.699999999</v>
      </c>
      <c r="M6728">
        <v>11745046.73</v>
      </c>
      <c r="N6728">
        <v>10986155.699999999</v>
      </c>
      <c r="O6728">
        <v>11745046.73</v>
      </c>
      <c r="P6728">
        <v>10986155.699999999</v>
      </c>
      <c r="Q6728">
        <v>11745046.73</v>
      </c>
      <c r="R6728" s="14">
        <f>_xlfn.XLOOKUP(Table2[[#This Row],[LoanID]],Table1[G-L ID],Table1[ManagerCode],-99)</f>
        <v>119</v>
      </c>
      <c r="T6728"/>
    </row>
    <row r="6729" spans="1:20" x14ac:dyDescent="0.25">
      <c r="A6729">
        <v>20180331</v>
      </c>
      <c r="B6729">
        <v>2018</v>
      </c>
      <c r="C6729">
        <v>3</v>
      </c>
      <c r="D6729">
        <v>1</v>
      </c>
      <c r="E6729">
        <v>12260</v>
      </c>
      <c r="F6729">
        <v>90898.85</v>
      </c>
      <c r="G6729">
        <v>0</v>
      </c>
      <c r="H6729">
        <v>0</v>
      </c>
      <c r="I6729">
        <v>0</v>
      </c>
      <c r="J6729">
        <v>0</v>
      </c>
      <c r="K6729">
        <v>0</v>
      </c>
      <c r="L6729">
        <v>11470448.4</v>
      </c>
      <c r="M6729">
        <v>11470448.4</v>
      </c>
      <c r="N6729">
        <v>11470448.4</v>
      </c>
      <c r="O6729">
        <v>11470448.4</v>
      </c>
      <c r="P6729">
        <v>11470448.4</v>
      </c>
      <c r="Q6729">
        <v>11470448.4</v>
      </c>
      <c r="R6729" s="14">
        <f>_xlfn.XLOOKUP(Table2[[#This Row],[LoanID]],Table1[G-L ID],Table1[ManagerCode],-99)</f>
        <v>119</v>
      </c>
      <c r="T6729"/>
    </row>
    <row r="6730" spans="1:20" x14ac:dyDescent="0.25">
      <c r="A6730">
        <v>20180331</v>
      </c>
      <c r="B6730">
        <v>2018</v>
      </c>
      <c r="C6730">
        <v>3</v>
      </c>
      <c r="D6730">
        <v>1</v>
      </c>
      <c r="E6730">
        <v>12270</v>
      </c>
      <c r="F6730">
        <v>87631.9</v>
      </c>
      <c r="G6730">
        <v>0</v>
      </c>
      <c r="H6730">
        <v>0</v>
      </c>
      <c r="I6730">
        <v>0</v>
      </c>
      <c r="J6730">
        <v>-80973.52</v>
      </c>
      <c r="K6730">
        <v>0</v>
      </c>
      <c r="L6730">
        <v>9728830.3800000008</v>
      </c>
      <c r="M6730">
        <v>9809803.9000000004</v>
      </c>
      <c r="N6730">
        <v>9728830.3800000008</v>
      </c>
      <c r="O6730">
        <v>9809803.9000000004</v>
      </c>
      <c r="P6730">
        <v>9728830.3800000008</v>
      </c>
      <c r="Q6730">
        <v>9809803.9000000004</v>
      </c>
      <c r="R6730" s="14">
        <f>_xlfn.XLOOKUP(Table2[[#This Row],[LoanID]],Table1[G-L ID],Table1[ManagerCode],-99)</f>
        <v>119</v>
      </c>
      <c r="T6730"/>
    </row>
    <row r="6731" spans="1:20" x14ac:dyDescent="0.25">
      <c r="A6731">
        <v>20180331</v>
      </c>
      <c r="B6731">
        <v>2018</v>
      </c>
      <c r="C6731">
        <v>3</v>
      </c>
      <c r="D6731">
        <v>1</v>
      </c>
      <c r="E6731">
        <v>12280</v>
      </c>
      <c r="F6731">
        <v>146515.56</v>
      </c>
      <c r="G6731">
        <v>0</v>
      </c>
      <c r="H6731">
        <v>0</v>
      </c>
      <c r="I6731">
        <v>0</v>
      </c>
      <c r="J6731">
        <v>-842724.51</v>
      </c>
      <c r="K6731">
        <v>0</v>
      </c>
      <c r="L6731">
        <v>18461905.899999999</v>
      </c>
      <c r="M6731">
        <v>19304630.41</v>
      </c>
      <c r="N6731">
        <v>18461905.899999999</v>
      </c>
      <c r="O6731">
        <v>19304630.41</v>
      </c>
      <c r="P6731">
        <v>18461905.899999999</v>
      </c>
      <c r="Q6731">
        <v>19304630.41</v>
      </c>
      <c r="R6731" s="14">
        <f>_xlfn.XLOOKUP(Table2[[#This Row],[LoanID]],Table1[G-L ID],Table1[ManagerCode],-99)</f>
        <v>119</v>
      </c>
      <c r="T6731"/>
    </row>
    <row r="6732" spans="1:20" x14ac:dyDescent="0.25">
      <c r="A6732">
        <v>20180331</v>
      </c>
      <c r="B6732">
        <v>2018</v>
      </c>
      <c r="C6732">
        <v>3</v>
      </c>
      <c r="D6732">
        <v>1</v>
      </c>
      <c r="E6732">
        <v>12290</v>
      </c>
      <c r="F6732">
        <v>163516.89000000001</v>
      </c>
      <c r="G6732">
        <v>0</v>
      </c>
      <c r="H6732">
        <v>0</v>
      </c>
      <c r="I6732">
        <v>0</v>
      </c>
      <c r="J6732">
        <v>0</v>
      </c>
      <c r="K6732">
        <v>0</v>
      </c>
      <c r="L6732">
        <v>22750000</v>
      </c>
      <c r="M6732">
        <v>22750000</v>
      </c>
      <c r="N6732">
        <v>22750000</v>
      </c>
      <c r="O6732">
        <v>22750000</v>
      </c>
      <c r="P6732">
        <v>22750000</v>
      </c>
      <c r="Q6732">
        <v>22750000</v>
      </c>
      <c r="R6732" s="14">
        <f>_xlfn.XLOOKUP(Table2[[#This Row],[LoanID]],Table1[G-L ID],Table1[ManagerCode],-99)</f>
        <v>119</v>
      </c>
      <c r="T6732"/>
    </row>
    <row r="6733" spans="1:20" x14ac:dyDescent="0.25">
      <c r="A6733">
        <v>20180331</v>
      </c>
      <c r="B6733">
        <v>2018</v>
      </c>
      <c r="C6733">
        <v>3</v>
      </c>
      <c r="D6733">
        <v>1</v>
      </c>
      <c r="E6733">
        <v>12300</v>
      </c>
      <c r="F6733">
        <v>88258.33</v>
      </c>
      <c r="G6733">
        <v>0</v>
      </c>
      <c r="H6733">
        <v>0</v>
      </c>
      <c r="I6733">
        <v>0</v>
      </c>
      <c r="J6733">
        <v>0</v>
      </c>
      <c r="K6733">
        <v>0</v>
      </c>
      <c r="L6733">
        <v>10000000</v>
      </c>
      <c r="M6733">
        <v>10000000</v>
      </c>
      <c r="N6733">
        <v>10000000</v>
      </c>
      <c r="O6733">
        <v>10000000</v>
      </c>
      <c r="P6733">
        <v>10000000</v>
      </c>
      <c r="Q6733">
        <v>10000000</v>
      </c>
      <c r="R6733" s="14">
        <f>_xlfn.XLOOKUP(Table2[[#This Row],[LoanID]],Table1[G-L ID],Table1[ManagerCode],-99)</f>
        <v>119</v>
      </c>
      <c r="T6733"/>
    </row>
    <row r="6734" spans="1:20" x14ac:dyDescent="0.25">
      <c r="A6734">
        <v>20180331</v>
      </c>
      <c r="B6734">
        <v>2018</v>
      </c>
      <c r="C6734">
        <v>3</v>
      </c>
      <c r="D6734">
        <v>1</v>
      </c>
      <c r="E6734">
        <v>12310</v>
      </c>
      <c r="F6734">
        <v>127732.27</v>
      </c>
      <c r="G6734">
        <v>0</v>
      </c>
      <c r="H6734">
        <v>0</v>
      </c>
      <c r="I6734">
        <v>0</v>
      </c>
      <c r="J6734">
        <v>0</v>
      </c>
      <c r="K6734">
        <v>0</v>
      </c>
      <c r="L6734">
        <v>16375000</v>
      </c>
      <c r="M6734">
        <v>16375000</v>
      </c>
      <c r="N6734">
        <v>16375000</v>
      </c>
      <c r="O6734">
        <v>16375000</v>
      </c>
      <c r="P6734">
        <v>16375000</v>
      </c>
      <c r="Q6734">
        <v>16375000</v>
      </c>
      <c r="R6734" s="14">
        <f>_xlfn.XLOOKUP(Table2[[#This Row],[LoanID]],Table1[G-L ID],Table1[ManagerCode],-99)</f>
        <v>119</v>
      </c>
      <c r="T6734"/>
    </row>
    <row r="6735" spans="1:20" x14ac:dyDescent="0.25">
      <c r="A6735">
        <v>20180331</v>
      </c>
      <c r="B6735">
        <v>2018</v>
      </c>
      <c r="C6735">
        <v>3</v>
      </c>
      <c r="D6735">
        <v>1</v>
      </c>
      <c r="E6735">
        <v>12320</v>
      </c>
      <c r="F6735">
        <v>98677.15</v>
      </c>
      <c r="G6735">
        <v>0</v>
      </c>
      <c r="H6735">
        <v>0</v>
      </c>
      <c r="I6735">
        <v>0</v>
      </c>
      <c r="J6735">
        <v>0</v>
      </c>
      <c r="K6735">
        <v>0</v>
      </c>
      <c r="L6735">
        <v>11750000</v>
      </c>
      <c r="M6735">
        <v>11750000</v>
      </c>
      <c r="N6735">
        <v>11750000</v>
      </c>
      <c r="O6735">
        <v>11750000</v>
      </c>
      <c r="P6735">
        <v>11750000</v>
      </c>
      <c r="Q6735">
        <v>11750000</v>
      </c>
      <c r="R6735" s="14">
        <f>_xlfn.XLOOKUP(Table2[[#This Row],[LoanID]],Table1[G-L ID],Table1[ManagerCode],-99)</f>
        <v>119</v>
      </c>
      <c r="T6735"/>
    </row>
    <row r="6736" spans="1:20" x14ac:dyDescent="0.25">
      <c r="A6736">
        <v>20180331</v>
      </c>
      <c r="B6736">
        <v>2018</v>
      </c>
      <c r="C6736">
        <v>3</v>
      </c>
      <c r="D6736">
        <v>1</v>
      </c>
      <c r="E6736">
        <v>12330</v>
      </c>
      <c r="F6736">
        <v>191590.17</v>
      </c>
      <c r="G6736">
        <v>0</v>
      </c>
      <c r="H6736">
        <v>0</v>
      </c>
      <c r="I6736">
        <v>0</v>
      </c>
      <c r="J6736">
        <v>0</v>
      </c>
      <c r="K6736">
        <v>0</v>
      </c>
      <c r="L6736">
        <v>19976500</v>
      </c>
      <c r="M6736">
        <v>19976500</v>
      </c>
      <c r="N6736">
        <v>19976500</v>
      </c>
      <c r="O6736">
        <v>19976500</v>
      </c>
      <c r="P6736">
        <v>19976500</v>
      </c>
      <c r="Q6736">
        <v>19976500</v>
      </c>
      <c r="R6736" s="14">
        <f>_xlfn.XLOOKUP(Table2[[#This Row],[LoanID]],Table1[G-L ID],Table1[ManagerCode],-99)</f>
        <v>119</v>
      </c>
      <c r="T6736"/>
    </row>
    <row r="6737" spans="1:20" x14ac:dyDescent="0.25">
      <c r="A6737">
        <v>20180331</v>
      </c>
      <c r="B6737">
        <v>2018</v>
      </c>
      <c r="C6737">
        <v>3</v>
      </c>
      <c r="D6737">
        <v>1</v>
      </c>
      <c r="E6737">
        <v>12340</v>
      </c>
      <c r="F6737">
        <v>82087.5</v>
      </c>
      <c r="G6737">
        <v>0</v>
      </c>
      <c r="H6737">
        <v>0</v>
      </c>
      <c r="I6737">
        <v>0</v>
      </c>
      <c r="J6737">
        <v>0</v>
      </c>
      <c r="K6737">
        <v>0</v>
      </c>
      <c r="L6737">
        <v>24000000</v>
      </c>
      <c r="M6737">
        <v>24000000</v>
      </c>
      <c r="N6737">
        <v>12000000</v>
      </c>
      <c r="O6737">
        <v>12000000</v>
      </c>
      <c r="P6737">
        <v>24000000</v>
      </c>
      <c r="Q6737">
        <v>24000000</v>
      </c>
      <c r="R6737" s="14">
        <f>_xlfn.XLOOKUP(Table2[[#This Row],[LoanID]],Table1[G-L ID],Table1[ManagerCode],-99)</f>
        <v>183</v>
      </c>
      <c r="T6737"/>
    </row>
    <row r="6738" spans="1:20" x14ac:dyDescent="0.25">
      <c r="A6738">
        <v>20180331</v>
      </c>
      <c r="B6738">
        <v>2018</v>
      </c>
      <c r="C6738">
        <v>3</v>
      </c>
      <c r="D6738">
        <v>1</v>
      </c>
      <c r="E6738">
        <v>12350</v>
      </c>
      <c r="F6738">
        <v>167479.47</v>
      </c>
      <c r="G6738">
        <v>0</v>
      </c>
      <c r="H6738">
        <v>0</v>
      </c>
      <c r="I6738">
        <v>0</v>
      </c>
      <c r="J6738">
        <v>0</v>
      </c>
      <c r="K6738">
        <v>0</v>
      </c>
      <c r="L6738">
        <v>63232721.689999998</v>
      </c>
      <c r="M6738">
        <v>63232721.689999998</v>
      </c>
      <c r="N6738">
        <v>25732721.690000001</v>
      </c>
      <c r="O6738">
        <v>25732721.690000001</v>
      </c>
      <c r="P6738">
        <v>63232721.689999998</v>
      </c>
      <c r="Q6738">
        <v>63232721.689999998</v>
      </c>
      <c r="R6738" s="14">
        <f>_xlfn.XLOOKUP(Table2[[#This Row],[LoanID]],Table1[G-L ID],Table1[ManagerCode],-99)</f>
        <v>183</v>
      </c>
      <c r="T6738"/>
    </row>
    <row r="6739" spans="1:20" x14ac:dyDescent="0.25">
      <c r="A6739">
        <v>20180331</v>
      </c>
      <c r="B6739">
        <v>2018</v>
      </c>
      <c r="C6739">
        <v>3</v>
      </c>
      <c r="D6739">
        <v>1</v>
      </c>
      <c r="E6739">
        <v>12360</v>
      </c>
      <c r="F6739">
        <v>132984</v>
      </c>
      <c r="G6739">
        <v>0</v>
      </c>
      <c r="H6739">
        <v>0</v>
      </c>
      <c r="I6739">
        <v>0</v>
      </c>
      <c r="J6739">
        <v>0</v>
      </c>
      <c r="K6739">
        <v>0</v>
      </c>
      <c r="L6739">
        <v>60000000</v>
      </c>
      <c r="M6739">
        <v>60000000</v>
      </c>
      <c r="N6739">
        <v>19000000</v>
      </c>
      <c r="O6739">
        <v>19000000</v>
      </c>
      <c r="P6739">
        <v>60000000</v>
      </c>
      <c r="Q6739">
        <v>60000000</v>
      </c>
      <c r="R6739" s="14">
        <f>_xlfn.XLOOKUP(Table2[[#This Row],[LoanID]],Table1[G-L ID],Table1[ManagerCode],-99)</f>
        <v>183</v>
      </c>
      <c r="T6739"/>
    </row>
    <row r="6740" spans="1:20" x14ac:dyDescent="0.25">
      <c r="A6740">
        <v>20180331</v>
      </c>
      <c r="B6740">
        <v>2018</v>
      </c>
      <c r="C6740">
        <v>3</v>
      </c>
      <c r="D6740">
        <v>1</v>
      </c>
      <c r="E6740">
        <v>12370</v>
      </c>
      <c r="F6740">
        <v>347791.67</v>
      </c>
      <c r="G6740">
        <v>0</v>
      </c>
      <c r="H6740">
        <v>0</v>
      </c>
      <c r="I6740">
        <v>0</v>
      </c>
      <c r="J6740">
        <v>0</v>
      </c>
      <c r="K6740">
        <v>0</v>
      </c>
      <c r="L6740">
        <v>104000000</v>
      </c>
      <c r="M6740">
        <v>104000000</v>
      </c>
      <c r="N6740">
        <v>44000000</v>
      </c>
      <c r="O6740">
        <v>44000000</v>
      </c>
      <c r="P6740">
        <v>104000000</v>
      </c>
      <c r="Q6740">
        <v>104000000</v>
      </c>
      <c r="R6740" s="14">
        <f>_xlfn.XLOOKUP(Table2[[#This Row],[LoanID]],Table1[G-L ID],Table1[ManagerCode],-99)</f>
        <v>183</v>
      </c>
      <c r="T6740"/>
    </row>
    <row r="6741" spans="1:20" x14ac:dyDescent="0.25">
      <c r="A6741">
        <v>20180331</v>
      </c>
      <c r="B6741">
        <v>2018</v>
      </c>
      <c r="C6741">
        <v>3</v>
      </c>
      <c r="D6741">
        <v>1</v>
      </c>
      <c r="E6741">
        <v>12380</v>
      </c>
      <c r="F6741">
        <v>86008.43</v>
      </c>
      <c r="G6741">
        <v>0</v>
      </c>
      <c r="H6741">
        <v>0</v>
      </c>
      <c r="I6741">
        <v>0</v>
      </c>
      <c r="J6741">
        <v>0</v>
      </c>
      <c r="K6741">
        <v>0</v>
      </c>
      <c r="L6741">
        <v>32500000</v>
      </c>
      <c r="M6741">
        <v>32500000</v>
      </c>
      <c r="N6741">
        <v>12350000</v>
      </c>
      <c r="O6741">
        <v>12350000</v>
      </c>
      <c r="P6741">
        <v>32500000</v>
      </c>
      <c r="Q6741">
        <v>32500000</v>
      </c>
      <c r="R6741" s="14">
        <f>_xlfn.XLOOKUP(Table2[[#This Row],[LoanID]],Table1[G-L ID],Table1[ManagerCode],-99)</f>
        <v>183</v>
      </c>
      <c r="T6741"/>
    </row>
    <row r="6742" spans="1:20" x14ac:dyDescent="0.25">
      <c r="A6742">
        <v>20180331</v>
      </c>
      <c r="B6742">
        <v>2018</v>
      </c>
      <c r="C6742">
        <v>3</v>
      </c>
      <c r="D6742">
        <v>1</v>
      </c>
      <c r="E6742">
        <v>12390</v>
      </c>
      <c r="F6742">
        <v>292067.12</v>
      </c>
      <c r="G6742">
        <v>357595.83</v>
      </c>
      <c r="H6742">
        <v>0</v>
      </c>
      <c r="I6742">
        <v>0</v>
      </c>
      <c r="J6742">
        <v>-2077993.57</v>
      </c>
      <c r="K6742">
        <v>0</v>
      </c>
      <c r="L6742">
        <v>44331806.07</v>
      </c>
      <c r="M6742">
        <v>46767395.469999999</v>
      </c>
      <c r="N6742">
        <v>44331806.07</v>
      </c>
      <c r="O6742">
        <v>46767395.469999999</v>
      </c>
      <c r="P6742">
        <v>44331806.07</v>
      </c>
      <c r="Q6742">
        <v>46767395.469999999</v>
      </c>
      <c r="R6742" s="14">
        <f>_xlfn.XLOOKUP(Table2[[#This Row],[LoanID]],Table1[G-L ID],Table1[ManagerCode],-99)</f>
        <v>183</v>
      </c>
      <c r="T6742"/>
    </row>
    <row r="6743" spans="1:20" x14ac:dyDescent="0.25">
      <c r="A6743">
        <v>20180331</v>
      </c>
      <c r="B6743">
        <v>2018</v>
      </c>
      <c r="C6743">
        <v>3</v>
      </c>
      <c r="D6743">
        <v>1</v>
      </c>
      <c r="E6743">
        <v>12400</v>
      </c>
      <c r="F6743">
        <v>79596.62</v>
      </c>
      <c r="G6743">
        <v>89368.83</v>
      </c>
      <c r="H6743">
        <v>0</v>
      </c>
      <c r="I6743">
        <v>0</v>
      </c>
      <c r="J6743">
        <v>-327750.34000000003</v>
      </c>
      <c r="K6743">
        <v>0</v>
      </c>
      <c r="L6743">
        <v>16322864.98</v>
      </c>
      <c r="M6743">
        <v>16739984.15</v>
      </c>
      <c r="N6743">
        <v>16322864.98</v>
      </c>
      <c r="O6743">
        <v>16739984.15</v>
      </c>
      <c r="P6743">
        <v>16322864.98</v>
      </c>
      <c r="Q6743">
        <v>16739984.15</v>
      </c>
      <c r="R6743" s="14">
        <f>_xlfn.XLOOKUP(Table2[[#This Row],[LoanID]],Table1[G-L ID],Table1[ManagerCode],-99)</f>
        <v>183</v>
      </c>
      <c r="T6743"/>
    </row>
    <row r="6744" spans="1:20" x14ac:dyDescent="0.25">
      <c r="A6744">
        <v>20180331</v>
      </c>
      <c r="B6744">
        <v>2018</v>
      </c>
      <c r="C6744">
        <v>3</v>
      </c>
      <c r="D6744">
        <v>1</v>
      </c>
      <c r="E6744">
        <v>12410</v>
      </c>
      <c r="F6744">
        <v>320897.51</v>
      </c>
      <c r="G6744">
        <v>256718.01</v>
      </c>
      <c r="H6744">
        <v>0</v>
      </c>
      <c r="I6744">
        <v>0</v>
      </c>
      <c r="J6744">
        <v>0</v>
      </c>
      <c r="K6744">
        <v>0</v>
      </c>
      <c r="L6744">
        <v>73815169.569999993</v>
      </c>
      <c r="M6744">
        <v>73815169.569999993</v>
      </c>
      <c r="N6744">
        <v>73815169.569999993</v>
      </c>
      <c r="O6744">
        <v>73815169.569999993</v>
      </c>
      <c r="P6744">
        <v>77015401.75</v>
      </c>
      <c r="Q6744">
        <v>77272119.760000005</v>
      </c>
      <c r="R6744" s="14">
        <f>_xlfn.XLOOKUP(Table2[[#This Row],[LoanID]],Table1[G-L ID],Table1[ManagerCode],-99)</f>
        <v>103</v>
      </c>
      <c r="T6744"/>
    </row>
    <row r="6745" spans="1:20" x14ac:dyDescent="0.25">
      <c r="A6745">
        <v>20180331</v>
      </c>
      <c r="B6745">
        <v>2018</v>
      </c>
      <c r="C6745">
        <v>3</v>
      </c>
      <c r="D6745">
        <v>1</v>
      </c>
      <c r="E6745">
        <v>12420</v>
      </c>
      <c r="F6745">
        <v>33211.54</v>
      </c>
      <c r="G6745">
        <v>0</v>
      </c>
      <c r="H6745">
        <v>0</v>
      </c>
      <c r="I6745">
        <v>0</v>
      </c>
      <c r="J6745">
        <v>0</v>
      </c>
      <c r="K6745">
        <v>0</v>
      </c>
      <c r="L6745">
        <v>3087650.93</v>
      </c>
      <c r="M6745">
        <v>3087650.93</v>
      </c>
      <c r="N6745">
        <v>3087650.93</v>
      </c>
      <c r="O6745">
        <v>3087650.93</v>
      </c>
      <c r="P6745">
        <v>3087650.93</v>
      </c>
      <c r="Q6745">
        <v>3087650.93</v>
      </c>
      <c r="R6745" s="14">
        <f>_xlfn.XLOOKUP(Table2[[#This Row],[LoanID]],Table1[G-L ID],Table1[ManagerCode],-99)</f>
        <v>103</v>
      </c>
      <c r="T6745"/>
    </row>
    <row r="6746" spans="1:20" x14ac:dyDescent="0.25">
      <c r="A6746">
        <v>20180331</v>
      </c>
      <c r="B6746">
        <v>2018</v>
      </c>
      <c r="C6746">
        <v>3</v>
      </c>
      <c r="D6746">
        <v>1</v>
      </c>
      <c r="E6746">
        <v>12430</v>
      </c>
      <c r="F6746">
        <v>48632.24</v>
      </c>
      <c r="G6746">
        <v>0</v>
      </c>
      <c r="H6746">
        <v>0</v>
      </c>
      <c r="I6746">
        <v>0</v>
      </c>
      <c r="J6746">
        <v>-1101279.54</v>
      </c>
      <c r="K6746">
        <v>0</v>
      </c>
      <c r="L6746">
        <v>13878369.91</v>
      </c>
      <c r="M6746">
        <v>14831864.210000001</v>
      </c>
      <c r="N6746">
        <v>13878369.91</v>
      </c>
      <c r="O6746">
        <v>14831864.210000001</v>
      </c>
      <c r="P6746">
        <v>15224103.779999999</v>
      </c>
      <c r="Q6746">
        <v>16325383.32</v>
      </c>
      <c r="R6746" s="14">
        <f>_xlfn.XLOOKUP(Table2[[#This Row],[LoanID]],Table1[G-L ID],Table1[ManagerCode],-99)</f>
        <v>103</v>
      </c>
      <c r="T6746"/>
    </row>
    <row r="6747" spans="1:20" x14ac:dyDescent="0.25">
      <c r="A6747">
        <v>20180331</v>
      </c>
      <c r="B6747">
        <v>2018</v>
      </c>
      <c r="C6747">
        <v>3</v>
      </c>
      <c r="D6747">
        <v>1</v>
      </c>
      <c r="E6747">
        <v>12440</v>
      </c>
      <c r="F6747">
        <v>0</v>
      </c>
      <c r="G6747">
        <v>0</v>
      </c>
      <c r="H6747">
        <v>0</v>
      </c>
      <c r="I6747">
        <v>0</v>
      </c>
      <c r="J6747">
        <v>0</v>
      </c>
      <c r="K6747">
        <v>49423.16</v>
      </c>
      <c r="L6747">
        <v>4600944.53</v>
      </c>
      <c r="M6747">
        <v>4600944.53</v>
      </c>
      <c r="N6747">
        <v>4600944.53</v>
      </c>
      <c r="O6747">
        <v>4600944.53</v>
      </c>
      <c r="P6747">
        <v>4073172.77</v>
      </c>
      <c r="Q6747">
        <v>4023749.61</v>
      </c>
      <c r="R6747" s="14">
        <f>_xlfn.XLOOKUP(Table2[[#This Row],[LoanID]],Table1[G-L ID],Table1[ManagerCode],-99)</f>
        <v>103</v>
      </c>
      <c r="T6747"/>
    </row>
    <row r="6748" spans="1:20" x14ac:dyDescent="0.25">
      <c r="A6748">
        <v>20180331</v>
      </c>
      <c r="B6748">
        <v>2018</v>
      </c>
      <c r="C6748">
        <v>3</v>
      </c>
      <c r="D6748">
        <v>1</v>
      </c>
      <c r="E6748">
        <v>12450</v>
      </c>
      <c r="F6748">
        <v>12415.68</v>
      </c>
      <c r="G6748">
        <v>18848.89</v>
      </c>
      <c r="H6748">
        <v>0</v>
      </c>
      <c r="I6748">
        <v>0</v>
      </c>
      <c r="J6748">
        <v>-667330.73</v>
      </c>
      <c r="K6748">
        <v>0</v>
      </c>
      <c r="L6748">
        <v>2820389.85</v>
      </c>
      <c r="M6748">
        <v>3492084.5</v>
      </c>
      <c r="N6748">
        <v>2820389.85</v>
      </c>
      <c r="O6748">
        <v>3492084.5</v>
      </c>
      <c r="P6748">
        <v>2820389.85</v>
      </c>
      <c r="Q6748">
        <v>3492084.5</v>
      </c>
      <c r="R6748" s="14">
        <f>_xlfn.XLOOKUP(Table2[[#This Row],[LoanID]],Table1[G-L ID],Table1[ManagerCode],-99)</f>
        <v>183</v>
      </c>
      <c r="T6748"/>
    </row>
    <row r="6749" spans="1:20" x14ac:dyDescent="0.25">
      <c r="A6749">
        <v>20180331</v>
      </c>
      <c r="B6749">
        <v>2018</v>
      </c>
      <c r="C6749">
        <v>3</v>
      </c>
      <c r="D6749">
        <v>1</v>
      </c>
      <c r="E6749">
        <v>12460</v>
      </c>
      <c r="F6749">
        <v>42250</v>
      </c>
      <c r="G6749">
        <v>86757.45</v>
      </c>
      <c r="H6749">
        <v>0</v>
      </c>
      <c r="I6749">
        <v>0</v>
      </c>
      <c r="J6749">
        <v>0</v>
      </c>
      <c r="K6749">
        <v>0</v>
      </c>
      <c r="L6749">
        <v>8582604.0600000005</v>
      </c>
      <c r="M6749">
        <v>8626180.0999999996</v>
      </c>
      <c r="N6749">
        <v>8582604.0600000005</v>
      </c>
      <c r="O6749">
        <v>8626180.0999999996</v>
      </c>
      <c r="P6749">
        <v>8582604.0600000005</v>
      </c>
      <c r="Q6749">
        <v>8626180.0999999996</v>
      </c>
      <c r="R6749" s="14">
        <f>_xlfn.XLOOKUP(Table2[[#This Row],[LoanID]],Table1[G-L ID],Table1[ManagerCode],-99)</f>
        <v>183</v>
      </c>
      <c r="T6749"/>
    </row>
    <row r="6750" spans="1:20" x14ac:dyDescent="0.25">
      <c r="A6750">
        <v>20180331</v>
      </c>
      <c r="B6750">
        <v>2018</v>
      </c>
      <c r="C6750">
        <v>3</v>
      </c>
      <c r="D6750">
        <v>1</v>
      </c>
      <c r="E6750">
        <v>12470</v>
      </c>
      <c r="F6750">
        <v>332882.8</v>
      </c>
      <c r="G6750">
        <v>0</v>
      </c>
      <c r="H6750">
        <v>0</v>
      </c>
      <c r="I6750">
        <v>0</v>
      </c>
      <c r="J6750">
        <v>0</v>
      </c>
      <c r="K6750">
        <v>0</v>
      </c>
      <c r="L6750">
        <v>115000000</v>
      </c>
      <c r="M6750">
        <v>115000000</v>
      </c>
      <c r="N6750">
        <v>46000000</v>
      </c>
      <c r="O6750">
        <v>46000000</v>
      </c>
      <c r="P6750">
        <v>115000000</v>
      </c>
      <c r="Q6750">
        <v>115000000</v>
      </c>
      <c r="R6750" s="14">
        <f>_xlfn.XLOOKUP(Table2[[#This Row],[LoanID]],Table1[G-L ID],Table1[ManagerCode],-99)</f>
        <v>183</v>
      </c>
      <c r="T6750"/>
    </row>
    <row r="6751" spans="1:20" x14ac:dyDescent="0.25">
      <c r="A6751">
        <v>20180331</v>
      </c>
      <c r="B6751">
        <v>2018</v>
      </c>
      <c r="C6751">
        <v>3</v>
      </c>
      <c r="D6751">
        <v>1</v>
      </c>
      <c r="E6751">
        <v>12480</v>
      </c>
      <c r="F6751">
        <v>70493.259999999995</v>
      </c>
      <c r="G6751">
        <v>0</v>
      </c>
      <c r="H6751">
        <v>0</v>
      </c>
      <c r="I6751">
        <v>0</v>
      </c>
      <c r="J6751">
        <v>0</v>
      </c>
      <c r="K6751">
        <v>0</v>
      </c>
      <c r="L6751">
        <v>19880000</v>
      </c>
      <c r="M6751">
        <v>19880000</v>
      </c>
      <c r="N6751">
        <v>9380000</v>
      </c>
      <c r="O6751">
        <v>9380000</v>
      </c>
      <c r="P6751">
        <v>19880000</v>
      </c>
      <c r="Q6751">
        <v>19880000</v>
      </c>
      <c r="R6751" s="14">
        <f>_xlfn.XLOOKUP(Table2[[#This Row],[LoanID]],Table1[G-L ID],Table1[ManagerCode],-99)</f>
        <v>183</v>
      </c>
      <c r="T6751"/>
    </row>
    <row r="6752" spans="1:20" x14ac:dyDescent="0.25">
      <c r="A6752">
        <v>20180331</v>
      </c>
      <c r="B6752">
        <v>2018</v>
      </c>
      <c r="C6752">
        <v>3</v>
      </c>
      <c r="D6752">
        <v>1</v>
      </c>
      <c r="E6752">
        <v>12490</v>
      </c>
      <c r="F6752">
        <v>210513.33</v>
      </c>
      <c r="G6752">
        <v>0</v>
      </c>
      <c r="H6752">
        <v>0</v>
      </c>
      <c r="I6752">
        <v>0</v>
      </c>
      <c r="J6752">
        <v>0</v>
      </c>
      <c r="K6752">
        <v>0</v>
      </c>
      <c r="L6752">
        <v>50200000</v>
      </c>
      <c r="M6752">
        <v>50200000</v>
      </c>
      <c r="N6752">
        <v>19600000</v>
      </c>
      <c r="O6752">
        <v>19600000</v>
      </c>
      <c r="P6752">
        <v>50200000</v>
      </c>
      <c r="Q6752">
        <v>50200000</v>
      </c>
      <c r="R6752" s="14">
        <f>_xlfn.XLOOKUP(Table2[[#This Row],[LoanID]],Table1[G-L ID],Table1[ManagerCode],-99)</f>
        <v>183</v>
      </c>
      <c r="T6752"/>
    </row>
    <row r="6753" spans="1:20" x14ac:dyDescent="0.25">
      <c r="A6753">
        <v>20180331</v>
      </c>
      <c r="B6753">
        <v>2018</v>
      </c>
      <c r="C6753">
        <v>3</v>
      </c>
      <c r="D6753">
        <v>1</v>
      </c>
      <c r="E6753">
        <v>12500</v>
      </c>
      <c r="F6753">
        <v>290636.7</v>
      </c>
      <c r="G6753">
        <v>0</v>
      </c>
      <c r="H6753">
        <v>0</v>
      </c>
      <c r="I6753">
        <v>0</v>
      </c>
      <c r="J6753">
        <v>0</v>
      </c>
      <c r="K6753">
        <v>0</v>
      </c>
      <c r="L6753">
        <v>115000000</v>
      </c>
      <c r="M6753">
        <v>115000000</v>
      </c>
      <c r="N6753">
        <v>46015000</v>
      </c>
      <c r="O6753">
        <v>46015000</v>
      </c>
      <c r="P6753">
        <v>115000000</v>
      </c>
      <c r="Q6753">
        <v>115000000</v>
      </c>
      <c r="R6753" s="14">
        <f>_xlfn.XLOOKUP(Table2[[#This Row],[LoanID]],Table1[G-L ID],Table1[ManagerCode],-99)</f>
        <v>183</v>
      </c>
      <c r="T6753"/>
    </row>
    <row r="6754" spans="1:20" x14ac:dyDescent="0.25">
      <c r="A6754">
        <v>20180331</v>
      </c>
      <c r="B6754">
        <v>2018</v>
      </c>
      <c r="C6754">
        <v>3</v>
      </c>
      <c r="D6754">
        <v>1</v>
      </c>
      <c r="E6754">
        <v>12510</v>
      </c>
      <c r="F6754">
        <v>272687.90000000002</v>
      </c>
      <c r="G6754">
        <v>0</v>
      </c>
      <c r="H6754">
        <v>0</v>
      </c>
      <c r="I6754">
        <v>0</v>
      </c>
      <c r="J6754">
        <v>0</v>
      </c>
      <c r="K6754">
        <v>0</v>
      </c>
      <c r="L6754">
        <v>131500000</v>
      </c>
      <c r="M6754">
        <v>131500000</v>
      </c>
      <c r="N6754">
        <v>46025000</v>
      </c>
      <c r="O6754">
        <v>46025000</v>
      </c>
      <c r="P6754">
        <v>131500000</v>
      </c>
      <c r="Q6754">
        <v>131500000</v>
      </c>
      <c r="R6754" s="14">
        <f>_xlfn.XLOOKUP(Table2[[#This Row],[LoanID]],Table1[G-L ID],Table1[ManagerCode],-99)</f>
        <v>183</v>
      </c>
      <c r="T6754"/>
    </row>
    <row r="6755" spans="1:20" x14ac:dyDescent="0.25">
      <c r="A6755">
        <v>20180331</v>
      </c>
      <c r="B6755">
        <v>2018</v>
      </c>
      <c r="C6755">
        <v>3</v>
      </c>
      <c r="D6755">
        <v>1</v>
      </c>
      <c r="E6755">
        <v>12520</v>
      </c>
      <c r="F6755">
        <v>179213.75</v>
      </c>
      <c r="G6755">
        <v>0</v>
      </c>
      <c r="H6755">
        <v>0</v>
      </c>
      <c r="I6755">
        <v>0</v>
      </c>
      <c r="J6755">
        <v>0</v>
      </c>
      <c r="K6755">
        <v>0</v>
      </c>
      <c r="L6755">
        <v>42000000</v>
      </c>
      <c r="M6755">
        <v>42000000</v>
      </c>
      <c r="N6755">
        <v>17250000</v>
      </c>
      <c r="O6755">
        <v>17250000</v>
      </c>
      <c r="P6755">
        <v>42000000</v>
      </c>
      <c r="Q6755">
        <v>42000000</v>
      </c>
      <c r="R6755" s="14">
        <f>_xlfn.XLOOKUP(Table2[[#This Row],[LoanID]],Table1[G-L ID],Table1[ManagerCode],-99)</f>
        <v>183</v>
      </c>
      <c r="T6755"/>
    </row>
    <row r="6756" spans="1:20" x14ac:dyDescent="0.25">
      <c r="A6756">
        <v>20180331</v>
      </c>
      <c r="B6756">
        <v>2018</v>
      </c>
      <c r="C6756">
        <v>3</v>
      </c>
      <c r="D6756">
        <v>1</v>
      </c>
      <c r="E6756">
        <v>12530</v>
      </c>
      <c r="F6756">
        <v>210522.82</v>
      </c>
      <c r="G6756">
        <v>0</v>
      </c>
      <c r="H6756">
        <v>0</v>
      </c>
      <c r="I6756">
        <v>0</v>
      </c>
      <c r="J6756">
        <v>0</v>
      </c>
      <c r="K6756">
        <v>0</v>
      </c>
      <c r="L6756">
        <v>26200000</v>
      </c>
      <c r="M6756">
        <v>26200000</v>
      </c>
      <c r="N6756">
        <v>26200000</v>
      </c>
      <c r="O6756">
        <v>26200000</v>
      </c>
      <c r="P6756">
        <v>26200000</v>
      </c>
      <c r="Q6756">
        <v>26200000</v>
      </c>
      <c r="R6756" s="14">
        <f>_xlfn.XLOOKUP(Table2[[#This Row],[LoanID]],Table1[G-L ID],Table1[ManagerCode],-99)</f>
        <v>119</v>
      </c>
      <c r="T6756"/>
    </row>
    <row r="6757" spans="1:20" x14ac:dyDescent="0.25">
      <c r="A6757">
        <v>20180331</v>
      </c>
      <c r="B6757">
        <v>2018</v>
      </c>
      <c r="C6757">
        <v>3</v>
      </c>
      <c r="D6757">
        <v>1</v>
      </c>
      <c r="E6757">
        <v>12540</v>
      </c>
      <c r="F6757">
        <v>124724.79</v>
      </c>
      <c r="G6757">
        <v>0</v>
      </c>
      <c r="H6757">
        <v>0</v>
      </c>
      <c r="I6757">
        <v>0</v>
      </c>
      <c r="J6757">
        <v>0</v>
      </c>
      <c r="K6757">
        <v>0</v>
      </c>
      <c r="L6757">
        <v>15657141.18</v>
      </c>
      <c r="M6757">
        <v>15657141.18</v>
      </c>
      <c r="N6757">
        <v>15657141.18</v>
      </c>
      <c r="O6757">
        <v>15657141.18</v>
      </c>
      <c r="P6757">
        <v>15657141.18</v>
      </c>
      <c r="Q6757">
        <v>15657141.18</v>
      </c>
      <c r="R6757" s="14">
        <f>_xlfn.XLOOKUP(Table2[[#This Row],[LoanID]],Table1[G-L ID],Table1[ManagerCode],-99)</f>
        <v>119</v>
      </c>
      <c r="T6757"/>
    </row>
    <row r="6758" spans="1:20" x14ac:dyDescent="0.25">
      <c r="A6758">
        <v>20180331</v>
      </c>
      <c r="B6758">
        <v>2018</v>
      </c>
      <c r="C6758">
        <v>3</v>
      </c>
      <c r="D6758">
        <v>1</v>
      </c>
      <c r="E6758">
        <v>12550</v>
      </c>
      <c r="F6758">
        <v>66800.100000000006</v>
      </c>
      <c r="G6758">
        <v>0</v>
      </c>
      <c r="H6758">
        <v>0</v>
      </c>
      <c r="I6758">
        <v>0</v>
      </c>
      <c r="J6758">
        <v>0</v>
      </c>
      <c r="K6758">
        <v>0</v>
      </c>
      <c r="L6758">
        <v>7416099.1500000004</v>
      </c>
      <c r="M6758">
        <v>7416099.1500000004</v>
      </c>
      <c r="N6758">
        <v>7416099.1500000004</v>
      </c>
      <c r="O6758">
        <v>7416099.1500000004</v>
      </c>
      <c r="P6758">
        <v>7416099.1500000004</v>
      </c>
      <c r="Q6758">
        <v>7416099.1500000004</v>
      </c>
      <c r="R6758" s="14">
        <f>_xlfn.XLOOKUP(Table2[[#This Row],[LoanID]],Table1[G-L ID],Table1[ManagerCode],-99)</f>
        <v>119</v>
      </c>
      <c r="T6758"/>
    </row>
    <row r="6759" spans="1:20" x14ac:dyDescent="0.25">
      <c r="A6759">
        <v>20180331</v>
      </c>
      <c r="B6759">
        <v>2018</v>
      </c>
      <c r="C6759">
        <v>3</v>
      </c>
      <c r="D6759">
        <v>1</v>
      </c>
      <c r="E6759">
        <v>12560</v>
      </c>
      <c r="F6759">
        <v>112167.91</v>
      </c>
      <c r="G6759">
        <v>0</v>
      </c>
      <c r="H6759">
        <v>0</v>
      </c>
      <c r="I6759">
        <v>0</v>
      </c>
      <c r="J6759">
        <v>-780259.11</v>
      </c>
      <c r="K6759">
        <v>0</v>
      </c>
      <c r="L6759">
        <v>13655984.57</v>
      </c>
      <c r="M6759">
        <v>14436243.68</v>
      </c>
      <c r="N6759">
        <v>13655984.57</v>
      </c>
      <c r="O6759">
        <v>14436243.68</v>
      </c>
      <c r="P6759">
        <v>13655984.57</v>
      </c>
      <c r="Q6759">
        <v>14436243.68</v>
      </c>
      <c r="R6759" s="14">
        <f>_xlfn.XLOOKUP(Table2[[#This Row],[LoanID]],Table1[G-L ID],Table1[ManagerCode],-99)</f>
        <v>119</v>
      </c>
      <c r="T6759"/>
    </row>
    <row r="6760" spans="1:20" x14ac:dyDescent="0.25">
      <c r="A6760">
        <v>20180331</v>
      </c>
      <c r="B6760">
        <v>2018</v>
      </c>
      <c r="C6760">
        <v>3</v>
      </c>
      <c r="D6760">
        <v>1</v>
      </c>
      <c r="E6760">
        <v>12570</v>
      </c>
      <c r="F6760">
        <v>69770.63</v>
      </c>
      <c r="G6760">
        <v>0</v>
      </c>
      <c r="H6760">
        <v>0</v>
      </c>
      <c r="I6760">
        <v>0</v>
      </c>
      <c r="J6760">
        <v>0</v>
      </c>
      <c r="K6760">
        <v>0</v>
      </c>
      <c r="L6760">
        <v>8924400</v>
      </c>
      <c r="M6760">
        <v>8924400</v>
      </c>
      <c r="N6760">
        <v>8924400</v>
      </c>
      <c r="O6760">
        <v>8924400</v>
      </c>
      <c r="P6760">
        <v>8924400</v>
      </c>
      <c r="Q6760">
        <v>8924400</v>
      </c>
      <c r="R6760" s="14">
        <f>_xlfn.XLOOKUP(Table2[[#This Row],[LoanID]],Table1[G-L ID],Table1[ManagerCode],-99)</f>
        <v>119</v>
      </c>
      <c r="T6760"/>
    </row>
    <row r="6761" spans="1:20" x14ac:dyDescent="0.25">
      <c r="A6761">
        <v>20180331</v>
      </c>
      <c r="B6761">
        <v>2018</v>
      </c>
      <c r="C6761">
        <v>3</v>
      </c>
      <c r="D6761">
        <v>1</v>
      </c>
      <c r="E6761">
        <v>12580</v>
      </c>
      <c r="F6761">
        <v>163572.32999999999</v>
      </c>
      <c r="G6761">
        <v>0</v>
      </c>
      <c r="H6761">
        <v>0</v>
      </c>
      <c r="I6761">
        <v>0</v>
      </c>
      <c r="J6761">
        <v>0</v>
      </c>
      <c r="K6761">
        <v>0</v>
      </c>
      <c r="L6761">
        <v>18000000</v>
      </c>
      <c r="M6761">
        <v>18000000</v>
      </c>
      <c r="N6761">
        <v>18000000</v>
      </c>
      <c r="O6761">
        <v>18000000</v>
      </c>
      <c r="P6761">
        <v>18000000</v>
      </c>
      <c r="Q6761">
        <v>18000000</v>
      </c>
      <c r="R6761" s="14">
        <f>_xlfn.XLOOKUP(Table2[[#This Row],[LoanID]],Table1[G-L ID],Table1[ManagerCode],-99)</f>
        <v>119</v>
      </c>
      <c r="T6761"/>
    </row>
    <row r="6762" spans="1:20" x14ac:dyDescent="0.25">
      <c r="A6762">
        <v>20180331</v>
      </c>
      <c r="B6762">
        <v>2018</v>
      </c>
      <c r="C6762">
        <v>3</v>
      </c>
      <c r="D6762">
        <v>1</v>
      </c>
      <c r="E6762">
        <v>12590</v>
      </c>
      <c r="F6762">
        <v>71631.39</v>
      </c>
      <c r="G6762">
        <v>0</v>
      </c>
      <c r="H6762">
        <v>0</v>
      </c>
      <c r="I6762">
        <v>0</v>
      </c>
      <c r="J6762">
        <v>0</v>
      </c>
      <c r="K6762">
        <v>0</v>
      </c>
      <c r="L6762">
        <v>8500000</v>
      </c>
      <c r="M6762">
        <v>8500000</v>
      </c>
      <c r="N6762">
        <v>8500000</v>
      </c>
      <c r="O6762">
        <v>8500000</v>
      </c>
      <c r="P6762">
        <v>8500000</v>
      </c>
      <c r="Q6762">
        <v>8500000</v>
      </c>
      <c r="R6762" s="14">
        <f>_xlfn.XLOOKUP(Table2[[#This Row],[LoanID]],Table1[G-L ID],Table1[ManagerCode],-99)</f>
        <v>119</v>
      </c>
      <c r="T6762"/>
    </row>
    <row r="6763" spans="1:20" x14ac:dyDescent="0.25">
      <c r="A6763">
        <v>20180331</v>
      </c>
      <c r="B6763">
        <v>2018</v>
      </c>
      <c r="C6763">
        <v>3</v>
      </c>
      <c r="D6763">
        <v>1</v>
      </c>
      <c r="E6763">
        <v>12600</v>
      </c>
      <c r="F6763">
        <v>213416</v>
      </c>
      <c r="G6763">
        <v>0</v>
      </c>
      <c r="H6763">
        <v>0</v>
      </c>
      <c r="I6763">
        <v>0</v>
      </c>
      <c r="J6763">
        <v>0</v>
      </c>
      <c r="K6763">
        <v>0</v>
      </c>
      <c r="L6763">
        <v>27750000</v>
      </c>
      <c r="M6763">
        <v>27750000</v>
      </c>
      <c r="N6763">
        <v>27750000</v>
      </c>
      <c r="O6763">
        <v>27750000</v>
      </c>
      <c r="P6763">
        <v>27750000</v>
      </c>
      <c r="Q6763">
        <v>27750000</v>
      </c>
      <c r="R6763" s="14">
        <f>_xlfn.XLOOKUP(Table2[[#This Row],[LoanID]],Table1[G-L ID],Table1[ManagerCode],-99)</f>
        <v>119</v>
      </c>
      <c r="T6763"/>
    </row>
    <row r="6764" spans="1:20" x14ac:dyDescent="0.25">
      <c r="A6764">
        <v>20180331</v>
      </c>
      <c r="B6764">
        <v>2018</v>
      </c>
      <c r="C6764">
        <v>3</v>
      </c>
      <c r="D6764">
        <v>1</v>
      </c>
      <c r="E6764">
        <v>12610</v>
      </c>
      <c r="F6764">
        <v>192395.22</v>
      </c>
      <c r="G6764">
        <v>0</v>
      </c>
      <c r="H6764">
        <v>0</v>
      </c>
      <c r="I6764">
        <v>0</v>
      </c>
      <c r="J6764">
        <v>0</v>
      </c>
      <c r="K6764">
        <v>0</v>
      </c>
      <c r="L6764">
        <v>8875000</v>
      </c>
      <c r="M6764">
        <v>8875000</v>
      </c>
      <c r="N6764">
        <v>8875000</v>
      </c>
      <c r="O6764">
        <v>8875000</v>
      </c>
      <c r="P6764">
        <v>8875000</v>
      </c>
      <c r="Q6764">
        <v>8875000</v>
      </c>
      <c r="R6764" s="14">
        <f>_xlfn.XLOOKUP(Table2[[#This Row],[LoanID]],Table1[G-L ID],Table1[ManagerCode],-99)</f>
        <v>119</v>
      </c>
      <c r="T6764"/>
    </row>
    <row r="6765" spans="1:20" x14ac:dyDescent="0.25">
      <c r="A6765">
        <v>20180331</v>
      </c>
      <c r="B6765">
        <v>2018</v>
      </c>
      <c r="C6765">
        <v>3</v>
      </c>
      <c r="D6765">
        <v>1</v>
      </c>
      <c r="E6765">
        <v>12620</v>
      </c>
      <c r="F6765">
        <v>44329.4</v>
      </c>
      <c r="G6765">
        <v>0</v>
      </c>
      <c r="H6765">
        <v>0</v>
      </c>
      <c r="I6765">
        <v>0</v>
      </c>
      <c r="J6765">
        <v>-53742.080000000002</v>
      </c>
      <c r="K6765">
        <v>0</v>
      </c>
      <c r="L6765">
        <v>7433090.9699999997</v>
      </c>
      <c r="M6765">
        <v>7486833.0499999998</v>
      </c>
      <c r="N6765">
        <v>7433090.9699999997</v>
      </c>
      <c r="O6765">
        <v>7486833.0499999998</v>
      </c>
      <c r="P6765">
        <v>7433090.9699999997</v>
      </c>
      <c r="Q6765">
        <v>7486833.0499999998</v>
      </c>
      <c r="R6765" s="14">
        <f>_xlfn.XLOOKUP(Table2[[#This Row],[LoanID]],Table1[G-L ID],Table1[ManagerCode],-99)</f>
        <v>119</v>
      </c>
      <c r="T6765"/>
    </row>
    <row r="6766" spans="1:20" x14ac:dyDescent="0.25">
      <c r="A6766">
        <v>20180331</v>
      </c>
      <c r="B6766">
        <v>2018</v>
      </c>
      <c r="C6766">
        <v>3</v>
      </c>
      <c r="D6766">
        <v>1</v>
      </c>
      <c r="E6766">
        <v>12630</v>
      </c>
      <c r="F6766">
        <v>103809.22</v>
      </c>
      <c r="G6766">
        <v>0</v>
      </c>
      <c r="H6766">
        <v>0</v>
      </c>
      <c r="I6766">
        <v>0</v>
      </c>
      <c r="J6766">
        <v>0</v>
      </c>
      <c r="K6766">
        <v>0</v>
      </c>
      <c r="L6766">
        <v>13211200.35</v>
      </c>
      <c r="M6766">
        <v>13211200.35</v>
      </c>
      <c r="N6766">
        <v>13211200.35</v>
      </c>
      <c r="O6766">
        <v>13211200.35</v>
      </c>
      <c r="P6766">
        <v>13211200.35</v>
      </c>
      <c r="Q6766">
        <v>13211200.35</v>
      </c>
      <c r="R6766" s="14">
        <f>_xlfn.XLOOKUP(Table2[[#This Row],[LoanID]],Table1[G-L ID],Table1[ManagerCode],-99)</f>
        <v>119</v>
      </c>
      <c r="T6766"/>
    </row>
    <row r="6767" spans="1:20" x14ac:dyDescent="0.25">
      <c r="A6767">
        <v>20180331</v>
      </c>
      <c r="B6767">
        <v>2018</v>
      </c>
      <c r="C6767">
        <v>3</v>
      </c>
      <c r="D6767">
        <v>1</v>
      </c>
      <c r="E6767">
        <v>12640</v>
      </c>
      <c r="F6767">
        <v>65665.48</v>
      </c>
      <c r="G6767">
        <v>0</v>
      </c>
      <c r="H6767">
        <v>0</v>
      </c>
      <c r="I6767">
        <v>0</v>
      </c>
      <c r="J6767">
        <v>0</v>
      </c>
      <c r="K6767">
        <v>0</v>
      </c>
      <c r="L6767">
        <v>7433967.4400000004</v>
      </c>
      <c r="M6767">
        <v>7433967.4400000004</v>
      </c>
      <c r="N6767">
        <v>7433967.4400000004</v>
      </c>
      <c r="O6767">
        <v>7433967.4400000004</v>
      </c>
      <c r="P6767">
        <v>7433967.4400000004</v>
      </c>
      <c r="Q6767">
        <v>7433967.4400000004</v>
      </c>
      <c r="R6767" s="14">
        <f>_xlfn.XLOOKUP(Table2[[#This Row],[LoanID]],Table1[G-L ID],Table1[ManagerCode],-99)</f>
        <v>119</v>
      </c>
      <c r="T6767"/>
    </row>
    <row r="6768" spans="1:20" x14ac:dyDescent="0.25">
      <c r="A6768">
        <v>20180331</v>
      </c>
      <c r="B6768">
        <v>2018</v>
      </c>
      <c r="C6768">
        <v>3</v>
      </c>
      <c r="D6768">
        <v>1</v>
      </c>
      <c r="E6768">
        <v>12650</v>
      </c>
      <c r="F6768">
        <v>478283.56</v>
      </c>
      <c r="G6768">
        <v>0</v>
      </c>
      <c r="H6768">
        <v>0</v>
      </c>
      <c r="I6768">
        <v>0</v>
      </c>
      <c r="J6768">
        <v>0</v>
      </c>
      <c r="K6768">
        <v>0</v>
      </c>
      <c r="L6768">
        <v>111200000</v>
      </c>
      <c r="M6768">
        <v>111200000</v>
      </c>
      <c r="N6768">
        <v>44480000</v>
      </c>
      <c r="O6768">
        <v>44480000</v>
      </c>
      <c r="P6768">
        <v>111200000</v>
      </c>
      <c r="Q6768">
        <v>111200000</v>
      </c>
      <c r="R6768" s="14">
        <f>_xlfn.XLOOKUP(Table2[[#This Row],[LoanID]],Table1[G-L ID],Table1[ManagerCode],-99)</f>
        <v>183</v>
      </c>
      <c r="T6768"/>
    </row>
    <row r="6769" spans="1:20" x14ac:dyDescent="0.25">
      <c r="A6769">
        <v>20180331</v>
      </c>
      <c r="B6769">
        <v>2018</v>
      </c>
      <c r="C6769">
        <v>3</v>
      </c>
      <c r="D6769">
        <v>1</v>
      </c>
      <c r="E6769">
        <v>12660</v>
      </c>
      <c r="F6769">
        <v>-88456.67</v>
      </c>
      <c r="G6769">
        <v>0</v>
      </c>
      <c r="H6769">
        <v>399500</v>
      </c>
      <c r="I6769">
        <v>0</v>
      </c>
      <c r="J6769">
        <v>-47000000</v>
      </c>
      <c r="K6769">
        <v>28000000</v>
      </c>
      <c r="L6769">
        <v>0</v>
      </c>
      <c r="M6769">
        <v>47000000</v>
      </c>
      <c r="N6769">
        <v>0</v>
      </c>
      <c r="O6769">
        <v>19000000</v>
      </c>
      <c r="P6769">
        <v>0</v>
      </c>
      <c r="Q6769">
        <v>47000000</v>
      </c>
      <c r="R6769" s="14">
        <f>_xlfn.XLOOKUP(Table2[[#This Row],[LoanID]],Table1[G-L ID],Table1[ManagerCode],-99)</f>
        <v>183</v>
      </c>
      <c r="T6769"/>
    </row>
    <row r="6770" spans="1:20" x14ac:dyDescent="0.25">
      <c r="A6770">
        <v>20180331</v>
      </c>
      <c r="B6770">
        <v>2018</v>
      </c>
      <c r="C6770">
        <v>3</v>
      </c>
      <c r="D6770">
        <v>1</v>
      </c>
      <c r="E6770">
        <v>12670</v>
      </c>
      <c r="F6770">
        <v>34109.47</v>
      </c>
      <c r="G6770">
        <v>0</v>
      </c>
      <c r="H6770">
        <v>0</v>
      </c>
      <c r="I6770">
        <v>0</v>
      </c>
      <c r="J6770">
        <v>0</v>
      </c>
      <c r="K6770">
        <v>0</v>
      </c>
      <c r="L6770">
        <v>15500000</v>
      </c>
      <c r="M6770">
        <v>15500000</v>
      </c>
      <c r="N6770">
        <v>7250000</v>
      </c>
      <c r="O6770">
        <v>7250000</v>
      </c>
      <c r="P6770">
        <v>15500000</v>
      </c>
      <c r="Q6770">
        <v>15500000</v>
      </c>
      <c r="R6770" s="14">
        <f>_xlfn.XLOOKUP(Table2[[#This Row],[LoanID]],Table1[G-L ID],Table1[ManagerCode],-99)</f>
        <v>183</v>
      </c>
      <c r="T6770"/>
    </row>
    <row r="6771" spans="1:20" x14ac:dyDescent="0.25">
      <c r="A6771">
        <v>20180331</v>
      </c>
      <c r="B6771">
        <v>2018</v>
      </c>
      <c r="C6771">
        <v>3</v>
      </c>
      <c r="D6771">
        <v>1</v>
      </c>
      <c r="E6771">
        <v>12680</v>
      </c>
      <c r="F6771">
        <v>130692.27</v>
      </c>
      <c r="G6771">
        <v>0</v>
      </c>
      <c r="H6771">
        <v>0</v>
      </c>
      <c r="I6771">
        <v>0</v>
      </c>
      <c r="J6771">
        <v>0</v>
      </c>
      <c r="K6771">
        <v>0</v>
      </c>
      <c r="L6771">
        <v>16126000</v>
      </c>
      <c r="M6771">
        <v>16126000</v>
      </c>
      <c r="N6771">
        <v>16126000</v>
      </c>
      <c r="O6771">
        <v>16126000</v>
      </c>
      <c r="P6771">
        <v>16126000</v>
      </c>
      <c r="Q6771">
        <v>16126000</v>
      </c>
      <c r="R6771" s="14">
        <f>_xlfn.XLOOKUP(Table2[[#This Row],[LoanID]],Table1[G-L ID],Table1[ManagerCode],-99)</f>
        <v>119</v>
      </c>
      <c r="T6771"/>
    </row>
    <row r="6772" spans="1:20" x14ac:dyDescent="0.25">
      <c r="A6772">
        <v>20180331</v>
      </c>
      <c r="B6772">
        <v>2018</v>
      </c>
      <c r="C6772">
        <v>3</v>
      </c>
      <c r="D6772">
        <v>1</v>
      </c>
      <c r="E6772">
        <v>12690</v>
      </c>
      <c r="F6772">
        <v>82998.16</v>
      </c>
      <c r="G6772">
        <v>0</v>
      </c>
      <c r="H6772">
        <v>0</v>
      </c>
      <c r="I6772">
        <v>0</v>
      </c>
      <c r="J6772">
        <v>0</v>
      </c>
      <c r="K6772">
        <v>0</v>
      </c>
      <c r="L6772">
        <v>10175500</v>
      </c>
      <c r="M6772">
        <v>10175500</v>
      </c>
      <c r="N6772">
        <v>10175500</v>
      </c>
      <c r="O6772">
        <v>10175500</v>
      </c>
      <c r="P6772">
        <v>10175500</v>
      </c>
      <c r="Q6772">
        <v>10175500</v>
      </c>
      <c r="R6772" s="14">
        <f>_xlfn.XLOOKUP(Table2[[#This Row],[LoanID]],Table1[G-L ID],Table1[ManagerCode],-99)</f>
        <v>119</v>
      </c>
      <c r="T6772"/>
    </row>
    <row r="6773" spans="1:20" x14ac:dyDescent="0.25">
      <c r="A6773">
        <v>20180331</v>
      </c>
      <c r="B6773">
        <v>2018</v>
      </c>
      <c r="C6773">
        <v>3</v>
      </c>
      <c r="D6773">
        <v>1</v>
      </c>
      <c r="E6773">
        <v>12700</v>
      </c>
      <c r="F6773">
        <v>193239.89</v>
      </c>
      <c r="G6773">
        <v>0</v>
      </c>
      <c r="H6773">
        <v>0</v>
      </c>
      <c r="I6773">
        <v>0</v>
      </c>
      <c r="J6773">
        <v>0</v>
      </c>
      <c r="K6773">
        <v>0</v>
      </c>
      <c r="L6773">
        <v>25000000</v>
      </c>
      <c r="M6773">
        <v>25000000</v>
      </c>
      <c r="N6773">
        <v>25000000</v>
      </c>
      <c r="O6773">
        <v>25000000</v>
      </c>
      <c r="P6773">
        <v>25000000</v>
      </c>
      <c r="Q6773">
        <v>25000000</v>
      </c>
      <c r="R6773" s="14">
        <f>_xlfn.XLOOKUP(Table2[[#This Row],[LoanID]],Table1[G-L ID],Table1[ManagerCode],-99)</f>
        <v>119</v>
      </c>
      <c r="T6773"/>
    </row>
    <row r="6774" spans="1:20" x14ac:dyDescent="0.25">
      <c r="A6774">
        <v>20180331</v>
      </c>
      <c r="B6774">
        <v>2018</v>
      </c>
      <c r="C6774">
        <v>3</v>
      </c>
      <c r="D6774">
        <v>1</v>
      </c>
      <c r="E6774">
        <v>12710</v>
      </c>
      <c r="F6774">
        <v>92263.93</v>
      </c>
      <c r="G6774">
        <v>0</v>
      </c>
      <c r="H6774">
        <v>0</v>
      </c>
      <c r="I6774">
        <v>0</v>
      </c>
      <c r="J6774">
        <v>0</v>
      </c>
      <c r="K6774">
        <v>0</v>
      </c>
      <c r="L6774">
        <v>9738975</v>
      </c>
      <c r="M6774">
        <v>9738975</v>
      </c>
      <c r="N6774">
        <v>9738975</v>
      </c>
      <c r="O6774">
        <v>9738975</v>
      </c>
      <c r="P6774">
        <v>9738975</v>
      </c>
      <c r="Q6774">
        <v>9738975</v>
      </c>
      <c r="R6774" s="14">
        <f>_xlfn.XLOOKUP(Table2[[#This Row],[LoanID]],Table1[G-L ID],Table1[ManagerCode],-99)</f>
        <v>119</v>
      </c>
      <c r="T6774"/>
    </row>
    <row r="6775" spans="1:20" x14ac:dyDescent="0.25">
      <c r="A6775">
        <v>20180331</v>
      </c>
      <c r="B6775">
        <v>2018</v>
      </c>
      <c r="C6775">
        <v>3</v>
      </c>
      <c r="D6775">
        <v>1</v>
      </c>
      <c r="E6775">
        <v>12750</v>
      </c>
      <c r="F6775">
        <v>-38994.25</v>
      </c>
      <c r="G6775">
        <v>89227.33</v>
      </c>
      <c r="H6775">
        <v>0</v>
      </c>
      <c r="I6775">
        <v>0</v>
      </c>
      <c r="J6775">
        <v>-431388.54</v>
      </c>
      <c r="K6775">
        <v>311341.57</v>
      </c>
      <c r="L6775">
        <v>22692273.109999999</v>
      </c>
      <c r="M6775">
        <v>23212888.98</v>
      </c>
      <c r="N6775">
        <v>11394313.550000001</v>
      </c>
      <c r="O6775">
        <v>11603587.85</v>
      </c>
      <c r="P6775">
        <v>22692273.109999999</v>
      </c>
      <c r="Q6775">
        <v>23212888.98</v>
      </c>
      <c r="R6775" s="14">
        <f>_xlfn.XLOOKUP(Table2[[#This Row],[LoanID]],Table1[G-L ID],Table1[ManagerCode],-99)</f>
        <v>236</v>
      </c>
      <c r="T6775"/>
    </row>
    <row r="6776" spans="1:20" x14ac:dyDescent="0.25">
      <c r="A6776">
        <v>20180331</v>
      </c>
      <c r="B6776">
        <v>2018</v>
      </c>
      <c r="C6776">
        <v>3</v>
      </c>
      <c r="D6776">
        <v>1</v>
      </c>
      <c r="E6776">
        <v>12950</v>
      </c>
      <c r="F6776">
        <v>-156337.85</v>
      </c>
      <c r="G6776">
        <v>0</v>
      </c>
      <c r="H6776">
        <v>0</v>
      </c>
      <c r="I6776">
        <v>0</v>
      </c>
      <c r="J6776">
        <v>0</v>
      </c>
      <c r="K6776">
        <v>0</v>
      </c>
      <c r="L6776">
        <v>26732750</v>
      </c>
      <c r="M6776">
        <v>26732750</v>
      </c>
      <c r="N6776">
        <v>26732750</v>
      </c>
      <c r="O6776">
        <v>26732750</v>
      </c>
      <c r="P6776">
        <v>26732750</v>
      </c>
      <c r="Q6776">
        <v>26732750</v>
      </c>
      <c r="R6776" s="14">
        <f>_xlfn.XLOOKUP(Table2[[#This Row],[LoanID]],Table1[G-L ID],Table1[ManagerCode],-99)</f>
        <v>119</v>
      </c>
      <c r="T6776"/>
    </row>
    <row r="6777" spans="1:20" x14ac:dyDescent="0.25">
      <c r="A6777">
        <v>20180331</v>
      </c>
      <c r="B6777">
        <v>2018</v>
      </c>
      <c r="C6777">
        <v>3</v>
      </c>
      <c r="D6777">
        <v>1</v>
      </c>
      <c r="E6777">
        <v>12960</v>
      </c>
      <c r="F6777">
        <v>144219.6</v>
      </c>
      <c r="G6777">
        <v>0</v>
      </c>
      <c r="H6777">
        <v>0</v>
      </c>
      <c r="I6777">
        <v>0</v>
      </c>
      <c r="J6777">
        <v>0</v>
      </c>
      <c r="K6777">
        <v>0</v>
      </c>
      <c r="L6777">
        <v>35400000</v>
      </c>
      <c r="M6777">
        <v>35400000</v>
      </c>
      <c r="N6777">
        <v>35400000</v>
      </c>
      <c r="O6777">
        <v>35400000</v>
      </c>
      <c r="P6777">
        <v>35400000</v>
      </c>
      <c r="Q6777">
        <v>35400000</v>
      </c>
      <c r="R6777" s="14">
        <f>_xlfn.XLOOKUP(Table2[[#This Row],[LoanID]],Table1[G-L ID],Table1[ManagerCode],-99)</f>
        <v>119</v>
      </c>
      <c r="T6777"/>
    </row>
    <row r="6778" spans="1:20" x14ac:dyDescent="0.25">
      <c r="A6778">
        <v>20180331</v>
      </c>
      <c r="B6778">
        <v>2018</v>
      </c>
      <c r="C6778">
        <v>3</v>
      </c>
      <c r="D6778">
        <v>1</v>
      </c>
      <c r="E6778">
        <v>13000</v>
      </c>
      <c r="F6778">
        <v>9578.86</v>
      </c>
      <c r="G6778">
        <v>0</v>
      </c>
      <c r="H6778">
        <v>0</v>
      </c>
      <c r="I6778">
        <v>0</v>
      </c>
      <c r="J6778">
        <v>-14245679.32</v>
      </c>
      <c r="K6778">
        <v>0</v>
      </c>
      <c r="L6778">
        <v>2856599.57</v>
      </c>
      <c r="M6778">
        <v>17062232.510000002</v>
      </c>
      <c r="N6778">
        <v>2856599.57</v>
      </c>
      <c r="O6778">
        <v>17062232.510000002</v>
      </c>
      <c r="P6778">
        <v>2873656.96</v>
      </c>
      <c r="Q6778">
        <v>17119336.280000001</v>
      </c>
      <c r="R6778" s="14">
        <f>_xlfn.XLOOKUP(Table2[[#This Row],[LoanID]],Table1[G-L ID],Table1[ManagerCode],-99)</f>
        <v>103</v>
      </c>
      <c r="T6778"/>
    </row>
    <row r="6779" spans="1:20" x14ac:dyDescent="0.25">
      <c r="A6779">
        <v>20180331</v>
      </c>
      <c r="B6779">
        <v>2018</v>
      </c>
      <c r="C6779">
        <v>3</v>
      </c>
      <c r="D6779">
        <v>1</v>
      </c>
      <c r="E6779">
        <v>13010</v>
      </c>
      <c r="F6779">
        <v>1400000</v>
      </c>
      <c r="G6779">
        <v>0</v>
      </c>
      <c r="H6779">
        <v>0</v>
      </c>
      <c r="I6779">
        <v>0</v>
      </c>
      <c r="J6779">
        <v>0</v>
      </c>
      <c r="K6779">
        <v>0</v>
      </c>
      <c r="L6779">
        <v>199500000</v>
      </c>
      <c r="M6779">
        <v>198585176</v>
      </c>
      <c r="N6779">
        <v>199500000</v>
      </c>
      <c r="O6779">
        <v>198585176</v>
      </c>
      <c r="P6779">
        <v>210000000</v>
      </c>
      <c r="Q6779">
        <v>210000000</v>
      </c>
      <c r="R6779" s="14">
        <f>_xlfn.XLOOKUP(Table2[[#This Row],[LoanID]],Table1[G-L ID],Table1[ManagerCode],-99)</f>
        <v>103</v>
      </c>
      <c r="T6779"/>
    </row>
    <row r="6780" spans="1:20" x14ac:dyDescent="0.25">
      <c r="A6780">
        <v>20180331</v>
      </c>
      <c r="B6780">
        <v>2018</v>
      </c>
      <c r="C6780">
        <v>3</v>
      </c>
      <c r="D6780">
        <v>1</v>
      </c>
      <c r="E6780">
        <v>13020</v>
      </c>
      <c r="F6780">
        <v>171077.96</v>
      </c>
      <c r="G6780">
        <v>0</v>
      </c>
      <c r="H6780">
        <v>0</v>
      </c>
      <c r="I6780">
        <v>0</v>
      </c>
      <c r="J6780">
        <v>-171077.96</v>
      </c>
      <c r="K6780">
        <v>0</v>
      </c>
      <c r="L6780">
        <v>18329781.710000001</v>
      </c>
      <c r="M6780">
        <v>18500859.670000002</v>
      </c>
      <c r="N6780">
        <v>18329781.710000001</v>
      </c>
      <c r="O6780">
        <v>18500859.670000002</v>
      </c>
      <c r="P6780">
        <v>18329781.710000001</v>
      </c>
      <c r="Q6780">
        <v>18500859.670000002</v>
      </c>
      <c r="R6780" s="14">
        <f>_xlfn.XLOOKUP(Table2[[#This Row],[LoanID]],Table1[G-L ID],Table1[ManagerCode],-99)</f>
        <v>103</v>
      </c>
      <c r="T6780"/>
    </row>
    <row r="6781" spans="1:20" x14ac:dyDescent="0.25">
      <c r="A6781">
        <v>20180331</v>
      </c>
      <c r="B6781">
        <v>2018</v>
      </c>
      <c r="C6781">
        <v>3</v>
      </c>
      <c r="D6781">
        <v>1</v>
      </c>
      <c r="E6781">
        <v>13570</v>
      </c>
      <c r="F6781">
        <v>314829.2</v>
      </c>
      <c r="G6781">
        <v>0</v>
      </c>
      <c r="H6781">
        <v>0</v>
      </c>
      <c r="I6781">
        <v>0</v>
      </c>
      <c r="J6781">
        <v>0</v>
      </c>
      <c r="K6781">
        <v>0</v>
      </c>
      <c r="L6781">
        <v>45173124.340000004</v>
      </c>
      <c r="M6781">
        <v>45206965.789999999</v>
      </c>
      <c r="N6781">
        <v>45173124.340000004</v>
      </c>
      <c r="O6781">
        <v>45206965.789999999</v>
      </c>
      <c r="P6781">
        <v>45800000</v>
      </c>
      <c r="Q6781">
        <v>45800000</v>
      </c>
      <c r="R6781" s="14">
        <f>_xlfn.XLOOKUP(Table2[[#This Row],[LoanID]],Table1[G-L ID],Table1[ManagerCode],-99)</f>
        <v>298</v>
      </c>
      <c r="T6781"/>
    </row>
    <row r="6782" spans="1:20" x14ac:dyDescent="0.25">
      <c r="A6782">
        <v>20180331</v>
      </c>
      <c r="B6782">
        <v>2018</v>
      </c>
      <c r="C6782">
        <v>3</v>
      </c>
      <c r="D6782">
        <v>1</v>
      </c>
      <c r="E6782">
        <v>13580</v>
      </c>
      <c r="F6782">
        <v>387916.67</v>
      </c>
      <c r="G6782">
        <v>0</v>
      </c>
      <c r="H6782">
        <v>0</v>
      </c>
      <c r="I6782">
        <v>0</v>
      </c>
      <c r="J6782">
        <v>0</v>
      </c>
      <c r="K6782">
        <v>0</v>
      </c>
      <c r="L6782">
        <v>63538766.460000001</v>
      </c>
      <c r="M6782">
        <v>63611677.649999999</v>
      </c>
      <c r="N6782">
        <v>63538766.460000001</v>
      </c>
      <c r="O6782">
        <v>63611677.649999999</v>
      </c>
      <c r="P6782">
        <v>66500000</v>
      </c>
      <c r="Q6782">
        <v>66500000</v>
      </c>
      <c r="R6782" s="14">
        <f>_xlfn.XLOOKUP(Table2[[#This Row],[LoanID]],Table1[G-L ID],Table1[ManagerCode],-99)</f>
        <v>298</v>
      </c>
      <c r="T6782"/>
    </row>
    <row r="6783" spans="1:20" x14ac:dyDescent="0.25">
      <c r="A6783">
        <v>20180331</v>
      </c>
      <c r="B6783">
        <v>2018</v>
      </c>
      <c r="C6783">
        <v>3</v>
      </c>
      <c r="D6783">
        <v>1</v>
      </c>
      <c r="E6783">
        <v>13590</v>
      </c>
      <c r="F6783">
        <v>348003.33</v>
      </c>
      <c r="G6783">
        <v>0</v>
      </c>
      <c r="H6783">
        <v>0</v>
      </c>
      <c r="I6783">
        <v>0</v>
      </c>
      <c r="J6783">
        <v>-40000000</v>
      </c>
      <c r="K6783">
        <v>0</v>
      </c>
      <c r="L6783">
        <v>0</v>
      </c>
      <c r="M6783">
        <v>40000000</v>
      </c>
      <c r="N6783">
        <v>0</v>
      </c>
      <c r="O6783">
        <v>40000000</v>
      </c>
      <c r="P6783">
        <v>0</v>
      </c>
      <c r="Q6783">
        <v>40000000</v>
      </c>
      <c r="R6783" s="14">
        <f>_xlfn.XLOOKUP(Table2[[#This Row],[LoanID]],Table1[G-L ID],Table1[ManagerCode],-99)</f>
        <v>298</v>
      </c>
      <c r="T6783"/>
    </row>
    <row r="6784" spans="1:20" x14ac:dyDescent="0.25">
      <c r="A6784">
        <v>20180331</v>
      </c>
      <c r="B6784">
        <v>2018</v>
      </c>
      <c r="C6784">
        <v>3</v>
      </c>
      <c r="D6784">
        <v>1</v>
      </c>
      <c r="E6784">
        <v>13600</v>
      </c>
      <c r="F6784">
        <v>342348.81</v>
      </c>
      <c r="G6784">
        <v>0</v>
      </c>
      <c r="H6784">
        <v>0</v>
      </c>
      <c r="I6784">
        <v>0</v>
      </c>
      <c r="J6784">
        <v>0</v>
      </c>
      <c r="K6784">
        <v>0</v>
      </c>
      <c r="L6784">
        <v>45970000</v>
      </c>
      <c r="M6784">
        <v>45970000</v>
      </c>
      <c r="N6784">
        <v>45970000</v>
      </c>
      <c r="O6784">
        <v>45970000</v>
      </c>
      <c r="P6784">
        <v>45970000</v>
      </c>
      <c r="Q6784">
        <v>45970000</v>
      </c>
      <c r="R6784" s="14">
        <f>_xlfn.XLOOKUP(Table2[[#This Row],[LoanID]],Table1[G-L ID],Table1[ManagerCode],-99)</f>
        <v>298</v>
      </c>
      <c r="T6784"/>
    </row>
    <row r="6785" spans="1:20" x14ac:dyDescent="0.25">
      <c r="A6785">
        <v>20180331</v>
      </c>
      <c r="B6785">
        <v>2018</v>
      </c>
      <c r="C6785">
        <v>3</v>
      </c>
      <c r="D6785">
        <v>1</v>
      </c>
      <c r="E6785">
        <v>13610</v>
      </c>
      <c r="F6785">
        <v>57166.67</v>
      </c>
      <c r="G6785">
        <v>0</v>
      </c>
      <c r="H6785">
        <v>0</v>
      </c>
      <c r="I6785">
        <v>0</v>
      </c>
      <c r="J6785">
        <v>0</v>
      </c>
      <c r="K6785">
        <v>0</v>
      </c>
      <c r="L6785">
        <v>10549064</v>
      </c>
      <c r="M6785">
        <v>10549064</v>
      </c>
      <c r="N6785">
        <v>10549064</v>
      </c>
      <c r="O6785">
        <v>10549064</v>
      </c>
      <c r="P6785">
        <v>10500000</v>
      </c>
      <c r="Q6785">
        <v>10500000</v>
      </c>
      <c r="R6785" s="14">
        <f>_xlfn.XLOOKUP(Table2[[#This Row],[LoanID]],Table1[G-L ID],Table1[ManagerCode],-99)</f>
        <v>298</v>
      </c>
      <c r="T6785"/>
    </row>
    <row r="6786" spans="1:20" x14ac:dyDescent="0.25">
      <c r="A6786">
        <v>20180331</v>
      </c>
      <c r="B6786">
        <v>2018</v>
      </c>
      <c r="C6786">
        <v>3</v>
      </c>
      <c r="D6786">
        <v>1</v>
      </c>
      <c r="E6786">
        <v>13620</v>
      </c>
      <c r="F6786">
        <v>300922.21999999997</v>
      </c>
      <c r="G6786">
        <v>0</v>
      </c>
      <c r="H6786">
        <v>0</v>
      </c>
      <c r="I6786">
        <v>0</v>
      </c>
      <c r="J6786">
        <v>0</v>
      </c>
      <c r="K6786">
        <v>0</v>
      </c>
      <c r="L6786">
        <v>49919787</v>
      </c>
      <c r="M6786">
        <v>49919787</v>
      </c>
      <c r="N6786">
        <v>49919787</v>
      </c>
      <c r="O6786">
        <v>49919787</v>
      </c>
      <c r="P6786">
        <v>50000000</v>
      </c>
      <c r="Q6786">
        <v>50000000</v>
      </c>
      <c r="R6786" s="14">
        <f>_xlfn.XLOOKUP(Table2[[#This Row],[LoanID]],Table1[G-L ID],Table1[ManagerCode],-99)</f>
        <v>298</v>
      </c>
      <c r="T6786"/>
    </row>
    <row r="6787" spans="1:20" x14ac:dyDescent="0.25">
      <c r="A6787">
        <v>20180331</v>
      </c>
      <c r="B6787">
        <v>2018</v>
      </c>
      <c r="C6787">
        <v>3</v>
      </c>
      <c r="D6787">
        <v>1</v>
      </c>
      <c r="E6787">
        <v>13630</v>
      </c>
      <c r="F6787">
        <v>218506.94</v>
      </c>
      <c r="G6787">
        <v>0</v>
      </c>
      <c r="H6787">
        <v>0</v>
      </c>
      <c r="I6787">
        <v>0</v>
      </c>
      <c r="J6787">
        <v>0</v>
      </c>
      <c r="K6787">
        <v>0</v>
      </c>
      <c r="L6787">
        <v>35537284.43</v>
      </c>
      <c r="M6787">
        <v>35537284.43</v>
      </c>
      <c r="N6787">
        <v>35537284.43</v>
      </c>
      <c r="O6787">
        <v>35537284.43</v>
      </c>
      <c r="P6787">
        <v>35000000</v>
      </c>
      <c r="Q6787">
        <v>35000000</v>
      </c>
      <c r="R6787" s="14">
        <f>_xlfn.XLOOKUP(Table2[[#This Row],[LoanID]],Table1[G-L ID],Table1[ManagerCode],-99)</f>
        <v>298</v>
      </c>
      <c r="T6787"/>
    </row>
    <row r="6788" spans="1:20" x14ac:dyDescent="0.25">
      <c r="A6788">
        <v>20180331</v>
      </c>
      <c r="B6788">
        <v>2018</v>
      </c>
      <c r="C6788">
        <v>3</v>
      </c>
      <c r="D6788">
        <v>1</v>
      </c>
      <c r="E6788">
        <v>13640</v>
      </c>
      <c r="F6788">
        <v>205017.36</v>
      </c>
      <c r="G6788">
        <v>0</v>
      </c>
      <c r="H6788">
        <v>0</v>
      </c>
      <c r="I6788">
        <v>0</v>
      </c>
      <c r="J6788">
        <v>0</v>
      </c>
      <c r="K6788">
        <v>0</v>
      </c>
      <c r="L6788">
        <v>30282941</v>
      </c>
      <c r="M6788">
        <v>30282941</v>
      </c>
      <c r="N6788">
        <v>30282941</v>
      </c>
      <c r="O6788">
        <v>30282941</v>
      </c>
      <c r="P6788">
        <v>30125000</v>
      </c>
      <c r="Q6788">
        <v>30125000</v>
      </c>
      <c r="R6788" s="14">
        <f>_xlfn.XLOOKUP(Table2[[#This Row],[LoanID]],Table1[G-L ID],Table1[ManagerCode],-99)</f>
        <v>298</v>
      </c>
      <c r="T6788"/>
    </row>
    <row r="6789" spans="1:20" x14ac:dyDescent="0.25">
      <c r="A6789">
        <v>20180331</v>
      </c>
      <c r="B6789">
        <v>2018</v>
      </c>
      <c r="C6789">
        <v>3</v>
      </c>
      <c r="D6789">
        <v>1</v>
      </c>
      <c r="E6789">
        <v>13650</v>
      </c>
      <c r="F6789">
        <v>202222.22</v>
      </c>
      <c r="G6789">
        <v>0</v>
      </c>
      <c r="H6789">
        <v>0</v>
      </c>
      <c r="I6789">
        <v>0</v>
      </c>
      <c r="J6789">
        <v>0</v>
      </c>
      <c r="K6789">
        <v>0</v>
      </c>
      <c r="L6789">
        <v>38811572</v>
      </c>
      <c r="M6789">
        <v>38811572</v>
      </c>
      <c r="N6789">
        <v>38811572</v>
      </c>
      <c r="O6789">
        <v>38811572</v>
      </c>
      <c r="P6789">
        <v>40000000</v>
      </c>
      <c r="Q6789">
        <v>40000000</v>
      </c>
      <c r="R6789" s="14">
        <f>_xlfn.XLOOKUP(Table2[[#This Row],[LoanID]],Table1[G-L ID],Table1[ManagerCode],-99)</f>
        <v>298</v>
      </c>
      <c r="T6789"/>
    </row>
    <row r="6790" spans="1:20" x14ac:dyDescent="0.25">
      <c r="A6790">
        <v>20180331</v>
      </c>
      <c r="B6790">
        <v>2018</v>
      </c>
      <c r="C6790">
        <v>3</v>
      </c>
      <c r="D6790">
        <v>1</v>
      </c>
      <c r="E6790">
        <v>13660</v>
      </c>
      <c r="F6790">
        <v>106555.56</v>
      </c>
      <c r="G6790">
        <v>0</v>
      </c>
      <c r="H6790">
        <v>0</v>
      </c>
      <c r="I6790">
        <v>0</v>
      </c>
      <c r="J6790">
        <v>0</v>
      </c>
      <c r="K6790">
        <v>0</v>
      </c>
      <c r="L6790">
        <v>18948845</v>
      </c>
      <c r="M6790">
        <v>18948845</v>
      </c>
      <c r="N6790">
        <v>18948845</v>
      </c>
      <c r="O6790">
        <v>18948845</v>
      </c>
      <c r="P6790">
        <v>20000000</v>
      </c>
      <c r="Q6790">
        <v>20000000</v>
      </c>
      <c r="R6790" s="14">
        <f>_xlfn.XLOOKUP(Table2[[#This Row],[LoanID]],Table1[G-L ID],Table1[ManagerCode],-99)</f>
        <v>298</v>
      </c>
      <c r="T6790"/>
    </row>
    <row r="6791" spans="1:20" x14ac:dyDescent="0.25">
      <c r="A6791">
        <v>20180331</v>
      </c>
      <c r="B6791">
        <v>2018</v>
      </c>
      <c r="C6791">
        <v>3</v>
      </c>
      <c r="D6791">
        <v>1</v>
      </c>
      <c r="E6791">
        <v>13670</v>
      </c>
      <c r="F6791">
        <v>294233.33</v>
      </c>
      <c r="G6791">
        <v>0</v>
      </c>
      <c r="H6791">
        <v>0</v>
      </c>
      <c r="I6791">
        <v>0</v>
      </c>
      <c r="J6791">
        <v>0</v>
      </c>
      <c r="K6791">
        <v>0</v>
      </c>
      <c r="L6791">
        <v>37539280.890000001</v>
      </c>
      <c r="M6791">
        <v>37539280.890000001</v>
      </c>
      <c r="N6791">
        <v>37539280.890000001</v>
      </c>
      <c r="O6791">
        <v>37539280.890000001</v>
      </c>
      <c r="P6791">
        <v>37500000</v>
      </c>
      <c r="Q6791">
        <v>37500000</v>
      </c>
      <c r="R6791" s="14">
        <f>_xlfn.XLOOKUP(Table2[[#This Row],[LoanID]],Table1[G-L ID],Table1[ManagerCode],-99)</f>
        <v>298</v>
      </c>
      <c r="T6791"/>
    </row>
    <row r="6792" spans="1:20" x14ac:dyDescent="0.25">
      <c r="A6792">
        <v>20180331</v>
      </c>
      <c r="B6792">
        <v>2018</v>
      </c>
      <c r="C6792">
        <v>3</v>
      </c>
      <c r="D6792">
        <v>1</v>
      </c>
      <c r="E6792">
        <v>13680</v>
      </c>
      <c r="F6792">
        <v>150894.44</v>
      </c>
      <c r="G6792">
        <v>0</v>
      </c>
      <c r="H6792">
        <v>0</v>
      </c>
      <c r="I6792">
        <v>0</v>
      </c>
      <c r="J6792">
        <v>0</v>
      </c>
      <c r="K6792">
        <v>19047.990000000002</v>
      </c>
      <c r="L6792">
        <v>17971328.219999999</v>
      </c>
      <c r="M6792">
        <v>17971328.219999999</v>
      </c>
      <c r="N6792">
        <v>17971328.219999999</v>
      </c>
      <c r="O6792">
        <v>17971328.219999999</v>
      </c>
      <c r="P6792">
        <v>17942856.030000001</v>
      </c>
      <c r="Q6792">
        <v>17923808.039999999</v>
      </c>
      <c r="R6792" s="14">
        <f>_xlfn.XLOOKUP(Table2[[#This Row],[LoanID]],Table1[G-L ID],Table1[ManagerCode],-99)</f>
        <v>298</v>
      </c>
      <c r="T6792"/>
    </row>
    <row r="6793" spans="1:20" x14ac:dyDescent="0.25">
      <c r="A6793">
        <v>20180331</v>
      </c>
      <c r="B6793">
        <v>2018</v>
      </c>
      <c r="C6793">
        <v>3</v>
      </c>
      <c r="D6793">
        <v>1</v>
      </c>
      <c r="E6793">
        <v>13690</v>
      </c>
      <c r="F6793">
        <v>120555.56</v>
      </c>
      <c r="G6793">
        <v>0</v>
      </c>
      <c r="H6793">
        <v>0</v>
      </c>
      <c r="I6793">
        <v>0</v>
      </c>
      <c r="J6793">
        <v>0</v>
      </c>
      <c r="K6793">
        <v>0</v>
      </c>
      <c r="L6793">
        <v>19779539.27</v>
      </c>
      <c r="M6793">
        <v>19779539.27</v>
      </c>
      <c r="N6793">
        <v>19779539.27</v>
      </c>
      <c r="O6793">
        <v>19779539.27</v>
      </c>
      <c r="P6793">
        <v>20000000</v>
      </c>
      <c r="Q6793">
        <v>20000000</v>
      </c>
      <c r="R6793" s="14">
        <f>_xlfn.XLOOKUP(Table2[[#This Row],[LoanID]],Table1[G-L ID],Table1[ManagerCode],-99)</f>
        <v>298</v>
      </c>
      <c r="T6793"/>
    </row>
    <row r="6794" spans="1:20" x14ac:dyDescent="0.25">
      <c r="A6794">
        <v>20180331</v>
      </c>
      <c r="B6794">
        <v>2018</v>
      </c>
      <c r="C6794">
        <v>3</v>
      </c>
      <c r="D6794">
        <v>1</v>
      </c>
      <c r="E6794">
        <v>14670</v>
      </c>
      <c r="F6794">
        <v>65051.08</v>
      </c>
      <c r="G6794">
        <v>0</v>
      </c>
      <c r="H6794">
        <v>0</v>
      </c>
      <c r="I6794">
        <v>0</v>
      </c>
      <c r="J6794">
        <v>0</v>
      </c>
      <c r="K6794">
        <v>0</v>
      </c>
      <c r="L6794">
        <v>29636184</v>
      </c>
      <c r="M6794">
        <v>29643907</v>
      </c>
      <c r="N6794">
        <v>8587934</v>
      </c>
      <c r="O6794">
        <v>8595657</v>
      </c>
      <c r="P6794">
        <v>29500000</v>
      </c>
      <c r="Q6794">
        <v>29500000</v>
      </c>
      <c r="R6794" s="14">
        <f>_xlfn.XLOOKUP(Table2[[#This Row],[LoanID]],Table1[G-L ID],Table1[ManagerCode],-99)</f>
        <v>220</v>
      </c>
      <c r="T6794"/>
    </row>
    <row r="6795" spans="1:20" x14ac:dyDescent="0.25">
      <c r="A6795">
        <v>20180331</v>
      </c>
      <c r="B6795">
        <v>2018</v>
      </c>
      <c r="C6795">
        <v>3</v>
      </c>
      <c r="D6795">
        <v>1</v>
      </c>
      <c r="E6795">
        <v>14680</v>
      </c>
      <c r="F6795">
        <v>28661.78</v>
      </c>
      <c r="G6795">
        <v>0</v>
      </c>
      <c r="H6795">
        <v>0</v>
      </c>
      <c r="I6795">
        <v>0</v>
      </c>
      <c r="J6795">
        <v>0</v>
      </c>
      <c r="K6795">
        <v>0</v>
      </c>
      <c r="L6795">
        <v>27000000</v>
      </c>
      <c r="M6795">
        <v>27094912</v>
      </c>
      <c r="N6795">
        <v>6750000</v>
      </c>
      <c r="O6795">
        <v>6844912</v>
      </c>
      <c r="P6795">
        <v>27000000</v>
      </c>
      <c r="Q6795">
        <v>27000000</v>
      </c>
      <c r="R6795" s="14">
        <f>_xlfn.XLOOKUP(Table2[[#This Row],[LoanID]],Table1[G-L ID],Table1[ManagerCode],-99)</f>
        <v>220</v>
      </c>
      <c r="T6795"/>
    </row>
    <row r="6796" spans="1:20" x14ac:dyDescent="0.25">
      <c r="A6796">
        <v>20180331</v>
      </c>
      <c r="B6796">
        <v>2018</v>
      </c>
      <c r="C6796">
        <v>3</v>
      </c>
      <c r="D6796">
        <v>1</v>
      </c>
      <c r="E6796">
        <v>14790</v>
      </c>
      <c r="F6796">
        <v>153753.60000000001</v>
      </c>
      <c r="G6796">
        <v>0</v>
      </c>
      <c r="H6796">
        <v>0</v>
      </c>
      <c r="I6796">
        <v>0</v>
      </c>
      <c r="J6796">
        <v>0</v>
      </c>
      <c r="K6796">
        <v>40000000</v>
      </c>
      <c r="L6796">
        <v>69200000</v>
      </c>
      <c r="M6796">
        <v>69200000</v>
      </c>
      <c r="N6796">
        <v>69200000</v>
      </c>
      <c r="O6796">
        <v>29200000</v>
      </c>
      <c r="P6796">
        <v>69200000</v>
      </c>
      <c r="Q6796">
        <v>69200000</v>
      </c>
      <c r="R6796" s="14">
        <f>_xlfn.XLOOKUP(Table2[[#This Row],[LoanID]],Table1[G-L ID],Table1[ManagerCode],-99)</f>
        <v>220</v>
      </c>
      <c r="T6796"/>
    </row>
    <row r="6797" spans="1:20" x14ac:dyDescent="0.25">
      <c r="A6797">
        <v>20180331</v>
      </c>
      <c r="B6797">
        <v>2018</v>
      </c>
      <c r="C6797">
        <v>3</v>
      </c>
      <c r="D6797">
        <v>1</v>
      </c>
      <c r="E6797">
        <v>14830</v>
      </c>
      <c r="F6797">
        <v>43981.31</v>
      </c>
      <c r="G6797">
        <v>0</v>
      </c>
      <c r="H6797">
        <v>185000</v>
      </c>
      <c r="I6797">
        <v>0</v>
      </c>
      <c r="J6797">
        <v>-33256189</v>
      </c>
      <c r="K6797">
        <v>19953713.399999999</v>
      </c>
      <c r="L6797">
        <v>0</v>
      </c>
      <c r="M6797">
        <v>33256189</v>
      </c>
      <c r="N6797">
        <v>0</v>
      </c>
      <c r="O6797">
        <v>13302475.6</v>
      </c>
      <c r="P6797">
        <v>0</v>
      </c>
      <c r="Q6797">
        <v>33256189</v>
      </c>
      <c r="R6797" s="14">
        <f>_xlfn.XLOOKUP(Table2[[#This Row],[LoanID]],Table1[G-L ID],Table1[ManagerCode],-99)</f>
        <v>220</v>
      </c>
      <c r="T6797"/>
    </row>
    <row r="6798" spans="1:20" x14ac:dyDescent="0.25">
      <c r="A6798">
        <v>20180331</v>
      </c>
      <c r="B6798">
        <v>2018</v>
      </c>
      <c r="C6798">
        <v>3</v>
      </c>
      <c r="D6798">
        <v>1</v>
      </c>
      <c r="E6798">
        <v>14840</v>
      </c>
      <c r="F6798">
        <v>42880.52</v>
      </c>
      <c r="G6798">
        <v>0</v>
      </c>
      <c r="H6798">
        <v>227500</v>
      </c>
      <c r="I6798">
        <v>0</v>
      </c>
      <c r="J6798">
        <v>-30820000</v>
      </c>
      <c r="K6798">
        <v>18492000</v>
      </c>
      <c r="L6798">
        <v>0</v>
      </c>
      <c r="M6798">
        <v>30820000</v>
      </c>
      <c r="N6798">
        <v>0</v>
      </c>
      <c r="O6798">
        <v>12328000</v>
      </c>
      <c r="P6798">
        <v>0</v>
      </c>
      <c r="Q6798">
        <v>30820000</v>
      </c>
      <c r="R6798" s="14">
        <f>_xlfn.XLOOKUP(Table2[[#This Row],[LoanID]],Table1[G-L ID],Table1[ManagerCode],-99)</f>
        <v>220</v>
      </c>
      <c r="T6798"/>
    </row>
    <row r="6799" spans="1:20" x14ac:dyDescent="0.25">
      <c r="A6799">
        <v>20180331</v>
      </c>
      <c r="B6799">
        <v>2018</v>
      </c>
      <c r="C6799">
        <v>3</v>
      </c>
      <c r="D6799">
        <v>1</v>
      </c>
      <c r="E6799">
        <v>14850</v>
      </c>
      <c r="F6799">
        <v>180868.13</v>
      </c>
      <c r="G6799">
        <v>0</v>
      </c>
      <c r="H6799">
        <v>461925</v>
      </c>
      <c r="I6799">
        <v>0</v>
      </c>
      <c r="J6799">
        <v>-75450796</v>
      </c>
      <c r="K6799">
        <v>0</v>
      </c>
      <c r="L6799">
        <v>0</v>
      </c>
      <c r="M6799">
        <v>75450796</v>
      </c>
      <c r="N6799">
        <v>0</v>
      </c>
      <c r="O6799">
        <v>75450796</v>
      </c>
      <c r="P6799">
        <v>0</v>
      </c>
      <c r="Q6799">
        <v>75450796</v>
      </c>
      <c r="R6799" s="14">
        <f>_xlfn.XLOOKUP(Table2[[#This Row],[LoanID]],Table1[G-L ID],Table1[ManagerCode],-99)</f>
        <v>220</v>
      </c>
      <c r="T6799"/>
    </row>
    <row r="6800" spans="1:20" x14ac:dyDescent="0.25">
      <c r="A6800">
        <v>20180331</v>
      </c>
      <c r="B6800">
        <v>2018</v>
      </c>
      <c r="C6800">
        <v>3</v>
      </c>
      <c r="D6800">
        <v>1</v>
      </c>
      <c r="E6800">
        <v>14950</v>
      </c>
      <c r="F6800">
        <v>76755</v>
      </c>
      <c r="G6800">
        <v>0</v>
      </c>
      <c r="H6800">
        <v>70000</v>
      </c>
      <c r="I6800">
        <v>0</v>
      </c>
      <c r="J6800">
        <v>-35000000</v>
      </c>
      <c r="K6800">
        <v>0</v>
      </c>
      <c r="L6800">
        <v>0</v>
      </c>
      <c r="M6800">
        <v>35000000</v>
      </c>
      <c r="N6800">
        <v>0</v>
      </c>
      <c r="O6800">
        <v>35000000</v>
      </c>
      <c r="P6800">
        <v>0</v>
      </c>
      <c r="Q6800">
        <v>35000000</v>
      </c>
      <c r="R6800" s="14">
        <f>_xlfn.XLOOKUP(Table2[[#This Row],[LoanID]],Table1[G-L ID],Table1[ManagerCode],-99)</f>
        <v>220</v>
      </c>
      <c r="T6800"/>
    </row>
    <row r="6801" spans="1:20" x14ac:dyDescent="0.25">
      <c r="A6801">
        <v>20180331</v>
      </c>
      <c r="B6801">
        <v>2018</v>
      </c>
      <c r="C6801">
        <v>3</v>
      </c>
      <c r="D6801">
        <v>1</v>
      </c>
      <c r="E6801">
        <v>14960</v>
      </c>
      <c r="F6801">
        <v>61166.73</v>
      </c>
      <c r="G6801">
        <v>0</v>
      </c>
      <c r="H6801">
        <v>80000</v>
      </c>
      <c r="I6801">
        <v>0</v>
      </c>
      <c r="J6801">
        <v>-13155000</v>
      </c>
      <c r="K6801">
        <v>0</v>
      </c>
      <c r="L6801">
        <v>0</v>
      </c>
      <c r="M6801">
        <v>13155000</v>
      </c>
      <c r="N6801">
        <v>0</v>
      </c>
      <c r="O6801">
        <v>13155000</v>
      </c>
      <c r="P6801">
        <v>0</v>
      </c>
      <c r="Q6801">
        <v>13155000</v>
      </c>
      <c r="R6801" s="14">
        <f>_xlfn.XLOOKUP(Table2[[#This Row],[LoanID]],Table1[G-L ID],Table1[ManagerCode],-99)</f>
        <v>220</v>
      </c>
      <c r="T6801"/>
    </row>
    <row r="6802" spans="1:20" x14ac:dyDescent="0.25">
      <c r="A6802">
        <v>20180331</v>
      </c>
      <c r="B6802">
        <v>2018</v>
      </c>
      <c r="C6802">
        <v>3</v>
      </c>
      <c r="D6802">
        <v>1</v>
      </c>
      <c r="E6802">
        <v>15030</v>
      </c>
      <c r="F6802">
        <v>66377.320000000007</v>
      </c>
      <c r="G6802">
        <v>0</v>
      </c>
      <c r="H6802">
        <v>0</v>
      </c>
      <c r="I6802">
        <v>0</v>
      </c>
      <c r="J6802">
        <v>-182160.9</v>
      </c>
      <c r="K6802">
        <v>0</v>
      </c>
      <c r="L6802">
        <v>36857675.880000003</v>
      </c>
      <c r="M6802">
        <v>37191328</v>
      </c>
      <c r="N6802">
        <v>13028339.1</v>
      </c>
      <c r="O6802">
        <v>13361991.220000001</v>
      </c>
      <c r="P6802">
        <v>36857675.880000003</v>
      </c>
      <c r="Q6802">
        <v>37039836.780000001</v>
      </c>
      <c r="R6802" s="14">
        <f>_xlfn.XLOOKUP(Table2[[#This Row],[LoanID]],Table1[G-L ID],Table1[ManagerCode],-99)</f>
        <v>220</v>
      </c>
      <c r="T6802"/>
    </row>
    <row r="6803" spans="1:20" x14ac:dyDescent="0.25">
      <c r="A6803">
        <v>20180331</v>
      </c>
      <c r="B6803">
        <v>2018</v>
      </c>
      <c r="C6803">
        <v>3</v>
      </c>
      <c r="D6803">
        <v>1</v>
      </c>
      <c r="E6803">
        <v>15540</v>
      </c>
      <c r="F6803">
        <v>229891.67</v>
      </c>
      <c r="G6803">
        <v>29468.54</v>
      </c>
      <c r="H6803">
        <v>0</v>
      </c>
      <c r="I6803">
        <v>-2041.67</v>
      </c>
      <c r="J6803">
        <v>0</v>
      </c>
      <c r="K6803">
        <v>0</v>
      </c>
      <c r="L6803">
        <v>52729891.670000002</v>
      </c>
      <c r="M6803">
        <v>52759360.210000001</v>
      </c>
      <c r="N6803">
        <v>52729891.670000002</v>
      </c>
      <c r="O6803">
        <v>52759360.210000001</v>
      </c>
      <c r="P6803">
        <v>52729891.670000002</v>
      </c>
      <c r="Q6803">
        <v>52759360.210000001</v>
      </c>
      <c r="R6803" s="14">
        <f>_xlfn.XLOOKUP(Table2[[#This Row],[LoanID]],Table1[G-L ID],Table1[ManagerCode],-99)</f>
        <v>212</v>
      </c>
      <c r="T6803"/>
    </row>
    <row r="6804" spans="1:20" x14ac:dyDescent="0.25">
      <c r="A6804">
        <v>20180331</v>
      </c>
      <c r="B6804">
        <v>2018</v>
      </c>
      <c r="C6804">
        <v>3</v>
      </c>
      <c r="D6804">
        <v>1</v>
      </c>
      <c r="E6804">
        <v>15580</v>
      </c>
      <c r="F6804">
        <v>104981.03</v>
      </c>
      <c r="G6804">
        <v>11101.24</v>
      </c>
      <c r="H6804">
        <v>0</v>
      </c>
      <c r="I6804">
        <v>0</v>
      </c>
      <c r="J6804">
        <v>0</v>
      </c>
      <c r="K6804">
        <v>18420.28</v>
      </c>
      <c r="L6804">
        <v>14696938.550000001</v>
      </c>
      <c r="M6804">
        <v>14689619.51</v>
      </c>
      <c r="N6804">
        <v>14696938.550000001</v>
      </c>
      <c r="O6804">
        <v>14689619.51</v>
      </c>
      <c r="P6804">
        <v>14696938.550000001</v>
      </c>
      <c r="Q6804">
        <v>14689619.51</v>
      </c>
      <c r="R6804" s="14">
        <f>_xlfn.XLOOKUP(Table2[[#This Row],[LoanID]],Table1[G-L ID],Table1[ManagerCode],-99)</f>
        <v>212</v>
      </c>
      <c r="T6804"/>
    </row>
    <row r="6805" spans="1:20" x14ac:dyDescent="0.25">
      <c r="A6805">
        <v>20180331</v>
      </c>
      <c r="B6805">
        <v>2018</v>
      </c>
      <c r="C6805">
        <v>3</v>
      </c>
      <c r="D6805">
        <v>1</v>
      </c>
      <c r="E6805">
        <v>15620</v>
      </c>
      <c r="F6805">
        <v>268753.33</v>
      </c>
      <c r="G6805">
        <v>35981.839999999997</v>
      </c>
      <c r="H6805">
        <v>0</v>
      </c>
      <c r="I6805">
        <v>-3033.33</v>
      </c>
      <c r="J6805">
        <v>0</v>
      </c>
      <c r="K6805">
        <v>0</v>
      </c>
      <c r="L6805">
        <v>78268753.329999998</v>
      </c>
      <c r="M6805">
        <v>78304735.170000002</v>
      </c>
      <c r="N6805">
        <v>78268753.329999998</v>
      </c>
      <c r="O6805">
        <v>78304735.170000002</v>
      </c>
      <c r="P6805">
        <v>78268753.329999998</v>
      </c>
      <c r="Q6805">
        <v>78304735.170000002</v>
      </c>
      <c r="R6805" s="14">
        <f>_xlfn.XLOOKUP(Table2[[#This Row],[LoanID]],Table1[G-L ID],Table1[ManagerCode],-99)</f>
        <v>212</v>
      </c>
      <c r="T6805"/>
    </row>
    <row r="6806" spans="1:20" x14ac:dyDescent="0.25">
      <c r="A6806">
        <v>20180430</v>
      </c>
      <c r="B6806">
        <v>2018</v>
      </c>
      <c r="C6806">
        <v>4</v>
      </c>
      <c r="D6806">
        <v>1</v>
      </c>
      <c r="E6806">
        <v>10010</v>
      </c>
      <c r="F6806">
        <v>186496.86</v>
      </c>
      <c r="G6806">
        <v>0</v>
      </c>
      <c r="H6806">
        <v>0</v>
      </c>
      <c r="I6806">
        <v>0</v>
      </c>
      <c r="J6806">
        <v>28408.27</v>
      </c>
      <c r="K6806">
        <v>0</v>
      </c>
      <c r="L6806">
        <v>17499368.149999999</v>
      </c>
      <c r="M6806">
        <v>17470959.879999999</v>
      </c>
      <c r="N6806">
        <v>17499368.149999999</v>
      </c>
      <c r="O6806">
        <v>17470959.879999999</v>
      </c>
      <c r="P6806">
        <v>17499368.149999999</v>
      </c>
      <c r="Q6806">
        <v>17470959.879999999</v>
      </c>
      <c r="R6806" s="14">
        <f>_xlfn.XLOOKUP(Table2[[#This Row],[LoanID]],Table1[G-L ID],Table1[ManagerCode],-99)</f>
        <v>119</v>
      </c>
      <c r="T6806"/>
    </row>
    <row r="6807" spans="1:20" x14ac:dyDescent="0.25">
      <c r="A6807">
        <v>20180430</v>
      </c>
      <c r="B6807">
        <v>2018</v>
      </c>
      <c r="C6807">
        <v>4</v>
      </c>
      <c r="D6807">
        <v>1</v>
      </c>
      <c r="E6807">
        <v>10030</v>
      </c>
      <c r="F6807">
        <v>101626.21</v>
      </c>
      <c r="G6807">
        <v>0</v>
      </c>
      <c r="H6807">
        <v>0</v>
      </c>
      <c r="I6807">
        <v>0</v>
      </c>
      <c r="J6807">
        <v>0</v>
      </c>
      <c r="K6807">
        <v>0</v>
      </c>
      <c r="L6807">
        <v>8278940.8700000001</v>
      </c>
      <c r="M6807">
        <v>8278940.8700000001</v>
      </c>
      <c r="N6807">
        <v>8278940.8700000001</v>
      </c>
      <c r="O6807">
        <v>8278940.8700000001</v>
      </c>
      <c r="P6807">
        <v>8278940.8700000001</v>
      </c>
      <c r="Q6807">
        <v>8278940.8700000001</v>
      </c>
      <c r="R6807" s="14">
        <f>_xlfn.XLOOKUP(Table2[[#This Row],[LoanID]],Table1[G-L ID],Table1[ManagerCode],-99)</f>
        <v>119</v>
      </c>
      <c r="T6807"/>
    </row>
    <row r="6808" spans="1:20" x14ac:dyDescent="0.25">
      <c r="A6808">
        <v>20180430</v>
      </c>
      <c r="B6808">
        <v>2018</v>
      </c>
      <c r="C6808">
        <v>4</v>
      </c>
      <c r="D6808">
        <v>1</v>
      </c>
      <c r="E6808">
        <v>10050</v>
      </c>
      <c r="F6808">
        <v>153981.01999999999</v>
      </c>
      <c r="G6808">
        <v>0</v>
      </c>
      <c r="H6808">
        <v>0</v>
      </c>
      <c r="I6808">
        <v>-69.44</v>
      </c>
      <c r="J6808">
        <v>0</v>
      </c>
      <c r="K6808">
        <v>0</v>
      </c>
      <c r="L6808">
        <v>36254709.25</v>
      </c>
      <c r="M6808">
        <v>35973789</v>
      </c>
      <c r="N6808">
        <v>36254709.25</v>
      </c>
      <c r="O6808">
        <v>35973789</v>
      </c>
      <c r="P6808">
        <v>33333334</v>
      </c>
      <c r="Q6808">
        <v>33333334</v>
      </c>
      <c r="R6808" s="14">
        <f>_xlfn.XLOOKUP(Table2[[#This Row],[LoanID]],Table1[G-L ID],Table1[ManagerCode],-99)</f>
        <v>103</v>
      </c>
      <c r="T6808"/>
    </row>
    <row r="6809" spans="1:20" x14ac:dyDescent="0.25">
      <c r="A6809">
        <v>20180430</v>
      </c>
      <c r="B6809">
        <v>2018</v>
      </c>
      <c r="C6809">
        <v>4</v>
      </c>
      <c r="D6809">
        <v>1</v>
      </c>
      <c r="E6809">
        <v>10070</v>
      </c>
      <c r="F6809">
        <v>72571.59</v>
      </c>
      <c r="G6809">
        <v>0</v>
      </c>
      <c r="H6809">
        <v>0</v>
      </c>
      <c r="I6809">
        <v>0</v>
      </c>
      <c r="J6809">
        <v>0</v>
      </c>
      <c r="K6809">
        <v>0</v>
      </c>
      <c r="L6809">
        <v>5875000</v>
      </c>
      <c r="M6809">
        <v>5875000</v>
      </c>
      <c r="N6809">
        <v>5875000</v>
      </c>
      <c r="O6809">
        <v>5875000</v>
      </c>
      <c r="P6809">
        <v>5875000</v>
      </c>
      <c r="Q6809">
        <v>5875000</v>
      </c>
      <c r="R6809" s="14">
        <f>_xlfn.XLOOKUP(Table2[[#This Row],[LoanID]],Table1[G-L ID],Table1[ManagerCode],-99)</f>
        <v>119</v>
      </c>
      <c r="T6809"/>
    </row>
    <row r="6810" spans="1:20" x14ac:dyDescent="0.25">
      <c r="A6810">
        <v>20180430</v>
      </c>
      <c r="B6810">
        <v>2018</v>
      </c>
      <c r="C6810">
        <v>4</v>
      </c>
      <c r="D6810">
        <v>1</v>
      </c>
      <c r="E6810">
        <v>10110</v>
      </c>
      <c r="F6810">
        <v>160809.74</v>
      </c>
      <c r="G6810">
        <v>0</v>
      </c>
      <c r="H6810">
        <v>0</v>
      </c>
      <c r="I6810">
        <v>0</v>
      </c>
      <c r="J6810">
        <v>0</v>
      </c>
      <c r="K6810">
        <v>0</v>
      </c>
      <c r="L6810">
        <v>16400000</v>
      </c>
      <c r="M6810">
        <v>16400000</v>
      </c>
      <c r="N6810">
        <v>16400000</v>
      </c>
      <c r="O6810">
        <v>16400000</v>
      </c>
      <c r="P6810">
        <v>16400000</v>
      </c>
      <c r="Q6810">
        <v>16400000</v>
      </c>
      <c r="R6810" s="14">
        <f>_xlfn.XLOOKUP(Table2[[#This Row],[LoanID]],Table1[G-L ID],Table1[ManagerCode],-99)</f>
        <v>119</v>
      </c>
      <c r="T6810"/>
    </row>
    <row r="6811" spans="1:20" x14ac:dyDescent="0.25">
      <c r="A6811">
        <v>20180430</v>
      </c>
      <c r="B6811">
        <v>2018</v>
      </c>
      <c r="C6811">
        <v>4</v>
      </c>
      <c r="D6811">
        <v>1</v>
      </c>
      <c r="E6811">
        <v>10220</v>
      </c>
      <c r="F6811">
        <v>559722.22</v>
      </c>
      <c r="G6811">
        <v>0</v>
      </c>
      <c r="H6811">
        <v>0</v>
      </c>
      <c r="I6811">
        <v>0</v>
      </c>
      <c r="J6811">
        <v>0</v>
      </c>
      <c r="K6811">
        <v>0</v>
      </c>
      <c r="L6811">
        <v>110639911.7</v>
      </c>
      <c r="M6811">
        <v>109937475</v>
      </c>
      <c r="N6811">
        <v>110639911.7</v>
      </c>
      <c r="O6811">
        <v>109937475</v>
      </c>
      <c r="P6811">
        <v>100000000</v>
      </c>
      <c r="Q6811">
        <v>100000000</v>
      </c>
      <c r="R6811" s="14">
        <f>_xlfn.XLOOKUP(Table2[[#This Row],[LoanID]],Table1[G-L ID],Table1[ManagerCode],-99)</f>
        <v>103</v>
      </c>
      <c r="T6811"/>
    </row>
    <row r="6812" spans="1:20" x14ac:dyDescent="0.25">
      <c r="A6812">
        <v>20180430</v>
      </c>
      <c r="B6812">
        <v>2018</v>
      </c>
      <c r="C6812">
        <v>4</v>
      </c>
      <c r="D6812">
        <v>1</v>
      </c>
      <c r="E6812">
        <v>10250</v>
      </c>
      <c r="F6812">
        <v>56217.64</v>
      </c>
      <c r="G6812">
        <v>0</v>
      </c>
      <c r="H6812">
        <v>0</v>
      </c>
      <c r="I6812">
        <v>0</v>
      </c>
      <c r="J6812">
        <v>0</v>
      </c>
      <c r="K6812">
        <v>0</v>
      </c>
      <c r="L6812">
        <v>5000000</v>
      </c>
      <c r="M6812">
        <v>5000000</v>
      </c>
      <c r="N6812">
        <v>5000000</v>
      </c>
      <c r="O6812">
        <v>5000000</v>
      </c>
      <c r="P6812">
        <v>5000000</v>
      </c>
      <c r="Q6812">
        <v>5000000</v>
      </c>
      <c r="R6812" s="14">
        <f>_xlfn.XLOOKUP(Table2[[#This Row],[LoanID]],Table1[G-L ID],Table1[ManagerCode],-99)</f>
        <v>119</v>
      </c>
      <c r="T6812"/>
    </row>
    <row r="6813" spans="1:20" x14ac:dyDescent="0.25">
      <c r="A6813">
        <v>20180430</v>
      </c>
      <c r="B6813">
        <v>2018</v>
      </c>
      <c r="C6813">
        <v>4</v>
      </c>
      <c r="D6813">
        <v>1</v>
      </c>
      <c r="E6813">
        <v>10270</v>
      </c>
      <c r="F6813">
        <v>50101.25</v>
      </c>
      <c r="G6813">
        <v>0</v>
      </c>
      <c r="H6813">
        <v>0</v>
      </c>
      <c r="I6813">
        <v>0</v>
      </c>
      <c r="J6813">
        <v>0</v>
      </c>
      <c r="K6813">
        <v>0</v>
      </c>
      <c r="L6813">
        <v>4500000</v>
      </c>
      <c r="M6813">
        <v>4500000</v>
      </c>
      <c r="N6813">
        <v>4500000</v>
      </c>
      <c r="O6813">
        <v>4500000</v>
      </c>
      <c r="P6813">
        <v>4500000</v>
      </c>
      <c r="Q6813">
        <v>4500000</v>
      </c>
      <c r="R6813" s="14">
        <f>_xlfn.XLOOKUP(Table2[[#This Row],[LoanID]],Table1[G-L ID],Table1[ManagerCode],-99)</f>
        <v>119</v>
      </c>
      <c r="T6813"/>
    </row>
    <row r="6814" spans="1:20" x14ac:dyDescent="0.25">
      <c r="A6814">
        <v>20180430</v>
      </c>
      <c r="B6814">
        <v>2018</v>
      </c>
      <c r="C6814">
        <v>4</v>
      </c>
      <c r="D6814">
        <v>1</v>
      </c>
      <c r="E6814">
        <v>10330</v>
      </c>
      <c r="F6814">
        <v>94235.29</v>
      </c>
      <c r="G6814">
        <v>0</v>
      </c>
      <c r="H6814">
        <v>0</v>
      </c>
      <c r="I6814">
        <v>0</v>
      </c>
      <c r="J6814">
        <v>0</v>
      </c>
      <c r="K6814">
        <v>0</v>
      </c>
      <c r="L6814">
        <v>8652759.6999999993</v>
      </c>
      <c r="M6814">
        <v>8652759.6999999993</v>
      </c>
      <c r="N6814">
        <v>8652759.6999999993</v>
      </c>
      <c r="O6814">
        <v>8652759.6999999993</v>
      </c>
      <c r="P6814">
        <v>8652759.6999999993</v>
      </c>
      <c r="Q6814">
        <v>8652759.6999999993</v>
      </c>
      <c r="R6814" s="14">
        <f>_xlfn.XLOOKUP(Table2[[#This Row],[LoanID]],Table1[G-L ID],Table1[ManagerCode],-99)</f>
        <v>119</v>
      </c>
      <c r="T6814"/>
    </row>
    <row r="6815" spans="1:20" x14ac:dyDescent="0.25">
      <c r="A6815">
        <v>20180430</v>
      </c>
      <c r="B6815">
        <v>2018</v>
      </c>
      <c r="C6815">
        <v>4</v>
      </c>
      <c r="D6815">
        <v>1</v>
      </c>
      <c r="E6815">
        <v>10350</v>
      </c>
      <c r="F6815">
        <v>191037.5</v>
      </c>
      <c r="G6815">
        <v>0</v>
      </c>
      <c r="H6815">
        <v>0</v>
      </c>
      <c r="I6815">
        <v>0</v>
      </c>
      <c r="J6815">
        <v>0</v>
      </c>
      <c r="K6815">
        <v>24800000</v>
      </c>
      <c r="L6815">
        <v>24800000</v>
      </c>
      <c r="M6815">
        <v>0</v>
      </c>
      <c r="N6815">
        <v>24800000</v>
      </c>
      <c r="O6815">
        <v>0</v>
      </c>
      <c r="P6815">
        <v>24800000</v>
      </c>
      <c r="Q6815">
        <v>0</v>
      </c>
      <c r="R6815" s="14">
        <f>_xlfn.XLOOKUP(Table2[[#This Row],[LoanID]],Table1[G-L ID],Table1[ManagerCode],-99)</f>
        <v>220</v>
      </c>
      <c r="T6815"/>
    </row>
    <row r="6816" spans="1:20" x14ac:dyDescent="0.25">
      <c r="A6816">
        <v>20180430</v>
      </c>
      <c r="B6816">
        <v>2018</v>
      </c>
      <c r="C6816">
        <v>4</v>
      </c>
      <c r="D6816">
        <v>1</v>
      </c>
      <c r="E6816">
        <v>10360</v>
      </c>
      <c r="F6816">
        <v>57858.96</v>
      </c>
      <c r="G6816">
        <v>0</v>
      </c>
      <c r="H6816">
        <v>0</v>
      </c>
      <c r="I6816">
        <v>0</v>
      </c>
      <c r="J6816">
        <v>0</v>
      </c>
      <c r="K6816">
        <v>0</v>
      </c>
      <c r="L6816">
        <v>5909000</v>
      </c>
      <c r="M6816">
        <v>5909000</v>
      </c>
      <c r="N6816">
        <v>5909000</v>
      </c>
      <c r="O6816">
        <v>5909000</v>
      </c>
      <c r="P6816">
        <v>5909000</v>
      </c>
      <c r="Q6816">
        <v>5909000</v>
      </c>
      <c r="R6816" s="14">
        <f>_xlfn.XLOOKUP(Table2[[#This Row],[LoanID]],Table1[G-L ID],Table1[ManagerCode],-99)</f>
        <v>183</v>
      </c>
      <c r="T6816"/>
    </row>
    <row r="6817" spans="1:20" x14ac:dyDescent="0.25">
      <c r="A6817">
        <v>20180430</v>
      </c>
      <c r="B6817">
        <v>2018</v>
      </c>
      <c r="C6817">
        <v>4</v>
      </c>
      <c r="D6817">
        <v>1</v>
      </c>
      <c r="E6817">
        <v>10480</v>
      </c>
      <c r="F6817">
        <v>174365.46</v>
      </c>
      <c r="G6817">
        <v>0</v>
      </c>
      <c r="H6817">
        <v>0</v>
      </c>
      <c r="I6817">
        <v>0</v>
      </c>
      <c r="J6817">
        <v>0</v>
      </c>
      <c r="K6817">
        <v>0</v>
      </c>
      <c r="L6817">
        <v>18123440.300000001</v>
      </c>
      <c r="M6817">
        <v>18123440.300000001</v>
      </c>
      <c r="N6817">
        <v>18123440.300000001</v>
      </c>
      <c r="O6817">
        <v>18123440.300000001</v>
      </c>
      <c r="P6817">
        <v>18123440.300000001</v>
      </c>
      <c r="Q6817">
        <v>18123440.300000001</v>
      </c>
      <c r="R6817" s="14">
        <f>_xlfn.XLOOKUP(Table2[[#This Row],[LoanID]],Table1[G-L ID],Table1[ManagerCode],-99)</f>
        <v>119</v>
      </c>
      <c r="T6817"/>
    </row>
    <row r="6818" spans="1:20" x14ac:dyDescent="0.25">
      <c r="A6818">
        <v>20180430</v>
      </c>
      <c r="B6818">
        <v>2018</v>
      </c>
      <c r="C6818">
        <v>4</v>
      </c>
      <c r="D6818">
        <v>1</v>
      </c>
      <c r="E6818">
        <v>10620</v>
      </c>
      <c r="F6818">
        <v>127510.51</v>
      </c>
      <c r="G6818">
        <v>0</v>
      </c>
      <c r="H6818">
        <v>0</v>
      </c>
      <c r="I6818">
        <v>0</v>
      </c>
      <c r="J6818">
        <v>0</v>
      </c>
      <c r="K6818">
        <v>0</v>
      </c>
      <c r="L6818">
        <v>11951308.810000001</v>
      </c>
      <c r="M6818">
        <v>11951308.810000001</v>
      </c>
      <c r="N6818">
        <v>11951308.810000001</v>
      </c>
      <c r="O6818">
        <v>11951308.810000001</v>
      </c>
      <c r="P6818">
        <v>11951308.810000001</v>
      </c>
      <c r="Q6818">
        <v>11951308.810000001</v>
      </c>
      <c r="R6818" s="14">
        <f>_xlfn.XLOOKUP(Table2[[#This Row],[LoanID]],Table1[G-L ID],Table1[ManagerCode],-99)</f>
        <v>119</v>
      </c>
      <c r="T6818"/>
    </row>
    <row r="6819" spans="1:20" x14ac:dyDescent="0.25">
      <c r="A6819">
        <v>20180430</v>
      </c>
      <c r="B6819">
        <v>2018</v>
      </c>
      <c r="C6819">
        <v>4</v>
      </c>
      <c r="D6819">
        <v>1</v>
      </c>
      <c r="E6819">
        <v>10730</v>
      </c>
      <c r="F6819">
        <v>110677.63</v>
      </c>
      <c r="G6819">
        <v>0</v>
      </c>
      <c r="H6819">
        <v>0</v>
      </c>
      <c r="I6819">
        <v>0</v>
      </c>
      <c r="J6819">
        <v>0</v>
      </c>
      <c r="K6819">
        <v>0</v>
      </c>
      <c r="L6819">
        <v>9500000</v>
      </c>
      <c r="M6819">
        <v>9500000</v>
      </c>
      <c r="N6819">
        <v>9500000</v>
      </c>
      <c r="O6819">
        <v>9500000</v>
      </c>
      <c r="P6819">
        <v>9500000</v>
      </c>
      <c r="Q6819">
        <v>9500000</v>
      </c>
      <c r="R6819" s="14">
        <f>_xlfn.XLOOKUP(Table2[[#This Row],[LoanID]],Table1[G-L ID],Table1[ManagerCode],-99)</f>
        <v>119</v>
      </c>
      <c r="T6819"/>
    </row>
    <row r="6820" spans="1:20" x14ac:dyDescent="0.25">
      <c r="A6820">
        <v>20180430</v>
      </c>
      <c r="B6820">
        <v>2018</v>
      </c>
      <c r="C6820">
        <v>4</v>
      </c>
      <c r="D6820">
        <v>1</v>
      </c>
      <c r="E6820">
        <v>10750</v>
      </c>
      <c r="F6820">
        <v>85170.45</v>
      </c>
      <c r="G6820">
        <v>0</v>
      </c>
      <c r="H6820">
        <v>0</v>
      </c>
      <c r="I6820">
        <v>0</v>
      </c>
      <c r="J6820">
        <v>0</v>
      </c>
      <c r="K6820">
        <v>0</v>
      </c>
      <c r="L6820">
        <v>8757259.9600000009</v>
      </c>
      <c r="M6820">
        <v>8757259.9600000009</v>
      </c>
      <c r="N6820">
        <v>8757259.9600000009</v>
      </c>
      <c r="O6820">
        <v>8757259.9600000009</v>
      </c>
      <c r="P6820">
        <v>8757259.9600000009</v>
      </c>
      <c r="Q6820">
        <v>8757259.9600000009</v>
      </c>
      <c r="R6820" s="14">
        <f>_xlfn.XLOOKUP(Table2[[#This Row],[LoanID]],Table1[G-L ID],Table1[ManagerCode],-99)</f>
        <v>119</v>
      </c>
      <c r="T6820"/>
    </row>
    <row r="6821" spans="1:20" x14ac:dyDescent="0.25">
      <c r="A6821">
        <v>20180430</v>
      </c>
      <c r="B6821">
        <v>2018</v>
      </c>
      <c r="C6821">
        <v>4</v>
      </c>
      <c r="D6821">
        <v>1</v>
      </c>
      <c r="E6821">
        <v>10790</v>
      </c>
      <c r="F6821">
        <v>22769.57</v>
      </c>
      <c r="G6821">
        <v>0</v>
      </c>
      <c r="H6821">
        <v>0</v>
      </c>
      <c r="I6821">
        <v>0</v>
      </c>
      <c r="J6821">
        <v>0</v>
      </c>
      <c r="K6821">
        <v>46698.68</v>
      </c>
      <c r="L6821">
        <v>5030977.8</v>
      </c>
      <c r="M6821">
        <v>4968060</v>
      </c>
      <c r="N6821">
        <v>5030977.8</v>
      </c>
      <c r="O6821">
        <v>4968060</v>
      </c>
      <c r="P6821">
        <v>4861830.84</v>
      </c>
      <c r="Q6821">
        <v>4815132.16</v>
      </c>
      <c r="R6821" s="14">
        <f>_xlfn.XLOOKUP(Table2[[#This Row],[LoanID]],Table1[G-L ID],Table1[ManagerCode],-99)</f>
        <v>103</v>
      </c>
      <c r="T6821"/>
    </row>
    <row r="6822" spans="1:20" x14ac:dyDescent="0.25">
      <c r="A6822">
        <v>20180430</v>
      </c>
      <c r="B6822">
        <v>2018</v>
      </c>
      <c r="C6822">
        <v>4</v>
      </c>
      <c r="D6822">
        <v>1</v>
      </c>
      <c r="E6822">
        <v>10810</v>
      </c>
      <c r="F6822">
        <v>97642.22</v>
      </c>
      <c r="G6822">
        <v>0</v>
      </c>
      <c r="H6822">
        <v>0</v>
      </c>
      <c r="I6822">
        <v>0</v>
      </c>
      <c r="J6822">
        <v>0</v>
      </c>
      <c r="K6822">
        <v>0</v>
      </c>
      <c r="L6822">
        <v>9332088.0199999996</v>
      </c>
      <c r="M6822">
        <v>9332088.0199999996</v>
      </c>
      <c r="N6822">
        <v>9332088.0199999996</v>
      </c>
      <c r="O6822">
        <v>9332088.0199999996</v>
      </c>
      <c r="P6822">
        <v>9332088.0199999996</v>
      </c>
      <c r="Q6822">
        <v>9332088.0199999996</v>
      </c>
      <c r="R6822" s="14">
        <f>_xlfn.XLOOKUP(Table2[[#This Row],[LoanID]],Table1[G-L ID],Table1[ManagerCode],-99)</f>
        <v>119</v>
      </c>
      <c r="T6822"/>
    </row>
    <row r="6823" spans="1:20" x14ac:dyDescent="0.25">
      <c r="A6823">
        <v>20180430</v>
      </c>
      <c r="B6823">
        <v>2018</v>
      </c>
      <c r="C6823">
        <v>4</v>
      </c>
      <c r="D6823">
        <v>1</v>
      </c>
      <c r="E6823">
        <v>10820</v>
      </c>
      <c r="F6823">
        <v>199512.17</v>
      </c>
      <c r="G6823">
        <v>0</v>
      </c>
      <c r="H6823">
        <v>0</v>
      </c>
      <c r="I6823">
        <v>0</v>
      </c>
      <c r="J6823">
        <v>0</v>
      </c>
      <c r="K6823">
        <v>0</v>
      </c>
      <c r="L6823">
        <v>24388584.010000002</v>
      </c>
      <c r="M6823">
        <v>24388584.010000002</v>
      </c>
      <c r="N6823">
        <v>24388584.010000002</v>
      </c>
      <c r="O6823">
        <v>24388584.010000002</v>
      </c>
      <c r="P6823">
        <v>24388584.010000002</v>
      </c>
      <c r="Q6823">
        <v>24388584.010000002</v>
      </c>
      <c r="R6823" s="14">
        <f>_xlfn.XLOOKUP(Table2[[#This Row],[LoanID]],Table1[G-L ID],Table1[ManagerCode],-99)</f>
        <v>220</v>
      </c>
      <c r="T6823"/>
    </row>
    <row r="6824" spans="1:20" x14ac:dyDescent="0.25">
      <c r="A6824">
        <v>20180430</v>
      </c>
      <c r="B6824">
        <v>2018</v>
      </c>
      <c r="C6824">
        <v>4</v>
      </c>
      <c r="D6824">
        <v>1</v>
      </c>
      <c r="E6824">
        <v>10830</v>
      </c>
      <c r="F6824">
        <v>63857.77</v>
      </c>
      <c r="G6824">
        <v>0</v>
      </c>
      <c r="H6824">
        <v>0</v>
      </c>
      <c r="I6824">
        <v>0</v>
      </c>
      <c r="J6824">
        <v>0</v>
      </c>
      <c r="K6824">
        <v>0</v>
      </c>
      <c r="L6824">
        <v>7806043.1399999997</v>
      </c>
      <c r="M6824">
        <v>7806043.1399999997</v>
      </c>
      <c r="N6824">
        <v>7806043.1399999997</v>
      </c>
      <c r="O6824">
        <v>7806043.1399999997</v>
      </c>
      <c r="P6824">
        <v>7806043.1399999997</v>
      </c>
      <c r="Q6824">
        <v>7806043.1399999997</v>
      </c>
      <c r="R6824" s="14">
        <f>_xlfn.XLOOKUP(Table2[[#This Row],[LoanID]],Table1[G-L ID],Table1[ManagerCode],-99)</f>
        <v>220</v>
      </c>
      <c r="T6824"/>
    </row>
    <row r="6825" spans="1:20" x14ac:dyDescent="0.25">
      <c r="A6825">
        <v>20180430</v>
      </c>
      <c r="B6825">
        <v>2018</v>
      </c>
      <c r="C6825">
        <v>4</v>
      </c>
      <c r="D6825">
        <v>1</v>
      </c>
      <c r="E6825">
        <v>10840</v>
      </c>
      <c r="F6825">
        <v>103968.23</v>
      </c>
      <c r="G6825">
        <v>0</v>
      </c>
      <c r="H6825">
        <v>0</v>
      </c>
      <c r="I6825">
        <v>0</v>
      </c>
      <c r="J6825">
        <v>0</v>
      </c>
      <c r="K6825">
        <v>0</v>
      </c>
      <c r="L6825">
        <v>12709189</v>
      </c>
      <c r="M6825">
        <v>12709189</v>
      </c>
      <c r="N6825">
        <v>12709189</v>
      </c>
      <c r="O6825">
        <v>12709189</v>
      </c>
      <c r="P6825">
        <v>12709189</v>
      </c>
      <c r="Q6825">
        <v>12709189</v>
      </c>
      <c r="R6825" s="14">
        <f>_xlfn.XLOOKUP(Table2[[#This Row],[LoanID]],Table1[G-L ID],Table1[ManagerCode],-99)</f>
        <v>220</v>
      </c>
      <c r="T6825"/>
    </row>
    <row r="6826" spans="1:20" x14ac:dyDescent="0.25">
      <c r="A6826">
        <v>20180430</v>
      </c>
      <c r="B6826">
        <v>2018</v>
      </c>
      <c r="C6826">
        <v>4</v>
      </c>
      <c r="D6826">
        <v>1</v>
      </c>
      <c r="E6826">
        <v>10850</v>
      </c>
      <c r="F6826">
        <v>110534.78</v>
      </c>
      <c r="G6826">
        <v>0</v>
      </c>
      <c r="H6826">
        <v>0</v>
      </c>
      <c r="I6826">
        <v>0</v>
      </c>
      <c r="J6826">
        <v>0</v>
      </c>
      <c r="K6826">
        <v>0</v>
      </c>
      <c r="L6826">
        <v>13511892</v>
      </c>
      <c r="M6826">
        <v>13511892</v>
      </c>
      <c r="N6826">
        <v>13511892</v>
      </c>
      <c r="O6826">
        <v>13511892</v>
      </c>
      <c r="P6826">
        <v>13511892</v>
      </c>
      <c r="Q6826">
        <v>13511892</v>
      </c>
      <c r="R6826" s="14">
        <f>_xlfn.XLOOKUP(Table2[[#This Row],[LoanID]],Table1[G-L ID],Table1[ManagerCode],-99)</f>
        <v>220</v>
      </c>
      <c r="T6826"/>
    </row>
    <row r="6827" spans="1:20" x14ac:dyDescent="0.25">
      <c r="A6827">
        <v>20180430</v>
      </c>
      <c r="B6827">
        <v>2018</v>
      </c>
      <c r="C6827">
        <v>4</v>
      </c>
      <c r="D6827">
        <v>1</v>
      </c>
      <c r="E6827">
        <v>10910</v>
      </c>
      <c r="F6827">
        <v>79811.97</v>
      </c>
      <c r="G6827">
        <v>0</v>
      </c>
      <c r="H6827">
        <v>0</v>
      </c>
      <c r="I6827">
        <v>0</v>
      </c>
      <c r="J6827">
        <v>0</v>
      </c>
      <c r="K6827">
        <v>0</v>
      </c>
      <c r="L6827">
        <v>7987500</v>
      </c>
      <c r="M6827">
        <v>7987500</v>
      </c>
      <c r="N6827">
        <v>7987500</v>
      </c>
      <c r="O6827">
        <v>7987500</v>
      </c>
      <c r="P6827">
        <v>7987500</v>
      </c>
      <c r="Q6827">
        <v>7987500</v>
      </c>
      <c r="R6827" s="14">
        <f>_xlfn.XLOOKUP(Table2[[#This Row],[LoanID]],Table1[G-L ID],Table1[ManagerCode],-99)</f>
        <v>119</v>
      </c>
      <c r="T6827"/>
    </row>
    <row r="6828" spans="1:20" x14ac:dyDescent="0.25">
      <c r="A6828">
        <v>20180430</v>
      </c>
      <c r="B6828">
        <v>2018</v>
      </c>
      <c r="C6828">
        <v>4</v>
      </c>
      <c r="D6828">
        <v>1</v>
      </c>
      <c r="E6828">
        <v>10930</v>
      </c>
      <c r="F6828">
        <v>0</v>
      </c>
      <c r="G6828">
        <v>218639.44</v>
      </c>
      <c r="H6828">
        <v>0</v>
      </c>
      <c r="I6828">
        <v>0</v>
      </c>
      <c r="J6828">
        <v>0</v>
      </c>
      <c r="K6828">
        <v>0</v>
      </c>
      <c r="L6828">
        <v>19663984.899999999</v>
      </c>
      <c r="M6828">
        <v>19882624.34</v>
      </c>
      <c r="N6828">
        <v>19663984.899999999</v>
      </c>
      <c r="O6828">
        <v>19882624.34</v>
      </c>
      <c r="P6828">
        <v>19663984.899999999</v>
      </c>
      <c r="Q6828">
        <v>19882624.34</v>
      </c>
      <c r="R6828" s="14">
        <f>_xlfn.XLOOKUP(Table2[[#This Row],[LoanID]],Table1[G-L ID],Table1[ManagerCode],-99)</f>
        <v>183</v>
      </c>
      <c r="T6828"/>
    </row>
    <row r="6829" spans="1:20" x14ac:dyDescent="0.25">
      <c r="A6829">
        <v>20180430</v>
      </c>
      <c r="B6829">
        <v>2018</v>
      </c>
      <c r="C6829">
        <v>4</v>
      </c>
      <c r="D6829">
        <v>1</v>
      </c>
      <c r="E6829">
        <v>10970</v>
      </c>
      <c r="F6829">
        <v>25134.77</v>
      </c>
      <c r="G6829">
        <v>27512.1</v>
      </c>
      <c r="H6829">
        <v>0</v>
      </c>
      <c r="I6829">
        <v>0</v>
      </c>
      <c r="J6829">
        <v>-25134.77</v>
      </c>
      <c r="K6829">
        <v>0</v>
      </c>
      <c r="L6829">
        <v>5069731.9800000004</v>
      </c>
      <c r="M6829">
        <v>5122378.8499999996</v>
      </c>
      <c r="N6829">
        <v>5069731.9800000004</v>
      </c>
      <c r="O6829">
        <v>5122378.8499999996</v>
      </c>
      <c r="P6829">
        <v>5069731.9800000004</v>
      </c>
      <c r="Q6829">
        <v>5122378.8499999996</v>
      </c>
      <c r="R6829" s="14">
        <f>_xlfn.XLOOKUP(Table2[[#This Row],[LoanID]],Table1[G-L ID],Table1[ManagerCode],-99)</f>
        <v>183</v>
      </c>
      <c r="T6829"/>
    </row>
    <row r="6830" spans="1:20" x14ac:dyDescent="0.25">
      <c r="A6830">
        <v>20180430</v>
      </c>
      <c r="B6830">
        <v>2018</v>
      </c>
      <c r="C6830">
        <v>4</v>
      </c>
      <c r="D6830">
        <v>1</v>
      </c>
      <c r="E6830">
        <v>11060</v>
      </c>
      <c r="F6830">
        <v>210218.92</v>
      </c>
      <c r="G6830">
        <v>0</v>
      </c>
      <c r="H6830">
        <v>0</v>
      </c>
      <c r="I6830">
        <v>0</v>
      </c>
      <c r="J6830">
        <v>0</v>
      </c>
      <c r="K6830">
        <v>0</v>
      </c>
      <c r="L6830">
        <v>22000000</v>
      </c>
      <c r="M6830">
        <v>22000000</v>
      </c>
      <c r="N6830">
        <v>22000000</v>
      </c>
      <c r="O6830">
        <v>22000000</v>
      </c>
      <c r="P6830">
        <v>22000000</v>
      </c>
      <c r="Q6830">
        <v>22000000</v>
      </c>
      <c r="R6830" s="14">
        <f>_xlfn.XLOOKUP(Table2[[#This Row],[LoanID]],Table1[G-L ID],Table1[ManagerCode],-99)</f>
        <v>119</v>
      </c>
      <c r="T6830"/>
    </row>
    <row r="6831" spans="1:20" x14ac:dyDescent="0.25">
      <c r="A6831">
        <v>20180430</v>
      </c>
      <c r="B6831">
        <v>2018</v>
      </c>
      <c r="C6831">
        <v>4</v>
      </c>
      <c r="D6831">
        <v>1</v>
      </c>
      <c r="E6831">
        <v>11080</v>
      </c>
      <c r="F6831">
        <v>353108.07</v>
      </c>
      <c r="G6831">
        <v>0</v>
      </c>
      <c r="H6831">
        <v>0</v>
      </c>
      <c r="I6831">
        <v>0</v>
      </c>
      <c r="J6831">
        <v>0</v>
      </c>
      <c r="K6831">
        <v>61919.27</v>
      </c>
      <c r="L6831">
        <v>39009141.979999997</v>
      </c>
      <c r="M6831">
        <v>38947222.710000001</v>
      </c>
      <c r="N6831">
        <v>39009141.979999997</v>
      </c>
      <c r="O6831">
        <v>38947222.710000001</v>
      </c>
      <c r="P6831">
        <v>39009141.979999997</v>
      </c>
      <c r="Q6831">
        <v>38947222.710000001</v>
      </c>
      <c r="R6831" s="14">
        <f>_xlfn.XLOOKUP(Table2[[#This Row],[LoanID]],Table1[G-L ID],Table1[ManagerCode],-99)</f>
        <v>119</v>
      </c>
      <c r="T6831"/>
    </row>
    <row r="6832" spans="1:20" x14ac:dyDescent="0.25">
      <c r="A6832">
        <v>20180430</v>
      </c>
      <c r="B6832">
        <v>2018</v>
      </c>
      <c r="C6832">
        <v>4</v>
      </c>
      <c r="D6832">
        <v>1</v>
      </c>
      <c r="E6832">
        <v>11090</v>
      </c>
      <c r="F6832">
        <v>0</v>
      </c>
      <c r="G6832">
        <v>0</v>
      </c>
      <c r="H6832">
        <v>0</v>
      </c>
      <c r="I6832">
        <v>0</v>
      </c>
      <c r="J6832">
        <v>0</v>
      </c>
      <c r="K6832">
        <v>0</v>
      </c>
      <c r="L6832">
        <v>10904000</v>
      </c>
      <c r="M6832">
        <v>10904000</v>
      </c>
      <c r="N6832">
        <v>10904000</v>
      </c>
      <c r="O6832">
        <v>10904000</v>
      </c>
      <c r="P6832">
        <v>10904000</v>
      </c>
      <c r="Q6832">
        <v>10904000</v>
      </c>
      <c r="R6832" s="14">
        <f>_xlfn.XLOOKUP(Table2[[#This Row],[LoanID]],Table1[G-L ID],Table1[ManagerCode],-99)</f>
        <v>119</v>
      </c>
      <c r="T6832"/>
    </row>
    <row r="6833" spans="1:20" x14ac:dyDescent="0.25">
      <c r="A6833">
        <v>20180430</v>
      </c>
      <c r="B6833">
        <v>2018</v>
      </c>
      <c r="C6833">
        <v>4</v>
      </c>
      <c r="D6833">
        <v>1</v>
      </c>
      <c r="E6833">
        <v>11150</v>
      </c>
      <c r="F6833">
        <v>122554.58</v>
      </c>
      <c r="G6833">
        <v>0</v>
      </c>
      <c r="H6833">
        <v>0</v>
      </c>
      <c r="I6833">
        <v>0</v>
      </c>
      <c r="J6833">
        <v>-228869.58</v>
      </c>
      <c r="K6833">
        <v>0</v>
      </c>
      <c r="L6833">
        <v>10228684.119999999</v>
      </c>
      <c r="M6833">
        <v>10457553.699999999</v>
      </c>
      <c r="N6833">
        <v>10228684.119999999</v>
      </c>
      <c r="O6833">
        <v>10457553.699999999</v>
      </c>
      <c r="P6833">
        <v>10228684.119999999</v>
      </c>
      <c r="Q6833">
        <v>10457553.699999999</v>
      </c>
      <c r="R6833" s="14">
        <f>_xlfn.XLOOKUP(Table2[[#This Row],[LoanID]],Table1[G-L ID],Table1[ManagerCode],-99)</f>
        <v>119</v>
      </c>
      <c r="T6833"/>
    </row>
    <row r="6834" spans="1:20" x14ac:dyDescent="0.25">
      <c r="A6834">
        <v>20180430</v>
      </c>
      <c r="B6834">
        <v>2018</v>
      </c>
      <c r="C6834">
        <v>4</v>
      </c>
      <c r="D6834">
        <v>1</v>
      </c>
      <c r="E6834">
        <v>11160</v>
      </c>
      <c r="F6834">
        <v>224730.36</v>
      </c>
      <c r="G6834">
        <v>185381.13</v>
      </c>
      <c r="H6834">
        <v>0</v>
      </c>
      <c r="I6834">
        <v>0</v>
      </c>
      <c r="J6834">
        <v>-212319.52</v>
      </c>
      <c r="K6834">
        <v>2996128.89</v>
      </c>
      <c r="L6834">
        <v>65423491.659999996</v>
      </c>
      <c r="M6834">
        <v>60091360.810000002</v>
      </c>
      <c r="N6834">
        <v>49398381.939999998</v>
      </c>
      <c r="O6834">
        <v>46799953.700000003</v>
      </c>
      <c r="P6834">
        <v>65423491.659999996</v>
      </c>
      <c r="Q6834">
        <v>60091360.810000002</v>
      </c>
      <c r="R6834" s="14">
        <f>_xlfn.XLOOKUP(Table2[[#This Row],[LoanID]],Table1[G-L ID],Table1[ManagerCode],-99)</f>
        <v>183</v>
      </c>
      <c r="T6834"/>
    </row>
    <row r="6835" spans="1:20" x14ac:dyDescent="0.25">
      <c r="A6835">
        <v>20180430</v>
      </c>
      <c r="B6835">
        <v>2018</v>
      </c>
      <c r="C6835">
        <v>4</v>
      </c>
      <c r="D6835">
        <v>1</v>
      </c>
      <c r="E6835">
        <v>11210</v>
      </c>
      <c r="F6835">
        <v>62705.84</v>
      </c>
      <c r="G6835">
        <v>0</v>
      </c>
      <c r="H6835">
        <v>0</v>
      </c>
      <c r="I6835">
        <v>0</v>
      </c>
      <c r="J6835">
        <v>0</v>
      </c>
      <c r="K6835">
        <v>0</v>
      </c>
      <c r="L6835">
        <v>7500000</v>
      </c>
      <c r="M6835">
        <v>7500000</v>
      </c>
      <c r="N6835">
        <v>7500000</v>
      </c>
      <c r="O6835">
        <v>7500000</v>
      </c>
      <c r="P6835">
        <v>7500000</v>
      </c>
      <c r="Q6835">
        <v>7500000</v>
      </c>
      <c r="R6835" s="14">
        <f>_xlfn.XLOOKUP(Table2[[#This Row],[LoanID]],Table1[G-L ID],Table1[ManagerCode],-99)</f>
        <v>119</v>
      </c>
      <c r="T6835"/>
    </row>
    <row r="6836" spans="1:20" x14ac:dyDescent="0.25">
      <c r="A6836">
        <v>20180430</v>
      </c>
      <c r="B6836">
        <v>2018</v>
      </c>
      <c r="C6836">
        <v>4</v>
      </c>
      <c r="D6836">
        <v>1</v>
      </c>
      <c r="E6836">
        <v>11340</v>
      </c>
      <c r="F6836">
        <v>290363.02</v>
      </c>
      <c r="G6836">
        <v>0</v>
      </c>
      <c r="H6836">
        <v>0</v>
      </c>
      <c r="I6836">
        <v>0</v>
      </c>
      <c r="J6836">
        <v>0</v>
      </c>
      <c r="K6836">
        <v>67866.559999999998</v>
      </c>
      <c r="L6836">
        <v>47689114.799999997</v>
      </c>
      <c r="M6836">
        <v>47621928</v>
      </c>
      <c r="N6836">
        <v>47689114.799999997</v>
      </c>
      <c r="O6836">
        <v>47621928</v>
      </c>
      <c r="P6836">
        <v>48170823.030000001</v>
      </c>
      <c r="Q6836">
        <v>48102956.469999999</v>
      </c>
      <c r="R6836" s="14">
        <f>_xlfn.XLOOKUP(Table2[[#This Row],[LoanID]],Table1[G-L ID],Table1[ManagerCode],-99)</f>
        <v>103</v>
      </c>
      <c r="T6836"/>
    </row>
    <row r="6837" spans="1:20" x14ac:dyDescent="0.25">
      <c r="A6837">
        <v>20180430</v>
      </c>
      <c r="B6837">
        <v>2018</v>
      </c>
      <c r="C6837">
        <v>4</v>
      </c>
      <c r="D6837">
        <v>1</v>
      </c>
      <c r="E6837">
        <v>11350</v>
      </c>
      <c r="F6837">
        <v>331527.78000000003</v>
      </c>
      <c r="G6837">
        <v>0</v>
      </c>
      <c r="H6837">
        <v>0</v>
      </c>
      <c r="I6837">
        <v>0</v>
      </c>
      <c r="J6837">
        <v>0</v>
      </c>
      <c r="K6837">
        <v>0</v>
      </c>
      <c r="L6837">
        <v>54449945.549999997</v>
      </c>
      <c r="M6837">
        <v>54449945</v>
      </c>
      <c r="N6837">
        <v>54449945.549999997</v>
      </c>
      <c r="O6837">
        <v>54449945</v>
      </c>
      <c r="P6837">
        <v>55000000</v>
      </c>
      <c r="Q6837">
        <v>55000000</v>
      </c>
      <c r="R6837" s="14">
        <f>_xlfn.XLOOKUP(Table2[[#This Row],[LoanID]],Table1[G-L ID],Table1[ManagerCode],-99)</f>
        <v>103</v>
      </c>
      <c r="T6837"/>
    </row>
    <row r="6838" spans="1:20" x14ac:dyDescent="0.25">
      <c r="A6838">
        <v>20180430</v>
      </c>
      <c r="B6838">
        <v>2018</v>
      </c>
      <c r="C6838">
        <v>4</v>
      </c>
      <c r="D6838">
        <v>1</v>
      </c>
      <c r="E6838">
        <v>11360</v>
      </c>
      <c r="F6838">
        <v>70869.279999999999</v>
      </c>
      <c r="G6838">
        <v>0</v>
      </c>
      <c r="H6838">
        <v>0</v>
      </c>
      <c r="I6838">
        <v>0</v>
      </c>
      <c r="J6838">
        <v>0</v>
      </c>
      <c r="K6838">
        <v>0</v>
      </c>
      <c r="L6838">
        <v>7537500</v>
      </c>
      <c r="M6838">
        <v>7537500</v>
      </c>
      <c r="N6838">
        <v>7537500</v>
      </c>
      <c r="O6838">
        <v>7537500</v>
      </c>
      <c r="P6838">
        <v>7537500</v>
      </c>
      <c r="Q6838">
        <v>7537500</v>
      </c>
      <c r="R6838" s="14">
        <f>_xlfn.XLOOKUP(Table2[[#This Row],[LoanID]],Table1[G-L ID],Table1[ManagerCode],-99)</f>
        <v>119</v>
      </c>
      <c r="T6838"/>
    </row>
    <row r="6839" spans="1:20" x14ac:dyDescent="0.25">
      <c r="A6839">
        <v>20180430</v>
      </c>
      <c r="B6839">
        <v>2018</v>
      </c>
      <c r="C6839">
        <v>4</v>
      </c>
      <c r="D6839">
        <v>1</v>
      </c>
      <c r="E6839">
        <v>11410</v>
      </c>
      <c r="F6839">
        <v>122729</v>
      </c>
      <c r="G6839">
        <v>0</v>
      </c>
      <c r="H6839">
        <v>0</v>
      </c>
      <c r="I6839">
        <v>0</v>
      </c>
      <c r="J6839">
        <v>0</v>
      </c>
      <c r="K6839">
        <v>0</v>
      </c>
      <c r="L6839">
        <v>12000000</v>
      </c>
      <c r="M6839">
        <v>12000000</v>
      </c>
      <c r="N6839">
        <v>12000000</v>
      </c>
      <c r="O6839">
        <v>12000000</v>
      </c>
      <c r="P6839">
        <v>12000000</v>
      </c>
      <c r="Q6839">
        <v>12000000</v>
      </c>
      <c r="R6839" s="14">
        <f>_xlfn.XLOOKUP(Table2[[#This Row],[LoanID]],Table1[G-L ID],Table1[ManagerCode],-99)</f>
        <v>119</v>
      </c>
      <c r="T6839"/>
    </row>
    <row r="6840" spans="1:20" x14ac:dyDescent="0.25">
      <c r="A6840">
        <v>20180430</v>
      </c>
      <c r="B6840">
        <v>2018</v>
      </c>
      <c r="C6840">
        <v>4</v>
      </c>
      <c r="D6840">
        <v>1</v>
      </c>
      <c r="E6840">
        <v>11440</v>
      </c>
      <c r="F6840">
        <v>156250</v>
      </c>
      <c r="G6840">
        <v>0</v>
      </c>
      <c r="H6840">
        <v>0</v>
      </c>
      <c r="I6840">
        <v>0</v>
      </c>
      <c r="J6840">
        <v>0</v>
      </c>
      <c r="K6840">
        <v>0</v>
      </c>
      <c r="L6840">
        <v>18750000</v>
      </c>
      <c r="M6840">
        <v>18750000</v>
      </c>
      <c r="N6840">
        <v>18750000</v>
      </c>
      <c r="O6840">
        <v>18750000</v>
      </c>
      <c r="P6840">
        <v>18750000</v>
      </c>
      <c r="Q6840">
        <v>18750000</v>
      </c>
      <c r="R6840" s="14">
        <f>_xlfn.XLOOKUP(Table2[[#This Row],[LoanID]],Table1[G-L ID],Table1[ManagerCode],-99)</f>
        <v>183</v>
      </c>
      <c r="T6840"/>
    </row>
    <row r="6841" spans="1:20" x14ac:dyDescent="0.25">
      <c r="A6841">
        <v>20180430</v>
      </c>
      <c r="B6841">
        <v>2018</v>
      </c>
      <c r="C6841">
        <v>4</v>
      </c>
      <c r="D6841">
        <v>1</v>
      </c>
      <c r="E6841">
        <v>11450</v>
      </c>
      <c r="F6841">
        <v>153980.97</v>
      </c>
      <c r="G6841">
        <v>0</v>
      </c>
      <c r="H6841">
        <v>0</v>
      </c>
      <c r="I6841">
        <v>0</v>
      </c>
      <c r="J6841">
        <v>0</v>
      </c>
      <c r="K6841">
        <v>0</v>
      </c>
      <c r="L6841">
        <v>16678734.050000001</v>
      </c>
      <c r="M6841">
        <v>16678734.050000001</v>
      </c>
      <c r="N6841">
        <v>16678734.050000001</v>
      </c>
      <c r="O6841">
        <v>16678734.050000001</v>
      </c>
      <c r="P6841">
        <v>16678734.050000001</v>
      </c>
      <c r="Q6841">
        <v>16678734.050000001</v>
      </c>
      <c r="R6841" s="14">
        <f>_xlfn.XLOOKUP(Table2[[#This Row],[LoanID]],Table1[G-L ID],Table1[ManagerCode],-99)</f>
        <v>119</v>
      </c>
      <c r="T6841"/>
    </row>
    <row r="6842" spans="1:20" x14ac:dyDescent="0.25">
      <c r="A6842">
        <v>20180430</v>
      </c>
      <c r="B6842">
        <v>2018</v>
      </c>
      <c r="C6842">
        <v>4</v>
      </c>
      <c r="D6842">
        <v>1</v>
      </c>
      <c r="E6842">
        <v>11480</v>
      </c>
      <c r="F6842">
        <v>468780.28</v>
      </c>
      <c r="G6842">
        <v>0</v>
      </c>
      <c r="H6842">
        <v>0</v>
      </c>
      <c r="I6842">
        <v>0</v>
      </c>
      <c r="J6842">
        <v>0</v>
      </c>
      <c r="K6842">
        <v>0</v>
      </c>
      <c r="L6842">
        <v>70000000</v>
      </c>
      <c r="M6842">
        <v>70000000</v>
      </c>
      <c r="N6842">
        <v>70000000</v>
      </c>
      <c r="O6842">
        <v>70000000</v>
      </c>
      <c r="P6842">
        <v>70000000</v>
      </c>
      <c r="Q6842">
        <v>70000000</v>
      </c>
      <c r="R6842" s="14">
        <f>_xlfn.XLOOKUP(Table2[[#This Row],[LoanID]],Table1[G-L ID],Table1[ManagerCode],-99)</f>
        <v>103</v>
      </c>
      <c r="T6842"/>
    </row>
    <row r="6843" spans="1:20" x14ac:dyDescent="0.25">
      <c r="A6843">
        <v>20180430</v>
      </c>
      <c r="B6843">
        <v>2018</v>
      </c>
      <c r="C6843">
        <v>4</v>
      </c>
      <c r="D6843">
        <v>1</v>
      </c>
      <c r="E6843">
        <v>11490</v>
      </c>
      <c r="F6843">
        <v>427528.75</v>
      </c>
      <c r="G6843">
        <v>0</v>
      </c>
      <c r="H6843">
        <v>0</v>
      </c>
      <c r="I6843">
        <v>0</v>
      </c>
      <c r="J6843">
        <v>0</v>
      </c>
      <c r="K6843">
        <v>0</v>
      </c>
      <c r="L6843">
        <v>52250000</v>
      </c>
      <c r="M6843">
        <v>52250000</v>
      </c>
      <c r="N6843">
        <v>52250000</v>
      </c>
      <c r="O6843">
        <v>52250000</v>
      </c>
      <c r="P6843">
        <v>55000000</v>
      </c>
      <c r="Q6843">
        <v>55000000</v>
      </c>
      <c r="R6843" s="14">
        <f>_xlfn.XLOOKUP(Table2[[#This Row],[LoanID]],Table1[G-L ID],Table1[ManagerCode],-99)</f>
        <v>103</v>
      </c>
      <c r="T6843"/>
    </row>
    <row r="6844" spans="1:20" x14ac:dyDescent="0.25">
      <c r="A6844">
        <v>20180430</v>
      </c>
      <c r="B6844">
        <v>2018</v>
      </c>
      <c r="C6844">
        <v>4</v>
      </c>
      <c r="D6844">
        <v>1</v>
      </c>
      <c r="E6844">
        <v>11520</v>
      </c>
      <c r="F6844">
        <v>67925.179999999993</v>
      </c>
      <c r="G6844">
        <v>0</v>
      </c>
      <c r="H6844">
        <v>0</v>
      </c>
      <c r="I6844">
        <v>0</v>
      </c>
      <c r="J6844">
        <v>0</v>
      </c>
      <c r="K6844">
        <v>0</v>
      </c>
      <c r="L6844">
        <v>8127133.2699999996</v>
      </c>
      <c r="M6844">
        <v>8127133.2699999996</v>
      </c>
      <c r="N6844">
        <v>8127133.2699999996</v>
      </c>
      <c r="O6844">
        <v>8127133.2699999996</v>
      </c>
      <c r="P6844">
        <v>8127133.2699999996</v>
      </c>
      <c r="Q6844">
        <v>8127133.2699999996</v>
      </c>
      <c r="R6844" s="14">
        <f>_xlfn.XLOOKUP(Table2[[#This Row],[LoanID]],Table1[G-L ID],Table1[ManagerCode],-99)</f>
        <v>119</v>
      </c>
      <c r="T6844"/>
    </row>
    <row r="6845" spans="1:20" x14ac:dyDescent="0.25">
      <c r="A6845">
        <v>20180430</v>
      </c>
      <c r="B6845">
        <v>2018</v>
      </c>
      <c r="C6845">
        <v>4</v>
      </c>
      <c r="D6845">
        <v>1</v>
      </c>
      <c r="E6845">
        <v>11530</v>
      </c>
      <c r="F6845">
        <v>153858.41</v>
      </c>
      <c r="G6845">
        <v>0</v>
      </c>
      <c r="H6845">
        <v>0</v>
      </c>
      <c r="I6845">
        <v>0</v>
      </c>
      <c r="J6845">
        <v>0</v>
      </c>
      <c r="K6845">
        <v>0</v>
      </c>
      <c r="L6845">
        <v>14260454.08</v>
      </c>
      <c r="M6845">
        <v>14260454.07</v>
      </c>
      <c r="N6845">
        <v>14260454.08</v>
      </c>
      <c r="O6845">
        <v>14260454.07</v>
      </c>
      <c r="P6845">
        <v>14260454.08</v>
      </c>
      <c r="Q6845">
        <v>14260454.07</v>
      </c>
      <c r="R6845" s="14">
        <f>_xlfn.XLOOKUP(Table2[[#This Row],[LoanID]],Table1[G-L ID],Table1[ManagerCode],-99)</f>
        <v>119</v>
      </c>
      <c r="T6845"/>
    </row>
    <row r="6846" spans="1:20" x14ac:dyDescent="0.25">
      <c r="A6846">
        <v>20180430</v>
      </c>
      <c r="B6846">
        <v>2018</v>
      </c>
      <c r="C6846">
        <v>4</v>
      </c>
      <c r="D6846">
        <v>1</v>
      </c>
      <c r="E6846">
        <v>11590</v>
      </c>
      <c r="F6846">
        <v>15840.69</v>
      </c>
      <c r="G6846">
        <v>0</v>
      </c>
      <c r="H6846">
        <v>0</v>
      </c>
      <c r="I6846">
        <v>0</v>
      </c>
      <c r="J6846">
        <v>0</v>
      </c>
      <c r="K6846">
        <v>0</v>
      </c>
      <c r="L6846">
        <v>1982289.13</v>
      </c>
      <c r="M6846">
        <v>1982289.13</v>
      </c>
      <c r="N6846">
        <v>1982289.13</v>
      </c>
      <c r="O6846">
        <v>1982289.13</v>
      </c>
      <c r="P6846">
        <v>1982289.13</v>
      </c>
      <c r="Q6846">
        <v>1982289.13</v>
      </c>
      <c r="R6846" s="14">
        <f>_xlfn.XLOOKUP(Table2[[#This Row],[LoanID]],Table1[G-L ID],Table1[ManagerCode],-99)</f>
        <v>119</v>
      </c>
      <c r="T6846"/>
    </row>
    <row r="6847" spans="1:20" x14ac:dyDescent="0.25">
      <c r="A6847">
        <v>20180430</v>
      </c>
      <c r="B6847">
        <v>2018</v>
      </c>
      <c r="C6847">
        <v>4</v>
      </c>
      <c r="D6847">
        <v>1</v>
      </c>
      <c r="E6847">
        <v>11680</v>
      </c>
      <c r="F6847">
        <v>57126.559999999998</v>
      </c>
      <c r="G6847">
        <v>0</v>
      </c>
      <c r="H6847">
        <v>0</v>
      </c>
      <c r="I6847">
        <v>0</v>
      </c>
      <c r="J6847">
        <v>0</v>
      </c>
      <c r="K6847">
        <v>0</v>
      </c>
      <c r="L6847">
        <v>6600000</v>
      </c>
      <c r="M6847">
        <v>6600000</v>
      </c>
      <c r="N6847">
        <v>6600000</v>
      </c>
      <c r="O6847">
        <v>6600000</v>
      </c>
      <c r="P6847">
        <v>6600000</v>
      </c>
      <c r="Q6847">
        <v>6600000</v>
      </c>
      <c r="R6847" s="14">
        <f>_xlfn.XLOOKUP(Table2[[#This Row],[LoanID]],Table1[G-L ID],Table1[ManagerCode],-99)</f>
        <v>183</v>
      </c>
      <c r="T6847"/>
    </row>
    <row r="6848" spans="1:20" x14ac:dyDescent="0.25">
      <c r="A6848">
        <v>20180430</v>
      </c>
      <c r="B6848">
        <v>2018</v>
      </c>
      <c r="C6848">
        <v>4</v>
      </c>
      <c r="D6848">
        <v>1</v>
      </c>
      <c r="E6848">
        <v>11690</v>
      </c>
      <c r="F6848">
        <v>157763.31</v>
      </c>
      <c r="G6848">
        <v>0</v>
      </c>
      <c r="H6848">
        <v>0</v>
      </c>
      <c r="I6848">
        <v>0</v>
      </c>
      <c r="J6848">
        <v>0</v>
      </c>
      <c r="K6848">
        <v>0</v>
      </c>
      <c r="L6848">
        <v>17000000</v>
      </c>
      <c r="M6848">
        <v>17000000</v>
      </c>
      <c r="N6848">
        <v>17000000</v>
      </c>
      <c r="O6848">
        <v>17000000</v>
      </c>
      <c r="P6848">
        <v>17000000</v>
      </c>
      <c r="Q6848">
        <v>17000000</v>
      </c>
      <c r="R6848" s="14">
        <f>_xlfn.XLOOKUP(Table2[[#This Row],[LoanID]],Table1[G-L ID],Table1[ManagerCode],-99)</f>
        <v>119</v>
      </c>
      <c r="T6848"/>
    </row>
    <row r="6849" spans="1:20" x14ac:dyDescent="0.25">
      <c r="A6849">
        <v>20180430</v>
      </c>
      <c r="B6849">
        <v>2018</v>
      </c>
      <c r="C6849">
        <v>4</v>
      </c>
      <c r="D6849">
        <v>1</v>
      </c>
      <c r="E6849">
        <v>11730</v>
      </c>
      <c r="F6849">
        <v>103579.82</v>
      </c>
      <c r="G6849">
        <v>0</v>
      </c>
      <c r="H6849">
        <v>0</v>
      </c>
      <c r="I6849">
        <v>0</v>
      </c>
      <c r="J6849">
        <v>0</v>
      </c>
      <c r="K6849">
        <v>4868312.5999999996</v>
      </c>
      <c r="L6849">
        <v>4868312.5999999996</v>
      </c>
      <c r="M6849">
        <v>0</v>
      </c>
      <c r="N6849">
        <v>4868312.5999999996</v>
      </c>
      <c r="O6849">
        <v>0</v>
      </c>
      <c r="P6849">
        <v>4868312.5999999996</v>
      </c>
      <c r="Q6849">
        <v>0</v>
      </c>
      <c r="R6849" s="14">
        <f>_xlfn.XLOOKUP(Table2[[#This Row],[LoanID]],Table1[G-L ID],Table1[ManagerCode],-99)</f>
        <v>119</v>
      </c>
      <c r="T6849"/>
    </row>
    <row r="6850" spans="1:20" x14ac:dyDescent="0.25">
      <c r="A6850">
        <v>20180430</v>
      </c>
      <c r="B6850">
        <v>2018</v>
      </c>
      <c r="C6850">
        <v>4</v>
      </c>
      <c r="D6850">
        <v>1</v>
      </c>
      <c r="E6850">
        <v>11750</v>
      </c>
      <c r="F6850">
        <v>270103.40999999997</v>
      </c>
      <c r="G6850">
        <v>128348.06</v>
      </c>
      <c r="H6850">
        <v>0</v>
      </c>
      <c r="I6850">
        <v>0</v>
      </c>
      <c r="J6850">
        <v>0</v>
      </c>
      <c r="K6850">
        <v>0</v>
      </c>
      <c r="L6850">
        <v>54532928.990000002</v>
      </c>
      <c r="M6850">
        <v>54661277.060000002</v>
      </c>
      <c r="N6850">
        <v>54532928.990000002</v>
      </c>
      <c r="O6850">
        <v>54661277.060000002</v>
      </c>
      <c r="P6850">
        <v>54532928.990000002</v>
      </c>
      <c r="Q6850">
        <v>54661277.060000002</v>
      </c>
      <c r="R6850" s="14">
        <f>_xlfn.XLOOKUP(Table2[[#This Row],[LoanID]],Table1[G-L ID],Table1[ManagerCode],-99)</f>
        <v>183</v>
      </c>
      <c r="T6850"/>
    </row>
    <row r="6851" spans="1:20" x14ac:dyDescent="0.25">
      <c r="A6851">
        <v>20180430</v>
      </c>
      <c r="B6851">
        <v>2018</v>
      </c>
      <c r="C6851">
        <v>4</v>
      </c>
      <c r="D6851">
        <v>1</v>
      </c>
      <c r="E6851">
        <v>11830</v>
      </c>
      <c r="F6851">
        <v>107364.73</v>
      </c>
      <c r="G6851">
        <v>0</v>
      </c>
      <c r="H6851">
        <v>0</v>
      </c>
      <c r="I6851">
        <v>0</v>
      </c>
      <c r="J6851">
        <v>-220779.25</v>
      </c>
      <c r="K6851">
        <v>0</v>
      </c>
      <c r="L6851">
        <v>12240923.449999999</v>
      </c>
      <c r="M6851">
        <v>12461702.699999999</v>
      </c>
      <c r="N6851">
        <v>12240923.449999999</v>
      </c>
      <c r="O6851">
        <v>12461702.699999999</v>
      </c>
      <c r="P6851">
        <v>12240923.449999999</v>
      </c>
      <c r="Q6851">
        <v>12461702.699999999</v>
      </c>
      <c r="R6851" s="14">
        <f>_xlfn.XLOOKUP(Table2[[#This Row],[LoanID]],Table1[G-L ID],Table1[ManagerCode],-99)</f>
        <v>119</v>
      </c>
      <c r="T6851"/>
    </row>
    <row r="6852" spans="1:20" x14ac:dyDescent="0.25">
      <c r="A6852">
        <v>20180430</v>
      </c>
      <c r="B6852">
        <v>2018</v>
      </c>
      <c r="C6852">
        <v>4</v>
      </c>
      <c r="D6852">
        <v>1</v>
      </c>
      <c r="E6852">
        <v>11850</v>
      </c>
      <c r="F6852">
        <v>0</v>
      </c>
      <c r="G6852">
        <v>99301.23</v>
      </c>
      <c r="H6852">
        <v>0</v>
      </c>
      <c r="I6852">
        <v>0</v>
      </c>
      <c r="J6852">
        <v>0</v>
      </c>
      <c r="K6852">
        <v>0</v>
      </c>
      <c r="L6852">
        <v>9195739.3800000008</v>
      </c>
      <c r="M6852">
        <v>9295040.6099999994</v>
      </c>
      <c r="N6852">
        <v>9195739.3800000008</v>
      </c>
      <c r="O6852">
        <v>9295040.6099999994</v>
      </c>
      <c r="P6852">
        <v>9195739.3800000008</v>
      </c>
      <c r="Q6852">
        <v>9295040.6099999994</v>
      </c>
      <c r="R6852" s="14">
        <f>_xlfn.XLOOKUP(Table2[[#This Row],[LoanID]],Table1[G-L ID],Table1[ManagerCode],-99)</f>
        <v>183</v>
      </c>
      <c r="T6852"/>
    </row>
    <row r="6853" spans="1:20" x14ac:dyDescent="0.25">
      <c r="A6853">
        <v>20180430</v>
      </c>
      <c r="B6853">
        <v>2018</v>
      </c>
      <c r="C6853">
        <v>4</v>
      </c>
      <c r="D6853">
        <v>1</v>
      </c>
      <c r="E6853">
        <v>12030</v>
      </c>
      <c r="F6853">
        <v>47543.97</v>
      </c>
      <c r="G6853">
        <v>0</v>
      </c>
      <c r="H6853">
        <v>0</v>
      </c>
      <c r="I6853">
        <v>0</v>
      </c>
      <c r="J6853">
        <v>0</v>
      </c>
      <c r="K6853">
        <v>0</v>
      </c>
      <c r="L6853">
        <v>6375000</v>
      </c>
      <c r="M6853">
        <v>6375000</v>
      </c>
      <c r="N6853">
        <v>6375000</v>
      </c>
      <c r="O6853">
        <v>6375000</v>
      </c>
      <c r="P6853">
        <v>6375000</v>
      </c>
      <c r="Q6853">
        <v>6375000</v>
      </c>
      <c r="R6853" s="14">
        <f>_xlfn.XLOOKUP(Table2[[#This Row],[LoanID]],Table1[G-L ID],Table1[ManagerCode],-99)</f>
        <v>119</v>
      </c>
      <c r="T6853"/>
    </row>
    <row r="6854" spans="1:20" x14ac:dyDescent="0.25">
      <c r="A6854">
        <v>20180430</v>
      </c>
      <c r="B6854">
        <v>2018</v>
      </c>
      <c r="C6854">
        <v>4</v>
      </c>
      <c r="D6854">
        <v>1</v>
      </c>
      <c r="E6854">
        <v>12180</v>
      </c>
      <c r="F6854">
        <v>242797.01</v>
      </c>
      <c r="G6854">
        <v>0</v>
      </c>
      <c r="H6854">
        <v>0</v>
      </c>
      <c r="I6854">
        <v>0</v>
      </c>
      <c r="J6854">
        <v>0</v>
      </c>
      <c r="K6854">
        <v>0</v>
      </c>
      <c r="L6854">
        <v>30400000</v>
      </c>
      <c r="M6854">
        <v>30400000</v>
      </c>
      <c r="N6854">
        <v>30400000</v>
      </c>
      <c r="O6854">
        <v>30400000</v>
      </c>
      <c r="P6854">
        <v>30393210.870000001</v>
      </c>
      <c r="Q6854">
        <v>30393210.870000001</v>
      </c>
      <c r="R6854" s="14">
        <f>_xlfn.XLOOKUP(Table2[[#This Row],[LoanID]],Table1[G-L ID],Table1[ManagerCode],-99)</f>
        <v>220</v>
      </c>
      <c r="T6854"/>
    </row>
    <row r="6855" spans="1:20" x14ac:dyDescent="0.25">
      <c r="A6855">
        <v>20180430</v>
      </c>
      <c r="B6855">
        <v>2018</v>
      </c>
      <c r="C6855">
        <v>4</v>
      </c>
      <c r="D6855">
        <v>1</v>
      </c>
      <c r="E6855">
        <v>12220</v>
      </c>
      <c r="F6855">
        <v>188923.16</v>
      </c>
      <c r="G6855">
        <v>0</v>
      </c>
      <c r="H6855">
        <v>0</v>
      </c>
      <c r="I6855">
        <v>0</v>
      </c>
      <c r="J6855">
        <v>0</v>
      </c>
      <c r="K6855">
        <v>0</v>
      </c>
      <c r="L6855">
        <v>54500000</v>
      </c>
      <c r="M6855">
        <v>54500000</v>
      </c>
      <c r="N6855">
        <v>27250000</v>
      </c>
      <c r="O6855">
        <v>27250000</v>
      </c>
      <c r="P6855">
        <v>54500000</v>
      </c>
      <c r="Q6855">
        <v>54500000</v>
      </c>
      <c r="R6855" s="14">
        <f>_xlfn.XLOOKUP(Table2[[#This Row],[LoanID]],Table1[G-L ID],Table1[ManagerCode],-99)</f>
        <v>183</v>
      </c>
      <c r="T6855"/>
    </row>
    <row r="6856" spans="1:20" x14ac:dyDescent="0.25">
      <c r="A6856">
        <v>20180430</v>
      </c>
      <c r="B6856">
        <v>2018</v>
      </c>
      <c r="C6856">
        <v>4</v>
      </c>
      <c r="D6856">
        <v>1</v>
      </c>
      <c r="E6856">
        <v>12250</v>
      </c>
      <c r="F6856">
        <v>110915.66</v>
      </c>
      <c r="G6856">
        <v>0</v>
      </c>
      <c r="H6856">
        <v>0</v>
      </c>
      <c r="I6856">
        <v>0</v>
      </c>
      <c r="J6856">
        <v>-153840.62</v>
      </c>
      <c r="K6856">
        <v>0</v>
      </c>
      <c r="L6856">
        <v>11745046.73</v>
      </c>
      <c r="M6856">
        <v>11898887.35</v>
      </c>
      <c r="N6856">
        <v>11745046.73</v>
      </c>
      <c r="O6856">
        <v>11898887.35</v>
      </c>
      <c r="P6856">
        <v>11745046.73</v>
      </c>
      <c r="Q6856">
        <v>11898887.35</v>
      </c>
      <c r="R6856" s="14">
        <f>_xlfn.XLOOKUP(Table2[[#This Row],[LoanID]],Table1[G-L ID],Table1[ManagerCode],-99)</f>
        <v>119</v>
      </c>
      <c r="T6856"/>
    </row>
    <row r="6857" spans="1:20" x14ac:dyDescent="0.25">
      <c r="A6857">
        <v>20180430</v>
      </c>
      <c r="B6857">
        <v>2018</v>
      </c>
      <c r="C6857">
        <v>4</v>
      </c>
      <c r="D6857">
        <v>1</v>
      </c>
      <c r="E6857">
        <v>12260</v>
      </c>
      <c r="F6857">
        <v>123712.82</v>
      </c>
      <c r="G6857">
        <v>0</v>
      </c>
      <c r="H6857">
        <v>0</v>
      </c>
      <c r="I6857">
        <v>0</v>
      </c>
      <c r="J6857">
        <v>0</v>
      </c>
      <c r="K6857">
        <v>0</v>
      </c>
      <c r="L6857">
        <v>11470448.4</v>
      </c>
      <c r="M6857">
        <v>11470448.4</v>
      </c>
      <c r="N6857">
        <v>11470448.4</v>
      </c>
      <c r="O6857">
        <v>11470448.4</v>
      </c>
      <c r="P6857">
        <v>11470448.4</v>
      </c>
      <c r="Q6857">
        <v>11470448.4</v>
      </c>
      <c r="R6857" s="14">
        <f>_xlfn.XLOOKUP(Table2[[#This Row],[LoanID]],Table1[G-L ID],Table1[ManagerCode],-99)</f>
        <v>119</v>
      </c>
      <c r="T6857"/>
    </row>
    <row r="6858" spans="1:20" x14ac:dyDescent="0.25">
      <c r="A6858">
        <v>20180430</v>
      </c>
      <c r="B6858">
        <v>2018</v>
      </c>
      <c r="C6858">
        <v>4</v>
      </c>
      <c r="D6858">
        <v>1</v>
      </c>
      <c r="E6858">
        <v>12270</v>
      </c>
      <c r="F6858">
        <v>99039.64</v>
      </c>
      <c r="G6858">
        <v>0</v>
      </c>
      <c r="H6858">
        <v>0</v>
      </c>
      <c r="I6858">
        <v>0</v>
      </c>
      <c r="J6858">
        <v>0</v>
      </c>
      <c r="K6858">
        <v>0</v>
      </c>
      <c r="L6858">
        <v>9809803.9000000004</v>
      </c>
      <c r="M6858">
        <v>9809803.9000000004</v>
      </c>
      <c r="N6858">
        <v>9809803.9000000004</v>
      </c>
      <c r="O6858">
        <v>9809803.9000000004</v>
      </c>
      <c r="P6858">
        <v>9809803.9000000004</v>
      </c>
      <c r="Q6858">
        <v>9809803.9000000004</v>
      </c>
      <c r="R6858" s="14">
        <f>_xlfn.XLOOKUP(Table2[[#This Row],[LoanID]],Table1[G-L ID],Table1[ManagerCode],-99)</f>
        <v>119</v>
      </c>
      <c r="T6858"/>
    </row>
    <row r="6859" spans="1:20" x14ac:dyDescent="0.25">
      <c r="A6859">
        <v>20180430</v>
      </c>
      <c r="B6859">
        <v>2018</v>
      </c>
      <c r="C6859">
        <v>4</v>
      </c>
      <c r="D6859">
        <v>1</v>
      </c>
      <c r="E6859">
        <v>12280</v>
      </c>
      <c r="F6859">
        <v>168324.42</v>
      </c>
      <c r="G6859">
        <v>0</v>
      </c>
      <c r="H6859">
        <v>0</v>
      </c>
      <c r="I6859">
        <v>0</v>
      </c>
      <c r="J6859">
        <v>-689641.59</v>
      </c>
      <c r="K6859">
        <v>0</v>
      </c>
      <c r="L6859">
        <v>19304630.41</v>
      </c>
      <c r="M6859">
        <v>19994272</v>
      </c>
      <c r="N6859">
        <v>19304630.41</v>
      </c>
      <c r="O6859">
        <v>19994272</v>
      </c>
      <c r="P6859">
        <v>19304630.41</v>
      </c>
      <c r="Q6859">
        <v>19994272</v>
      </c>
      <c r="R6859" s="14">
        <f>_xlfn.XLOOKUP(Table2[[#This Row],[LoanID]],Table1[G-L ID],Table1[ManagerCode],-99)</f>
        <v>119</v>
      </c>
      <c r="T6859"/>
    </row>
    <row r="6860" spans="1:20" x14ac:dyDescent="0.25">
      <c r="A6860">
        <v>20180430</v>
      </c>
      <c r="B6860">
        <v>2018</v>
      </c>
      <c r="C6860">
        <v>4</v>
      </c>
      <c r="D6860">
        <v>1</v>
      </c>
      <c r="E6860">
        <v>12290</v>
      </c>
      <c r="F6860">
        <v>225275.55</v>
      </c>
      <c r="G6860">
        <v>0</v>
      </c>
      <c r="H6860">
        <v>0</v>
      </c>
      <c r="I6860">
        <v>0</v>
      </c>
      <c r="J6860">
        <v>0</v>
      </c>
      <c r="K6860">
        <v>0</v>
      </c>
      <c r="L6860">
        <v>22750000</v>
      </c>
      <c r="M6860">
        <v>22750000</v>
      </c>
      <c r="N6860">
        <v>22750000</v>
      </c>
      <c r="O6860">
        <v>22750000</v>
      </c>
      <c r="P6860">
        <v>22750000</v>
      </c>
      <c r="Q6860">
        <v>22750000</v>
      </c>
      <c r="R6860" s="14">
        <f>_xlfn.XLOOKUP(Table2[[#This Row],[LoanID]],Table1[G-L ID],Table1[ManagerCode],-99)</f>
        <v>119</v>
      </c>
      <c r="T6860"/>
    </row>
    <row r="6861" spans="1:20" x14ac:dyDescent="0.25">
      <c r="A6861">
        <v>20180430</v>
      </c>
      <c r="B6861">
        <v>2018</v>
      </c>
      <c r="C6861">
        <v>4</v>
      </c>
      <c r="D6861">
        <v>1</v>
      </c>
      <c r="E6861">
        <v>12300</v>
      </c>
      <c r="F6861">
        <v>99342.94</v>
      </c>
      <c r="G6861">
        <v>0</v>
      </c>
      <c r="H6861">
        <v>0</v>
      </c>
      <c r="I6861">
        <v>0</v>
      </c>
      <c r="J6861">
        <v>0</v>
      </c>
      <c r="K6861">
        <v>0</v>
      </c>
      <c r="L6861">
        <v>10000000</v>
      </c>
      <c r="M6861">
        <v>10000000</v>
      </c>
      <c r="N6861">
        <v>10000000</v>
      </c>
      <c r="O6861">
        <v>10000000</v>
      </c>
      <c r="P6861">
        <v>10000000</v>
      </c>
      <c r="Q6861">
        <v>10000000</v>
      </c>
      <c r="R6861" s="14">
        <f>_xlfn.XLOOKUP(Table2[[#This Row],[LoanID]],Table1[G-L ID],Table1[ManagerCode],-99)</f>
        <v>119</v>
      </c>
      <c r="T6861"/>
    </row>
    <row r="6862" spans="1:20" x14ac:dyDescent="0.25">
      <c r="A6862">
        <v>20180430</v>
      </c>
      <c r="B6862">
        <v>2018</v>
      </c>
      <c r="C6862">
        <v>4</v>
      </c>
      <c r="D6862">
        <v>1</v>
      </c>
      <c r="E6862">
        <v>12310</v>
      </c>
      <c r="F6862">
        <v>144241</v>
      </c>
      <c r="G6862">
        <v>0</v>
      </c>
      <c r="H6862">
        <v>0</v>
      </c>
      <c r="I6862">
        <v>0</v>
      </c>
      <c r="J6862">
        <v>0</v>
      </c>
      <c r="K6862">
        <v>0</v>
      </c>
      <c r="L6862">
        <v>16375000</v>
      </c>
      <c r="M6862">
        <v>16375000</v>
      </c>
      <c r="N6862">
        <v>16375000</v>
      </c>
      <c r="O6862">
        <v>16375000</v>
      </c>
      <c r="P6862">
        <v>16375000</v>
      </c>
      <c r="Q6862">
        <v>16375000</v>
      </c>
      <c r="R6862" s="14">
        <f>_xlfn.XLOOKUP(Table2[[#This Row],[LoanID]],Table1[G-L ID],Table1[ManagerCode],-99)</f>
        <v>119</v>
      </c>
      <c r="T6862"/>
    </row>
    <row r="6863" spans="1:20" x14ac:dyDescent="0.25">
      <c r="A6863">
        <v>20180430</v>
      </c>
      <c r="B6863">
        <v>2018</v>
      </c>
      <c r="C6863">
        <v>4</v>
      </c>
      <c r="D6863">
        <v>1</v>
      </c>
      <c r="E6863">
        <v>12320</v>
      </c>
      <c r="F6863">
        <v>111163.03</v>
      </c>
      <c r="G6863">
        <v>0</v>
      </c>
      <c r="H6863">
        <v>0</v>
      </c>
      <c r="I6863">
        <v>0</v>
      </c>
      <c r="J6863">
        <v>0</v>
      </c>
      <c r="K6863">
        <v>0</v>
      </c>
      <c r="L6863">
        <v>11750000</v>
      </c>
      <c r="M6863">
        <v>11750000</v>
      </c>
      <c r="N6863">
        <v>11750000</v>
      </c>
      <c r="O6863">
        <v>11750000</v>
      </c>
      <c r="P6863">
        <v>11750000</v>
      </c>
      <c r="Q6863">
        <v>11750000</v>
      </c>
      <c r="R6863" s="14">
        <f>_xlfn.XLOOKUP(Table2[[#This Row],[LoanID]],Table1[G-L ID],Table1[ManagerCode],-99)</f>
        <v>119</v>
      </c>
      <c r="T6863"/>
    </row>
    <row r="6864" spans="1:20" x14ac:dyDescent="0.25">
      <c r="A6864">
        <v>20180430</v>
      </c>
      <c r="B6864">
        <v>2018</v>
      </c>
      <c r="C6864">
        <v>4</v>
      </c>
      <c r="D6864">
        <v>1</v>
      </c>
      <c r="E6864">
        <v>12330</v>
      </c>
      <c r="F6864">
        <v>214852.81</v>
      </c>
      <c r="G6864">
        <v>0</v>
      </c>
      <c r="H6864">
        <v>0</v>
      </c>
      <c r="I6864">
        <v>0</v>
      </c>
      <c r="J6864">
        <v>0</v>
      </c>
      <c r="K6864">
        <v>0</v>
      </c>
      <c r="L6864">
        <v>19976500</v>
      </c>
      <c r="M6864">
        <v>19976500</v>
      </c>
      <c r="N6864">
        <v>19976500</v>
      </c>
      <c r="O6864">
        <v>19976500</v>
      </c>
      <c r="P6864">
        <v>19976500</v>
      </c>
      <c r="Q6864">
        <v>19976500</v>
      </c>
      <c r="R6864" s="14">
        <f>_xlfn.XLOOKUP(Table2[[#This Row],[LoanID]],Table1[G-L ID],Table1[ManagerCode],-99)</f>
        <v>119</v>
      </c>
      <c r="T6864"/>
    </row>
    <row r="6865" spans="1:20" x14ac:dyDescent="0.25">
      <c r="A6865">
        <v>20180430</v>
      </c>
      <c r="B6865">
        <v>2018</v>
      </c>
      <c r="C6865">
        <v>4</v>
      </c>
      <c r="D6865">
        <v>1</v>
      </c>
      <c r="E6865">
        <v>12340</v>
      </c>
      <c r="F6865">
        <v>83768.42</v>
      </c>
      <c r="G6865">
        <v>0</v>
      </c>
      <c r="H6865">
        <v>0</v>
      </c>
      <c r="I6865">
        <v>0</v>
      </c>
      <c r="J6865">
        <v>0</v>
      </c>
      <c r="K6865">
        <v>0</v>
      </c>
      <c r="L6865">
        <v>24000000</v>
      </c>
      <c r="M6865">
        <v>24000000</v>
      </c>
      <c r="N6865">
        <v>12000000</v>
      </c>
      <c r="O6865">
        <v>12000000</v>
      </c>
      <c r="P6865">
        <v>24000000</v>
      </c>
      <c r="Q6865">
        <v>24000000</v>
      </c>
      <c r="R6865" s="14">
        <f>_xlfn.XLOOKUP(Table2[[#This Row],[LoanID]],Table1[G-L ID],Table1[ManagerCode],-99)</f>
        <v>183</v>
      </c>
      <c r="T6865"/>
    </row>
    <row r="6866" spans="1:20" x14ac:dyDescent="0.25">
      <c r="A6866">
        <v>20180430</v>
      </c>
      <c r="B6866">
        <v>2018</v>
      </c>
      <c r="C6866">
        <v>4</v>
      </c>
      <c r="D6866">
        <v>1</v>
      </c>
      <c r="E6866">
        <v>12350</v>
      </c>
      <c r="F6866">
        <v>172311.99</v>
      </c>
      <c r="G6866">
        <v>0</v>
      </c>
      <c r="H6866">
        <v>0</v>
      </c>
      <c r="I6866">
        <v>0</v>
      </c>
      <c r="J6866">
        <v>0</v>
      </c>
      <c r="K6866">
        <v>0</v>
      </c>
      <c r="L6866">
        <v>63232721.689999998</v>
      </c>
      <c r="M6866">
        <v>63232721.689999998</v>
      </c>
      <c r="N6866">
        <v>25732721.690000001</v>
      </c>
      <c r="O6866">
        <v>25732721.690000001</v>
      </c>
      <c r="P6866">
        <v>63232721.689999998</v>
      </c>
      <c r="Q6866">
        <v>63232721.689999998</v>
      </c>
      <c r="R6866" s="14">
        <f>_xlfn.XLOOKUP(Table2[[#This Row],[LoanID]],Table1[G-L ID],Table1[ManagerCode],-99)</f>
        <v>183</v>
      </c>
      <c r="T6866"/>
    </row>
    <row r="6867" spans="1:20" x14ac:dyDescent="0.25">
      <c r="A6867">
        <v>20180430</v>
      </c>
      <c r="B6867">
        <v>2018</v>
      </c>
      <c r="C6867">
        <v>4</v>
      </c>
      <c r="D6867">
        <v>1</v>
      </c>
      <c r="E6867">
        <v>12360</v>
      </c>
      <c r="F6867">
        <v>116534.93</v>
      </c>
      <c r="G6867">
        <v>0</v>
      </c>
      <c r="H6867">
        <v>0</v>
      </c>
      <c r="I6867">
        <v>0</v>
      </c>
      <c r="J6867">
        <v>0</v>
      </c>
      <c r="K6867">
        <v>0</v>
      </c>
      <c r="L6867">
        <v>60000000</v>
      </c>
      <c r="M6867">
        <v>60000000</v>
      </c>
      <c r="N6867">
        <v>19000000</v>
      </c>
      <c r="O6867">
        <v>19000000</v>
      </c>
      <c r="P6867">
        <v>60000000</v>
      </c>
      <c r="Q6867">
        <v>60000000</v>
      </c>
      <c r="R6867" s="14">
        <f>_xlfn.XLOOKUP(Table2[[#This Row],[LoanID]],Table1[G-L ID],Table1[ManagerCode],-99)</f>
        <v>183</v>
      </c>
      <c r="T6867"/>
    </row>
    <row r="6868" spans="1:20" x14ac:dyDescent="0.25">
      <c r="A6868">
        <v>20180430</v>
      </c>
      <c r="B6868">
        <v>2018</v>
      </c>
      <c r="C6868">
        <v>4</v>
      </c>
      <c r="D6868">
        <v>1</v>
      </c>
      <c r="E6868">
        <v>12370</v>
      </c>
      <c r="F6868">
        <v>341776</v>
      </c>
      <c r="G6868">
        <v>0</v>
      </c>
      <c r="H6868">
        <v>0</v>
      </c>
      <c r="I6868">
        <v>0</v>
      </c>
      <c r="J6868">
        <v>0</v>
      </c>
      <c r="K6868">
        <v>0</v>
      </c>
      <c r="L6868">
        <v>104000000</v>
      </c>
      <c r="M6868">
        <v>104000000</v>
      </c>
      <c r="N6868">
        <v>44000000</v>
      </c>
      <c r="O6868">
        <v>44000000</v>
      </c>
      <c r="P6868">
        <v>104000000</v>
      </c>
      <c r="Q6868">
        <v>104000000</v>
      </c>
      <c r="R6868" s="14">
        <f>_xlfn.XLOOKUP(Table2[[#This Row],[LoanID]],Table1[G-L ID],Table1[ManagerCode],-99)</f>
        <v>183</v>
      </c>
      <c r="T6868"/>
    </row>
    <row r="6869" spans="1:20" x14ac:dyDescent="0.25">
      <c r="A6869">
        <v>20180430</v>
      </c>
      <c r="B6869">
        <v>2018</v>
      </c>
      <c r="C6869">
        <v>4</v>
      </c>
      <c r="D6869">
        <v>1</v>
      </c>
      <c r="E6869">
        <v>12380</v>
      </c>
      <c r="F6869">
        <v>78376.460000000006</v>
      </c>
      <c r="G6869">
        <v>0</v>
      </c>
      <c r="H6869">
        <v>0</v>
      </c>
      <c r="I6869">
        <v>0</v>
      </c>
      <c r="J6869">
        <v>0</v>
      </c>
      <c r="K6869">
        <v>0</v>
      </c>
      <c r="L6869">
        <v>32500000</v>
      </c>
      <c r="M6869">
        <v>32500000</v>
      </c>
      <c r="N6869">
        <v>12350000</v>
      </c>
      <c r="O6869">
        <v>12350000</v>
      </c>
      <c r="P6869">
        <v>32500000</v>
      </c>
      <c r="Q6869">
        <v>32500000</v>
      </c>
      <c r="R6869" s="14">
        <f>_xlfn.XLOOKUP(Table2[[#This Row],[LoanID]],Table1[G-L ID],Table1[ManagerCode],-99)</f>
        <v>183</v>
      </c>
      <c r="T6869"/>
    </row>
    <row r="6870" spans="1:20" x14ac:dyDescent="0.25">
      <c r="A6870">
        <v>20180430</v>
      </c>
      <c r="B6870">
        <v>2018</v>
      </c>
      <c r="C6870">
        <v>4</v>
      </c>
      <c r="D6870">
        <v>1</v>
      </c>
      <c r="E6870">
        <v>12390</v>
      </c>
      <c r="F6870">
        <v>306535.34999999998</v>
      </c>
      <c r="G6870">
        <v>388552.56</v>
      </c>
      <c r="H6870">
        <v>0</v>
      </c>
      <c r="I6870">
        <v>0</v>
      </c>
      <c r="J6870">
        <v>-6383531.9100000001</v>
      </c>
      <c r="K6870">
        <v>0</v>
      </c>
      <c r="L6870">
        <v>46767395.469999999</v>
      </c>
      <c r="M6870">
        <v>53539479.939999998</v>
      </c>
      <c r="N6870">
        <v>46767395.469999999</v>
      </c>
      <c r="O6870">
        <v>53539479.939999998</v>
      </c>
      <c r="P6870">
        <v>46767395.469999999</v>
      </c>
      <c r="Q6870">
        <v>53539479.939999998</v>
      </c>
      <c r="R6870" s="14">
        <f>_xlfn.XLOOKUP(Table2[[#This Row],[LoanID]],Table1[G-L ID],Table1[ManagerCode],-99)</f>
        <v>183</v>
      </c>
      <c r="T6870"/>
    </row>
    <row r="6871" spans="1:20" x14ac:dyDescent="0.25">
      <c r="A6871">
        <v>20180430</v>
      </c>
      <c r="B6871">
        <v>2018</v>
      </c>
      <c r="C6871">
        <v>4</v>
      </c>
      <c r="D6871">
        <v>1</v>
      </c>
      <c r="E6871">
        <v>12400</v>
      </c>
      <c r="F6871">
        <v>82494.31</v>
      </c>
      <c r="G6871">
        <v>90842.48</v>
      </c>
      <c r="H6871">
        <v>0</v>
      </c>
      <c r="I6871">
        <v>0</v>
      </c>
      <c r="J6871">
        <v>-82494.31</v>
      </c>
      <c r="K6871">
        <v>0</v>
      </c>
      <c r="L6871">
        <v>16739984.15</v>
      </c>
      <c r="M6871">
        <v>16913320.940000001</v>
      </c>
      <c r="N6871">
        <v>16739984.15</v>
      </c>
      <c r="O6871">
        <v>16913320.940000001</v>
      </c>
      <c r="P6871">
        <v>16739984.15</v>
      </c>
      <c r="Q6871">
        <v>16913320.940000001</v>
      </c>
      <c r="R6871" s="14">
        <f>_xlfn.XLOOKUP(Table2[[#This Row],[LoanID]],Table1[G-L ID],Table1[ManagerCode],-99)</f>
        <v>183</v>
      </c>
      <c r="T6871"/>
    </row>
    <row r="6872" spans="1:20" x14ac:dyDescent="0.25">
      <c r="A6872">
        <v>20180430</v>
      </c>
      <c r="B6872">
        <v>2018</v>
      </c>
      <c r="C6872">
        <v>4</v>
      </c>
      <c r="D6872">
        <v>1</v>
      </c>
      <c r="E6872">
        <v>12410</v>
      </c>
      <c r="F6872">
        <v>321967.17</v>
      </c>
      <c r="G6872">
        <v>257573.73</v>
      </c>
      <c r="H6872">
        <v>0</v>
      </c>
      <c r="I6872">
        <v>0</v>
      </c>
      <c r="J6872">
        <v>0</v>
      </c>
      <c r="K6872">
        <v>0</v>
      </c>
      <c r="L6872">
        <v>73815169.569999993</v>
      </c>
      <c r="M6872">
        <v>73653208</v>
      </c>
      <c r="N6872">
        <v>73815169.569999993</v>
      </c>
      <c r="O6872">
        <v>73653208</v>
      </c>
      <c r="P6872">
        <v>77272119.760000005</v>
      </c>
      <c r="Q6872">
        <v>77529693.489999995</v>
      </c>
      <c r="R6872" s="14">
        <f>_xlfn.XLOOKUP(Table2[[#This Row],[LoanID]],Table1[G-L ID],Table1[ManagerCode],-99)</f>
        <v>103</v>
      </c>
      <c r="T6872"/>
    </row>
    <row r="6873" spans="1:20" x14ac:dyDescent="0.25">
      <c r="A6873">
        <v>20180430</v>
      </c>
      <c r="B6873">
        <v>2018</v>
      </c>
      <c r="C6873">
        <v>4</v>
      </c>
      <c r="D6873">
        <v>1</v>
      </c>
      <c r="E6873">
        <v>12420</v>
      </c>
      <c r="F6873">
        <v>37053.72</v>
      </c>
      <c r="G6873">
        <v>0</v>
      </c>
      <c r="H6873">
        <v>0</v>
      </c>
      <c r="I6873">
        <v>0</v>
      </c>
      <c r="J6873">
        <v>-147265.38</v>
      </c>
      <c r="K6873">
        <v>0</v>
      </c>
      <c r="L6873">
        <v>3087650.93</v>
      </c>
      <c r="M6873">
        <v>3234915</v>
      </c>
      <c r="N6873">
        <v>3087650.93</v>
      </c>
      <c r="O6873">
        <v>3234915</v>
      </c>
      <c r="P6873">
        <v>3087650.93</v>
      </c>
      <c r="Q6873">
        <v>3234916.31</v>
      </c>
      <c r="R6873" s="14">
        <f>_xlfn.XLOOKUP(Table2[[#This Row],[LoanID]],Table1[G-L ID],Table1[ManagerCode],-99)</f>
        <v>103</v>
      </c>
      <c r="T6873"/>
    </row>
    <row r="6874" spans="1:20" x14ac:dyDescent="0.25">
      <c r="A6874">
        <v>20180430</v>
      </c>
      <c r="B6874">
        <v>2018</v>
      </c>
      <c r="C6874">
        <v>4</v>
      </c>
      <c r="D6874">
        <v>1</v>
      </c>
      <c r="E6874">
        <v>12430</v>
      </c>
      <c r="F6874">
        <v>52754.86</v>
      </c>
      <c r="G6874">
        <v>219377.09</v>
      </c>
      <c r="H6874">
        <v>0</v>
      </c>
      <c r="I6874">
        <v>0</v>
      </c>
      <c r="J6874">
        <v>-1834667.29</v>
      </c>
      <c r="K6874">
        <v>0</v>
      </c>
      <c r="L6874">
        <v>14831864.210000001</v>
      </c>
      <c r="M6874">
        <v>16618069</v>
      </c>
      <c r="N6874">
        <v>14831864.210000001</v>
      </c>
      <c r="O6874">
        <v>16618069</v>
      </c>
      <c r="P6874">
        <v>16325383.32</v>
      </c>
      <c r="Q6874">
        <v>18379427.699999999</v>
      </c>
      <c r="R6874" s="14">
        <f>_xlfn.XLOOKUP(Table2[[#This Row],[LoanID]],Table1[G-L ID],Table1[ManagerCode],-99)</f>
        <v>103</v>
      </c>
      <c r="T6874"/>
    </row>
    <row r="6875" spans="1:20" x14ac:dyDescent="0.25">
      <c r="A6875">
        <v>20180430</v>
      </c>
      <c r="B6875">
        <v>2018</v>
      </c>
      <c r="C6875">
        <v>4</v>
      </c>
      <c r="D6875">
        <v>1</v>
      </c>
      <c r="E6875">
        <v>12440</v>
      </c>
      <c r="F6875">
        <v>33531.25</v>
      </c>
      <c r="G6875">
        <v>0</v>
      </c>
      <c r="H6875">
        <v>0</v>
      </c>
      <c r="I6875">
        <v>0</v>
      </c>
      <c r="J6875">
        <v>0</v>
      </c>
      <c r="K6875">
        <v>49835.02</v>
      </c>
      <c r="L6875">
        <v>4600944.53</v>
      </c>
      <c r="M6875">
        <v>4505621</v>
      </c>
      <c r="N6875">
        <v>4600944.53</v>
      </c>
      <c r="O6875">
        <v>4505621</v>
      </c>
      <c r="P6875">
        <v>4023749.61</v>
      </c>
      <c r="Q6875">
        <v>3973914.59</v>
      </c>
      <c r="R6875" s="14">
        <f>_xlfn.XLOOKUP(Table2[[#This Row],[LoanID]],Table1[G-L ID],Table1[ManagerCode],-99)</f>
        <v>103</v>
      </c>
      <c r="T6875"/>
    </row>
    <row r="6876" spans="1:20" x14ac:dyDescent="0.25">
      <c r="A6876">
        <v>20180430</v>
      </c>
      <c r="B6876">
        <v>2018</v>
      </c>
      <c r="C6876">
        <v>4</v>
      </c>
      <c r="D6876">
        <v>1</v>
      </c>
      <c r="E6876">
        <v>12450</v>
      </c>
      <c r="F6876">
        <v>16156.19</v>
      </c>
      <c r="G6876">
        <v>21531.98</v>
      </c>
      <c r="H6876">
        <v>0</v>
      </c>
      <c r="I6876">
        <v>0</v>
      </c>
      <c r="J6876">
        <v>-340463.56</v>
      </c>
      <c r="K6876">
        <v>0</v>
      </c>
      <c r="L6876">
        <v>3492084.5</v>
      </c>
      <c r="M6876">
        <v>3835231.15</v>
      </c>
      <c r="N6876">
        <v>3492084.5</v>
      </c>
      <c r="O6876">
        <v>3835231.15</v>
      </c>
      <c r="P6876">
        <v>3492084.5</v>
      </c>
      <c r="Q6876">
        <v>3835231.15</v>
      </c>
      <c r="R6876" s="14">
        <f>_xlfn.XLOOKUP(Table2[[#This Row],[LoanID]],Table1[G-L ID],Table1[ManagerCode],-99)</f>
        <v>183</v>
      </c>
      <c r="T6876"/>
    </row>
    <row r="6877" spans="1:20" x14ac:dyDescent="0.25">
      <c r="A6877">
        <v>20180430</v>
      </c>
      <c r="B6877">
        <v>2018</v>
      </c>
      <c r="C6877">
        <v>4</v>
      </c>
      <c r="D6877">
        <v>1</v>
      </c>
      <c r="E6877">
        <v>12460</v>
      </c>
      <c r="F6877">
        <v>42250</v>
      </c>
      <c r="G6877">
        <v>44011.8</v>
      </c>
      <c r="H6877">
        <v>0</v>
      </c>
      <c r="I6877">
        <v>0</v>
      </c>
      <c r="J6877">
        <v>0</v>
      </c>
      <c r="K6877">
        <v>0</v>
      </c>
      <c r="L6877">
        <v>8626180.0999999996</v>
      </c>
      <c r="M6877">
        <v>8670191.9000000004</v>
      </c>
      <c r="N6877">
        <v>8626180.0999999996</v>
      </c>
      <c r="O6877">
        <v>8670191.9000000004</v>
      </c>
      <c r="P6877">
        <v>8626180.0999999996</v>
      </c>
      <c r="Q6877">
        <v>8670191.9000000004</v>
      </c>
      <c r="R6877" s="14">
        <f>_xlfn.XLOOKUP(Table2[[#This Row],[LoanID]],Table1[G-L ID],Table1[ManagerCode],-99)</f>
        <v>183</v>
      </c>
      <c r="T6877"/>
    </row>
    <row r="6878" spans="1:20" x14ac:dyDescent="0.25">
      <c r="A6878">
        <v>20180430</v>
      </c>
      <c r="B6878">
        <v>2018</v>
      </c>
      <c r="C6878">
        <v>4</v>
      </c>
      <c r="D6878">
        <v>1</v>
      </c>
      <c r="E6878">
        <v>12470</v>
      </c>
      <c r="F6878">
        <v>307145.87</v>
      </c>
      <c r="G6878">
        <v>0</v>
      </c>
      <c r="H6878">
        <v>0</v>
      </c>
      <c r="I6878">
        <v>0</v>
      </c>
      <c r="J6878">
        <v>0</v>
      </c>
      <c r="K6878">
        <v>0</v>
      </c>
      <c r="L6878">
        <v>115000000</v>
      </c>
      <c r="M6878">
        <v>115000000</v>
      </c>
      <c r="N6878">
        <v>46000000</v>
      </c>
      <c r="O6878">
        <v>46000000</v>
      </c>
      <c r="P6878">
        <v>115000000</v>
      </c>
      <c r="Q6878">
        <v>115000000</v>
      </c>
      <c r="R6878" s="14">
        <f>_xlfn.XLOOKUP(Table2[[#This Row],[LoanID]],Table1[G-L ID],Table1[ManagerCode],-99)</f>
        <v>183</v>
      </c>
      <c r="T6878"/>
    </row>
    <row r="6879" spans="1:20" x14ac:dyDescent="0.25">
      <c r="A6879">
        <v>20180430</v>
      </c>
      <c r="B6879">
        <v>2018</v>
      </c>
      <c r="C6879">
        <v>4</v>
      </c>
      <c r="D6879">
        <v>1</v>
      </c>
      <c r="E6879">
        <v>12480</v>
      </c>
      <c r="F6879">
        <v>71871.789999999994</v>
      </c>
      <c r="G6879">
        <v>0</v>
      </c>
      <c r="H6879">
        <v>0</v>
      </c>
      <c r="I6879">
        <v>0</v>
      </c>
      <c r="J6879">
        <v>0</v>
      </c>
      <c r="K6879">
        <v>0</v>
      </c>
      <c r="L6879">
        <v>19880000</v>
      </c>
      <c r="M6879">
        <v>19880000</v>
      </c>
      <c r="N6879">
        <v>9380000</v>
      </c>
      <c r="O6879">
        <v>9380000</v>
      </c>
      <c r="P6879">
        <v>19880000</v>
      </c>
      <c r="Q6879">
        <v>19880000</v>
      </c>
      <c r="R6879" s="14">
        <f>_xlfn.XLOOKUP(Table2[[#This Row],[LoanID]],Table1[G-L ID],Table1[ManagerCode],-99)</f>
        <v>183</v>
      </c>
      <c r="T6879"/>
    </row>
    <row r="6880" spans="1:20" x14ac:dyDescent="0.25">
      <c r="A6880">
        <v>20180430</v>
      </c>
      <c r="B6880">
        <v>2018</v>
      </c>
      <c r="C6880">
        <v>4</v>
      </c>
      <c r="D6880">
        <v>1</v>
      </c>
      <c r="E6880">
        <v>12490</v>
      </c>
      <c r="F6880">
        <v>91379.42</v>
      </c>
      <c r="G6880">
        <v>0</v>
      </c>
      <c r="H6880">
        <v>0</v>
      </c>
      <c r="I6880">
        <v>0</v>
      </c>
      <c r="J6880">
        <v>0</v>
      </c>
      <c r="K6880">
        <v>0</v>
      </c>
      <c r="L6880">
        <v>50200000</v>
      </c>
      <c r="M6880">
        <v>50200000</v>
      </c>
      <c r="N6880">
        <v>19600000</v>
      </c>
      <c r="O6880">
        <v>19600000</v>
      </c>
      <c r="P6880">
        <v>50200000</v>
      </c>
      <c r="Q6880">
        <v>50200000</v>
      </c>
      <c r="R6880" s="14">
        <f>_xlfn.XLOOKUP(Table2[[#This Row],[LoanID]],Table1[G-L ID],Table1[ManagerCode],-99)</f>
        <v>183</v>
      </c>
      <c r="T6880"/>
    </row>
    <row r="6881" spans="1:20" x14ac:dyDescent="0.25">
      <c r="A6881">
        <v>20180430</v>
      </c>
      <c r="B6881">
        <v>2018</v>
      </c>
      <c r="C6881">
        <v>4</v>
      </c>
      <c r="D6881">
        <v>1</v>
      </c>
      <c r="E6881">
        <v>12500</v>
      </c>
      <c r="F6881">
        <v>263287.49</v>
      </c>
      <c r="G6881">
        <v>0</v>
      </c>
      <c r="H6881">
        <v>0</v>
      </c>
      <c r="I6881">
        <v>0</v>
      </c>
      <c r="J6881">
        <v>0</v>
      </c>
      <c r="K6881">
        <v>0</v>
      </c>
      <c r="L6881">
        <v>115000000</v>
      </c>
      <c r="M6881">
        <v>115000000</v>
      </c>
      <c r="N6881">
        <v>46015000</v>
      </c>
      <c r="O6881">
        <v>46015000</v>
      </c>
      <c r="P6881">
        <v>115000000</v>
      </c>
      <c r="Q6881">
        <v>115000000</v>
      </c>
      <c r="R6881" s="14">
        <f>_xlfn.XLOOKUP(Table2[[#This Row],[LoanID]],Table1[G-L ID],Table1[ManagerCode],-99)</f>
        <v>183</v>
      </c>
      <c r="T6881"/>
    </row>
    <row r="6882" spans="1:20" x14ac:dyDescent="0.25">
      <c r="A6882">
        <v>20180430</v>
      </c>
      <c r="B6882">
        <v>2018</v>
      </c>
      <c r="C6882">
        <v>4</v>
      </c>
      <c r="D6882">
        <v>1</v>
      </c>
      <c r="E6882">
        <v>12510</v>
      </c>
      <c r="F6882">
        <v>299066.94</v>
      </c>
      <c r="G6882">
        <v>0</v>
      </c>
      <c r="H6882">
        <v>0</v>
      </c>
      <c r="I6882">
        <v>0</v>
      </c>
      <c r="J6882">
        <v>0</v>
      </c>
      <c r="K6882">
        <v>0</v>
      </c>
      <c r="L6882">
        <v>131500000</v>
      </c>
      <c r="M6882">
        <v>131500000</v>
      </c>
      <c r="N6882">
        <v>46025000</v>
      </c>
      <c r="O6882">
        <v>46025000</v>
      </c>
      <c r="P6882">
        <v>131500000</v>
      </c>
      <c r="Q6882">
        <v>131500000</v>
      </c>
      <c r="R6882" s="14">
        <f>_xlfn.XLOOKUP(Table2[[#This Row],[LoanID]],Table1[G-L ID],Table1[ManagerCode],-99)</f>
        <v>183</v>
      </c>
      <c r="T6882"/>
    </row>
    <row r="6883" spans="1:20" x14ac:dyDescent="0.25">
      <c r="A6883">
        <v>20180430</v>
      </c>
      <c r="B6883">
        <v>2018</v>
      </c>
      <c r="C6883">
        <v>4</v>
      </c>
      <c r="D6883">
        <v>1</v>
      </c>
      <c r="E6883">
        <v>12520</v>
      </c>
      <c r="F6883">
        <v>146850</v>
      </c>
      <c r="G6883">
        <v>0</v>
      </c>
      <c r="H6883">
        <v>0</v>
      </c>
      <c r="I6883">
        <v>0</v>
      </c>
      <c r="J6883">
        <v>-418977.64</v>
      </c>
      <c r="K6883">
        <v>0</v>
      </c>
      <c r="L6883">
        <v>42000000</v>
      </c>
      <c r="M6883">
        <v>42418977.640000001</v>
      </c>
      <c r="N6883">
        <v>17250000</v>
      </c>
      <c r="O6883">
        <v>17668977.640000001</v>
      </c>
      <c r="P6883">
        <v>42000000</v>
      </c>
      <c r="Q6883">
        <v>42418977.640000001</v>
      </c>
      <c r="R6883" s="14">
        <f>_xlfn.XLOOKUP(Table2[[#This Row],[LoanID]],Table1[G-L ID],Table1[ManagerCode],-99)</f>
        <v>183</v>
      </c>
      <c r="T6883"/>
    </row>
    <row r="6884" spans="1:20" x14ac:dyDescent="0.25">
      <c r="A6884">
        <v>20180430</v>
      </c>
      <c r="B6884">
        <v>2018</v>
      </c>
      <c r="C6884">
        <v>4</v>
      </c>
      <c r="D6884">
        <v>1</v>
      </c>
      <c r="E6884">
        <v>12530</v>
      </c>
      <c r="F6884">
        <v>236666.06</v>
      </c>
      <c r="G6884">
        <v>0</v>
      </c>
      <c r="H6884">
        <v>0</v>
      </c>
      <c r="I6884">
        <v>0</v>
      </c>
      <c r="J6884">
        <v>0</v>
      </c>
      <c r="K6884">
        <v>0</v>
      </c>
      <c r="L6884">
        <v>26200000</v>
      </c>
      <c r="M6884">
        <v>26200000</v>
      </c>
      <c r="N6884">
        <v>26200000</v>
      </c>
      <c r="O6884">
        <v>26200000</v>
      </c>
      <c r="P6884">
        <v>26200000</v>
      </c>
      <c r="Q6884">
        <v>26200000</v>
      </c>
      <c r="R6884" s="14">
        <f>_xlfn.XLOOKUP(Table2[[#This Row],[LoanID]],Table1[G-L ID],Table1[ManagerCode],-99)</f>
        <v>119</v>
      </c>
      <c r="T6884"/>
    </row>
    <row r="6885" spans="1:20" x14ac:dyDescent="0.25">
      <c r="A6885">
        <v>20180430</v>
      </c>
      <c r="B6885">
        <v>2018</v>
      </c>
      <c r="C6885">
        <v>4</v>
      </c>
      <c r="D6885">
        <v>1</v>
      </c>
      <c r="E6885">
        <v>12540</v>
      </c>
      <c r="F6885">
        <v>139301.59</v>
      </c>
      <c r="G6885">
        <v>0</v>
      </c>
      <c r="H6885">
        <v>0</v>
      </c>
      <c r="I6885">
        <v>0</v>
      </c>
      <c r="J6885">
        <v>0</v>
      </c>
      <c r="K6885">
        <v>0</v>
      </c>
      <c r="L6885">
        <v>15657141.18</v>
      </c>
      <c r="M6885">
        <v>15657141.18</v>
      </c>
      <c r="N6885">
        <v>15657141.18</v>
      </c>
      <c r="O6885">
        <v>15657141.18</v>
      </c>
      <c r="P6885">
        <v>15657141.18</v>
      </c>
      <c r="Q6885">
        <v>15657141.18</v>
      </c>
      <c r="R6885" s="14">
        <f>_xlfn.XLOOKUP(Table2[[#This Row],[LoanID]],Table1[G-L ID],Table1[ManagerCode],-99)</f>
        <v>119</v>
      </c>
      <c r="T6885"/>
    </row>
    <row r="6886" spans="1:20" x14ac:dyDescent="0.25">
      <c r="A6886">
        <v>20180430</v>
      </c>
      <c r="B6886">
        <v>2018</v>
      </c>
      <c r="C6886">
        <v>4</v>
      </c>
      <c r="D6886">
        <v>1</v>
      </c>
      <c r="E6886">
        <v>12550</v>
      </c>
      <c r="F6886">
        <v>74972.639999999999</v>
      </c>
      <c r="G6886">
        <v>0</v>
      </c>
      <c r="H6886">
        <v>0</v>
      </c>
      <c r="I6886">
        <v>0</v>
      </c>
      <c r="J6886">
        <v>0</v>
      </c>
      <c r="K6886">
        <v>0</v>
      </c>
      <c r="L6886">
        <v>7416099.1500000004</v>
      </c>
      <c r="M6886">
        <v>7416099.1500000004</v>
      </c>
      <c r="N6886">
        <v>7416099.1500000004</v>
      </c>
      <c r="O6886">
        <v>7416099.1500000004</v>
      </c>
      <c r="P6886">
        <v>7416099.1500000004</v>
      </c>
      <c r="Q6886">
        <v>7416099.1500000004</v>
      </c>
      <c r="R6886" s="14">
        <f>_xlfn.XLOOKUP(Table2[[#This Row],[LoanID]],Table1[G-L ID],Table1[ManagerCode],-99)</f>
        <v>119</v>
      </c>
      <c r="T6886"/>
    </row>
    <row r="6887" spans="1:20" x14ac:dyDescent="0.25">
      <c r="A6887">
        <v>20180430</v>
      </c>
      <c r="B6887">
        <v>2018</v>
      </c>
      <c r="C6887">
        <v>4</v>
      </c>
      <c r="D6887">
        <v>1</v>
      </c>
      <c r="E6887">
        <v>12560</v>
      </c>
      <c r="F6887">
        <v>131669.07</v>
      </c>
      <c r="G6887">
        <v>0</v>
      </c>
      <c r="H6887">
        <v>0</v>
      </c>
      <c r="I6887">
        <v>0</v>
      </c>
      <c r="J6887">
        <v>-1221600.75</v>
      </c>
      <c r="K6887">
        <v>0</v>
      </c>
      <c r="L6887">
        <v>14436243.68</v>
      </c>
      <c r="M6887">
        <v>15657844.43</v>
      </c>
      <c r="N6887">
        <v>14436243.68</v>
      </c>
      <c r="O6887">
        <v>15657844.43</v>
      </c>
      <c r="P6887">
        <v>14436243.68</v>
      </c>
      <c r="Q6887">
        <v>15657844.43</v>
      </c>
      <c r="R6887" s="14">
        <f>_xlfn.XLOOKUP(Table2[[#This Row],[LoanID]],Table1[G-L ID],Table1[ManagerCode],-99)</f>
        <v>119</v>
      </c>
      <c r="T6887"/>
    </row>
    <row r="6888" spans="1:20" x14ac:dyDescent="0.25">
      <c r="A6888">
        <v>20180430</v>
      </c>
      <c r="B6888">
        <v>2018</v>
      </c>
      <c r="C6888">
        <v>4</v>
      </c>
      <c r="D6888">
        <v>1</v>
      </c>
      <c r="E6888">
        <v>12570</v>
      </c>
      <c r="F6888">
        <v>78768.08</v>
      </c>
      <c r="G6888">
        <v>0</v>
      </c>
      <c r="H6888">
        <v>0</v>
      </c>
      <c r="I6888">
        <v>0</v>
      </c>
      <c r="J6888">
        <v>0</v>
      </c>
      <c r="K6888">
        <v>0</v>
      </c>
      <c r="L6888">
        <v>8924400</v>
      </c>
      <c r="M6888">
        <v>8924400</v>
      </c>
      <c r="N6888">
        <v>8924400</v>
      </c>
      <c r="O6888">
        <v>8924400</v>
      </c>
      <c r="P6888">
        <v>8924400</v>
      </c>
      <c r="Q6888">
        <v>8924400</v>
      </c>
      <c r="R6888" s="14">
        <f>_xlfn.XLOOKUP(Table2[[#This Row],[LoanID]],Table1[G-L ID],Table1[ManagerCode],-99)</f>
        <v>119</v>
      </c>
      <c r="T6888"/>
    </row>
    <row r="6889" spans="1:20" x14ac:dyDescent="0.25">
      <c r="A6889">
        <v>20180430</v>
      </c>
      <c r="B6889">
        <v>2018</v>
      </c>
      <c r="C6889">
        <v>4</v>
      </c>
      <c r="D6889">
        <v>1</v>
      </c>
      <c r="E6889">
        <v>12580</v>
      </c>
      <c r="F6889">
        <v>185162.17</v>
      </c>
      <c r="G6889">
        <v>0</v>
      </c>
      <c r="H6889">
        <v>0</v>
      </c>
      <c r="I6889">
        <v>0</v>
      </c>
      <c r="J6889">
        <v>0</v>
      </c>
      <c r="K6889">
        <v>0</v>
      </c>
      <c r="L6889">
        <v>18000000</v>
      </c>
      <c r="M6889">
        <v>18000000</v>
      </c>
      <c r="N6889">
        <v>18000000</v>
      </c>
      <c r="O6889">
        <v>18000000</v>
      </c>
      <c r="P6889">
        <v>18000000</v>
      </c>
      <c r="Q6889">
        <v>18000000</v>
      </c>
      <c r="R6889" s="14">
        <f>_xlfn.XLOOKUP(Table2[[#This Row],[LoanID]],Table1[G-L ID],Table1[ManagerCode],-99)</f>
        <v>119</v>
      </c>
      <c r="T6889"/>
    </row>
    <row r="6890" spans="1:20" x14ac:dyDescent="0.25">
      <c r="A6890">
        <v>20180430</v>
      </c>
      <c r="B6890">
        <v>2018</v>
      </c>
      <c r="C6890">
        <v>4</v>
      </c>
      <c r="D6890">
        <v>1</v>
      </c>
      <c r="E6890">
        <v>12590</v>
      </c>
      <c r="F6890">
        <v>80689.56</v>
      </c>
      <c r="G6890">
        <v>0</v>
      </c>
      <c r="H6890">
        <v>0</v>
      </c>
      <c r="I6890">
        <v>0</v>
      </c>
      <c r="J6890">
        <v>0</v>
      </c>
      <c r="K6890">
        <v>0</v>
      </c>
      <c r="L6890">
        <v>8500000</v>
      </c>
      <c r="M6890">
        <v>8500000</v>
      </c>
      <c r="N6890">
        <v>8500000</v>
      </c>
      <c r="O6890">
        <v>8500000</v>
      </c>
      <c r="P6890">
        <v>8500000</v>
      </c>
      <c r="Q6890">
        <v>8500000</v>
      </c>
      <c r="R6890" s="14">
        <f>_xlfn.XLOOKUP(Table2[[#This Row],[LoanID]],Table1[G-L ID],Table1[ManagerCode],-99)</f>
        <v>119</v>
      </c>
      <c r="T6890"/>
    </row>
    <row r="6891" spans="1:20" x14ac:dyDescent="0.25">
      <c r="A6891">
        <v>20180430</v>
      </c>
      <c r="B6891">
        <v>2018</v>
      </c>
      <c r="C6891">
        <v>4</v>
      </c>
      <c r="D6891">
        <v>1</v>
      </c>
      <c r="E6891">
        <v>12600</v>
      </c>
      <c r="F6891">
        <v>240798.31</v>
      </c>
      <c r="G6891">
        <v>0</v>
      </c>
      <c r="H6891">
        <v>0</v>
      </c>
      <c r="I6891">
        <v>0</v>
      </c>
      <c r="J6891">
        <v>0</v>
      </c>
      <c r="K6891">
        <v>0</v>
      </c>
      <c r="L6891">
        <v>27750000</v>
      </c>
      <c r="M6891">
        <v>27750000</v>
      </c>
      <c r="N6891">
        <v>27750000</v>
      </c>
      <c r="O6891">
        <v>27750000</v>
      </c>
      <c r="P6891">
        <v>27750000</v>
      </c>
      <c r="Q6891">
        <v>27750000</v>
      </c>
      <c r="R6891" s="14">
        <f>_xlfn.XLOOKUP(Table2[[#This Row],[LoanID]],Table1[G-L ID],Table1[ManagerCode],-99)</f>
        <v>119</v>
      </c>
      <c r="T6891"/>
    </row>
    <row r="6892" spans="1:20" x14ac:dyDescent="0.25">
      <c r="A6892">
        <v>20180430</v>
      </c>
      <c r="B6892">
        <v>2018</v>
      </c>
      <c r="C6892">
        <v>4</v>
      </c>
      <c r="D6892">
        <v>1</v>
      </c>
      <c r="E6892">
        <v>12610</v>
      </c>
      <c r="F6892">
        <v>82585.37</v>
      </c>
      <c r="G6892">
        <v>0</v>
      </c>
      <c r="H6892">
        <v>0</v>
      </c>
      <c r="I6892">
        <v>0</v>
      </c>
      <c r="J6892">
        <v>0</v>
      </c>
      <c r="K6892">
        <v>0</v>
      </c>
      <c r="L6892">
        <v>8875000</v>
      </c>
      <c r="M6892">
        <v>8875000</v>
      </c>
      <c r="N6892">
        <v>8875000</v>
      </c>
      <c r="O6892">
        <v>8875000</v>
      </c>
      <c r="P6892">
        <v>8875000</v>
      </c>
      <c r="Q6892">
        <v>8875000</v>
      </c>
      <c r="R6892" s="14">
        <f>_xlfn.XLOOKUP(Table2[[#This Row],[LoanID]],Table1[G-L ID],Table1[ManagerCode],-99)</f>
        <v>119</v>
      </c>
      <c r="T6892"/>
    </row>
    <row r="6893" spans="1:20" x14ac:dyDescent="0.25">
      <c r="A6893">
        <v>20180430</v>
      </c>
      <c r="B6893">
        <v>2018</v>
      </c>
      <c r="C6893">
        <v>4</v>
      </c>
      <c r="D6893">
        <v>1</v>
      </c>
      <c r="E6893">
        <v>12620</v>
      </c>
      <c r="F6893">
        <v>70670.34</v>
      </c>
      <c r="G6893">
        <v>0</v>
      </c>
      <c r="H6893">
        <v>0</v>
      </c>
      <c r="I6893">
        <v>0</v>
      </c>
      <c r="J6893">
        <v>0</v>
      </c>
      <c r="K6893">
        <v>0</v>
      </c>
      <c r="L6893">
        <v>7486833.0499999998</v>
      </c>
      <c r="M6893">
        <v>7486833.0499999998</v>
      </c>
      <c r="N6893">
        <v>7486833.0499999998</v>
      </c>
      <c r="O6893">
        <v>7486833.0499999998</v>
      </c>
      <c r="P6893">
        <v>7486833.0499999998</v>
      </c>
      <c r="Q6893">
        <v>7486833.0499999998</v>
      </c>
      <c r="R6893" s="14">
        <f>_xlfn.XLOOKUP(Table2[[#This Row],[LoanID]],Table1[G-L ID],Table1[ManagerCode],-99)</f>
        <v>119</v>
      </c>
      <c r="T6893"/>
    </row>
    <row r="6894" spans="1:20" x14ac:dyDescent="0.25">
      <c r="A6894">
        <v>20180430</v>
      </c>
      <c r="B6894">
        <v>2018</v>
      </c>
      <c r="C6894">
        <v>4</v>
      </c>
      <c r="D6894">
        <v>1</v>
      </c>
      <c r="E6894">
        <v>12630</v>
      </c>
      <c r="F6894">
        <v>116243.15</v>
      </c>
      <c r="G6894">
        <v>0</v>
      </c>
      <c r="H6894">
        <v>0</v>
      </c>
      <c r="I6894">
        <v>0</v>
      </c>
      <c r="J6894">
        <v>0</v>
      </c>
      <c r="K6894">
        <v>0</v>
      </c>
      <c r="L6894">
        <v>13211200.35</v>
      </c>
      <c r="M6894">
        <v>13211200.35</v>
      </c>
      <c r="N6894">
        <v>13211200.35</v>
      </c>
      <c r="O6894">
        <v>13211200.35</v>
      </c>
      <c r="P6894">
        <v>13211200.35</v>
      </c>
      <c r="Q6894">
        <v>13211200.35</v>
      </c>
      <c r="R6894" s="14">
        <f>_xlfn.XLOOKUP(Table2[[#This Row],[LoanID]],Table1[G-L ID],Table1[ManagerCode],-99)</f>
        <v>119</v>
      </c>
      <c r="T6894"/>
    </row>
    <row r="6895" spans="1:20" x14ac:dyDescent="0.25">
      <c r="A6895">
        <v>20180430</v>
      </c>
      <c r="B6895">
        <v>2018</v>
      </c>
      <c r="C6895">
        <v>4</v>
      </c>
      <c r="D6895">
        <v>1</v>
      </c>
      <c r="E6895">
        <v>12640</v>
      </c>
      <c r="F6895">
        <v>77210.73</v>
      </c>
      <c r="G6895">
        <v>0</v>
      </c>
      <c r="H6895">
        <v>0</v>
      </c>
      <c r="I6895">
        <v>0</v>
      </c>
      <c r="J6895">
        <v>-937594.32</v>
      </c>
      <c r="K6895">
        <v>0</v>
      </c>
      <c r="L6895">
        <v>7433967.4400000004</v>
      </c>
      <c r="M6895">
        <v>8371561.7599999998</v>
      </c>
      <c r="N6895">
        <v>7433967.4400000004</v>
      </c>
      <c r="O6895">
        <v>8371561.7599999998</v>
      </c>
      <c r="P6895">
        <v>7433967.4400000004</v>
      </c>
      <c r="Q6895">
        <v>8371561.7599999998</v>
      </c>
      <c r="R6895" s="14">
        <f>_xlfn.XLOOKUP(Table2[[#This Row],[LoanID]],Table1[G-L ID],Table1[ManagerCode],-99)</f>
        <v>119</v>
      </c>
      <c r="T6895"/>
    </row>
    <row r="6896" spans="1:20" x14ac:dyDescent="0.25">
      <c r="A6896">
        <v>20180430</v>
      </c>
      <c r="B6896">
        <v>2018</v>
      </c>
      <c r="C6896">
        <v>4</v>
      </c>
      <c r="D6896">
        <v>1</v>
      </c>
      <c r="E6896">
        <v>12650</v>
      </c>
      <c r="F6896">
        <v>317365.28999999998</v>
      </c>
      <c r="G6896">
        <v>0</v>
      </c>
      <c r="H6896">
        <v>0</v>
      </c>
      <c r="I6896">
        <v>0</v>
      </c>
      <c r="J6896">
        <v>0</v>
      </c>
      <c r="K6896">
        <v>0</v>
      </c>
      <c r="L6896">
        <v>111200000</v>
      </c>
      <c r="M6896">
        <v>111200000</v>
      </c>
      <c r="N6896">
        <v>44480000</v>
      </c>
      <c r="O6896">
        <v>44480000</v>
      </c>
      <c r="P6896">
        <v>111200000</v>
      </c>
      <c r="Q6896">
        <v>111200000</v>
      </c>
      <c r="R6896" s="14">
        <f>_xlfn.XLOOKUP(Table2[[#This Row],[LoanID]],Table1[G-L ID],Table1[ManagerCode],-99)</f>
        <v>183</v>
      </c>
      <c r="T6896"/>
    </row>
    <row r="6897" spans="1:20" x14ac:dyDescent="0.25">
      <c r="A6897">
        <v>20180430</v>
      </c>
      <c r="B6897">
        <v>2018</v>
      </c>
      <c r="C6897">
        <v>4</v>
      </c>
      <c r="D6897">
        <v>1</v>
      </c>
      <c r="E6897">
        <v>12660</v>
      </c>
      <c r="F6897">
        <v>28459.73</v>
      </c>
      <c r="G6897">
        <v>0</v>
      </c>
      <c r="H6897">
        <v>0</v>
      </c>
      <c r="I6897">
        <v>0</v>
      </c>
      <c r="J6897">
        <v>0</v>
      </c>
      <c r="K6897">
        <v>0</v>
      </c>
      <c r="L6897">
        <v>47000000</v>
      </c>
      <c r="M6897">
        <v>47000000</v>
      </c>
      <c r="N6897">
        <v>19000000</v>
      </c>
      <c r="O6897">
        <v>19000000</v>
      </c>
      <c r="P6897">
        <v>47000000</v>
      </c>
      <c r="Q6897">
        <v>47000000</v>
      </c>
      <c r="R6897" s="14">
        <f>_xlfn.XLOOKUP(Table2[[#This Row],[LoanID]],Table1[G-L ID],Table1[ManagerCode],-99)</f>
        <v>183</v>
      </c>
      <c r="T6897"/>
    </row>
    <row r="6898" spans="1:20" x14ac:dyDescent="0.25">
      <c r="A6898">
        <v>20180430</v>
      </c>
      <c r="B6898">
        <v>2018</v>
      </c>
      <c r="C6898">
        <v>4</v>
      </c>
      <c r="D6898">
        <v>1</v>
      </c>
      <c r="E6898">
        <v>12670</v>
      </c>
      <c r="F6898">
        <v>55843.62</v>
      </c>
      <c r="G6898">
        <v>0</v>
      </c>
      <c r="H6898">
        <v>0</v>
      </c>
      <c r="I6898">
        <v>0</v>
      </c>
      <c r="J6898">
        <v>0</v>
      </c>
      <c r="K6898">
        <v>0</v>
      </c>
      <c r="L6898">
        <v>15500000</v>
      </c>
      <c r="M6898">
        <v>15500000</v>
      </c>
      <c r="N6898">
        <v>7250000</v>
      </c>
      <c r="O6898">
        <v>7250000</v>
      </c>
      <c r="P6898">
        <v>15500000</v>
      </c>
      <c r="Q6898">
        <v>15500000</v>
      </c>
      <c r="R6898" s="14">
        <f>_xlfn.XLOOKUP(Table2[[#This Row],[LoanID]],Table1[G-L ID],Table1[ManagerCode],-99)</f>
        <v>183</v>
      </c>
      <c r="T6898"/>
    </row>
    <row r="6899" spans="1:20" x14ac:dyDescent="0.25">
      <c r="A6899">
        <v>20180430</v>
      </c>
      <c r="B6899">
        <v>2018</v>
      </c>
      <c r="C6899">
        <v>4</v>
      </c>
      <c r="D6899">
        <v>1</v>
      </c>
      <c r="E6899">
        <v>12680</v>
      </c>
      <c r="F6899">
        <v>147320.91</v>
      </c>
      <c r="G6899">
        <v>0</v>
      </c>
      <c r="H6899">
        <v>0</v>
      </c>
      <c r="I6899">
        <v>0</v>
      </c>
      <c r="J6899">
        <v>0</v>
      </c>
      <c r="K6899">
        <v>0</v>
      </c>
      <c r="L6899">
        <v>16126000</v>
      </c>
      <c r="M6899">
        <v>16126000</v>
      </c>
      <c r="N6899">
        <v>16126000</v>
      </c>
      <c r="O6899">
        <v>16126000</v>
      </c>
      <c r="P6899">
        <v>16126000</v>
      </c>
      <c r="Q6899">
        <v>16126000</v>
      </c>
      <c r="R6899" s="14">
        <f>_xlfn.XLOOKUP(Table2[[#This Row],[LoanID]],Table1[G-L ID],Table1[ManagerCode],-99)</f>
        <v>119</v>
      </c>
      <c r="T6899"/>
    </row>
    <row r="6900" spans="1:20" x14ac:dyDescent="0.25">
      <c r="A6900">
        <v>20180430</v>
      </c>
      <c r="B6900">
        <v>2018</v>
      </c>
      <c r="C6900">
        <v>4</v>
      </c>
      <c r="D6900">
        <v>1</v>
      </c>
      <c r="E6900">
        <v>12690</v>
      </c>
      <c r="F6900">
        <v>93648.63</v>
      </c>
      <c r="G6900">
        <v>0</v>
      </c>
      <c r="H6900">
        <v>0</v>
      </c>
      <c r="I6900">
        <v>0</v>
      </c>
      <c r="J6900">
        <v>0</v>
      </c>
      <c r="K6900">
        <v>0</v>
      </c>
      <c r="L6900">
        <v>10175500</v>
      </c>
      <c r="M6900">
        <v>10175500</v>
      </c>
      <c r="N6900">
        <v>10175500</v>
      </c>
      <c r="O6900">
        <v>10175500</v>
      </c>
      <c r="P6900">
        <v>10175500</v>
      </c>
      <c r="Q6900">
        <v>10175500</v>
      </c>
      <c r="R6900" s="14">
        <f>_xlfn.XLOOKUP(Table2[[#This Row],[LoanID]],Table1[G-L ID],Table1[ManagerCode],-99)</f>
        <v>119</v>
      </c>
      <c r="T6900"/>
    </row>
    <row r="6901" spans="1:20" x14ac:dyDescent="0.25">
      <c r="A6901">
        <v>20180430</v>
      </c>
      <c r="B6901">
        <v>2018</v>
      </c>
      <c r="C6901">
        <v>4</v>
      </c>
      <c r="D6901">
        <v>1</v>
      </c>
      <c r="E6901">
        <v>12700</v>
      </c>
      <c r="F6901">
        <v>218011.81</v>
      </c>
      <c r="G6901">
        <v>0</v>
      </c>
      <c r="H6901">
        <v>0</v>
      </c>
      <c r="I6901">
        <v>0</v>
      </c>
      <c r="J6901">
        <v>0</v>
      </c>
      <c r="K6901">
        <v>0</v>
      </c>
      <c r="L6901">
        <v>25000000</v>
      </c>
      <c r="M6901">
        <v>25000000</v>
      </c>
      <c r="N6901">
        <v>25000000</v>
      </c>
      <c r="O6901">
        <v>25000000</v>
      </c>
      <c r="P6901">
        <v>25000000</v>
      </c>
      <c r="Q6901">
        <v>25000000</v>
      </c>
      <c r="R6901" s="14">
        <f>_xlfn.XLOOKUP(Table2[[#This Row],[LoanID]],Table1[G-L ID],Table1[ManagerCode],-99)</f>
        <v>119</v>
      </c>
      <c r="T6901"/>
    </row>
    <row r="6902" spans="1:20" x14ac:dyDescent="0.25">
      <c r="A6902">
        <v>20180430</v>
      </c>
      <c r="B6902">
        <v>2018</v>
      </c>
      <c r="C6902">
        <v>4</v>
      </c>
      <c r="D6902">
        <v>1</v>
      </c>
      <c r="E6902">
        <v>12710</v>
      </c>
      <c r="F6902">
        <v>96155.59</v>
      </c>
      <c r="G6902">
        <v>0</v>
      </c>
      <c r="H6902">
        <v>0</v>
      </c>
      <c r="I6902">
        <v>0</v>
      </c>
      <c r="J6902">
        <v>0</v>
      </c>
      <c r="K6902">
        <v>0</v>
      </c>
      <c r="L6902">
        <v>9738975</v>
      </c>
      <c r="M6902">
        <v>9738975</v>
      </c>
      <c r="N6902">
        <v>9738975</v>
      </c>
      <c r="O6902">
        <v>9738975</v>
      </c>
      <c r="P6902">
        <v>9738975</v>
      </c>
      <c r="Q6902">
        <v>9738975</v>
      </c>
      <c r="R6902" s="14">
        <f>_xlfn.XLOOKUP(Table2[[#This Row],[LoanID]],Table1[G-L ID],Table1[ManagerCode],-99)</f>
        <v>119</v>
      </c>
      <c r="T6902"/>
    </row>
    <row r="6903" spans="1:20" x14ac:dyDescent="0.25">
      <c r="A6903">
        <v>20180430</v>
      </c>
      <c r="B6903">
        <v>2018</v>
      </c>
      <c r="C6903">
        <v>4</v>
      </c>
      <c r="D6903">
        <v>1</v>
      </c>
      <c r="E6903">
        <v>12730</v>
      </c>
      <c r="F6903">
        <v>0</v>
      </c>
      <c r="G6903">
        <v>0</v>
      </c>
      <c r="H6903">
        <v>384600</v>
      </c>
      <c r="I6903">
        <v>0</v>
      </c>
      <c r="J6903">
        <v>-38460000</v>
      </c>
      <c r="K6903">
        <v>25000000</v>
      </c>
      <c r="L6903">
        <v>0</v>
      </c>
      <c r="M6903">
        <v>38460000</v>
      </c>
      <c r="N6903">
        <v>0</v>
      </c>
      <c r="O6903">
        <v>13460000</v>
      </c>
      <c r="P6903">
        <v>0</v>
      </c>
      <c r="Q6903">
        <v>38460000</v>
      </c>
      <c r="R6903" s="14">
        <f>_xlfn.XLOOKUP(Table2[[#This Row],[LoanID]],Table1[G-L ID],Table1[ManagerCode],-99)</f>
        <v>183</v>
      </c>
      <c r="T6903"/>
    </row>
    <row r="6904" spans="1:20" x14ac:dyDescent="0.25">
      <c r="A6904">
        <v>20180430</v>
      </c>
      <c r="B6904">
        <v>2018</v>
      </c>
      <c r="C6904">
        <v>4</v>
      </c>
      <c r="D6904">
        <v>1</v>
      </c>
      <c r="E6904">
        <v>12750</v>
      </c>
      <c r="F6904">
        <v>31154.7</v>
      </c>
      <c r="G6904">
        <v>71576.399999999994</v>
      </c>
      <c r="H6904">
        <v>0</v>
      </c>
      <c r="I6904">
        <v>0</v>
      </c>
      <c r="J6904">
        <v>0</v>
      </c>
      <c r="K6904">
        <v>0</v>
      </c>
      <c r="L6904">
        <v>23212888.98</v>
      </c>
      <c r="M6904">
        <v>23284465.379999999</v>
      </c>
      <c r="N6904">
        <v>11603587.85</v>
      </c>
      <c r="O6904">
        <v>11675164.25</v>
      </c>
      <c r="P6904">
        <v>23212888.98</v>
      </c>
      <c r="Q6904">
        <v>23284465.379999999</v>
      </c>
      <c r="R6904" s="14">
        <f>_xlfn.XLOOKUP(Table2[[#This Row],[LoanID]],Table1[G-L ID],Table1[ManagerCode],-99)</f>
        <v>236</v>
      </c>
      <c r="T6904"/>
    </row>
    <row r="6905" spans="1:20" x14ac:dyDescent="0.25">
      <c r="A6905">
        <v>20180430</v>
      </c>
      <c r="B6905">
        <v>2018</v>
      </c>
      <c r="C6905">
        <v>4</v>
      </c>
      <c r="D6905">
        <v>1</v>
      </c>
      <c r="E6905">
        <v>12930</v>
      </c>
      <c r="F6905">
        <v>60514.06</v>
      </c>
      <c r="G6905">
        <v>0</v>
      </c>
      <c r="H6905">
        <v>121000</v>
      </c>
      <c r="I6905">
        <v>0</v>
      </c>
      <c r="J6905">
        <v>-19000000</v>
      </c>
      <c r="K6905">
        <v>0</v>
      </c>
      <c r="L6905">
        <v>0</v>
      </c>
      <c r="M6905">
        <v>19000000</v>
      </c>
      <c r="N6905">
        <v>0</v>
      </c>
      <c r="O6905">
        <v>19000000</v>
      </c>
      <c r="P6905">
        <v>0</v>
      </c>
      <c r="Q6905">
        <v>19000000</v>
      </c>
      <c r="R6905" s="14">
        <f>_xlfn.XLOOKUP(Table2[[#This Row],[LoanID]],Table1[G-L ID],Table1[ManagerCode],-99)</f>
        <v>119</v>
      </c>
      <c r="T6905"/>
    </row>
    <row r="6906" spans="1:20" x14ac:dyDescent="0.25">
      <c r="A6906">
        <v>20180430</v>
      </c>
      <c r="B6906">
        <v>2018</v>
      </c>
      <c r="C6906">
        <v>4</v>
      </c>
      <c r="D6906">
        <v>1</v>
      </c>
      <c r="E6906">
        <v>12950</v>
      </c>
      <c r="F6906">
        <v>228447.59</v>
      </c>
      <c r="G6906">
        <v>0</v>
      </c>
      <c r="H6906">
        <v>0</v>
      </c>
      <c r="I6906">
        <v>0</v>
      </c>
      <c r="J6906">
        <v>0</v>
      </c>
      <c r="K6906">
        <v>0</v>
      </c>
      <c r="L6906">
        <v>26732750</v>
      </c>
      <c r="M6906">
        <v>26732750</v>
      </c>
      <c r="N6906">
        <v>26732750</v>
      </c>
      <c r="O6906">
        <v>26732750</v>
      </c>
      <c r="P6906">
        <v>26732750</v>
      </c>
      <c r="Q6906">
        <v>26732750</v>
      </c>
      <c r="R6906" s="14">
        <f>_xlfn.XLOOKUP(Table2[[#This Row],[LoanID]],Table1[G-L ID],Table1[ManagerCode],-99)</f>
        <v>119</v>
      </c>
      <c r="T6906"/>
    </row>
    <row r="6907" spans="1:20" x14ac:dyDescent="0.25">
      <c r="A6907">
        <v>20180430</v>
      </c>
      <c r="B6907">
        <v>2018</v>
      </c>
      <c r="C6907">
        <v>4</v>
      </c>
      <c r="D6907">
        <v>1</v>
      </c>
      <c r="E6907">
        <v>12960</v>
      </c>
      <c r="F6907">
        <v>165433.04999999999</v>
      </c>
      <c r="G6907">
        <v>0</v>
      </c>
      <c r="H6907">
        <v>0</v>
      </c>
      <c r="I6907">
        <v>0</v>
      </c>
      <c r="J6907">
        <v>0</v>
      </c>
      <c r="K6907">
        <v>0</v>
      </c>
      <c r="L6907">
        <v>35400000</v>
      </c>
      <c r="M6907">
        <v>35400000</v>
      </c>
      <c r="N6907">
        <v>35400000</v>
      </c>
      <c r="O6907">
        <v>35400000</v>
      </c>
      <c r="P6907">
        <v>35400000</v>
      </c>
      <c r="Q6907">
        <v>35400000</v>
      </c>
      <c r="R6907" s="14">
        <f>_xlfn.XLOOKUP(Table2[[#This Row],[LoanID]],Table1[G-L ID],Table1[ManagerCode],-99)</f>
        <v>119</v>
      </c>
      <c r="T6907"/>
    </row>
    <row r="6908" spans="1:20" x14ac:dyDescent="0.25">
      <c r="A6908">
        <v>20180430</v>
      </c>
      <c r="B6908">
        <v>2018</v>
      </c>
      <c r="C6908">
        <v>4</v>
      </c>
      <c r="D6908">
        <v>1</v>
      </c>
      <c r="E6908">
        <v>13000</v>
      </c>
      <c r="F6908">
        <v>28241.1</v>
      </c>
      <c r="G6908">
        <v>52912.18</v>
      </c>
      <c r="H6908">
        <v>0</v>
      </c>
      <c r="I6908">
        <v>0</v>
      </c>
      <c r="J6908">
        <v>-5917336.8499999996</v>
      </c>
      <c r="K6908">
        <v>0</v>
      </c>
      <c r="L6908">
        <v>17062232.510000002</v>
      </c>
      <c r="M6908">
        <v>22861820.920000002</v>
      </c>
      <c r="N6908">
        <v>17062232.510000002</v>
      </c>
      <c r="O6908">
        <v>22861820.920000002</v>
      </c>
      <c r="P6908">
        <v>17119336.280000001</v>
      </c>
      <c r="Q6908">
        <v>23089585.309999999</v>
      </c>
      <c r="R6908" s="14">
        <f>_xlfn.XLOOKUP(Table2[[#This Row],[LoanID]],Table1[G-L ID],Table1[ManagerCode],-99)</f>
        <v>103</v>
      </c>
      <c r="T6908"/>
    </row>
    <row r="6909" spans="1:20" x14ac:dyDescent="0.25">
      <c r="A6909">
        <v>20180430</v>
      </c>
      <c r="B6909">
        <v>2018</v>
      </c>
      <c r="C6909">
        <v>4</v>
      </c>
      <c r="D6909">
        <v>1</v>
      </c>
      <c r="E6909">
        <v>13010</v>
      </c>
      <c r="F6909">
        <v>1400000</v>
      </c>
      <c r="G6909">
        <v>0</v>
      </c>
      <c r="H6909">
        <v>0</v>
      </c>
      <c r="I6909">
        <v>0</v>
      </c>
      <c r="J6909">
        <v>0</v>
      </c>
      <c r="K6909">
        <v>0</v>
      </c>
      <c r="L6909">
        <v>198585176</v>
      </c>
      <c r="M6909">
        <v>197109950</v>
      </c>
      <c r="N6909">
        <v>198585176</v>
      </c>
      <c r="O6909">
        <v>197109950</v>
      </c>
      <c r="P6909">
        <v>210000000</v>
      </c>
      <c r="Q6909">
        <v>210000000</v>
      </c>
      <c r="R6909" s="14">
        <f>_xlfn.XLOOKUP(Table2[[#This Row],[LoanID]],Table1[G-L ID],Table1[ManagerCode],-99)</f>
        <v>103</v>
      </c>
      <c r="T6909"/>
    </row>
    <row r="6910" spans="1:20" x14ac:dyDescent="0.25">
      <c r="A6910">
        <v>20180430</v>
      </c>
      <c r="B6910">
        <v>2018</v>
      </c>
      <c r="C6910">
        <v>4</v>
      </c>
      <c r="D6910">
        <v>1</v>
      </c>
      <c r="E6910">
        <v>13020</v>
      </c>
      <c r="F6910">
        <v>191175.55</v>
      </c>
      <c r="G6910">
        <v>0</v>
      </c>
      <c r="H6910">
        <v>0</v>
      </c>
      <c r="I6910">
        <v>0</v>
      </c>
      <c r="J6910">
        <v>-191175.55</v>
      </c>
      <c r="K6910">
        <v>0</v>
      </c>
      <c r="L6910">
        <v>18500859.670000002</v>
      </c>
      <c r="M6910">
        <v>18692035.219999999</v>
      </c>
      <c r="N6910">
        <v>18500859.670000002</v>
      </c>
      <c r="O6910">
        <v>18692035.219999999</v>
      </c>
      <c r="P6910">
        <v>18500859.670000002</v>
      </c>
      <c r="Q6910">
        <v>18692035.219999999</v>
      </c>
      <c r="R6910" s="14">
        <f>_xlfn.XLOOKUP(Table2[[#This Row],[LoanID]],Table1[G-L ID],Table1[ManagerCode],-99)</f>
        <v>103</v>
      </c>
      <c r="T6910"/>
    </row>
    <row r="6911" spans="1:20" x14ac:dyDescent="0.25">
      <c r="A6911">
        <v>20180430</v>
      </c>
      <c r="B6911">
        <v>2018</v>
      </c>
      <c r="C6911">
        <v>4</v>
      </c>
      <c r="D6911">
        <v>1</v>
      </c>
      <c r="E6911">
        <v>13570</v>
      </c>
      <c r="F6911">
        <v>356014.85</v>
      </c>
      <c r="G6911">
        <v>0</v>
      </c>
      <c r="H6911">
        <v>0</v>
      </c>
      <c r="I6911">
        <v>0</v>
      </c>
      <c r="J6911">
        <v>0</v>
      </c>
      <c r="K6911">
        <v>0</v>
      </c>
      <c r="L6911">
        <v>45206965.789999999</v>
      </c>
      <c r="M6911">
        <v>45238055.939999998</v>
      </c>
      <c r="N6911">
        <v>45206965.789999999</v>
      </c>
      <c r="O6911">
        <v>45238055.939999998</v>
      </c>
      <c r="P6911">
        <v>45800000</v>
      </c>
      <c r="Q6911">
        <v>45800000</v>
      </c>
      <c r="R6911" s="14">
        <f>_xlfn.XLOOKUP(Table2[[#This Row],[LoanID]],Table1[G-L ID],Table1[ManagerCode],-99)</f>
        <v>298</v>
      </c>
      <c r="T6911"/>
    </row>
    <row r="6912" spans="1:20" x14ac:dyDescent="0.25">
      <c r="A6912">
        <v>20180430</v>
      </c>
      <c r="B6912">
        <v>2018</v>
      </c>
      <c r="C6912">
        <v>4</v>
      </c>
      <c r="D6912">
        <v>1</v>
      </c>
      <c r="E6912">
        <v>13580</v>
      </c>
      <c r="F6912">
        <v>429479.17</v>
      </c>
      <c r="G6912">
        <v>0</v>
      </c>
      <c r="H6912">
        <v>0</v>
      </c>
      <c r="I6912">
        <v>0</v>
      </c>
      <c r="J6912">
        <v>0</v>
      </c>
      <c r="K6912">
        <v>0</v>
      </c>
      <c r="L6912">
        <v>63611677.649999999</v>
      </c>
      <c r="M6912">
        <v>63682236.869999997</v>
      </c>
      <c r="N6912">
        <v>63611677.649999999</v>
      </c>
      <c r="O6912">
        <v>63682236.869999997</v>
      </c>
      <c r="P6912">
        <v>66500000</v>
      </c>
      <c r="Q6912">
        <v>66500000</v>
      </c>
      <c r="R6912" s="14">
        <f>_xlfn.XLOOKUP(Table2[[#This Row],[LoanID]],Table1[G-L ID],Table1[ManagerCode],-99)</f>
        <v>298</v>
      </c>
      <c r="T6912"/>
    </row>
    <row r="6913" spans="1:20" x14ac:dyDescent="0.25">
      <c r="A6913">
        <v>20180430</v>
      </c>
      <c r="B6913">
        <v>2018</v>
      </c>
      <c r="C6913">
        <v>4</v>
      </c>
      <c r="D6913">
        <v>1</v>
      </c>
      <c r="E6913">
        <v>13590</v>
      </c>
      <c r="F6913">
        <v>0</v>
      </c>
      <c r="G6913">
        <v>0</v>
      </c>
      <c r="H6913">
        <v>0</v>
      </c>
      <c r="I6913">
        <v>0</v>
      </c>
      <c r="J6913">
        <v>0</v>
      </c>
      <c r="K6913">
        <v>0</v>
      </c>
      <c r="L6913">
        <v>40000000</v>
      </c>
      <c r="M6913">
        <v>40000000</v>
      </c>
      <c r="N6913">
        <v>40000000</v>
      </c>
      <c r="O6913">
        <v>40000000</v>
      </c>
      <c r="P6913">
        <v>40000000</v>
      </c>
      <c r="Q6913">
        <v>40000000</v>
      </c>
      <c r="R6913" s="14">
        <f>_xlfn.XLOOKUP(Table2[[#This Row],[LoanID]],Table1[G-L ID],Table1[ManagerCode],-99)</f>
        <v>298</v>
      </c>
      <c r="T6913"/>
    </row>
    <row r="6914" spans="1:20" x14ac:dyDescent="0.25">
      <c r="A6914">
        <v>20180430</v>
      </c>
      <c r="B6914">
        <v>2018</v>
      </c>
      <c r="C6914">
        <v>4</v>
      </c>
      <c r="D6914">
        <v>1</v>
      </c>
      <c r="E6914">
        <v>13600</v>
      </c>
      <c r="F6914">
        <v>379029.03</v>
      </c>
      <c r="G6914">
        <v>0</v>
      </c>
      <c r="H6914">
        <v>0</v>
      </c>
      <c r="I6914">
        <v>0</v>
      </c>
      <c r="J6914">
        <v>0</v>
      </c>
      <c r="K6914">
        <v>0</v>
      </c>
      <c r="L6914">
        <v>45970000</v>
      </c>
      <c r="M6914">
        <v>45970000</v>
      </c>
      <c r="N6914">
        <v>45970000</v>
      </c>
      <c r="O6914">
        <v>45970000</v>
      </c>
      <c r="P6914">
        <v>45970000</v>
      </c>
      <c r="Q6914">
        <v>45970000</v>
      </c>
      <c r="R6914" s="14">
        <f>_xlfn.XLOOKUP(Table2[[#This Row],[LoanID]],Table1[G-L ID],Table1[ManagerCode],-99)</f>
        <v>298</v>
      </c>
      <c r="T6914"/>
    </row>
    <row r="6915" spans="1:20" x14ac:dyDescent="0.25">
      <c r="A6915">
        <v>20180430</v>
      </c>
      <c r="B6915">
        <v>2018</v>
      </c>
      <c r="C6915">
        <v>4</v>
      </c>
      <c r="D6915">
        <v>1</v>
      </c>
      <c r="E6915">
        <v>13610</v>
      </c>
      <c r="F6915">
        <v>63291.67</v>
      </c>
      <c r="G6915">
        <v>0</v>
      </c>
      <c r="H6915">
        <v>0</v>
      </c>
      <c r="I6915">
        <v>0</v>
      </c>
      <c r="J6915">
        <v>0</v>
      </c>
      <c r="K6915">
        <v>0</v>
      </c>
      <c r="L6915">
        <v>10549064</v>
      </c>
      <c r="M6915">
        <v>10549064</v>
      </c>
      <c r="N6915">
        <v>10549064</v>
      </c>
      <c r="O6915">
        <v>10549064</v>
      </c>
      <c r="P6915">
        <v>10500000</v>
      </c>
      <c r="Q6915">
        <v>10500000</v>
      </c>
      <c r="R6915" s="14">
        <f>_xlfn.XLOOKUP(Table2[[#This Row],[LoanID]],Table1[G-L ID],Table1[ManagerCode],-99)</f>
        <v>298</v>
      </c>
      <c r="T6915"/>
    </row>
    <row r="6916" spans="1:20" x14ac:dyDescent="0.25">
      <c r="A6916">
        <v>20180430</v>
      </c>
      <c r="B6916">
        <v>2018</v>
      </c>
      <c r="C6916">
        <v>4</v>
      </c>
      <c r="D6916">
        <v>1</v>
      </c>
      <c r="E6916">
        <v>13620</v>
      </c>
      <c r="F6916">
        <v>341301.39</v>
      </c>
      <c r="G6916">
        <v>0</v>
      </c>
      <c r="H6916">
        <v>0</v>
      </c>
      <c r="I6916">
        <v>0</v>
      </c>
      <c r="J6916">
        <v>0</v>
      </c>
      <c r="K6916">
        <v>0</v>
      </c>
      <c r="L6916">
        <v>49919787</v>
      </c>
      <c r="M6916">
        <v>49919787</v>
      </c>
      <c r="N6916">
        <v>49919787</v>
      </c>
      <c r="O6916">
        <v>49919787</v>
      </c>
      <c r="P6916">
        <v>50000000</v>
      </c>
      <c r="Q6916">
        <v>50000000</v>
      </c>
      <c r="R6916" s="14">
        <f>_xlfn.XLOOKUP(Table2[[#This Row],[LoanID]],Table1[G-L ID],Table1[ManagerCode],-99)</f>
        <v>298</v>
      </c>
      <c r="T6916"/>
    </row>
    <row r="6917" spans="1:20" x14ac:dyDescent="0.25">
      <c r="A6917">
        <v>20180430</v>
      </c>
      <c r="B6917">
        <v>2018</v>
      </c>
      <c r="C6917">
        <v>4</v>
      </c>
      <c r="D6917">
        <v>1</v>
      </c>
      <c r="E6917">
        <v>13630</v>
      </c>
      <c r="F6917">
        <v>211458.33</v>
      </c>
      <c r="G6917">
        <v>0</v>
      </c>
      <c r="H6917">
        <v>0</v>
      </c>
      <c r="I6917">
        <v>0</v>
      </c>
      <c r="J6917">
        <v>0</v>
      </c>
      <c r="K6917">
        <v>0</v>
      </c>
      <c r="L6917">
        <v>35537284.43</v>
      </c>
      <c r="M6917">
        <v>35537284.43</v>
      </c>
      <c r="N6917">
        <v>35537284.43</v>
      </c>
      <c r="O6917">
        <v>35537284.43</v>
      </c>
      <c r="P6917">
        <v>35000000</v>
      </c>
      <c r="Q6917">
        <v>35000000</v>
      </c>
      <c r="R6917" s="14">
        <f>_xlfn.XLOOKUP(Table2[[#This Row],[LoanID]],Table1[G-L ID],Table1[ManagerCode],-99)</f>
        <v>298</v>
      </c>
      <c r="T6917"/>
    </row>
    <row r="6918" spans="1:20" x14ac:dyDescent="0.25">
      <c r="A6918">
        <v>20180430</v>
      </c>
      <c r="B6918">
        <v>2018</v>
      </c>
      <c r="C6918">
        <v>4</v>
      </c>
      <c r="D6918">
        <v>1</v>
      </c>
      <c r="E6918">
        <v>13640</v>
      </c>
      <c r="F6918">
        <v>226983.51</v>
      </c>
      <c r="G6918">
        <v>0</v>
      </c>
      <c r="H6918">
        <v>0</v>
      </c>
      <c r="I6918">
        <v>0</v>
      </c>
      <c r="J6918">
        <v>0</v>
      </c>
      <c r="K6918">
        <v>0</v>
      </c>
      <c r="L6918">
        <v>30282941</v>
      </c>
      <c r="M6918">
        <v>30282941</v>
      </c>
      <c r="N6918">
        <v>30282941</v>
      </c>
      <c r="O6918">
        <v>30282941</v>
      </c>
      <c r="P6918">
        <v>30125000</v>
      </c>
      <c r="Q6918">
        <v>30125000</v>
      </c>
      <c r="R6918" s="14">
        <f>_xlfn.XLOOKUP(Table2[[#This Row],[LoanID]],Table1[G-L ID],Table1[ManagerCode],-99)</f>
        <v>298</v>
      </c>
      <c r="T6918"/>
    </row>
    <row r="6919" spans="1:20" x14ac:dyDescent="0.25">
      <c r="A6919">
        <v>20180430</v>
      </c>
      <c r="B6919">
        <v>2018</v>
      </c>
      <c r="C6919">
        <v>4</v>
      </c>
      <c r="D6919">
        <v>1</v>
      </c>
      <c r="E6919">
        <v>13650</v>
      </c>
      <c r="F6919">
        <v>223888.89</v>
      </c>
      <c r="G6919">
        <v>0</v>
      </c>
      <c r="H6919">
        <v>0</v>
      </c>
      <c r="I6919">
        <v>0</v>
      </c>
      <c r="J6919">
        <v>0</v>
      </c>
      <c r="K6919">
        <v>0</v>
      </c>
      <c r="L6919">
        <v>38811572</v>
      </c>
      <c r="M6919">
        <v>38811572</v>
      </c>
      <c r="N6919">
        <v>38811572</v>
      </c>
      <c r="O6919">
        <v>38811572</v>
      </c>
      <c r="P6919">
        <v>40000000</v>
      </c>
      <c r="Q6919">
        <v>40000000</v>
      </c>
      <c r="R6919" s="14">
        <f>_xlfn.XLOOKUP(Table2[[#This Row],[LoanID]],Table1[G-L ID],Table1[ManagerCode],-99)</f>
        <v>298</v>
      </c>
      <c r="T6919"/>
    </row>
    <row r="6920" spans="1:20" x14ac:dyDescent="0.25">
      <c r="A6920">
        <v>20180430</v>
      </c>
      <c r="B6920">
        <v>2018</v>
      </c>
      <c r="C6920">
        <v>4</v>
      </c>
      <c r="D6920">
        <v>1</v>
      </c>
      <c r="E6920">
        <v>13660</v>
      </c>
      <c r="F6920">
        <v>117972.22</v>
      </c>
      <c r="G6920">
        <v>0</v>
      </c>
      <c r="H6920">
        <v>0</v>
      </c>
      <c r="I6920">
        <v>0</v>
      </c>
      <c r="J6920">
        <v>0</v>
      </c>
      <c r="K6920">
        <v>0</v>
      </c>
      <c r="L6920">
        <v>18948845</v>
      </c>
      <c r="M6920">
        <v>18948845</v>
      </c>
      <c r="N6920">
        <v>18948845</v>
      </c>
      <c r="O6920">
        <v>18948845</v>
      </c>
      <c r="P6920">
        <v>20000000</v>
      </c>
      <c r="Q6920">
        <v>20000000</v>
      </c>
      <c r="R6920" s="14">
        <f>_xlfn.XLOOKUP(Table2[[#This Row],[LoanID]],Table1[G-L ID],Table1[ManagerCode],-99)</f>
        <v>298</v>
      </c>
      <c r="T6920"/>
    </row>
    <row r="6921" spans="1:20" x14ac:dyDescent="0.25">
      <c r="A6921">
        <v>20180430</v>
      </c>
      <c r="B6921">
        <v>2018</v>
      </c>
      <c r="C6921">
        <v>4</v>
      </c>
      <c r="D6921">
        <v>1</v>
      </c>
      <c r="E6921">
        <v>13670</v>
      </c>
      <c r="F6921">
        <v>331861.45</v>
      </c>
      <c r="G6921">
        <v>0</v>
      </c>
      <c r="H6921">
        <v>0</v>
      </c>
      <c r="I6921">
        <v>0</v>
      </c>
      <c r="J6921">
        <v>0</v>
      </c>
      <c r="K6921">
        <v>0</v>
      </c>
      <c r="L6921">
        <v>37539280.890000001</v>
      </c>
      <c r="M6921">
        <v>37539280.890000001</v>
      </c>
      <c r="N6921">
        <v>37539280.890000001</v>
      </c>
      <c r="O6921">
        <v>37539280.890000001</v>
      </c>
      <c r="P6921">
        <v>37500000</v>
      </c>
      <c r="Q6921">
        <v>37500000</v>
      </c>
      <c r="R6921" s="14">
        <f>_xlfn.XLOOKUP(Table2[[#This Row],[LoanID]],Table1[G-L ID],Table1[ManagerCode],-99)</f>
        <v>298</v>
      </c>
      <c r="T6921"/>
    </row>
    <row r="6922" spans="1:20" x14ac:dyDescent="0.25">
      <c r="A6922">
        <v>20180430</v>
      </c>
      <c r="B6922">
        <v>2018</v>
      </c>
      <c r="C6922">
        <v>4</v>
      </c>
      <c r="D6922">
        <v>1</v>
      </c>
      <c r="E6922">
        <v>13680</v>
      </c>
      <c r="F6922">
        <v>177651.08</v>
      </c>
      <c r="G6922">
        <v>0</v>
      </c>
      <c r="H6922">
        <v>0</v>
      </c>
      <c r="I6922">
        <v>0</v>
      </c>
      <c r="J6922">
        <v>0</v>
      </c>
      <c r="K6922">
        <v>19047.990000000002</v>
      </c>
      <c r="L6922">
        <v>17971328.219999999</v>
      </c>
      <c r="M6922">
        <v>17971328.219999999</v>
      </c>
      <c r="N6922">
        <v>17971328.219999999</v>
      </c>
      <c r="O6922">
        <v>17971328.219999999</v>
      </c>
      <c r="P6922">
        <v>17923808.039999999</v>
      </c>
      <c r="Q6922">
        <v>17904760.050000001</v>
      </c>
      <c r="R6922" s="14">
        <f>_xlfn.XLOOKUP(Table2[[#This Row],[LoanID]],Table1[G-L ID],Table1[ManagerCode],-99)</f>
        <v>298</v>
      </c>
      <c r="T6922"/>
    </row>
    <row r="6923" spans="1:20" x14ac:dyDescent="0.25">
      <c r="A6923">
        <v>20180430</v>
      </c>
      <c r="B6923">
        <v>2018</v>
      </c>
      <c r="C6923">
        <v>4</v>
      </c>
      <c r="D6923">
        <v>1</v>
      </c>
      <c r="E6923">
        <v>13690</v>
      </c>
      <c r="F6923">
        <v>133472.22</v>
      </c>
      <c r="G6923">
        <v>0</v>
      </c>
      <c r="H6923">
        <v>0</v>
      </c>
      <c r="I6923">
        <v>0</v>
      </c>
      <c r="J6923">
        <v>0</v>
      </c>
      <c r="K6923">
        <v>0</v>
      </c>
      <c r="L6923">
        <v>19779539.27</v>
      </c>
      <c r="M6923">
        <v>19779539.27</v>
      </c>
      <c r="N6923">
        <v>19779539.27</v>
      </c>
      <c r="O6923">
        <v>19779539.27</v>
      </c>
      <c r="P6923">
        <v>20000000</v>
      </c>
      <c r="Q6923">
        <v>20000000</v>
      </c>
      <c r="R6923" s="14">
        <f>_xlfn.XLOOKUP(Table2[[#This Row],[LoanID]],Table1[G-L ID],Table1[ManagerCode],-99)</f>
        <v>298</v>
      </c>
      <c r="T6923"/>
    </row>
    <row r="6924" spans="1:20" x14ac:dyDescent="0.25">
      <c r="A6924">
        <v>20180430</v>
      </c>
      <c r="B6924">
        <v>2018</v>
      </c>
      <c r="C6924">
        <v>4</v>
      </c>
      <c r="D6924">
        <v>1</v>
      </c>
      <c r="E6924">
        <v>14670</v>
      </c>
      <c r="F6924">
        <v>70100.95</v>
      </c>
      <c r="G6924">
        <v>0</v>
      </c>
      <c r="H6924">
        <v>0</v>
      </c>
      <c r="I6924">
        <v>0</v>
      </c>
      <c r="J6924">
        <v>0</v>
      </c>
      <c r="K6924">
        <v>0</v>
      </c>
      <c r="L6924">
        <v>29643907</v>
      </c>
      <c r="M6924">
        <v>29643907</v>
      </c>
      <c r="N6924">
        <v>8595657</v>
      </c>
      <c r="O6924">
        <v>8595657</v>
      </c>
      <c r="P6924">
        <v>29500000</v>
      </c>
      <c r="Q6924">
        <v>29500000</v>
      </c>
      <c r="R6924" s="14">
        <f>_xlfn.XLOOKUP(Table2[[#This Row],[LoanID]],Table1[G-L ID],Table1[ManagerCode],-99)</f>
        <v>220</v>
      </c>
      <c r="T6924"/>
    </row>
    <row r="6925" spans="1:20" x14ac:dyDescent="0.25">
      <c r="A6925">
        <v>20180430</v>
      </c>
      <c r="B6925">
        <v>2018</v>
      </c>
      <c r="C6925">
        <v>4</v>
      </c>
      <c r="D6925">
        <v>1</v>
      </c>
      <c r="E6925">
        <v>14680</v>
      </c>
      <c r="F6925">
        <v>40145.72</v>
      </c>
      <c r="G6925">
        <v>0</v>
      </c>
      <c r="H6925">
        <v>0</v>
      </c>
      <c r="I6925">
        <v>0</v>
      </c>
      <c r="J6925">
        <v>0</v>
      </c>
      <c r="K6925">
        <v>0</v>
      </c>
      <c r="L6925">
        <v>27094912</v>
      </c>
      <c r="M6925">
        <v>27094912</v>
      </c>
      <c r="N6925">
        <v>6844912</v>
      </c>
      <c r="O6925">
        <v>6844912</v>
      </c>
      <c r="P6925">
        <v>27000000</v>
      </c>
      <c r="Q6925">
        <v>27000000</v>
      </c>
      <c r="R6925" s="14">
        <f>_xlfn.XLOOKUP(Table2[[#This Row],[LoanID]],Table1[G-L ID],Table1[ManagerCode],-99)</f>
        <v>220</v>
      </c>
      <c r="T6925"/>
    </row>
    <row r="6926" spans="1:20" x14ac:dyDescent="0.25">
      <c r="A6926">
        <v>20180430</v>
      </c>
      <c r="B6926">
        <v>2018</v>
      </c>
      <c r="C6926">
        <v>4</v>
      </c>
      <c r="D6926">
        <v>1</v>
      </c>
      <c r="E6926">
        <v>14790</v>
      </c>
      <c r="F6926">
        <v>175598.79</v>
      </c>
      <c r="G6926">
        <v>0</v>
      </c>
      <c r="H6926">
        <v>0</v>
      </c>
      <c r="I6926">
        <v>0</v>
      </c>
      <c r="J6926">
        <v>0</v>
      </c>
      <c r="K6926">
        <v>0</v>
      </c>
      <c r="L6926">
        <v>69200000</v>
      </c>
      <c r="M6926">
        <v>69200000</v>
      </c>
      <c r="N6926">
        <v>29200000</v>
      </c>
      <c r="O6926">
        <v>29200000</v>
      </c>
      <c r="P6926">
        <v>69200000</v>
      </c>
      <c r="Q6926">
        <v>69200000</v>
      </c>
      <c r="R6926" s="14">
        <f>_xlfn.XLOOKUP(Table2[[#This Row],[LoanID]],Table1[G-L ID],Table1[ManagerCode],-99)</f>
        <v>220</v>
      </c>
      <c r="T6926"/>
    </row>
    <row r="6927" spans="1:20" x14ac:dyDescent="0.25">
      <c r="A6927">
        <v>20180430</v>
      </c>
      <c r="B6927">
        <v>2018</v>
      </c>
      <c r="C6927">
        <v>4</v>
      </c>
      <c r="D6927">
        <v>1</v>
      </c>
      <c r="E6927">
        <v>14830</v>
      </c>
      <c r="F6927">
        <v>-43452.39</v>
      </c>
      <c r="G6927">
        <v>0</v>
      </c>
      <c r="H6927">
        <v>0</v>
      </c>
      <c r="I6927">
        <v>0</v>
      </c>
      <c r="J6927">
        <v>0</v>
      </c>
      <c r="K6927">
        <v>0</v>
      </c>
      <c r="L6927">
        <v>33256189</v>
      </c>
      <c r="M6927">
        <v>33256189</v>
      </c>
      <c r="N6927">
        <v>13302475.6</v>
      </c>
      <c r="O6927">
        <v>13302475.6</v>
      </c>
      <c r="P6927">
        <v>33256189</v>
      </c>
      <c r="Q6927">
        <v>33256189</v>
      </c>
      <c r="R6927" s="14">
        <f>_xlfn.XLOOKUP(Table2[[#This Row],[LoanID]],Table1[G-L ID],Table1[ManagerCode],-99)</f>
        <v>220</v>
      </c>
      <c r="T6927"/>
    </row>
    <row r="6928" spans="1:20" x14ac:dyDescent="0.25">
      <c r="A6928">
        <v>20180430</v>
      </c>
      <c r="B6928">
        <v>2018</v>
      </c>
      <c r="C6928">
        <v>4</v>
      </c>
      <c r="D6928">
        <v>1</v>
      </c>
      <c r="E6928">
        <v>14840</v>
      </c>
      <c r="F6928">
        <v>-58074.73</v>
      </c>
      <c r="G6928">
        <v>0</v>
      </c>
      <c r="H6928">
        <v>0</v>
      </c>
      <c r="I6928">
        <v>0</v>
      </c>
      <c r="J6928">
        <v>0</v>
      </c>
      <c r="K6928">
        <v>0</v>
      </c>
      <c r="L6928">
        <v>30820000</v>
      </c>
      <c r="M6928">
        <v>30820000</v>
      </c>
      <c r="N6928">
        <v>12328000</v>
      </c>
      <c r="O6928">
        <v>12328000</v>
      </c>
      <c r="P6928">
        <v>30820000</v>
      </c>
      <c r="Q6928">
        <v>30820000</v>
      </c>
      <c r="R6928" s="14">
        <f>_xlfn.XLOOKUP(Table2[[#This Row],[LoanID]],Table1[G-L ID],Table1[ManagerCode],-99)</f>
        <v>220</v>
      </c>
      <c r="T6928"/>
    </row>
    <row r="6929" spans="1:20" x14ac:dyDescent="0.25">
      <c r="A6929">
        <v>20180430</v>
      </c>
      <c r="B6929">
        <v>2018</v>
      </c>
      <c r="C6929">
        <v>4</v>
      </c>
      <c r="D6929">
        <v>1</v>
      </c>
      <c r="E6929">
        <v>14850</v>
      </c>
      <c r="F6929">
        <v>0</v>
      </c>
      <c r="G6929">
        <v>0</v>
      </c>
      <c r="H6929">
        <v>0</v>
      </c>
      <c r="I6929">
        <v>0</v>
      </c>
      <c r="J6929">
        <v>0</v>
      </c>
      <c r="K6929">
        <v>0</v>
      </c>
      <c r="L6929">
        <v>75450796</v>
      </c>
      <c r="M6929">
        <v>75450796</v>
      </c>
      <c r="N6929">
        <v>75450796</v>
      </c>
      <c r="O6929">
        <v>75450796</v>
      </c>
      <c r="P6929">
        <v>75450796</v>
      </c>
      <c r="Q6929">
        <v>75450796</v>
      </c>
      <c r="R6929" s="14">
        <f>_xlfn.XLOOKUP(Table2[[#This Row],[LoanID]],Table1[G-L ID],Table1[ManagerCode],-99)</f>
        <v>220</v>
      </c>
      <c r="T6929"/>
    </row>
    <row r="6930" spans="1:20" x14ac:dyDescent="0.25">
      <c r="A6930">
        <v>20180430</v>
      </c>
      <c r="B6930">
        <v>2018</v>
      </c>
      <c r="C6930">
        <v>4</v>
      </c>
      <c r="D6930">
        <v>1</v>
      </c>
      <c r="E6930">
        <v>14880</v>
      </c>
      <c r="F6930">
        <v>102804.96</v>
      </c>
      <c r="G6930">
        <v>0</v>
      </c>
      <c r="H6930">
        <v>200000</v>
      </c>
      <c r="I6930">
        <v>0</v>
      </c>
      <c r="J6930">
        <v>-16825000</v>
      </c>
      <c r="K6930">
        <v>0</v>
      </c>
      <c r="L6930">
        <v>0</v>
      </c>
      <c r="M6930">
        <v>16910309</v>
      </c>
      <c r="N6930">
        <v>0</v>
      </c>
      <c r="O6930">
        <v>16910309</v>
      </c>
      <c r="P6930">
        <v>0</v>
      </c>
      <c r="Q6930">
        <v>16825000</v>
      </c>
      <c r="R6930" s="14">
        <f>_xlfn.XLOOKUP(Table2[[#This Row],[LoanID]],Table1[G-L ID],Table1[ManagerCode],-99)</f>
        <v>220</v>
      </c>
      <c r="T6930"/>
    </row>
    <row r="6931" spans="1:20" x14ac:dyDescent="0.25">
      <c r="A6931">
        <v>20180430</v>
      </c>
      <c r="B6931">
        <v>2018</v>
      </c>
      <c r="C6931">
        <v>4</v>
      </c>
      <c r="D6931">
        <v>1</v>
      </c>
      <c r="E6931">
        <v>14950</v>
      </c>
      <c r="F6931">
        <v>183623.03</v>
      </c>
      <c r="G6931">
        <v>0</v>
      </c>
      <c r="H6931">
        <v>0</v>
      </c>
      <c r="I6931">
        <v>0</v>
      </c>
      <c r="J6931">
        <v>0</v>
      </c>
      <c r="K6931">
        <v>0</v>
      </c>
      <c r="L6931">
        <v>35000000</v>
      </c>
      <c r="M6931">
        <v>35000000</v>
      </c>
      <c r="N6931">
        <v>35000000</v>
      </c>
      <c r="O6931">
        <v>35000000</v>
      </c>
      <c r="P6931">
        <v>35000000</v>
      </c>
      <c r="Q6931">
        <v>35000000</v>
      </c>
      <c r="R6931" s="14">
        <f>_xlfn.XLOOKUP(Table2[[#This Row],[LoanID]],Table1[G-L ID],Table1[ManagerCode],-99)</f>
        <v>220</v>
      </c>
      <c r="T6931"/>
    </row>
    <row r="6932" spans="1:20" x14ac:dyDescent="0.25">
      <c r="A6932">
        <v>20180430</v>
      </c>
      <c r="B6932">
        <v>2018</v>
      </c>
      <c r="C6932">
        <v>4</v>
      </c>
      <c r="D6932">
        <v>1</v>
      </c>
      <c r="E6932">
        <v>14960</v>
      </c>
      <c r="F6932">
        <v>54571.33</v>
      </c>
      <c r="G6932">
        <v>0</v>
      </c>
      <c r="H6932">
        <v>0</v>
      </c>
      <c r="I6932">
        <v>0</v>
      </c>
      <c r="J6932">
        <v>0</v>
      </c>
      <c r="K6932">
        <v>0</v>
      </c>
      <c r="L6932">
        <v>13155000</v>
      </c>
      <c r="M6932">
        <v>13155000</v>
      </c>
      <c r="N6932">
        <v>13155000</v>
      </c>
      <c r="O6932">
        <v>13155000</v>
      </c>
      <c r="P6932">
        <v>13155000</v>
      </c>
      <c r="Q6932">
        <v>13155000</v>
      </c>
      <c r="R6932" s="14">
        <f>_xlfn.XLOOKUP(Table2[[#This Row],[LoanID]],Table1[G-L ID],Table1[ManagerCode],-99)</f>
        <v>220</v>
      </c>
      <c r="T6932"/>
    </row>
    <row r="6933" spans="1:20" x14ac:dyDescent="0.25">
      <c r="A6933">
        <v>20180430</v>
      </c>
      <c r="B6933">
        <v>2018</v>
      </c>
      <c r="C6933">
        <v>4</v>
      </c>
      <c r="D6933">
        <v>1</v>
      </c>
      <c r="E6933">
        <v>15030</v>
      </c>
      <c r="F6933">
        <v>71893</v>
      </c>
      <c r="G6933">
        <v>0</v>
      </c>
      <c r="H6933">
        <v>0</v>
      </c>
      <c r="I6933">
        <v>0</v>
      </c>
      <c r="J6933">
        <v>-145151.92000000001</v>
      </c>
      <c r="K6933">
        <v>0</v>
      </c>
      <c r="L6933">
        <v>37191328</v>
      </c>
      <c r="M6933">
        <v>37191328</v>
      </c>
      <c r="N6933">
        <v>13361991.220000001</v>
      </c>
      <c r="O6933">
        <v>13361991.220000001</v>
      </c>
      <c r="P6933">
        <v>37039836.780000001</v>
      </c>
      <c r="Q6933">
        <v>37184988.700000003</v>
      </c>
      <c r="R6933" s="14">
        <f>_xlfn.XLOOKUP(Table2[[#This Row],[LoanID]],Table1[G-L ID],Table1[ManagerCode],-99)</f>
        <v>220</v>
      </c>
      <c r="T6933"/>
    </row>
    <row r="6934" spans="1:20" x14ac:dyDescent="0.25">
      <c r="A6934">
        <v>20180430</v>
      </c>
      <c r="B6934">
        <v>2018</v>
      </c>
      <c r="C6934">
        <v>4</v>
      </c>
      <c r="D6934">
        <v>1</v>
      </c>
      <c r="E6934">
        <v>15540</v>
      </c>
      <c r="F6934">
        <v>259360.21</v>
      </c>
      <c r="G6934">
        <v>-10.210000000000001</v>
      </c>
      <c r="H6934">
        <v>0</v>
      </c>
      <c r="I6934">
        <v>-2260.42</v>
      </c>
      <c r="J6934">
        <v>0</v>
      </c>
      <c r="K6934">
        <v>0</v>
      </c>
      <c r="L6934">
        <v>52759360.210000001</v>
      </c>
      <c r="M6934">
        <v>52759350</v>
      </c>
      <c r="N6934">
        <v>52759360.210000001</v>
      </c>
      <c r="O6934">
        <v>52759350</v>
      </c>
      <c r="P6934">
        <v>52759360.210000001</v>
      </c>
      <c r="Q6934">
        <v>52759350</v>
      </c>
      <c r="R6934" s="14">
        <f>_xlfn.XLOOKUP(Table2[[#This Row],[LoanID]],Table1[G-L ID],Table1[ManagerCode],-99)</f>
        <v>212</v>
      </c>
      <c r="T6934"/>
    </row>
    <row r="6935" spans="1:20" x14ac:dyDescent="0.25">
      <c r="A6935">
        <v>20180430</v>
      </c>
      <c r="B6935">
        <v>2018</v>
      </c>
      <c r="C6935">
        <v>4</v>
      </c>
      <c r="D6935">
        <v>1</v>
      </c>
      <c r="E6935">
        <v>15580</v>
      </c>
      <c r="F6935">
        <v>116082.27</v>
      </c>
      <c r="G6935">
        <v>-3801</v>
      </c>
      <c r="H6935">
        <v>0</v>
      </c>
      <c r="I6935">
        <v>0</v>
      </c>
      <c r="J6935">
        <v>0</v>
      </c>
      <c r="K6935">
        <v>7319.04</v>
      </c>
      <c r="L6935">
        <v>14689619.51</v>
      </c>
      <c r="M6935">
        <v>14678499.470000001</v>
      </c>
      <c r="N6935">
        <v>14689619.51</v>
      </c>
      <c r="O6935">
        <v>14678499.470000001</v>
      </c>
      <c r="P6935">
        <v>14689619.51</v>
      </c>
      <c r="Q6935">
        <v>14678499.470000001</v>
      </c>
      <c r="R6935" s="14">
        <f>_xlfn.XLOOKUP(Table2[[#This Row],[LoanID]],Table1[G-L ID],Table1[ManagerCode],-99)</f>
        <v>212</v>
      </c>
      <c r="T6935"/>
    </row>
    <row r="6936" spans="1:20" x14ac:dyDescent="0.25">
      <c r="A6936">
        <v>20180430</v>
      </c>
      <c r="B6936">
        <v>2018</v>
      </c>
      <c r="C6936">
        <v>4</v>
      </c>
      <c r="D6936">
        <v>1</v>
      </c>
      <c r="E6936">
        <v>15620</v>
      </c>
      <c r="F6936">
        <v>304735.17</v>
      </c>
      <c r="G6936">
        <v>2584.83</v>
      </c>
      <c r="H6936">
        <v>0</v>
      </c>
      <c r="I6936">
        <v>-3358.33</v>
      </c>
      <c r="J6936">
        <v>0</v>
      </c>
      <c r="K6936">
        <v>0</v>
      </c>
      <c r="L6936">
        <v>78304735.170000002</v>
      </c>
      <c r="M6936">
        <v>78307320</v>
      </c>
      <c r="N6936">
        <v>78304735.170000002</v>
      </c>
      <c r="O6936">
        <v>78307320</v>
      </c>
      <c r="P6936">
        <v>78304735.170000002</v>
      </c>
      <c r="Q6936">
        <v>78307320</v>
      </c>
      <c r="R6936" s="14">
        <f>_xlfn.XLOOKUP(Table2[[#This Row],[LoanID]],Table1[G-L ID],Table1[ManagerCode],-99)</f>
        <v>212</v>
      </c>
      <c r="T6936"/>
    </row>
    <row r="6937" spans="1:20" x14ac:dyDescent="0.25">
      <c r="A6937">
        <v>20180531</v>
      </c>
      <c r="B6937">
        <v>2018</v>
      </c>
      <c r="C6937">
        <v>5</v>
      </c>
      <c r="D6937">
        <v>1</v>
      </c>
      <c r="E6937">
        <v>10010</v>
      </c>
      <c r="F6937">
        <v>184090.36</v>
      </c>
      <c r="G6937">
        <v>0</v>
      </c>
      <c r="H6937">
        <v>0</v>
      </c>
      <c r="I6937">
        <v>0</v>
      </c>
      <c r="J6937">
        <v>-4483413.99</v>
      </c>
      <c r="K6937">
        <v>0</v>
      </c>
      <c r="L6937">
        <v>17470959.879999999</v>
      </c>
      <c r="M6937">
        <v>21954373.870000001</v>
      </c>
      <c r="N6937">
        <v>17470959.879999999</v>
      </c>
      <c r="O6937">
        <v>21954373.870000001</v>
      </c>
      <c r="P6937">
        <v>17470959.879999999</v>
      </c>
      <c r="Q6937">
        <v>21954373.870000001</v>
      </c>
      <c r="R6937" s="14">
        <f>_xlfn.XLOOKUP(Table2[[#This Row],[LoanID]],Table1[G-L ID],Table1[ManagerCode],-99)</f>
        <v>119</v>
      </c>
      <c r="T6937"/>
    </row>
    <row r="6938" spans="1:20" x14ac:dyDescent="0.25">
      <c r="A6938">
        <v>20180531</v>
      </c>
      <c r="B6938">
        <v>2018</v>
      </c>
      <c r="C6938">
        <v>5</v>
      </c>
      <c r="D6938">
        <v>1</v>
      </c>
      <c r="E6938">
        <v>10030</v>
      </c>
      <c r="F6938">
        <v>86389.77</v>
      </c>
      <c r="G6938">
        <v>0</v>
      </c>
      <c r="H6938">
        <v>0</v>
      </c>
      <c r="I6938">
        <v>0</v>
      </c>
      <c r="J6938">
        <v>-1251463</v>
      </c>
      <c r="K6938">
        <v>0</v>
      </c>
      <c r="L6938">
        <v>8278940.8700000001</v>
      </c>
      <c r="M6938">
        <v>9530403.3699999992</v>
      </c>
      <c r="N6938">
        <v>8278940.8700000001</v>
      </c>
      <c r="O6938">
        <v>9530403.3699999992</v>
      </c>
      <c r="P6938">
        <v>8278940.8700000001</v>
      </c>
      <c r="Q6938">
        <v>9530403.8699999992</v>
      </c>
      <c r="R6938" s="14">
        <f>_xlfn.XLOOKUP(Table2[[#This Row],[LoanID]],Table1[G-L ID],Table1[ManagerCode],-99)</f>
        <v>119</v>
      </c>
      <c r="T6938"/>
    </row>
    <row r="6939" spans="1:20" x14ac:dyDescent="0.25">
      <c r="A6939">
        <v>20180531</v>
      </c>
      <c r="B6939">
        <v>2018</v>
      </c>
      <c r="C6939">
        <v>5</v>
      </c>
      <c r="D6939">
        <v>1</v>
      </c>
      <c r="E6939">
        <v>10050</v>
      </c>
      <c r="F6939">
        <v>149013.89000000001</v>
      </c>
      <c r="G6939">
        <v>0</v>
      </c>
      <c r="H6939">
        <v>0</v>
      </c>
      <c r="I6939">
        <v>-69.45</v>
      </c>
      <c r="J6939">
        <v>0</v>
      </c>
      <c r="K6939">
        <v>0</v>
      </c>
      <c r="L6939">
        <v>35973789</v>
      </c>
      <c r="M6939">
        <v>36207995</v>
      </c>
      <c r="N6939">
        <v>35973789</v>
      </c>
      <c r="O6939">
        <v>36207995</v>
      </c>
      <c r="P6939">
        <v>33333334</v>
      </c>
      <c r="Q6939">
        <v>33333334</v>
      </c>
      <c r="R6939" s="14">
        <f>_xlfn.XLOOKUP(Table2[[#This Row],[LoanID]],Table1[G-L ID],Table1[ManagerCode],-99)</f>
        <v>103</v>
      </c>
      <c r="T6939"/>
    </row>
    <row r="6940" spans="1:20" x14ac:dyDescent="0.25">
      <c r="A6940">
        <v>20180531</v>
      </c>
      <c r="B6940">
        <v>2018</v>
      </c>
      <c r="C6940">
        <v>5</v>
      </c>
      <c r="D6940">
        <v>1</v>
      </c>
      <c r="E6940">
        <v>10070</v>
      </c>
      <c r="F6940">
        <v>66994.59</v>
      </c>
      <c r="G6940">
        <v>0</v>
      </c>
      <c r="H6940">
        <v>0</v>
      </c>
      <c r="I6940">
        <v>0</v>
      </c>
      <c r="J6940">
        <v>0</v>
      </c>
      <c r="K6940">
        <v>0</v>
      </c>
      <c r="L6940">
        <v>5875000</v>
      </c>
      <c r="M6940">
        <v>5875000</v>
      </c>
      <c r="N6940">
        <v>5875000</v>
      </c>
      <c r="O6940">
        <v>5875000</v>
      </c>
      <c r="P6940">
        <v>5875000</v>
      </c>
      <c r="Q6940">
        <v>5875000</v>
      </c>
      <c r="R6940" s="14">
        <f>_xlfn.XLOOKUP(Table2[[#This Row],[LoanID]],Table1[G-L ID],Table1[ManagerCode],-99)</f>
        <v>119</v>
      </c>
      <c r="T6940"/>
    </row>
    <row r="6941" spans="1:20" x14ac:dyDescent="0.25">
      <c r="A6941">
        <v>20180531</v>
      </c>
      <c r="B6941">
        <v>2018</v>
      </c>
      <c r="C6941">
        <v>5</v>
      </c>
      <c r="D6941">
        <v>1</v>
      </c>
      <c r="E6941">
        <v>10110</v>
      </c>
      <c r="F6941">
        <v>215035.43</v>
      </c>
      <c r="G6941">
        <v>0</v>
      </c>
      <c r="H6941">
        <v>164000</v>
      </c>
      <c r="I6941">
        <v>0</v>
      </c>
      <c r="J6941">
        <v>0</v>
      </c>
      <c r="K6941">
        <v>16400000</v>
      </c>
      <c r="L6941">
        <v>16400000</v>
      </c>
      <c r="M6941">
        <v>0</v>
      </c>
      <c r="N6941">
        <v>16400000</v>
      </c>
      <c r="O6941">
        <v>0</v>
      </c>
      <c r="P6941">
        <v>16400000</v>
      </c>
      <c r="Q6941">
        <v>0</v>
      </c>
      <c r="R6941" s="14">
        <f>_xlfn.XLOOKUP(Table2[[#This Row],[LoanID]],Table1[G-L ID],Table1[ManagerCode],-99)</f>
        <v>119</v>
      </c>
      <c r="T6941"/>
    </row>
    <row r="6942" spans="1:20" x14ac:dyDescent="0.25">
      <c r="A6942">
        <v>20180531</v>
      </c>
      <c r="B6942">
        <v>2018</v>
      </c>
      <c r="C6942">
        <v>5</v>
      </c>
      <c r="D6942">
        <v>1</v>
      </c>
      <c r="E6942">
        <v>10220</v>
      </c>
      <c r="F6942">
        <v>541666.67000000004</v>
      </c>
      <c r="G6942">
        <v>0</v>
      </c>
      <c r="H6942">
        <v>0</v>
      </c>
      <c r="I6942">
        <v>0</v>
      </c>
      <c r="J6942">
        <v>0</v>
      </c>
      <c r="K6942">
        <v>0</v>
      </c>
      <c r="L6942">
        <v>109937475</v>
      </c>
      <c r="M6942">
        <v>110188660</v>
      </c>
      <c r="N6942">
        <v>109937475</v>
      </c>
      <c r="O6942">
        <v>110188660</v>
      </c>
      <c r="P6942">
        <v>100000000</v>
      </c>
      <c r="Q6942">
        <v>100000000</v>
      </c>
      <c r="R6942" s="14">
        <f>_xlfn.XLOOKUP(Table2[[#This Row],[LoanID]],Table1[G-L ID],Table1[ManagerCode],-99)</f>
        <v>103</v>
      </c>
      <c r="T6942"/>
    </row>
    <row r="6943" spans="1:20" x14ac:dyDescent="0.25">
      <c r="A6943">
        <v>20180531</v>
      </c>
      <c r="B6943">
        <v>2018</v>
      </c>
      <c r="C6943">
        <v>5</v>
      </c>
      <c r="D6943">
        <v>1</v>
      </c>
      <c r="E6943">
        <v>10250</v>
      </c>
      <c r="F6943">
        <v>54904.17</v>
      </c>
      <c r="G6943">
        <v>0</v>
      </c>
      <c r="H6943">
        <v>0</v>
      </c>
      <c r="I6943">
        <v>0</v>
      </c>
      <c r="J6943">
        <v>0</v>
      </c>
      <c r="K6943">
        <v>0</v>
      </c>
      <c r="L6943">
        <v>5000000</v>
      </c>
      <c r="M6943">
        <v>5000000</v>
      </c>
      <c r="N6943">
        <v>5000000</v>
      </c>
      <c r="O6943">
        <v>5000000</v>
      </c>
      <c r="P6943">
        <v>5000000</v>
      </c>
      <c r="Q6943">
        <v>5000000</v>
      </c>
      <c r="R6943" s="14">
        <f>_xlfn.XLOOKUP(Table2[[#This Row],[LoanID]],Table1[G-L ID],Table1[ManagerCode],-99)</f>
        <v>119</v>
      </c>
      <c r="T6943"/>
    </row>
    <row r="6944" spans="1:20" x14ac:dyDescent="0.25">
      <c r="A6944">
        <v>20180531</v>
      </c>
      <c r="B6944">
        <v>2018</v>
      </c>
      <c r="C6944">
        <v>5</v>
      </c>
      <c r="D6944">
        <v>1</v>
      </c>
      <c r="E6944">
        <v>10270</v>
      </c>
      <c r="F6944">
        <v>48913.13</v>
      </c>
      <c r="G6944">
        <v>0</v>
      </c>
      <c r="H6944">
        <v>0</v>
      </c>
      <c r="I6944">
        <v>0</v>
      </c>
      <c r="J6944">
        <v>0</v>
      </c>
      <c r="K6944">
        <v>0</v>
      </c>
      <c r="L6944">
        <v>4500000</v>
      </c>
      <c r="M6944">
        <v>4500000</v>
      </c>
      <c r="N6944">
        <v>4500000</v>
      </c>
      <c r="O6944">
        <v>4500000</v>
      </c>
      <c r="P6944">
        <v>4500000</v>
      </c>
      <c r="Q6944">
        <v>4500000</v>
      </c>
      <c r="R6944" s="14">
        <f>_xlfn.XLOOKUP(Table2[[#This Row],[LoanID]],Table1[G-L ID],Table1[ManagerCode],-99)</f>
        <v>119</v>
      </c>
      <c r="T6944"/>
    </row>
    <row r="6945" spans="1:20" x14ac:dyDescent="0.25">
      <c r="A6945">
        <v>20180531</v>
      </c>
      <c r="B6945">
        <v>2018</v>
      </c>
      <c r="C6945">
        <v>5</v>
      </c>
      <c r="D6945">
        <v>1</v>
      </c>
      <c r="E6945">
        <v>10330</v>
      </c>
      <c r="F6945">
        <v>86080.54</v>
      </c>
      <c r="G6945">
        <v>0</v>
      </c>
      <c r="H6945">
        <v>0</v>
      </c>
      <c r="I6945">
        <v>0</v>
      </c>
      <c r="J6945">
        <v>0</v>
      </c>
      <c r="K6945">
        <v>0</v>
      </c>
      <c r="L6945">
        <v>8652759.6999999993</v>
      </c>
      <c r="M6945">
        <v>8652759.6999999993</v>
      </c>
      <c r="N6945">
        <v>8652759.6999999993</v>
      </c>
      <c r="O6945">
        <v>8652759.6999999993</v>
      </c>
      <c r="P6945">
        <v>8652759.6999999993</v>
      </c>
      <c r="Q6945">
        <v>8652759.6999999993</v>
      </c>
      <c r="R6945" s="14">
        <f>_xlfn.XLOOKUP(Table2[[#This Row],[LoanID]],Table1[G-L ID],Table1[ManagerCode],-99)</f>
        <v>119</v>
      </c>
      <c r="T6945"/>
    </row>
    <row r="6946" spans="1:20" x14ac:dyDescent="0.25">
      <c r="A6946">
        <v>20180531</v>
      </c>
      <c r="B6946">
        <v>2018</v>
      </c>
      <c r="C6946">
        <v>5</v>
      </c>
      <c r="D6946">
        <v>1</v>
      </c>
      <c r="E6946">
        <v>10360</v>
      </c>
      <c r="F6946">
        <v>57858.96</v>
      </c>
      <c r="G6946">
        <v>0</v>
      </c>
      <c r="H6946">
        <v>0</v>
      </c>
      <c r="I6946">
        <v>0</v>
      </c>
      <c r="J6946">
        <v>0</v>
      </c>
      <c r="K6946">
        <v>0</v>
      </c>
      <c r="L6946">
        <v>5909000</v>
      </c>
      <c r="M6946">
        <v>5909000</v>
      </c>
      <c r="N6946">
        <v>5909000</v>
      </c>
      <c r="O6946">
        <v>5909000</v>
      </c>
      <c r="P6946">
        <v>5909000</v>
      </c>
      <c r="Q6946">
        <v>5909000</v>
      </c>
      <c r="R6946" s="14">
        <f>_xlfn.XLOOKUP(Table2[[#This Row],[LoanID]],Table1[G-L ID],Table1[ManagerCode],-99)</f>
        <v>183</v>
      </c>
      <c r="T6946"/>
    </row>
    <row r="6947" spans="1:20" x14ac:dyDescent="0.25">
      <c r="A6947">
        <v>20180531</v>
      </c>
      <c r="B6947">
        <v>2018</v>
      </c>
      <c r="C6947">
        <v>5</v>
      </c>
      <c r="D6947">
        <v>1</v>
      </c>
      <c r="E6947">
        <v>10480</v>
      </c>
      <c r="F6947">
        <v>161726.42000000001</v>
      </c>
      <c r="G6947">
        <v>0</v>
      </c>
      <c r="H6947">
        <v>0</v>
      </c>
      <c r="I6947">
        <v>0</v>
      </c>
      <c r="J6947">
        <v>0</v>
      </c>
      <c r="K6947">
        <v>0</v>
      </c>
      <c r="L6947">
        <v>18123440.300000001</v>
      </c>
      <c r="M6947">
        <v>18123440.300000001</v>
      </c>
      <c r="N6947">
        <v>18123440.300000001</v>
      </c>
      <c r="O6947">
        <v>18123440.300000001</v>
      </c>
      <c r="P6947">
        <v>18123440.300000001</v>
      </c>
      <c r="Q6947">
        <v>18123440.300000001</v>
      </c>
      <c r="R6947" s="14">
        <f>_xlfn.XLOOKUP(Table2[[#This Row],[LoanID]],Table1[G-L ID],Table1[ManagerCode],-99)</f>
        <v>119</v>
      </c>
      <c r="T6947"/>
    </row>
    <row r="6948" spans="1:20" x14ac:dyDescent="0.25">
      <c r="A6948">
        <v>20180531</v>
      </c>
      <c r="B6948">
        <v>2018</v>
      </c>
      <c r="C6948">
        <v>5</v>
      </c>
      <c r="D6948">
        <v>1</v>
      </c>
      <c r="E6948">
        <v>10620</v>
      </c>
      <c r="F6948">
        <v>124970.85</v>
      </c>
      <c r="G6948">
        <v>0</v>
      </c>
      <c r="H6948">
        <v>0</v>
      </c>
      <c r="I6948">
        <v>0</v>
      </c>
      <c r="J6948">
        <v>-72232.850000000006</v>
      </c>
      <c r="K6948">
        <v>0</v>
      </c>
      <c r="L6948">
        <v>11951308.810000001</v>
      </c>
      <c r="M6948">
        <v>12023541.66</v>
      </c>
      <c r="N6948">
        <v>11951308.810000001</v>
      </c>
      <c r="O6948">
        <v>12023541.66</v>
      </c>
      <c r="P6948">
        <v>11951308.810000001</v>
      </c>
      <c r="Q6948">
        <v>12023541.66</v>
      </c>
      <c r="R6948" s="14">
        <f>_xlfn.XLOOKUP(Table2[[#This Row],[LoanID]],Table1[G-L ID],Table1[ManagerCode],-99)</f>
        <v>119</v>
      </c>
      <c r="T6948"/>
    </row>
    <row r="6949" spans="1:20" x14ac:dyDescent="0.25">
      <c r="A6949">
        <v>20180531</v>
      </c>
      <c r="B6949">
        <v>2018</v>
      </c>
      <c r="C6949">
        <v>5</v>
      </c>
      <c r="D6949">
        <v>1</v>
      </c>
      <c r="E6949">
        <v>10730</v>
      </c>
      <c r="F6949">
        <v>108011.05</v>
      </c>
      <c r="G6949">
        <v>0</v>
      </c>
      <c r="H6949">
        <v>0</v>
      </c>
      <c r="I6949">
        <v>0</v>
      </c>
      <c r="J6949">
        <v>0</v>
      </c>
      <c r="K6949">
        <v>0</v>
      </c>
      <c r="L6949">
        <v>9500000</v>
      </c>
      <c r="M6949">
        <v>9500000</v>
      </c>
      <c r="N6949">
        <v>9500000</v>
      </c>
      <c r="O6949">
        <v>9500000</v>
      </c>
      <c r="P6949">
        <v>9500000</v>
      </c>
      <c r="Q6949">
        <v>9500000</v>
      </c>
      <c r="R6949" s="14">
        <f>_xlfn.XLOOKUP(Table2[[#This Row],[LoanID]],Table1[G-L ID],Table1[ManagerCode],-99)</f>
        <v>119</v>
      </c>
      <c r="T6949"/>
    </row>
    <row r="6950" spans="1:20" x14ac:dyDescent="0.25">
      <c r="A6950">
        <v>20180531</v>
      </c>
      <c r="B6950">
        <v>2018</v>
      </c>
      <c r="C6950">
        <v>5</v>
      </c>
      <c r="D6950">
        <v>1</v>
      </c>
      <c r="E6950">
        <v>10750</v>
      </c>
      <c r="F6950">
        <v>84189.88</v>
      </c>
      <c r="G6950">
        <v>0</v>
      </c>
      <c r="H6950">
        <v>62500</v>
      </c>
      <c r="I6950">
        <v>0</v>
      </c>
      <c r="J6950">
        <v>0</v>
      </c>
      <c r="K6950">
        <v>0</v>
      </c>
      <c r="L6950">
        <v>8757259.9600000009</v>
      </c>
      <c r="M6950">
        <v>8757259.9600000009</v>
      </c>
      <c r="N6950">
        <v>8757259.9600000009</v>
      </c>
      <c r="O6950">
        <v>8757259.9600000009</v>
      </c>
      <c r="P6950">
        <v>8757259.9600000009</v>
      </c>
      <c r="Q6950">
        <v>8757259.9600000009</v>
      </c>
      <c r="R6950" s="14">
        <f>_xlfn.XLOOKUP(Table2[[#This Row],[LoanID]],Table1[G-L ID],Table1[ManagerCode],-99)</f>
        <v>119</v>
      </c>
      <c r="T6950"/>
    </row>
    <row r="6951" spans="1:20" x14ac:dyDescent="0.25">
      <c r="A6951">
        <v>20180531</v>
      </c>
      <c r="B6951">
        <v>2018</v>
      </c>
      <c r="C6951">
        <v>5</v>
      </c>
      <c r="D6951">
        <v>1</v>
      </c>
      <c r="E6951">
        <v>10790</v>
      </c>
      <c r="F6951">
        <v>22550.87</v>
      </c>
      <c r="G6951">
        <v>0</v>
      </c>
      <c r="H6951">
        <v>0</v>
      </c>
      <c r="I6951">
        <v>0</v>
      </c>
      <c r="J6951">
        <v>0</v>
      </c>
      <c r="K6951">
        <v>46917.38</v>
      </c>
      <c r="L6951">
        <v>4968060</v>
      </c>
      <c r="M6951">
        <v>4919822</v>
      </c>
      <c r="N6951">
        <v>4968060</v>
      </c>
      <c r="O6951">
        <v>4919822</v>
      </c>
      <c r="P6951">
        <v>4815132.16</v>
      </c>
      <c r="Q6951">
        <v>4768214.78</v>
      </c>
      <c r="R6951" s="14">
        <f>_xlfn.XLOOKUP(Table2[[#This Row],[LoanID]],Table1[G-L ID],Table1[ManagerCode],-99)</f>
        <v>103</v>
      </c>
      <c r="T6951"/>
    </row>
    <row r="6952" spans="1:20" x14ac:dyDescent="0.25">
      <c r="A6952">
        <v>20180531</v>
      </c>
      <c r="B6952">
        <v>2018</v>
      </c>
      <c r="C6952">
        <v>5</v>
      </c>
      <c r="D6952">
        <v>1</v>
      </c>
      <c r="E6952">
        <v>10810</v>
      </c>
      <c r="F6952">
        <v>95391.85</v>
      </c>
      <c r="G6952">
        <v>0</v>
      </c>
      <c r="H6952">
        <v>0</v>
      </c>
      <c r="I6952">
        <v>0</v>
      </c>
      <c r="J6952">
        <v>0</v>
      </c>
      <c r="K6952">
        <v>1486007.67</v>
      </c>
      <c r="L6952">
        <v>9332088.0199999996</v>
      </c>
      <c r="M6952">
        <v>7846080.3499999996</v>
      </c>
      <c r="N6952">
        <v>9332088.0199999996</v>
      </c>
      <c r="O6952">
        <v>7846080.3499999996</v>
      </c>
      <c r="P6952">
        <v>9332088.0199999996</v>
      </c>
      <c r="Q6952">
        <v>7846080.3499999996</v>
      </c>
      <c r="R6952" s="14">
        <f>_xlfn.XLOOKUP(Table2[[#This Row],[LoanID]],Table1[G-L ID],Table1[ManagerCode],-99)</f>
        <v>119</v>
      </c>
      <c r="T6952"/>
    </row>
    <row r="6953" spans="1:20" x14ac:dyDescent="0.25">
      <c r="A6953">
        <v>20180531</v>
      </c>
      <c r="B6953">
        <v>2018</v>
      </c>
      <c r="C6953">
        <v>5</v>
      </c>
      <c r="D6953">
        <v>1</v>
      </c>
      <c r="E6953">
        <v>10820</v>
      </c>
      <c r="F6953">
        <v>193076.29</v>
      </c>
      <c r="G6953">
        <v>0</v>
      </c>
      <c r="H6953">
        <v>0</v>
      </c>
      <c r="I6953">
        <v>0</v>
      </c>
      <c r="J6953">
        <v>0</v>
      </c>
      <c r="K6953">
        <v>0</v>
      </c>
      <c r="L6953">
        <v>24388584.010000002</v>
      </c>
      <c r="M6953">
        <v>24388584.010000002</v>
      </c>
      <c r="N6953">
        <v>24388584.010000002</v>
      </c>
      <c r="O6953">
        <v>24388584.010000002</v>
      </c>
      <c r="P6953">
        <v>24388584.010000002</v>
      </c>
      <c r="Q6953">
        <v>24388584.010000002</v>
      </c>
      <c r="R6953" s="14">
        <f>_xlfn.XLOOKUP(Table2[[#This Row],[LoanID]],Table1[G-L ID],Table1[ManagerCode],-99)</f>
        <v>220</v>
      </c>
      <c r="T6953"/>
    </row>
    <row r="6954" spans="1:20" x14ac:dyDescent="0.25">
      <c r="A6954">
        <v>20180531</v>
      </c>
      <c r="B6954">
        <v>2018</v>
      </c>
      <c r="C6954">
        <v>5</v>
      </c>
      <c r="D6954">
        <v>1</v>
      </c>
      <c r="E6954">
        <v>10830</v>
      </c>
      <c r="F6954">
        <v>61797.84</v>
      </c>
      <c r="G6954">
        <v>0</v>
      </c>
      <c r="H6954">
        <v>0</v>
      </c>
      <c r="I6954">
        <v>0</v>
      </c>
      <c r="J6954">
        <v>0</v>
      </c>
      <c r="K6954">
        <v>0</v>
      </c>
      <c r="L6954">
        <v>7806043.1399999997</v>
      </c>
      <c r="M6954">
        <v>7806043.1399999997</v>
      </c>
      <c r="N6954">
        <v>7806043.1399999997</v>
      </c>
      <c r="O6954">
        <v>7806043.1399999997</v>
      </c>
      <c r="P6954">
        <v>7806043.1399999997</v>
      </c>
      <c r="Q6954">
        <v>7806043.1399999997</v>
      </c>
      <c r="R6954" s="14">
        <f>_xlfn.XLOOKUP(Table2[[#This Row],[LoanID]],Table1[G-L ID],Table1[ManagerCode],-99)</f>
        <v>220</v>
      </c>
      <c r="T6954"/>
    </row>
    <row r="6955" spans="1:20" x14ac:dyDescent="0.25">
      <c r="A6955">
        <v>20180531</v>
      </c>
      <c r="B6955">
        <v>2018</v>
      </c>
      <c r="C6955">
        <v>5</v>
      </c>
      <c r="D6955">
        <v>1</v>
      </c>
      <c r="E6955">
        <v>10840</v>
      </c>
      <c r="F6955">
        <v>100614.41</v>
      </c>
      <c r="G6955">
        <v>0</v>
      </c>
      <c r="H6955">
        <v>0</v>
      </c>
      <c r="I6955">
        <v>0</v>
      </c>
      <c r="J6955">
        <v>0</v>
      </c>
      <c r="K6955">
        <v>0</v>
      </c>
      <c r="L6955">
        <v>12709189</v>
      </c>
      <c r="M6955">
        <v>12709189</v>
      </c>
      <c r="N6955">
        <v>12709189</v>
      </c>
      <c r="O6955">
        <v>12709189</v>
      </c>
      <c r="P6955">
        <v>12709189</v>
      </c>
      <c r="Q6955">
        <v>12709189</v>
      </c>
      <c r="R6955" s="14">
        <f>_xlfn.XLOOKUP(Table2[[#This Row],[LoanID]],Table1[G-L ID],Table1[ManagerCode],-99)</f>
        <v>220</v>
      </c>
      <c r="T6955"/>
    </row>
    <row r="6956" spans="1:20" x14ac:dyDescent="0.25">
      <c r="A6956">
        <v>20180531</v>
      </c>
      <c r="B6956">
        <v>2018</v>
      </c>
      <c r="C6956">
        <v>5</v>
      </c>
      <c r="D6956">
        <v>1</v>
      </c>
      <c r="E6956">
        <v>10850</v>
      </c>
      <c r="F6956">
        <v>106969.15</v>
      </c>
      <c r="G6956">
        <v>0</v>
      </c>
      <c r="H6956">
        <v>0</v>
      </c>
      <c r="I6956">
        <v>0</v>
      </c>
      <c r="J6956">
        <v>0</v>
      </c>
      <c r="K6956">
        <v>0</v>
      </c>
      <c r="L6956">
        <v>13511892</v>
      </c>
      <c r="M6956">
        <v>13511892</v>
      </c>
      <c r="N6956">
        <v>13511892</v>
      </c>
      <c r="O6956">
        <v>13511892</v>
      </c>
      <c r="P6956">
        <v>13511892</v>
      </c>
      <c r="Q6956">
        <v>13511892</v>
      </c>
      <c r="R6956" s="14">
        <f>_xlfn.XLOOKUP(Table2[[#This Row],[LoanID]],Table1[G-L ID],Table1[ManagerCode],-99)</f>
        <v>220</v>
      </c>
      <c r="T6956"/>
    </row>
    <row r="6957" spans="1:20" x14ac:dyDescent="0.25">
      <c r="A6957">
        <v>20180531</v>
      </c>
      <c r="B6957">
        <v>2018</v>
      </c>
      <c r="C6957">
        <v>5</v>
      </c>
      <c r="D6957">
        <v>1</v>
      </c>
      <c r="E6957">
        <v>10910</v>
      </c>
      <c r="F6957">
        <v>68328.02</v>
      </c>
      <c r="G6957">
        <v>0</v>
      </c>
      <c r="H6957">
        <v>0</v>
      </c>
      <c r="I6957">
        <v>0</v>
      </c>
      <c r="J6957">
        <v>-1775000</v>
      </c>
      <c r="K6957">
        <v>0</v>
      </c>
      <c r="L6957">
        <v>7987500</v>
      </c>
      <c r="M6957">
        <v>9762500</v>
      </c>
      <c r="N6957">
        <v>7987500</v>
      </c>
      <c r="O6957">
        <v>9762500</v>
      </c>
      <c r="P6957">
        <v>7987500</v>
      </c>
      <c r="Q6957">
        <v>9762500</v>
      </c>
      <c r="R6957" s="14">
        <f>_xlfn.XLOOKUP(Table2[[#This Row],[LoanID]],Table1[G-L ID],Table1[ManagerCode],-99)</f>
        <v>119</v>
      </c>
      <c r="T6957"/>
    </row>
    <row r="6958" spans="1:20" x14ac:dyDescent="0.25">
      <c r="A6958">
        <v>20180531</v>
      </c>
      <c r="B6958">
        <v>2018</v>
      </c>
      <c r="C6958">
        <v>5</v>
      </c>
      <c r="D6958">
        <v>1</v>
      </c>
      <c r="E6958">
        <v>10930</v>
      </c>
      <c r="F6958">
        <v>1555960.06</v>
      </c>
      <c r="G6958">
        <v>-1373854.55</v>
      </c>
      <c r="H6958">
        <v>0</v>
      </c>
      <c r="I6958">
        <v>0</v>
      </c>
      <c r="J6958">
        <v>0</v>
      </c>
      <c r="K6958">
        <v>3464960</v>
      </c>
      <c r="L6958">
        <v>19882624.34</v>
      </c>
      <c r="M6958">
        <v>15043809.789999999</v>
      </c>
      <c r="N6958">
        <v>19882624.34</v>
      </c>
      <c r="O6958">
        <v>15043809.789999999</v>
      </c>
      <c r="P6958">
        <v>19882624.34</v>
      </c>
      <c r="Q6958">
        <v>15043809.789999999</v>
      </c>
      <c r="R6958" s="14">
        <f>_xlfn.XLOOKUP(Table2[[#This Row],[LoanID]],Table1[G-L ID],Table1[ManagerCode],-99)</f>
        <v>183</v>
      </c>
      <c r="T6958"/>
    </row>
    <row r="6959" spans="1:20" x14ac:dyDescent="0.25">
      <c r="A6959">
        <v>20180531</v>
      </c>
      <c r="B6959">
        <v>2018</v>
      </c>
      <c r="C6959">
        <v>5</v>
      </c>
      <c r="D6959">
        <v>1</v>
      </c>
      <c r="E6959">
        <v>10970</v>
      </c>
      <c r="F6959">
        <v>25395.79</v>
      </c>
      <c r="G6959">
        <v>27797.81</v>
      </c>
      <c r="H6959">
        <v>0</v>
      </c>
      <c r="I6959">
        <v>0</v>
      </c>
      <c r="J6959">
        <v>-25395.79</v>
      </c>
      <c r="K6959">
        <v>0</v>
      </c>
      <c r="L6959">
        <v>5122378.8499999996</v>
      </c>
      <c r="M6959">
        <v>5175572.45</v>
      </c>
      <c r="N6959">
        <v>5122378.8499999996</v>
      </c>
      <c r="O6959">
        <v>5175572.45</v>
      </c>
      <c r="P6959">
        <v>5122378.8499999996</v>
      </c>
      <c r="Q6959">
        <v>5175572.45</v>
      </c>
      <c r="R6959" s="14">
        <f>_xlfn.XLOOKUP(Table2[[#This Row],[LoanID]],Table1[G-L ID],Table1[ManagerCode],-99)</f>
        <v>183</v>
      </c>
      <c r="T6959"/>
    </row>
    <row r="6960" spans="1:20" x14ac:dyDescent="0.25">
      <c r="A6960">
        <v>20180531</v>
      </c>
      <c r="B6960">
        <v>2018</v>
      </c>
      <c r="C6960">
        <v>5</v>
      </c>
      <c r="D6960">
        <v>1</v>
      </c>
      <c r="E6960">
        <v>11060</v>
      </c>
      <c r="F6960">
        <v>205642.8</v>
      </c>
      <c r="G6960">
        <v>0</v>
      </c>
      <c r="H6960">
        <v>0</v>
      </c>
      <c r="I6960">
        <v>0</v>
      </c>
      <c r="J6960">
        <v>0</v>
      </c>
      <c r="K6960">
        <v>0</v>
      </c>
      <c r="L6960">
        <v>22000000</v>
      </c>
      <c r="M6960">
        <v>22000000</v>
      </c>
      <c r="N6960">
        <v>22000000</v>
      </c>
      <c r="O6960">
        <v>22000000</v>
      </c>
      <c r="P6960">
        <v>22000000</v>
      </c>
      <c r="Q6960">
        <v>22000000</v>
      </c>
      <c r="R6960" s="14">
        <f>_xlfn.XLOOKUP(Table2[[#This Row],[LoanID]],Table1[G-L ID],Table1[ManagerCode],-99)</f>
        <v>119</v>
      </c>
      <c r="T6960"/>
    </row>
    <row r="6961" spans="1:20" x14ac:dyDescent="0.25">
      <c r="A6961">
        <v>20180531</v>
      </c>
      <c r="B6961">
        <v>2018</v>
      </c>
      <c r="C6961">
        <v>5</v>
      </c>
      <c r="D6961">
        <v>1</v>
      </c>
      <c r="E6961">
        <v>11080</v>
      </c>
      <c r="F6961">
        <v>377536.32</v>
      </c>
      <c r="G6961">
        <v>0</v>
      </c>
      <c r="H6961">
        <v>0</v>
      </c>
      <c r="I6961">
        <v>0</v>
      </c>
      <c r="J6961">
        <v>0</v>
      </c>
      <c r="K6961">
        <v>61919.27</v>
      </c>
      <c r="L6961">
        <v>38947222.710000001</v>
      </c>
      <c r="M6961">
        <v>38885303.439999998</v>
      </c>
      <c r="N6961">
        <v>38947222.710000001</v>
      </c>
      <c r="O6961">
        <v>38885303.439999998</v>
      </c>
      <c r="P6961">
        <v>38947222.710000001</v>
      </c>
      <c r="Q6961">
        <v>38885303.439999998</v>
      </c>
      <c r="R6961" s="14">
        <f>_xlfn.XLOOKUP(Table2[[#This Row],[LoanID]],Table1[G-L ID],Table1[ManagerCode],-99)</f>
        <v>119</v>
      </c>
      <c r="T6961"/>
    </row>
    <row r="6962" spans="1:20" x14ac:dyDescent="0.25">
      <c r="A6962">
        <v>20180531</v>
      </c>
      <c r="B6962">
        <v>2018</v>
      </c>
      <c r="C6962">
        <v>5</v>
      </c>
      <c r="D6962">
        <v>1</v>
      </c>
      <c r="E6962">
        <v>11090</v>
      </c>
      <c r="F6962">
        <v>103727.77</v>
      </c>
      <c r="G6962">
        <v>0</v>
      </c>
      <c r="H6962">
        <v>0</v>
      </c>
      <c r="I6962">
        <v>0</v>
      </c>
      <c r="J6962">
        <v>0</v>
      </c>
      <c r="K6962">
        <v>12000</v>
      </c>
      <c r="L6962">
        <v>10904000</v>
      </c>
      <c r="M6962">
        <v>10892000</v>
      </c>
      <c r="N6962">
        <v>10904000</v>
      </c>
      <c r="O6962">
        <v>10892000</v>
      </c>
      <c r="P6962">
        <v>10904000</v>
      </c>
      <c r="Q6962">
        <v>10892000</v>
      </c>
      <c r="R6962" s="14">
        <f>_xlfn.XLOOKUP(Table2[[#This Row],[LoanID]],Table1[G-L ID],Table1[ManagerCode],-99)</f>
        <v>119</v>
      </c>
      <c r="T6962"/>
    </row>
    <row r="6963" spans="1:20" x14ac:dyDescent="0.25">
      <c r="A6963">
        <v>20180531</v>
      </c>
      <c r="B6963">
        <v>2018</v>
      </c>
      <c r="C6963">
        <v>5</v>
      </c>
      <c r="D6963">
        <v>1</v>
      </c>
      <c r="E6963">
        <v>11150</v>
      </c>
      <c r="F6963">
        <v>115230.97</v>
      </c>
      <c r="G6963">
        <v>0</v>
      </c>
      <c r="H6963">
        <v>0</v>
      </c>
      <c r="I6963">
        <v>0</v>
      </c>
      <c r="J6963">
        <v>0</v>
      </c>
      <c r="K6963">
        <v>0</v>
      </c>
      <c r="L6963">
        <v>10457553.699999999</v>
      </c>
      <c r="M6963">
        <v>10457553.699999999</v>
      </c>
      <c r="N6963">
        <v>10457553.699999999</v>
      </c>
      <c r="O6963">
        <v>10457553.699999999</v>
      </c>
      <c r="P6963">
        <v>10457553.699999999</v>
      </c>
      <c r="Q6963">
        <v>10457553.699999999</v>
      </c>
      <c r="R6963" s="14">
        <f>_xlfn.XLOOKUP(Table2[[#This Row],[LoanID]],Table1[G-L ID],Table1[ManagerCode],-99)</f>
        <v>119</v>
      </c>
      <c r="T6963"/>
    </row>
    <row r="6964" spans="1:20" x14ac:dyDescent="0.25">
      <c r="A6964">
        <v>20180531</v>
      </c>
      <c r="B6964">
        <v>2018</v>
      </c>
      <c r="C6964">
        <v>5</v>
      </c>
      <c r="D6964">
        <v>1</v>
      </c>
      <c r="E6964">
        <v>11160</v>
      </c>
      <c r="F6964">
        <v>429993.34</v>
      </c>
      <c r="G6964">
        <v>0</v>
      </c>
      <c r="H6964">
        <v>0</v>
      </c>
      <c r="I6964">
        <v>0</v>
      </c>
      <c r="J6964">
        <v>0</v>
      </c>
      <c r="K6964">
        <v>46799953.700000003</v>
      </c>
      <c r="L6964">
        <v>60091360.810000002</v>
      </c>
      <c r="M6964">
        <v>0</v>
      </c>
      <c r="N6964">
        <v>46799953.700000003</v>
      </c>
      <c r="O6964">
        <v>0</v>
      </c>
      <c r="P6964">
        <v>60091360.810000002</v>
      </c>
      <c r="Q6964">
        <v>0</v>
      </c>
      <c r="R6964" s="14">
        <f>_xlfn.XLOOKUP(Table2[[#This Row],[LoanID]],Table1[G-L ID],Table1[ManagerCode],-99)</f>
        <v>183</v>
      </c>
      <c r="T6964"/>
    </row>
    <row r="6965" spans="1:20" x14ac:dyDescent="0.25">
      <c r="A6965">
        <v>20180531</v>
      </c>
      <c r="B6965">
        <v>2018</v>
      </c>
      <c r="C6965">
        <v>5</v>
      </c>
      <c r="D6965">
        <v>1</v>
      </c>
      <c r="E6965">
        <v>11210</v>
      </c>
      <c r="F6965">
        <v>70633.75</v>
      </c>
      <c r="G6965">
        <v>0</v>
      </c>
      <c r="H6965">
        <v>0</v>
      </c>
      <c r="I6965">
        <v>0</v>
      </c>
      <c r="J6965">
        <v>0</v>
      </c>
      <c r="K6965">
        <v>0</v>
      </c>
      <c r="L6965">
        <v>7500000</v>
      </c>
      <c r="M6965">
        <v>7500000</v>
      </c>
      <c r="N6965">
        <v>7500000</v>
      </c>
      <c r="O6965">
        <v>7500000</v>
      </c>
      <c r="P6965">
        <v>7500000</v>
      </c>
      <c r="Q6965">
        <v>7500000</v>
      </c>
      <c r="R6965" s="14">
        <f>_xlfn.XLOOKUP(Table2[[#This Row],[LoanID]],Table1[G-L ID],Table1[ManagerCode],-99)</f>
        <v>119</v>
      </c>
      <c r="T6965"/>
    </row>
    <row r="6966" spans="1:20" x14ac:dyDescent="0.25">
      <c r="A6966">
        <v>20180531</v>
      </c>
      <c r="B6966">
        <v>2018</v>
      </c>
      <c r="C6966">
        <v>5</v>
      </c>
      <c r="D6966">
        <v>1</v>
      </c>
      <c r="E6966">
        <v>11340</v>
      </c>
      <c r="F6966">
        <v>280600.58</v>
      </c>
      <c r="G6966">
        <v>0</v>
      </c>
      <c r="H6966">
        <v>0</v>
      </c>
      <c r="I6966">
        <v>0</v>
      </c>
      <c r="J6966">
        <v>0</v>
      </c>
      <c r="K6966">
        <v>74002.95</v>
      </c>
      <c r="L6966">
        <v>47621928</v>
      </c>
      <c r="M6966">
        <v>47548663</v>
      </c>
      <c r="N6966">
        <v>47621928</v>
      </c>
      <c r="O6966">
        <v>47548663</v>
      </c>
      <c r="P6966">
        <v>48102956.469999999</v>
      </c>
      <c r="Q6966">
        <v>48028953.520000003</v>
      </c>
      <c r="R6966" s="14">
        <f>_xlfn.XLOOKUP(Table2[[#This Row],[LoanID]],Table1[G-L ID],Table1[ManagerCode],-99)</f>
        <v>103</v>
      </c>
      <c r="T6966"/>
    </row>
    <row r="6967" spans="1:20" x14ac:dyDescent="0.25">
      <c r="A6967">
        <v>20180531</v>
      </c>
      <c r="B6967">
        <v>2018</v>
      </c>
      <c r="C6967">
        <v>5</v>
      </c>
      <c r="D6967">
        <v>1</v>
      </c>
      <c r="E6967">
        <v>11350</v>
      </c>
      <c r="F6967">
        <v>320833.33</v>
      </c>
      <c r="G6967">
        <v>0</v>
      </c>
      <c r="H6967">
        <v>0</v>
      </c>
      <c r="I6967">
        <v>0</v>
      </c>
      <c r="J6967">
        <v>0</v>
      </c>
      <c r="K6967">
        <v>0</v>
      </c>
      <c r="L6967">
        <v>54449945</v>
      </c>
      <c r="M6967">
        <v>54449945</v>
      </c>
      <c r="N6967">
        <v>54449945</v>
      </c>
      <c r="O6967">
        <v>54449945</v>
      </c>
      <c r="P6967">
        <v>55000000</v>
      </c>
      <c r="Q6967">
        <v>55000000</v>
      </c>
      <c r="R6967" s="14">
        <f>_xlfn.XLOOKUP(Table2[[#This Row],[LoanID]],Table1[G-L ID],Table1[ManagerCode],-99)</f>
        <v>103</v>
      </c>
      <c r="T6967"/>
    </row>
    <row r="6968" spans="1:20" x14ac:dyDescent="0.25">
      <c r="A6968">
        <v>20180531</v>
      </c>
      <c r="B6968">
        <v>2018</v>
      </c>
      <c r="C6968">
        <v>5</v>
      </c>
      <c r="D6968">
        <v>1</v>
      </c>
      <c r="E6968">
        <v>11360</v>
      </c>
      <c r="F6968">
        <v>69308.33</v>
      </c>
      <c r="G6968">
        <v>0</v>
      </c>
      <c r="H6968">
        <v>0</v>
      </c>
      <c r="I6968">
        <v>0</v>
      </c>
      <c r="J6968">
        <v>-1817536</v>
      </c>
      <c r="K6968">
        <v>0</v>
      </c>
      <c r="L6968">
        <v>7537500</v>
      </c>
      <c r="M6968">
        <v>9355036</v>
      </c>
      <c r="N6968">
        <v>7537500</v>
      </c>
      <c r="O6968">
        <v>9355036</v>
      </c>
      <c r="P6968">
        <v>7537500</v>
      </c>
      <c r="Q6968">
        <v>9355036</v>
      </c>
      <c r="R6968" s="14">
        <f>_xlfn.XLOOKUP(Table2[[#This Row],[LoanID]],Table1[G-L ID],Table1[ManagerCode],-99)</f>
        <v>119</v>
      </c>
      <c r="T6968"/>
    </row>
    <row r="6969" spans="1:20" x14ac:dyDescent="0.25">
      <c r="A6969">
        <v>20180531</v>
      </c>
      <c r="B6969">
        <v>2018</v>
      </c>
      <c r="C6969">
        <v>5</v>
      </c>
      <c r="D6969">
        <v>1</v>
      </c>
      <c r="E6969">
        <v>11410</v>
      </c>
      <c r="F6969">
        <v>119970</v>
      </c>
      <c r="G6969">
        <v>0</v>
      </c>
      <c r="H6969">
        <v>0</v>
      </c>
      <c r="I6969">
        <v>0</v>
      </c>
      <c r="J6969">
        <v>0</v>
      </c>
      <c r="K6969">
        <v>0</v>
      </c>
      <c r="L6969">
        <v>12000000</v>
      </c>
      <c r="M6969">
        <v>12000000</v>
      </c>
      <c r="N6969">
        <v>12000000</v>
      </c>
      <c r="O6969">
        <v>12000000</v>
      </c>
      <c r="P6969">
        <v>12000000</v>
      </c>
      <c r="Q6969">
        <v>12000000</v>
      </c>
      <c r="R6969" s="14">
        <f>_xlfn.XLOOKUP(Table2[[#This Row],[LoanID]],Table1[G-L ID],Table1[ManagerCode],-99)</f>
        <v>119</v>
      </c>
      <c r="T6969"/>
    </row>
    <row r="6970" spans="1:20" x14ac:dyDescent="0.25">
      <c r="A6970">
        <v>20180531</v>
      </c>
      <c r="B6970">
        <v>2018</v>
      </c>
      <c r="C6970">
        <v>5</v>
      </c>
      <c r="D6970">
        <v>1</v>
      </c>
      <c r="E6970">
        <v>11440</v>
      </c>
      <c r="F6970">
        <v>156250</v>
      </c>
      <c r="G6970">
        <v>0</v>
      </c>
      <c r="H6970">
        <v>0</v>
      </c>
      <c r="I6970">
        <v>0</v>
      </c>
      <c r="J6970">
        <v>0</v>
      </c>
      <c r="K6970">
        <v>0</v>
      </c>
      <c r="L6970">
        <v>18750000</v>
      </c>
      <c r="M6970">
        <v>18750000</v>
      </c>
      <c r="N6970">
        <v>18750000</v>
      </c>
      <c r="O6970">
        <v>18750000</v>
      </c>
      <c r="P6970">
        <v>18750000</v>
      </c>
      <c r="Q6970">
        <v>18750000</v>
      </c>
      <c r="R6970" s="14">
        <f>_xlfn.XLOOKUP(Table2[[#This Row],[LoanID]],Table1[G-L ID],Table1[ManagerCode],-99)</f>
        <v>183</v>
      </c>
      <c r="T6970"/>
    </row>
    <row r="6971" spans="1:20" x14ac:dyDescent="0.25">
      <c r="A6971">
        <v>20180531</v>
      </c>
      <c r="B6971">
        <v>2018</v>
      </c>
      <c r="C6971">
        <v>5</v>
      </c>
      <c r="D6971">
        <v>1</v>
      </c>
      <c r="E6971">
        <v>11450</v>
      </c>
      <c r="F6971">
        <v>151442.9</v>
      </c>
      <c r="G6971">
        <v>0</v>
      </c>
      <c r="H6971">
        <v>0</v>
      </c>
      <c r="I6971">
        <v>0</v>
      </c>
      <c r="J6971">
        <v>-107592.61</v>
      </c>
      <c r="K6971">
        <v>0</v>
      </c>
      <c r="L6971">
        <v>16678734.050000001</v>
      </c>
      <c r="M6971">
        <v>16786326.640000001</v>
      </c>
      <c r="N6971">
        <v>16678734.050000001</v>
      </c>
      <c r="O6971">
        <v>16786326.640000001</v>
      </c>
      <c r="P6971">
        <v>16678734.050000001</v>
      </c>
      <c r="Q6971">
        <v>16786326.640000001</v>
      </c>
      <c r="R6971" s="14">
        <f>_xlfn.XLOOKUP(Table2[[#This Row],[LoanID]],Table1[G-L ID],Table1[ManagerCode],-99)</f>
        <v>119</v>
      </c>
      <c r="T6971"/>
    </row>
    <row r="6972" spans="1:20" x14ac:dyDescent="0.25">
      <c r="A6972">
        <v>20180531</v>
      </c>
      <c r="B6972">
        <v>2018</v>
      </c>
      <c r="C6972">
        <v>5</v>
      </c>
      <c r="D6972">
        <v>1</v>
      </c>
      <c r="E6972">
        <v>11480</v>
      </c>
      <c r="F6972">
        <v>460658.33</v>
      </c>
      <c r="G6972">
        <v>0</v>
      </c>
      <c r="H6972">
        <v>0</v>
      </c>
      <c r="I6972">
        <v>0</v>
      </c>
      <c r="J6972">
        <v>0</v>
      </c>
      <c r="K6972">
        <v>0</v>
      </c>
      <c r="L6972">
        <v>70000000</v>
      </c>
      <c r="M6972">
        <v>70000000</v>
      </c>
      <c r="N6972">
        <v>70000000</v>
      </c>
      <c r="O6972">
        <v>70000000</v>
      </c>
      <c r="P6972">
        <v>70000000</v>
      </c>
      <c r="Q6972">
        <v>70000000</v>
      </c>
      <c r="R6972" s="14">
        <f>_xlfn.XLOOKUP(Table2[[#This Row],[LoanID]],Table1[G-L ID],Table1[ManagerCode],-99)</f>
        <v>103</v>
      </c>
      <c r="T6972"/>
    </row>
    <row r="6973" spans="1:20" x14ac:dyDescent="0.25">
      <c r="A6973">
        <v>20180531</v>
      </c>
      <c r="B6973">
        <v>2018</v>
      </c>
      <c r="C6973">
        <v>5</v>
      </c>
      <c r="D6973">
        <v>1</v>
      </c>
      <c r="E6973">
        <v>11490</v>
      </c>
      <c r="F6973">
        <v>419237.5</v>
      </c>
      <c r="G6973">
        <v>0</v>
      </c>
      <c r="H6973">
        <v>0</v>
      </c>
      <c r="I6973">
        <v>0</v>
      </c>
      <c r="J6973">
        <v>0</v>
      </c>
      <c r="K6973">
        <v>0</v>
      </c>
      <c r="L6973">
        <v>52250000</v>
      </c>
      <c r="M6973">
        <v>52250000</v>
      </c>
      <c r="N6973">
        <v>52250000</v>
      </c>
      <c r="O6973">
        <v>52250000</v>
      </c>
      <c r="P6973">
        <v>55000000</v>
      </c>
      <c r="Q6973">
        <v>55000000</v>
      </c>
      <c r="R6973" s="14">
        <f>_xlfn.XLOOKUP(Table2[[#This Row],[LoanID]],Table1[G-L ID],Table1[ManagerCode],-99)</f>
        <v>103</v>
      </c>
      <c r="T6973"/>
    </row>
    <row r="6974" spans="1:20" x14ac:dyDescent="0.25">
      <c r="A6974">
        <v>20180531</v>
      </c>
      <c r="B6974">
        <v>2018</v>
      </c>
      <c r="C6974">
        <v>5</v>
      </c>
      <c r="D6974">
        <v>1</v>
      </c>
      <c r="E6974">
        <v>11520</v>
      </c>
      <c r="F6974">
        <v>63276.34</v>
      </c>
      <c r="G6974">
        <v>0</v>
      </c>
      <c r="H6974">
        <v>0</v>
      </c>
      <c r="I6974">
        <v>0</v>
      </c>
      <c r="J6974">
        <v>-278383.55</v>
      </c>
      <c r="K6974">
        <v>0</v>
      </c>
      <c r="L6974">
        <v>8127133.2699999996</v>
      </c>
      <c r="M6974">
        <v>8405516.8200000003</v>
      </c>
      <c r="N6974">
        <v>8127133.2699999996</v>
      </c>
      <c r="O6974">
        <v>8405516.8200000003</v>
      </c>
      <c r="P6974">
        <v>8127133.2699999996</v>
      </c>
      <c r="Q6974">
        <v>8405516.8200000003</v>
      </c>
      <c r="R6974" s="14">
        <f>_xlfn.XLOOKUP(Table2[[#This Row],[LoanID]],Table1[G-L ID],Table1[ManagerCode],-99)</f>
        <v>119</v>
      </c>
      <c r="T6974"/>
    </row>
    <row r="6975" spans="1:20" x14ac:dyDescent="0.25">
      <c r="A6975">
        <v>20180531</v>
      </c>
      <c r="B6975">
        <v>2018</v>
      </c>
      <c r="C6975">
        <v>5</v>
      </c>
      <c r="D6975">
        <v>1</v>
      </c>
      <c r="E6975">
        <v>11530</v>
      </c>
      <c r="F6975">
        <v>150251.71</v>
      </c>
      <c r="G6975">
        <v>0</v>
      </c>
      <c r="H6975">
        <v>0</v>
      </c>
      <c r="I6975">
        <v>0</v>
      </c>
      <c r="J6975">
        <v>0</v>
      </c>
      <c r="K6975">
        <v>0</v>
      </c>
      <c r="L6975">
        <v>14260454.07</v>
      </c>
      <c r="M6975">
        <v>14260454.07</v>
      </c>
      <c r="N6975">
        <v>14260454.07</v>
      </c>
      <c r="O6975">
        <v>14260454.07</v>
      </c>
      <c r="P6975">
        <v>14260454.07</v>
      </c>
      <c r="Q6975">
        <v>14260454.07</v>
      </c>
      <c r="R6975" s="14">
        <f>_xlfn.XLOOKUP(Table2[[#This Row],[LoanID]],Table1[G-L ID],Table1[ManagerCode],-99)</f>
        <v>119</v>
      </c>
      <c r="T6975"/>
    </row>
    <row r="6976" spans="1:20" x14ac:dyDescent="0.25">
      <c r="A6976">
        <v>20180531</v>
      </c>
      <c r="B6976">
        <v>2018</v>
      </c>
      <c r="C6976">
        <v>5</v>
      </c>
      <c r="D6976">
        <v>1</v>
      </c>
      <c r="E6976">
        <v>11590</v>
      </c>
      <c r="F6976">
        <v>15527.93</v>
      </c>
      <c r="G6976">
        <v>0</v>
      </c>
      <c r="H6976">
        <v>0</v>
      </c>
      <c r="I6976">
        <v>0</v>
      </c>
      <c r="J6976">
        <v>0</v>
      </c>
      <c r="K6976">
        <v>0</v>
      </c>
      <c r="L6976">
        <v>1982289.13</v>
      </c>
      <c r="M6976">
        <v>1982289.13</v>
      </c>
      <c r="N6976">
        <v>1982289.13</v>
      </c>
      <c r="O6976">
        <v>1982289.13</v>
      </c>
      <c r="P6976">
        <v>1982289.13</v>
      </c>
      <c r="Q6976">
        <v>1982289.13</v>
      </c>
      <c r="R6976" s="14">
        <f>_xlfn.XLOOKUP(Table2[[#This Row],[LoanID]],Table1[G-L ID],Table1[ManagerCode],-99)</f>
        <v>119</v>
      </c>
      <c r="T6976"/>
    </row>
    <row r="6977" spans="1:20" x14ac:dyDescent="0.25">
      <c r="A6977">
        <v>20180531</v>
      </c>
      <c r="B6977">
        <v>2018</v>
      </c>
      <c r="C6977">
        <v>5</v>
      </c>
      <c r="D6977">
        <v>1</v>
      </c>
      <c r="E6977">
        <v>11680</v>
      </c>
      <c r="F6977">
        <v>57126.559999999998</v>
      </c>
      <c r="G6977">
        <v>0</v>
      </c>
      <c r="H6977">
        <v>0</v>
      </c>
      <c r="I6977">
        <v>0</v>
      </c>
      <c r="J6977">
        <v>0</v>
      </c>
      <c r="K6977">
        <v>0</v>
      </c>
      <c r="L6977">
        <v>6600000</v>
      </c>
      <c r="M6977">
        <v>6600000</v>
      </c>
      <c r="N6977">
        <v>6600000</v>
      </c>
      <c r="O6977">
        <v>6600000</v>
      </c>
      <c r="P6977">
        <v>6600000</v>
      </c>
      <c r="Q6977">
        <v>6600000</v>
      </c>
      <c r="R6977" s="14">
        <f>_xlfn.XLOOKUP(Table2[[#This Row],[LoanID]],Table1[G-L ID],Table1[ManagerCode],-99)</f>
        <v>183</v>
      </c>
      <c r="T6977"/>
    </row>
    <row r="6978" spans="1:20" x14ac:dyDescent="0.25">
      <c r="A6978">
        <v>20180531</v>
      </c>
      <c r="B6978">
        <v>2018</v>
      </c>
      <c r="C6978">
        <v>5</v>
      </c>
      <c r="D6978">
        <v>1</v>
      </c>
      <c r="E6978">
        <v>11690</v>
      </c>
      <c r="F6978">
        <v>154374.17000000001</v>
      </c>
      <c r="G6978">
        <v>0</v>
      </c>
      <c r="H6978">
        <v>0</v>
      </c>
      <c r="I6978">
        <v>0</v>
      </c>
      <c r="J6978">
        <v>0</v>
      </c>
      <c r="K6978">
        <v>0</v>
      </c>
      <c r="L6978">
        <v>17000000</v>
      </c>
      <c r="M6978">
        <v>17000000</v>
      </c>
      <c r="N6978">
        <v>17000000</v>
      </c>
      <c r="O6978">
        <v>17000000</v>
      </c>
      <c r="P6978">
        <v>17000000</v>
      </c>
      <c r="Q6978">
        <v>17000000</v>
      </c>
      <c r="R6978" s="14">
        <f>_xlfn.XLOOKUP(Table2[[#This Row],[LoanID]],Table1[G-L ID],Table1[ManagerCode],-99)</f>
        <v>119</v>
      </c>
      <c r="T6978"/>
    </row>
    <row r="6979" spans="1:20" x14ac:dyDescent="0.25">
      <c r="A6979">
        <v>20180531</v>
      </c>
      <c r="B6979">
        <v>2018</v>
      </c>
      <c r="C6979">
        <v>5</v>
      </c>
      <c r="D6979">
        <v>1</v>
      </c>
      <c r="E6979">
        <v>11750</v>
      </c>
      <c r="F6979">
        <v>275939.07</v>
      </c>
      <c r="G6979">
        <v>129095.46</v>
      </c>
      <c r="H6979">
        <v>0</v>
      </c>
      <c r="I6979">
        <v>0</v>
      </c>
      <c r="J6979">
        <v>0</v>
      </c>
      <c r="K6979">
        <v>0</v>
      </c>
      <c r="L6979">
        <v>54661277.060000002</v>
      </c>
      <c r="M6979">
        <v>54790372.520000003</v>
      </c>
      <c r="N6979">
        <v>54661277.060000002</v>
      </c>
      <c r="O6979">
        <v>54790372.520000003</v>
      </c>
      <c r="P6979">
        <v>54661277.060000002</v>
      </c>
      <c r="Q6979">
        <v>54790372.520000003</v>
      </c>
      <c r="R6979" s="14">
        <f>_xlfn.XLOOKUP(Table2[[#This Row],[LoanID]],Table1[G-L ID],Table1[ManagerCode],-99)</f>
        <v>183</v>
      </c>
      <c r="T6979"/>
    </row>
    <row r="6980" spans="1:20" x14ac:dyDescent="0.25">
      <c r="A6980">
        <v>20180531</v>
      </c>
      <c r="B6980">
        <v>2018</v>
      </c>
      <c r="C6980">
        <v>5</v>
      </c>
      <c r="D6980">
        <v>1</v>
      </c>
      <c r="E6980">
        <v>11830</v>
      </c>
      <c r="F6980">
        <v>154938.04</v>
      </c>
      <c r="G6980">
        <v>0</v>
      </c>
      <c r="H6980">
        <v>0</v>
      </c>
      <c r="I6980">
        <v>0</v>
      </c>
      <c r="J6980">
        <v>-412233.26</v>
      </c>
      <c r="K6980">
        <v>0</v>
      </c>
      <c r="L6980">
        <v>12461702.699999999</v>
      </c>
      <c r="M6980">
        <v>12873935.960000001</v>
      </c>
      <c r="N6980">
        <v>12461702.699999999</v>
      </c>
      <c r="O6980">
        <v>12873935.960000001</v>
      </c>
      <c r="P6980">
        <v>12461702.699999999</v>
      </c>
      <c r="Q6980">
        <v>12873935.960000001</v>
      </c>
      <c r="R6980" s="14">
        <f>_xlfn.XLOOKUP(Table2[[#This Row],[LoanID]],Table1[G-L ID],Table1[ManagerCode],-99)</f>
        <v>119</v>
      </c>
      <c r="T6980"/>
    </row>
    <row r="6981" spans="1:20" x14ac:dyDescent="0.25">
      <c r="A6981">
        <v>20180531</v>
      </c>
      <c r="B6981">
        <v>2018</v>
      </c>
      <c r="C6981">
        <v>5</v>
      </c>
      <c r="D6981">
        <v>1</v>
      </c>
      <c r="E6981">
        <v>11850</v>
      </c>
      <c r="F6981">
        <v>0</v>
      </c>
      <c r="G6981">
        <v>100373.54</v>
      </c>
      <c r="H6981">
        <v>0</v>
      </c>
      <c r="I6981">
        <v>0</v>
      </c>
      <c r="J6981">
        <v>0</v>
      </c>
      <c r="K6981">
        <v>0</v>
      </c>
      <c r="L6981">
        <v>9295040.6099999994</v>
      </c>
      <c r="M6981">
        <v>9395414.1500000004</v>
      </c>
      <c r="N6981">
        <v>9295040.6099999994</v>
      </c>
      <c r="O6981">
        <v>9395414.1500000004</v>
      </c>
      <c r="P6981">
        <v>9295040.6099999994</v>
      </c>
      <c r="Q6981">
        <v>9395414.1500000004</v>
      </c>
      <c r="R6981" s="14">
        <f>_xlfn.XLOOKUP(Table2[[#This Row],[LoanID]],Table1[G-L ID],Table1[ManagerCode],-99)</f>
        <v>183</v>
      </c>
      <c r="T6981"/>
    </row>
    <row r="6982" spans="1:20" x14ac:dyDescent="0.25">
      <c r="A6982">
        <v>20180531</v>
      </c>
      <c r="B6982">
        <v>2018</v>
      </c>
      <c r="C6982">
        <v>5</v>
      </c>
      <c r="D6982">
        <v>1</v>
      </c>
      <c r="E6982">
        <v>12030</v>
      </c>
      <c r="F6982">
        <v>54468.38</v>
      </c>
      <c r="G6982">
        <v>0</v>
      </c>
      <c r="H6982">
        <v>0</v>
      </c>
      <c r="I6982">
        <v>0</v>
      </c>
      <c r="J6982">
        <v>0</v>
      </c>
      <c r="K6982">
        <v>0</v>
      </c>
      <c r="L6982">
        <v>6375000</v>
      </c>
      <c r="M6982">
        <v>6375000</v>
      </c>
      <c r="N6982">
        <v>6375000</v>
      </c>
      <c r="O6982">
        <v>6375000</v>
      </c>
      <c r="P6982">
        <v>6375000</v>
      </c>
      <c r="Q6982">
        <v>6375000</v>
      </c>
      <c r="R6982" s="14">
        <f>_xlfn.XLOOKUP(Table2[[#This Row],[LoanID]],Table1[G-L ID],Table1[ManagerCode],-99)</f>
        <v>119</v>
      </c>
      <c r="T6982"/>
    </row>
    <row r="6983" spans="1:20" x14ac:dyDescent="0.25">
      <c r="A6983">
        <v>20180531</v>
      </c>
      <c r="B6983">
        <v>2018</v>
      </c>
      <c r="C6983">
        <v>5</v>
      </c>
      <c r="D6983">
        <v>1</v>
      </c>
      <c r="E6983">
        <v>12180</v>
      </c>
      <c r="F6983">
        <v>238004.17</v>
      </c>
      <c r="G6983">
        <v>0</v>
      </c>
      <c r="H6983">
        <v>0</v>
      </c>
      <c r="I6983">
        <v>0</v>
      </c>
      <c r="J6983">
        <v>0</v>
      </c>
      <c r="K6983">
        <v>0</v>
      </c>
      <c r="L6983">
        <v>30400000</v>
      </c>
      <c r="M6983">
        <v>30400000</v>
      </c>
      <c r="N6983">
        <v>30400000</v>
      </c>
      <c r="O6983">
        <v>30400000</v>
      </c>
      <c r="P6983">
        <v>30393210.870000001</v>
      </c>
      <c r="Q6983">
        <v>30393210.870000001</v>
      </c>
      <c r="R6983" s="14">
        <f>_xlfn.XLOOKUP(Table2[[#This Row],[LoanID]],Table1[G-L ID],Table1[ManagerCode],-99)</f>
        <v>220</v>
      </c>
      <c r="T6983"/>
    </row>
    <row r="6984" spans="1:20" x14ac:dyDescent="0.25">
      <c r="A6984">
        <v>20180531</v>
      </c>
      <c r="B6984">
        <v>2018</v>
      </c>
      <c r="C6984">
        <v>5</v>
      </c>
      <c r="D6984">
        <v>1</v>
      </c>
      <c r="E6984">
        <v>12220</v>
      </c>
      <c r="F6984">
        <v>192122.11</v>
      </c>
      <c r="G6984">
        <v>0</v>
      </c>
      <c r="H6984">
        <v>0</v>
      </c>
      <c r="I6984">
        <v>0</v>
      </c>
      <c r="J6984">
        <v>0</v>
      </c>
      <c r="K6984">
        <v>0</v>
      </c>
      <c r="L6984">
        <v>54500000</v>
      </c>
      <c r="M6984">
        <v>54500000</v>
      </c>
      <c r="N6984">
        <v>27250000</v>
      </c>
      <c r="O6984">
        <v>27250000</v>
      </c>
      <c r="P6984">
        <v>54500000</v>
      </c>
      <c r="Q6984">
        <v>54500000</v>
      </c>
      <c r="R6984" s="14">
        <f>_xlfn.XLOOKUP(Table2[[#This Row],[LoanID]],Table1[G-L ID],Table1[ManagerCode],-99)</f>
        <v>183</v>
      </c>
      <c r="T6984"/>
    </row>
    <row r="6985" spans="1:20" x14ac:dyDescent="0.25">
      <c r="A6985">
        <v>20180531</v>
      </c>
      <c r="B6985">
        <v>2018</v>
      </c>
      <c r="C6985">
        <v>5</v>
      </c>
      <c r="D6985">
        <v>1</v>
      </c>
      <c r="E6985">
        <v>12250</v>
      </c>
      <c r="F6985">
        <v>104155.27</v>
      </c>
      <c r="G6985">
        <v>0</v>
      </c>
      <c r="H6985">
        <v>0</v>
      </c>
      <c r="I6985">
        <v>0</v>
      </c>
      <c r="J6985">
        <v>-292507.88</v>
      </c>
      <c r="K6985">
        <v>0</v>
      </c>
      <c r="L6985">
        <v>11898887.35</v>
      </c>
      <c r="M6985">
        <v>12191395.23</v>
      </c>
      <c r="N6985">
        <v>11898887.35</v>
      </c>
      <c r="O6985">
        <v>12191395.23</v>
      </c>
      <c r="P6985">
        <v>11898887.35</v>
      </c>
      <c r="Q6985">
        <v>12191395.23</v>
      </c>
      <c r="R6985" s="14">
        <f>_xlfn.XLOOKUP(Table2[[#This Row],[LoanID]],Table1[G-L ID],Table1[ManagerCode],-99)</f>
        <v>119</v>
      </c>
      <c r="T6985"/>
    </row>
    <row r="6986" spans="1:20" x14ac:dyDescent="0.25">
      <c r="A6986">
        <v>20180531</v>
      </c>
      <c r="B6986">
        <v>2018</v>
      </c>
      <c r="C6986">
        <v>5</v>
      </c>
      <c r="D6986">
        <v>1</v>
      </c>
      <c r="E6986">
        <v>12260</v>
      </c>
      <c r="F6986">
        <v>113093.92</v>
      </c>
      <c r="G6986">
        <v>0</v>
      </c>
      <c r="H6986">
        <v>0</v>
      </c>
      <c r="I6986">
        <v>0</v>
      </c>
      <c r="J6986">
        <v>0</v>
      </c>
      <c r="K6986">
        <v>0</v>
      </c>
      <c r="L6986">
        <v>11470448.4</v>
      </c>
      <c r="M6986">
        <v>11470448.4</v>
      </c>
      <c r="N6986">
        <v>11470448.4</v>
      </c>
      <c r="O6986">
        <v>11470448.4</v>
      </c>
      <c r="P6986">
        <v>11470448.4</v>
      </c>
      <c r="Q6986">
        <v>11470448.4</v>
      </c>
      <c r="R6986" s="14">
        <f>_xlfn.XLOOKUP(Table2[[#This Row],[LoanID]],Table1[G-L ID],Table1[ManagerCode],-99)</f>
        <v>119</v>
      </c>
      <c r="T6986"/>
    </row>
    <row r="6987" spans="1:20" x14ac:dyDescent="0.25">
      <c r="A6987">
        <v>20180531</v>
      </c>
      <c r="B6987">
        <v>2018</v>
      </c>
      <c r="C6987">
        <v>5</v>
      </c>
      <c r="D6987">
        <v>1</v>
      </c>
      <c r="E6987">
        <v>12270</v>
      </c>
      <c r="F6987">
        <v>148603.57</v>
      </c>
      <c r="G6987">
        <v>0</v>
      </c>
      <c r="H6987">
        <v>0</v>
      </c>
      <c r="I6987">
        <v>0</v>
      </c>
      <c r="J6987">
        <v>5023656.6900000004</v>
      </c>
      <c r="K6987">
        <v>0</v>
      </c>
      <c r="L6987">
        <v>9809803.9000000004</v>
      </c>
      <c r="M6987">
        <v>4786147.21</v>
      </c>
      <c r="N6987">
        <v>9809803.9000000004</v>
      </c>
      <c r="O6987">
        <v>4786147.21</v>
      </c>
      <c r="P6987">
        <v>9809803.9000000004</v>
      </c>
      <c r="Q6987">
        <v>4786147.21</v>
      </c>
      <c r="R6987" s="14">
        <f>_xlfn.XLOOKUP(Table2[[#This Row],[LoanID]],Table1[G-L ID],Table1[ManagerCode],-99)</f>
        <v>119</v>
      </c>
      <c r="T6987"/>
    </row>
    <row r="6988" spans="1:20" x14ac:dyDescent="0.25">
      <c r="A6988">
        <v>20180531</v>
      </c>
      <c r="B6988">
        <v>2018</v>
      </c>
      <c r="C6988">
        <v>5</v>
      </c>
      <c r="D6988">
        <v>1</v>
      </c>
      <c r="E6988">
        <v>12280</v>
      </c>
      <c r="F6988">
        <v>170124.16</v>
      </c>
      <c r="G6988">
        <v>0</v>
      </c>
      <c r="H6988">
        <v>0</v>
      </c>
      <c r="I6988">
        <v>0</v>
      </c>
      <c r="J6988">
        <v>-1365706.77</v>
      </c>
      <c r="K6988">
        <v>0</v>
      </c>
      <c r="L6988">
        <v>19994272</v>
      </c>
      <c r="M6988">
        <v>21359978.77</v>
      </c>
      <c r="N6988">
        <v>19994272</v>
      </c>
      <c r="O6988">
        <v>21359978.77</v>
      </c>
      <c r="P6988">
        <v>19994272</v>
      </c>
      <c r="Q6988">
        <v>21359978.77</v>
      </c>
      <c r="R6988" s="14">
        <f>_xlfn.XLOOKUP(Table2[[#This Row],[LoanID]],Table1[G-L ID],Table1[ManagerCode],-99)</f>
        <v>119</v>
      </c>
      <c r="T6988"/>
    </row>
    <row r="6989" spans="1:20" x14ac:dyDescent="0.25">
      <c r="A6989">
        <v>20180531</v>
      </c>
      <c r="B6989">
        <v>2018</v>
      </c>
      <c r="C6989">
        <v>5</v>
      </c>
      <c r="D6989">
        <v>1</v>
      </c>
      <c r="E6989">
        <v>12290</v>
      </c>
      <c r="F6989">
        <v>207442.08</v>
      </c>
      <c r="G6989">
        <v>0</v>
      </c>
      <c r="H6989">
        <v>0</v>
      </c>
      <c r="I6989">
        <v>0</v>
      </c>
      <c r="J6989">
        <v>0</v>
      </c>
      <c r="K6989">
        <v>0</v>
      </c>
      <c r="L6989">
        <v>22750000</v>
      </c>
      <c r="M6989">
        <v>22750000</v>
      </c>
      <c r="N6989">
        <v>22750000</v>
      </c>
      <c r="O6989">
        <v>22750000</v>
      </c>
      <c r="P6989">
        <v>22750000</v>
      </c>
      <c r="Q6989">
        <v>22750000</v>
      </c>
      <c r="R6989" s="14">
        <f>_xlfn.XLOOKUP(Table2[[#This Row],[LoanID]],Table1[G-L ID],Table1[ManagerCode],-99)</f>
        <v>119</v>
      </c>
      <c r="T6989"/>
    </row>
    <row r="6990" spans="1:20" x14ac:dyDescent="0.25">
      <c r="A6990">
        <v>20180531</v>
      </c>
      <c r="B6990">
        <v>2018</v>
      </c>
      <c r="C6990">
        <v>5</v>
      </c>
      <c r="D6990">
        <v>1</v>
      </c>
      <c r="E6990">
        <v>12300</v>
      </c>
      <c r="F6990">
        <v>197707.34</v>
      </c>
      <c r="G6990">
        <v>0</v>
      </c>
      <c r="H6990">
        <v>386766.37</v>
      </c>
      <c r="I6990">
        <v>0</v>
      </c>
      <c r="J6990">
        <v>0</v>
      </c>
      <c r="K6990">
        <v>10000000</v>
      </c>
      <c r="L6990">
        <v>10000000</v>
      </c>
      <c r="M6990">
        <v>0</v>
      </c>
      <c r="N6990">
        <v>10000000</v>
      </c>
      <c r="O6990">
        <v>0</v>
      </c>
      <c r="P6990">
        <v>10000000</v>
      </c>
      <c r="Q6990">
        <v>0</v>
      </c>
      <c r="R6990" s="14">
        <f>_xlfn.XLOOKUP(Table2[[#This Row],[LoanID]],Table1[G-L ID],Table1[ManagerCode],-99)</f>
        <v>119</v>
      </c>
      <c r="T6990"/>
    </row>
    <row r="6991" spans="1:20" x14ac:dyDescent="0.25">
      <c r="A6991">
        <v>20180531</v>
      </c>
      <c r="B6991">
        <v>2018</v>
      </c>
      <c r="C6991">
        <v>5</v>
      </c>
      <c r="D6991">
        <v>1</v>
      </c>
      <c r="E6991">
        <v>12310</v>
      </c>
      <c r="F6991">
        <v>141145.67000000001</v>
      </c>
      <c r="G6991">
        <v>0</v>
      </c>
      <c r="H6991">
        <v>0</v>
      </c>
      <c r="I6991">
        <v>0</v>
      </c>
      <c r="J6991">
        <v>0</v>
      </c>
      <c r="K6991">
        <v>0</v>
      </c>
      <c r="L6991">
        <v>16375000</v>
      </c>
      <c r="M6991">
        <v>16375000</v>
      </c>
      <c r="N6991">
        <v>16375000</v>
      </c>
      <c r="O6991">
        <v>16375000</v>
      </c>
      <c r="P6991">
        <v>16375000</v>
      </c>
      <c r="Q6991">
        <v>16375000</v>
      </c>
      <c r="R6991" s="14">
        <f>_xlfn.XLOOKUP(Table2[[#This Row],[LoanID]],Table1[G-L ID],Table1[ManagerCode],-99)</f>
        <v>119</v>
      </c>
      <c r="T6991"/>
    </row>
    <row r="6992" spans="1:20" x14ac:dyDescent="0.25">
      <c r="A6992">
        <v>20180531</v>
      </c>
      <c r="B6992">
        <v>2018</v>
      </c>
      <c r="C6992">
        <v>5</v>
      </c>
      <c r="D6992">
        <v>1</v>
      </c>
      <c r="E6992">
        <v>12320</v>
      </c>
      <c r="F6992">
        <v>108754.87</v>
      </c>
      <c r="G6992">
        <v>0</v>
      </c>
      <c r="H6992">
        <v>0</v>
      </c>
      <c r="I6992">
        <v>0</v>
      </c>
      <c r="J6992">
        <v>0</v>
      </c>
      <c r="K6992">
        <v>0</v>
      </c>
      <c r="L6992">
        <v>11750000</v>
      </c>
      <c r="M6992">
        <v>11750000</v>
      </c>
      <c r="N6992">
        <v>11750000</v>
      </c>
      <c r="O6992">
        <v>11750000</v>
      </c>
      <c r="P6992">
        <v>11750000</v>
      </c>
      <c r="Q6992">
        <v>11750000</v>
      </c>
      <c r="R6992" s="14">
        <f>_xlfn.XLOOKUP(Table2[[#This Row],[LoanID]],Table1[G-L ID],Table1[ManagerCode],-99)</f>
        <v>119</v>
      </c>
      <c r="T6992"/>
    </row>
    <row r="6993" spans="1:20" x14ac:dyDescent="0.25">
      <c r="A6993">
        <v>20180531</v>
      </c>
      <c r="B6993">
        <v>2018</v>
      </c>
      <c r="C6993">
        <v>5</v>
      </c>
      <c r="D6993">
        <v>1</v>
      </c>
      <c r="E6993">
        <v>12330</v>
      </c>
      <c r="F6993">
        <v>210552.31</v>
      </c>
      <c r="G6993">
        <v>0</v>
      </c>
      <c r="H6993">
        <v>0</v>
      </c>
      <c r="I6993">
        <v>0</v>
      </c>
      <c r="J6993">
        <v>0</v>
      </c>
      <c r="K6993">
        <v>0</v>
      </c>
      <c r="L6993">
        <v>19976500</v>
      </c>
      <c r="M6993">
        <v>19976500</v>
      </c>
      <c r="N6993">
        <v>19976500</v>
      </c>
      <c r="O6993">
        <v>19976500</v>
      </c>
      <c r="P6993">
        <v>19976500</v>
      </c>
      <c r="Q6993">
        <v>19976500</v>
      </c>
      <c r="R6993" s="14">
        <f>_xlfn.XLOOKUP(Table2[[#This Row],[LoanID]],Table1[G-L ID],Table1[ManagerCode],-99)</f>
        <v>119</v>
      </c>
      <c r="T6993"/>
    </row>
    <row r="6994" spans="1:20" x14ac:dyDescent="0.25">
      <c r="A6994">
        <v>20180531</v>
      </c>
      <c r="B6994">
        <v>2018</v>
      </c>
      <c r="C6994">
        <v>5</v>
      </c>
      <c r="D6994">
        <v>1</v>
      </c>
      <c r="E6994">
        <v>12340</v>
      </c>
      <c r="F6994">
        <v>87608.42</v>
      </c>
      <c r="G6994">
        <v>0</v>
      </c>
      <c r="H6994">
        <v>0</v>
      </c>
      <c r="I6994">
        <v>0</v>
      </c>
      <c r="J6994">
        <v>0</v>
      </c>
      <c r="K6994">
        <v>0</v>
      </c>
      <c r="L6994">
        <v>24000000</v>
      </c>
      <c r="M6994">
        <v>24000000</v>
      </c>
      <c r="N6994">
        <v>12000000</v>
      </c>
      <c r="O6994">
        <v>12000000</v>
      </c>
      <c r="P6994">
        <v>24000000</v>
      </c>
      <c r="Q6994">
        <v>24000000</v>
      </c>
      <c r="R6994" s="14">
        <f>_xlfn.XLOOKUP(Table2[[#This Row],[LoanID]],Table1[G-L ID],Table1[ManagerCode],-99)</f>
        <v>183</v>
      </c>
      <c r="T6994"/>
    </row>
    <row r="6995" spans="1:20" x14ac:dyDescent="0.25">
      <c r="A6995">
        <v>20180531</v>
      </c>
      <c r="B6995">
        <v>2018</v>
      </c>
      <c r="C6995">
        <v>5</v>
      </c>
      <c r="D6995">
        <v>1</v>
      </c>
      <c r="E6995">
        <v>12350</v>
      </c>
      <c r="F6995">
        <v>178304.41</v>
      </c>
      <c r="G6995">
        <v>0</v>
      </c>
      <c r="H6995">
        <v>0</v>
      </c>
      <c r="I6995">
        <v>0</v>
      </c>
      <c r="J6995">
        <v>0</v>
      </c>
      <c r="K6995">
        <v>0</v>
      </c>
      <c r="L6995">
        <v>63232721.689999998</v>
      </c>
      <c r="M6995">
        <v>63232721.689999998</v>
      </c>
      <c r="N6995">
        <v>25732721.690000001</v>
      </c>
      <c r="O6995">
        <v>25732721.690000001</v>
      </c>
      <c r="P6995">
        <v>63232721.689999998</v>
      </c>
      <c r="Q6995">
        <v>63232721.689999998</v>
      </c>
      <c r="R6995" s="14">
        <f>_xlfn.XLOOKUP(Table2[[#This Row],[LoanID]],Table1[G-L ID],Table1[ManagerCode],-99)</f>
        <v>183</v>
      </c>
      <c r="T6995"/>
    </row>
    <row r="6996" spans="1:20" x14ac:dyDescent="0.25">
      <c r="A6996">
        <v>20180531</v>
      </c>
      <c r="B6996">
        <v>2018</v>
      </c>
      <c r="C6996">
        <v>5</v>
      </c>
      <c r="D6996">
        <v>1</v>
      </c>
      <c r="E6996">
        <v>12360</v>
      </c>
      <c r="F6996">
        <v>118382.21</v>
      </c>
      <c r="G6996">
        <v>0</v>
      </c>
      <c r="H6996">
        <v>0</v>
      </c>
      <c r="I6996">
        <v>0</v>
      </c>
      <c r="J6996">
        <v>0</v>
      </c>
      <c r="K6996">
        <v>0</v>
      </c>
      <c r="L6996">
        <v>60000000</v>
      </c>
      <c r="M6996">
        <v>60000000</v>
      </c>
      <c r="N6996">
        <v>19000000</v>
      </c>
      <c r="O6996">
        <v>19000000</v>
      </c>
      <c r="P6996">
        <v>60000000</v>
      </c>
      <c r="Q6996">
        <v>60000000</v>
      </c>
      <c r="R6996" s="14">
        <f>_xlfn.XLOOKUP(Table2[[#This Row],[LoanID]],Table1[G-L ID],Table1[ManagerCode],-99)</f>
        <v>183</v>
      </c>
      <c r="T6996"/>
    </row>
    <row r="6997" spans="1:20" x14ac:dyDescent="0.25">
      <c r="A6997">
        <v>20180531</v>
      </c>
      <c r="B6997">
        <v>2018</v>
      </c>
      <c r="C6997">
        <v>5</v>
      </c>
      <c r="D6997">
        <v>1</v>
      </c>
      <c r="E6997">
        <v>12370</v>
      </c>
      <c r="F6997">
        <v>350897.82</v>
      </c>
      <c r="G6997">
        <v>0</v>
      </c>
      <c r="H6997">
        <v>0</v>
      </c>
      <c r="I6997">
        <v>0</v>
      </c>
      <c r="J6997">
        <v>0</v>
      </c>
      <c r="K6997">
        <v>0</v>
      </c>
      <c r="L6997">
        <v>104000000</v>
      </c>
      <c r="M6997">
        <v>104000000</v>
      </c>
      <c r="N6997">
        <v>44000000</v>
      </c>
      <c r="O6997">
        <v>44000000</v>
      </c>
      <c r="P6997">
        <v>104000000</v>
      </c>
      <c r="Q6997">
        <v>104000000</v>
      </c>
      <c r="R6997" s="14">
        <f>_xlfn.XLOOKUP(Table2[[#This Row],[LoanID]],Table1[G-L ID],Table1[ManagerCode],-99)</f>
        <v>183</v>
      </c>
      <c r="T6997"/>
    </row>
    <row r="6998" spans="1:20" x14ac:dyDescent="0.25">
      <c r="A6998">
        <v>20180531</v>
      </c>
      <c r="B6998">
        <v>2018</v>
      </c>
      <c r="C6998">
        <v>5</v>
      </c>
      <c r="D6998">
        <v>1</v>
      </c>
      <c r="E6998">
        <v>12380</v>
      </c>
      <c r="F6998">
        <v>79556.75</v>
      </c>
      <c r="G6998">
        <v>0</v>
      </c>
      <c r="H6998">
        <v>0</v>
      </c>
      <c r="I6998">
        <v>0</v>
      </c>
      <c r="J6998">
        <v>0</v>
      </c>
      <c r="K6998">
        <v>0</v>
      </c>
      <c r="L6998">
        <v>32500000</v>
      </c>
      <c r="M6998">
        <v>32500000</v>
      </c>
      <c r="N6998">
        <v>12350000</v>
      </c>
      <c r="O6998">
        <v>12350000</v>
      </c>
      <c r="P6998">
        <v>32500000</v>
      </c>
      <c r="Q6998">
        <v>32500000</v>
      </c>
      <c r="R6998" s="14">
        <f>_xlfn.XLOOKUP(Table2[[#This Row],[LoanID]],Table1[G-L ID],Table1[ManagerCode],-99)</f>
        <v>183</v>
      </c>
      <c r="T6998"/>
    </row>
    <row r="6999" spans="1:20" x14ac:dyDescent="0.25">
      <c r="A6999">
        <v>20180531</v>
      </c>
      <c r="B6999">
        <v>2018</v>
      </c>
      <c r="C6999">
        <v>5</v>
      </c>
      <c r="D6999">
        <v>1</v>
      </c>
      <c r="E6999">
        <v>12390</v>
      </c>
      <c r="F6999">
        <v>351660.81</v>
      </c>
      <c r="G6999">
        <v>415523.18</v>
      </c>
      <c r="H6999">
        <v>0</v>
      </c>
      <c r="I6999">
        <v>0</v>
      </c>
      <c r="J6999">
        <v>-5581561.2800000003</v>
      </c>
      <c r="K6999">
        <v>0</v>
      </c>
      <c r="L6999">
        <v>53539479.939999998</v>
      </c>
      <c r="M6999">
        <v>59536564.399999999</v>
      </c>
      <c r="N6999">
        <v>53539479.939999998</v>
      </c>
      <c r="O6999">
        <v>59536564.399999999</v>
      </c>
      <c r="P6999">
        <v>53539479.939999998</v>
      </c>
      <c r="Q6999">
        <v>59536564.399999999</v>
      </c>
      <c r="R6999" s="14">
        <f>_xlfn.XLOOKUP(Table2[[#This Row],[LoanID]],Table1[G-L ID],Table1[ManagerCode],-99)</f>
        <v>183</v>
      </c>
      <c r="T6999"/>
    </row>
    <row r="7000" spans="1:20" x14ac:dyDescent="0.25">
      <c r="A7000">
        <v>20180531</v>
      </c>
      <c r="B7000">
        <v>2018</v>
      </c>
      <c r="C7000">
        <v>5</v>
      </c>
      <c r="D7000">
        <v>1</v>
      </c>
      <c r="E7000">
        <v>12400</v>
      </c>
      <c r="F7000">
        <v>83854.600000000006</v>
      </c>
      <c r="G7000">
        <v>92133.46</v>
      </c>
      <c r="H7000">
        <v>0</v>
      </c>
      <c r="I7000">
        <v>0</v>
      </c>
      <c r="J7000">
        <v>-176071.99</v>
      </c>
      <c r="K7000">
        <v>0</v>
      </c>
      <c r="L7000">
        <v>16913320.940000001</v>
      </c>
      <c r="M7000">
        <v>17181526.390000001</v>
      </c>
      <c r="N7000">
        <v>16913320.940000001</v>
      </c>
      <c r="O7000">
        <v>17181526.390000001</v>
      </c>
      <c r="P7000">
        <v>16913320.940000001</v>
      </c>
      <c r="Q7000">
        <v>17181526.390000001</v>
      </c>
      <c r="R7000" s="14">
        <f>_xlfn.XLOOKUP(Table2[[#This Row],[LoanID]],Table1[G-L ID],Table1[ManagerCode],-99)</f>
        <v>183</v>
      </c>
      <c r="T7000"/>
    </row>
    <row r="7001" spans="1:20" x14ac:dyDescent="0.25">
      <c r="A7001">
        <v>20180531</v>
      </c>
      <c r="B7001">
        <v>2018</v>
      </c>
      <c r="C7001">
        <v>5</v>
      </c>
      <c r="D7001">
        <v>1</v>
      </c>
      <c r="E7001">
        <v>12410</v>
      </c>
      <c r="F7001">
        <v>323040.39</v>
      </c>
      <c r="G7001">
        <v>258432.3</v>
      </c>
      <c r="H7001">
        <v>0</v>
      </c>
      <c r="I7001">
        <v>0</v>
      </c>
      <c r="J7001">
        <v>0</v>
      </c>
      <c r="K7001">
        <v>0</v>
      </c>
      <c r="L7001">
        <v>73653208</v>
      </c>
      <c r="M7001">
        <v>74801688</v>
      </c>
      <c r="N7001">
        <v>73653208</v>
      </c>
      <c r="O7001">
        <v>74801688</v>
      </c>
      <c r="P7001">
        <v>77529693.489999995</v>
      </c>
      <c r="Q7001">
        <v>77788125.790000007</v>
      </c>
      <c r="R7001" s="14">
        <f>_xlfn.XLOOKUP(Table2[[#This Row],[LoanID]],Table1[G-L ID],Table1[ManagerCode],-99)</f>
        <v>103</v>
      </c>
      <c r="T7001"/>
    </row>
    <row r="7002" spans="1:20" x14ac:dyDescent="0.25">
      <c r="A7002">
        <v>20180531</v>
      </c>
      <c r="B7002">
        <v>2018</v>
      </c>
      <c r="C7002">
        <v>5</v>
      </c>
      <c r="D7002">
        <v>1</v>
      </c>
      <c r="E7002">
        <v>12420</v>
      </c>
      <c r="F7002">
        <v>37390.9</v>
      </c>
      <c r="G7002">
        <v>0</v>
      </c>
      <c r="H7002">
        <v>0</v>
      </c>
      <c r="I7002">
        <v>0</v>
      </c>
      <c r="J7002">
        <v>0</v>
      </c>
      <c r="K7002">
        <v>0</v>
      </c>
      <c r="L7002">
        <v>3234915</v>
      </c>
      <c r="M7002">
        <v>3234915</v>
      </c>
      <c r="N7002">
        <v>3234915</v>
      </c>
      <c r="O7002">
        <v>3234915</v>
      </c>
      <c r="P7002">
        <v>3234916.31</v>
      </c>
      <c r="Q7002">
        <v>3234916.31</v>
      </c>
      <c r="R7002" s="14">
        <f>_xlfn.XLOOKUP(Table2[[#This Row],[LoanID]],Table1[G-L ID],Table1[ManagerCode],-99)</f>
        <v>103</v>
      </c>
      <c r="T7002"/>
    </row>
    <row r="7003" spans="1:20" x14ac:dyDescent="0.25">
      <c r="A7003">
        <v>20180531</v>
      </c>
      <c r="B7003">
        <v>2018</v>
      </c>
      <c r="C7003">
        <v>5</v>
      </c>
      <c r="D7003">
        <v>1</v>
      </c>
      <c r="E7003">
        <v>12430</v>
      </c>
      <c r="F7003">
        <v>58840.06</v>
      </c>
      <c r="G7003">
        <v>0</v>
      </c>
      <c r="H7003">
        <v>0</v>
      </c>
      <c r="I7003">
        <v>0</v>
      </c>
      <c r="J7003">
        <v>-2768308.07</v>
      </c>
      <c r="K7003">
        <v>0</v>
      </c>
      <c r="L7003">
        <v>16618069</v>
      </c>
      <c r="M7003">
        <v>19353107</v>
      </c>
      <c r="N7003">
        <v>16618069</v>
      </c>
      <c r="O7003">
        <v>19353107</v>
      </c>
      <c r="P7003">
        <v>18379427.699999999</v>
      </c>
      <c r="Q7003">
        <v>21147735.77</v>
      </c>
      <c r="R7003" s="14">
        <f>_xlfn.XLOOKUP(Table2[[#This Row],[LoanID]],Table1[G-L ID],Table1[ManagerCode],-99)</f>
        <v>103</v>
      </c>
      <c r="T7003"/>
    </row>
    <row r="7004" spans="1:20" x14ac:dyDescent="0.25">
      <c r="A7004">
        <v>20180531</v>
      </c>
      <c r="B7004">
        <v>2018</v>
      </c>
      <c r="C7004">
        <v>5</v>
      </c>
      <c r="D7004">
        <v>1</v>
      </c>
      <c r="E7004">
        <v>12440</v>
      </c>
      <c r="F7004">
        <v>33115.949999999997</v>
      </c>
      <c r="G7004">
        <v>0</v>
      </c>
      <c r="H7004">
        <v>0</v>
      </c>
      <c r="I7004">
        <v>0</v>
      </c>
      <c r="J7004">
        <v>0</v>
      </c>
      <c r="K7004">
        <v>50250.32</v>
      </c>
      <c r="L7004">
        <v>4505621</v>
      </c>
      <c r="M7004">
        <v>4453814</v>
      </c>
      <c r="N7004">
        <v>4505621</v>
      </c>
      <c r="O7004">
        <v>4453814</v>
      </c>
      <c r="P7004">
        <v>3973914.59</v>
      </c>
      <c r="Q7004">
        <v>3923664.27</v>
      </c>
      <c r="R7004" s="14">
        <f>_xlfn.XLOOKUP(Table2[[#This Row],[LoanID]],Table1[G-L ID],Table1[ManagerCode],-99)</f>
        <v>103</v>
      </c>
      <c r="T7004"/>
    </row>
    <row r="7005" spans="1:20" x14ac:dyDescent="0.25">
      <c r="A7005">
        <v>20180531</v>
      </c>
      <c r="B7005">
        <v>2018</v>
      </c>
      <c r="C7005">
        <v>5</v>
      </c>
      <c r="D7005">
        <v>1</v>
      </c>
      <c r="E7005">
        <v>12450</v>
      </c>
      <c r="F7005">
        <v>18455.98</v>
      </c>
      <c r="G7005">
        <v>29572.959999999999</v>
      </c>
      <c r="H7005">
        <v>0</v>
      </c>
      <c r="I7005">
        <v>0</v>
      </c>
      <c r="J7005">
        <v>-1881926.91</v>
      </c>
      <c r="K7005">
        <v>0</v>
      </c>
      <c r="L7005">
        <v>3835231.15</v>
      </c>
      <c r="M7005">
        <v>5725199.04</v>
      </c>
      <c r="N7005">
        <v>3835231.15</v>
      </c>
      <c r="O7005">
        <v>5725199.04</v>
      </c>
      <c r="P7005">
        <v>3835231.15</v>
      </c>
      <c r="Q7005">
        <v>5725199.04</v>
      </c>
      <c r="R7005" s="14">
        <f>_xlfn.XLOOKUP(Table2[[#This Row],[LoanID]],Table1[G-L ID],Table1[ManagerCode],-99)</f>
        <v>183</v>
      </c>
      <c r="T7005"/>
    </row>
    <row r="7006" spans="1:20" x14ac:dyDescent="0.25">
      <c r="A7006">
        <v>20180531</v>
      </c>
      <c r="B7006">
        <v>2018</v>
      </c>
      <c r="C7006">
        <v>5</v>
      </c>
      <c r="D7006">
        <v>1</v>
      </c>
      <c r="E7006">
        <v>12460</v>
      </c>
      <c r="F7006">
        <v>42250</v>
      </c>
      <c r="G7006">
        <v>44451.92</v>
      </c>
      <c r="H7006">
        <v>0</v>
      </c>
      <c r="I7006">
        <v>0</v>
      </c>
      <c r="J7006">
        <v>0</v>
      </c>
      <c r="K7006">
        <v>0</v>
      </c>
      <c r="L7006">
        <v>8670191.9000000004</v>
      </c>
      <c r="M7006">
        <v>8714643.8200000003</v>
      </c>
      <c r="N7006">
        <v>8670191.9000000004</v>
      </c>
      <c r="O7006">
        <v>8714643.8200000003</v>
      </c>
      <c r="P7006">
        <v>8670191.9000000004</v>
      </c>
      <c r="Q7006">
        <v>8714643.8200000003</v>
      </c>
      <c r="R7006" s="14">
        <f>_xlfn.XLOOKUP(Table2[[#This Row],[LoanID]],Table1[G-L ID],Table1[ManagerCode],-99)</f>
        <v>183</v>
      </c>
      <c r="T7006"/>
    </row>
    <row r="7007" spans="1:20" x14ac:dyDescent="0.25">
      <c r="A7007">
        <v>20180531</v>
      </c>
      <c r="B7007">
        <v>2018</v>
      </c>
      <c r="C7007">
        <v>5</v>
      </c>
      <c r="D7007">
        <v>1</v>
      </c>
      <c r="E7007">
        <v>12470</v>
      </c>
      <c r="F7007">
        <v>315617.5</v>
      </c>
      <c r="G7007">
        <v>0</v>
      </c>
      <c r="H7007">
        <v>0</v>
      </c>
      <c r="I7007">
        <v>0</v>
      </c>
      <c r="J7007">
        <v>0</v>
      </c>
      <c r="K7007">
        <v>0</v>
      </c>
      <c r="L7007">
        <v>115000000</v>
      </c>
      <c r="M7007">
        <v>115000000</v>
      </c>
      <c r="N7007">
        <v>46000000</v>
      </c>
      <c r="O7007">
        <v>46000000</v>
      </c>
      <c r="P7007">
        <v>115000000</v>
      </c>
      <c r="Q7007">
        <v>115000000</v>
      </c>
      <c r="R7007" s="14">
        <f>_xlfn.XLOOKUP(Table2[[#This Row],[LoanID]],Table1[G-L ID],Table1[ManagerCode],-99)</f>
        <v>183</v>
      </c>
      <c r="T7007"/>
    </row>
    <row r="7008" spans="1:20" x14ac:dyDescent="0.25">
      <c r="A7008">
        <v>20180531</v>
      </c>
      <c r="B7008">
        <v>2018</v>
      </c>
      <c r="C7008">
        <v>5</v>
      </c>
      <c r="D7008">
        <v>1</v>
      </c>
      <c r="E7008">
        <v>12480</v>
      </c>
      <c r="F7008">
        <v>70336.320000000007</v>
      </c>
      <c r="G7008">
        <v>0</v>
      </c>
      <c r="H7008">
        <v>0</v>
      </c>
      <c r="I7008">
        <v>0</v>
      </c>
      <c r="J7008">
        <v>0</v>
      </c>
      <c r="K7008">
        <v>0</v>
      </c>
      <c r="L7008">
        <v>19880000</v>
      </c>
      <c r="M7008">
        <v>19880000</v>
      </c>
      <c r="N7008">
        <v>9380000</v>
      </c>
      <c r="O7008">
        <v>9380000</v>
      </c>
      <c r="P7008">
        <v>19880000</v>
      </c>
      <c r="Q7008">
        <v>19880000</v>
      </c>
      <c r="R7008" s="14">
        <f>_xlfn.XLOOKUP(Table2[[#This Row],[LoanID]],Table1[G-L ID],Table1[ManagerCode],-99)</f>
        <v>183</v>
      </c>
      <c r="T7008"/>
    </row>
    <row r="7009" spans="1:20" x14ac:dyDescent="0.25">
      <c r="A7009">
        <v>20180531</v>
      </c>
      <c r="B7009">
        <v>2018</v>
      </c>
      <c r="C7009">
        <v>5</v>
      </c>
      <c r="D7009">
        <v>1</v>
      </c>
      <c r="E7009">
        <v>12490</v>
      </c>
      <c r="F7009">
        <v>126309.16</v>
      </c>
      <c r="G7009">
        <v>0</v>
      </c>
      <c r="H7009">
        <v>0</v>
      </c>
      <c r="I7009">
        <v>0</v>
      </c>
      <c r="J7009">
        <v>0</v>
      </c>
      <c r="K7009">
        <v>0</v>
      </c>
      <c r="L7009">
        <v>50200000</v>
      </c>
      <c r="M7009">
        <v>50200000</v>
      </c>
      <c r="N7009">
        <v>19600000</v>
      </c>
      <c r="O7009">
        <v>19600000</v>
      </c>
      <c r="P7009">
        <v>50200000</v>
      </c>
      <c r="Q7009">
        <v>50200000</v>
      </c>
      <c r="R7009" s="14">
        <f>_xlfn.XLOOKUP(Table2[[#This Row],[LoanID]],Table1[G-L ID],Table1[ManagerCode],-99)</f>
        <v>183</v>
      </c>
      <c r="T7009"/>
    </row>
    <row r="7010" spans="1:20" x14ac:dyDescent="0.25">
      <c r="A7010">
        <v>20180531</v>
      </c>
      <c r="B7010">
        <v>2018</v>
      </c>
      <c r="C7010">
        <v>5</v>
      </c>
      <c r="D7010">
        <v>1</v>
      </c>
      <c r="E7010">
        <v>12500</v>
      </c>
      <c r="F7010">
        <v>273498.2</v>
      </c>
      <c r="G7010">
        <v>0</v>
      </c>
      <c r="H7010">
        <v>0</v>
      </c>
      <c r="I7010">
        <v>0</v>
      </c>
      <c r="J7010">
        <v>0</v>
      </c>
      <c r="K7010">
        <v>0</v>
      </c>
      <c r="L7010">
        <v>115000000</v>
      </c>
      <c r="M7010">
        <v>115000000</v>
      </c>
      <c r="N7010">
        <v>46015000</v>
      </c>
      <c r="O7010">
        <v>46015000</v>
      </c>
      <c r="P7010">
        <v>115000000</v>
      </c>
      <c r="Q7010">
        <v>115000000</v>
      </c>
      <c r="R7010" s="14">
        <f>_xlfn.XLOOKUP(Table2[[#This Row],[LoanID]],Table1[G-L ID],Table1[ManagerCode],-99)</f>
        <v>183</v>
      </c>
      <c r="T7010"/>
    </row>
    <row r="7011" spans="1:20" x14ac:dyDescent="0.25">
      <c r="A7011">
        <v>20180531</v>
      </c>
      <c r="B7011">
        <v>2018</v>
      </c>
      <c r="C7011">
        <v>5</v>
      </c>
      <c r="D7011">
        <v>1</v>
      </c>
      <c r="E7011">
        <v>12510</v>
      </c>
      <c r="F7011">
        <v>291913.53999999998</v>
      </c>
      <c r="G7011">
        <v>0</v>
      </c>
      <c r="H7011">
        <v>0</v>
      </c>
      <c r="I7011">
        <v>0</v>
      </c>
      <c r="J7011">
        <v>0</v>
      </c>
      <c r="K7011">
        <v>0</v>
      </c>
      <c r="L7011">
        <v>131500000</v>
      </c>
      <c r="M7011">
        <v>131500000</v>
      </c>
      <c r="N7011">
        <v>46025000</v>
      </c>
      <c r="O7011">
        <v>46025000</v>
      </c>
      <c r="P7011">
        <v>131500000</v>
      </c>
      <c r="Q7011">
        <v>131500000</v>
      </c>
      <c r="R7011" s="14">
        <f>_xlfn.XLOOKUP(Table2[[#This Row],[LoanID]],Table1[G-L ID],Table1[ManagerCode],-99)</f>
        <v>183</v>
      </c>
      <c r="T7011"/>
    </row>
    <row r="7012" spans="1:20" x14ac:dyDescent="0.25">
      <c r="A7012">
        <v>20180531</v>
      </c>
      <c r="B7012">
        <v>2018</v>
      </c>
      <c r="C7012">
        <v>5</v>
      </c>
      <c r="D7012">
        <v>1</v>
      </c>
      <c r="E7012">
        <v>12520</v>
      </c>
      <c r="F7012">
        <v>151510.20000000001</v>
      </c>
      <c r="G7012">
        <v>0</v>
      </c>
      <c r="H7012">
        <v>0</v>
      </c>
      <c r="I7012">
        <v>0</v>
      </c>
      <c r="J7012">
        <v>0</v>
      </c>
      <c r="K7012">
        <v>0</v>
      </c>
      <c r="L7012">
        <v>42418977.640000001</v>
      </c>
      <c r="M7012">
        <v>42418977.640000001</v>
      </c>
      <c r="N7012">
        <v>17668977.640000001</v>
      </c>
      <c r="O7012">
        <v>17668977.640000001</v>
      </c>
      <c r="P7012">
        <v>42418977.640000001</v>
      </c>
      <c r="Q7012">
        <v>42418977.640000001</v>
      </c>
      <c r="R7012" s="14">
        <f>_xlfn.XLOOKUP(Table2[[#This Row],[LoanID]],Table1[G-L ID],Table1[ManagerCode],-99)</f>
        <v>183</v>
      </c>
      <c r="T7012"/>
    </row>
    <row r="7013" spans="1:20" x14ac:dyDescent="0.25">
      <c r="A7013">
        <v>20180531</v>
      </c>
      <c r="B7013">
        <v>2018</v>
      </c>
      <c r="C7013">
        <v>5</v>
      </c>
      <c r="D7013">
        <v>1</v>
      </c>
      <c r="E7013">
        <v>12530</v>
      </c>
      <c r="F7013">
        <v>232481.33</v>
      </c>
      <c r="G7013">
        <v>0</v>
      </c>
      <c r="H7013">
        <v>0</v>
      </c>
      <c r="I7013">
        <v>0</v>
      </c>
      <c r="J7013">
        <v>0</v>
      </c>
      <c r="K7013">
        <v>0</v>
      </c>
      <c r="L7013">
        <v>26200000</v>
      </c>
      <c r="M7013">
        <v>26200000</v>
      </c>
      <c r="N7013">
        <v>26200000</v>
      </c>
      <c r="O7013">
        <v>26200000</v>
      </c>
      <c r="P7013">
        <v>26200000</v>
      </c>
      <c r="Q7013">
        <v>26200000</v>
      </c>
      <c r="R7013" s="14">
        <f>_xlfn.XLOOKUP(Table2[[#This Row],[LoanID]],Table1[G-L ID],Table1[ManagerCode],-99)</f>
        <v>119</v>
      </c>
      <c r="T7013"/>
    </row>
    <row r="7014" spans="1:20" x14ac:dyDescent="0.25">
      <c r="A7014">
        <v>20180531</v>
      </c>
      <c r="B7014">
        <v>2018</v>
      </c>
      <c r="C7014">
        <v>5</v>
      </c>
      <c r="D7014">
        <v>1</v>
      </c>
      <c r="E7014">
        <v>12540</v>
      </c>
      <c r="F7014">
        <v>137704.56</v>
      </c>
      <c r="G7014">
        <v>0</v>
      </c>
      <c r="H7014">
        <v>0</v>
      </c>
      <c r="I7014">
        <v>0</v>
      </c>
      <c r="J7014">
        <v>0</v>
      </c>
      <c r="K7014">
        <v>0</v>
      </c>
      <c r="L7014">
        <v>15657141.18</v>
      </c>
      <c r="M7014">
        <v>15657141.18</v>
      </c>
      <c r="N7014">
        <v>15657141.18</v>
      </c>
      <c r="O7014">
        <v>15657141.18</v>
      </c>
      <c r="P7014">
        <v>15657141.18</v>
      </c>
      <c r="Q7014">
        <v>15657141.18</v>
      </c>
      <c r="R7014" s="14">
        <f>_xlfn.XLOOKUP(Table2[[#This Row],[LoanID]],Table1[G-L ID],Table1[ManagerCode],-99)</f>
        <v>119</v>
      </c>
      <c r="T7014"/>
    </row>
    <row r="7015" spans="1:20" x14ac:dyDescent="0.25">
      <c r="A7015">
        <v>20180531</v>
      </c>
      <c r="B7015">
        <v>2018</v>
      </c>
      <c r="C7015">
        <v>5</v>
      </c>
      <c r="D7015">
        <v>1</v>
      </c>
      <c r="E7015">
        <v>12550</v>
      </c>
      <c r="F7015">
        <v>73530.62</v>
      </c>
      <c r="G7015">
        <v>0</v>
      </c>
      <c r="H7015">
        <v>0</v>
      </c>
      <c r="I7015">
        <v>0</v>
      </c>
      <c r="J7015">
        <v>0</v>
      </c>
      <c r="K7015">
        <v>0</v>
      </c>
      <c r="L7015">
        <v>7416099.1500000004</v>
      </c>
      <c r="M7015">
        <v>7416099.1500000004</v>
      </c>
      <c r="N7015">
        <v>7416099.1500000004</v>
      </c>
      <c r="O7015">
        <v>7416099.1500000004</v>
      </c>
      <c r="P7015">
        <v>7416099.1500000004</v>
      </c>
      <c r="Q7015">
        <v>7416099.1500000004</v>
      </c>
      <c r="R7015" s="14">
        <f>_xlfn.XLOOKUP(Table2[[#This Row],[LoanID]],Table1[G-L ID],Table1[ManagerCode],-99)</f>
        <v>119</v>
      </c>
      <c r="T7015"/>
    </row>
    <row r="7016" spans="1:20" x14ac:dyDescent="0.25">
      <c r="A7016">
        <v>20180531</v>
      </c>
      <c r="B7016">
        <v>2018</v>
      </c>
      <c r="C7016">
        <v>5</v>
      </c>
      <c r="D7016">
        <v>1</v>
      </c>
      <c r="E7016">
        <v>12560</v>
      </c>
      <c r="F7016">
        <v>130874.03</v>
      </c>
      <c r="G7016">
        <v>0</v>
      </c>
      <c r="H7016">
        <v>0</v>
      </c>
      <c r="I7016">
        <v>0</v>
      </c>
      <c r="J7016">
        <v>-246487.48</v>
      </c>
      <c r="K7016">
        <v>0</v>
      </c>
      <c r="L7016">
        <v>15657844.43</v>
      </c>
      <c r="M7016">
        <v>15904331.91</v>
      </c>
      <c r="N7016">
        <v>15657844.43</v>
      </c>
      <c r="O7016">
        <v>15904331.91</v>
      </c>
      <c r="P7016">
        <v>15657844.43</v>
      </c>
      <c r="Q7016">
        <v>15904331.91</v>
      </c>
      <c r="R7016" s="14">
        <f>_xlfn.XLOOKUP(Table2[[#This Row],[LoanID]],Table1[G-L ID],Table1[ManagerCode],-99)</f>
        <v>119</v>
      </c>
      <c r="T7016"/>
    </row>
    <row r="7017" spans="1:20" x14ac:dyDescent="0.25">
      <c r="A7017">
        <v>20180531</v>
      </c>
      <c r="B7017">
        <v>2018</v>
      </c>
      <c r="C7017">
        <v>5</v>
      </c>
      <c r="D7017">
        <v>1</v>
      </c>
      <c r="E7017">
        <v>12570</v>
      </c>
      <c r="F7017">
        <v>77092.679999999993</v>
      </c>
      <c r="G7017">
        <v>0</v>
      </c>
      <c r="H7017">
        <v>0</v>
      </c>
      <c r="I7017">
        <v>0</v>
      </c>
      <c r="J7017">
        <v>0</v>
      </c>
      <c r="K7017">
        <v>0</v>
      </c>
      <c r="L7017">
        <v>8924400</v>
      </c>
      <c r="M7017">
        <v>8924400</v>
      </c>
      <c r="N7017">
        <v>8924400</v>
      </c>
      <c r="O7017">
        <v>8924400</v>
      </c>
      <c r="P7017">
        <v>8924400</v>
      </c>
      <c r="Q7017">
        <v>8924400</v>
      </c>
      <c r="R7017" s="14">
        <f>_xlfn.XLOOKUP(Table2[[#This Row],[LoanID]],Table1[G-L ID],Table1[ManagerCode],-99)</f>
        <v>119</v>
      </c>
      <c r="T7017"/>
    </row>
    <row r="7018" spans="1:20" x14ac:dyDescent="0.25">
      <c r="A7018">
        <v>20180531</v>
      </c>
      <c r="B7018">
        <v>2018</v>
      </c>
      <c r="C7018">
        <v>5</v>
      </c>
      <c r="D7018">
        <v>1</v>
      </c>
      <c r="E7018">
        <v>12580</v>
      </c>
      <c r="F7018">
        <v>174640</v>
      </c>
      <c r="G7018">
        <v>0</v>
      </c>
      <c r="H7018">
        <v>0</v>
      </c>
      <c r="I7018">
        <v>0</v>
      </c>
      <c r="J7018">
        <v>0</v>
      </c>
      <c r="K7018">
        <v>0</v>
      </c>
      <c r="L7018">
        <v>18000000</v>
      </c>
      <c r="M7018">
        <v>18000000</v>
      </c>
      <c r="N7018">
        <v>18000000</v>
      </c>
      <c r="O7018">
        <v>18000000</v>
      </c>
      <c r="P7018">
        <v>18000000</v>
      </c>
      <c r="Q7018">
        <v>18000000</v>
      </c>
      <c r="R7018" s="14">
        <f>_xlfn.XLOOKUP(Table2[[#This Row],[LoanID]],Table1[G-L ID],Table1[ManagerCode],-99)</f>
        <v>119</v>
      </c>
      <c r="T7018"/>
    </row>
    <row r="7019" spans="1:20" x14ac:dyDescent="0.25">
      <c r="A7019">
        <v>20180531</v>
      </c>
      <c r="B7019">
        <v>2018</v>
      </c>
      <c r="C7019">
        <v>5</v>
      </c>
      <c r="D7019">
        <v>1</v>
      </c>
      <c r="E7019">
        <v>12590</v>
      </c>
      <c r="F7019">
        <v>78936.67</v>
      </c>
      <c r="G7019">
        <v>0</v>
      </c>
      <c r="H7019">
        <v>0</v>
      </c>
      <c r="I7019">
        <v>0</v>
      </c>
      <c r="J7019">
        <v>0</v>
      </c>
      <c r="K7019">
        <v>0</v>
      </c>
      <c r="L7019">
        <v>8500000</v>
      </c>
      <c r="M7019">
        <v>8500000</v>
      </c>
      <c r="N7019">
        <v>8500000</v>
      </c>
      <c r="O7019">
        <v>8500000</v>
      </c>
      <c r="P7019">
        <v>8500000</v>
      </c>
      <c r="Q7019">
        <v>8500000</v>
      </c>
      <c r="R7019" s="14">
        <f>_xlfn.XLOOKUP(Table2[[#This Row],[LoanID]],Table1[G-L ID],Table1[ManagerCode],-99)</f>
        <v>119</v>
      </c>
      <c r="T7019"/>
    </row>
    <row r="7020" spans="1:20" x14ac:dyDescent="0.25">
      <c r="A7020">
        <v>20180531</v>
      </c>
      <c r="B7020">
        <v>2018</v>
      </c>
      <c r="C7020">
        <v>5</v>
      </c>
      <c r="D7020">
        <v>1</v>
      </c>
      <c r="E7020">
        <v>12600</v>
      </c>
      <c r="F7020">
        <v>235805.62</v>
      </c>
      <c r="G7020">
        <v>0</v>
      </c>
      <c r="H7020">
        <v>0</v>
      </c>
      <c r="I7020">
        <v>0</v>
      </c>
      <c r="J7020">
        <v>0</v>
      </c>
      <c r="K7020">
        <v>0</v>
      </c>
      <c r="L7020">
        <v>27750000</v>
      </c>
      <c r="M7020">
        <v>27750000</v>
      </c>
      <c r="N7020">
        <v>27750000</v>
      </c>
      <c r="O7020">
        <v>27750000</v>
      </c>
      <c r="P7020">
        <v>27750000</v>
      </c>
      <c r="Q7020">
        <v>27750000</v>
      </c>
      <c r="R7020" s="14">
        <f>_xlfn.XLOOKUP(Table2[[#This Row],[LoanID]],Table1[G-L ID],Table1[ManagerCode],-99)</f>
        <v>119</v>
      </c>
      <c r="T7020"/>
    </row>
    <row r="7021" spans="1:20" x14ac:dyDescent="0.25">
      <c r="A7021">
        <v>20180531</v>
      </c>
      <c r="B7021">
        <v>2018</v>
      </c>
      <c r="C7021">
        <v>5</v>
      </c>
      <c r="D7021">
        <v>1</v>
      </c>
      <c r="E7021">
        <v>12610</v>
      </c>
      <c r="F7021">
        <v>74975.41</v>
      </c>
      <c r="G7021">
        <v>0</v>
      </c>
      <c r="H7021">
        <v>0</v>
      </c>
      <c r="I7021">
        <v>0</v>
      </c>
      <c r="J7021">
        <v>0</v>
      </c>
      <c r="K7021">
        <v>0</v>
      </c>
      <c r="L7021">
        <v>8875000</v>
      </c>
      <c r="M7021">
        <v>8875000</v>
      </c>
      <c r="N7021">
        <v>8875000</v>
      </c>
      <c r="O7021">
        <v>8875000</v>
      </c>
      <c r="P7021">
        <v>8875000</v>
      </c>
      <c r="Q7021">
        <v>8875000</v>
      </c>
      <c r="R7021" s="14">
        <f>_xlfn.XLOOKUP(Table2[[#This Row],[LoanID]],Table1[G-L ID],Table1[ManagerCode],-99)</f>
        <v>119</v>
      </c>
      <c r="T7021"/>
    </row>
    <row r="7022" spans="1:20" x14ac:dyDescent="0.25">
      <c r="A7022">
        <v>20180531</v>
      </c>
      <c r="B7022">
        <v>2018</v>
      </c>
      <c r="C7022">
        <v>5</v>
      </c>
      <c r="D7022">
        <v>1</v>
      </c>
      <c r="E7022">
        <v>12620</v>
      </c>
      <c r="F7022">
        <v>92131.87</v>
      </c>
      <c r="G7022">
        <v>0</v>
      </c>
      <c r="H7022">
        <v>0</v>
      </c>
      <c r="I7022">
        <v>0</v>
      </c>
      <c r="J7022">
        <v>2391447.94</v>
      </c>
      <c r="K7022">
        <v>0</v>
      </c>
      <c r="L7022">
        <v>7486833.0499999998</v>
      </c>
      <c r="M7022">
        <v>5095385.1100000003</v>
      </c>
      <c r="N7022">
        <v>7486833.0499999998</v>
      </c>
      <c r="O7022">
        <v>5095385.1100000003</v>
      </c>
      <c r="P7022">
        <v>7486833.0499999998</v>
      </c>
      <c r="Q7022">
        <v>5095385.1100000003</v>
      </c>
      <c r="R7022" s="14">
        <f>_xlfn.XLOOKUP(Table2[[#This Row],[LoanID]],Table1[G-L ID],Table1[ManagerCode],-99)</f>
        <v>119</v>
      </c>
      <c r="T7022"/>
    </row>
    <row r="7023" spans="1:20" x14ac:dyDescent="0.25">
      <c r="A7023">
        <v>20180531</v>
      </c>
      <c r="B7023">
        <v>2018</v>
      </c>
      <c r="C7023">
        <v>5</v>
      </c>
      <c r="D7023">
        <v>1</v>
      </c>
      <c r="E7023">
        <v>12630</v>
      </c>
      <c r="F7023">
        <v>114453.03</v>
      </c>
      <c r="G7023">
        <v>0</v>
      </c>
      <c r="H7023">
        <v>0</v>
      </c>
      <c r="I7023">
        <v>0</v>
      </c>
      <c r="J7023">
        <v>0</v>
      </c>
      <c r="K7023">
        <v>0</v>
      </c>
      <c r="L7023">
        <v>13211200.35</v>
      </c>
      <c r="M7023">
        <v>13211200.35</v>
      </c>
      <c r="N7023">
        <v>13211200.35</v>
      </c>
      <c r="O7023">
        <v>13211200.35</v>
      </c>
      <c r="P7023">
        <v>13211200.35</v>
      </c>
      <c r="Q7023">
        <v>13211200.35</v>
      </c>
      <c r="R7023" s="14">
        <f>_xlfn.XLOOKUP(Table2[[#This Row],[LoanID]],Table1[G-L ID],Table1[ManagerCode],-99)</f>
        <v>119</v>
      </c>
      <c r="T7023"/>
    </row>
    <row r="7024" spans="1:20" x14ac:dyDescent="0.25">
      <c r="A7024">
        <v>20180531</v>
      </c>
      <c r="B7024">
        <v>2018</v>
      </c>
      <c r="C7024">
        <v>5</v>
      </c>
      <c r="D7024">
        <v>1</v>
      </c>
      <c r="E7024">
        <v>12640</v>
      </c>
      <c r="F7024">
        <v>74167.91</v>
      </c>
      <c r="G7024">
        <v>0</v>
      </c>
      <c r="H7024">
        <v>0</v>
      </c>
      <c r="I7024">
        <v>0</v>
      </c>
      <c r="J7024">
        <v>0</v>
      </c>
      <c r="K7024">
        <v>0</v>
      </c>
      <c r="L7024">
        <v>8371561.7599999998</v>
      </c>
      <c r="M7024">
        <v>8371561.7599999998</v>
      </c>
      <c r="N7024">
        <v>8371561.7599999998</v>
      </c>
      <c r="O7024">
        <v>8371561.7599999998</v>
      </c>
      <c r="P7024">
        <v>8371561.7599999998</v>
      </c>
      <c r="Q7024">
        <v>8371561.7599999998</v>
      </c>
      <c r="R7024" s="14">
        <f>_xlfn.XLOOKUP(Table2[[#This Row],[LoanID]],Table1[G-L ID],Table1[ManagerCode],-99)</f>
        <v>119</v>
      </c>
      <c r="T7024"/>
    </row>
    <row r="7025" spans="1:20" x14ac:dyDescent="0.25">
      <c r="A7025">
        <v>20180531</v>
      </c>
      <c r="B7025">
        <v>2018</v>
      </c>
      <c r="C7025">
        <v>5</v>
      </c>
      <c r="D7025">
        <v>1</v>
      </c>
      <c r="E7025">
        <v>12650</v>
      </c>
      <c r="F7025">
        <v>309173.03999999998</v>
      </c>
      <c r="G7025">
        <v>0</v>
      </c>
      <c r="H7025">
        <v>0</v>
      </c>
      <c r="I7025">
        <v>0</v>
      </c>
      <c r="J7025">
        <v>0</v>
      </c>
      <c r="K7025">
        <v>0</v>
      </c>
      <c r="L7025">
        <v>111200000</v>
      </c>
      <c r="M7025">
        <v>111200000</v>
      </c>
      <c r="N7025">
        <v>44480000</v>
      </c>
      <c r="O7025">
        <v>44480000</v>
      </c>
      <c r="P7025">
        <v>111200000</v>
      </c>
      <c r="Q7025">
        <v>111200000</v>
      </c>
      <c r="R7025" s="14">
        <f>_xlfn.XLOOKUP(Table2[[#This Row],[LoanID]],Table1[G-L ID],Table1[ManagerCode],-99)</f>
        <v>183</v>
      </c>
      <c r="T7025"/>
    </row>
    <row r="7026" spans="1:20" x14ac:dyDescent="0.25">
      <c r="A7026">
        <v>20180531</v>
      </c>
      <c r="B7026">
        <v>2018</v>
      </c>
      <c r="C7026">
        <v>5</v>
      </c>
      <c r="D7026">
        <v>1</v>
      </c>
      <c r="E7026">
        <v>12660</v>
      </c>
      <c r="F7026">
        <v>110399</v>
      </c>
      <c r="G7026">
        <v>0</v>
      </c>
      <c r="H7026">
        <v>0</v>
      </c>
      <c r="I7026">
        <v>0</v>
      </c>
      <c r="J7026">
        <v>0</v>
      </c>
      <c r="K7026">
        <v>0</v>
      </c>
      <c r="L7026">
        <v>47000000</v>
      </c>
      <c r="M7026">
        <v>47000000</v>
      </c>
      <c r="N7026">
        <v>19000000</v>
      </c>
      <c r="O7026">
        <v>19000000</v>
      </c>
      <c r="P7026">
        <v>47000000</v>
      </c>
      <c r="Q7026">
        <v>47000000</v>
      </c>
      <c r="R7026" s="14">
        <f>_xlfn.XLOOKUP(Table2[[#This Row],[LoanID]],Table1[G-L ID],Table1[ManagerCode],-99)</f>
        <v>183</v>
      </c>
      <c r="T7026"/>
    </row>
    <row r="7027" spans="1:20" x14ac:dyDescent="0.25">
      <c r="A7027">
        <v>20180531</v>
      </c>
      <c r="B7027">
        <v>2018</v>
      </c>
      <c r="C7027">
        <v>5</v>
      </c>
      <c r="D7027">
        <v>1</v>
      </c>
      <c r="E7027">
        <v>12670</v>
      </c>
      <c r="F7027">
        <v>54626.45</v>
      </c>
      <c r="G7027">
        <v>0</v>
      </c>
      <c r="H7027">
        <v>0</v>
      </c>
      <c r="I7027">
        <v>0</v>
      </c>
      <c r="J7027">
        <v>0</v>
      </c>
      <c r="K7027">
        <v>0</v>
      </c>
      <c r="L7027">
        <v>15500000</v>
      </c>
      <c r="M7027">
        <v>15500000</v>
      </c>
      <c r="N7027">
        <v>7250000</v>
      </c>
      <c r="O7027">
        <v>7250000</v>
      </c>
      <c r="P7027">
        <v>15500000</v>
      </c>
      <c r="Q7027">
        <v>15500000</v>
      </c>
      <c r="R7027" s="14">
        <f>_xlfn.XLOOKUP(Table2[[#This Row],[LoanID]],Table1[G-L ID],Table1[ManagerCode],-99)</f>
        <v>183</v>
      </c>
      <c r="T7027"/>
    </row>
    <row r="7028" spans="1:20" x14ac:dyDescent="0.25">
      <c r="A7028">
        <v>20180531</v>
      </c>
      <c r="B7028">
        <v>2018</v>
      </c>
      <c r="C7028">
        <v>5</v>
      </c>
      <c r="D7028">
        <v>1</v>
      </c>
      <c r="E7028">
        <v>12680</v>
      </c>
      <c r="F7028">
        <v>144184.98000000001</v>
      </c>
      <c r="G7028">
        <v>0</v>
      </c>
      <c r="H7028">
        <v>0</v>
      </c>
      <c r="I7028">
        <v>0</v>
      </c>
      <c r="J7028">
        <v>0</v>
      </c>
      <c r="K7028">
        <v>0</v>
      </c>
      <c r="L7028">
        <v>16126000</v>
      </c>
      <c r="M7028">
        <v>16126000</v>
      </c>
      <c r="N7028">
        <v>16126000</v>
      </c>
      <c r="O7028">
        <v>16126000</v>
      </c>
      <c r="P7028">
        <v>16126000</v>
      </c>
      <c r="Q7028">
        <v>16126000</v>
      </c>
      <c r="R7028" s="14">
        <f>_xlfn.XLOOKUP(Table2[[#This Row],[LoanID]],Table1[G-L ID],Table1[ManagerCode],-99)</f>
        <v>119</v>
      </c>
      <c r="T7028"/>
    </row>
    <row r="7029" spans="1:20" x14ac:dyDescent="0.25">
      <c r="A7029">
        <v>20180531</v>
      </c>
      <c r="B7029">
        <v>2018</v>
      </c>
      <c r="C7029">
        <v>5</v>
      </c>
      <c r="D7029">
        <v>1</v>
      </c>
      <c r="E7029">
        <v>12690</v>
      </c>
      <c r="F7029">
        <v>91605.11</v>
      </c>
      <c r="G7029">
        <v>0</v>
      </c>
      <c r="H7029">
        <v>0</v>
      </c>
      <c r="I7029">
        <v>0</v>
      </c>
      <c r="J7029">
        <v>0</v>
      </c>
      <c r="K7029">
        <v>0</v>
      </c>
      <c r="L7029">
        <v>10175500</v>
      </c>
      <c r="M7029">
        <v>10175500</v>
      </c>
      <c r="N7029">
        <v>10175500</v>
      </c>
      <c r="O7029">
        <v>10175500</v>
      </c>
      <c r="P7029">
        <v>10175500</v>
      </c>
      <c r="Q7029">
        <v>10175500</v>
      </c>
      <c r="R7029" s="14">
        <f>_xlfn.XLOOKUP(Table2[[#This Row],[LoanID]],Table1[G-L ID],Table1[ManagerCode],-99)</f>
        <v>119</v>
      </c>
      <c r="T7029"/>
    </row>
    <row r="7030" spans="1:20" x14ac:dyDescent="0.25">
      <c r="A7030">
        <v>20180531</v>
      </c>
      <c r="B7030">
        <v>2018</v>
      </c>
      <c r="C7030">
        <v>5</v>
      </c>
      <c r="D7030">
        <v>1</v>
      </c>
      <c r="E7030">
        <v>12700</v>
      </c>
      <c r="F7030">
        <v>213479.17</v>
      </c>
      <c r="G7030">
        <v>0</v>
      </c>
      <c r="H7030">
        <v>0</v>
      </c>
      <c r="I7030">
        <v>0</v>
      </c>
      <c r="J7030">
        <v>0</v>
      </c>
      <c r="K7030">
        <v>0</v>
      </c>
      <c r="L7030">
        <v>25000000</v>
      </c>
      <c r="M7030">
        <v>25000000</v>
      </c>
      <c r="N7030">
        <v>25000000</v>
      </c>
      <c r="O7030">
        <v>25000000</v>
      </c>
      <c r="P7030">
        <v>25000000</v>
      </c>
      <c r="Q7030">
        <v>25000000</v>
      </c>
      <c r="R7030" s="14">
        <f>_xlfn.XLOOKUP(Table2[[#This Row],[LoanID]],Table1[G-L ID],Table1[ManagerCode],-99)</f>
        <v>119</v>
      </c>
      <c r="T7030"/>
    </row>
    <row r="7031" spans="1:20" x14ac:dyDescent="0.25">
      <c r="A7031">
        <v>20180531</v>
      </c>
      <c r="B7031">
        <v>2018</v>
      </c>
      <c r="C7031">
        <v>5</v>
      </c>
      <c r="D7031">
        <v>1</v>
      </c>
      <c r="E7031">
        <v>12710</v>
      </c>
      <c r="F7031">
        <v>87541.51</v>
      </c>
      <c r="G7031">
        <v>0</v>
      </c>
      <c r="H7031">
        <v>0</v>
      </c>
      <c r="I7031">
        <v>0</v>
      </c>
      <c r="J7031">
        <v>0</v>
      </c>
      <c r="K7031">
        <v>0</v>
      </c>
      <c r="L7031">
        <v>9738975</v>
      </c>
      <c r="M7031">
        <v>9738975</v>
      </c>
      <c r="N7031">
        <v>9738975</v>
      </c>
      <c r="O7031">
        <v>9738975</v>
      </c>
      <c r="P7031">
        <v>9738975</v>
      </c>
      <c r="Q7031">
        <v>9738975</v>
      </c>
      <c r="R7031" s="14">
        <f>_xlfn.XLOOKUP(Table2[[#This Row],[LoanID]],Table1[G-L ID],Table1[ManagerCode],-99)</f>
        <v>119</v>
      </c>
      <c r="T7031"/>
    </row>
    <row r="7032" spans="1:20" x14ac:dyDescent="0.25">
      <c r="A7032">
        <v>20180531</v>
      </c>
      <c r="B7032">
        <v>2018</v>
      </c>
      <c r="C7032">
        <v>5</v>
      </c>
      <c r="D7032">
        <v>1</v>
      </c>
      <c r="E7032">
        <v>12720</v>
      </c>
      <c r="F7032">
        <v>0</v>
      </c>
      <c r="G7032">
        <v>0</v>
      </c>
      <c r="H7032">
        <v>2671200</v>
      </c>
      <c r="I7032">
        <v>0</v>
      </c>
      <c r="J7032">
        <v>-192400000</v>
      </c>
      <c r="K7032">
        <v>101881000</v>
      </c>
      <c r="L7032">
        <v>0</v>
      </c>
      <c r="M7032">
        <v>192400000</v>
      </c>
      <c r="N7032">
        <v>0</v>
      </c>
      <c r="O7032">
        <v>90519000</v>
      </c>
      <c r="P7032">
        <v>0</v>
      </c>
      <c r="Q7032">
        <v>192400000</v>
      </c>
      <c r="R7032" s="14">
        <f>_xlfn.XLOOKUP(Table2[[#This Row],[LoanID]],Table1[G-L ID],Table1[ManagerCode],-99)</f>
        <v>183</v>
      </c>
      <c r="T7032"/>
    </row>
    <row r="7033" spans="1:20" x14ac:dyDescent="0.25">
      <c r="A7033">
        <v>20180531</v>
      </c>
      <c r="B7033">
        <v>2018</v>
      </c>
      <c r="C7033">
        <v>5</v>
      </c>
      <c r="D7033">
        <v>1</v>
      </c>
      <c r="E7033">
        <v>12730</v>
      </c>
      <c r="F7033">
        <v>-24757.81</v>
      </c>
      <c r="G7033">
        <v>0</v>
      </c>
      <c r="H7033">
        <v>0</v>
      </c>
      <c r="I7033">
        <v>0</v>
      </c>
      <c r="J7033">
        <v>0</v>
      </c>
      <c r="K7033">
        <v>0</v>
      </c>
      <c r="L7033">
        <v>38460000</v>
      </c>
      <c r="M7033">
        <v>38460000</v>
      </c>
      <c r="N7033">
        <v>13460000</v>
      </c>
      <c r="O7033">
        <v>13460000</v>
      </c>
      <c r="P7033">
        <v>38460000</v>
      </c>
      <c r="Q7033">
        <v>38460000</v>
      </c>
      <c r="R7033" s="14">
        <f>_xlfn.XLOOKUP(Table2[[#This Row],[LoanID]],Table1[G-L ID],Table1[ManagerCode],-99)</f>
        <v>183</v>
      </c>
      <c r="T7033"/>
    </row>
    <row r="7034" spans="1:20" x14ac:dyDescent="0.25">
      <c r="A7034">
        <v>20180531</v>
      </c>
      <c r="B7034">
        <v>2018</v>
      </c>
      <c r="C7034">
        <v>5</v>
      </c>
      <c r="D7034">
        <v>1</v>
      </c>
      <c r="E7034">
        <v>12750</v>
      </c>
      <c r="F7034">
        <v>-81579.11</v>
      </c>
      <c r="G7034">
        <v>104525.52</v>
      </c>
      <c r="H7034">
        <v>0</v>
      </c>
      <c r="I7034">
        <v>0</v>
      </c>
      <c r="J7034">
        <v>0</v>
      </c>
      <c r="K7034">
        <v>0</v>
      </c>
      <c r="L7034">
        <v>23284465.379999999</v>
      </c>
      <c r="M7034">
        <v>23388990.899999999</v>
      </c>
      <c r="N7034">
        <v>11675164.25</v>
      </c>
      <c r="O7034">
        <v>11779689.77</v>
      </c>
      <c r="P7034">
        <v>23284465.379999999</v>
      </c>
      <c r="Q7034">
        <v>23388990.899999999</v>
      </c>
      <c r="R7034" s="14">
        <f>_xlfn.XLOOKUP(Table2[[#This Row],[LoanID]],Table1[G-L ID],Table1[ManagerCode],-99)</f>
        <v>236</v>
      </c>
      <c r="T7034"/>
    </row>
    <row r="7035" spans="1:20" x14ac:dyDescent="0.25">
      <c r="A7035">
        <v>20180531</v>
      </c>
      <c r="B7035">
        <v>2018</v>
      </c>
      <c r="C7035">
        <v>5</v>
      </c>
      <c r="D7035">
        <v>1</v>
      </c>
      <c r="E7035">
        <v>12760</v>
      </c>
      <c r="F7035">
        <v>76020.45</v>
      </c>
      <c r="G7035">
        <v>0</v>
      </c>
      <c r="H7035">
        <v>1191000</v>
      </c>
      <c r="I7035">
        <v>-50000</v>
      </c>
      <c r="J7035">
        <v>-108600000</v>
      </c>
      <c r="K7035">
        <v>54300000</v>
      </c>
      <c r="L7035">
        <v>0</v>
      </c>
      <c r="M7035">
        <v>108600000</v>
      </c>
      <c r="N7035">
        <v>0</v>
      </c>
      <c r="O7035">
        <v>54300000</v>
      </c>
      <c r="P7035">
        <v>0</v>
      </c>
      <c r="Q7035">
        <v>108600000</v>
      </c>
      <c r="R7035" s="14">
        <f>_xlfn.XLOOKUP(Table2[[#This Row],[LoanID]],Table1[G-L ID],Table1[ManagerCode],-99)</f>
        <v>236</v>
      </c>
      <c r="T7035"/>
    </row>
    <row r="7036" spans="1:20" x14ac:dyDescent="0.25">
      <c r="A7036">
        <v>20180531</v>
      </c>
      <c r="B7036">
        <v>2018</v>
      </c>
      <c r="C7036">
        <v>5</v>
      </c>
      <c r="D7036">
        <v>1</v>
      </c>
      <c r="E7036">
        <v>12930</v>
      </c>
      <c r="F7036">
        <v>165237.78</v>
      </c>
      <c r="G7036">
        <v>0</v>
      </c>
      <c r="H7036">
        <v>0</v>
      </c>
      <c r="I7036">
        <v>0</v>
      </c>
      <c r="J7036">
        <v>0</v>
      </c>
      <c r="K7036">
        <v>0</v>
      </c>
      <c r="L7036">
        <v>19000000</v>
      </c>
      <c r="M7036">
        <v>19000000</v>
      </c>
      <c r="N7036">
        <v>19000000</v>
      </c>
      <c r="O7036">
        <v>19000000</v>
      </c>
      <c r="P7036">
        <v>19000000</v>
      </c>
      <c r="Q7036">
        <v>19000000</v>
      </c>
      <c r="R7036" s="14">
        <f>_xlfn.XLOOKUP(Table2[[#This Row],[LoanID]],Table1[G-L ID],Table1[ManagerCode],-99)</f>
        <v>119</v>
      </c>
      <c r="T7036"/>
    </row>
    <row r="7037" spans="1:20" x14ac:dyDescent="0.25">
      <c r="A7037">
        <v>20180531</v>
      </c>
      <c r="B7037">
        <v>2018</v>
      </c>
      <c r="C7037">
        <v>5</v>
      </c>
      <c r="D7037">
        <v>1</v>
      </c>
      <c r="E7037">
        <v>12950</v>
      </c>
      <c r="F7037">
        <v>223706.18</v>
      </c>
      <c r="G7037">
        <v>0</v>
      </c>
      <c r="H7037">
        <v>0</v>
      </c>
      <c r="I7037">
        <v>0</v>
      </c>
      <c r="J7037">
        <v>0</v>
      </c>
      <c r="K7037">
        <v>0</v>
      </c>
      <c r="L7037">
        <v>26732750</v>
      </c>
      <c r="M7037">
        <v>26732750</v>
      </c>
      <c r="N7037">
        <v>26732750</v>
      </c>
      <c r="O7037">
        <v>26732750</v>
      </c>
      <c r="P7037">
        <v>26732750</v>
      </c>
      <c r="Q7037">
        <v>26732750</v>
      </c>
      <c r="R7037" s="14">
        <f>_xlfn.XLOOKUP(Table2[[#This Row],[LoanID]],Table1[G-L ID],Table1[ManagerCode],-99)</f>
        <v>119</v>
      </c>
      <c r="T7037"/>
    </row>
    <row r="7038" spans="1:20" x14ac:dyDescent="0.25">
      <c r="A7038">
        <v>20180531</v>
      </c>
      <c r="B7038">
        <v>2018</v>
      </c>
      <c r="C7038">
        <v>5</v>
      </c>
      <c r="D7038">
        <v>1</v>
      </c>
      <c r="E7038">
        <v>12960</v>
      </c>
      <c r="F7038">
        <v>124519.5</v>
      </c>
      <c r="G7038">
        <v>0</v>
      </c>
      <c r="H7038">
        <v>-260250</v>
      </c>
      <c r="I7038">
        <v>0</v>
      </c>
      <c r="J7038">
        <v>26550000</v>
      </c>
      <c r="K7038">
        <v>0</v>
      </c>
      <c r="L7038">
        <v>35400000</v>
      </c>
      <c r="M7038">
        <v>8850000</v>
      </c>
      <c r="N7038">
        <v>35400000</v>
      </c>
      <c r="O7038">
        <v>8850000</v>
      </c>
      <c r="P7038">
        <v>35400000</v>
      </c>
      <c r="Q7038">
        <v>8850000</v>
      </c>
      <c r="R7038" s="14">
        <f>_xlfn.XLOOKUP(Table2[[#This Row],[LoanID]],Table1[G-L ID],Table1[ManagerCode],-99)</f>
        <v>119</v>
      </c>
      <c r="T7038"/>
    </row>
    <row r="7039" spans="1:20" x14ac:dyDescent="0.25">
      <c r="A7039">
        <v>20180531</v>
      </c>
      <c r="B7039">
        <v>2018</v>
      </c>
      <c r="C7039">
        <v>5</v>
      </c>
      <c r="D7039">
        <v>1</v>
      </c>
      <c r="E7039">
        <v>12970</v>
      </c>
      <c r="F7039">
        <v>24355.56</v>
      </c>
      <c r="G7039">
        <v>0</v>
      </c>
      <c r="H7039">
        <v>360000</v>
      </c>
      <c r="I7039">
        <v>0</v>
      </c>
      <c r="J7039">
        <v>-40000000</v>
      </c>
      <c r="K7039">
        <v>0</v>
      </c>
      <c r="L7039">
        <v>0</v>
      </c>
      <c r="M7039">
        <v>40000000</v>
      </c>
      <c r="N7039">
        <v>0</v>
      </c>
      <c r="O7039">
        <v>40000000</v>
      </c>
      <c r="P7039">
        <v>0</v>
      </c>
      <c r="Q7039">
        <v>40000000</v>
      </c>
      <c r="R7039" s="14">
        <f>_xlfn.XLOOKUP(Table2[[#This Row],[LoanID]],Table1[G-L ID],Table1[ManagerCode],-99)</f>
        <v>119</v>
      </c>
      <c r="T7039"/>
    </row>
    <row r="7040" spans="1:20" x14ac:dyDescent="0.25">
      <c r="A7040">
        <v>20180531</v>
      </c>
      <c r="B7040">
        <v>2018</v>
      </c>
      <c r="C7040">
        <v>5</v>
      </c>
      <c r="D7040">
        <v>1</v>
      </c>
      <c r="E7040">
        <v>13000</v>
      </c>
      <c r="F7040">
        <v>62899.14</v>
      </c>
      <c r="G7040">
        <v>3189.51</v>
      </c>
      <c r="H7040">
        <v>0</v>
      </c>
      <c r="I7040">
        <v>0</v>
      </c>
      <c r="J7040">
        <v>-7261428.8600000003</v>
      </c>
      <c r="K7040">
        <v>0</v>
      </c>
      <c r="L7040">
        <v>22861820.920000002</v>
      </c>
      <c r="M7040">
        <v>30227455.800000001</v>
      </c>
      <c r="N7040">
        <v>22861820.920000002</v>
      </c>
      <c r="O7040">
        <v>30227455.800000001</v>
      </c>
      <c r="P7040">
        <v>23089585.309999999</v>
      </c>
      <c r="Q7040">
        <v>30354203.68</v>
      </c>
      <c r="R7040" s="14">
        <f>_xlfn.XLOOKUP(Table2[[#This Row],[LoanID]],Table1[G-L ID],Table1[ManagerCode],-99)</f>
        <v>103</v>
      </c>
      <c r="T7040"/>
    </row>
    <row r="7041" spans="1:20" x14ac:dyDescent="0.25">
      <c r="A7041">
        <v>20180531</v>
      </c>
      <c r="B7041">
        <v>2018</v>
      </c>
      <c r="C7041">
        <v>5</v>
      </c>
      <c r="D7041">
        <v>1</v>
      </c>
      <c r="E7041">
        <v>13010</v>
      </c>
      <c r="F7041">
        <v>1400000</v>
      </c>
      <c r="G7041">
        <v>0</v>
      </c>
      <c r="H7041">
        <v>0</v>
      </c>
      <c r="I7041">
        <v>-1210</v>
      </c>
      <c r="J7041">
        <v>0</v>
      </c>
      <c r="K7041">
        <v>0</v>
      </c>
      <c r="L7041">
        <v>197109950</v>
      </c>
      <c r="M7041">
        <v>199500000</v>
      </c>
      <c r="N7041">
        <v>197109950</v>
      </c>
      <c r="O7041">
        <v>199500000</v>
      </c>
      <c r="P7041">
        <v>210000000</v>
      </c>
      <c r="Q7041">
        <v>210000000</v>
      </c>
      <c r="R7041" s="14">
        <f>_xlfn.XLOOKUP(Table2[[#This Row],[LoanID]],Table1[G-L ID],Table1[ManagerCode],-99)</f>
        <v>103</v>
      </c>
      <c r="T7041"/>
    </row>
    <row r="7042" spans="1:20" x14ac:dyDescent="0.25">
      <c r="A7042">
        <v>20180531</v>
      </c>
      <c r="B7042">
        <v>2018</v>
      </c>
      <c r="C7042">
        <v>5</v>
      </c>
      <c r="D7042">
        <v>1</v>
      </c>
      <c r="E7042">
        <v>13020</v>
      </c>
      <c r="F7042">
        <v>186920.36</v>
      </c>
      <c r="G7042">
        <v>0</v>
      </c>
      <c r="H7042">
        <v>0</v>
      </c>
      <c r="I7042">
        <v>0</v>
      </c>
      <c r="J7042">
        <v>-186920.36</v>
      </c>
      <c r="K7042">
        <v>0</v>
      </c>
      <c r="L7042">
        <v>18692035.219999999</v>
      </c>
      <c r="M7042">
        <v>18878955.579999998</v>
      </c>
      <c r="N7042">
        <v>18692035.219999999</v>
      </c>
      <c r="O7042">
        <v>18878955.579999998</v>
      </c>
      <c r="P7042">
        <v>18692035.219999999</v>
      </c>
      <c r="Q7042">
        <v>18878955.579999998</v>
      </c>
      <c r="R7042" s="14">
        <f>_xlfn.XLOOKUP(Table2[[#This Row],[LoanID]],Table1[G-L ID],Table1[ManagerCode],-99)</f>
        <v>103</v>
      </c>
      <c r="T7042"/>
    </row>
    <row r="7043" spans="1:20" x14ac:dyDescent="0.25">
      <c r="A7043">
        <v>20180531</v>
      </c>
      <c r="B7043">
        <v>2018</v>
      </c>
      <c r="C7043">
        <v>5</v>
      </c>
      <c r="D7043">
        <v>1</v>
      </c>
      <c r="E7043">
        <v>13570</v>
      </c>
      <c r="F7043">
        <v>349110.5</v>
      </c>
      <c r="G7043">
        <v>0</v>
      </c>
      <c r="H7043">
        <v>0</v>
      </c>
      <c r="I7043">
        <v>0</v>
      </c>
      <c r="J7043">
        <v>0</v>
      </c>
      <c r="K7043">
        <v>0</v>
      </c>
      <c r="L7043">
        <v>45238055.939999998</v>
      </c>
      <c r="M7043">
        <v>45269275.049999997</v>
      </c>
      <c r="N7043">
        <v>45238055.939999998</v>
      </c>
      <c r="O7043">
        <v>45269275.049999997</v>
      </c>
      <c r="P7043">
        <v>45800000</v>
      </c>
      <c r="Q7043">
        <v>45800000</v>
      </c>
      <c r="R7043" s="14">
        <f>_xlfn.XLOOKUP(Table2[[#This Row],[LoanID]],Table1[G-L ID],Table1[ManagerCode],-99)</f>
        <v>298</v>
      </c>
      <c r="T7043"/>
    </row>
    <row r="7044" spans="1:20" x14ac:dyDescent="0.25">
      <c r="A7044">
        <v>20180531</v>
      </c>
      <c r="B7044">
        <v>2018</v>
      </c>
      <c r="C7044">
        <v>5</v>
      </c>
      <c r="D7044">
        <v>1</v>
      </c>
      <c r="E7044">
        <v>13580</v>
      </c>
      <c r="F7044">
        <v>415625</v>
      </c>
      <c r="G7044">
        <v>0</v>
      </c>
      <c r="H7044">
        <v>0</v>
      </c>
      <c r="I7044">
        <v>0</v>
      </c>
      <c r="J7044">
        <v>0</v>
      </c>
      <c r="K7044">
        <v>0</v>
      </c>
      <c r="L7044">
        <v>63682236.869999997</v>
      </c>
      <c r="M7044">
        <v>63755148.060000002</v>
      </c>
      <c r="N7044">
        <v>63682236.869999997</v>
      </c>
      <c r="O7044">
        <v>63755148.060000002</v>
      </c>
      <c r="P7044">
        <v>66500000</v>
      </c>
      <c r="Q7044">
        <v>66500000</v>
      </c>
      <c r="R7044" s="14">
        <f>_xlfn.XLOOKUP(Table2[[#This Row],[LoanID]],Table1[G-L ID],Table1[ManagerCode],-99)</f>
        <v>298</v>
      </c>
      <c r="T7044"/>
    </row>
    <row r="7045" spans="1:20" x14ac:dyDescent="0.25">
      <c r="A7045">
        <v>20180531</v>
      </c>
      <c r="B7045">
        <v>2018</v>
      </c>
      <c r="C7045">
        <v>5</v>
      </c>
      <c r="D7045">
        <v>1</v>
      </c>
      <c r="E7045">
        <v>13590</v>
      </c>
      <c r="F7045">
        <v>279900</v>
      </c>
      <c r="G7045">
        <v>0</v>
      </c>
      <c r="H7045">
        <v>0</v>
      </c>
      <c r="I7045">
        <v>0</v>
      </c>
      <c r="J7045">
        <v>0</v>
      </c>
      <c r="K7045">
        <v>0</v>
      </c>
      <c r="L7045">
        <v>40000000</v>
      </c>
      <c r="M7045">
        <v>40000000</v>
      </c>
      <c r="N7045">
        <v>40000000</v>
      </c>
      <c r="O7045">
        <v>40000000</v>
      </c>
      <c r="P7045">
        <v>40000000</v>
      </c>
      <c r="Q7045">
        <v>40000000</v>
      </c>
      <c r="R7045" s="14">
        <f>_xlfn.XLOOKUP(Table2[[#This Row],[LoanID]],Table1[G-L ID],Table1[ManagerCode],-99)</f>
        <v>298</v>
      </c>
      <c r="T7045"/>
    </row>
    <row r="7046" spans="1:20" x14ac:dyDescent="0.25">
      <c r="A7046">
        <v>20180531</v>
      </c>
      <c r="B7046">
        <v>2018</v>
      </c>
      <c r="C7046">
        <v>5</v>
      </c>
      <c r="D7046">
        <v>1</v>
      </c>
      <c r="E7046">
        <v>13600</v>
      </c>
      <c r="F7046">
        <v>366802.29</v>
      </c>
      <c r="G7046">
        <v>0</v>
      </c>
      <c r="H7046">
        <v>0</v>
      </c>
      <c r="I7046">
        <v>0</v>
      </c>
      <c r="J7046">
        <v>0</v>
      </c>
      <c r="K7046">
        <v>0</v>
      </c>
      <c r="L7046">
        <v>45970000</v>
      </c>
      <c r="M7046">
        <v>45970000</v>
      </c>
      <c r="N7046">
        <v>45970000</v>
      </c>
      <c r="O7046">
        <v>45970000</v>
      </c>
      <c r="P7046">
        <v>45970000</v>
      </c>
      <c r="Q7046">
        <v>45970000</v>
      </c>
      <c r="R7046" s="14">
        <f>_xlfn.XLOOKUP(Table2[[#This Row],[LoanID]],Table1[G-L ID],Table1[ManagerCode],-99)</f>
        <v>298</v>
      </c>
      <c r="T7046"/>
    </row>
    <row r="7047" spans="1:20" x14ac:dyDescent="0.25">
      <c r="A7047">
        <v>20180531</v>
      </c>
      <c r="B7047">
        <v>2018</v>
      </c>
      <c r="C7047">
        <v>5</v>
      </c>
      <c r="D7047">
        <v>1</v>
      </c>
      <c r="E7047">
        <v>13610</v>
      </c>
      <c r="F7047">
        <v>61250</v>
      </c>
      <c r="G7047">
        <v>0</v>
      </c>
      <c r="H7047">
        <v>0</v>
      </c>
      <c r="I7047">
        <v>0</v>
      </c>
      <c r="J7047">
        <v>0</v>
      </c>
      <c r="K7047">
        <v>0</v>
      </c>
      <c r="L7047">
        <v>10549064</v>
      </c>
      <c r="M7047">
        <v>10549064</v>
      </c>
      <c r="N7047">
        <v>10549064</v>
      </c>
      <c r="O7047">
        <v>10549064</v>
      </c>
      <c r="P7047">
        <v>10500000</v>
      </c>
      <c r="Q7047">
        <v>10500000</v>
      </c>
      <c r="R7047" s="14">
        <f>_xlfn.XLOOKUP(Table2[[#This Row],[LoanID]],Table1[G-L ID],Table1[ManagerCode],-99)</f>
        <v>298</v>
      </c>
      <c r="T7047"/>
    </row>
    <row r="7048" spans="1:20" x14ac:dyDescent="0.25">
      <c r="A7048">
        <v>20180531</v>
      </c>
      <c r="B7048">
        <v>2018</v>
      </c>
      <c r="C7048">
        <v>5</v>
      </c>
      <c r="D7048">
        <v>1</v>
      </c>
      <c r="E7048">
        <v>13620</v>
      </c>
      <c r="F7048">
        <v>335291.67</v>
      </c>
      <c r="G7048">
        <v>0</v>
      </c>
      <c r="H7048">
        <v>0</v>
      </c>
      <c r="I7048">
        <v>0</v>
      </c>
      <c r="J7048">
        <v>0</v>
      </c>
      <c r="K7048">
        <v>0</v>
      </c>
      <c r="L7048">
        <v>49919787</v>
      </c>
      <c r="M7048">
        <v>49919787</v>
      </c>
      <c r="N7048">
        <v>49919787</v>
      </c>
      <c r="O7048">
        <v>49919787</v>
      </c>
      <c r="P7048">
        <v>50000000</v>
      </c>
      <c r="Q7048">
        <v>50000000</v>
      </c>
      <c r="R7048" s="14">
        <f>_xlfn.XLOOKUP(Table2[[#This Row],[LoanID]],Table1[G-L ID],Table1[ManagerCode],-99)</f>
        <v>298</v>
      </c>
      <c r="T7048"/>
    </row>
    <row r="7049" spans="1:20" x14ac:dyDescent="0.25">
      <c r="A7049">
        <v>20180531</v>
      </c>
      <c r="B7049">
        <v>2018</v>
      </c>
      <c r="C7049">
        <v>5</v>
      </c>
      <c r="D7049">
        <v>1</v>
      </c>
      <c r="E7049">
        <v>13630</v>
      </c>
      <c r="F7049">
        <v>211458.33</v>
      </c>
      <c r="G7049">
        <v>0</v>
      </c>
      <c r="H7049">
        <v>0</v>
      </c>
      <c r="I7049">
        <v>0</v>
      </c>
      <c r="J7049">
        <v>0</v>
      </c>
      <c r="K7049">
        <v>0</v>
      </c>
      <c r="L7049">
        <v>35537284.43</v>
      </c>
      <c r="M7049">
        <v>35537284.43</v>
      </c>
      <c r="N7049">
        <v>35537284.43</v>
      </c>
      <c r="O7049">
        <v>35537284.43</v>
      </c>
      <c r="P7049">
        <v>35000000</v>
      </c>
      <c r="Q7049">
        <v>35000000</v>
      </c>
      <c r="R7049" s="14">
        <f>_xlfn.XLOOKUP(Table2[[#This Row],[LoanID]],Table1[G-L ID],Table1[ManagerCode],-99)</f>
        <v>298</v>
      </c>
      <c r="T7049"/>
    </row>
    <row r="7050" spans="1:20" x14ac:dyDescent="0.25">
      <c r="A7050">
        <v>20180531</v>
      </c>
      <c r="B7050">
        <v>2018</v>
      </c>
      <c r="C7050">
        <v>5</v>
      </c>
      <c r="D7050">
        <v>1</v>
      </c>
      <c r="E7050">
        <v>13640</v>
      </c>
      <c r="F7050">
        <v>219661.46</v>
      </c>
      <c r="G7050">
        <v>0</v>
      </c>
      <c r="H7050">
        <v>0</v>
      </c>
      <c r="I7050">
        <v>0</v>
      </c>
      <c r="J7050">
        <v>0</v>
      </c>
      <c r="K7050">
        <v>0</v>
      </c>
      <c r="L7050">
        <v>30282941</v>
      </c>
      <c r="M7050">
        <v>30282941</v>
      </c>
      <c r="N7050">
        <v>30282941</v>
      </c>
      <c r="O7050">
        <v>30282941</v>
      </c>
      <c r="P7050">
        <v>30125000</v>
      </c>
      <c r="Q7050">
        <v>30125000</v>
      </c>
      <c r="R7050" s="14">
        <f>_xlfn.XLOOKUP(Table2[[#This Row],[LoanID]],Table1[G-L ID],Table1[ManagerCode],-99)</f>
        <v>298</v>
      </c>
      <c r="T7050"/>
    </row>
    <row r="7051" spans="1:20" x14ac:dyDescent="0.25">
      <c r="A7051">
        <v>20180531</v>
      </c>
      <c r="B7051">
        <v>2018</v>
      </c>
      <c r="C7051">
        <v>5</v>
      </c>
      <c r="D7051">
        <v>1</v>
      </c>
      <c r="E7051">
        <v>13650</v>
      </c>
      <c r="F7051">
        <v>216666.67</v>
      </c>
      <c r="G7051">
        <v>0</v>
      </c>
      <c r="H7051">
        <v>0</v>
      </c>
      <c r="I7051">
        <v>0</v>
      </c>
      <c r="J7051">
        <v>0</v>
      </c>
      <c r="K7051">
        <v>0</v>
      </c>
      <c r="L7051">
        <v>38811572</v>
      </c>
      <c r="M7051">
        <v>38811572</v>
      </c>
      <c r="N7051">
        <v>38811572</v>
      </c>
      <c r="O7051">
        <v>38811572</v>
      </c>
      <c r="P7051">
        <v>40000000</v>
      </c>
      <c r="Q7051">
        <v>40000000</v>
      </c>
      <c r="R7051" s="14">
        <f>_xlfn.XLOOKUP(Table2[[#This Row],[LoanID]],Table1[G-L ID],Table1[ManagerCode],-99)</f>
        <v>298</v>
      </c>
      <c r="T7051"/>
    </row>
    <row r="7052" spans="1:20" x14ac:dyDescent="0.25">
      <c r="A7052">
        <v>20180531</v>
      </c>
      <c r="B7052">
        <v>2018</v>
      </c>
      <c r="C7052">
        <v>5</v>
      </c>
      <c r="D7052">
        <v>1</v>
      </c>
      <c r="E7052">
        <v>13660</v>
      </c>
      <c r="F7052">
        <v>114166.67</v>
      </c>
      <c r="G7052">
        <v>0</v>
      </c>
      <c r="H7052">
        <v>0</v>
      </c>
      <c r="I7052">
        <v>0</v>
      </c>
      <c r="J7052">
        <v>0</v>
      </c>
      <c r="K7052">
        <v>0</v>
      </c>
      <c r="L7052">
        <v>18948845</v>
      </c>
      <c r="M7052">
        <v>18948845</v>
      </c>
      <c r="N7052">
        <v>18948845</v>
      </c>
      <c r="O7052">
        <v>18948845</v>
      </c>
      <c r="P7052">
        <v>20000000</v>
      </c>
      <c r="Q7052">
        <v>20000000</v>
      </c>
      <c r="R7052" s="14">
        <f>_xlfn.XLOOKUP(Table2[[#This Row],[LoanID]],Table1[G-L ID],Table1[ManagerCode],-99)</f>
        <v>298</v>
      </c>
      <c r="T7052"/>
    </row>
    <row r="7053" spans="1:20" x14ac:dyDescent="0.25">
      <c r="A7053">
        <v>20180531</v>
      </c>
      <c r="B7053">
        <v>2018</v>
      </c>
      <c r="C7053">
        <v>5</v>
      </c>
      <c r="D7053">
        <v>1</v>
      </c>
      <c r="E7053">
        <v>13670</v>
      </c>
      <c r="F7053">
        <v>324906.25</v>
      </c>
      <c r="G7053">
        <v>0</v>
      </c>
      <c r="H7053">
        <v>0</v>
      </c>
      <c r="I7053">
        <v>0</v>
      </c>
      <c r="J7053">
        <v>0</v>
      </c>
      <c r="K7053">
        <v>0</v>
      </c>
      <c r="L7053">
        <v>37539280.890000001</v>
      </c>
      <c r="M7053">
        <v>37539280.890000001</v>
      </c>
      <c r="N7053">
        <v>37539280.890000001</v>
      </c>
      <c r="O7053">
        <v>37539280.890000001</v>
      </c>
      <c r="P7053">
        <v>37500000</v>
      </c>
      <c r="Q7053">
        <v>37500000</v>
      </c>
      <c r="R7053" s="14">
        <f>_xlfn.XLOOKUP(Table2[[#This Row],[LoanID]],Table1[G-L ID],Table1[ManagerCode],-99)</f>
        <v>298</v>
      </c>
      <c r="T7053"/>
    </row>
    <row r="7054" spans="1:20" x14ac:dyDescent="0.25">
      <c r="A7054">
        <v>20180531</v>
      </c>
      <c r="B7054">
        <v>2018</v>
      </c>
      <c r="C7054">
        <v>5</v>
      </c>
      <c r="D7054">
        <v>1</v>
      </c>
      <c r="E7054">
        <v>13680</v>
      </c>
      <c r="F7054">
        <v>150574.06</v>
      </c>
      <c r="G7054">
        <v>0</v>
      </c>
      <c r="H7054">
        <v>0</v>
      </c>
      <c r="I7054">
        <v>0</v>
      </c>
      <c r="J7054">
        <v>0</v>
      </c>
      <c r="K7054">
        <v>19047.990000000002</v>
      </c>
      <c r="L7054">
        <v>17971328.219999999</v>
      </c>
      <c r="M7054">
        <v>17971328.219999999</v>
      </c>
      <c r="N7054">
        <v>17971328.219999999</v>
      </c>
      <c r="O7054">
        <v>17971328.219999999</v>
      </c>
      <c r="P7054">
        <v>17904760.050000001</v>
      </c>
      <c r="Q7054">
        <v>17885712.059999999</v>
      </c>
      <c r="R7054" s="14">
        <f>_xlfn.XLOOKUP(Table2[[#This Row],[LoanID]],Table1[G-L ID],Table1[ManagerCode],-99)</f>
        <v>298</v>
      </c>
      <c r="T7054"/>
    </row>
    <row r="7055" spans="1:20" x14ac:dyDescent="0.25">
      <c r="A7055">
        <v>20180531</v>
      </c>
      <c r="B7055">
        <v>2018</v>
      </c>
      <c r="C7055">
        <v>5</v>
      </c>
      <c r="D7055">
        <v>1</v>
      </c>
      <c r="E7055">
        <v>13690</v>
      </c>
      <c r="F7055">
        <v>129166.67</v>
      </c>
      <c r="G7055">
        <v>0</v>
      </c>
      <c r="H7055">
        <v>0</v>
      </c>
      <c r="I7055">
        <v>0</v>
      </c>
      <c r="J7055">
        <v>0</v>
      </c>
      <c r="K7055">
        <v>0</v>
      </c>
      <c r="L7055">
        <v>19779539.27</v>
      </c>
      <c r="M7055">
        <v>19779539.27</v>
      </c>
      <c r="N7055">
        <v>19779539.27</v>
      </c>
      <c r="O7055">
        <v>19779539.27</v>
      </c>
      <c r="P7055">
        <v>20000000</v>
      </c>
      <c r="Q7055">
        <v>20000000</v>
      </c>
      <c r="R7055" s="14">
        <f>_xlfn.XLOOKUP(Table2[[#This Row],[LoanID]],Table1[G-L ID],Table1[ManagerCode],-99)</f>
        <v>298</v>
      </c>
      <c r="T7055"/>
    </row>
    <row r="7056" spans="1:20" x14ac:dyDescent="0.25">
      <c r="A7056">
        <v>20180531</v>
      </c>
      <c r="B7056">
        <v>2018</v>
      </c>
      <c r="C7056">
        <v>5</v>
      </c>
      <c r="D7056">
        <v>1</v>
      </c>
      <c r="E7056">
        <v>14670</v>
      </c>
      <c r="F7056">
        <v>69483.179999999993</v>
      </c>
      <c r="G7056">
        <v>0</v>
      </c>
      <c r="H7056">
        <v>0</v>
      </c>
      <c r="I7056">
        <v>0</v>
      </c>
      <c r="J7056">
        <v>0</v>
      </c>
      <c r="K7056">
        <v>0</v>
      </c>
      <c r="L7056">
        <v>29643907</v>
      </c>
      <c r="M7056">
        <v>29643907</v>
      </c>
      <c r="N7056">
        <v>8595657</v>
      </c>
      <c r="O7056">
        <v>8595657</v>
      </c>
      <c r="P7056">
        <v>29500000</v>
      </c>
      <c r="Q7056">
        <v>29500000</v>
      </c>
      <c r="R7056" s="14">
        <f>_xlfn.XLOOKUP(Table2[[#This Row],[LoanID]],Table1[G-L ID],Table1[ManagerCode],-99)</f>
        <v>220</v>
      </c>
      <c r="T7056"/>
    </row>
    <row r="7057" spans="1:20" x14ac:dyDescent="0.25">
      <c r="A7057">
        <v>20180531</v>
      </c>
      <c r="B7057">
        <v>2018</v>
      </c>
      <c r="C7057">
        <v>5</v>
      </c>
      <c r="D7057">
        <v>1</v>
      </c>
      <c r="E7057">
        <v>14680</v>
      </c>
      <c r="F7057">
        <v>42292.97</v>
      </c>
      <c r="G7057">
        <v>0</v>
      </c>
      <c r="H7057">
        <v>0</v>
      </c>
      <c r="I7057">
        <v>0</v>
      </c>
      <c r="J7057">
        <v>0</v>
      </c>
      <c r="K7057">
        <v>0</v>
      </c>
      <c r="L7057">
        <v>27094912</v>
      </c>
      <c r="M7057">
        <v>27094912</v>
      </c>
      <c r="N7057">
        <v>6844912</v>
      </c>
      <c r="O7057">
        <v>6844912</v>
      </c>
      <c r="P7057">
        <v>27000000</v>
      </c>
      <c r="Q7057">
        <v>27000000</v>
      </c>
      <c r="R7057" s="14">
        <f>_xlfn.XLOOKUP(Table2[[#This Row],[LoanID]],Table1[G-L ID],Table1[ManagerCode],-99)</f>
        <v>220</v>
      </c>
      <c r="T7057"/>
    </row>
    <row r="7058" spans="1:20" x14ac:dyDescent="0.25">
      <c r="A7058">
        <v>20180531</v>
      </c>
      <c r="B7058">
        <v>2018</v>
      </c>
      <c r="C7058">
        <v>5</v>
      </c>
      <c r="D7058">
        <v>1</v>
      </c>
      <c r="E7058">
        <v>14790</v>
      </c>
      <c r="F7058">
        <v>167806.53</v>
      </c>
      <c r="G7058">
        <v>0</v>
      </c>
      <c r="H7058">
        <v>0</v>
      </c>
      <c r="I7058">
        <v>0</v>
      </c>
      <c r="J7058">
        <v>-3000000</v>
      </c>
      <c r="K7058">
        <v>0</v>
      </c>
      <c r="L7058">
        <v>69200000</v>
      </c>
      <c r="M7058">
        <v>72200000</v>
      </c>
      <c r="N7058">
        <v>29200000</v>
      </c>
      <c r="O7058">
        <v>32200000</v>
      </c>
      <c r="P7058">
        <v>69200000</v>
      </c>
      <c r="Q7058">
        <v>72200000</v>
      </c>
      <c r="R7058" s="14">
        <f>_xlfn.XLOOKUP(Table2[[#This Row],[LoanID]],Table1[G-L ID],Table1[ManagerCode],-99)</f>
        <v>220</v>
      </c>
      <c r="T7058"/>
    </row>
    <row r="7059" spans="1:20" x14ac:dyDescent="0.25">
      <c r="A7059">
        <v>20180531</v>
      </c>
      <c r="B7059">
        <v>2018</v>
      </c>
      <c r="C7059">
        <v>5</v>
      </c>
      <c r="D7059">
        <v>1</v>
      </c>
      <c r="E7059">
        <v>14830</v>
      </c>
      <c r="F7059">
        <v>68031.539999999994</v>
      </c>
      <c r="G7059">
        <v>0</v>
      </c>
      <c r="H7059">
        <v>0</v>
      </c>
      <c r="I7059">
        <v>0</v>
      </c>
      <c r="J7059">
        <v>-368721</v>
      </c>
      <c r="K7059">
        <v>0</v>
      </c>
      <c r="L7059">
        <v>33256189</v>
      </c>
      <c r="M7059">
        <v>33256189</v>
      </c>
      <c r="N7059">
        <v>13302475.6</v>
      </c>
      <c r="O7059">
        <v>13302475.6</v>
      </c>
      <c r="P7059">
        <v>33256189</v>
      </c>
      <c r="Q7059">
        <v>33624910</v>
      </c>
      <c r="R7059" s="14">
        <f>_xlfn.XLOOKUP(Table2[[#This Row],[LoanID]],Table1[G-L ID],Table1[ManagerCode],-99)</f>
        <v>220</v>
      </c>
      <c r="T7059"/>
    </row>
    <row r="7060" spans="1:20" x14ac:dyDescent="0.25">
      <c r="A7060">
        <v>20180531</v>
      </c>
      <c r="B7060">
        <v>2018</v>
      </c>
      <c r="C7060">
        <v>5</v>
      </c>
      <c r="D7060">
        <v>1</v>
      </c>
      <c r="E7060">
        <v>14840</v>
      </c>
      <c r="F7060">
        <v>63164.3</v>
      </c>
      <c r="G7060">
        <v>0</v>
      </c>
      <c r="H7060">
        <v>0</v>
      </c>
      <c r="I7060">
        <v>0</v>
      </c>
      <c r="J7060">
        <v>0</v>
      </c>
      <c r="K7060">
        <v>0</v>
      </c>
      <c r="L7060">
        <v>30820000</v>
      </c>
      <c r="M7060">
        <v>30820000</v>
      </c>
      <c r="N7060">
        <v>12328000</v>
      </c>
      <c r="O7060">
        <v>12328000</v>
      </c>
      <c r="P7060">
        <v>30820000</v>
      </c>
      <c r="Q7060">
        <v>30820000</v>
      </c>
      <c r="R7060" s="14">
        <f>_xlfn.XLOOKUP(Table2[[#This Row],[LoanID]],Table1[G-L ID],Table1[ManagerCode],-99)</f>
        <v>220</v>
      </c>
      <c r="T7060"/>
    </row>
    <row r="7061" spans="1:20" x14ac:dyDescent="0.25">
      <c r="A7061">
        <v>20180531</v>
      </c>
      <c r="B7061">
        <v>2018</v>
      </c>
      <c r="C7061">
        <v>5</v>
      </c>
      <c r="D7061">
        <v>1</v>
      </c>
      <c r="E7061">
        <v>14850</v>
      </c>
      <c r="F7061">
        <v>290234.06</v>
      </c>
      <c r="G7061">
        <v>0</v>
      </c>
      <c r="H7061">
        <v>0</v>
      </c>
      <c r="I7061">
        <v>0</v>
      </c>
      <c r="J7061">
        <v>-343130.93</v>
      </c>
      <c r="K7061">
        <v>0</v>
      </c>
      <c r="L7061">
        <v>75450796</v>
      </c>
      <c r="M7061">
        <v>75450796</v>
      </c>
      <c r="N7061">
        <v>75450796</v>
      </c>
      <c r="O7061">
        <v>75450796</v>
      </c>
      <c r="P7061">
        <v>75450796</v>
      </c>
      <c r="Q7061">
        <v>75793926.930000007</v>
      </c>
      <c r="R7061" s="14">
        <f>_xlfn.XLOOKUP(Table2[[#This Row],[LoanID]],Table1[G-L ID],Table1[ManagerCode],-99)</f>
        <v>220</v>
      </c>
      <c r="T7061"/>
    </row>
    <row r="7062" spans="1:20" x14ac:dyDescent="0.25">
      <c r="A7062">
        <v>20180531</v>
      </c>
      <c r="B7062">
        <v>2018</v>
      </c>
      <c r="C7062">
        <v>5</v>
      </c>
      <c r="D7062">
        <v>1</v>
      </c>
      <c r="E7062">
        <v>14860</v>
      </c>
      <c r="F7062">
        <v>131958.69</v>
      </c>
      <c r="G7062">
        <v>0</v>
      </c>
      <c r="H7062">
        <v>487500</v>
      </c>
      <c r="I7062">
        <v>0</v>
      </c>
      <c r="J7062">
        <v>-64765000</v>
      </c>
      <c r="K7062">
        <v>38859000</v>
      </c>
      <c r="L7062">
        <v>0</v>
      </c>
      <c r="M7062">
        <v>64961983</v>
      </c>
      <c r="N7062">
        <v>0</v>
      </c>
      <c r="O7062">
        <v>26102983</v>
      </c>
      <c r="P7062">
        <v>0</v>
      </c>
      <c r="Q7062">
        <v>64765000</v>
      </c>
      <c r="R7062" s="14">
        <f>_xlfn.XLOOKUP(Table2[[#This Row],[LoanID]],Table1[G-L ID],Table1[ManagerCode],-99)</f>
        <v>220</v>
      </c>
      <c r="T7062"/>
    </row>
    <row r="7063" spans="1:20" x14ac:dyDescent="0.25">
      <c r="A7063">
        <v>20180531</v>
      </c>
      <c r="B7063">
        <v>2018</v>
      </c>
      <c r="C7063">
        <v>5</v>
      </c>
      <c r="D7063">
        <v>1</v>
      </c>
      <c r="E7063">
        <v>14880</v>
      </c>
      <c r="F7063">
        <v>0</v>
      </c>
      <c r="G7063">
        <v>0</v>
      </c>
      <c r="H7063">
        <v>0</v>
      </c>
      <c r="I7063">
        <v>0</v>
      </c>
      <c r="J7063">
        <v>0</v>
      </c>
      <c r="K7063">
        <v>0</v>
      </c>
      <c r="L7063">
        <v>16910309</v>
      </c>
      <c r="M7063">
        <v>16910309</v>
      </c>
      <c r="N7063">
        <v>16910309</v>
      </c>
      <c r="O7063">
        <v>16910309</v>
      </c>
      <c r="P7063">
        <v>16825000</v>
      </c>
      <c r="Q7063">
        <v>16825000</v>
      </c>
      <c r="R7063" s="14">
        <f>_xlfn.XLOOKUP(Table2[[#This Row],[LoanID]],Table1[G-L ID],Table1[ManagerCode],-99)</f>
        <v>220</v>
      </c>
      <c r="T7063"/>
    </row>
    <row r="7064" spans="1:20" x14ac:dyDescent="0.25">
      <c r="A7064">
        <v>20180531</v>
      </c>
      <c r="B7064">
        <v>2018</v>
      </c>
      <c r="C7064">
        <v>5</v>
      </c>
      <c r="D7064">
        <v>1</v>
      </c>
      <c r="E7064">
        <v>14950</v>
      </c>
      <c r="F7064">
        <v>201168.33</v>
      </c>
      <c r="G7064">
        <v>0</v>
      </c>
      <c r="H7064">
        <v>0</v>
      </c>
      <c r="I7064">
        <v>0</v>
      </c>
      <c r="J7064">
        <v>0</v>
      </c>
      <c r="K7064">
        <v>0</v>
      </c>
      <c r="L7064">
        <v>35000000</v>
      </c>
      <c r="M7064">
        <v>35000000</v>
      </c>
      <c r="N7064">
        <v>35000000</v>
      </c>
      <c r="O7064">
        <v>35000000</v>
      </c>
      <c r="P7064">
        <v>35000000</v>
      </c>
      <c r="Q7064">
        <v>35000000</v>
      </c>
      <c r="R7064" s="14">
        <f>_xlfn.XLOOKUP(Table2[[#This Row],[LoanID]],Table1[G-L ID],Table1[ManagerCode],-99)</f>
        <v>220</v>
      </c>
      <c r="T7064"/>
    </row>
    <row r="7065" spans="1:20" x14ac:dyDescent="0.25">
      <c r="A7065">
        <v>20180531</v>
      </c>
      <c r="B7065">
        <v>2018</v>
      </c>
      <c r="C7065">
        <v>5</v>
      </c>
      <c r="D7065">
        <v>1</v>
      </c>
      <c r="E7065">
        <v>14960</v>
      </c>
      <c r="F7065">
        <v>0</v>
      </c>
      <c r="G7065">
        <v>0</v>
      </c>
      <c r="H7065">
        <v>0</v>
      </c>
      <c r="I7065">
        <v>0</v>
      </c>
      <c r="J7065">
        <v>-122373.31</v>
      </c>
      <c r="K7065">
        <v>0</v>
      </c>
      <c r="L7065">
        <v>13155000</v>
      </c>
      <c r="M7065">
        <v>13277373.310000001</v>
      </c>
      <c r="N7065">
        <v>13155000</v>
      </c>
      <c r="O7065">
        <v>13277373.310000001</v>
      </c>
      <c r="P7065">
        <v>13155000</v>
      </c>
      <c r="Q7065">
        <v>13277373.310000001</v>
      </c>
      <c r="R7065" s="14">
        <f>_xlfn.XLOOKUP(Table2[[#This Row],[LoanID]],Table1[G-L ID],Table1[ManagerCode],-99)</f>
        <v>220</v>
      </c>
      <c r="T7065"/>
    </row>
    <row r="7066" spans="1:20" x14ac:dyDescent="0.25">
      <c r="A7066">
        <v>20180531</v>
      </c>
      <c r="B7066">
        <v>2018</v>
      </c>
      <c r="C7066">
        <v>5</v>
      </c>
      <c r="D7066">
        <v>1</v>
      </c>
      <c r="E7066">
        <v>15030</v>
      </c>
      <c r="F7066">
        <v>72990.73</v>
      </c>
      <c r="G7066">
        <v>0</v>
      </c>
      <c r="H7066">
        <v>0</v>
      </c>
      <c r="I7066">
        <v>0</v>
      </c>
      <c r="J7066">
        <v>-60370.83</v>
      </c>
      <c r="K7066">
        <v>0</v>
      </c>
      <c r="L7066">
        <v>37191328</v>
      </c>
      <c r="M7066">
        <v>37191328</v>
      </c>
      <c r="N7066">
        <v>13361991.220000001</v>
      </c>
      <c r="O7066">
        <v>13361991.220000001</v>
      </c>
      <c r="P7066">
        <v>37184988.700000003</v>
      </c>
      <c r="Q7066">
        <v>37245359.530000001</v>
      </c>
      <c r="R7066" s="14">
        <f>_xlfn.XLOOKUP(Table2[[#This Row],[LoanID]],Table1[G-L ID],Table1[ManagerCode],-99)</f>
        <v>220</v>
      </c>
      <c r="T7066"/>
    </row>
    <row r="7067" spans="1:20" x14ac:dyDescent="0.25">
      <c r="A7067">
        <v>20180531</v>
      </c>
      <c r="B7067">
        <v>2018</v>
      </c>
      <c r="C7067">
        <v>5</v>
      </c>
      <c r="D7067">
        <v>1</v>
      </c>
      <c r="E7067">
        <v>15540</v>
      </c>
      <c r="F7067">
        <v>259350</v>
      </c>
      <c r="G7067">
        <v>10679.38</v>
      </c>
      <c r="H7067">
        <v>0</v>
      </c>
      <c r="I7067">
        <v>-2187.5</v>
      </c>
      <c r="J7067">
        <v>0</v>
      </c>
      <c r="K7067">
        <v>0</v>
      </c>
      <c r="L7067">
        <v>52759350</v>
      </c>
      <c r="M7067">
        <v>52770029.380000003</v>
      </c>
      <c r="N7067">
        <v>52759350</v>
      </c>
      <c r="O7067">
        <v>52770029.380000003</v>
      </c>
      <c r="P7067">
        <v>52759350</v>
      </c>
      <c r="Q7067">
        <v>52770029.380000003</v>
      </c>
      <c r="R7067" s="14">
        <f>_xlfn.XLOOKUP(Table2[[#This Row],[LoanID]],Table1[G-L ID],Table1[ManagerCode],-99)</f>
        <v>212</v>
      </c>
      <c r="T7067"/>
    </row>
    <row r="7068" spans="1:20" x14ac:dyDescent="0.25">
      <c r="A7068">
        <v>20180531</v>
      </c>
      <c r="B7068">
        <v>2018</v>
      </c>
      <c r="C7068">
        <v>5</v>
      </c>
      <c r="D7068">
        <v>1</v>
      </c>
      <c r="E7068">
        <v>15580</v>
      </c>
      <c r="F7068">
        <v>112281.27</v>
      </c>
      <c r="G7068">
        <v>3654.13</v>
      </c>
      <c r="H7068">
        <v>0</v>
      </c>
      <c r="I7068">
        <v>0</v>
      </c>
      <c r="J7068">
        <v>0</v>
      </c>
      <c r="K7068">
        <v>11120.04</v>
      </c>
      <c r="L7068">
        <v>14678499.470000001</v>
      </c>
      <c r="M7068">
        <v>14671033.560000001</v>
      </c>
      <c r="N7068">
        <v>14678499.470000001</v>
      </c>
      <c r="O7068">
        <v>14671033.560000001</v>
      </c>
      <c r="P7068">
        <v>14678499.470000001</v>
      </c>
      <c r="Q7068">
        <v>14671033.560000001</v>
      </c>
      <c r="R7068" s="14">
        <f>_xlfn.XLOOKUP(Table2[[#This Row],[LoanID]],Table1[G-L ID],Table1[ManagerCode],-99)</f>
        <v>212</v>
      </c>
      <c r="T7068"/>
    </row>
    <row r="7069" spans="1:20" x14ac:dyDescent="0.25">
      <c r="A7069">
        <v>20180531</v>
      </c>
      <c r="B7069">
        <v>2018</v>
      </c>
      <c r="C7069">
        <v>5</v>
      </c>
      <c r="D7069">
        <v>1</v>
      </c>
      <c r="E7069">
        <v>15620</v>
      </c>
      <c r="F7069">
        <v>307320</v>
      </c>
      <c r="G7069">
        <v>13266.5</v>
      </c>
      <c r="H7069">
        <v>0</v>
      </c>
      <c r="I7069">
        <v>-3250</v>
      </c>
      <c r="J7069">
        <v>0</v>
      </c>
      <c r="K7069">
        <v>0</v>
      </c>
      <c r="L7069">
        <v>78307320</v>
      </c>
      <c r="M7069">
        <v>78320586.5</v>
      </c>
      <c r="N7069">
        <v>78307320</v>
      </c>
      <c r="O7069">
        <v>78320586.5</v>
      </c>
      <c r="P7069">
        <v>78307320</v>
      </c>
      <c r="Q7069">
        <v>78320586.5</v>
      </c>
      <c r="R7069" s="14">
        <f>_xlfn.XLOOKUP(Table2[[#This Row],[LoanID]],Table1[G-L ID],Table1[ManagerCode],-99)</f>
        <v>212</v>
      </c>
      <c r="T7069"/>
    </row>
    <row r="7070" spans="1:20" x14ac:dyDescent="0.25">
      <c r="A7070">
        <v>20180630</v>
      </c>
      <c r="B7070">
        <v>2018</v>
      </c>
      <c r="C7070">
        <v>6</v>
      </c>
      <c r="D7070">
        <v>1</v>
      </c>
      <c r="E7070">
        <v>10010</v>
      </c>
      <c r="F7070">
        <v>210390.66</v>
      </c>
      <c r="G7070">
        <v>0</v>
      </c>
      <c r="H7070">
        <v>0</v>
      </c>
      <c r="I7070">
        <v>0</v>
      </c>
      <c r="J7070">
        <v>28663.87</v>
      </c>
      <c r="K7070">
        <v>0</v>
      </c>
      <c r="L7070">
        <v>21954373.870000001</v>
      </c>
      <c r="M7070">
        <v>21925710</v>
      </c>
      <c r="N7070">
        <v>21954373.870000001</v>
      </c>
      <c r="O7070">
        <v>21925710</v>
      </c>
      <c r="P7070">
        <v>21954373.870000001</v>
      </c>
      <c r="Q7070">
        <v>21925710</v>
      </c>
      <c r="R7070" s="14">
        <f>_xlfn.XLOOKUP(Table2[[#This Row],[LoanID]],Table1[G-L ID],Table1[ManagerCode],-99)</f>
        <v>119</v>
      </c>
      <c r="T7070"/>
    </row>
    <row r="7071" spans="1:20" x14ac:dyDescent="0.25">
      <c r="A7071">
        <v>20180630</v>
      </c>
      <c r="B7071">
        <v>2018</v>
      </c>
      <c r="C7071">
        <v>6</v>
      </c>
      <c r="D7071">
        <v>1</v>
      </c>
      <c r="E7071">
        <v>10030</v>
      </c>
      <c r="F7071">
        <v>84468.79</v>
      </c>
      <c r="G7071">
        <v>0</v>
      </c>
      <c r="H7071">
        <v>0</v>
      </c>
      <c r="I7071">
        <v>0</v>
      </c>
      <c r="J7071">
        <v>-83393.81</v>
      </c>
      <c r="K7071">
        <v>0</v>
      </c>
      <c r="L7071">
        <v>9530403.3699999992</v>
      </c>
      <c r="M7071">
        <v>9613797.1799999997</v>
      </c>
      <c r="N7071">
        <v>9530403.3699999992</v>
      </c>
      <c r="O7071">
        <v>9613797.1799999997</v>
      </c>
      <c r="P7071">
        <v>9530403.3699999992</v>
      </c>
      <c r="Q7071">
        <v>9613797.1799999997</v>
      </c>
      <c r="R7071" s="14">
        <f>_xlfn.XLOOKUP(Table2[[#This Row],[LoanID]],Table1[G-L ID],Table1[ManagerCode],-99)</f>
        <v>119</v>
      </c>
      <c r="T7071"/>
    </row>
    <row r="7072" spans="1:20" x14ac:dyDescent="0.25">
      <c r="A7072">
        <v>20180630</v>
      </c>
      <c r="B7072">
        <v>2018</v>
      </c>
      <c r="C7072">
        <v>6</v>
      </c>
      <c r="D7072">
        <v>1</v>
      </c>
      <c r="E7072">
        <v>10050</v>
      </c>
      <c r="F7072">
        <v>153981.01999999999</v>
      </c>
      <c r="G7072">
        <v>0</v>
      </c>
      <c r="H7072">
        <v>0</v>
      </c>
      <c r="I7072">
        <v>-69.44</v>
      </c>
      <c r="J7072">
        <v>0</v>
      </c>
      <c r="K7072">
        <v>0</v>
      </c>
      <c r="L7072">
        <v>36207995</v>
      </c>
      <c r="M7072">
        <v>36088804</v>
      </c>
      <c r="N7072">
        <v>36207995</v>
      </c>
      <c r="O7072">
        <v>36088804</v>
      </c>
      <c r="P7072">
        <v>33333334</v>
      </c>
      <c r="Q7072">
        <v>33333334</v>
      </c>
      <c r="R7072" s="14">
        <f>_xlfn.XLOOKUP(Table2[[#This Row],[LoanID]],Table1[G-L ID],Table1[ManagerCode],-99)</f>
        <v>103</v>
      </c>
      <c r="T7072"/>
    </row>
    <row r="7073" spans="1:20" x14ac:dyDescent="0.25">
      <c r="A7073">
        <v>20180630</v>
      </c>
      <c r="B7073">
        <v>2018</v>
      </c>
      <c r="C7073">
        <v>6</v>
      </c>
      <c r="D7073">
        <v>1</v>
      </c>
      <c r="E7073">
        <v>10070</v>
      </c>
      <c r="F7073">
        <v>66941.06</v>
      </c>
      <c r="G7073">
        <v>0</v>
      </c>
      <c r="H7073">
        <v>0</v>
      </c>
      <c r="I7073">
        <v>0</v>
      </c>
      <c r="J7073">
        <v>0</v>
      </c>
      <c r="K7073">
        <v>0</v>
      </c>
      <c r="L7073">
        <v>5875000</v>
      </c>
      <c r="M7073">
        <v>5875000</v>
      </c>
      <c r="N7073">
        <v>5875000</v>
      </c>
      <c r="O7073">
        <v>5875000</v>
      </c>
      <c r="P7073">
        <v>5875000</v>
      </c>
      <c r="Q7073">
        <v>5875000</v>
      </c>
      <c r="R7073" s="14">
        <f>_xlfn.XLOOKUP(Table2[[#This Row],[LoanID]],Table1[G-L ID],Table1[ManagerCode],-99)</f>
        <v>119</v>
      </c>
      <c r="T7073"/>
    </row>
    <row r="7074" spans="1:20" x14ac:dyDescent="0.25">
      <c r="A7074">
        <v>20180630</v>
      </c>
      <c r="B7074">
        <v>2018</v>
      </c>
      <c r="C7074">
        <v>6</v>
      </c>
      <c r="D7074">
        <v>1</v>
      </c>
      <c r="E7074">
        <v>10220</v>
      </c>
      <c r="F7074">
        <v>1101388.8899999999</v>
      </c>
      <c r="G7074">
        <v>0</v>
      </c>
      <c r="H7074">
        <v>0</v>
      </c>
      <c r="I7074">
        <v>0</v>
      </c>
      <c r="J7074">
        <v>0</v>
      </c>
      <c r="K7074">
        <v>0</v>
      </c>
      <c r="L7074">
        <v>110188660</v>
      </c>
      <c r="M7074">
        <v>109734846</v>
      </c>
      <c r="N7074">
        <v>110188660</v>
      </c>
      <c r="O7074">
        <v>109734846</v>
      </c>
      <c r="P7074">
        <v>100000000</v>
      </c>
      <c r="Q7074">
        <v>100000000</v>
      </c>
      <c r="R7074" s="14">
        <f>_xlfn.XLOOKUP(Table2[[#This Row],[LoanID]],Table1[G-L ID],Table1[ManagerCode],-99)</f>
        <v>103</v>
      </c>
      <c r="T7074"/>
    </row>
    <row r="7075" spans="1:20" x14ac:dyDescent="0.25">
      <c r="A7075">
        <v>20180630</v>
      </c>
      <c r="B7075">
        <v>2018</v>
      </c>
      <c r="C7075">
        <v>6</v>
      </c>
      <c r="D7075">
        <v>1</v>
      </c>
      <c r="E7075">
        <v>10250</v>
      </c>
      <c r="F7075">
        <v>56829.03</v>
      </c>
      <c r="G7075">
        <v>0</v>
      </c>
      <c r="H7075">
        <v>0</v>
      </c>
      <c r="I7075">
        <v>0</v>
      </c>
      <c r="J7075">
        <v>0</v>
      </c>
      <c r="K7075">
        <v>0</v>
      </c>
      <c r="L7075">
        <v>5000000</v>
      </c>
      <c r="M7075">
        <v>5000000</v>
      </c>
      <c r="N7075">
        <v>5000000</v>
      </c>
      <c r="O7075">
        <v>5000000</v>
      </c>
      <c r="P7075">
        <v>5000000</v>
      </c>
      <c r="Q7075">
        <v>5000000</v>
      </c>
      <c r="R7075" s="14">
        <f>_xlfn.XLOOKUP(Table2[[#This Row],[LoanID]],Table1[G-L ID],Table1[ManagerCode],-99)</f>
        <v>119</v>
      </c>
      <c r="T7075"/>
    </row>
    <row r="7076" spans="1:20" x14ac:dyDescent="0.25">
      <c r="A7076">
        <v>20180630</v>
      </c>
      <c r="B7076">
        <v>2018</v>
      </c>
      <c r="C7076">
        <v>6</v>
      </c>
      <c r="D7076">
        <v>1</v>
      </c>
      <c r="E7076">
        <v>10270</v>
      </c>
      <c r="F7076">
        <v>50296.75</v>
      </c>
      <c r="G7076">
        <v>0</v>
      </c>
      <c r="H7076">
        <v>0</v>
      </c>
      <c r="I7076">
        <v>0</v>
      </c>
      <c r="J7076">
        <v>0</v>
      </c>
      <c r="K7076">
        <v>0</v>
      </c>
      <c r="L7076">
        <v>4500000</v>
      </c>
      <c r="M7076">
        <v>4500000</v>
      </c>
      <c r="N7076">
        <v>4500000</v>
      </c>
      <c r="O7076">
        <v>4500000</v>
      </c>
      <c r="P7076">
        <v>4500000</v>
      </c>
      <c r="Q7076">
        <v>4500000</v>
      </c>
      <c r="R7076" s="14">
        <f>_xlfn.XLOOKUP(Table2[[#This Row],[LoanID]],Table1[G-L ID],Table1[ManagerCode],-99)</f>
        <v>119</v>
      </c>
      <c r="T7076"/>
    </row>
    <row r="7077" spans="1:20" x14ac:dyDescent="0.25">
      <c r="A7077">
        <v>20180630</v>
      </c>
      <c r="B7077">
        <v>2018</v>
      </c>
      <c r="C7077">
        <v>6</v>
      </c>
      <c r="D7077">
        <v>1</v>
      </c>
      <c r="E7077">
        <v>10330</v>
      </c>
      <c r="F7077">
        <v>85401.77</v>
      </c>
      <c r="G7077">
        <v>0</v>
      </c>
      <c r="H7077">
        <v>0</v>
      </c>
      <c r="I7077">
        <v>0</v>
      </c>
      <c r="J7077">
        <v>0</v>
      </c>
      <c r="K7077">
        <v>0</v>
      </c>
      <c r="L7077">
        <v>8652759.6999999993</v>
      </c>
      <c r="M7077">
        <v>8652759.6999999993</v>
      </c>
      <c r="N7077">
        <v>8652759.6999999993</v>
      </c>
      <c r="O7077">
        <v>8652759.6999999993</v>
      </c>
      <c r="P7077">
        <v>8652759.6999999993</v>
      </c>
      <c r="Q7077">
        <v>8652759.6999999993</v>
      </c>
      <c r="R7077" s="14">
        <f>_xlfn.XLOOKUP(Table2[[#This Row],[LoanID]],Table1[G-L ID],Table1[ManagerCode],-99)</f>
        <v>119</v>
      </c>
      <c r="T7077"/>
    </row>
    <row r="7078" spans="1:20" x14ac:dyDescent="0.25">
      <c r="A7078">
        <v>20180630</v>
      </c>
      <c r="B7078">
        <v>2018</v>
      </c>
      <c r="C7078">
        <v>6</v>
      </c>
      <c r="D7078">
        <v>1</v>
      </c>
      <c r="E7078">
        <v>10360</v>
      </c>
      <c r="F7078">
        <v>57858.96</v>
      </c>
      <c r="G7078">
        <v>0</v>
      </c>
      <c r="H7078">
        <v>0</v>
      </c>
      <c r="I7078">
        <v>0</v>
      </c>
      <c r="J7078">
        <v>0</v>
      </c>
      <c r="K7078">
        <v>0</v>
      </c>
      <c r="L7078">
        <v>5909000</v>
      </c>
      <c r="M7078">
        <v>5909000</v>
      </c>
      <c r="N7078">
        <v>5909000</v>
      </c>
      <c r="O7078">
        <v>5909000</v>
      </c>
      <c r="P7078">
        <v>5909000</v>
      </c>
      <c r="Q7078">
        <v>5909000</v>
      </c>
      <c r="R7078" s="14">
        <f>_xlfn.XLOOKUP(Table2[[#This Row],[LoanID]],Table1[G-L ID],Table1[ManagerCode],-99)</f>
        <v>183</v>
      </c>
      <c r="T7078"/>
    </row>
    <row r="7079" spans="1:20" x14ac:dyDescent="0.25">
      <c r="A7079">
        <v>20180630</v>
      </c>
      <c r="B7079">
        <v>2018</v>
      </c>
      <c r="C7079">
        <v>6</v>
      </c>
      <c r="D7079">
        <v>1</v>
      </c>
      <c r="E7079">
        <v>10480</v>
      </c>
      <c r="F7079">
        <v>160897.60000000001</v>
      </c>
      <c r="G7079">
        <v>0</v>
      </c>
      <c r="H7079">
        <v>0</v>
      </c>
      <c r="I7079">
        <v>0</v>
      </c>
      <c r="J7079">
        <v>0</v>
      </c>
      <c r="K7079">
        <v>0</v>
      </c>
      <c r="L7079">
        <v>18123440.300000001</v>
      </c>
      <c r="M7079">
        <v>18123440.300000001</v>
      </c>
      <c r="N7079">
        <v>18123440.300000001</v>
      </c>
      <c r="O7079">
        <v>18123440.300000001</v>
      </c>
      <c r="P7079">
        <v>18123440.300000001</v>
      </c>
      <c r="Q7079">
        <v>18123440.300000001</v>
      </c>
      <c r="R7079" s="14">
        <f>_xlfn.XLOOKUP(Table2[[#This Row],[LoanID]],Table1[G-L ID],Table1[ManagerCode],-99)</f>
        <v>119</v>
      </c>
      <c r="T7079"/>
    </row>
    <row r="7080" spans="1:20" x14ac:dyDescent="0.25">
      <c r="A7080">
        <v>20180630</v>
      </c>
      <c r="B7080">
        <v>2018</v>
      </c>
      <c r="C7080">
        <v>6</v>
      </c>
      <c r="D7080">
        <v>1</v>
      </c>
      <c r="E7080">
        <v>10620</v>
      </c>
      <c r="F7080">
        <v>129935.13</v>
      </c>
      <c r="G7080">
        <v>0</v>
      </c>
      <c r="H7080">
        <v>0</v>
      </c>
      <c r="I7080">
        <v>0</v>
      </c>
      <c r="J7080">
        <v>-42240.9</v>
      </c>
      <c r="K7080">
        <v>0</v>
      </c>
      <c r="L7080">
        <v>12023541.66</v>
      </c>
      <c r="M7080">
        <v>12065782.560000001</v>
      </c>
      <c r="N7080">
        <v>12023541.66</v>
      </c>
      <c r="O7080">
        <v>12065782.560000001</v>
      </c>
      <c r="P7080">
        <v>12023541.66</v>
      </c>
      <c r="Q7080">
        <v>12065782.560000001</v>
      </c>
      <c r="R7080" s="14">
        <f>_xlfn.XLOOKUP(Table2[[#This Row],[LoanID]],Table1[G-L ID],Table1[ManagerCode],-99)</f>
        <v>119</v>
      </c>
      <c r="T7080"/>
    </row>
    <row r="7081" spans="1:20" x14ac:dyDescent="0.25">
      <c r="A7081">
        <v>20180630</v>
      </c>
      <c r="B7081">
        <v>2018</v>
      </c>
      <c r="C7081">
        <v>6</v>
      </c>
      <c r="D7081">
        <v>1</v>
      </c>
      <c r="E7081">
        <v>10730</v>
      </c>
      <c r="F7081">
        <v>111090.36</v>
      </c>
      <c r="G7081">
        <v>0</v>
      </c>
      <c r="H7081">
        <v>0</v>
      </c>
      <c r="I7081">
        <v>0</v>
      </c>
      <c r="J7081">
        <v>0</v>
      </c>
      <c r="K7081">
        <v>0</v>
      </c>
      <c r="L7081">
        <v>9500000</v>
      </c>
      <c r="M7081">
        <v>9500000</v>
      </c>
      <c r="N7081">
        <v>9500000</v>
      </c>
      <c r="O7081">
        <v>9500000</v>
      </c>
      <c r="P7081">
        <v>9500000</v>
      </c>
      <c r="Q7081">
        <v>9500000</v>
      </c>
      <c r="R7081" s="14">
        <f>_xlfn.XLOOKUP(Table2[[#This Row],[LoanID]],Table1[G-L ID],Table1[ManagerCode],-99)</f>
        <v>119</v>
      </c>
      <c r="T7081"/>
    </row>
    <row r="7082" spans="1:20" x14ac:dyDescent="0.25">
      <c r="A7082">
        <v>20180630</v>
      </c>
      <c r="B7082">
        <v>2018</v>
      </c>
      <c r="C7082">
        <v>6</v>
      </c>
      <c r="D7082">
        <v>1</v>
      </c>
      <c r="E7082">
        <v>10750</v>
      </c>
      <c r="F7082">
        <v>212545.3</v>
      </c>
      <c r="G7082">
        <v>0</v>
      </c>
      <c r="H7082">
        <v>0</v>
      </c>
      <c r="I7082">
        <v>0</v>
      </c>
      <c r="J7082">
        <v>0</v>
      </c>
      <c r="K7082">
        <v>0</v>
      </c>
      <c r="L7082">
        <v>8757259.9600000009</v>
      </c>
      <c r="M7082">
        <v>8757259.9600000009</v>
      </c>
      <c r="N7082">
        <v>8757259.9600000009</v>
      </c>
      <c r="O7082">
        <v>8757259.9600000009</v>
      </c>
      <c r="P7082">
        <v>8757259.9600000009</v>
      </c>
      <c r="Q7082">
        <v>8757259.9600000009</v>
      </c>
      <c r="R7082" s="14">
        <f>_xlfn.XLOOKUP(Table2[[#This Row],[LoanID]],Table1[G-L ID],Table1[ManagerCode],-99)</f>
        <v>119</v>
      </c>
      <c r="T7082"/>
    </row>
    <row r="7083" spans="1:20" x14ac:dyDescent="0.25">
      <c r="A7083">
        <v>20180630</v>
      </c>
      <c r="B7083">
        <v>2018</v>
      </c>
      <c r="C7083">
        <v>6</v>
      </c>
      <c r="D7083">
        <v>1</v>
      </c>
      <c r="E7083">
        <v>10790</v>
      </c>
      <c r="F7083">
        <v>22331.14</v>
      </c>
      <c r="G7083">
        <v>0</v>
      </c>
      <c r="H7083">
        <v>0</v>
      </c>
      <c r="I7083">
        <v>0</v>
      </c>
      <c r="J7083">
        <v>0</v>
      </c>
      <c r="K7083">
        <v>47137.11</v>
      </c>
      <c r="L7083">
        <v>4919822</v>
      </c>
      <c r="M7083">
        <v>4858051</v>
      </c>
      <c r="N7083">
        <v>4919822</v>
      </c>
      <c r="O7083">
        <v>4858051</v>
      </c>
      <c r="P7083">
        <v>4768214.78</v>
      </c>
      <c r="Q7083">
        <v>4721077.67</v>
      </c>
      <c r="R7083" s="14">
        <f>_xlfn.XLOOKUP(Table2[[#This Row],[LoanID]],Table1[G-L ID],Table1[ManagerCode],-99)</f>
        <v>103</v>
      </c>
      <c r="T7083"/>
    </row>
    <row r="7084" spans="1:20" x14ac:dyDescent="0.25">
      <c r="A7084">
        <v>20180630</v>
      </c>
      <c r="B7084">
        <v>2018</v>
      </c>
      <c r="C7084">
        <v>6</v>
      </c>
      <c r="D7084">
        <v>1</v>
      </c>
      <c r="E7084">
        <v>10810</v>
      </c>
      <c r="F7084">
        <v>96235.97</v>
      </c>
      <c r="G7084">
        <v>0</v>
      </c>
      <c r="H7084">
        <v>0</v>
      </c>
      <c r="I7084">
        <v>0</v>
      </c>
      <c r="J7084">
        <v>0</v>
      </c>
      <c r="K7084">
        <v>0</v>
      </c>
      <c r="L7084">
        <v>7846080.3499999996</v>
      </c>
      <c r="M7084">
        <v>7846080.3499999996</v>
      </c>
      <c r="N7084">
        <v>7846080.3499999996</v>
      </c>
      <c r="O7084">
        <v>7846080.3499999996</v>
      </c>
      <c r="P7084">
        <v>7846080.3499999996</v>
      </c>
      <c r="Q7084">
        <v>7846080.3499999996</v>
      </c>
      <c r="R7084" s="14">
        <f>_xlfn.XLOOKUP(Table2[[#This Row],[LoanID]],Table1[G-L ID],Table1[ManagerCode],-99)</f>
        <v>119</v>
      </c>
      <c r="T7084"/>
    </row>
    <row r="7085" spans="1:20" x14ac:dyDescent="0.25">
      <c r="A7085">
        <v>20180630</v>
      </c>
      <c r="B7085">
        <v>2018</v>
      </c>
      <c r="C7085">
        <v>6</v>
      </c>
      <c r="D7085">
        <v>1</v>
      </c>
      <c r="E7085">
        <v>10820</v>
      </c>
      <c r="F7085">
        <v>201026.88</v>
      </c>
      <c r="G7085">
        <v>0</v>
      </c>
      <c r="H7085">
        <v>0</v>
      </c>
      <c r="I7085">
        <v>0</v>
      </c>
      <c r="J7085">
        <v>-286998.75</v>
      </c>
      <c r="K7085">
        <v>0</v>
      </c>
      <c r="L7085">
        <v>24388584.010000002</v>
      </c>
      <c r="M7085">
        <v>24675582.760000002</v>
      </c>
      <c r="N7085">
        <v>24388584.010000002</v>
      </c>
      <c r="O7085">
        <v>24675582.760000002</v>
      </c>
      <c r="P7085">
        <v>24388584.010000002</v>
      </c>
      <c r="Q7085">
        <v>24675582.760000002</v>
      </c>
      <c r="R7085" s="14">
        <f>_xlfn.XLOOKUP(Table2[[#This Row],[LoanID]],Table1[G-L ID],Table1[ManagerCode],-99)</f>
        <v>220</v>
      </c>
      <c r="T7085"/>
    </row>
    <row r="7086" spans="1:20" x14ac:dyDescent="0.25">
      <c r="A7086">
        <v>20180630</v>
      </c>
      <c r="B7086">
        <v>2018</v>
      </c>
      <c r="C7086">
        <v>6</v>
      </c>
      <c r="D7086">
        <v>1</v>
      </c>
      <c r="E7086">
        <v>10830</v>
      </c>
      <c r="F7086">
        <v>63857.77</v>
      </c>
      <c r="G7086">
        <v>0</v>
      </c>
      <c r="H7086">
        <v>0</v>
      </c>
      <c r="I7086">
        <v>0</v>
      </c>
      <c r="J7086">
        <v>0</v>
      </c>
      <c r="K7086">
        <v>0</v>
      </c>
      <c r="L7086">
        <v>7806043.1399999997</v>
      </c>
      <c r="M7086">
        <v>7806043.1399999997</v>
      </c>
      <c r="N7086">
        <v>7806043.1399999997</v>
      </c>
      <c r="O7086">
        <v>7806043.1399999997</v>
      </c>
      <c r="P7086">
        <v>7806043.1399999997</v>
      </c>
      <c r="Q7086">
        <v>7806043.1399999997</v>
      </c>
      <c r="R7086" s="14">
        <f>_xlfn.XLOOKUP(Table2[[#This Row],[LoanID]],Table1[G-L ID],Table1[ManagerCode],-99)</f>
        <v>220</v>
      </c>
      <c r="T7086"/>
    </row>
    <row r="7087" spans="1:20" x14ac:dyDescent="0.25">
      <c r="A7087">
        <v>20180630</v>
      </c>
      <c r="B7087">
        <v>2018</v>
      </c>
      <c r="C7087">
        <v>6</v>
      </c>
      <c r="D7087">
        <v>1</v>
      </c>
      <c r="E7087">
        <v>10840</v>
      </c>
      <c r="F7087">
        <v>103968.23</v>
      </c>
      <c r="G7087">
        <v>0</v>
      </c>
      <c r="H7087">
        <v>0</v>
      </c>
      <c r="I7087">
        <v>0</v>
      </c>
      <c r="J7087">
        <v>0</v>
      </c>
      <c r="K7087">
        <v>0</v>
      </c>
      <c r="L7087">
        <v>12709189</v>
      </c>
      <c r="M7087">
        <v>12709189</v>
      </c>
      <c r="N7087">
        <v>12709189</v>
      </c>
      <c r="O7087">
        <v>12709189</v>
      </c>
      <c r="P7087">
        <v>12709189</v>
      </c>
      <c r="Q7087">
        <v>12709189</v>
      </c>
      <c r="R7087" s="14">
        <f>_xlfn.XLOOKUP(Table2[[#This Row],[LoanID]],Table1[G-L ID],Table1[ManagerCode],-99)</f>
        <v>220</v>
      </c>
      <c r="T7087"/>
    </row>
    <row r="7088" spans="1:20" x14ac:dyDescent="0.25">
      <c r="A7088">
        <v>20180630</v>
      </c>
      <c r="B7088">
        <v>2018</v>
      </c>
      <c r="C7088">
        <v>6</v>
      </c>
      <c r="D7088">
        <v>1</v>
      </c>
      <c r="E7088">
        <v>10850</v>
      </c>
      <c r="F7088">
        <v>110534.78</v>
      </c>
      <c r="G7088">
        <v>0</v>
      </c>
      <c r="H7088">
        <v>0</v>
      </c>
      <c r="I7088">
        <v>0</v>
      </c>
      <c r="J7088">
        <v>0</v>
      </c>
      <c r="K7088">
        <v>0</v>
      </c>
      <c r="L7088">
        <v>13511892</v>
      </c>
      <c r="M7088">
        <v>13511892</v>
      </c>
      <c r="N7088">
        <v>13511892</v>
      </c>
      <c r="O7088">
        <v>13511892</v>
      </c>
      <c r="P7088">
        <v>13511892</v>
      </c>
      <c r="Q7088">
        <v>13511892</v>
      </c>
      <c r="R7088" s="14">
        <f>_xlfn.XLOOKUP(Table2[[#This Row],[LoanID]],Table1[G-L ID],Table1[ManagerCode],-99)</f>
        <v>220</v>
      </c>
      <c r="T7088"/>
    </row>
    <row r="7089" spans="1:20" x14ac:dyDescent="0.25">
      <c r="A7089">
        <v>20180630</v>
      </c>
      <c r="B7089">
        <v>2018</v>
      </c>
      <c r="C7089">
        <v>6</v>
      </c>
      <c r="D7089">
        <v>1</v>
      </c>
      <c r="E7089">
        <v>10910</v>
      </c>
      <c r="F7089">
        <v>71480.77</v>
      </c>
      <c r="G7089">
        <v>0</v>
      </c>
      <c r="H7089">
        <v>56250</v>
      </c>
      <c r="I7089">
        <v>0</v>
      </c>
      <c r="J7089">
        <v>0</v>
      </c>
      <c r="K7089">
        <v>0</v>
      </c>
      <c r="L7089">
        <v>9762500</v>
      </c>
      <c r="M7089">
        <v>9762500</v>
      </c>
      <c r="N7089">
        <v>9762500</v>
      </c>
      <c r="O7089">
        <v>9762500</v>
      </c>
      <c r="P7089">
        <v>9762500</v>
      </c>
      <c r="Q7089">
        <v>9762500</v>
      </c>
      <c r="R7089" s="14">
        <f>_xlfn.XLOOKUP(Table2[[#This Row],[LoanID]],Table1[G-L ID],Table1[ManagerCode],-99)</f>
        <v>119</v>
      </c>
      <c r="T7089"/>
    </row>
    <row r="7090" spans="1:20" x14ac:dyDescent="0.25">
      <c r="A7090">
        <v>20180630</v>
      </c>
      <c r="B7090">
        <v>2018</v>
      </c>
      <c r="C7090">
        <v>6</v>
      </c>
      <c r="D7090">
        <v>1</v>
      </c>
      <c r="E7090">
        <v>10930</v>
      </c>
      <c r="F7090">
        <v>0</v>
      </c>
      <c r="G7090">
        <v>160742.07999999999</v>
      </c>
      <c r="H7090">
        <v>0</v>
      </c>
      <c r="I7090">
        <v>0</v>
      </c>
      <c r="J7090">
        <v>0</v>
      </c>
      <c r="K7090">
        <v>0</v>
      </c>
      <c r="L7090">
        <v>15043809.789999999</v>
      </c>
      <c r="M7090">
        <v>15204551.869999999</v>
      </c>
      <c r="N7090">
        <v>15043809.789999999</v>
      </c>
      <c r="O7090">
        <v>15204551.869999999</v>
      </c>
      <c r="P7090">
        <v>15043809.789999999</v>
      </c>
      <c r="Q7090">
        <v>15204551.869999999</v>
      </c>
      <c r="R7090" s="14">
        <f>_xlfn.XLOOKUP(Table2[[#This Row],[LoanID]],Table1[G-L ID],Table1[ManagerCode],-99)</f>
        <v>183</v>
      </c>
      <c r="T7090"/>
    </row>
    <row r="7091" spans="1:20" x14ac:dyDescent="0.25">
      <c r="A7091">
        <v>20180630</v>
      </c>
      <c r="B7091">
        <v>2018</v>
      </c>
      <c r="C7091">
        <v>6</v>
      </c>
      <c r="D7091">
        <v>1</v>
      </c>
      <c r="E7091">
        <v>10970</v>
      </c>
      <c r="F7091">
        <v>25659.51</v>
      </c>
      <c r="G7091">
        <v>28086.47</v>
      </c>
      <c r="H7091">
        <v>0</v>
      </c>
      <c r="I7091">
        <v>0</v>
      </c>
      <c r="J7091">
        <v>-25659.51</v>
      </c>
      <c r="K7091">
        <v>0</v>
      </c>
      <c r="L7091">
        <v>5175572.45</v>
      </c>
      <c r="M7091">
        <v>5229318.43</v>
      </c>
      <c r="N7091">
        <v>5175572.45</v>
      </c>
      <c r="O7091">
        <v>5229318.43</v>
      </c>
      <c r="P7091">
        <v>5175572.45</v>
      </c>
      <c r="Q7091">
        <v>5229318.43</v>
      </c>
      <c r="R7091" s="14">
        <f>_xlfn.XLOOKUP(Table2[[#This Row],[LoanID]],Table1[G-L ID],Table1[ManagerCode],-99)</f>
        <v>183</v>
      </c>
      <c r="T7091"/>
    </row>
    <row r="7092" spans="1:20" x14ac:dyDescent="0.25">
      <c r="A7092">
        <v>20180630</v>
      </c>
      <c r="B7092">
        <v>2018</v>
      </c>
      <c r="C7092">
        <v>6</v>
      </c>
      <c r="D7092">
        <v>1</v>
      </c>
      <c r="E7092">
        <v>11060</v>
      </c>
      <c r="F7092">
        <v>212911.12</v>
      </c>
      <c r="G7092">
        <v>0</v>
      </c>
      <c r="H7092">
        <v>0</v>
      </c>
      <c r="I7092">
        <v>0</v>
      </c>
      <c r="J7092">
        <v>0</v>
      </c>
      <c r="K7092">
        <v>0</v>
      </c>
      <c r="L7092">
        <v>22000000</v>
      </c>
      <c r="M7092">
        <v>22000000</v>
      </c>
      <c r="N7092">
        <v>22000000</v>
      </c>
      <c r="O7092">
        <v>22000000</v>
      </c>
      <c r="P7092">
        <v>22000000</v>
      </c>
      <c r="Q7092">
        <v>22000000</v>
      </c>
      <c r="R7092" s="14">
        <f>_xlfn.XLOOKUP(Table2[[#This Row],[LoanID]],Table1[G-L ID],Table1[ManagerCode],-99)</f>
        <v>119</v>
      </c>
      <c r="T7092"/>
    </row>
    <row r="7093" spans="1:20" x14ac:dyDescent="0.25">
      <c r="A7093">
        <v>20180630</v>
      </c>
      <c r="B7093">
        <v>2018</v>
      </c>
      <c r="C7093">
        <v>6</v>
      </c>
      <c r="D7093">
        <v>1</v>
      </c>
      <c r="E7093">
        <v>11080</v>
      </c>
      <c r="F7093">
        <v>379462.51</v>
      </c>
      <c r="G7093">
        <v>0</v>
      </c>
      <c r="H7093">
        <v>0</v>
      </c>
      <c r="I7093">
        <v>0</v>
      </c>
      <c r="J7093">
        <v>0</v>
      </c>
      <c r="K7093">
        <v>61919.27</v>
      </c>
      <c r="L7093">
        <v>38885303.439999998</v>
      </c>
      <c r="M7093">
        <v>38823384.170000002</v>
      </c>
      <c r="N7093">
        <v>38885303.439999998</v>
      </c>
      <c r="O7093">
        <v>38823384.170000002</v>
      </c>
      <c r="P7093">
        <v>38885303.439999998</v>
      </c>
      <c r="Q7093">
        <v>38823384.170000002</v>
      </c>
      <c r="R7093" s="14">
        <f>_xlfn.XLOOKUP(Table2[[#This Row],[LoanID]],Table1[G-L ID],Table1[ManagerCode],-99)</f>
        <v>119</v>
      </c>
      <c r="T7093"/>
    </row>
    <row r="7094" spans="1:20" x14ac:dyDescent="0.25">
      <c r="A7094">
        <v>20180630</v>
      </c>
      <c r="B7094">
        <v>2018</v>
      </c>
      <c r="C7094">
        <v>6</v>
      </c>
      <c r="D7094">
        <v>1</v>
      </c>
      <c r="E7094">
        <v>11090</v>
      </c>
      <c r="F7094">
        <v>95287.37</v>
      </c>
      <c r="G7094">
        <v>0</v>
      </c>
      <c r="H7094">
        <v>0</v>
      </c>
      <c r="I7094">
        <v>0</v>
      </c>
      <c r="J7094">
        <v>0</v>
      </c>
      <c r="K7094">
        <v>24000</v>
      </c>
      <c r="L7094">
        <v>10892000</v>
      </c>
      <c r="M7094">
        <v>10868000</v>
      </c>
      <c r="N7094">
        <v>10892000</v>
      </c>
      <c r="O7094">
        <v>10868000</v>
      </c>
      <c r="P7094">
        <v>10892000</v>
      </c>
      <c r="Q7094">
        <v>10868000</v>
      </c>
      <c r="R7094" s="14">
        <f>_xlfn.XLOOKUP(Table2[[#This Row],[LoanID]],Table1[G-L ID],Table1[ManagerCode],-99)</f>
        <v>119</v>
      </c>
      <c r="T7094"/>
    </row>
    <row r="7095" spans="1:20" x14ac:dyDescent="0.25">
      <c r="A7095">
        <v>20180630</v>
      </c>
      <c r="B7095">
        <v>2018</v>
      </c>
      <c r="C7095">
        <v>6</v>
      </c>
      <c r="D7095">
        <v>1</v>
      </c>
      <c r="E7095">
        <v>11150</v>
      </c>
      <c r="F7095">
        <v>115557.48</v>
      </c>
      <c r="G7095">
        <v>0</v>
      </c>
      <c r="H7095">
        <v>0</v>
      </c>
      <c r="I7095">
        <v>0</v>
      </c>
      <c r="J7095">
        <v>-217722.43</v>
      </c>
      <c r="K7095">
        <v>0</v>
      </c>
      <c r="L7095">
        <v>10457553.699999999</v>
      </c>
      <c r="M7095">
        <v>10675276.130000001</v>
      </c>
      <c r="N7095">
        <v>10457553.699999999</v>
      </c>
      <c r="O7095">
        <v>10675276.130000001</v>
      </c>
      <c r="P7095">
        <v>10457553.699999999</v>
      </c>
      <c r="Q7095">
        <v>10675276.130000001</v>
      </c>
      <c r="R7095" s="14">
        <f>_xlfn.XLOOKUP(Table2[[#This Row],[LoanID]],Table1[G-L ID],Table1[ManagerCode],-99)</f>
        <v>119</v>
      </c>
      <c r="T7095"/>
    </row>
    <row r="7096" spans="1:20" x14ac:dyDescent="0.25">
      <c r="A7096">
        <v>20180630</v>
      </c>
      <c r="B7096">
        <v>2018</v>
      </c>
      <c r="C7096">
        <v>6</v>
      </c>
      <c r="D7096">
        <v>1</v>
      </c>
      <c r="E7096">
        <v>11210</v>
      </c>
      <c r="F7096">
        <v>68096.67</v>
      </c>
      <c r="G7096">
        <v>0</v>
      </c>
      <c r="H7096">
        <v>0</v>
      </c>
      <c r="I7096">
        <v>0</v>
      </c>
      <c r="J7096">
        <v>-2000000</v>
      </c>
      <c r="K7096">
        <v>0</v>
      </c>
      <c r="L7096">
        <v>7500000</v>
      </c>
      <c r="M7096">
        <v>9500000</v>
      </c>
      <c r="N7096">
        <v>7500000</v>
      </c>
      <c r="O7096">
        <v>9500000</v>
      </c>
      <c r="P7096">
        <v>7500000</v>
      </c>
      <c r="Q7096">
        <v>9500000</v>
      </c>
      <c r="R7096" s="14">
        <f>_xlfn.XLOOKUP(Table2[[#This Row],[LoanID]],Table1[G-L ID],Table1[ManagerCode],-99)</f>
        <v>119</v>
      </c>
      <c r="T7096"/>
    </row>
    <row r="7097" spans="1:20" x14ac:dyDescent="0.25">
      <c r="A7097">
        <v>20180630</v>
      </c>
      <c r="B7097">
        <v>2018</v>
      </c>
      <c r="C7097">
        <v>6</v>
      </c>
      <c r="D7097">
        <v>1</v>
      </c>
      <c r="E7097">
        <v>11340</v>
      </c>
      <c r="F7097">
        <v>289507.86</v>
      </c>
      <c r="G7097">
        <v>0</v>
      </c>
      <c r="H7097">
        <v>0</v>
      </c>
      <c r="I7097">
        <v>0</v>
      </c>
      <c r="J7097">
        <v>0</v>
      </c>
      <c r="K7097">
        <v>68404.09</v>
      </c>
      <c r="L7097">
        <v>47548663</v>
      </c>
      <c r="M7097">
        <v>47480943</v>
      </c>
      <c r="N7097">
        <v>47548663</v>
      </c>
      <c r="O7097">
        <v>47480943</v>
      </c>
      <c r="P7097">
        <v>48028953.520000003</v>
      </c>
      <c r="Q7097">
        <v>47960549.43</v>
      </c>
      <c r="R7097" s="14">
        <f>_xlfn.XLOOKUP(Table2[[#This Row],[LoanID]],Table1[G-L ID],Table1[ManagerCode],-99)</f>
        <v>103</v>
      </c>
      <c r="T7097"/>
    </row>
    <row r="7098" spans="1:20" x14ac:dyDescent="0.25">
      <c r="A7098">
        <v>20180630</v>
      </c>
      <c r="B7098">
        <v>2018</v>
      </c>
      <c r="C7098">
        <v>6</v>
      </c>
      <c r="D7098">
        <v>1</v>
      </c>
      <c r="E7098">
        <v>11350</v>
      </c>
      <c r="F7098">
        <v>331527.78000000003</v>
      </c>
      <c r="G7098">
        <v>0</v>
      </c>
      <c r="H7098">
        <v>0</v>
      </c>
      <c r="I7098">
        <v>0</v>
      </c>
      <c r="J7098">
        <v>0</v>
      </c>
      <c r="K7098">
        <v>0</v>
      </c>
      <c r="L7098">
        <v>54449945</v>
      </c>
      <c r="M7098">
        <v>54449945</v>
      </c>
      <c r="N7098">
        <v>54449945</v>
      </c>
      <c r="O7098">
        <v>54449945</v>
      </c>
      <c r="P7098">
        <v>55000000</v>
      </c>
      <c r="Q7098">
        <v>55000000</v>
      </c>
      <c r="R7098" s="14">
        <f>_xlfn.XLOOKUP(Table2[[#This Row],[LoanID]],Table1[G-L ID],Table1[ManagerCode],-99)</f>
        <v>103</v>
      </c>
      <c r="T7098"/>
    </row>
    <row r="7099" spans="1:20" x14ac:dyDescent="0.25">
      <c r="A7099">
        <v>20180630</v>
      </c>
      <c r="B7099">
        <v>2018</v>
      </c>
      <c r="C7099">
        <v>6</v>
      </c>
      <c r="D7099">
        <v>1</v>
      </c>
      <c r="E7099">
        <v>11360</v>
      </c>
      <c r="F7099">
        <v>73775.81</v>
      </c>
      <c r="G7099">
        <v>0</v>
      </c>
      <c r="H7099">
        <v>0</v>
      </c>
      <c r="I7099">
        <v>0</v>
      </c>
      <c r="J7099">
        <v>0</v>
      </c>
      <c r="K7099">
        <v>0</v>
      </c>
      <c r="L7099">
        <v>9355036</v>
      </c>
      <c r="M7099">
        <v>9355036</v>
      </c>
      <c r="N7099">
        <v>9355036</v>
      </c>
      <c r="O7099">
        <v>9355036</v>
      </c>
      <c r="P7099">
        <v>9355036</v>
      </c>
      <c r="Q7099">
        <v>9355036</v>
      </c>
      <c r="R7099" s="14">
        <f>_xlfn.XLOOKUP(Table2[[#This Row],[LoanID]],Table1[G-L ID],Table1[ManagerCode],-99)</f>
        <v>119</v>
      </c>
      <c r="T7099"/>
    </row>
    <row r="7100" spans="1:20" x14ac:dyDescent="0.25">
      <c r="A7100">
        <v>20180630</v>
      </c>
      <c r="B7100">
        <v>2018</v>
      </c>
      <c r="C7100">
        <v>6</v>
      </c>
      <c r="D7100">
        <v>1</v>
      </c>
      <c r="E7100">
        <v>11410</v>
      </c>
      <c r="F7100">
        <v>124196.33</v>
      </c>
      <c r="G7100">
        <v>0</v>
      </c>
      <c r="H7100">
        <v>0</v>
      </c>
      <c r="I7100">
        <v>0</v>
      </c>
      <c r="J7100">
        <v>0</v>
      </c>
      <c r="K7100">
        <v>0</v>
      </c>
      <c r="L7100">
        <v>12000000</v>
      </c>
      <c r="M7100">
        <v>12000000</v>
      </c>
      <c r="N7100">
        <v>12000000</v>
      </c>
      <c r="O7100">
        <v>12000000</v>
      </c>
      <c r="P7100">
        <v>12000000</v>
      </c>
      <c r="Q7100">
        <v>12000000</v>
      </c>
      <c r="R7100" s="14">
        <f>_xlfn.XLOOKUP(Table2[[#This Row],[LoanID]],Table1[G-L ID],Table1[ManagerCode],-99)</f>
        <v>119</v>
      </c>
      <c r="T7100"/>
    </row>
    <row r="7101" spans="1:20" x14ac:dyDescent="0.25">
      <c r="A7101">
        <v>20180630</v>
      </c>
      <c r="B7101">
        <v>2018</v>
      </c>
      <c r="C7101">
        <v>6</v>
      </c>
      <c r="D7101">
        <v>1</v>
      </c>
      <c r="E7101">
        <v>11440</v>
      </c>
      <c r="F7101">
        <v>156250</v>
      </c>
      <c r="G7101">
        <v>0</v>
      </c>
      <c r="H7101">
        <v>0</v>
      </c>
      <c r="I7101">
        <v>0</v>
      </c>
      <c r="J7101">
        <v>0</v>
      </c>
      <c r="K7101">
        <v>0</v>
      </c>
      <c r="L7101">
        <v>18750000</v>
      </c>
      <c r="M7101">
        <v>18750000</v>
      </c>
      <c r="N7101">
        <v>18750000</v>
      </c>
      <c r="O7101">
        <v>18750000</v>
      </c>
      <c r="P7101">
        <v>18750000</v>
      </c>
      <c r="Q7101">
        <v>18750000</v>
      </c>
      <c r="R7101" s="14">
        <f>_xlfn.XLOOKUP(Table2[[#This Row],[LoanID]],Table1[G-L ID],Table1[ManagerCode],-99)</f>
        <v>183</v>
      </c>
      <c r="T7101"/>
    </row>
    <row r="7102" spans="1:20" x14ac:dyDescent="0.25">
      <c r="A7102">
        <v>20180630</v>
      </c>
      <c r="B7102">
        <v>2018</v>
      </c>
      <c r="C7102">
        <v>6</v>
      </c>
      <c r="D7102">
        <v>1</v>
      </c>
      <c r="E7102">
        <v>11450</v>
      </c>
      <c r="F7102">
        <v>156950.59</v>
      </c>
      <c r="G7102">
        <v>0</v>
      </c>
      <c r="H7102">
        <v>0</v>
      </c>
      <c r="I7102">
        <v>0</v>
      </c>
      <c r="J7102">
        <v>0</v>
      </c>
      <c r="K7102">
        <v>0</v>
      </c>
      <c r="L7102">
        <v>16786326.640000001</v>
      </c>
      <c r="M7102">
        <v>16786326.640000001</v>
      </c>
      <c r="N7102">
        <v>16786326.640000001</v>
      </c>
      <c r="O7102">
        <v>16786326.640000001</v>
      </c>
      <c r="P7102">
        <v>16786326.640000001</v>
      </c>
      <c r="Q7102">
        <v>16786326.640000001</v>
      </c>
      <c r="R7102" s="14">
        <f>_xlfn.XLOOKUP(Table2[[#This Row],[LoanID]],Table1[G-L ID],Table1[ManagerCode],-99)</f>
        <v>119</v>
      </c>
      <c r="T7102"/>
    </row>
    <row r="7103" spans="1:20" x14ac:dyDescent="0.25">
      <c r="A7103">
        <v>20180630</v>
      </c>
      <c r="B7103">
        <v>2018</v>
      </c>
      <c r="C7103">
        <v>6</v>
      </c>
      <c r="D7103">
        <v>1</v>
      </c>
      <c r="E7103">
        <v>11480</v>
      </c>
      <c r="F7103">
        <v>477339.72</v>
      </c>
      <c r="G7103">
        <v>0</v>
      </c>
      <c r="H7103">
        <v>0</v>
      </c>
      <c r="I7103">
        <v>0</v>
      </c>
      <c r="J7103">
        <v>0</v>
      </c>
      <c r="K7103">
        <v>70000000</v>
      </c>
      <c r="L7103">
        <v>70000000</v>
      </c>
      <c r="M7103">
        <v>0</v>
      </c>
      <c r="N7103">
        <v>70000000</v>
      </c>
      <c r="O7103">
        <v>0</v>
      </c>
      <c r="P7103">
        <v>70000000</v>
      </c>
      <c r="Q7103">
        <v>0</v>
      </c>
      <c r="R7103" s="14">
        <f>_xlfn.XLOOKUP(Table2[[#This Row],[LoanID]],Table1[G-L ID],Table1[ManagerCode],-99)</f>
        <v>103</v>
      </c>
      <c r="T7103"/>
    </row>
    <row r="7104" spans="1:20" x14ac:dyDescent="0.25">
      <c r="A7104">
        <v>20180630</v>
      </c>
      <c r="B7104">
        <v>2018</v>
      </c>
      <c r="C7104">
        <v>6</v>
      </c>
      <c r="D7104">
        <v>1</v>
      </c>
      <c r="E7104">
        <v>11490</v>
      </c>
      <c r="F7104">
        <v>434254.03</v>
      </c>
      <c r="G7104">
        <v>0</v>
      </c>
      <c r="H7104">
        <v>0</v>
      </c>
      <c r="I7104">
        <v>0</v>
      </c>
      <c r="J7104">
        <v>0</v>
      </c>
      <c r="K7104">
        <v>55000000</v>
      </c>
      <c r="L7104">
        <v>52250000</v>
      </c>
      <c r="M7104">
        <v>0</v>
      </c>
      <c r="N7104">
        <v>52250000</v>
      </c>
      <c r="O7104">
        <v>0</v>
      </c>
      <c r="P7104">
        <v>55000000</v>
      </c>
      <c r="Q7104">
        <v>0</v>
      </c>
      <c r="R7104" s="14">
        <f>_xlfn.XLOOKUP(Table2[[#This Row],[LoanID]],Table1[G-L ID],Table1[ManagerCode],-99)</f>
        <v>103</v>
      </c>
      <c r="T7104"/>
    </row>
    <row r="7105" spans="1:20" x14ac:dyDescent="0.25">
      <c r="A7105">
        <v>20180630</v>
      </c>
      <c r="B7105">
        <v>2018</v>
      </c>
      <c r="C7105">
        <v>6</v>
      </c>
      <c r="D7105">
        <v>1</v>
      </c>
      <c r="E7105">
        <v>11520</v>
      </c>
      <c r="F7105">
        <v>63790.06</v>
      </c>
      <c r="G7105">
        <v>0</v>
      </c>
      <c r="H7105">
        <v>0</v>
      </c>
      <c r="I7105">
        <v>0</v>
      </c>
      <c r="J7105">
        <v>0</v>
      </c>
      <c r="K7105">
        <v>0</v>
      </c>
      <c r="L7105">
        <v>8405516.8200000003</v>
      </c>
      <c r="M7105">
        <v>8405516.8200000003</v>
      </c>
      <c r="N7105">
        <v>8405516.8200000003</v>
      </c>
      <c r="O7105">
        <v>8405516.8200000003</v>
      </c>
      <c r="P7105">
        <v>8405516.8200000003</v>
      </c>
      <c r="Q7105">
        <v>8405516.8200000003</v>
      </c>
      <c r="R7105" s="14">
        <f>_xlfn.XLOOKUP(Table2[[#This Row],[LoanID]],Table1[G-L ID],Table1[ManagerCode],-99)</f>
        <v>119</v>
      </c>
      <c r="T7105"/>
    </row>
    <row r="7106" spans="1:20" x14ac:dyDescent="0.25">
      <c r="A7106">
        <v>20180630</v>
      </c>
      <c r="B7106">
        <v>2018</v>
      </c>
      <c r="C7106">
        <v>6</v>
      </c>
      <c r="D7106">
        <v>1</v>
      </c>
      <c r="E7106">
        <v>11530</v>
      </c>
      <c r="F7106">
        <v>154477.95000000001</v>
      </c>
      <c r="G7106">
        <v>0</v>
      </c>
      <c r="H7106">
        <v>0</v>
      </c>
      <c r="I7106">
        <v>0</v>
      </c>
      <c r="J7106">
        <v>0</v>
      </c>
      <c r="K7106">
        <v>0</v>
      </c>
      <c r="L7106">
        <v>14260454.07</v>
      </c>
      <c r="M7106">
        <v>14260454.07</v>
      </c>
      <c r="N7106">
        <v>14260454.07</v>
      </c>
      <c r="O7106">
        <v>14260454.07</v>
      </c>
      <c r="P7106">
        <v>14260454.07</v>
      </c>
      <c r="Q7106">
        <v>14260454.07</v>
      </c>
      <c r="R7106" s="14">
        <f>_xlfn.XLOOKUP(Table2[[#This Row],[LoanID]],Table1[G-L ID],Table1[ManagerCode],-99)</f>
        <v>119</v>
      </c>
      <c r="T7106"/>
    </row>
    <row r="7107" spans="1:20" x14ac:dyDescent="0.25">
      <c r="A7107">
        <v>20180630</v>
      </c>
      <c r="B7107">
        <v>2018</v>
      </c>
      <c r="C7107">
        <v>6</v>
      </c>
      <c r="D7107">
        <v>1</v>
      </c>
      <c r="E7107">
        <v>11590</v>
      </c>
      <c r="F7107">
        <v>16079.67</v>
      </c>
      <c r="G7107">
        <v>0</v>
      </c>
      <c r="H7107">
        <v>0</v>
      </c>
      <c r="I7107">
        <v>0</v>
      </c>
      <c r="J7107">
        <v>0</v>
      </c>
      <c r="K7107">
        <v>0</v>
      </c>
      <c r="L7107">
        <v>1982289.13</v>
      </c>
      <c r="M7107">
        <v>1982289.13</v>
      </c>
      <c r="N7107">
        <v>1982289.13</v>
      </c>
      <c r="O7107">
        <v>1982289.13</v>
      </c>
      <c r="P7107">
        <v>1982289.13</v>
      </c>
      <c r="Q7107">
        <v>1982289.13</v>
      </c>
      <c r="R7107" s="14">
        <f>_xlfn.XLOOKUP(Table2[[#This Row],[LoanID]],Table1[G-L ID],Table1[ManagerCode],-99)</f>
        <v>119</v>
      </c>
      <c r="T7107"/>
    </row>
    <row r="7108" spans="1:20" x14ac:dyDescent="0.25">
      <c r="A7108">
        <v>20180630</v>
      </c>
      <c r="B7108">
        <v>2018</v>
      </c>
      <c r="C7108">
        <v>6</v>
      </c>
      <c r="D7108">
        <v>1</v>
      </c>
      <c r="E7108">
        <v>11680</v>
      </c>
      <c r="F7108">
        <v>57126.559999999998</v>
      </c>
      <c r="G7108">
        <v>0</v>
      </c>
      <c r="H7108">
        <v>0</v>
      </c>
      <c r="I7108">
        <v>0</v>
      </c>
      <c r="J7108">
        <v>0</v>
      </c>
      <c r="K7108">
        <v>0</v>
      </c>
      <c r="L7108">
        <v>6600000</v>
      </c>
      <c r="M7108">
        <v>6600000</v>
      </c>
      <c r="N7108">
        <v>6600000</v>
      </c>
      <c r="O7108">
        <v>6600000</v>
      </c>
      <c r="P7108">
        <v>6600000</v>
      </c>
      <c r="Q7108">
        <v>6600000</v>
      </c>
      <c r="R7108" s="14">
        <f>_xlfn.XLOOKUP(Table2[[#This Row],[LoanID]],Table1[G-L ID],Table1[ManagerCode],-99)</f>
        <v>183</v>
      </c>
      <c r="T7108"/>
    </row>
    <row r="7109" spans="1:20" x14ac:dyDescent="0.25">
      <c r="A7109">
        <v>20180630</v>
      </c>
      <c r="B7109">
        <v>2018</v>
      </c>
      <c r="C7109">
        <v>6</v>
      </c>
      <c r="D7109">
        <v>1</v>
      </c>
      <c r="E7109">
        <v>11690</v>
      </c>
      <c r="F7109">
        <v>159842.03</v>
      </c>
      <c r="G7109">
        <v>0</v>
      </c>
      <c r="H7109">
        <v>0</v>
      </c>
      <c r="I7109">
        <v>0</v>
      </c>
      <c r="J7109">
        <v>0</v>
      </c>
      <c r="K7109">
        <v>0</v>
      </c>
      <c r="L7109">
        <v>17000000</v>
      </c>
      <c r="M7109">
        <v>17000000</v>
      </c>
      <c r="N7109">
        <v>17000000</v>
      </c>
      <c r="O7109">
        <v>17000000</v>
      </c>
      <c r="P7109">
        <v>17000000</v>
      </c>
      <c r="Q7109">
        <v>17000000</v>
      </c>
      <c r="R7109" s="14">
        <f>_xlfn.XLOOKUP(Table2[[#This Row],[LoanID]],Table1[G-L ID],Table1[ManagerCode],-99)</f>
        <v>119</v>
      </c>
      <c r="T7109"/>
    </row>
    <row r="7110" spans="1:20" x14ac:dyDescent="0.25">
      <c r="A7110">
        <v>20180630</v>
      </c>
      <c r="B7110">
        <v>2018</v>
      </c>
      <c r="C7110">
        <v>6</v>
      </c>
      <c r="D7110">
        <v>1</v>
      </c>
      <c r="E7110">
        <v>11750</v>
      </c>
      <c r="F7110">
        <v>277419.07</v>
      </c>
      <c r="G7110">
        <v>129847.21</v>
      </c>
      <c r="H7110">
        <v>0</v>
      </c>
      <c r="I7110">
        <v>0</v>
      </c>
      <c r="J7110">
        <v>0</v>
      </c>
      <c r="K7110">
        <v>0</v>
      </c>
      <c r="L7110">
        <v>54790372.520000003</v>
      </c>
      <c r="M7110">
        <v>54920219.729999997</v>
      </c>
      <c r="N7110">
        <v>54790372.520000003</v>
      </c>
      <c r="O7110">
        <v>54920219.729999997</v>
      </c>
      <c r="P7110">
        <v>54790372.520000003</v>
      </c>
      <c r="Q7110">
        <v>54920219.729999997</v>
      </c>
      <c r="R7110" s="14">
        <f>_xlfn.XLOOKUP(Table2[[#This Row],[LoanID]],Table1[G-L ID],Table1[ManagerCode],-99)</f>
        <v>183</v>
      </c>
      <c r="T7110"/>
    </row>
    <row r="7111" spans="1:20" x14ac:dyDescent="0.25">
      <c r="A7111">
        <v>20180630</v>
      </c>
      <c r="B7111">
        <v>2018</v>
      </c>
      <c r="C7111">
        <v>6</v>
      </c>
      <c r="D7111">
        <v>1</v>
      </c>
      <c r="E7111">
        <v>11830</v>
      </c>
      <c r="F7111">
        <v>112780.97</v>
      </c>
      <c r="G7111">
        <v>0</v>
      </c>
      <c r="H7111">
        <v>0</v>
      </c>
      <c r="I7111">
        <v>0</v>
      </c>
      <c r="J7111">
        <v>-395105.47</v>
      </c>
      <c r="K7111">
        <v>0</v>
      </c>
      <c r="L7111">
        <v>12873935.960000001</v>
      </c>
      <c r="M7111">
        <v>13269041.43</v>
      </c>
      <c r="N7111">
        <v>12873935.960000001</v>
      </c>
      <c r="O7111">
        <v>13269041.43</v>
      </c>
      <c r="P7111">
        <v>12873935.960000001</v>
      </c>
      <c r="Q7111">
        <v>13269041.43</v>
      </c>
      <c r="R7111" s="14">
        <f>_xlfn.XLOOKUP(Table2[[#This Row],[LoanID]],Table1[G-L ID],Table1[ManagerCode],-99)</f>
        <v>119</v>
      </c>
      <c r="T7111"/>
    </row>
    <row r="7112" spans="1:20" x14ac:dyDescent="0.25">
      <c r="A7112">
        <v>20180630</v>
      </c>
      <c r="B7112">
        <v>2018</v>
      </c>
      <c r="C7112">
        <v>6</v>
      </c>
      <c r="D7112">
        <v>1</v>
      </c>
      <c r="E7112">
        <v>11850</v>
      </c>
      <c r="F7112">
        <v>0</v>
      </c>
      <c r="G7112">
        <v>101457.44</v>
      </c>
      <c r="H7112">
        <v>0</v>
      </c>
      <c r="I7112">
        <v>0</v>
      </c>
      <c r="J7112">
        <v>0</v>
      </c>
      <c r="K7112">
        <v>0</v>
      </c>
      <c r="L7112">
        <v>9395414.1500000004</v>
      </c>
      <c r="M7112">
        <v>9496871.5899999999</v>
      </c>
      <c r="N7112">
        <v>9395414.1500000004</v>
      </c>
      <c r="O7112">
        <v>9496871.5899999999</v>
      </c>
      <c r="P7112">
        <v>9395414.1500000004</v>
      </c>
      <c r="Q7112">
        <v>9496871.5899999999</v>
      </c>
      <c r="R7112" s="14">
        <f>_xlfn.XLOOKUP(Table2[[#This Row],[LoanID]],Table1[G-L ID],Table1[ManagerCode],-99)</f>
        <v>183</v>
      </c>
      <c r="T7112"/>
    </row>
    <row r="7113" spans="1:20" x14ac:dyDescent="0.25">
      <c r="A7113">
        <v>20180630</v>
      </c>
      <c r="B7113">
        <v>2018</v>
      </c>
      <c r="C7113">
        <v>6</v>
      </c>
      <c r="D7113">
        <v>1</v>
      </c>
      <c r="E7113">
        <v>12030</v>
      </c>
      <c r="F7113">
        <v>52126.18</v>
      </c>
      <c r="G7113">
        <v>0</v>
      </c>
      <c r="H7113">
        <v>0</v>
      </c>
      <c r="I7113">
        <v>0</v>
      </c>
      <c r="J7113">
        <v>0</v>
      </c>
      <c r="K7113">
        <v>6375000</v>
      </c>
      <c r="L7113">
        <v>6375000</v>
      </c>
      <c r="M7113">
        <v>0</v>
      </c>
      <c r="N7113">
        <v>6375000</v>
      </c>
      <c r="O7113">
        <v>0</v>
      </c>
      <c r="P7113">
        <v>6375000</v>
      </c>
      <c r="Q7113">
        <v>0</v>
      </c>
      <c r="R7113" s="14">
        <f>_xlfn.XLOOKUP(Table2[[#This Row],[LoanID]],Table1[G-L ID],Table1[ManagerCode],-99)</f>
        <v>119</v>
      </c>
      <c r="T7113"/>
    </row>
    <row r="7114" spans="1:20" x14ac:dyDescent="0.25">
      <c r="A7114">
        <v>20180630</v>
      </c>
      <c r="B7114">
        <v>2018</v>
      </c>
      <c r="C7114">
        <v>6</v>
      </c>
      <c r="D7114">
        <v>1</v>
      </c>
      <c r="E7114">
        <v>12180</v>
      </c>
      <c r="F7114">
        <v>249104.44</v>
      </c>
      <c r="G7114">
        <v>0</v>
      </c>
      <c r="H7114">
        <v>0</v>
      </c>
      <c r="I7114">
        <v>0</v>
      </c>
      <c r="J7114">
        <v>0</v>
      </c>
      <c r="K7114">
        <v>0</v>
      </c>
      <c r="L7114">
        <v>30400000</v>
      </c>
      <c r="M7114">
        <v>30400000</v>
      </c>
      <c r="N7114">
        <v>30400000</v>
      </c>
      <c r="O7114">
        <v>30400000</v>
      </c>
      <c r="P7114">
        <v>30393210.870000001</v>
      </c>
      <c r="Q7114">
        <v>30393210.870000001</v>
      </c>
      <c r="R7114" s="14">
        <f>_xlfn.XLOOKUP(Table2[[#This Row],[LoanID]],Table1[G-L ID],Table1[ManagerCode],-99)</f>
        <v>220</v>
      </c>
      <c r="T7114"/>
    </row>
    <row r="7115" spans="1:20" x14ac:dyDescent="0.25">
      <c r="A7115">
        <v>20180630</v>
      </c>
      <c r="B7115">
        <v>2018</v>
      </c>
      <c r="C7115">
        <v>6</v>
      </c>
      <c r="D7115">
        <v>1</v>
      </c>
      <c r="E7115">
        <v>12220</v>
      </c>
      <c r="F7115">
        <v>195123.49</v>
      </c>
      <c r="G7115">
        <v>0</v>
      </c>
      <c r="H7115">
        <v>0</v>
      </c>
      <c r="I7115">
        <v>0</v>
      </c>
      <c r="J7115">
        <v>0</v>
      </c>
      <c r="K7115">
        <v>0</v>
      </c>
      <c r="L7115">
        <v>54500000</v>
      </c>
      <c r="M7115">
        <v>54500000</v>
      </c>
      <c r="N7115">
        <v>27250000</v>
      </c>
      <c r="O7115">
        <v>27250000</v>
      </c>
      <c r="P7115">
        <v>54500000</v>
      </c>
      <c r="Q7115">
        <v>54500000</v>
      </c>
      <c r="R7115" s="14">
        <f>_xlfn.XLOOKUP(Table2[[#This Row],[LoanID]],Table1[G-L ID],Table1[ManagerCode],-99)</f>
        <v>183</v>
      </c>
      <c r="T7115"/>
    </row>
    <row r="7116" spans="1:20" x14ac:dyDescent="0.25">
      <c r="A7116">
        <v>20180630</v>
      </c>
      <c r="B7116">
        <v>2018</v>
      </c>
      <c r="C7116">
        <v>6</v>
      </c>
      <c r="D7116">
        <v>1</v>
      </c>
      <c r="E7116">
        <v>12250</v>
      </c>
      <c r="F7116">
        <v>103703.74</v>
      </c>
      <c r="G7116">
        <v>0</v>
      </c>
      <c r="H7116">
        <v>0</v>
      </c>
      <c r="I7116">
        <v>0</v>
      </c>
      <c r="J7116">
        <v>-287578.90999999997</v>
      </c>
      <c r="K7116">
        <v>0</v>
      </c>
      <c r="L7116">
        <v>12191395.23</v>
      </c>
      <c r="M7116">
        <v>12478974.140000001</v>
      </c>
      <c r="N7116">
        <v>12191395.23</v>
      </c>
      <c r="O7116">
        <v>12478974.140000001</v>
      </c>
      <c r="P7116">
        <v>12191395.23</v>
      </c>
      <c r="Q7116">
        <v>12478974.140000001</v>
      </c>
      <c r="R7116" s="14">
        <f>_xlfn.XLOOKUP(Table2[[#This Row],[LoanID]],Table1[G-L ID],Table1[ManagerCode],-99)</f>
        <v>119</v>
      </c>
      <c r="T7116"/>
    </row>
    <row r="7117" spans="1:20" x14ac:dyDescent="0.25">
      <c r="A7117">
        <v>20180630</v>
      </c>
      <c r="B7117">
        <v>2018</v>
      </c>
      <c r="C7117">
        <v>6</v>
      </c>
      <c r="D7117">
        <v>1</v>
      </c>
      <c r="E7117">
        <v>12260</v>
      </c>
      <c r="F7117">
        <v>112254.78</v>
      </c>
      <c r="G7117">
        <v>0</v>
      </c>
      <c r="H7117">
        <v>0</v>
      </c>
      <c r="I7117">
        <v>0</v>
      </c>
      <c r="J7117">
        <v>0</v>
      </c>
      <c r="K7117">
        <v>0</v>
      </c>
      <c r="L7117">
        <v>11470448.4</v>
      </c>
      <c r="M7117">
        <v>11470448.4</v>
      </c>
      <c r="N7117">
        <v>11470448.4</v>
      </c>
      <c r="O7117">
        <v>11470448.4</v>
      </c>
      <c r="P7117">
        <v>11470448.4</v>
      </c>
      <c r="Q7117">
        <v>11470448.4</v>
      </c>
      <c r="R7117" s="14">
        <f>_xlfn.XLOOKUP(Table2[[#This Row],[LoanID]],Table1[G-L ID],Table1[ManagerCode],-99)</f>
        <v>119</v>
      </c>
      <c r="T7117"/>
    </row>
    <row r="7118" spans="1:20" x14ac:dyDescent="0.25">
      <c r="A7118">
        <v>20180630</v>
      </c>
      <c r="B7118">
        <v>2018</v>
      </c>
      <c r="C7118">
        <v>6</v>
      </c>
      <c r="D7118">
        <v>1</v>
      </c>
      <c r="E7118">
        <v>12270</v>
      </c>
      <c r="F7118">
        <v>41819.11</v>
      </c>
      <c r="G7118">
        <v>0</v>
      </c>
      <c r="H7118">
        <v>0</v>
      </c>
      <c r="I7118">
        <v>0</v>
      </c>
      <c r="J7118">
        <v>0</v>
      </c>
      <c r="K7118">
        <v>0</v>
      </c>
      <c r="L7118">
        <v>4786147.21</v>
      </c>
      <c r="M7118">
        <v>4786147.21</v>
      </c>
      <c r="N7118">
        <v>4786147.21</v>
      </c>
      <c r="O7118">
        <v>4786147.21</v>
      </c>
      <c r="P7118">
        <v>4786147.21</v>
      </c>
      <c r="Q7118">
        <v>4786147.21</v>
      </c>
      <c r="R7118" s="14">
        <f>_xlfn.XLOOKUP(Table2[[#This Row],[LoanID]],Table1[G-L ID],Table1[ManagerCode],-99)</f>
        <v>119</v>
      </c>
      <c r="T7118"/>
    </row>
    <row r="7119" spans="1:20" x14ac:dyDescent="0.25">
      <c r="A7119">
        <v>20180630</v>
      </c>
      <c r="B7119">
        <v>2018</v>
      </c>
      <c r="C7119">
        <v>6</v>
      </c>
      <c r="D7119">
        <v>1</v>
      </c>
      <c r="E7119">
        <v>12280</v>
      </c>
      <c r="F7119">
        <v>182814.27</v>
      </c>
      <c r="G7119">
        <v>0</v>
      </c>
      <c r="H7119">
        <v>0</v>
      </c>
      <c r="I7119">
        <v>0</v>
      </c>
      <c r="J7119">
        <v>-1822128.47</v>
      </c>
      <c r="K7119">
        <v>0</v>
      </c>
      <c r="L7119">
        <v>21359978.77</v>
      </c>
      <c r="M7119">
        <v>23182107.239999998</v>
      </c>
      <c r="N7119">
        <v>21359978.77</v>
      </c>
      <c r="O7119">
        <v>23182107.239999998</v>
      </c>
      <c r="P7119">
        <v>21359978.77</v>
      </c>
      <c r="Q7119">
        <v>23182107.239999998</v>
      </c>
      <c r="R7119" s="14">
        <f>_xlfn.XLOOKUP(Table2[[#This Row],[LoanID]],Table1[G-L ID],Table1[ManagerCode],-99)</f>
        <v>119</v>
      </c>
      <c r="T7119"/>
    </row>
    <row r="7120" spans="1:20" x14ac:dyDescent="0.25">
      <c r="A7120">
        <v>20180630</v>
      </c>
      <c r="B7120">
        <v>2018</v>
      </c>
      <c r="C7120">
        <v>6</v>
      </c>
      <c r="D7120">
        <v>1</v>
      </c>
      <c r="E7120">
        <v>12290</v>
      </c>
      <c r="F7120">
        <v>205733.3</v>
      </c>
      <c r="G7120">
        <v>0</v>
      </c>
      <c r="H7120">
        <v>0</v>
      </c>
      <c r="I7120">
        <v>0</v>
      </c>
      <c r="J7120">
        <v>0</v>
      </c>
      <c r="K7120">
        <v>0</v>
      </c>
      <c r="L7120">
        <v>22750000</v>
      </c>
      <c r="M7120">
        <v>22750000</v>
      </c>
      <c r="N7120">
        <v>22750000</v>
      </c>
      <c r="O7120">
        <v>22750000</v>
      </c>
      <c r="P7120">
        <v>22750000</v>
      </c>
      <c r="Q7120">
        <v>22750000</v>
      </c>
      <c r="R7120" s="14">
        <f>_xlfn.XLOOKUP(Table2[[#This Row],[LoanID]],Table1[G-L ID],Table1[ManagerCode],-99)</f>
        <v>119</v>
      </c>
      <c r="T7120"/>
    </row>
    <row r="7121" spans="1:20" x14ac:dyDescent="0.25">
      <c r="A7121">
        <v>20180630</v>
      </c>
      <c r="B7121">
        <v>2018</v>
      </c>
      <c r="C7121">
        <v>6</v>
      </c>
      <c r="D7121">
        <v>1</v>
      </c>
      <c r="E7121">
        <v>12310</v>
      </c>
      <c r="F7121">
        <v>145498.25</v>
      </c>
      <c r="G7121">
        <v>0</v>
      </c>
      <c r="H7121">
        <v>0</v>
      </c>
      <c r="I7121">
        <v>0</v>
      </c>
      <c r="J7121">
        <v>0</v>
      </c>
      <c r="K7121">
        <v>0</v>
      </c>
      <c r="L7121">
        <v>16375000</v>
      </c>
      <c r="M7121">
        <v>16375000</v>
      </c>
      <c r="N7121">
        <v>16375000</v>
      </c>
      <c r="O7121">
        <v>16375000</v>
      </c>
      <c r="P7121">
        <v>16375000</v>
      </c>
      <c r="Q7121">
        <v>16375000</v>
      </c>
      <c r="R7121" s="14">
        <f>_xlfn.XLOOKUP(Table2[[#This Row],[LoanID]],Table1[G-L ID],Table1[ManagerCode],-99)</f>
        <v>119</v>
      </c>
      <c r="T7121"/>
    </row>
    <row r="7122" spans="1:20" x14ac:dyDescent="0.25">
      <c r="A7122">
        <v>20180630</v>
      </c>
      <c r="B7122">
        <v>2018</v>
      </c>
      <c r="C7122">
        <v>6</v>
      </c>
      <c r="D7122">
        <v>1</v>
      </c>
      <c r="E7122">
        <v>12320</v>
      </c>
      <c r="F7122">
        <v>112600.91</v>
      </c>
      <c r="G7122">
        <v>0</v>
      </c>
      <c r="H7122">
        <v>0</v>
      </c>
      <c r="I7122">
        <v>0</v>
      </c>
      <c r="J7122">
        <v>0</v>
      </c>
      <c r="K7122">
        <v>0</v>
      </c>
      <c r="L7122">
        <v>11750000</v>
      </c>
      <c r="M7122">
        <v>11750000</v>
      </c>
      <c r="N7122">
        <v>11750000</v>
      </c>
      <c r="O7122">
        <v>11750000</v>
      </c>
      <c r="P7122">
        <v>11750000</v>
      </c>
      <c r="Q7122">
        <v>11750000</v>
      </c>
      <c r="R7122" s="14">
        <f>_xlfn.XLOOKUP(Table2[[#This Row],[LoanID]],Table1[G-L ID],Table1[ManagerCode],-99)</f>
        <v>119</v>
      </c>
      <c r="T7122"/>
    </row>
    <row r="7123" spans="1:20" x14ac:dyDescent="0.25">
      <c r="A7123">
        <v>20180630</v>
      </c>
      <c r="B7123">
        <v>2018</v>
      </c>
      <c r="C7123">
        <v>6</v>
      </c>
      <c r="D7123">
        <v>1</v>
      </c>
      <c r="E7123">
        <v>12330</v>
      </c>
      <c r="F7123">
        <v>218103.98</v>
      </c>
      <c r="G7123">
        <v>0</v>
      </c>
      <c r="H7123">
        <v>0</v>
      </c>
      <c r="I7123">
        <v>0</v>
      </c>
      <c r="J7123">
        <v>0</v>
      </c>
      <c r="K7123">
        <v>0</v>
      </c>
      <c r="L7123">
        <v>19976500</v>
      </c>
      <c r="M7123">
        <v>19976500</v>
      </c>
      <c r="N7123">
        <v>19976500</v>
      </c>
      <c r="O7123">
        <v>19976500</v>
      </c>
      <c r="P7123">
        <v>19976500</v>
      </c>
      <c r="Q7123">
        <v>19976500</v>
      </c>
      <c r="R7123" s="14">
        <f>_xlfn.XLOOKUP(Table2[[#This Row],[LoanID]],Table1[G-L ID],Table1[ManagerCode],-99)</f>
        <v>119</v>
      </c>
      <c r="T7123"/>
    </row>
    <row r="7124" spans="1:20" x14ac:dyDescent="0.25">
      <c r="A7124">
        <v>20180630</v>
      </c>
      <c r="B7124">
        <v>2018</v>
      </c>
      <c r="C7124">
        <v>6</v>
      </c>
      <c r="D7124">
        <v>1</v>
      </c>
      <c r="E7124">
        <v>12340</v>
      </c>
      <c r="F7124">
        <v>87407.55</v>
      </c>
      <c r="G7124">
        <v>0</v>
      </c>
      <c r="H7124">
        <v>0</v>
      </c>
      <c r="I7124">
        <v>0</v>
      </c>
      <c r="J7124">
        <v>-180000</v>
      </c>
      <c r="K7124">
        <v>0</v>
      </c>
      <c r="L7124">
        <v>24000000</v>
      </c>
      <c r="M7124">
        <v>24180000</v>
      </c>
      <c r="N7124">
        <v>12000000</v>
      </c>
      <c r="O7124">
        <v>12180000</v>
      </c>
      <c r="P7124">
        <v>24000000</v>
      </c>
      <c r="Q7124">
        <v>24180000</v>
      </c>
      <c r="R7124" s="14">
        <f>_xlfn.XLOOKUP(Table2[[#This Row],[LoanID]],Table1[G-L ID],Table1[ManagerCode],-99)</f>
        <v>183</v>
      </c>
      <c r="T7124"/>
    </row>
    <row r="7125" spans="1:20" x14ac:dyDescent="0.25">
      <c r="A7125">
        <v>20180630</v>
      </c>
      <c r="B7125">
        <v>2018</v>
      </c>
      <c r="C7125">
        <v>6</v>
      </c>
      <c r="D7125">
        <v>1</v>
      </c>
      <c r="E7125">
        <v>12350</v>
      </c>
      <c r="F7125">
        <v>179937.92000000001</v>
      </c>
      <c r="G7125">
        <v>0</v>
      </c>
      <c r="H7125">
        <v>0</v>
      </c>
      <c r="I7125">
        <v>0</v>
      </c>
      <c r="J7125">
        <v>-1880502.39</v>
      </c>
      <c r="K7125">
        <v>0</v>
      </c>
      <c r="L7125">
        <v>63232721.689999998</v>
      </c>
      <c r="M7125">
        <v>65113224.079999998</v>
      </c>
      <c r="N7125">
        <v>25732721.690000001</v>
      </c>
      <c r="O7125">
        <v>27613224.079999998</v>
      </c>
      <c r="P7125">
        <v>63232721.689999998</v>
      </c>
      <c r="Q7125">
        <v>65113224.079999998</v>
      </c>
      <c r="R7125" s="14">
        <f>_xlfn.XLOOKUP(Table2[[#This Row],[LoanID]],Table1[G-L ID],Table1[ManagerCode],-99)</f>
        <v>183</v>
      </c>
      <c r="T7125"/>
    </row>
    <row r="7126" spans="1:20" x14ac:dyDescent="0.25">
      <c r="A7126">
        <v>20180630</v>
      </c>
      <c r="B7126">
        <v>2018</v>
      </c>
      <c r="C7126">
        <v>6</v>
      </c>
      <c r="D7126">
        <v>1</v>
      </c>
      <c r="E7126">
        <v>12360</v>
      </c>
      <c r="F7126">
        <v>120453.96</v>
      </c>
      <c r="G7126">
        <v>0</v>
      </c>
      <c r="H7126">
        <v>0</v>
      </c>
      <c r="I7126">
        <v>0</v>
      </c>
      <c r="J7126">
        <v>0</v>
      </c>
      <c r="K7126">
        <v>0</v>
      </c>
      <c r="L7126">
        <v>60000000</v>
      </c>
      <c r="M7126">
        <v>60000000</v>
      </c>
      <c r="N7126">
        <v>19000000</v>
      </c>
      <c r="O7126">
        <v>19000000</v>
      </c>
      <c r="P7126">
        <v>60000000</v>
      </c>
      <c r="Q7126">
        <v>60000000</v>
      </c>
      <c r="R7126" s="14">
        <f>_xlfn.XLOOKUP(Table2[[#This Row],[LoanID]],Table1[G-L ID],Table1[ManagerCode],-99)</f>
        <v>183</v>
      </c>
      <c r="T7126"/>
    </row>
    <row r="7127" spans="1:20" x14ac:dyDescent="0.25">
      <c r="A7127">
        <v>20180630</v>
      </c>
      <c r="B7127">
        <v>2018</v>
      </c>
      <c r="C7127">
        <v>6</v>
      </c>
      <c r="D7127">
        <v>1</v>
      </c>
      <c r="E7127">
        <v>12370</v>
      </c>
      <c r="F7127">
        <v>356323.67</v>
      </c>
      <c r="G7127">
        <v>0</v>
      </c>
      <c r="H7127">
        <v>0</v>
      </c>
      <c r="I7127">
        <v>0</v>
      </c>
      <c r="J7127">
        <v>0</v>
      </c>
      <c r="K7127">
        <v>0</v>
      </c>
      <c r="L7127">
        <v>104000000</v>
      </c>
      <c r="M7127">
        <v>104000000</v>
      </c>
      <c r="N7127">
        <v>44000000</v>
      </c>
      <c r="O7127">
        <v>44000000</v>
      </c>
      <c r="P7127">
        <v>104000000</v>
      </c>
      <c r="Q7127">
        <v>104000000</v>
      </c>
      <c r="R7127" s="14">
        <f>_xlfn.XLOOKUP(Table2[[#This Row],[LoanID]],Table1[G-L ID],Table1[ManagerCode],-99)</f>
        <v>183</v>
      </c>
      <c r="T7127"/>
    </row>
    <row r="7128" spans="1:20" x14ac:dyDescent="0.25">
      <c r="A7128">
        <v>20180630</v>
      </c>
      <c r="B7128">
        <v>2018</v>
      </c>
      <c r="C7128">
        <v>6</v>
      </c>
      <c r="D7128">
        <v>1</v>
      </c>
      <c r="E7128">
        <v>12380</v>
      </c>
      <c r="F7128">
        <v>81244.58</v>
      </c>
      <c r="G7128">
        <v>0</v>
      </c>
      <c r="H7128">
        <v>0</v>
      </c>
      <c r="I7128">
        <v>0</v>
      </c>
      <c r="J7128">
        <v>0</v>
      </c>
      <c r="K7128">
        <v>0</v>
      </c>
      <c r="L7128">
        <v>32500000</v>
      </c>
      <c r="M7128">
        <v>32500000</v>
      </c>
      <c r="N7128">
        <v>12350000</v>
      </c>
      <c r="O7128">
        <v>12350000</v>
      </c>
      <c r="P7128">
        <v>32500000</v>
      </c>
      <c r="Q7128">
        <v>32500000</v>
      </c>
      <c r="R7128" s="14">
        <f>_xlfn.XLOOKUP(Table2[[#This Row],[LoanID]],Table1[G-L ID],Table1[ManagerCode],-99)</f>
        <v>183</v>
      </c>
      <c r="T7128"/>
    </row>
    <row r="7129" spans="1:20" x14ac:dyDescent="0.25">
      <c r="A7129">
        <v>20180630</v>
      </c>
      <c r="B7129">
        <v>2018</v>
      </c>
      <c r="C7129">
        <v>6</v>
      </c>
      <c r="D7129">
        <v>1</v>
      </c>
      <c r="E7129">
        <v>12390</v>
      </c>
      <c r="F7129">
        <v>390335.45</v>
      </c>
      <c r="G7129">
        <v>444480.41</v>
      </c>
      <c r="H7129">
        <v>0</v>
      </c>
      <c r="I7129">
        <v>0</v>
      </c>
      <c r="J7129">
        <v>-11446506.75</v>
      </c>
      <c r="K7129">
        <v>0</v>
      </c>
      <c r="L7129">
        <v>59536564.399999999</v>
      </c>
      <c r="M7129">
        <v>71427551.560000002</v>
      </c>
      <c r="N7129">
        <v>59536564.399999999</v>
      </c>
      <c r="O7129">
        <v>71427551.560000002</v>
      </c>
      <c r="P7129">
        <v>59536564.399999999</v>
      </c>
      <c r="Q7129">
        <v>71427551.560000002</v>
      </c>
      <c r="R7129" s="14">
        <f>_xlfn.XLOOKUP(Table2[[#This Row],[LoanID]],Table1[G-L ID],Table1[ManagerCode],-99)</f>
        <v>183</v>
      </c>
      <c r="T7129"/>
    </row>
    <row r="7130" spans="1:20" x14ac:dyDescent="0.25">
      <c r="A7130">
        <v>20180630</v>
      </c>
      <c r="B7130">
        <v>2018</v>
      </c>
      <c r="C7130">
        <v>6</v>
      </c>
      <c r="D7130">
        <v>1</v>
      </c>
      <c r="E7130">
        <v>12400</v>
      </c>
      <c r="F7130">
        <v>85046.24</v>
      </c>
      <c r="G7130">
        <v>97088.03</v>
      </c>
      <c r="H7130">
        <v>0</v>
      </c>
      <c r="I7130">
        <v>0</v>
      </c>
      <c r="J7130">
        <v>-1279096.69</v>
      </c>
      <c r="K7130">
        <v>0</v>
      </c>
      <c r="L7130">
        <v>17181526.390000001</v>
      </c>
      <c r="M7130">
        <v>18557711.109999999</v>
      </c>
      <c r="N7130">
        <v>17181526.390000001</v>
      </c>
      <c r="O7130">
        <v>18557711.109999999</v>
      </c>
      <c r="P7130">
        <v>17181526.390000001</v>
      </c>
      <c r="Q7130">
        <v>18557711.109999999</v>
      </c>
      <c r="R7130" s="14">
        <f>_xlfn.XLOOKUP(Table2[[#This Row],[LoanID]],Table1[G-L ID],Table1[ManagerCode],-99)</f>
        <v>183</v>
      </c>
      <c r="T7130"/>
    </row>
    <row r="7131" spans="1:20" x14ac:dyDescent="0.25">
      <c r="A7131">
        <v>20180630</v>
      </c>
      <c r="B7131">
        <v>2018</v>
      </c>
      <c r="C7131">
        <v>6</v>
      </c>
      <c r="D7131">
        <v>1</v>
      </c>
      <c r="E7131">
        <v>12410</v>
      </c>
      <c r="F7131">
        <v>324117.19</v>
      </c>
      <c r="G7131">
        <v>259293.75</v>
      </c>
      <c r="H7131">
        <v>0</v>
      </c>
      <c r="I7131">
        <v>0</v>
      </c>
      <c r="J7131">
        <v>0</v>
      </c>
      <c r="K7131">
        <v>0</v>
      </c>
      <c r="L7131">
        <v>74801688</v>
      </c>
      <c r="M7131">
        <v>73263963</v>
      </c>
      <c r="N7131">
        <v>74801688</v>
      </c>
      <c r="O7131">
        <v>73263963</v>
      </c>
      <c r="P7131">
        <v>77788125.790000007</v>
      </c>
      <c r="Q7131">
        <v>78047419.540000007</v>
      </c>
      <c r="R7131" s="14">
        <f>_xlfn.XLOOKUP(Table2[[#This Row],[LoanID]],Table1[G-L ID],Table1[ManagerCode],-99)</f>
        <v>103</v>
      </c>
      <c r="T7131"/>
    </row>
    <row r="7132" spans="1:20" x14ac:dyDescent="0.25">
      <c r="A7132">
        <v>20180630</v>
      </c>
      <c r="B7132">
        <v>2018</v>
      </c>
      <c r="C7132">
        <v>6</v>
      </c>
      <c r="D7132">
        <v>1</v>
      </c>
      <c r="E7132">
        <v>12420</v>
      </c>
      <c r="F7132">
        <v>38440.92</v>
      </c>
      <c r="G7132">
        <v>0</v>
      </c>
      <c r="H7132">
        <v>0</v>
      </c>
      <c r="I7132">
        <v>0</v>
      </c>
      <c r="J7132">
        <v>0</v>
      </c>
      <c r="K7132">
        <v>0</v>
      </c>
      <c r="L7132">
        <v>3234915</v>
      </c>
      <c r="M7132">
        <v>3234915</v>
      </c>
      <c r="N7132">
        <v>3234915</v>
      </c>
      <c r="O7132">
        <v>3234915</v>
      </c>
      <c r="P7132">
        <v>3234916.31</v>
      </c>
      <c r="Q7132">
        <v>3234916.31</v>
      </c>
      <c r="R7132" s="14">
        <f>_xlfn.XLOOKUP(Table2[[#This Row],[LoanID]],Table1[G-L ID],Table1[ManagerCode],-99)</f>
        <v>103</v>
      </c>
      <c r="T7132"/>
    </row>
    <row r="7133" spans="1:20" x14ac:dyDescent="0.25">
      <c r="A7133">
        <v>20180630</v>
      </c>
      <c r="B7133">
        <v>2018</v>
      </c>
      <c r="C7133">
        <v>6</v>
      </c>
      <c r="D7133">
        <v>1</v>
      </c>
      <c r="E7133">
        <v>12430</v>
      </c>
      <c r="F7133">
        <v>66508.67</v>
      </c>
      <c r="G7133">
        <v>0</v>
      </c>
      <c r="H7133">
        <v>0</v>
      </c>
      <c r="I7133">
        <v>0</v>
      </c>
      <c r="J7133">
        <v>-2883759.42</v>
      </c>
      <c r="K7133">
        <v>0</v>
      </c>
      <c r="L7133">
        <v>19353107</v>
      </c>
      <c r="M7133">
        <v>21861043</v>
      </c>
      <c r="N7133">
        <v>19353107</v>
      </c>
      <c r="O7133">
        <v>21861043</v>
      </c>
      <c r="P7133">
        <v>21147735.77</v>
      </c>
      <c r="Q7133">
        <v>24031495.199999999</v>
      </c>
      <c r="R7133" s="14">
        <f>_xlfn.XLOOKUP(Table2[[#This Row],[LoanID]],Table1[G-L ID],Table1[ManagerCode],-99)</f>
        <v>103</v>
      </c>
      <c r="T7133"/>
    </row>
    <row r="7134" spans="1:20" x14ac:dyDescent="0.25">
      <c r="A7134">
        <v>20180630</v>
      </c>
      <c r="B7134">
        <v>2018</v>
      </c>
      <c r="C7134">
        <v>6</v>
      </c>
      <c r="D7134">
        <v>1</v>
      </c>
      <c r="E7134">
        <v>12440</v>
      </c>
      <c r="F7134">
        <v>32697.200000000001</v>
      </c>
      <c r="G7134">
        <v>0</v>
      </c>
      <c r="H7134">
        <v>0</v>
      </c>
      <c r="I7134">
        <v>0</v>
      </c>
      <c r="J7134">
        <v>0</v>
      </c>
      <c r="K7134">
        <v>50669.07</v>
      </c>
      <c r="L7134">
        <v>4453814</v>
      </c>
      <c r="M7134">
        <v>4381850</v>
      </c>
      <c r="N7134">
        <v>4453814</v>
      </c>
      <c r="O7134">
        <v>4381850</v>
      </c>
      <c r="P7134">
        <v>3923664.27</v>
      </c>
      <c r="Q7134">
        <v>3872995.2</v>
      </c>
      <c r="R7134" s="14">
        <f>_xlfn.XLOOKUP(Table2[[#This Row],[LoanID]],Table1[G-L ID],Table1[ManagerCode],-99)</f>
        <v>103</v>
      </c>
      <c r="T7134"/>
    </row>
    <row r="7135" spans="1:20" x14ac:dyDescent="0.25">
      <c r="A7135">
        <v>20180630</v>
      </c>
      <c r="B7135">
        <v>2018</v>
      </c>
      <c r="C7135">
        <v>6</v>
      </c>
      <c r="D7135">
        <v>1</v>
      </c>
      <c r="E7135">
        <v>12450</v>
      </c>
      <c r="F7135">
        <v>25348.25</v>
      </c>
      <c r="G7135">
        <v>33543.360000000001</v>
      </c>
      <c r="H7135">
        <v>0</v>
      </c>
      <c r="I7135">
        <v>0</v>
      </c>
      <c r="J7135">
        <v>-362028.57</v>
      </c>
      <c r="K7135">
        <v>0</v>
      </c>
      <c r="L7135">
        <v>5725199.04</v>
      </c>
      <c r="M7135">
        <v>6091198.0099999998</v>
      </c>
      <c r="N7135">
        <v>5725199.04</v>
      </c>
      <c r="O7135">
        <v>6091198.0099999998</v>
      </c>
      <c r="P7135">
        <v>5725199.04</v>
      </c>
      <c r="Q7135">
        <v>6091198.0099999998</v>
      </c>
      <c r="R7135" s="14">
        <f>_xlfn.XLOOKUP(Table2[[#This Row],[LoanID]],Table1[G-L ID],Table1[ManagerCode],-99)</f>
        <v>183</v>
      </c>
      <c r="T7135"/>
    </row>
    <row r="7136" spans="1:20" x14ac:dyDescent="0.25">
      <c r="A7136">
        <v>20180630</v>
      </c>
      <c r="B7136">
        <v>2018</v>
      </c>
      <c r="C7136">
        <v>6</v>
      </c>
      <c r="D7136">
        <v>1</v>
      </c>
      <c r="E7136">
        <v>12460</v>
      </c>
      <c r="F7136">
        <v>42250</v>
      </c>
      <c r="G7136">
        <v>44896.44</v>
      </c>
      <c r="H7136">
        <v>0</v>
      </c>
      <c r="I7136">
        <v>0</v>
      </c>
      <c r="J7136">
        <v>0</v>
      </c>
      <c r="K7136">
        <v>0</v>
      </c>
      <c r="L7136">
        <v>8714643.8200000003</v>
      </c>
      <c r="M7136">
        <v>8759540.2599999998</v>
      </c>
      <c r="N7136">
        <v>8714643.8200000003</v>
      </c>
      <c r="O7136">
        <v>8759540.2599999998</v>
      </c>
      <c r="P7136">
        <v>8714643.8200000003</v>
      </c>
      <c r="Q7136">
        <v>8759540.2599999998</v>
      </c>
      <c r="R7136" s="14">
        <f>_xlfn.XLOOKUP(Table2[[#This Row],[LoanID]],Table1[G-L ID],Table1[ManagerCode],-99)</f>
        <v>183</v>
      </c>
      <c r="T7136"/>
    </row>
    <row r="7137" spans="1:20" x14ac:dyDescent="0.25">
      <c r="A7137">
        <v>20180630</v>
      </c>
      <c r="B7137">
        <v>2018</v>
      </c>
      <c r="C7137">
        <v>6</v>
      </c>
      <c r="D7137">
        <v>1</v>
      </c>
      <c r="E7137">
        <v>12470</v>
      </c>
      <c r="F7137">
        <v>319987.5</v>
      </c>
      <c r="G7137">
        <v>0</v>
      </c>
      <c r="H7137">
        <v>0</v>
      </c>
      <c r="I7137">
        <v>0</v>
      </c>
      <c r="J7137">
        <v>0</v>
      </c>
      <c r="K7137">
        <v>0</v>
      </c>
      <c r="L7137">
        <v>115000000</v>
      </c>
      <c r="M7137">
        <v>115000000</v>
      </c>
      <c r="N7137">
        <v>46000000</v>
      </c>
      <c r="O7137">
        <v>46000000</v>
      </c>
      <c r="P7137">
        <v>115000000</v>
      </c>
      <c r="Q7137">
        <v>115000000</v>
      </c>
      <c r="R7137" s="14">
        <f>_xlfn.XLOOKUP(Table2[[#This Row],[LoanID]],Table1[G-L ID],Table1[ManagerCode],-99)</f>
        <v>183</v>
      </c>
      <c r="T7137"/>
    </row>
    <row r="7138" spans="1:20" x14ac:dyDescent="0.25">
      <c r="A7138">
        <v>20180630</v>
      </c>
      <c r="B7138">
        <v>2018</v>
      </c>
      <c r="C7138">
        <v>6</v>
      </c>
      <c r="D7138">
        <v>1</v>
      </c>
      <c r="E7138">
        <v>12480</v>
      </c>
      <c r="F7138">
        <v>74868.429999999993</v>
      </c>
      <c r="G7138">
        <v>0</v>
      </c>
      <c r="H7138">
        <v>0</v>
      </c>
      <c r="I7138">
        <v>0</v>
      </c>
      <c r="J7138">
        <v>0</v>
      </c>
      <c r="K7138">
        <v>0</v>
      </c>
      <c r="L7138">
        <v>19880000</v>
      </c>
      <c r="M7138">
        <v>19880000</v>
      </c>
      <c r="N7138">
        <v>9380000</v>
      </c>
      <c r="O7138">
        <v>9380000</v>
      </c>
      <c r="P7138">
        <v>19880000</v>
      </c>
      <c r="Q7138">
        <v>19880000</v>
      </c>
      <c r="R7138" s="14">
        <f>_xlfn.XLOOKUP(Table2[[#This Row],[LoanID]],Table1[G-L ID],Table1[ManagerCode],-99)</f>
        <v>183</v>
      </c>
      <c r="T7138"/>
    </row>
    <row r="7139" spans="1:20" x14ac:dyDescent="0.25">
      <c r="A7139">
        <v>20180630</v>
      </c>
      <c r="B7139">
        <v>2018</v>
      </c>
      <c r="C7139">
        <v>6</v>
      </c>
      <c r="D7139">
        <v>1</v>
      </c>
      <c r="E7139">
        <v>12490</v>
      </c>
      <c r="F7139">
        <v>126783.62</v>
      </c>
      <c r="G7139">
        <v>0</v>
      </c>
      <c r="H7139">
        <v>0</v>
      </c>
      <c r="I7139">
        <v>0</v>
      </c>
      <c r="J7139">
        <v>0</v>
      </c>
      <c r="K7139">
        <v>0</v>
      </c>
      <c r="L7139">
        <v>50200000</v>
      </c>
      <c r="M7139">
        <v>50200000</v>
      </c>
      <c r="N7139">
        <v>19600000</v>
      </c>
      <c r="O7139">
        <v>19600000</v>
      </c>
      <c r="P7139">
        <v>50200000</v>
      </c>
      <c r="Q7139">
        <v>50200000</v>
      </c>
      <c r="R7139" s="14">
        <f>_xlfn.XLOOKUP(Table2[[#This Row],[LoanID]],Table1[G-L ID],Table1[ManagerCode],-99)</f>
        <v>183</v>
      </c>
      <c r="T7139"/>
    </row>
    <row r="7140" spans="1:20" x14ac:dyDescent="0.25">
      <c r="A7140">
        <v>20180630</v>
      </c>
      <c r="B7140">
        <v>2018</v>
      </c>
      <c r="C7140">
        <v>6</v>
      </c>
      <c r="D7140">
        <v>1</v>
      </c>
      <c r="E7140">
        <v>12500</v>
      </c>
      <c r="F7140">
        <v>274615.09000000003</v>
      </c>
      <c r="G7140">
        <v>0</v>
      </c>
      <c r="H7140">
        <v>0</v>
      </c>
      <c r="I7140">
        <v>0</v>
      </c>
      <c r="J7140">
        <v>0</v>
      </c>
      <c r="K7140">
        <v>0</v>
      </c>
      <c r="L7140">
        <v>115000000</v>
      </c>
      <c r="M7140">
        <v>115000000</v>
      </c>
      <c r="N7140">
        <v>46015000</v>
      </c>
      <c r="O7140">
        <v>46015000</v>
      </c>
      <c r="P7140">
        <v>115000000</v>
      </c>
      <c r="Q7140">
        <v>115000000</v>
      </c>
      <c r="R7140" s="14">
        <f>_xlfn.XLOOKUP(Table2[[#This Row],[LoanID]],Table1[G-L ID],Table1[ManagerCode],-99)</f>
        <v>183</v>
      </c>
      <c r="T7140"/>
    </row>
    <row r="7141" spans="1:20" x14ac:dyDescent="0.25">
      <c r="A7141">
        <v>20180630</v>
      </c>
      <c r="B7141">
        <v>2018</v>
      </c>
      <c r="C7141">
        <v>6</v>
      </c>
      <c r="D7141">
        <v>1</v>
      </c>
      <c r="E7141">
        <v>12510</v>
      </c>
      <c r="F7141">
        <v>311858.19</v>
      </c>
      <c r="G7141">
        <v>0</v>
      </c>
      <c r="H7141">
        <v>0</v>
      </c>
      <c r="I7141">
        <v>0</v>
      </c>
      <c r="J7141">
        <v>0</v>
      </c>
      <c r="K7141">
        <v>0</v>
      </c>
      <c r="L7141">
        <v>131500000</v>
      </c>
      <c r="M7141">
        <v>131500000</v>
      </c>
      <c r="N7141">
        <v>46025000</v>
      </c>
      <c r="O7141">
        <v>46025000</v>
      </c>
      <c r="P7141">
        <v>131500000</v>
      </c>
      <c r="Q7141">
        <v>131500000</v>
      </c>
      <c r="R7141" s="14">
        <f>_xlfn.XLOOKUP(Table2[[#This Row],[LoanID]],Table1[G-L ID],Table1[ManagerCode],-99)</f>
        <v>183</v>
      </c>
      <c r="T7141"/>
    </row>
    <row r="7142" spans="1:20" x14ac:dyDescent="0.25">
      <c r="A7142">
        <v>20180630</v>
      </c>
      <c r="B7142">
        <v>2018</v>
      </c>
      <c r="C7142">
        <v>6</v>
      </c>
      <c r="D7142">
        <v>1</v>
      </c>
      <c r="E7142">
        <v>12520</v>
      </c>
      <c r="F7142">
        <v>153921.23000000001</v>
      </c>
      <c r="G7142">
        <v>0</v>
      </c>
      <c r="H7142">
        <v>0</v>
      </c>
      <c r="I7142">
        <v>0</v>
      </c>
      <c r="J7142">
        <v>-924620.96</v>
      </c>
      <c r="K7142">
        <v>0</v>
      </c>
      <c r="L7142">
        <v>42418977.640000001</v>
      </c>
      <c r="M7142">
        <v>43343598.600000001</v>
      </c>
      <c r="N7142">
        <v>17668977.640000001</v>
      </c>
      <c r="O7142">
        <v>18593598.600000001</v>
      </c>
      <c r="P7142">
        <v>42418977.640000001</v>
      </c>
      <c r="Q7142">
        <v>43343598.600000001</v>
      </c>
      <c r="R7142" s="14">
        <f>_xlfn.XLOOKUP(Table2[[#This Row],[LoanID]],Table1[G-L ID],Table1[ManagerCode],-99)</f>
        <v>183</v>
      </c>
      <c r="T7142"/>
    </row>
    <row r="7143" spans="1:20" x14ac:dyDescent="0.25">
      <c r="A7143">
        <v>20180630</v>
      </c>
      <c r="B7143">
        <v>2018</v>
      </c>
      <c r="C7143">
        <v>6</v>
      </c>
      <c r="D7143">
        <v>1</v>
      </c>
      <c r="E7143">
        <v>12530</v>
      </c>
      <c r="F7143">
        <v>240930.11</v>
      </c>
      <c r="G7143">
        <v>0</v>
      </c>
      <c r="H7143">
        <v>0</v>
      </c>
      <c r="I7143">
        <v>0</v>
      </c>
      <c r="J7143">
        <v>0</v>
      </c>
      <c r="K7143">
        <v>0</v>
      </c>
      <c r="L7143">
        <v>26200000</v>
      </c>
      <c r="M7143">
        <v>26200000</v>
      </c>
      <c r="N7143">
        <v>26200000</v>
      </c>
      <c r="O7143">
        <v>26200000</v>
      </c>
      <c r="P7143">
        <v>26200000</v>
      </c>
      <c r="Q7143">
        <v>26200000</v>
      </c>
      <c r="R7143" s="14">
        <f>_xlfn.XLOOKUP(Table2[[#This Row],[LoanID]],Table1[G-L ID],Table1[ManagerCode],-99)</f>
        <v>119</v>
      </c>
      <c r="T7143"/>
    </row>
    <row r="7144" spans="1:20" x14ac:dyDescent="0.25">
      <c r="A7144">
        <v>20180630</v>
      </c>
      <c r="B7144">
        <v>2018</v>
      </c>
      <c r="C7144">
        <v>6</v>
      </c>
      <c r="D7144">
        <v>1</v>
      </c>
      <c r="E7144">
        <v>12540</v>
      </c>
      <c r="F7144">
        <v>281534.96999999997</v>
      </c>
      <c r="G7144">
        <v>0</v>
      </c>
      <c r="H7144">
        <v>0</v>
      </c>
      <c r="I7144">
        <v>0</v>
      </c>
      <c r="J7144">
        <v>0</v>
      </c>
      <c r="K7144">
        <v>0</v>
      </c>
      <c r="L7144">
        <v>15657141.18</v>
      </c>
      <c r="M7144">
        <v>15657141.18</v>
      </c>
      <c r="N7144">
        <v>15657141.18</v>
      </c>
      <c r="O7144">
        <v>15657141.18</v>
      </c>
      <c r="P7144">
        <v>15657141.18</v>
      </c>
      <c r="Q7144">
        <v>15657141.18</v>
      </c>
      <c r="R7144" s="14">
        <f>_xlfn.XLOOKUP(Table2[[#This Row],[LoanID]],Table1[G-L ID],Table1[ManagerCode],-99)</f>
        <v>119</v>
      </c>
      <c r="T7144"/>
    </row>
    <row r="7145" spans="1:20" x14ac:dyDescent="0.25">
      <c r="A7145">
        <v>20180630</v>
      </c>
      <c r="B7145">
        <v>2018</v>
      </c>
      <c r="C7145">
        <v>6</v>
      </c>
      <c r="D7145">
        <v>1</v>
      </c>
      <c r="E7145">
        <v>12550</v>
      </c>
      <c r="F7145">
        <v>76179.61</v>
      </c>
      <c r="G7145">
        <v>0</v>
      </c>
      <c r="H7145">
        <v>0</v>
      </c>
      <c r="I7145">
        <v>0</v>
      </c>
      <c r="J7145">
        <v>0</v>
      </c>
      <c r="K7145">
        <v>0</v>
      </c>
      <c r="L7145">
        <v>7416099.1500000004</v>
      </c>
      <c r="M7145">
        <v>7416099.1500000004</v>
      </c>
      <c r="N7145">
        <v>7416099.1500000004</v>
      </c>
      <c r="O7145">
        <v>7416099.1500000004</v>
      </c>
      <c r="P7145">
        <v>7416099.1500000004</v>
      </c>
      <c r="Q7145">
        <v>7416099.1500000004</v>
      </c>
      <c r="R7145" s="14">
        <f>_xlfn.XLOOKUP(Table2[[#This Row],[LoanID]],Table1[G-L ID],Table1[ManagerCode],-99)</f>
        <v>119</v>
      </c>
      <c r="T7145"/>
    </row>
    <row r="7146" spans="1:20" x14ac:dyDescent="0.25">
      <c r="A7146">
        <v>20180630</v>
      </c>
      <c r="B7146">
        <v>2018</v>
      </c>
      <c r="C7146">
        <v>6</v>
      </c>
      <c r="D7146">
        <v>1</v>
      </c>
      <c r="E7146">
        <v>12560</v>
      </c>
      <c r="F7146">
        <v>130567.21</v>
      </c>
      <c r="G7146">
        <v>0</v>
      </c>
      <c r="H7146">
        <v>0</v>
      </c>
      <c r="I7146">
        <v>0</v>
      </c>
      <c r="J7146">
        <v>-554596.87</v>
      </c>
      <c r="K7146">
        <v>0</v>
      </c>
      <c r="L7146">
        <v>15904331.91</v>
      </c>
      <c r="M7146">
        <v>16458928.779999999</v>
      </c>
      <c r="N7146">
        <v>15904331.91</v>
      </c>
      <c r="O7146">
        <v>16458928.779999999</v>
      </c>
      <c r="P7146">
        <v>15904331.91</v>
      </c>
      <c r="Q7146">
        <v>16458928.779999999</v>
      </c>
      <c r="R7146" s="14">
        <f>_xlfn.XLOOKUP(Table2[[#This Row],[LoanID]],Table1[G-L ID],Table1[ManagerCode],-99)</f>
        <v>119</v>
      </c>
      <c r="T7146"/>
    </row>
    <row r="7147" spans="1:20" x14ac:dyDescent="0.25">
      <c r="A7147">
        <v>20180630</v>
      </c>
      <c r="B7147">
        <v>2018</v>
      </c>
      <c r="C7147">
        <v>6</v>
      </c>
      <c r="D7147">
        <v>1</v>
      </c>
      <c r="E7147">
        <v>12570</v>
      </c>
      <c r="F7147">
        <v>79314.960000000006</v>
      </c>
      <c r="G7147">
        <v>0</v>
      </c>
      <c r="H7147">
        <v>0</v>
      </c>
      <c r="I7147">
        <v>0</v>
      </c>
      <c r="J7147">
        <v>-344063.09</v>
      </c>
      <c r="K7147">
        <v>0</v>
      </c>
      <c r="L7147">
        <v>8924400</v>
      </c>
      <c r="M7147">
        <v>9268463.0899999999</v>
      </c>
      <c r="N7147">
        <v>8924400</v>
      </c>
      <c r="O7147">
        <v>9268463.0899999999</v>
      </c>
      <c r="P7147">
        <v>8924400</v>
      </c>
      <c r="Q7147">
        <v>9268463.0899999999</v>
      </c>
      <c r="R7147" s="14">
        <f>_xlfn.XLOOKUP(Table2[[#This Row],[LoanID]],Table1[G-L ID],Table1[ManagerCode],-99)</f>
        <v>119</v>
      </c>
      <c r="T7147"/>
    </row>
    <row r="7148" spans="1:20" x14ac:dyDescent="0.25">
      <c r="A7148">
        <v>20180630</v>
      </c>
      <c r="B7148">
        <v>2018</v>
      </c>
      <c r="C7148">
        <v>6</v>
      </c>
      <c r="D7148">
        <v>1</v>
      </c>
      <c r="E7148">
        <v>12580</v>
      </c>
      <c r="F7148">
        <v>172780.66</v>
      </c>
      <c r="G7148">
        <v>0</v>
      </c>
      <c r="H7148">
        <v>0</v>
      </c>
      <c r="I7148">
        <v>0</v>
      </c>
      <c r="J7148">
        <v>0</v>
      </c>
      <c r="K7148">
        <v>0</v>
      </c>
      <c r="L7148">
        <v>18000000</v>
      </c>
      <c r="M7148">
        <v>18000000</v>
      </c>
      <c r="N7148">
        <v>18000000</v>
      </c>
      <c r="O7148">
        <v>18000000</v>
      </c>
      <c r="P7148">
        <v>18000000</v>
      </c>
      <c r="Q7148">
        <v>18000000</v>
      </c>
      <c r="R7148" s="14">
        <f>_xlfn.XLOOKUP(Table2[[#This Row],[LoanID]],Table1[G-L ID],Table1[ManagerCode],-99)</f>
        <v>119</v>
      </c>
      <c r="T7148"/>
    </row>
    <row r="7149" spans="1:20" x14ac:dyDescent="0.25">
      <c r="A7149">
        <v>20180630</v>
      </c>
      <c r="B7149">
        <v>2018</v>
      </c>
      <c r="C7149">
        <v>6</v>
      </c>
      <c r="D7149">
        <v>1</v>
      </c>
      <c r="E7149">
        <v>12590</v>
      </c>
      <c r="F7149">
        <v>81728.92</v>
      </c>
      <c r="G7149">
        <v>0</v>
      </c>
      <c r="H7149">
        <v>0</v>
      </c>
      <c r="I7149">
        <v>0</v>
      </c>
      <c r="J7149">
        <v>0</v>
      </c>
      <c r="K7149">
        <v>0</v>
      </c>
      <c r="L7149">
        <v>8500000</v>
      </c>
      <c r="M7149">
        <v>8500000</v>
      </c>
      <c r="N7149">
        <v>8500000</v>
      </c>
      <c r="O7149">
        <v>8500000</v>
      </c>
      <c r="P7149">
        <v>8500000</v>
      </c>
      <c r="Q7149">
        <v>8500000</v>
      </c>
      <c r="R7149" s="14">
        <f>_xlfn.XLOOKUP(Table2[[#This Row],[LoanID]],Table1[G-L ID],Table1[ManagerCode],-99)</f>
        <v>119</v>
      </c>
      <c r="T7149"/>
    </row>
    <row r="7150" spans="1:20" x14ac:dyDescent="0.25">
      <c r="A7150">
        <v>20180630</v>
      </c>
      <c r="B7150">
        <v>2018</v>
      </c>
      <c r="C7150">
        <v>6</v>
      </c>
      <c r="D7150">
        <v>1</v>
      </c>
      <c r="E7150">
        <v>12600</v>
      </c>
      <c r="F7150">
        <v>244191.52</v>
      </c>
      <c r="G7150">
        <v>0</v>
      </c>
      <c r="H7150">
        <v>0</v>
      </c>
      <c r="I7150">
        <v>0</v>
      </c>
      <c r="J7150">
        <v>0</v>
      </c>
      <c r="K7150">
        <v>0</v>
      </c>
      <c r="L7150">
        <v>27750000</v>
      </c>
      <c r="M7150">
        <v>27750000</v>
      </c>
      <c r="N7150">
        <v>27750000</v>
      </c>
      <c r="O7150">
        <v>27750000</v>
      </c>
      <c r="P7150">
        <v>27750000</v>
      </c>
      <c r="Q7150">
        <v>27750000</v>
      </c>
      <c r="R7150" s="14">
        <f>_xlfn.XLOOKUP(Table2[[#This Row],[LoanID]],Table1[G-L ID],Table1[ManagerCode],-99)</f>
        <v>119</v>
      </c>
      <c r="T7150"/>
    </row>
    <row r="7151" spans="1:20" x14ac:dyDescent="0.25">
      <c r="A7151">
        <v>20180630</v>
      </c>
      <c r="B7151">
        <v>2018</v>
      </c>
      <c r="C7151">
        <v>6</v>
      </c>
      <c r="D7151">
        <v>1</v>
      </c>
      <c r="E7151">
        <v>12610</v>
      </c>
      <c r="F7151">
        <v>74125.990000000005</v>
      </c>
      <c r="G7151">
        <v>0</v>
      </c>
      <c r="H7151">
        <v>0</v>
      </c>
      <c r="I7151">
        <v>0</v>
      </c>
      <c r="J7151">
        <v>0</v>
      </c>
      <c r="K7151">
        <v>0</v>
      </c>
      <c r="L7151">
        <v>8875000</v>
      </c>
      <c r="M7151">
        <v>8875000</v>
      </c>
      <c r="N7151">
        <v>8875000</v>
      </c>
      <c r="O7151">
        <v>8875000</v>
      </c>
      <c r="P7151">
        <v>8875000</v>
      </c>
      <c r="Q7151">
        <v>8875000</v>
      </c>
      <c r="R7151" s="14">
        <f>_xlfn.XLOOKUP(Table2[[#This Row],[LoanID]],Table1[G-L ID],Table1[ManagerCode],-99)</f>
        <v>119</v>
      </c>
      <c r="T7151"/>
    </row>
    <row r="7152" spans="1:20" x14ac:dyDescent="0.25">
      <c r="A7152">
        <v>20180630</v>
      </c>
      <c r="B7152">
        <v>2018</v>
      </c>
      <c r="C7152">
        <v>6</v>
      </c>
      <c r="D7152">
        <v>1</v>
      </c>
      <c r="E7152">
        <v>12620</v>
      </c>
      <c r="F7152">
        <v>48786.75</v>
      </c>
      <c r="G7152">
        <v>0</v>
      </c>
      <c r="H7152">
        <v>0</v>
      </c>
      <c r="I7152">
        <v>0</v>
      </c>
      <c r="J7152">
        <v>0</v>
      </c>
      <c r="K7152">
        <v>0</v>
      </c>
      <c r="L7152">
        <v>5095385.1100000003</v>
      </c>
      <c r="M7152">
        <v>5095385.1100000003</v>
      </c>
      <c r="N7152">
        <v>5095385.1100000003</v>
      </c>
      <c r="O7152">
        <v>5095385.1100000003</v>
      </c>
      <c r="P7152">
        <v>5095385.1100000003</v>
      </c>
      <c r="Q7152">
        <v>5095385.1100000003</v>
      </c>
      <c r="R7152" s="14">
        <f>_xlfn.XLOOKUP(Table2[[#This Row],[LoanID]],Table1[G-L ID],Table1[ManagerCode],-99)</f>
        <v>119</v>
      </c>
      <c r="T7152"/>
    </row>
    <row r="7153" spans="1:20" x14ac:dyDescent="0.25">
      <c r="A7153">
        <v>20180630</v>
      </c>
      <c r="B7153">
        <v>2018</v>
      </c>
      <c r="C7153">
        <v>6</v>
      </c>
      <c r="D7153">
        <v>1</v>
      </c>
      <c r="E7153">
        <v>12630</v>
      </c>
      <c r="F7153">
        <v>118632.18</v>
      </c>
      <c r="G7153">
        <v>0</v>
      </c>
      <c r="H7153">
        <v>0</v>
      </c>
      <c r="I7153">
        <v>0</v>
      </c>
      <c r="J7153">
        <v>0</v>
      </c>
      <c r="K7153">
        <v>0</v>
      </c>
      <c r="L7153">
        <v>13211200.35</v>
      </c>
      <c r="M7153">
        <v>13211200.35</v>
      </c>
      <c r="N7153">
        <v>13211200.35</v>
      </c>
      <c r="O7153">
        <v>13211200.35</v>
      </c>
      <c r="P7153">
        <v>13211200.35</v>
      </c>
      <c r="Q7153">
        <v>13211200.35</v>
      </c>
      <c r="R7153" s="14">
        <f>_xlfn.XLOOKUP(Table2[[#This Row],[LoanID]],Table1[G-L ID],Table1[ManagerCode],-99)</f>
        <v>119</v>
      </c>
      <c r="T7153"/>
    </row>
    <row r="7154" spans="1:20" x14ac:dyDescent="0.25">
      <c r="A7154">
        <v>20180630</v>
      </c>
      <c r="B7154">
        <v>2018</v>
      </c>
      <c r="C7154">
        <v>6</v>
      </c>
      <c r="D7154">
        <v>1</v>
      </c>
      <c r="E7154">
        <v>12640</v>
      </c>
      <c r="F7154">
        <v>85318.82</v>
      </c>
      <c r="G7154">
        <v>0</v>
      </c>
      <c r="H7154">
        <v>0</v>
      </c>
      <c r="I7154">
        <v>0</v>
      </c>
      <c r="J7154">
        <v>0</v>
      </c>
      <c r="K7154">
        <v>0</v>
      </c>
      <c r="L7154">
        <v>8371561.7599999998</v>
      </c>
      <c r="M7154">
        <v>8371561.7599999998</v>
      </c>
      <c r="N7154">
        <v>8371561.7599999998</v>
      </c>
      <c r="O7154">
        <v>8371561.7599999998</v>
      </c>
      <c r="P7154">
        <v>8371561.7599999998</v>
      </c>
      <c r="Q7154">
        <v>8371561.7599999998</v>
      </c>
      <c r="R7154" s="14">
        <f>_xlfn.XLOOKUP(Table2[[#This Row],[LoanID]],Table1[G-L ID],Table1[ManagerCode],-99)</f>
        <v>119</v>
      </c>
      <c r="T7154"/>
    </row>
    <row r="7155" spans="1:20" x14ac:dyDescent="0.25">
      <c r="A7155">
        <v>20180630</v>
      </c>
      <c r="B7155">
        <v>2018</v>
      </c>
      <c r="C7155">
        <v>6</v>
      </c>
      <c r="D7155">
        <v>1</v>
      </c>
      <c r="E7155">
        <v>12650</v>
      </c>
      <c r="F7155">
        <v>328999.09999999998</v>
      </c>
      <c r="G7155">
        <v>0</v>
      </c>
      <c r="H7155">
        <v>0</v>
      </c>
      <c r="I7155">
        <v>0</v>
      </c>
      <c r="J7155">
        <v>0</v>
      </c>
      <c r="K7155">
        <v>0</v>
      </c>
      <c r="L7155">
        <v>111200000</v>
      </c>
      <c r="M7155">
        <v>111200000</v>
      </c>
      <c r="N7155">
        <v>44480000</v>
      </c>
      <c r="O7155">
        <v>44480000</v>
      </c>
      <c r="P7155">
        <v>111200000</v>
      </c>
      <c r="Q7155">
        <v>111200000</v>
      </c>
      <c r="R7155" s="14">
        <f>_xlfn.XLOOKUP(Table2[[#This Row],[LoanID]],Table1[G-L ID],Table1[ManagerCode],-99)</f>
        <v>183</v>
      </c>
      <c r="T7155"/>
    </row>
    <row r="7156" spans="1:20" x14ac:dyDescent="0.25">
      <c r="A7156">
        <v>20180630</v>
      </c>
      <c r="B7156">
        <v>2018</v>
      </c>
      <c r="C7156">
        <v>6</v>
      </c>
      <c r="D7156">
        <v>1</v>
      </c>
      <c r="E7156">
        <v>12660</v>
      </c>
      <c r="F7156">
        <v>110860.66</v>
      </c>
      <c r="G7156">
        <v>0</v>
      </c>
      <c r="H7156">
        <v>0</v>
      </c>
      <c r="I7156">
        <v>0</v>
      </c>
      <c r="J7156">
        <v>0</v>
      </c>
      <c r="K7156">
        <v>0</v>
      </c>
      <c r="L7156">
        <v>47000000</v>
      </c>
      <c r="M7156">
        <v>47000000</v>
      </c>
      <c r="N7156">
        <v>19000000</v>
      </c>
      <c r="O7156">
        <v>19000000</v>
      </c>
      <c r="P7156">
        <v>47000000</v>
      </c>
      <c r="Q7156">
        <v>47000000</v>
      </c>
      <c r="R7156" s="14">
        <f>_xlfn.XLOOKUP(Table2[[#This Row],[LoanID]],Table1[G-L ID],Table1[ManagerCode],-99)</f>
        <v>183</v>
      </c>
      <c r="T7156"/>
    </row>
    <row r="7157" spans="1:20" x14ac:dyDescent="0.25">
      <c r="A7157">
        <v>20180630</v>
      </c>
      <c r="B7157">
        <v>2018</v>
      </c>
      <c r="C7157">
        <v>6</v>
      </c>
      <c r="D7157">
        <v>1</v>
      </c>
      <c r="E7157">
        <v>12670</v>
      </c>
      <c r="F7157">
        <v>58162.94</v>
      </c>
      <c r="G7157">
        <v>0</v>
      </c>
      <c r="H7157">
        <v>0</v>
      </c>
      <c r="I7157">
        <v>0</v>
      </c>
      <c r="J7157">
        <v>0</v>
      </c>
      <c r="K7157">
        <v>0</v>
      </c>
      <c r="L7157">
        <v>15500000</v>
      </c>
      <c r="M7157">
        <v>15500000</v>
      </c>
      <c r="N7157">
        <v>7250000</v>
      </c>
      <c r="O7157">
        <v>7250000</v>
      </c>
      <c r="P7157">
        <v>15500000</v>
      </c>
      <c r="Q7157">
        <v>15500000</v>
      </c>
      <c r="R7157" s="14">
        <f>_xlfn.XLOOKUP(Table2[[#This Row],[LoanID]],Table1[G-L ID],Table1[ManagerCode],-99)</f>
        <v>183</v>
      </c>
      <c r="T7157"/>
    </row>
    <row r="7158" spans="1:20" x14ac:dyDescent="0.25">
      <c r="A7158">
        <v>20180630</v>
      </c>
      <c r="B7158">
        <v>2018</v>
      </c>
      <c r="C7158">
        <v>6</v>
      </c>
      <c r="D7158">
        <v>1</v>
      </c>
      <c r="E7158">
        <v>12680</v>
      </c>
      <c r="F7158">
        <v>149294.29</v>
      </c>
      <c r="G7158">
        <v>0</v>
      </c>
      <c r="H7158">
        <v>0</v>
      </c>
      <c r="I7158">
        <v>0</v>
      </c>
      <c r="J7158">
        <v>0</v>
      </c>
      <c r="K7158">
        <v>0</v>
      </c>
      <c r="L7158">
        <v>16126000</v>
      </c>
      <c r="M7158">
        <v>16126000</v>
      </c>
      <c r="N7158">
        <v>16126000</v>
      </c>
      <c r="O7158">
        <v>16126000</v>
      </c>
      <c r="P7158">
        <v>16126000</v>
      </c>
      <c r="Q7158">
        <v>16126000</v>
      </c>
      <c r="R7158" s="14">
        <f>_xlfn.XLOOKUP(Table2[[#This Row],[LoanID]],Table1[G-L ID],Table1[ManagerCode],-99)</f>
        <v>119</v>
      </c>
      <c r="T7158"/>
    </row>
    <row r="7159" spans="1:20" x14ac:dyDescent="0.25">
      <c r="A7159">
        <v>20180630</v>
      </c>
      <c r="B7159">
        <v>2018</v>
      </c>
      <c r="C7159">
        <v>6</v>
      </c>
      <c r="D7159">
        <v>1</v>
      </c>
      <c r="E7159">
        <v>12690</v>
      </c>
      <c r="F7159">
        <v>94094.56</v>
      </c>
      <c r="G7159">
        <v>0</v>
      </c>
      <c r="H7159">
        <v>0</v>
      </c>
      <c r="I7159">
        <v>0</v>
      </c>
      <c r="J7159">
        <v>0</v>
      </c>
      <c r="K7159">
        <v>0</v>
      </c>
      <c r="L7159">
        <v>10175500</v>
      </c>
      <c r="M7159">
        <v>10175500</v>
      </c>
      <c r="N7159">
        <v>10175500</v>
      </c>
      <c r="O7159">
        <v>10175500</v>
      </c>
      <c r="P7159">
        <v>10175500</v>
      </c>
      <c r="Q7159">
        <v>10175500</v>
      </c>
      <c r="R7159" s="14">
        <f>_xlfn.XLOOKUP(Table2[[#This Row],[LoanID]],Table1[G-L ID],Table1[ManagerCode],-99)</f>
        <v>119</v>
      </c>
      <c r="T7159"/>
    </row>
    <row r="7160" spans="1:20" x14ac:dyDescent="0.25">
      <c r="A7160">
        <v>20180630</v>
      </c>
      <c r="B7160">
        <v>2018</v>
      </c>
      <c r="C7160">
        <v>6</v>
      </c>
      <c r="D7160">
        <v>1</v>
      </c>
      <c r="E7160">
        <v>12700</v>
      </c>
      <c r="F7160">
        <v>221068.75</v>
      </c>
      <c r="G7160">
        <v>0</v>
      </c>
      <c r="H7160">
        <v>0</v>
      </c>
      <c r="I7160">
        <v>0</v>
      </c>
      <c r="J7160">
        <v>0</v>
      </c>
      <c r="K7160">
        <v>0</v>
      </c>
      <c r="L7160">
        <v>25000000</v>
      </c>
      <c r="M7160">
        <v>25000000</v>
      </c>
      <c r="N7160">
        <v>25000000</v>
      </c>
      <c r="O7160">
        <v>25000000</v>
      </c>
      <c r="P7160">
        <v>25000000</v>
      </c>
      <c r="Q7160">
        <v>25000000</v>
      </c>
      <c r="R7160" s="14">
        <f>_xlfn.XLOOKUP(Table2[[#This Row],[LoanID]],Table1[G-L ID],Table1[ManagerCode],-99)</f>
        <v>119</v>
      </c>
      <c r="T7160"/>
    </row>
    <row r="7161" spans="1:20" x14ac:dyDescent="0.25">
      <c r="A7161">
        <v>20180630</v>
      </c>
      <c r="B7161">
        <v>2018</v>
      </c>
      <c r="C7161">
        <v>6</v>
      </c>
      <c r="D7161">
        <v>1</v>
      </c>
      <c r="E7161">
        <v>12710</v>
      </c>
      <c r="F7161">
        <v>86582.07</v>
      </c>
      <c r="G7161">
        <v>0</v>
      </c>
      <c r="H7161">
        <v>0</v>
      </c>
      <c r="I7161">
        <v>0</v>
      </c>
      <c r="J7161">
        <v>0</v>
      </c>
      <c r="K7161">
        <v>0</v>
      </c>
      <c r="L7161">
        <v>9738975</v>
      </c>
      <c r="M7161">
        <v>9738975</v>
      </c>
      <c r="N7161">
        <v>9738975</v>
      </c>
      <c r="O7161">
        <v>9738975</v>
      </c>
      <c r="P7161">
        <v>9738975</v>
      </c>
      <c r="Q7161">
        <v>9738975</v>
      </c>
      <c r="R7161" s="14">
        <f>_xlfn.XLOOKUP(Table2[[#This Row],[LoanID]],Table1[G-L ID],Table1[ManagerCode],-99)</f>
        <v>119</v>
      </c>
      <c r="T7161"/>
    </row>
    <row r="7162" spans="1:20" x14ac:dyDescent="0.25">
      <c r="A7162">
        <v>20180630</v>
      </c>
      <c r="B7162">
        <v>2018</v>
      </c>
      <c r="C7162">
        <v>6</v>
      </c>
      <c r="D7162">
        <v>1</v>
      </c>
      <c r="E7162">
        <v>12720</v>
      </c>
      <c r="F7162">
        <v>-1111.8599999999999</v>
      </c>
      <c r="G7162">
        <v>0</v>
      </c>
      <c r="H7162">
        <v>0</v>
      </c>
      <c r="I7162">
        <v>0</v>
      </c>
      <c r="J7162">
        <v>0</v>
      </c>
      <c r="K7162">
        <v>0</v>
      </c>
      <c r="L7162">
        <v>192400000</v>
      </c>
      <c r="M7162">
        <v>192400000</v>
      </c>
      <c r="N7162">
        <v>90519000</v>
      </c>
      <c r="O7162">
        <v>90519000</v>
      </c>
      <c r="P7162">
        <v>192400000</v>
      </c>
      <c r="Q7162">
        <v>192400000</v>
      </c>
      <c r="R7162" s="14">
        <f>_xlfn.XLOOKUP(Table2[[#This Row],[LoanID]],Table1[G-L ID],Table1[ManagerCode],-99)</f>
        <v>183</v>
      </c>
      <c r="T7162"/>
    </row>
    <row r="7163" spans="1:20" x14ac:dyDescent="0.25">
      <c r="A7163">
        <v>20180630</v>
      </c>
      <c r="B7163">
        <v>2018</v>
      </c>
      <c r="C7163">
        <v>6</v>
      </c>
      <c r="D7163">
        <v>1</v>
      </c>
      <c r="E7163">
        <v>12730</v>
      </c>
      <c r="F7163">
        <v>79609.98</v>
      </c>
      <c r="G7163">
        <v>0</v>
      </c>
      <c r="H7163">
        <v>0</v>
      </c>
      <c r="I7163">
        <v>0</v>
      </c>
      <c r="J7163">
        <v>0</v>
      </c>
      <c r="K7163">
        <v>0</v>
      </c>
      <c r="L7163">
        <v>38460000</v>
      </c>
      <c r="M7163">
        <v>38460000</v>
      </c>
      <c r="N7163">
        <v>13460000</v>
      </c>
      <c r="O7163">
        <v>13460000</v>
      </c>
      <c r="P7163">
        <v>38460000</v>
      </c>
      <c r="Q7163">
        <v>38460000</v>
      </c>
      <c r="R7163" s="14">
        <f>_xlfn.XLOOKUP(Table2[[#This Row],[LoanID]],Table1[G-L ID],Table1[ManagerCode],-99)</f>
        <v>183</v>
      </c>
      <c r="T7163"/>
    </row>
    <row r="7164" spans="1:20" x14ac:dyDescent="0.25">
      <c r="A7164">
        <v>20180630</v>
      </c>
      <c r="B7164">
        <v>2018</v>
      </c>
      <c r="C7164">
        <v>6</v>
      </c>
      <c r="D7164">
        <v>1</v>
      </c>
      <c r="E7164">
        <v>12740</v>
      </c>
      <c r="F7164">
        <v>44687.03</v>
      </c>
      <c r="G7164">
        <v>33445.550000000003</v>
      </c>
      <c r="H7164">
        <v>366300</v>
      </c>
      <c r="I7164">
        <v>0</v>
      </c>
      <c r="J7164">
        <v>-18254915</v>
      </c>
      <c r="K7164">
        <v>0</v>
      </c>
      <c r="L7164">
        <v>0</v>
      </c>
      <c r="M7164">
        <v>18288360.550000001</v>
      </c>
      <c r="N7164">
        <v>0</v>
      </c>
      <c r="O7164">
        <v>18288360.550000001</v>
      </c>
      <c r="P7164">
        <v>0</v>
      </c>
      <c r="Q7164">
        <v>18288360.550000001</v>
      </c>
      <c r="R7164" s="14">
        <f>_xlfn.XLOOKUP(Table2[[#This Row],[LoanID]],Table1[G-L ID],Table1[ManagerCode],-99)</f>
        <v>183</v>
      </c>
      <c r="T7164"/>
    </row>
    <row r="7165" spans="1:20" x14ac:dyDescent="0.25">
      <c r="A7165">
        <v>20180630</v>
      </c>
      <c r="B7165">
        <v>2018</v>
      </c>
      <c r="C7165">
        <v>6</v>
      </c>
      <c r="D7165">
        <v>1</v>
      </c>
      <c r="E7165">
        <v>12750</v>
      </c>
      <c r="F7165">
        <v>-41728.78</v>
      </c>
      <c r="G7165">
        <v>108899.99</v>
      </c>
      <c r="H7165">
        <v>0</v>
      </c>
      <c r="I7165">
        <v>0</v>
      </c>
      <c r="J7165">
        <v>-408492.65</v>
      </c>
      <c r="K7165">
        <v>391360.95</v>
      </c>
      <c r="L7165">
        <v>23388990.899999999</v>
      </c>
      <c r="M7165">
        <v>23906383.539999999</v>
      </c>
      <c r="N7165">
        <v>11779689.77</v>
      </c>
      <c r="O7165">
        <v>11905721.460000001</v>
      </c>
      <c r="P7165">
        <v>23388990.899999999</v>
      </c>
      <c r="Q7165">
        <v>23906383.539999999</v>
      </c>
      <c r="R7165" s="14">
        <f>_xlfn.XLOOKUP(Table2[[#This Row],[LoanID]],Table1[G-L ID],Table1[ManagerCode],-99)</f>
        <v>236</v>
      </c>
      <c r="T7165"/>
    </row>
    <row r="7166" spans="1:20" x14ac:dyDescent="0.25">
      <c r="A7166">
        <v>20180630</v>
      </c>
      <c r="B7166">
        <v>2018</v>
      </c>
      <c r="C7166">
        <v>6</v>
      </c>
      <c r="D7166">
        <v>1</v>
      </c>
      <c r="E7166">
        <v>12760</v>
      </c>
      <c r="F7166">
        <v>-114359.93</v>
      </c>
      <c r="G7166">
        <v>0</v>
      </c>
      <c r="H7166">
        <v>0</v>
      </c>
      <c r="I7166">
        <v>0</v>
      </c>
      <c r="J7166">
        <v>0</v>
      </c>
      <c r="K7166">
        <v>0</v>
      </c>
      <c r="L7166">
        <v>108600000</v>
      </c>
      <c r="M7166">
        <v>108600000</v>
      </c>
      <c r="N7166">
        <v>54300000</v>
      </c>
      <c r="O7166">
        <v>54300000</v>
      </c>
      <c r="P7166">
        <v>108600000</v>
      </c>
      <c r="Q7166">
        <v>108600000</v>
      </c>
      <c r="R7166" s="14">
        <f>_xlfn.XLOOKUP(Table2[[#This Row],[LoanID]],Table1[G-L ID],Table1[ManagerCode],-99)</f>
        <v>236</v>
      </c>
      <c r="T7166"/>
    </row>
    <row r="7167" spans="1:20" x14ac:dyDescent="0.25">
      <c r="A7167">
        <v>20180630</v>
      </c>
      <c r="B7167">
        <v>2018</v>
      </c>
      <c r="C7167">
        <v>6</v>
      </c>
      <c r="D7167">
        <v>1</v>
      </c>
      <c r="E7167">
        <v>12930</v>
      </c>
      <c r="F7167">
        <v>171107.94</v>
      </c>
      <c r="G7167">
        <v>0</v>
      </c>
      <c r="H7167">
        <v>0</v>
      </c>
      <c r="I7167">
        <v>0</v>
      </c>
      <c r="J7167">
        <v>0</v>
      </c>
      <c r="K7167">
        <v>0</v>
      </c>
      <c r="L7167">
        <v>19000000</v>
      </c>
      <c r="M7167">
        <v>19000000</v>
      </c>
      <c r="N7167">
        <v>19000000</v>
      </c>
      <c r="O7167">
        <v>19000000</v>
      </c>
      <c r="P7167">
        <v>19000000</v>
      </c>
      <c r="Q7167">
        <v>19000000</v>
      </c>
      <c r="R7167" s="14">
        <f>_xlfn.XLOOKUP(Table2[[#This Row],[LoanID]],Table1[G-L ID],Table1[ManagerCode],-99)</f>
        <v>119</v>
      </c>
      <c r="T7167"/>
    </row>
    <row r="7168" spans="1:20" x14ac:dyDescent="0.25">
      <c r="A7168">
        <v>20180630</v>
      </c>
      <c r="B7168">
        <v>2018</v>
      </c>
      <c r="C7168">
        <v>6</v>
      </c>
      <c r="D7168">
        <v>1</v>
      </c>
      <c r="E7168">
        <v>12940</v>
      </c>
      <c r="F7168">
        <v>63552.89</v>
      </c>
      <c r="G7168">
        <v>0</v>
      </c>
      <c r="H7168">
        <v>207705.96</v>
      </c>
      <c r="I7168">
        <v>0</v>
      </c>
      <c r="J7168">
        <v>-19000000</v>
      </c>
      <c r="K7168">
        <v>0</v>
      </c>
      <c r="L7168">
        <v>0</v>
      </c>
      <c r="M7168">
        <v>19000000</v>
      </c>
      <c r="N7168">
        <v>0</v>
      </c>
      <c r="O7168">
        <v>19000000</v>
      </c>
      <c r="P7168">
        <v>0</v>
      </c>
      <c r="Q7168">
        <v>19000000</v>
      </c>
      <c r="R7168" s="14">
        <f>_xlfn.XLOOKUP(Table2[[#This Row],[LoanID]],Table1[G-L ID],Table1[ManagerCode],-99)</f>
        <v>119</v>
      </c>
      <c r="T7168"/>
    </row>
    <row r="7169" spans="1:20" x14ac:dyDescent="0.25">
      <c r="A7169">
        <v>20180630</v>
      </c>
      <c r="B7169">
        <v>2018</v>
      </c>
      <c r="C7169">
        <v>6</v>
      </c>
      <c r="D7169">
        <v>1</v>
      </c>
      <c r="E7169">
        <v>12950</v>
      </c>
      <c r="F7169">
        <v>229681.35</v>
      </c>
      <c r="G7169">
        <v>0</v>
      </c>
      <c r="H7169">
        <v>0</v>
      </c>
      <c r="I7169">
        <v>0</v>
      </c>
      <c r="J7169">
        <v>0</v>
      </c>
      <c r="K7169">
        <v>0</v>
      </c>
      <c r="L7169">
        <v>26732750</v>
      </c>
      <c r="M7169">
        <v>26732750</v>
      </c>
      <c r="N7169">
        <v>26732750</v>
      </c>
      <c r="O7169">
        <v>26732750</v>
      </c>
      <c r="P7169">
        <v>26732750</v>
      </c>
      <c r="Q7169">
        <v>26732750</v>
      </c>
      <c r="R7169" s="14">
        <f>_xlfn.XLOOKUP(Table2[[#This Row],[LoanID]],Table1[G-L ID],Table1[ManagerCode],-99)</f>
        <v>119</v>
      </c>
      <c r="T7169"/>
    </row>
    <row r="7170" spans="1:20" x14ac:dyDescent="0.25">
      <c r="A7170">
        <v>20180630</v>
      </c>
      <c r="B7170">
        <v>2018</v>
      </c>
      <c r="C7170">
        <v>6</v>
      </c>
      <c r="D7170">
        <v>1</v>
      </c>
      <c r="E7170">
        <v>12960</v>
      </c>
      <c r="F7170">
        <v>73237.679999999993</v>
      </c>
      <c r="G7170">
        <v>0</v>
      </c>
      <c r="H7170">
        <v>0</v>
      </c>
      <c r="I7170">
        <v>0</v>
      </c>
      <c r="J7170">
        <v>0</v>
      </c>
      <c r="K7170">
        <v>0</v>
      </c>
      <c r="L7170">
        <v>8850000</v>
      </c>
      <c r="M7170">
        <v>8850000</v>
      </c>
      <c r="N7170">
        <v>8850000</v>
      </c>
      <c r="O7170">
        <v>8850000</v>
      </c>
      <c r="P7170">
        <v>8850000</v>
      </c>
      <c r="Q7170">
        <v>8850000</v>
      </c>
      <c r="R7170" s="14">
        <f>_xlfn.XLOOKUP(Table2[[#This Row],[LoanID]],Table1[G-L ID],Table1[ManagerCode],-99)</f>
        <v>119</v>
      </c>
      <c r="T7170"/>
    </row>
    <row r="7171" spans="1:20" x14ac:dyDescent="0.25">
      <c r="A7171">
        <v>20180630</v>
      </c>
      <c r="B7171">
        <v>2018</v>
      </c>
      <c r="C7171">
        <v>6</v>
      </c>
      <c r="D7171">
        <v>1</v>
      </c>
      <c r="E7171">
        <v>12970</v>
      </c>
      <c r="F7171">
        <v>188411.11</v>
      </c>
      <c r="G7171">
        <v>0</v>
      </c>
      <c r="H7171">
        <v>-172500</v>
      </c>
      <c r="I7171">
        <v>0</v>
      </c>
      <c r="J7171">
        <v>30000000</v>
      </c>
      <c r="K7171">
        <v>0</v>
      </c>
      <c r="L7171">
        <v>40000000</v>
      </c>
      <c r="M7171">
        <v>10000000</v>
      </c>
      <c r="N7171">
        <v>40000000</v>
      </c>
      <c r="O7171">
        <v>10000000</v>
      </c>
      <c r="P7171">
        <v>40000000</v>
      </c>
      <c r="Q7171">
        <v>10000000</v>
      </c>
      <c r="R7171" s="14">
        <f>_xlfn.XLOOKUP(Table2[[#This Row],[LoanID]],Table1[G-L ID],Table1[ManagerCode],-99)</f>
        <v>119</v>
      </c>
      <c r="T7171"/>
    </row>
    <row r="7172" spans="1:20" x14ac:dyDescent="0.25">
      <c r="A7172">
        <v>20180630</v>
      </c>
      <c r="B7172">
        <v>2018</v>
      </c>
      <c r="C7172">
        <v>6</v>
      </c>
      <c r="D7172">
        <v>1</v>
      </c>
      <c r="E7172">
        <v>12980</v>
      </c>
      <c r="F7172">
        <v>248538.89</v>
      </c>
      <c r="G7172">
        <v>0</v>
      </c>
      <c r="H7172">
        <v>125625</v>
      </c>
      <c r="I7172">
        <v>0</v>
      </c>
      <c r="J7172">
        <v>-13750000</v>
      </c>
      <c r="K7172">
        <v>0</v>
      </c>
      <c r="L7172">
        <v>0</v>
      </c>
      <c r="M7172">
        <v>13750000</v>
      </c>
      <c r="N7172">
        <v>0</v>
      </c>
      <c r="O7172">
        <v>13750000</v>
      </c>
      <c r="P7172">
        <v>0</v>
      </c>
      <c r="Q7172">
        <v>13750000</v>
      </c>
      <c r="R7172" s="14">
        <f>_xlfn.XLOOKUP(Table2[[#This Row],[LoanID]],Table1[G-L ID],Table1[ManagerCode],-99)</f>
        <v>119</v>
      </c>
      <c r="T7172"/>
    </row>
    <row r="7173" spans="1:20" x14ac:dyDescent="0.25">
      <c r="A7173">
        <v>20180630</v>
      </c>
      <c r="B7173">
        <v>2018</v>
      </c>
      <c r="C7173">
        <v>6</v>
      </c>
      <c r="D7173">
        <v>1</v>
      </c>
      <c r="E7173">
        <v>12990</v>
      </c>
      <c r="F7173">
        <v>0</v>
      </c>
      <c r="G7173">
        <v>0</v>
      </c>
      <c r="H7173">
        <v>1174400</v>
      </c>
      <c r="I7173">
        <v>0</v>
      </c>
      <c r="J7173">
        <v>-129000000</v>
      </c>
      <c r="K7173">
        <v>0</v>
      </c>
      <c r="L7173">
        <v>0</v>
      </c>
      <c r="M7173">
        <v>129000000</v>
      </c>
      <c r="N7173">
        <v>0</v>
      </c>
      <c r="O7173">
        <v>129000000</v>
      </c>
      <c r="P7173">
        <v>0</v>
      </c>
      <c r="Q7173">
        <v>129000000</v>
      </c>
      <c r="R7173" s="14">
        <f>_xlfn.XLOOKUP(Table2[[#This Row],[LoanID]],Table1[G-L ID],Table1[ManagerCode],-99)</f>
        <v>119</v>
      </c>
      <c r="T7173"/>
    </row>
    <row r="7174" spans="1:20" x14ac:dyDescent="0.25">
      <c r="A7174">
        <v>20180630</v>
      </c>
      <c r="B7174">
        <v>2018</v>
      </c>
      <c r="C7174">
        <v>6</v>
      </c>
      <c r="D7174">
        <v>1</v>
      </c>
      <c r="E7174">
        <v>13000</v>
      </c>
      <c r="F7174">
        <v>82707.740000000005</v>
      </c>
      <c r="G7174">
        <v>0</v>
      </c>
      <c r="H7174">
        <v>0</v>
      </c>
      <c r="I7174">
        <v>0</v>
      </c>
      <c r="J7174">
        <v>-5341621.8899999997</v>
      </c>
      <c r="K7174">
        <v>0</v>
      </c>
      <c r="L7174">
        <v>30227455.800000001</v>
      </c>
      <c r="M7174">
        <v>35173979.5</v>
      </c>
      <c r="N7174">
        <v>30227455.800000001</v>
      </c>
      <c r="O7174">
        <v>35173979.5</v>
      </c>
      <c r="P7174">
        <v>30354203.68</v>
      </c>
      <c r="Q7174">
        <v>35695825.57</v>
      </c>
      <c r="R7174" s="14">
        <f>_xlfn.XLOOKUP(Table2[[#This Row],[LoanID]],Table1[G-L ID],Table1[ManagerCode],-99)</f>
        <v>103</v>
      </c>
      <c r="T7174"/>
    </row>
    <row r="7175" spans="1:20" x14ac:dyDescent="0.25">
      <c r="A7175">
        <v>20180630</v>
      </c>
      <c r="B7175">
        <v>2018</v>
      </c>
      <c r="C7175">
        <v>6</v>
      </c>
      <c r="D7175">
        <v>1</v>
      </c>
      <c r="E7175">
        <v>13010</v>
      </c>
      <c r="F7175">
        <v>1400000</v>
      </c>
      <c r="G7175">
        <v>0</v>
      </c>
      <c r="H7175">
        <v>0</v>
      </c>
      <c r="I7175">
        <v>0</v>
      </c>
      <c r="J7175">
        <v>0</v>
      </c>
      <c r="K7175">
        <v>0</v>
      </c>
      <c r="L7175">
        <v>199500000</v>
      </c>
      <c r="M7175">
        <v>197858495</v>
      </c>
      <c r="N7175">
        <v>199500000</v>
      </c>
      <c r="O7175">
        <v>197858495</v>
      </c>
      <c r="P7175">
        <v>210000000</v>
      </c>
      <c r="Q7175">
        <v>210000000</v>
      </c>
      <c r="R7175" s="14">
        <f>_xlfn.XLOOKUP(Table2[[#This Row],[LoanID]],Table1[G-L ID],Table1[ManagerCode],-99)</f>
        <v>103</v>
      </c>
      <c r="T7175"/>
    </row>
    <row r="7176" spans="1:20" x14ac:dyDescent="0.25">
      <c r="A7176">
        <v>20180630</v>
      </c>
      <c r="B7176">
        <v>2018</v>
      </c>
      <c r="C7176">
        <v>6</v>
      </c>
      <c r="D7176">
        <v>1</v>
      </c>
      <c r="E7176">
        <v>13020</v>
      </c>
      <c r="F7176">
        <v>195082.54</v>
      </c>
      <c r="G7176">
        <v>0</v>
      </c>
      <c r="H7176">
        <v>0</v>
      </c>
      <c r="I7176">
        <v>0</v>
      </c>
      <c r="J7176">
        <v>-195082.54</v>
      </c>
      <c r="K7176">
        <v>0</v>
      </c>
      <c r="L7176">
        <v>18878955.579999998</v>
      </c>
      <c r="M7176">
        <v>19074038.120000001</v>
      </c>
      <c r="N7176">
        <v>18878955.579999998</v>
      </c>
      <c r="O7176">
        <v>19074038.120000001</v>
      </c>
      <c r="P7176">
        <v>18878955.579999998</v>
      </c>
      <c r="Q7176">
        <v>19074038.120000001</v>
      </c>
      <c r="R7176" s="14">
        <f>_xlfn.XLOOKUP(Table2[[#This Row],[LoanID]],Table1[G-L ID],Table1[ManagerCode],-99)</f>
        <v>103</v>
      </c>
      <c r="T7176"/>
    </row>
    <row r="7177" spans="1:20" x14ac:dyDescent="0.25">
      <c r="A7177">
        <v>20180630</v>
      </c>
      <c r="B7177">
        <v>2018</v>
      </c>
      <c r="C7177">
        <v>6</v>
      </c>
      <c r="D7177">
        <v>1</v>
      </c>
      <c r="E7177">
        <v>13570</v>
      </c>
      <c r="F7177">
        <v>361615.17</v>
      </c>
      <c r="G7177">
        <v>0</v>
      </c>
      <c r="H7177">
        <v>0</v>
      </c>
      <c r="I7177">
        <v>0</v>
      </c>
      <c r="J7177">
        <v>0</v>
      </c>
      <c r="K7177">
        <v>0</v>
      </c>
      <c r="L7177">
        <v>45269275.049999997</v>
      </c>
      <c r="M7177">
        <v>45299487.100000001</v>
      </c>
      <c r="N7177">
        <v>45269275.049999997</v>
      </c>
      <c r="O7177">
        <v>45299487.100000001</v>
      </c>
      <c r="P7177">
        <v>45800000</v>
      </c>
      <c r="Q7177">
        <v>45800000</v>
      </c>
      <c r="R7177" s="14">
        <f>_xlfn.XLOOKUP(Table2[[#This Row],[LoanID]],Table1[G-L ID],Table1[ManagerCode],-99)</f>
        <v>298</v>
      </c>
      <c r="T7177"/>
    </row>
    <row r="7178" spans="1:20" x14ac:dyDescent="0.25">
      <c r="A7178">
        <v>20180630</v>
      </c>
      <c r="B7178">
        <v>2018</v>
      </c>
      <c r="C7178">
        <v>6</v>
      </c>
      <c r="D7178">
        <v>1</v>
      </c>
      <c r="E7178">
        <v>13580</v>
      </c>
      <c r="F7178">
        <v>429479.17</v>
      </c>
      <c r="G7178">
        <v>0</v>
      </c>
      <c r="H7178">
        <v>0</v>
      </c>
      <c r="I7178">
        <v>0</v>
      </c>
      <c r="J7178">
        <v>0</v>
      </c>
      <c r="K7178">
        <v>0</v>
      </c>
      <c r="L7178">
        <v>63755148.060000002</v>
      </c>
      <c r="M7178">
        <v>63825707.280000001</v>
      </c>
      <c r="N7178">
        <v>63755148.060000002</v>
      </c>
      <c r="O7178">
        <v>63825707.280000001</v>
      </c>
      <c r="P7178">
        <v>66500000</v>
      </c>
      <c r="Q7178">
        <v>66500000</v>
      </c>
      <c r="R7178" s="14">
        <f>_xlfn.XLOOKUP(Table2[[#This Row],[LoanID]],Table1[G-L ID],Table1[ManagerCode],-99)</f>
        <v>298</v>
      </c>
      <c r="T7178"/>
    </row>
    <row r="7179" spans="1:20" x14ac:dyDescent="0.25">
      <c r="A7179">
        <v>20180630</v>
      </c>
      <c r="B7179">
        <v>2018</v>
      </c>
      <c r="C7179">
        <v>6</v>
      </c>
      <c r="D7179">
        <v>1</v>
      </c>
      <c r="E7179">
        <v>13590</v>
      </c>
      <c r="F7179">
        <v>289987.78000000003</v>
      </c>
      <c r="G7179">
        <v>0</v>
      </c>
      <c r="H7179">
        <v>0</v>
      </c>
      <c r="I7179">
        <v>0</v>
      </c>
      <c r="J7179">
        <v>0</v>
      </c>
      <c r="K7179">
        <v>0</v>
      </c>
      <c r="L7179">
        <v>40000000</v>
      </c>
      <c r="M7179">
        <v>40000000</v>
      </c>
      <c r="N7179">
        <v>40000000</v>
      </c>
      <c r="O7179">
        <v>40000000</v>
      </c>
      <c r="P7179">
        <v>40000000</v>
      </c>
      <c r="Q7179">
        <v>40000000</v>
      </c>
      <c r="R7179" s="14">
        <f>_xlfn.XLOOKUP(Table2[[#This Row],[LoanID]],Table1[G-L ID],Table1[ManagerCode],-99)</f>
        <v>298</v>
      </c>
      <c r="T7179"/>
    </row>
    <row r="7180" spans="1:20" x14ac:dyDescent="0.25">
      <c r="A7180">
        <v>20180630</v>
      </c>
      <c r="B7180">
        <v>2018</v>
      </c>
      <c r="C7180">
        <v>6</v>
      </c>
      <c r="D7180">
        <v>1</v>
      </c>
      <c r="E7180">
        <v>13600</v>
      </c>
      <c r="F7180">
        <v>379029.03</v>
      </c>
      <c r="G7180">
        <v>0</v>
      </c>
      <c r="H7180">
        <v>0</v>
      </c>
      <c r="I7180">
        <v>0</v>
      </c>
      <c r="J7180">
        <v>0</v>
      </c>
      <c r="K7180">
        <v>0</v>
      </c>
      <c r="L7180">
        <v>45970000</v>
      </c>
      <c r="M7180">
        <v>45970000</v>
      </c>
      <c r="N7180">
        <v>45970000</v>
      </c>
      <c r="O7180">
        <v>45970000</v>
      </c>
      <c r="P7180">
        <v>45970000</v>
      </c>
      <c r="Q7180">
        <v>45970000</v>
      </c>
      <c r="R7180" s="14">
        <f>_xlfn.XLOOKUP(Table2[[#This Row],[LoanID]],Table1[G-L ID],Table1[ManagerCode],-99)</f>
        <v>298</v>
      </c>
      <c r="T7180"/>
    </row>
    <row r="7181" spans="1:20" x14ac:dyDescent="0.25">
      <c r="A7181">
        <v>20180630</v>
      </c>
      <c r="B7181">
        <v>2018</v>
      </c>
      <c r="C7181">
        <v>6</v>
      </c>
      <c r="D7181">
        <v>1</v>
      </c>
      <c r="E7181">
        <v>13610</v>
      </c>
      <c r="F7181">
        <v>63291.67</v>
      </c>
      <c r="G7181">
        <v>0</v>
      </c>
      <c r="H7181">
        <v>0</v>
      </c>
      <c r="I7181">
        <v>0</v>
      </c>
      <c r="J7181">
        <v>0</v>
      </c>
      <c r="K7181">
        <v>0</v>
      </c>
      <c r="L7181">
        <v>10549064</v>
      </c>
      <c r="M7181">
        <v>10549064</v>
      </c>
      <c r="N7181">
        <v>10549064</v>
      </c>
      <c r="O7181">
        <v>10549064</v>
      </c>
      <c r="P7181">
        <v>10500000</v>
      </c>
      <c r="Q7181">
        <v>10500000</v>
      </c>
      <c r="R7181" s="14">
        <f>_xlfn.XLOOKUP(Table2[[#This Row],[LoanID]],Table1[G-L ID],Table1[ManagerCode],-99)</f>
        <v>298</v>
      </c>
      <c r="T7181"/>
    </row>
    <row r="7182" spans="1:20" x14ac:dyDescent="0.25">
      <c r="A7182">
        <v>20180630</v>
      </c>
      <c r="B7182">
        <v>2018</v>
      </c>
      <c r="C7182">
        <v>6</v>
      </c>
      <c r="D7182">
        <v>1</v>
      </c>
      <c r="E7182">
        <v>13620</v>
      </c>
      <c r="F7182">
        <v>347415.28</v>
      </c>
      <c r="G7182">
        <v>0</v>
      </c>
      <c r="H7182">
        <v>0</v>
      </c>
      <c r="I7182">
        <v>0</v>
      </c>
      <c r="J7182">
        <v>0</v>
      </c>
      <c r="K7182">
        <v>0</v>
      </c>
      <c r="L7182">
        <v>49919787</v>
      </c>
      <c r="M7182">
        <v>49919787</v>
      </c>
      <c r="N7182">
        <v>49919787</v>
      </c>
      <c r="O7182">
        <v>49919787</v>
      </c>
      <c r="P7182">
        <v>50000000</v>
      </c>
      <c r="Q7182">
        <v>50000000</v>
      </c>
      <c r="R7182" s="14">
        <f>_xlfn.XLOOKUP(Table2[[#This Row],[LoanID]],Table1[G-L ID],Table1[ManagerCode],-99)</f>
        <v>298</v>
      </c>
      <c r="T7182"/>
    </row>
    <row r="7183" spans="1:20" x14ac:dyDescent="0.25">
      <c r="A7183">
        <v>20180630</v>
      </c>
      <c r="B7183">
        <v>2018</v>
      </c>
      <c r="C7183">
        <v>6</v>
      </c>
      <c r="D7183">
        <v>1</v>
      </c>
      <c r="E7183">
        <v>13630</v>
      </c>
      <c r="F7183">
        <v>218506.94</v>
      </c>
      <c r="G7183">
        <v>0</v>
      </c>
      <c r="H7183">
        <v>0</v>
      </c>
      <c r="I7183">
        <v>0</v>
      </c>
      <c r="J7183">
        <v>0</v>
      </c>
      <c r="K7183">
        <v>0</v>
      </c>
      <c r="L7183">
        <v>35537284.43</v>
      </c>
      <c r="M7183">
        <v>35537284.43</v>
      </c>
      <c r="N7183">
        <v>35537284.43</v>
      </c>
      <c r="O7183">
        <v>35537284.43</v>
      </c>
      <c r="P7183">
        <v>35000000</v>
      </c>
      <c r="Q7183">
        <v>35000000</v>
      </c>
      <c r="R7183" s="14">
        <f>_xlfn.XLOOKUP(Table2[[#This Row],[LoanID]],Table1[G-L ID],Table1[ManagerCode],-99)</f>
        <v>298</v>
      </c>
      <c r="T7183"/>
    </row>
    <row r="7184" spans="1:20" x14ac:dyDescent="0.25">
      <c r="A7184">
        <v>20180630</v>
      </c>
      <c r="B7184">
        <v>2018</v>
      </c>
      <c r="C7184">
        <v>6</v>
      </c>
      <c r="D7184">
        <v>1</v>
      </c>
      <c r="E7184">
        <v>13640</v>
      </c>
      <c r="F7184">
        <v>226983.51</v>
      </c>
      <c r="G7184">
        <v>0</v>
      </c>
      <c r="H7184">
        <v>0</v>
      </c>
      <c r="I7184">
        <v>0</v>
      </c>
      <c r="J7184">
        <v>0</v>
      </c>
      <c r="K7184">
        <v>0</v>
      </c>
      <c r="L7184">
        <v>30282941</v>
      </c>
      <c r="M7184">
        <v>30282941</v>
      </c>
      <c r="N7184">
        <v>30282941</v>
      </c>
      <c r="O7184">
        <v>30282941</v>
      </c>
      <c r="P7184">
        <v>30125000</v>
      </c>
      <c r="Q7184">
        <v>30125000</v>
      </c>
      <c r="R7184" s="14">
        <f>_xlfn.XLOOKUP(Table2[[#This Row],[LoanID]],Table1[G-L ID],Table1[ManagerCode],-99)</f>
        <v>298</v>
      </c>
      <c r="T7184"/>
    </row>
    <row r="7185" spans="1:20" x14ac:dyDescent="0.25">
      <c r="A7185">
        <v>20180630</v>
      </c>
      <c r="B7185">
        <v>2018</v>
      </c>
      <c r="C7185">
        <v>6</v>
      </c>
      <c r="D7185">
        <v>1</v>
      </c>
      <c r="E7185">
        <v>13650</v>
      </c>
      <c r="F7185">
        <v>223888.89</v>
      </c>
      <c r="G7185">
        <v>0</v>
      </c>
      <c r="H7185">
        <v>0</v>
      </c>
      <c r="I7185">
        <v>0</v>
      </c>
      <c r="J7185">
        <v>0</v>
      </c>
      <c r="K7185">
        <v>0</v>
      </c>
      <c r="L7185">
        <v>38811572</v>
      </c>
      <c r="M7185">
        <v>38811572</v>
      </c>
      <c r="N7185">
        <v>38811572</v>
      </c>
      <c r="O7185">
        <v>38811572</v>
      </c>
      <c r="P7185">
        <v>40000000</v>
      </c>
      <c r="Q7185">
        <v>40000000</v>
      </c>
      <c r="R7185" s="14">
        <f>_xlfn.XLOOKUP(Table2[[#This Row],[LoanID]],Table1[G-L ID],Table1[ManagerCode],-99)</f>
        <v>298</v>
      </c>
      <c r="T7185"/>
    </row>
    <row r="7186" spans="1:20" x14ac:dyDescent="0.25">
      <c r="A7186">
        <v>20180630</v>
      </c>
      <c r="B7186">
        <v>2018</v>
      </c>
      <c r="C7186">
        <v>6</v>
      </c>
      <c r="D7186">
        <v>1</v>
      </c>
      <c r="E7186">
        <v>13660</v>
      </c>
      <c r="F7186">
        <v>117972.22</v>
      </c>
      <c r="G7186">
        <v>0</v>
      </c>
      <c r="H7186">
        <v>0</v>
      </c>
      <c r="I7186">
        <v>0</v>
      </c>
      <c r="J7186">
        <v>0</v>
      </c>
      <c r="K7186">
        <v>0</v>
      </c>
      <c r="L7186">
        <v>18948845</v>
      </c>
      <c r="M7186">
        <v>18948845</v>
      </c>
      <c r="N7186">
        <v>18948845</v>
      </c>
      <c r="O7186">
        <v>18948845</v>
      </c>
      <c r="P7186">
        <v>20000000</v>
      </c>
      <c r="Q7186">
        <v>20000000</v>
      </c>
      <c r="R7186" s="14">
        <f>_xlfn.XLOOKUP(Table2[[#This Row],[LoanID]],Table1[G-L ID],Table1[ManagerCode],-99)</f>
        <v>298</v>
      </c>
      <c r="T7186"/>
    </row>
    <row r="7187" spans="1:20" x14ac:dyDescent="0.25">
      <c r="A7187">
        <v>20180630</v>
      </c>
      <c r="B7187">
        <v>2018</v>
      </c>
      <c r="C7187">
        <v>6</v>
      </c>
      <c r="D7187">
        <v>1</v>
      </c>
      <c r="E7187">
        <v>13670</v>
      </c>
      <c r="F7187">
        <v>336446.88</v>
      </c>
      <c r="G7187">
        <v>0</v>
      </c>
      <c r="H7187">
        <v>0</v>
      </c>
      <c r="I7187">
        <v>0</v>
      </c>
      <c r="J7187">
        <v>0</v>
      </c>
      <c r="K7187">
        <v>0</v>
      </c>
      <c r="L7187">
        <v>37539280.890000001</v>
      </c>
      <c r="M7187">
        <v>37539280.890000001</v>
      </c>
      <c r="N7187">
        <v>37539280.890000001</v>
      </c>
      <c r="O7187">
        <v>37539280.890000001</v>
      </c>
      <c r="P7187">
        <v>37500000</v>
      </c>
      <c r="Q7187">
        <v>37500000</v>
      </c>
      <c r="R7187" s="14">
        <f>_xlfn.XLOOKUP(Table2[[#This Row],[LoanID]],Table1[G-L ID],Table1[ManagerCode],-99)</f>
        <v>298</v>
      </c>
      <c r="T7187"/>
    </row>
    <row r="7188" spans="1:20" x14ac:dyDescent="0.25">
      <c r="A7188">
        <v>20180630</v>
      </c>
      <c r="B7188">
        <v>2018</v>
      </c>
      <c r="C7188">
        <v>6</v>
      </c>
      <c r="D7188">
        <v>1</v>
      </c>
      <c r="E7188">
        <v>13680</v>
      </c>
      <c r="F7188">
        <v>175193.03</v>
      </c>
      <c r="G7188">
        <v>0</v>
      </c>
      <c r="H7188">
        <v>0</v>
      </c>
      <c r="I7188">
        <v>0</v>
      </c>
      <c r="J7188">
        <v>0</v>
      </c>
      <c r="K7188">
        <v>19047.990000000002</v>
      </c>
      <c r="L7188">
        <v>17971328.219999999</v>
      </c>
      <c r="M7188">
        <v>17971328.219999999</v>
      </c>
      <c r="N7188">
        <v>17971328.219999999</v>
      </c>
      <c r="O7188">
        <v>17971328.219999999</v>
      </c>
      <c r="P7188">
        <v>17885712.059999999</v>
      </c>
      <c r="Q7188">
        <v>17866664.07</v>
      </c>
      <c r="R7188" s="14">
        <f>_xlfn.XLOOKUP(Table2[[#This Row],[LoanID]],Table1[G-L ID],Table1[ManagerCode],-99)</f>
        <v>298</v>
      </c>
      <c r="T7188"/>
    </row>
    <row r="7189" spans="1:20" x14ac:dyDescent="0.25">
      <c r="A7189">
        <v>20180630</v>
      </c>
      <c r="B7189">
        <v>2018</v>
      </c>
      <c r="C7189">
        <v>6</v>
      </c>
      <c r="D7189">
        <v>1</v>
      </c>
      <c r="E7189">
        <v>13690</v>
      </c>
      <c r="F7189">
        <v>133472.22</v>
      </c>
      <c r="G7189">
        <v>0</v>
      </c>
      <c r="H7189">
        <v>0</v>
      </c>
      <c r="I7189">
        <v>0</v>
      </c>
      <c r="J7189">
        <v>0</v>
      </c>
      <c r="K7189">
        <v>0</v>
      </c>
      <c r="L7189">
        <v>19779539.27</v>
      </c>
      <c r="M7189">
        <v>19779539.27</v>
      </c>
      <c r="N7189">
        <v>19779539.27</v>
      </c>
      <c r="O7189">
        <v>19779539.27</v>
      </c>
      <c r="P7189">
        <v>20000000</v>
      </c>
      <c r="Q7189">
        <v>20000000</v>
      </c>
      <c r="R7189" s="14">
        <f>_xlfn.XLOOKUP(Table2[[#This Row],[LoanID]],Table1[G-L ID],Table1[ManagerCode],-99)</f>
        <v>298</v>
      </c>
      <c r="T7189"/>
    </row>
    <row r="7190" spans="1:20" x14ac:dyDescent="0.25">
      <c r="A7190">
        <v>20180630</v>
      </c>
      <c r="B7190">
        <v>2018</v>
      </c>
      <c r="C7190">
        <v>6</v>
      </c>
      <c r="D7190">
        <v>1</v>
      </c>
      <c r="E7190">
        <v>14670</v>
      </c>
      <c r="F7190">
        <v>76450.2</v>
      </c>
      <c r="G7190">
        <v>0</v>
      </c>
      <c r="H7190">
        <v>0</v>
      </c>
      <c r="I7190">
        <v>0</v>
      </c>
      <c r="J7190">
        <v>0</v>
      </c>
      <c r="K7190">
        <v>0</v>
      </c>
      <c r="L7190">
        <v>29643907</v>
      </c>
      <c r="M7190">
        <v>29647082</v>
      </c>
      <c r="N7190">
        <v>8595657</v>
      </c>
      <c r="O7190">
        <v>8598832</v>
      </c>
      <c r="P7190">
        <v>29500000</v>
      </c>
      <c r="Q7190">
        <v>29500000</v>
      </c>
      <c r="R7190" s="14">
        <f>_xlfn.XLOOKUP(Table2[[#This Row],[LoanID]],Table1[G-L ID],Table1[ManagerCode],-99)</f>
        <v>220</v>
      </c>
      <c r="T7190"/>
    </row>
    <row r="7191" spans="1:20" x14ac:dyDescent="0.25">
      <c r="A7191">
        <v>20180630</v>
      </c>
      <c r="B7191">
        <v>2018</v>
      </c>
      <c r="C7191">
        <v>6</v>
      </c>
      <c r="D7191">
        <v>1</v>
      </c>
      <c r="E7191">
        <v>14680</v>
      </c>
      <c r="F7191">
        <v>44702.720000000001</v>
      </c>
      <c r="G7191">
        <v>0</v>
      </c>
      <c r="H7191">
        <v>0</v>
      </c>
      <c r="I7191">
        <v>0</v>
      </c>
      <c r="J7191">
        <v>0</v>
      </c>
      <c r="K7191">
        <v>0</v>
      </c>
      <c r="L7191">
        <v>27094912</v>
      </c>
      <c r="M7191">
        <v>27097598</v>
      </c>
      <c r="N7191">
        <v>6844912</v>
      </c>
      <c r="O7191">
        <v>6847598</v>
      </c>
      <c r="P7191">
        <v>27000000</v>
      </c>
      <c r="Q7191">
        <v>27000000</v>
      </c>
      <c r="R7191" s="14">
        <f>_xlfn.XLOOKUP(Table2[[#This Row],[LoanID]],Table1[G-L ID],Table1[ManagerCode],-99)</f>
        <v>220</v>
      </c>
      <c r="T7191"/>
    </row>
    <row r="7192" spans="1:20" x14ac:dyDescent="0.25">
      <c r="A7192">
        <v>20180630</v>
      </c>
      <c r="B7192">
        <v>2018</v>
      </c>
      <c r="C7192">
        <v>6</v>
      </c>
      <c r="D7192">
        <v>1</v>
      </c>
      <c r="E7192">
        <v>14790</v>
      </c>
      <c r="F7192">
        <v>188904.97</v>
      </c>
      <c r="G7192">
        <v>0</v>
      </c>
      <c r="H7192">
        <v>0</v>
      </c>
      <c r="I7192">
        <v>0</v>
      </c>
      <c r="J7192">
        <v>0</v>
      </c>
      <c r="K7192">
        <v>0</v>
      </c>
      <c r="L7192">
        <v>72200000</v>
      </c>
      <c r="M7192">
        <v>72200000</v>
      </c>
      <c r="N7192">
        <v>32200000</v>
      </c>
      <c r="O7192">
        <v>32200000</v>
      </c>
      <c r="P7192">
        <v>72200000</v>
      </c>
      <c r="Q7192">
        <v>72200000</v>
      </c>
      <c r="R7192" s="14">
        <f>_xlfn.XLOOKUP(Table2[[#This Row],[LoanID]],Table1[G-L ID],Table1[ManagerCode],-99)</f>
        <v>220</v>
      </c>
      <c r="T7192"/>
    </row>
    <row r="7193" spans="1:20" x14ac:dyDescent="0.25">
      <c r="A7193">
        <v>20180630</v>
      </c>
      <c r="B7193">
        <v>2018</v>
      </c>
      <c r="C7193">
        <v>6</v>
      </c>
      <c r="D7193">
        <v>1</v>
      </c>
      <c r="E7193">
        <v>14830</v>
      </c>
      <c r="F7193">
        <v>76252.58</v>
      </c>
      <c r="G7193">
        <v>0</v>
      </c>
      <c r="H7193">
        <v>0</v>
      </c>
      <c r="I7193">
        <v>0</v>
      </c>
      <c r="J7193">
        <v>-617338</v>
      </c>
      <c r="K7193">
        <v>0</v>
      </c>
      <c r="L7193">
        <v>33256189</v>
      </c>
      <c r="M7193">
        <v>34362710</v>
      </c>
      <c r="N7193">
        <v>13302475.6</v>
      </c>
      <c r="O7193">
        <v>14408996.6</v>
      </c>
      <c r="P7193">
        <v>33624910</v>
      </c>
      <c r="Q7193">
        <v>34242248</v>
      </c>
      <c r="R7193" s="14">
        <f>_xlfn.XLOOKUP(Table2[[#This Row],[LoanID]],Table1[G-L ID],Table1[ManagerCode],-99)</f>
        <v>220</v>
      </c>
      <c r="T7193"/>
    </row>
    <row r="7194" spans="1:20" x14ac:dyDescent="0.25">
      <c r="A7194">
        <v>20180630</v>
      </c>
      <c r="B7194">
        <v>2018</v>
      </c>
      <c r="C7194">
        <v>6</v>
      </c>
      <c r="D7194">
        <v>1</v>
      </c>
      <c r="E7194">
        <v>14840</v>
      </c>
      <c r="F7194">
        <v>66267.710000000006</v>
      </c>
      <c r="G7194">
        <v>0</v>
      </c>
      <c r="H7194">
        <v>0</v>
      </c>
      <c r="I7194">
        <v>0</v>
      </c>
      <c r="J7194">
        <v>0</v>
      </c>
      <c r="K7194">
        <v>0</v>
      </c>
      <c r="L7194">
        <v>30820000</v>
      </c>
      <c r="M7194">
        <v>30926954</v>
      </c>
      <c r="N7194">
        <v>12328000</v>
      </c>
      <c r="O7194">
        <v>12434954</v>
      </c>
      <c r="P7194">
        <v>30820000</v>
      </c>
      <c r="Q7194">
        <v>30820000</v>
      </c>
      <c r="R7194" s="14">
        <f>_xlfn.XLOOKUP(Table2[[#This Row],[LoanID]],Table1[G-L ID],Table1[ManagerCode],-99)</f>
        <v>220</v>
      </c>
      <c r="T7194"/>
    </row>
    <row r="7195" spans="1:20" x14ac:dyDescent="0.25">
      <c r="A7195">
        <v>20180630</v>
      </c>
      <c r="B7195">
        <v>2018</v>
      </c>
      <c r="C7195">
        <v>6</v>
      </c>
      <c r="D7195">
        <v>1</v>
      </c>
      <c r="E7195">
        <v>14850</v>
      </c>
      <c r="F7195">
        <v>301987.62</v>
      </c>
      <c r="G7195">
        <v>0</v>
      </c>
      <c r="H7195">
        <v>0</v>
      </c>
      <c r="I7195">
        <v>0</v>
      </c>
      <c r="J7195">
        <v>-240502.96</v>
      </c>
      <c r="K7195">
        <v>0</v>
      </c>
      <c r="L7195">
        <v>75450796</v>
      </c>
      <c r="M7195">
        <v>76256536</v>
      </c>
      <c r="N7195">
        <v>75450796</v>
      </c>
      <c r="O7195">
        <v>76256536</v>
      </c>
      <c r="P7195">
        <v>75793926.930000007</v>
      </c>
      <c r="Q7195">
        <v>76034429.890000001</v>
      </c>
      <c r="R7195" s="14">
        <f>_xlfn.XLOOKUP(Table2[[#This Row],[LoanID]],Table1[G-L ID],Table1[ManagerCode],-99)</f>
        <v>220</v>
      </c>
      <c r="T7195"/>
    </row>
    <row r="7196" spans="1:20" x14ac:dyDescent="0.25">
      <c r="A7196">
        <v>20180630</v>
      </c>
      <c r="B7196">
        <v>2018</v>
      </c>
      <c r="C7196">
        <v>6</v>
      </c>
      <c r="D7196">
        <v>1</v>
      </c>
      <c r="E7196">
        <v>14860</v>
      </c>
      <c r="F7196">
        <v>0</v>
      </c>
      <c r="G7196">
        <v>0</v>
      </c>
      <c r="H7196">
        <v>0</v>
      </c>
      <c r="I7196">
        <v>0</v>
      </c>
      <c r="J7196">
        <v>0</v>
      </c>
      <c r="K7196">
        <v>0</v>
      </c>
      <c r="L7196">
        <v>64961983</v>
      </c>
      <c r="M7196">
        <v>64961983</v>
      </c>
      <c r="N7196">
        <v>26102983</v>
      </c>
      <c r="O7196">
        <v>26102983</v>
      </c>
      <c r="P7196">
        <v>64765000</v>
      </c>
      <c r="Q7196">
        <v>64765000</v>
      </c>
      <c r="R7196" s="14">
        <f>_xlfn.XLOOKUP(Table2[[#This Row],[LoanID]],Table1[G-L ID],Table1[ManagerCode],-99)</f>
        <v>220</v>
      </c>
      <c r="T7196"/>
    </row>
    <row r="7197" spans="1:20" x14ac:dyDescent="0.25">
      <c r="A7197">
        <v>20180630</v>
      </c>
      <c r="B7197">
        <v>2018</v>
      </c>
      <c r="C7197">
        <v>6</v>
      </c>
      <c r="D7197">
        <v>1</v>
      </c>
      <c r="E7197">
        <v>14870</v>
      </c>
      <c r="F7197">
        <v>14535.97</v>
      </c>
      <c r="G7197">
        <v>0</v>
      </c>
      <c r="H7197">
        <v>940177.5</v>
      </c>
      <c r="I7197">
        <v>0</v>
      </c>
      <c r="J7197">
        <v>-47357000</v>
      </c>
      <c r="K7197">
        <v>0</v>
      </c>
      <c r="L7197">
        <v>0</v>
      </c>
      <c r="M7197">
        <v>47517532</v>
      </c>
      <c r="N7197">
        <v>0</v>
      </c>
      <c r="O7197">
        <v>47517532</v>
      </c>
      <c r="P7197">
        <v>0</v>
      </c>
      <c r="Q7197">
        <v>47357000</v>
      </c>
      <c r="R7197" s="14">
        <f>_xlfn.XLOOKUP(Table2[[#This Row],[LoanID]],Table1[G-L ID],Table1[ManagerCode],-99)</f>
        <v>220</v>
      </c>
      <c r="T7197"/>
    </row>
    <row r="7198" spans="1:20" x14ac:dyDescent="0.25">
      <c r="A7198">
        <v>20180630</v>
      </c>
      <c r="B7198">
        <v>2018</v>
      </c>
      <c r="C7198">
        <v>6</v>
      </c>
      <c r="D7198">
        <v>1</v>
      </c>
      <c r="E7198">
        <v>14880</v>
      </c>
      <c r="F7198">
        <v>118484.45</v>
      </c>
      <c r="G7198">
        <v>0</v>
      </c>
      <c r="H7198">
        <v>0</v>
      </c>
      <c r="I7198">
        <v>0</v>
      </c>
      <c r="J7198">
        <v>0</v>
      </c>
      <c r="K7198">
        <v>0</v>
      </c>
      <c r="L7198">
        <v>16910309</v>
      </c>
      <c r="M7198">
        <v>16910309</v>
      </c>
      <c r="N7198">
        <v>16910309</v>
      </c>
      <c r="O7198">
        <v>16910309</v>
      </c>
      <c r="P7198">
        <v>16825000</v>
      </c>
      <c r="Q7198">
        <v>16825000</v>
      </c>
      <c r="R7198" s="14">
        <f>_xlfn.XLOOKUP(Table2[[#This Row],[LoanID]],Table1[G-L ID],Table1[ManagerCode],-99)</f>
        <v>220</v>
      </c>
      <c r="T7198"/>
    </row>
    <row r="7199" spans="1:20" x14ac:dyDescent="0.25">
      <c r="A7199">
        <v>20180630</v>
      </c>
      <c r="B7199">
        <v>2018</v>
      </c>
      <c r="C7199">
        <v>6</v>
      </c>
      <c r="D7199">
        <v>1</v>
      </c>
      <c r="E7199">
        <v>14950</v>
      </c>
      <c r="F7199">
        <v>208820.31</v>
      </c>
      <c r="G7199">
        <v>0</v>
      </c>
      <c r="H7199">
        <v>0</v>
      </c>
      <c r="I7199">
        <v>0</v>
      </c>
      <c r="J7199">
        <v>0</v>
      </c>
      <c r="K7199">
        <v>0</v>
      </c>
      <c r="L7199">
        <v>35000000</v>
      </c>
      <c r="M7199">
        <v>35000000</v>
      </c>
      <c r="N7199">
        <v>35000000</v>
      </c>
      <c r="O7199">
        <v>35000000</v>
      </c>
      <c r="P7199">
        <v>35000000</v>
      </c>
      <c r="Q7199">
        <v>35000000</v>
      </c>
      <c r="R7199" s="14">
        <f>_xlfn.XLOOKUP(Table2[[#This Row],[LoanID]],Table1[G-L ID],Table1[ManagerCode],-99)</f>
        <v>220</v>
      </c>
      <c r="T7199"/>
    </row>
    <row r="7200" spans="1:20" x14ac:dyDescent="0.25">
      <c r="A7200">
        <v>20180630</v>
      </c>
      <c r="B7200">
        <v>2018</v>
      </c>
      <c r="C7200">
        <v>6</v>
      </c>
      <c r="D7200">
        <v>1</v>
      </c>
      <c r="E7200">
        <v>14960</v>
      </c>
      <c r="F7200">
        <v>113862.37</v>
      </c>
      <c r="G7200">
        <v>0</v>
      </c>
      <c r="H7200">
        <v>0</v>
      </c>
      <c r="I7200">
        <v>0</v>
      </c>
      <c r="J7200">
        <v>0</v>
      </c>
      <c r="K7200">
        <v>0</v>
      </c>
      <c r="L7200">
        <v>13277373.310000001</v>
      </c>
      <c r="M7200">
        <v>13280000</v>
      </c>
      <c r="N7200">
        <v>13277373.310000001</v>
      </c>
      <c r="O7200">
        <v>13280000</v>
      </c>
      <c r="P7200">
        <v>13277373.310000001</v>
      </c>
      <c r="Q7200">
        <v>13277373.310000001</v>
      </c>
      <c r="R7200" s="14">
        <f>_xlfn.XLOOKUP(Table2[[#This Row],[LoanID]],Table1[G-L ID],Table1[ManagerCode],-99)</f>
        <v>220</v>
      </c>
      <c r="T7200"/>
    </row>
    <row r="7201" spans="1:20" x14ac:dyDescent="0.25">
      <c r="A7201">
        <v>20180630</v>
      </c>
      <c r="B7201">
        <v>2018</v>
      </c>
      <c r="C7201">
        <v>6</v>
      </c>
      <c r="D7201">
        <v>1</v>
      </c>
      <c r="E7201">
        <v>15030</v>
      </c>
      <c r="F7201">
        <v>81417.5</v>
      </c>
      <c r="G7201">
        <v>0</v>
      </c>
      <c r="H7201">
        <v>0</v>
      </c>
      <c r="I7201">
        <v>0</v>
      </c>
      <c r="J7201">
        <v>-48722.46</v>
      </c>
      <c r="K7201">
        <v>0</v>
      </c>
      <c r="L7201">
        <v>37191328</v>
      </c>
      <c r="M7201">
        <v>37451916</v>
      </c>
      <c r="N7201">
        <v>13361991.220000001</v>
      </c>
      <c r="O7201">
        <v>13622579.220000001</v>
      </c>
      <c r="P7201">
        <v>37245359.530000001</v>
      </c>
      <c r="Q7201">
        <v>37294081.990000002</v>
      </c>
      <c r="R7201" s="14">
        <f>_xlfn.XLOOKUP(Table2[[#This Row],[LoanID]],Table1[G-L ID],Table1[ManagerCode],-99)</f>
        <v>220</v>
      </c>
      <c r="T7201"/>
    </row>
    <row r="7202" spans="1:20" x14ac:dyDescent="0.25">
      <c r="A7202">
        <v>20180630</v>
      </c>
      <c r="B7202">
        <v>2018</v>
      </c>
      <c r="C7202">
        <v>6</v>
      </c>
      <c r="D7202">
        <v>1</v>
      </c>
      <c r="E7202">
        <v>15540</v>
      </c>
      <c r="F7202">
        <v>270029.38</v>
      </c>
      <c r="G7202">
        <v>-5123.13</v>
      </c>
      <c r="H7202">
        <v>71250</v>
      </c>
      <c r="I7202">
        <v>-2260.42</v>
      </c>
      <c r="J7202">
        <v>0</v>
      </c>
      <c r="K7202">
        <v>0</v>
      </c>
      <c r="L7202">
        <v>52770029.380000003</v>
      </c>
      <c r="M7202">
        <v>52764906.25</v>
      </c>
      <c r="N7202">
        <v>52770029.380000003</v>
      </c>
      <c r="O7202">
        <v>52764906.25</v>
      </c>
      <c r="P7202">
        <v>52770029.380000003</v>
      </c>
      <c r="Q7202">
        <v>52764906.25</v>
      </c>
      <c r="R7202" s="14">
        <f>_xlfn.XLOOKUP(Table2[[#This Row],[LoanID]],Table1[G-L ID],Table1[ManagerCode],-99)</f>
        <v>212</v>
      </c>
      <c r="T7202"/>
    </row>
    <row r="7203" spans="1:20" x14ac:dyDescent="0.25">
      <c r="A7203">
        <v>20180630</v>
      </c>
      <c r="B7203">
        <v>2018</v>
      </c>
      <c r="C7203">
        <v>6</v>
      </c>
      <c r="D7203">
        <v>1</v>
      </c>
      <c r="E7203">
        <v>15580</v>
      </c>
      <c r="F7203">
        <v>115935.4</v>
      </c>
      <c r="G7203">
        <v>-3797.4</v>
      </c>
      <c r="H7203">
        <v>0</v>
      </c>
      <c r="I7203">
        <v>0</v>
      </c>
      <c r="J7203">
        <v>0</v>
      </c>
      <c r="K7203">
        <v>7465.91</v>
      </c>
      <c r="L7203">
        <v>14671033.560000001</v>
      </c>
      <c r="M7203">
        <v>14659770.25</v>
      </c>
      <c r="N7203">
        <v>14671033.560000001</v>
      </c>
      <c r="O7203">
        <v>14659770.25</v>
      </c>
      <c r="P7203">
        <v>14671033.560000001</v>
      </c>
      <c r="Q7203">
        <v>14659770.25</v>
      </c>
      <c r="R7203" s="14">
        <f>_xlfn.XLOOKUP(Table2[[#This Row],[LoanID]],Table1[G-L ID],Table1[ManagerCode],-99)</f>
        <v>212</v>
      </c>
      <c r="T7203"/>
    </row>
    <row r="7204" spans="1:20" x14ac:dyDescent="0.25">
      <c r="A7204">
        <v>20180630</v>
      </c>
      <c r="B7204">
        <v>2018</v>
      </c>
      <c r="C7204">
        <v>6</v>
      </c>
      <c r="D7204">
        <v>1</v>
      </c>
      <c r="E7204">
        <v>15610</v>
      </c>
      <c r="F7204">
        <v>710451.55</v>
      </c>
      <c r="G7204">
        <v>812.45</v>
      </c>
      <c r="H7204">
        <v>2304000</v>
      </c>
      <c r="I7204">
        <v>0</v>
      </c>
      <c r="J7204">
        <v>-198400000</v>
      </c>
      <c r="K7204">
        <v>0</v>
      </c>
      <c r="L7204">
        <v>0</v>
      </c>
      <c r="M7204">
        <v>198400812.5</v>
      </c>
      <c r="N7204">
        <v>0</v>
      </c>
      <c r="O7204">
        <v>198400812.5</v>
      </c>
      <c r="P7204">
        <v>0</v>
      </c>
      <c r="Q7204">
        <v>198400812.5</v>
      </c>
      <c r="R7204" s="14">
        <f>_xlfn.XLOOKUP(Table2[[#This Row],[LoanID]],Table1[G-L ID],Table1[ManagerCode],-99)</f>
        <v>212</v>
      </c>
      <c r="T7204"/>
    </row>
    <row r="7205" spans="1:20" x14ac:dyDescent="0.25">
      <c r="A7205">
        <v>20180630</v>
      </c>
      <c r="B7205">
        <v>2018</v>
      </c>
      <c r="C7205">
        <v>6</v>
      </c>
      <c r="D7205">
        <v>1</v>
      </c>
      <c r="E7205">
        <v>15620</v>
      </c>
      <c r="F7205">
        <v>320586.5</v>
      </c>
      <c r="G7205">
        <v>-5011.5</v>
      </c>
      <c r="H7205">
        <v>0</v>
      </c>
      <c r="I7205">
        <v>-3358.33</v>
      </c>
      <c r="J7205">
        <v>0</v>
      </c>
      <c r="K7205">
        <v>0</v>
      </c>
      <c r="L7205">
        <v>78320586.5</v>
      </c>
      <c r="M7205">
        <v>78315575</v>
      </c>
      <c r="N7205">
        <v>78320586.5</v>
      </c>
      <c r="O7205">
        <v>78315575</v>
      </c>
      <c r="P7205">
        <v>78320586.5</v>
      </c>
      <c r="Q7205">
        <v>78315575</v>
      </c>
      <c r="R7205" s="14">
        <f>_xlfn.XLOOKUP(Table2[[#This Row],[LoanID]],Table1[G-L ID],Table1[ManagerCode],-99)</f>
        <v>212</v>
      </c>
      <c r="T7205"/>
    </row>
    <row r="7206" spans="1:20" x14ac:dyDescent="0.25">
      <c r="A7206">
        <v>20180731</v>
      </c>
      <c r="B7206">
        <v>2018</v>
      </c>
      <c r="C7206">
        <v>7</v>
      </c>
      <c r="D7206">
        <v>1</v>
      </c>
      <c r="E7206">
        <v>10010</v>
      </c>
      <c r="F7206">
        <v>208165.36</v>
      </c>
      <c r="G7206">
        <v>0</v>
      </c>
      <c r="H7206">
        <v>0</v>
      </c>
      <c r="I7206">
        <v>0</v>
      </c>
      <c r="J7206">
        <v>0</v>
      </c>
      <c r="K7206">
        <v>31205.53</v>
      </c>
      <c r="L7206">
        <v>21925710</v>
      </c>
      <c r="M7206">
        <v>21894504.469999999</v>
      </c>
      <c r="N7206">
        <v>21925710</v>
      </c>
      <c r="O7206">
        <v>21894504.469999999</v>
      </c>
      <c r="P7206">
        <v>21925710</v>
      </c>
      <c r="Q7206">
        <v>21894504.469999999</v>
      </c>
      <c r="R7206" s="14">
        <f>_xlfn.XLOOKUP(Table2[[#This Row],[LoanID]],Table1[G-L ID],Table1[ManagerCode],-99)</f>
        <v>119</v>
      </c>
      <c r="T7206"/>
    </row>
    <row r="7207" spans="1:20" x14ac:dyDescent="0.25">
      <c r="A7207">
        <v>20180731</v>
      </c>
      <c r="B7207">
        <v>2018</v>
      </c>
      <c r="C7207">
        <v>7</v>
      </c>
      <c r="D7207">
        <v>1</v>
      </c>
      <c r="E7207">
        <v>10030</v>
      </c>
      <c r="F7207">
        <v>89682.77</v>
      </c>
      <c r="G7207">
        <v>0</v>
      </c>
      <c r="H7207">
        <v>0</v>
      </c>
      <c r="I7207">
        <v>0</v>
      </c>
      <c r="J7207">
        <v>0</v>
      </c>
      <c r="K7207">
        <v>0</v>
      </c>
      <c r="L7207">
        <v>9613797.1799999997</v>
      </c>
      <c r="M7207">
        <v>9613797.1799999997</v>
      </c>
      <c r="N7207">
        <v>9613797.1799999997</v>
      </c>
      <c r="O7207">
        <v>9613797.1799999997</v>
      </c>
      <c r="P7207">
        <v>9613797.1799999997</v>
      </c>
      <c r="Q7207">
        <v>9613797.1799999997</v>
      </c>
      <c r="R7207" s="14">
        <f>_xlfn.XLOOKUP(Table2[[#This Row],[LoanID]],Table1[G-L ID],Table1[ManagerCode],-99)</f>
        <v>119</v>
      </c>
      <c r="T7207"/>
    </row>
    <row r="7208" spans="1:20" x14ac:dyDescent="0.25">
      <c r="A7208">
        <v>20180731</v>
      </c>
      <c r="B7208">
        <v>2018</v>
      </c>
      <c r="C7208">
        <v>7</v>
      </c>
      <c r="D7208">
        <v>1</v>
      </c>
      <c r="E7208">
        <v>10050</v>
      </c>
      <c r="F7208">
        <v>149013.89000000001</v>
      </c>
      <c r="G7208">
        <v>0</v>
      </c>
      <c r="H7208">
        <v>0</v>
      </c>
      <c r="I7208">
        <v>-69.45</v>
      </c>
      <c r="J7208">
        <v>0</v>
      </c>
      <c r="K7208">
        <v>0</v>
      </c>
      <c r="L7208">
        <v>36088804</v>
      </c>
      <c r="M7208">
        <v>36088803.920000002</v>
      </c>
      <c r="N7208">
        <v>36088804</v>
      </c>
      <c r="O7208">
        <v>36088803.920000002</v>
      </c>
      <c r="P7208">
        <v>33333334</v>
      </c>
      <c r="Q7208">
        <v>33333334</v>
      </c>
      <c r="R7208" s="14">
        <f>_xlfn.XLOOKUP(Table2[[#This Row],[LoanID]],Table1[G-L ID],Table1[ManagerCode],-99)</f>
        <v>103</v>
      </c>
      <c r="T7208"/>
    </row>
    <row r="7209" spans="1:20" x14ac:dyDescent="0.25">
      <c r="A7209">
        <v>20180731</v>
      </c>
      <c r="B7209">
        <v>2018</v>
      </c>
      <c r="C7209">
        <v>7</v>
      </c>
      <c r="D7209">
        <v>1</v>
      </c>
      <c r="E7209">
        <v>10070</v>
      </c>
      <c r="F7209">
        <v>70010.41</v>
      </c>
      <c r="G7209">
        <v>0</v>
      </c>
      <c r="H7209">
        <v>0</v>
      </c>
      <c r="I7209">
        <v>0</v>
      </c>
      <c r="J7209">
        <v>0</v>
      </c>
      <c r="K7209">
        <v>0</v>
      </c>
      <c r="L7209">
        <v>5875000</v>
      </c>
      <c r="M7209">
        <v>5875000</v>
      </c>
      <c r="N7209">
        <v>5875000</v>
      </c>
      <c r="O7209">
        <v>5875000</v>
      </c>
      <c r="P7209">
        <v>5875000</v>
      </c>
      <c r="Q7209">
        <v>5875000</v>
      </c>
      <c r="R7209" s="14">
        <f>_xlfn.XLOOKUP(Table2[[#This Row],[LoanID]],Table1[G-L ID],Table1[ManagerCode],-99)</f>
        <v>119</v>
      </c>
      <c r="T7209"/>
    </row>
    <row r="7210" spans="1:20" x14ac:dyDescent="0.25">
      <c r="A7210">
        <v>20180731</v>
      </c>
      <c r="B7210">
        <v>2018</v>
      </c>
      <c r="C7210">
        <v>7</v>
      </c>
      <c r="D7210">
        <v>1</v>
      </c>
      <c r="E7210">
        <v>10220</v>
      </c>
      <c r="F7210">
        <v>0</v>
      </c>
      <c r="G7210">
        <v>0</v>
      </c>
      <c r="H7210">
        <v>0</v>
      </c>
      <c r="I7210">
        <v>0</v>
      </c>
      <c r="J7210">
        <v>0</v>
      </c>
      <c r="K7210">
        <v>0</v>
      </c>
      <c r="L7210">
        <v>109734846</v>
      </c>
      <c r="M7210">
        <v>109734846</v>
      </c>
      <c r="N7210">
        <v>109734846</v>
      </c>
      <c r="O7210">
        <v>109734846</v>
      </c>
      <c r="P7210">
        <v>100000000</v>
      </c>
      <c r="Q7210">
        <v>100000000</v>
      </c>
      <c r="R7210" s="14">
        <f>_xlfn.XLOOKUP(Table2[[#This Row],[LoanID]],Table1[G-L ID],Table1[ManagerCode],-99)</f>
        <v>103</v>
      </c>
      <c r="T7210"/>
    </row>
    <row r="7211" spans="1:20" x14ac:dyDescent="0.25">
      <c r="A7211">
        <v>20180731</v>
      </c>
      <c r="B7211">
        <v>2018</v>
      </c>
      <c r="C7211">
        <v>7</v>
      </c>
      <c r="D7211">
        <v>1</v>
      </c>
      <c r="E7211">
        <v>10250</v>
      </c>
      <c r="F7211">
        <v>55641.67</v>
      </c>
      <c r="G7211">
        <v>0</v>
      </c>
      <c r="H7211">
        <v>0</v>
      </c>
      <c r="I7211">
        <v>0</v>
      </c>
      <c r="J7211">
        <v>0</v>
      </c>
      <c r="K7211">
        <v>0</v>
      </c>
      <c r="L7211">
        <v>5000000</v>
      </c>
      <c r="M7211">
        <v>5000000</v>
      </c>
      <c r="N7211">
        <v>5000000</v>
      </c>
      <c r="O7211">
        <v>5000000</v>
      </c>
      <c r="P7211">
        <v>5000000</v>
      </c>
      <c r="Q7211">
        <v>5000000</v>
      </c>
      <c r="R7211" s="14">
        <f>_xlfn.XLOOKUP(Table2[[#This Row],[LoanID]],Table1[G-L ID],Table1[ManagerCode],-99)</f>
        <v>119</v>
      </c>
      <c r="T7211"/>
    </row>
    <row r="7212" spans="1:20" x14ac:dyDescent="0.25">
      <c r="A7212">
        <v>20180731</v>
      </c>
      <c r="B7212">
        <v>2018</v>
      </c>
      <c r="C7212">
        <v>7</v>
      </c>
      <c r="D7212">
        <v>1</v>
      </c>
      <c r="E7212">
        <v>10270</v>
      </c>
      <c r="F7212">
        <v>49598.25</v>
      </c>
      <c r="G7212">
        <v>0</v>
      </c>
      <c r="H7212">
        <v>0</v>
      </c>
      <c r="I7212">
        <v>0</v>
      </c>
      <c r="J7212">
        <v>0</v>
      </c>
      <c r="K7212">
        <v>0</v>
      </c>
      <c r="L7212">
        <v>4500000</v>
      </c>
      <c r="M7212">
        <v>4500000</v>
      </c>
      <c r="N7212">
        <v>4500000</v>
      </c>
      <c r="O7212">
        <v>4500000</v>
      </c>
      <c r="P7212">
        <v>4500000</v>
      </c>
      <c r="Q7212">
        <v>4500000</v>
      </c>
      <c r="R7212" s="14">
        <f>_xlfn.XLOOKUP(Table2[[#This Row],[LoanID]],Table1[G-L ID],Table1[ManagerCode],-99)</f>
        <v>119</v>
      </c>
      <c r="T7212"/>
    </row>
    <row r="7213" spans="1:20" x14ac:dyDescent="0.25">
      <c r="A7213">
        <v>20180731</v>
      </c>
      <c r="B7213">
        <v>2018</v>
      </c>
      <c r="C7213">
        <v>7</v>
      </c>
      <c r="D7213">
        <v>1</v>
      </c>
      <c r="E7213">
        <v>10330</v>
      </c>
      <c r="F7213">
        <v>90702.55</v>
      </c>
      <c r="G7213">
        <v>0</v>
      </c>
      <c r="H7213">
        <v>0</v>
      </c>
      <c r="I7213">
        <v>0</v>
      </c>
      <c r="J7213">
        <v>0</v>
      </c>
      <c r="K7213">
        <v>0</v>
      </c>
      <c r="L7213">
        <v>8652759.6999999993</v>
      </c>
      <c r="M7213">
        <v>8652759.6999999993</v>
      </c>
      <c r="N7213">
        <v>8652759.6999999993</v>
      </c>
      <c r="O7213">
        <v>8652759.6999999993</v>
      </c>
      <c r="P7213">
        <v>8652759.6999999993</v>
      </c>
      <c r="Q7213">
        <v>8652759.6999999993</v>
      </c>
      <c r="R7213" s="14">
        <f>_xlfn.XLOOKUP(Table2[[#This Row],[LoanID]],Table1[G-L ID],Table1[ManagerCode],-99)</f>
        <v>119</v>
      </c>
      <c r="T7213"/>
    </row>
    <row r="7214" spans="1:20" x14ac:dyDescent="0.25">
      <c r="A7214">
        <v>20180731</v>
      </c>
      <c r="B7214">
        <v>2018</v>
      </c>
      <c r="C7214">
        <v>7</v>
      </c>
      <c r="D7214">
        <v>1</v>
      </c>
      <c r="E7214">
        <v>10360</v>
      </c>
      <c r="F7214">
        <v>57858.96</v>
      </c>
      <c r="G7214">
        <v>0</v>
      </c>
      <c r="H7214">
        <v>0</v>
      </c>
      <c r="I7214">
        <v>0</v>
      </c>
      <c r="J7214">
        <v>0</v>
      </c>
      <c r="K7214">
        <v>0</v>
      </c>
      <c r="L7214">
        <v>5909000</v>
      </c>
      <c r="M7214">
        <v>5909000</v>
      </c>
      <c r="N7214">
        <v>5909000</v>
      </c>
      <c r="O7214">
        <v>5909000</v>
      </c>
      <c r="P7214">
        <v>5909000</v>
      </c>
      <c r="Q7214">
        <v>5909000</v>
      </c>
      <c r="R7214" s="14">
        <f>_xlfn.XLOOKUP(Table2[[#This Row],[LoanID]],Table1[G-L ID],Table1[ManagerCode],-99)</f>
        <v>183</v>
      </c>
      <c r="T7214"/>
    </row>
    <row r="7215" spans="1:20" x14ac:dyDescent="0.25">
      <c r="A7215">
        <v>20180731</v>
      </c>
      <c r="B7215">
        <v>2018</v>
      </c>
      <c r="C7215">
        <v>7</v>
      </c>
      <c r="D7215">
        <v>1</v>
      </c>
      <c r="E7215">
        <v>10480</v>
      </c>
      <c r="F7215">
        <v>169076.75</v>
      </c>
      <c r="G7215">
        <v>0</v>
      </c>
      <c r="H7215">
        <v>0</v>
      </c>
      <c r="I7215">
        <v>0</v>
      </c>
      <c r="J7215">
        <v>-100000</v>
      </c>
      <c r="K7215">
        <v>0</v>
      </c>
      <c r="L7215">
        <v>18123440.300000001</v>
      </c>
      <c r="M7215">
        <v>18223440.300000001</v>
      </c>
      <c r="N7215">
        <v>18123440.300000001</v>
      </c>
      <c r="O7215">
        <v>18223440.300000001</v>
      </c>
      <c r="P7215">
        <v>18123440.300000001</v>
      </c>
      <c r="Q7215">
        <v>18223440.300000001</v>
      </c>
      <c r="R7215" s="14">
        <f>_xlfn.XLOOKUP(Table2[[#This Row],[LoanID]],Table1[G-L ID],Table1[ManagerCode],-99)</f>
        <v>119</v>
      </c>
      <c r="T7215"/>
    </row>
    <row r="7216" spans="1:20" x14ac:dyDescent="0.25">
      <c r="A7216">
        <v>20180731</v>
      </c>
      <c r="B7216">
        <v>2018</v>
      </c>
      <c r="C7216">
        <v>7</v>
      </c>
      <c r="D7216">
        <v>1</v>
      </c>
      <c r="E7216">
        <v>10620</v>
      </c>
      <c r="F7216">
        <v>127606.44</v>
      </c>
      <c r="G7216">
        <v>0</v>
      </c>
      <c r="H7216">
        <v>0</v>
      </c>
      <c r="I7216">
        <v>0</v>
      </c>
      <c r="J7216">
        <v>-185183.54</v>
      </c>
      <c r="K7216">
        <v>0</v>
      </c>
      <c r="L7216">
        <v>12065782.560000001</v>
      </c>
      <c r="M7216">
        <v>12250966.1</v>
      </c>
      <c r="N7216">
        <v>12065782.560000001</v>
      </c>
      <c r="O7216">
        <v>12250966.1</v>
      </c>
      <c r="P7216">
        <v>12065782.560000001</v>
      </c>
      <c r="Q7216">
        <v>12250966.1</v>
      </c>
      <c r="R7216" s="14">
        <f>_xlfn.XLOOKUP(Table2[[#This Row],[LoanID]],Table1[G-L ID],Table1[ManagerCode],-99)</f>
        <v>119</v>
      </c>
      <c r="T7216"/>
    </row>
    <row r="7217" spans="1:20" x14ac:dyDescent="0.25">
      <c r="A7217">
        <v>20180731</v>
      </c>
      <c r="B7217">
        <v>2018</v>
      </c>
      <c r="C7217">
        <v>7</v>
      </c>
      <c r="D7217">
        <v>1</v>
      </c>
      <c r="E7217">
        <v>10730</v>
      </c>
      <c r="F7217">
        <v>109457.42</v>
      </c>
      <c r="G7217">
        <v>0</v>
      </c>
      <c r="H7217">
        <v>0</v>
      </c>
      <c r="I7217">
        <v>0</v>
      </c>
      <c r="J7217">
        <v>0</v>
      </c>
      <c r="K7217">
        <v>0</v>
      </c>
      <c r="L7217">
        <v>9500000</v>
      </c>
      <c r="M7217">
        <v>9500000</v>
      </c>
      <c r="N7217">
        <v>9500000</v>
      </c>
      <c r="O7217">
        <v>9500000</v>
      </c>
      <c r="P7217">
        <v>9500000</v>
      </c>
      <c r="Q7217">
        <v>9500000</v>
      </c>
      <c r="R7217" s="14">
        <f>_xlfn.XLOOKUP(Table2[[#This Row],[LoanID]],Table1[G-L ID],Table1[ManagerCode],-99)</f>
        <v>119</v>
      </c>
      <c r="T7217"/>
    </row>
    <row r="7218" spans="1:20" x14ac:dyDescent="0.25">
      <c r="A7218">
        <v>20180731</v>
      </c>
      <c r="B7218">
        <v>2018</v>
      </c>
      <c r="C7218">
        <v>7</v>
      </c>
      <c r="D7218">
        <v>1</v>
      </c>
      <c r="E7218">
        <v>10750</v>
      </c>
      <c r="F7218">
        <v>206438.84</v>
      </c>
      <c r="G7218">
        <v>0</v>
      </c>
      <c r="H7218">
        <v>0</v>
      </c>
      <c r="I7218">
        <v>0</v>
      </c>
      <c r="J7218">
        <v>0</v>
      </c>
      <c r="K7218">
        <v>0</v>
      </c>
      <c r="L7218">
        <v>8757259.9600000009</v>
      </c>
      <c r="M7218">
        <v>8757259.9600000009</v>
      </c>
      <c r="N7218">
        <v>8757259.9600000009</v>
      </c>
      <c r="O7218">
        <v>8757259.9600000009</v>
      </c>
      <c r="P7218">
        <v>8757259.9600000009</v>
      </c>
      <c r="Q7218">
        <v>8757259.9600000009</v>
      </c>
      <c r="R7218" s="14">
        <f>_xlfn.XLOOKUP(Table2[[#This Row],[LoanID]],Table1[G-L ID],Table1[ManagerCode],-99)</f>
        <v>119</v>
      </c>
      <c r="T7218"/>
    </row>
    <row r="7219" spans="1:20" x14ac:dyDescent="0.25">
      <c r="A7219">
        <v>20180731</v>
      </c>
      <c r="B7219">
        <v>2018</v>
      </c>
      <c r="C7219">
        <v>7</v>
      </c>
      <c r="D7219">
        <v>1</v>
      </c>
      <c r="E7219">
        <v>10790</v>
      </c>
      <c r="F7219">
        <v>22110.38</v>
      </c>
      <c r="G7219">
        <v>0</v>
      </c>
      <c r="H7219">
        <v>0</v>
      </c>
      <c r="I7219">
        <v>0</v>
      </c>
      <c r="J7219">
        <v>0</v>
      </c>
      <c r="K7219">
        <v>47357.87</v>
      </c>
      <c r="L7219">
        <v>4858051</v>
      </c>
      <c r="M7219">
        <v>4809320</v>
      </c>
      <c r="N7219">
        <v>4858051</v>
      </c>
      <c r="O7219">
        <v>4809320</v>
      </c>
      <c r="P7219">
        <v>4721077.67</v>
      </c>
      <c r="Q7219">
        <v>4673719.8</v>
      </c>
      <c r="R7219" s="14">
        <f>_xlfn.XLOOKUP(Table2[[#This Row],[LoanID]],Table1[G-L ID],Table1[ManagerCode],-99)</f>
        <v>103</v>
      </c>
      <c r="T7219"/>
    </row>
    <row r="7220" spans="1:20" x14ac:dyDescent="0.25">
      <c r="A7220">
        <v>20180731</v>
      </c>
      <c r="B7220">
        <v>2018</v>
      </c>
      <c r="C7220">
        <v>7</v>
      </c>
      <c r="D7220">
        <v>1</v>
      </c>
      <c r="E7220">
        <v>10810</v>
      </c>
      <c r="F7220">
        <v>91653.98</v>
      </c>
      <c r="G7220">
        <v>0</v>
      </c>
      <c r="H7220">
        <v>0</v>
      </c>
      <c r="I7220">
        <v>0</v>
      </c>
      <c r="J7220">
        <v>0</v>
      </c>
      <c r="K7220">
        <v>0</v>
      </c>
      <c r="L7220">
        <v>7846080.3499999996</v>
      </c>
      <c r="M7220">
        <v>7846080.3499999996</v>
      </c>
      <c r="N7220">
        <v>7846080.3499999996</v>
      </c>
      <c r="O7220">
        <v>7846080.3499999996</v>
      </c>
      <c r="P7220">
        <v>7846080.3499999996</v>
      </c>
      <c r="Q7220">
        <v>7846080.3499999996</v>
      </c>
      <c r="R7220" s="14">
        <f>_xlfn.XLOOKUP(Table2[[#This Row],[LoanID]],Table1[G-L ID],Table1[ManagerCode],-99)</f>
        <v>119</v>
      </c>
      <c r="T7220"/>
    </row>
    <row r="7221" spans="1:20" x14ac:dyDescent="0.25">
      <c r="A7221">
        <v>20180731</v>
      </c>
      <c r="B7221">
        <v>2018</v>
      </c>
      <c r="C7221">
        <v>7</v>
      </c>
      <c r="D7221">
        <v>1</v>
      </c>
      <c r="E7221">
        <v>10820</v>
      </c>
      <c r="F7221">
        <v>195348.36</v>
      </c>
      <c r="G7221">
        <v>0</v>
      </c>
      <c r="H7221">
        <v>0</v>
      </c>
      <c r="I7221">
        <v>0</v>
      </c>
      <c r="J7221">
        <v>0</v>
      </c>
      <c r="K7221">
        <v>0</v>
      </c>
      <c r="L7221">
        <v>24675582.760000002</v>
      </c>
      <c r="M7221">
        <v>24675582.760000002</v>
      </c>
      <c r="N7221">
        <v>24675582.760000002</v>
      </c>
      <c r="O7221">
        <v>24675582.760000002</v>
      </c>
      <c r="P7221">
        <v>24675582.760000002</v>
      </c>
      <c r="Q7221">
        <v>24675582.760000002</v>
      </c>
      <c r="R7221" s="14">
        <f>_xlfn.XLOOKUP(Table2[[#This Row],[LoanID]],Table1[G-L ID],Table1[ManagerCode],-99)</f>
        <v>220</v>
      </c>
      <c r="T7221"/>
    </row>
    <row r="7222" spans="1:20" x14ac:dyDescent="0.25">
      <c r="A7222">
        <v>20180731</v>
      </c>
      <c r="B7222">
        <v>2018</v>
      </c>
      <c r="C7222">
        <v>7</v>
      </c>
      <c r="D7222">
        <v>1</v>
      </c>
      <c r="E7222">
        <v>10830</v>
      </c>
      <c r="F7222">
        <v>61797.84</v>
      </c>
      <c r="G7222">
        <v>0</v>
      </c>
      <c r="H7222">
        <v>0</v>
      </c>
      <c r="I7222">
        <v>0</v>
      </c>
      <c r="J7222">
        <v>0</v>
      </c>
      <c r="K7222">
        <v>0</v>
      </c>
      <c r="L7222">
        <v>7806043.1399999997</v>
      </c>
      <c r="M7222">
        <v>7806043.1399999997</v>
      </c>
      <c r="N7222">
        <v>7806043.1399999997</v>
      </c>
      <c r="O7222">
        <v>7806043.1399999997</v>
      </c>
      <c r="P7222">
        <v>7806043.1399999997</v>
      </c>
      <c r="Q7222">
        <v>7806043.1399999997</v>
      </c>
      <c r="R7222" s="14">
        <f>_xlfn.XLOOKUP(Table2[[#This Row],[LoanID]],Table1[G-L ID],Table1[ManagerCode],-99)</f>
        <v>220</v>
      </c>
      <c r="T7222"/>
    </row>
    <row r="7223" spans="1:20" x14ac:dyDescent="0.25">
      <c r="A7223">
        <v>20180731</v>
      </c>
      <c r="B7223">
        <v>2018</v>
      </c>
      <c r="C7223">
        <v>7</v>
      </c>
      <c r="D7223">
        <v>1</v>
      </c>
      <c r="E7223">
        <v>10840</v>
      </c>
      <c r="F7223">
        <v>100614.41</v>
      </c>
      <c r="G7223">
        <v>0</v>
      </c>
      <c r="H7223">
        <v>0</v>
      </c>
      <c r="I7223">
        <v>0</v>
      </c>
      <c r="J7223">
        <v>0</v>
      </c>
      <c r="K7223">
        <v>0</v>
      </c>
      <c r="L7223">
        <v>12709189</v>
      </c>
      <c r="M7223">
        <v>12709189</v>
      </c>
      <c r="N7223">
        <v>12709189</v>
      </c>
      <c r="O7223">
        <v>12709189</v>
      </c>
      <c r="P7223">
        <v>12709189</v>
      </c>
      <c r="Q7223">
        <v>12709189</v>
      </c>
      <c r="R7223" s="14">
        <f>_xlfn.XLOOKUP(Table2[[#This Row],[LoanID]],Table1[G-L ID],Table1[ManagerCode],-99)</f>
        <v>220</v>
      </c>
      <c r="T7223"/>
    </row>
    <row r="7224" spans="1:20" x14ac:dyDescent="0.25">
      <c r="A7224">
        <v>20180731</v>
      </c>
      <c r="B7224">
        <v>2018</v>
      </c>
      <c r="C7224">
        <v>7</v>
      </c>
      <c r="D7224">
        <v>1</v>
      </c>
      <c r="E7224">
        <v>10850</v>
      </c>
      <c r="F7224">
        <v>106969.15</v>
      </c>
      <c r="G7224">
        <v>0</v>
      </c>
      <c r="H7224">
        <v>0</v>
      </c>
      <c r="I7224">
        <v>0</v>
      </c>
      <c r="J7224">
        <v>0</v>
      </c>
      <c r="K7224">
        <v>0</v>
      </c>
      <c r="L7224">
        <v>13511892</v>
      </c>
      <c r="M7224">
        <v>13511892</v>
      </c>
      <c r="N7224">
        <v>13511892</v>
      </c>
      <c r="O7224">
        <v>13511892</v>
      </c>
      <c r="P7224">
        <v>13511892</v>
      </c>
      <c r="Q7224">
        <v>13511892</v>
      </c>
      <c r="R7224" s="14">
        <f>_xlfn.XLOOKUP(Table2[[#This Row],[LoanID]],Table1[G-L ID],Table1[ManagerCode],-99)</f>
        <v>220</v>
      </c>
      <c r="T7224"/>
    </row>
    <row r="7225" spans="1:20" x14ac:dyDescent="0.25">
      <c r="A7225">
        <v>20180731</v>
      </c>
      <c r="B7225">
        <v>2018</v>
      </c>
      <c r="C7225">
        <v>7</v>
      </c>
      <c r="D7225">
        <v>1</v>
      </c>
      <c r="E7225">
        <v>10910</v>
      </c>
      <c r="F7225">
        <v>84282.45</v>
      </c>
      <c r="G7225">
        <v>0</v>
      </c>
      <c r="H7225">
        <v>0</v>
      </c>
      <c r="I7225">
        <v>0</v>
      </c>
      <c r="J7225">
        <v>0</v>
      </c>
      <c r="K7225">
        <v>0</v>
      </c>
      <c r="L7225">
        <v>9762500</v>
      </c>
      <c r="M7225">
        <v>9762500</v>
      </c>
      <c r="N7225">
        <v>9762500</v>
      </c>
      <c r="O7225">
        <v>9762500</v>
      </c>
      <c r="P7225">
        <v>9762500</v>
      </c>
      <c r="Q7225">
        <v>9762500</v>
      </c>
      <c r="R7225" s="14">
        <f>_xlfn.XLOOKUP(Table2[[#This Row],[LoanID]],Table1[G-L ID],Table1[ManagerCode],-99)</f>
        <v>119</v>
      </c>
      <c r="T7225"/>
    </row>
    <row r="7226" spans="1:20" x14ac:dyDescent="0.25">
      <c r="A7226">
        <v>20180731</v>
      </c>
      <c r="B7226">
        <v>2018</v>
      </c>
      <c r="C7226">
        <v>7</v>
      </c>
      <c r="D7226">
        <v>1</v>
      </c>
      <c r="E7226">
        <v>10930</v>
      </c>
      <c r="F7226">
        <v>0</v>
      </c>
      <c r="G7226">
        <v>167874.92</v>
      </c>
      <c r="H7226">
        <v>0</v>
      </c>
      <c r="I7226">
        <v>0</v>
      </c>
      <c r="J7226">
        <v>0</v>
      </c>
      <c r="K7226">
        <v>0</v>
      </c>
      <c r="L7226">
        <v>15204551.869999999</v>
      </c>
      <c r="M7226">
        <v>15372426.789999999</v>
      </c>
      <c r="N7226">
        <v>15204551.869999999</v>
      </c>
      <c r="O7226">
        <v>15372426.789999999</v>
      </c>
      <c r="P7226">
        <v>15204551.869999999</v>
      </c>
      <c r="Q7226">
        <v>15372426.789999999</v>
      </c>
      <c r="R7226" s="14">
        <f>_xlfn.XLOOKUP(Table2[[#This Row],[LoanID]],Table1[G-L ID],Table1[ManagerCode],-99)</f>
        <v>183</v>
      </c>
      <c r="T7226"/>
    </row>
    <row r="7227" spans="1:20" x14ac:dyDescent="0.25">
      <c r="A7227">
        <v>20180731</v>
      </c>
      <c r="B7227">
        <v>2018</v>
      </c>
      <c r="C7227">
        <v>7</v>
      </c>
      <c r="D7227">
        <v>1</v>
      </c>
      <c r="E7227">
        <v>10970</v>
      </c>
      <c r="F7227">
        <v>26195.200000000001</v>
      </c>
      <c r="G7227">
        <v>28378.14</v>
      </c>
      <c r="H7227">
        <v>0</v>
      </c>
      <c r="I7227">
        <v>0</v>
      </c>
      <c r="J7227">
        <v>-25925.98</v>
      </c>
      <c r="K7227">
        <v>0</v>
      </c>
      <c r="L7227">
        <v>5229318.43</v>
      </c>
      <c r="M7227">
        <v>5283622.55</v>
      </c>
      <c r="N7227">
        <v>5229318.43</v>
      </c>
      <c r="O7227">
        <v>5283622.55</v>
      </c>
      <c r="P7227">
        <v>5229318.43</v>
      </c>
      <c r="Q7227">
        <v>5283622.55</v>
      </c>
      <c r="R7227" s="14">
        <f>_xlfn.XLOOKUP(Table2[[#This Row],[LoanID]],Table1[G-L ID],Table1[ManagerCode],-99)</f>
        <v>183</v>
      </c>
      <c r="T7227"/>
    </row>
    <row r="7228" spans="1:20" x14ac:dyDescent="0.25">
      <c r="A7228">
        <v>20180731</v>
      </c>
      <c r="B7228">
        <v>2018</v>
      </c>
      <c r="C7228">
        <v>7</v>
      </c>
      <c r="D7228">
        <v>1</v>
      </c>
      <c r="E7228">
        <v>11060</v>
      </c>
      <c r="F7228">
        <v>208876.25</v>
      </c>
      <c r="G7228">
        <v>0</v>
      </c>
      <c r="H7228">
        <v>0</v>
      </c>
      <c r="I7228">
        <v>0</v>
      </c>
      <c r="J7228">
        <v>0</v>
      </c>
      <c r="K7228">
        <v>0</v>
      </c>
      <c r="L7228">
        <v>22000000</v>
      </c>
      <c r="M7228">
        <v>22000000</v>
      </c>
      <c r="N7228">
        <v>22000000</v>
      </c>
      <c r="O7228">
        <v>22000000</v>
      </c>
      <c r="P7228">
        <v>22000000</v>
      </c>
      <c r="Q7228">
        <v>22000000</v>
      </c>
      <c r="R7228" s="14">
        <f>_xlfn.XLOOKUP(Table2[[#This Row],[LoanID]],Table1[G-L ID],Table1[ManagerCode],-99)</f>
        <v>119</v>
      </c>
      <c r="T7228"/>
    </row>
    <row r="7229" spans="1:20" x14ac:dyDescent="0.25">
      <c r="A7229">
        <v>20180731</v>
      </c>
      <c r="B7229">
        <v>2018</v>
      </c>
      <c r="C7229">
        <v>7</v>
      </c>
      <c r="D7229">
        <v>1</v>
      </c>
      <c r="E7229">
        <v>11080</v>
      </c>
      <c r="F7229">
        <v>370185.17</v>
      </c>
      <c r="G7229">
        <v>0</v>
      </c>
      <c r="H7229">
        <v>0</v>
      </c>
      <c r="I7229">
        <v>0</v>
      </c>
      <c r="J7229">
        <v>0</v>
      </c>
      <c r="K7229">
        <v>61919.27</v>
      </c>
      <c r="L7229">
        <v>38823384.170000002</v>
      </c>
      <c r="M7229">
        <v>38761464.899999999</v>
      </c>
      <c r="N7229">
        <v>38823384.170000002</v>
      </c>
      <c r="O7229">
        <v>38761464.899999999</v>
      </c>
      <c r="P7229">
        <v>38823384.170000002</v>
      </c>
      <c r="Q7229">
        <v>38761464.899999999</v>
      </c>
      <c r="R7229" s="14">
        <f>_xlfn.XLOOKUP(Table2[[#This Row],[LoanID]],Table1[G-L ID],Table1[ManagerCode],-99)</f>
        <v>119</v>
      </c>
      <c r="T7229"/>
    </row>
    <row r="7230" spans="1:20" x14ac:dyDescent="0.25">
      <c r="A7230">
        <v>20180731</v>
      </c>
      <c r="B7230">
        <v>2018</v>
      </c>
      <c r="C7230">
        <v>7</v>
      </c>
      <c r="D7230">
        <v>1</v>
      </c>
      <c r="E7230">
        <v>11090</v>
      </c>
      <c r="F7230">
        <v>0</v>
      </c>
      <c r="G7230">
        <v>0</v>
      </c>
      <c r="H7230">
        <v>0</v>
      </c>
      <c r="I7230">
        <v>0</v>
      </c>
      <c r="J7230">
        <v>0</v>
      </c>
      <c r="K7230">
        <v>0</v>
      </c>
      <c r="L7230">
        <v>10868000</v>
      </c>
      <c r="M7230">
        <v>10868000</v>
      </c>
      <c r="N7230">
        <v>10868000</v>
      </c>
      <c r="O7230">
        <v>10868000</v>
      </c>
      <c r="P7230">
        <v>10868000</v>
      </c>
      <c r="Q7230">
        <v>10868000</v>
      </c>
      <c r="R7230" s="14">
        <f>_xlfn.XLOOKUP(Table2[[#This Row],[LoanID]],Table1[G-L ID],Table1[ManagerCode],-99)</f>
        <v>119</v>
      </c>
      <c r="T7230"/>
    </row>
    <row r="7231" spans="1:20" x14ac:dyDescent="0.25">
      <c r="A7231">
        <v>20180731</v>
      </c>
      <c r="B7231">
        <v>2018</v>
      </c>
      <c r="C7231">
        <v>7</v>
      </c>
      <c r="D7231">
        <v>1</v>
      </c>
      <c r="E7231">
        <v>11150</v>
      </c>
      <c r="F7231">
        <v>119929.3</v>
      </c>
      <c r="G7231">
        <v>0</v>
      </c>
      <c r="H7231">
        <v>0</v>
      </c>
      <c r="I7231">
        <v>0</v>
      </c>
      <c r="J7231">
        <v>0</v>
      </c>
      <c r="K7231">
        <v>0</v>
      </c>
      <c r="L7231">
        <v>10675276.130000001</v>
      </c>
      <c r="M7231">
        <v>10675276.130000001</v>
      </c>
      <c r="N7231">
        <v>10675276.130000001</v>
      </c>
      <c r="O7231">
        <v>10675276.130000001</v>
      </c>
      <c r="P7231">
        <v>10675276.130000001</v>
      </c>
      <c r="Q7231">
        <v>10675276.130000001</v>
      </c>
      <c r="R7231" s="14">
        <f>_xlfn.XLOOKUP(Table2[[#This Row],[LoanID]],Table1[G-L ID],Table1[ManagerCode],-99)</f>
        <v>119</v>
      </c>
      <c r="T7231"/>
    </row>
    <row r="7232" spans="1:20" x14ac:dyDescent="0.25">
      <c r="A7232">
        <v>20180731</v>
      </c>
      <c r="B7232">
        <v>2018</v>
      </c>
      <c r="C7232">
        <v>7</v>
      </c>
      <c r="D7232">
        <v>1</v>
      </c>
      <c r="E7232">
        <v>11210</v>
      </c>
      <c r="F7232">
        <v>69310.47</v>
      </c>
      <c r="G7232">
        <v>0</v>
      </c>
      <c r="H7232">
        <v>0</v>
      </c>
      <c r="I7232">
        <v>0</v>
      </c>
      <c r="J7232">
        <v>0</v>
      </c>
      <c r="K7232">
        <v>0</v>
      </c>
      <c r="L7232">
        <v>9500000</v>
      </c>
      <c r="M7232">
        <v>9500000</v>
      </c>
      <c r="N7232">
        <v>9500000</v>
      </c>
      <c r="O7232">
        <v>9500000</v>
      </c>
      <c r="P7232">
        <v>9500000</v>
      </c>
      <c r="Q7232">
        <v>9500000</v>
      </c>
      <c r="R7232" s="14">
        <f>_xlfn.XLOOKUP(Table2[[#This Row],[LoanID]],Table1[G-L ID],Table1[ManagerCode],-99)</f>
        <v>119</v>
      </c>
      <c r="T7232"/>
    </row>
    <row r="7233" spans="1:20" x14ac:dyDescent="0.25">
      <c r="A7233">
        <v>20180731</v>
      </c>
      <c r="B7233">
        <v>2018</v>
      </c>
      <c r="C7233">
        <v>7</v>
      </c>
      <c r="D7233">
        <v>1</v>
      </c>
      <c r="E7233">
        <v>11340</v>
      </c>
      <c r="F7233">
        <v>279769.87</v>
      </c>
      <c r="G7233">
        <v>0</v>
      </c>
      <c r="H7233">
        <v>0</v>
      </c>
      <c r="I7233">
        <v>0</v>
      </c>
      <c r="J7233">
        <v>0</v>
      </c>
      <c r="K7233">
        <v>74525.11</v>
      </c>
      <c r="L7233">
        <v>47480943</v>
      </c>
      <c r="M7233">
        <v>47407164.07</v>
      </c>
      <c r="N7233">
        <v>47480943</v>
      </c>
      <c r="O7233">
        <v>47407164.07</v>
      </c>
      <c r="P7233">
        <v>47960549.43</v>
      </c>
      <c r="Q7233">
        <v>47886024.32</v>
      </c>
      <c r="R7233" s="14">
        <f>_xlfn.XLOOKUP(Table2[[#This Row],[LoanID]],Table1[G-L ID],Table1[ManagerCode],-99)</f>
        <v>103</v>
      </c>
      <c r="T7233"/>
    </row>
    <row r="7234" spans="1:20" x14ac:dyDescent="0.25">
      <c r="A7234">
        <v>20180731</v>
      </c>
      <c r="B7234">
        <v>2018</v>
      </c>
      <c r="C7234">
        <v>7</v>
      </c>
      <c r="D7234">
        <v>1</v>
      </c>
      <c r="E7234">
        <v>11350</v>
      </c>
      <c r="F7234">
        <v>320833.33</v>
      </c>
      <c r="G7234">
        <v>0</v>
      </c>
      <c r="H7234">
        <v>0</v>
      </c>
      <c r="I7234">
        <v>0</v>
      </c>
      <c r="J7234">
        <v>0</v>
      </c>
      <c r="K7234">
        <v>0</v>
      </c>
      <c r="L7234">
        <v>54449945</v>
      </c>
      <c r="M7234">
        <v>54449945.549999997</v>
      </c>
      <c r="N7234">
        <v>54449945</v>
      </c>
      <c r="O7234">
        <v>54449945.549999997</v>
      </c>
      <c r="P7234">
        <v>55000000</v>
      </c>
      <c r="Q7234">
        <v>55000000</v>
      </c>
      <c r="R7234" s="14">
        <f>_xlfn.XLOOKUP(Table2[[#This Row],[LoanID]],Table1[G-L ID],Table1[ManagerCode],-99)</f>
        <v>103</v>
      </c>
      <c r="T7234"/>
    </row>
    <row r="7235" spans="1:20" x14ac:dyDescent="0.25">
      <c r="A7235">
        <v>20180731</v>
      </c>
      <c r="B7235">
        <v>2018</v>
      </c>
      <c r="C7235">
        <v>7</v>
      </c>
      <c r="D7235">
        <v>1</v>
      </c>
      <c r="E7235">
        <v>11360</v>
      </c>
      <c r="F7235">
        <v>76743.59</v>
      </c>
      <c r="G7235">
        <v>0</v>
      </c>
      <c r="H7235">
        <v>0</v>
      </c>
      <c r="I7235">
        <v>0</v>
      </c>
      <c r="J7235">
        <v>0</v>
      </c>
      <c r="K7235">
        <v>0</v>
      </c>
      <c r="L7235">
        <v>9355036</v>
      </c>
      <c r="M7235">
        <v>9355036</v>
      </c>
      <c r="N7235">
        <v>9355036</v>
      </c>
      <c r="O7235">
        <v>9355036</v>
      </c>
      <c r="P7235">
        <v>9355036</v>
      </c>
      <c r="Q7235">
        <v>9355036</v>
      </c>
      <c r="R7235" s="14">
        <f>_xlfn.XLOOKUP(Table2[[#This Row],[LoanID]],Table1[G-L ID],Table1[ManagerCode],-99)</f>
        <v>119</v>
      </c>
      <c r="T7235"/>
    </row>
    <row r="7236" spans="1:20" x14ac:dyDescent="0.25">
      <c r="A7236">
        <v>20180731</v>
      </c>
      <c r="B7236">
        <v>2018</v>
      </c>
      <c r="C7236">
        <v>7</v>
      </c>
      <c r="D7236">
        <v>1</v>
      </c>
      <c r="E7236">
        <v>11410</v>
      </c>
      <c r="F7236">
        <v>121740</v>
      </c>
      <c r="G7236">
        <v>0</v>
      </c>
      <c r="H7236">
        <v>0</v>
      </c>
      <c r="I7236">
        <v>0</v>
      </c>
      <c r="J7236">
        <v>0</v>
      </c>
      <c r="K7236">
        <v>0</v>
      </c>
      <c r="L7236">
        <v>12000000</v>
      </c>
      <c r="M7236">
        <v>12000000</v>
      </c>
      <c r="N7236">
        <v>12000000</v>
      </c>
      <c r="O7236">
        <v>12000000</v>
      </c>
      <c r="P7236">
        <v>12000000</v>
      </c>
      <c r="Q7236">
        <v>12000000</v>
      </c>
      <c r="R7236" s="14">
        <f>_xlfn.XLOOKUP(Table2[[#This Row],[LoanID]],Table1[G-L ID],Table1[ManagerCode],-99)</f>
        <v>119</v>
      </c>
      <c r="T7236"/>
    </row>
    <row r="7237" spans="1:20" x14ac:dyDescent="0.25">
      <c r="A7237">
        <v>20180731</v>
      </c>
      <c r="B7237">
        <v>2018</v>
      </c>
      <c r="C7237">
        <v>7</v>
      </c>
      <c r="D7237">
        <v>1</v>
      </c>
      <c r="E7237">
        <v>11440</v>
      </c>
      <c r="F7237">
        <v>156250</v>
      </c>
      <c r="G7237">
        <v>0</v>
      </c>
      <c r="H7237">
        <v>0</v>
      </c>
      <c r="I7237">
        <v>0</v>
      </c>
      <c r="J7237">
        <v>0</v>
      </c>
      <c r="K7237">
        <v>0</v>
      </c>
      <c r="L7237">
        <v>18750000</v>
      </c>
      <c r="M7237">
        <v>18750000</v>
      </c>
      <c r="N7237">
        <v>18750000</v>
      </c>
      <c r="O7237">
        <v>18750000</v>
      </c>
      <c r="P7237">
        <v>18750000</v>
      </c>
      <c r="Q7237">
        <v>18750000</v>
      </c>
      <c r="R7237" s="14">
        <f>_xlfn.XLOOKUP(Table2[[#This Row],[LoanID]],Table1[G-L ID],Table1[ManagerCode],-99)</f>
        <v>183</v>
      </c>
      <c r="T7237"/>
    </row>
    <row r="7238" spans="1:20" x14ac:dyDescent="0.25">
      <c r="A7238">
        <v>20180731</v>
      </c>
      <c r="B7238">
        <v>2018</v>
      </c>
      <c r="C7238">
        <v>7</v>
      </c>
      <c r="D7238">
        <v>1</v>
      </c>
      <c r="E7238">
        <v>11450</v>
      </c>
      <c r="F7238">
        <v>155022.04</v>
      </c>
      <c r="G7238">
        <v>0</v>
      </c>
      <c r="H7238">
        <v>0</v>
      </c>
      <c r="I7238">
        <v>0</v>
      </c>
      <c r="J7238">
        <v>0</v>
      </c>
      <c r="K7238">
        <v>0</v>
      </c>
      <c r="L7238">
        <v>16786326.640000001</v>
      </c>
      <c r="M7238">
        <v>16786326.640000001</v>
      </c>
      <c r="N7238">
        <v>16786326.640000001</v>
      </c>
      <c r="O7238">
        <v>16786326.640000001</v>
      </c>
      <c r="P7238">
        <v>16786326.640000001</v>
      </c>
      <c r="Q7238">
        <v>16786326.640000001</v>
      </c>
      <c r="R7238" s="14">
        <f>_xlfn.XLOOKUP(Table2[[#This Row],[LoanID]],Table1[G-L ID],Table1[ManagerCode],-99)</f>
        <v>119</v>
      </c>
      <c r="T7238"/>
    </row>
    <row r="7239" spans="1:20" x14ac:dyDescent="0.25">
      <c r="A7239">
        <v>20180731</v>
      </c>
      <c r="B7239">
        <v>2018</v>
      </c>
      <c r="C7239">
        <v>7</v>
      </c>
      <c r="D7239">
        <v>1</v>
      </c>
      <c r="E7239">
        <v>11520</v>
      </c>
      <c r="F7239">
        <v>67499.149999999994</v>
      </c>
      <c r="G7239">
        <v>0</v>
      </c>
      <c r="H7239">
        <v>0</v>
      </c>
      <c r="I7239">
        <v>0</v>
      </c>
      <c r="J7239">
        <v>0</v>
      </c>
      <c r="K7239">
        <v>0</v>
      </c>
      <c r="L7239">
        <v>8405516.8200000003</v>
      </c>
      <c r="M7239">
        <v>8405516.8200000003</v>
      </c>
      <c r="N7239">
        <v>8405516.8200000003</v>
      </c>
      <c r="O7239">
        <v>8405516.8200000003</v>
      </c>
      <c r="P7239">
        <v>8405516.8200000003</v>
      </c>
      <c r="Q7239">
        <v>8405516.8200000003</v>
      </c>
      <c r="R7239" s="14">
        <f>_xlfn.XLOOKUP(Table2[[#This Row],[LoanID]],Table1[G-L ID],Table1[ManagerCode],-99)</f>
        <v>119</v>
      </c>
      <c r="T7239"/>
    </row>
    <row r="7240" spans="1:20" x14ac:dyDescent="0.25">
      <c r="A7240">
        <v>20180731</v>
      </c>
      <c r="B7240">
        <v>2018</v>
      </c>
      <c r="C7240">
        <v>7</v>
      </c>
      <c r="D7240">
        <v>1</v>
      </c>
      <c r="E7240">
        <v>11530</v>
      </c>
      <c r="F7240">
        <v>152422.85999999999</v>
      </c>
      <c r="G7240">
        <v>0</v>
      </c>
      <c r="H7240">
        <v>0</v>
      </c>
      <c r="I7240">
        <v>0</v>
      </c>
      <c r="J7240">
        <v>0</v>
      </c>
      <c r="K7240">
        <v>0</v>
      </c>
      <c r="L7240">
        <v>14260454.07</v>
      </c>
      <c r="M7240">
        <v>14260454.07</v>
      </c>
      <c r="N7240">
        <v>14260454.07</v>
      </c>
      <c r="O7240">
        <v>14260454.07</v>
      </c>
      <c r="P7240">
        <v>14260454.07</v>
      </c>
      <c r="Q7240">
        <v>14260454.07</v>
      </c>
      <c r="R7240" s="14">
        <f>_xlfn.XLOOKUP(Table2[[#This Row],[LoanID]],Table1[G-L ID],Table1[ManagerCode],-99)</f>
        <v>119</v>
      </c>
      <c r="T7240"/>
    </row>
    <row r="7241" spans="1:20" x14ac:dyDescent="0.25">
      <c r="A7241">
        <v>20180731</v>
      </c>
      <c r="B7241">
        <v>2018</v>
      </c>
      <c r="C7241">
        <v>7</v>
      </c>
      <c r="D7241">
        <v>1</v>
      </c>
      <c r="E7241">
        <v>11590</v>
      </c>
      <c r="F7241">
        <v>15808.76</v>
      </c>
      <c r="G7241">
        <v>0</v>
      </c>
      <c r="H7241">
        <v>0</v>
      </c>
      <c r="I7241">
        <v>0</v>
      </c>
      <c r="J7241">
        <v>0</v>
      </c>
      <c r="K7241">
        <v>0</v>
      </c>
      <c r="L7241">
        <v>1982289.13</v>
      </c>
      <c r="M7241">
        <v>1982289.13</v>
      </c>
      <c r="N7241">
        <v>1982289.13</v>
      </c>
      <c r="O7241">
        <v>1982289.13</v>
      </c>
      <c r="P7241">
        <v>1982289.13</v>
      </c>
      <c r="Q7241">
        <v>1982289.13</v>
      </c>
      <c r="R7241" s="14">
        <f>_xlfn.XLOOKUP(Table2[[#This Row],[LoanID]],Table1[G-L ID],Table1[ManagerCode],-99)</f>
        <v>119</v>
      </c>
      <c r="T7241"/>
    </row>
    <row r="7242" spans="1:20" x14ac:dyDescent="0.25">
      <c r="A7242">
        <v>20180731</v>
      </c>
      <c r="B7242">
        <v>2018</v>
      </c>
      <c r="C7242">
        <v>7</v>
      </c>
      <c r="D7242">
        <v>1</v>
      </c>
      <c r="E7242">
        <v>11680</v>
      </c>
      <c r="F7242">
        <v>57126.559999999998</v>
      </c>
      <c r="G7242">
        <v>0</v>
      </c>
      <c r="H7242">
        <v>0</v>
      </c>
      <c r="I7242">
        <v>0</v>
      </c>
      <c r="J7242">
        <v>0</v>
      </c>
      <c r="K7242">
        <v>0</v>
      </c>
      <c r="L7242">
        <v>6600000</v>
      </c>
      <c r="M7242">
        <v>6600000</v>
      </c>
      <c r="N7242">
        <v>6600000</v>
      </c>
      <c r="O7242">
        <v>6600000</v>
      </c>
      <c r="P7242">
        <v>6600000</v>
      </c>
      <c r="Q7242">
        <v>6600000</v>
      </c>
      <c r="R7242" s="14">
        <f>_xlfn.XLOOKUP(Table2[[#This Row],[LoanID]],Table1[G-L ID],Table1[ManagerCode],-99)</f>
        <v>183</v>
      </c>
      <c r="T7242"/>
    </row>
    <row r="7243" spans="1:20" x14ac:dyDescent="0.25">
      <c r="A7243">
        <v>20180731</v>
      </c>
      <c r="B7243">
        <v>2018</v>
      </c>
      <c r="C7243">
        <v>7</v>
      </c>
      <c r="D7243">
        <v>1</v>
      </c>
      <c r="E7243">
        <v>11690</v>
      </c>
      <c r="F7243">
        <v>156881.67000000001</v>
      </c>
      <c r="G7243">
        <v>0</v>
      </c>
      <c r="H7243">
        <v>0</v>
      </c>
      <c r="I7243">
        <v>0</v>
      </c>
      <c r="J7243">
        <v>0</v>
      </c>
      <c r="K7243">
        <v>0</v>
      </c>
      <c r="L7243">
        <v>17000000</v>
      </c>
      <c r="M7243">
        <v>17000000</v>
      </c>
      <c r="N7243">
        <v>17000000</v>
      </c>
      <c r="O7243">
        <v>17000000</v>
      </c>
      <c r="P7243">
        <v>17000000</v>
      </c>
      <c r="Q7243">
        <v>17000000</v>
      </c>
      <c r="R7243" s="14">
        <f>_xlfn.XLOOKUP(Table2[[#This Row],[LoanID]],Table1[G-L ID],Table1[ManagerCode],-99)</f>
        <v>119</v>
      </c>
      <c r="T7243"/>
    </row>
    <row r="7244" spans="1:20" x14ac:dyDescent="0.25">
      <c r="A7244">
        <v>20180731</v>
      </c>
      <c r="B7244">
        <v>2018</v>
      </c>
      <c r="C7244">
        <v>7</v>
      </c>
      <c r="D7244">
        <v>1</v>
      </c>
      <c r="E7244">
        <v>11750</v>
      </c>
      <c r="F7244">
        <v>390857.75</v>
      </c>
      <c r="G7244">
        <v>0</v>
      </c>
      <c r="H7244">
        <v>198108</v>
      </c>
      <c r="I7244">
        <v>0</v>
      </c>
      <c r="J7244">
        <v>0</v>
      </c>
      <c r="K7244">
        <v>54920219.729999997</v>
      </c>
      <c r="L7244">
        <v>54920219.729999997</v>
      </c>
      <c r="M7244">
        <v>0</v>
      </c>
      <c r="N7244">
        <v>54920219.729999997</v>
      </c>
      <c r="O7244">
        <v>0</v>
      </c>
      <c r="P7244">
        <v>54920219.729999997</v>
      </c>
      <c r="Q7244">
        <v>0</v>
      </c>
      <c r="R7244" s="14">
        <f>_xlfn.XLOOKUP(Table2[[#This Row],[LoanID]],Table1[G-L ID],Table1[ManagerCode],-99)</f>
        <v>183</v>
      </c>
      <c r="T7244"/>
    </row>
    <row r="7245" spans="1:20" x14ac:dyDescent="0.25">
      <c r="A7245">
        <v>20180731</v>
      </c>
      <c r="B7245">
        <v>2018</v>
      </c>
      <c r="C7245">
        <v>7</v>
      </c>
      <c r="D7245">
        <v>1</v>
      </c>
      <c r="E7245">
        <v>11830</v>
      </c>
      <c r="F7245">
        <v>111802.42</v>
      </c>
      <c r="G7245">
        <v>0</v>
      </c>
      <c r="H7245">
        <v>0</v>
      </c>
      <c r="I7245">
        <v>0</v>
      </c>
      <c r="J7245">
        <v>-565677.67000000004</v>
      </c>
      <c r="K7245">
        <v>0</v>
      </c>
      <c r="L7245">
        <v>13269041.43</v>
      </c>
      <c r="M7245">
        <v>13834719.1</v>
      </c>
      <c r="N7245">
        <v>13269041.43</v>
      </c>
      <c r="O7245">
        <v>13834719.1</v>
      </c>
      <c r="P7245">
        <v>13269041.43</v>
      </c>
      <c r="Q7245">
        <v>13834719.1</v>
      </c>
      <c r="R7245" s="14">
        <f>_xlfn.XLOOKUP(Table2[[#This Row],[LoanID]],Table1[G-L ID],Table1[ManagerCode],-99)</f>
        <v>119</v>
      </c>
      <c r="T7245"/>
    </row>
    <row r="7246" spans="1:20" x14ac:dyDescent="0.25">
      <c r="A7246">
        <v>20180731</v>
      </c>
      <c r="B7246">
        <v>2018</v>
      </c>
      <c r="C7246">
        <v>7</v>
      </c>
      <c r="D7246">
        <v>1</v>
      </c>
      <c r="E7246">
        <v>11850</v>
      </c>
      <c r="F7246">
        <v>0</v>
      </c>
      <c r="G7246">
        <v>102553.04</v>
      </c>
      <c r="H7246">
        <v>0</v>
      </c>
      <c r="I7246">
        <v>0</v>
      </c>
      <c r="J7246">
        <v>0</v>
      </c>
      <c r="K7246">
        <v>0</v>
      </c>
      <c r="L7246">
        <v>9496871.5899999999</v>
      </c>
      <c r="M7246">
        <v>9599424.6300000008</v>
      </c>
      <c r="N7246">
        <v>9496871.5899999999</v>
      </c>
      <c r="O7246">
        <v>9599424.6300000008</v>
      </c>
      <c r="P7246">
        <v>9496871.5899999999</v>
      </c>
      <c r="Q7246">
        <v>9599424.6300000008</v>
      </c>
      <c r="R7246" s="14">
        <f>_xlfn.XLOOKUP(Table2[[#This Row],[LoanID]],Table1[G-L ID],Table1[ManagerCode],-99)</f>
        <v>183</v>
      </c>
      <c r="T7246"/>
    </row>
    <row r="7247" spans="1:20" x14ac:dyDescent="0.25">
      <c r="A7247">
        <v>20180731</v>
      </c>
      <c r="B7247">
        <v>2018</v>
      </c>
      <c r="C7247">
        <v>7</v>
      </c>
      <c r="D7247">
        <v>1</v>
      </c>
      <c r="E7247">
        <v>12180</v>
      </c>
      <c r="F7247">
        <v>244108.14</v>
      </c>
      <c r="G7247">
        <v>0</v>
      </c>
      <c r="H7247">
        <v>0</v>
      </c>
      <c r="I7247">
        <v>0</v>
      </c>
      <c r="J7247">
        <v>0</v>
      </c>
      <c r="K7247">
        <v>0</v>
      </c>
      <c r="L7247">
        <v>30400000</v>
      </c>
      <c r="M7247">
        <v>30400000</v>
      </c>
      <c r="N7247">
        <v>30400000</v>
      </c>
      <c r="O7247">
        <v>30400000</v>
      </c>
      <c r="P7247">
        <v>30393210.870000001</v>
      </c>
      <c r="Q7247">
        <v>30393210.870000001</v>
      </c>
      <c r="R7247" s="14">
        <f>_xlfn.XLOOKUP(Table2[[#This Row],[LoanID]],Table1[G-L ID],Table1[ManagerCode],-99)</f>
        <v>220</v>
      </c>
      <c r="T7247"/>
    </row>
    <row r="7248" spans="1:20" x14ac:dyDescent="0.25">
      <c r="A7248">
        <v>20180731</v>
      </c>
      <c r="B7248">
        <v>2018</v>
      </c>
      <c r="C7248">
        <v>7</v>
      </c>
      <c r="D7248">
        <v>1</v>
      </c>
      <c r="E7248">
        <v>12220</v>
      </c>
      <c r="F7248">
        <v>197933.13</v>
      </c>
      <c r="G7248">
        <v>0</v>
      </c>
      <c r="H7248">
        <v>0</v>
      </c>
      <c r="I7248">
        <v>0</v>
      </c>
      <c r="J7248">
        <v>0</v>
      </c>
      <c r="K7248">
        <v>0</v>
      </c>
      <c r="L7248">
        <v>54500000</v>
      </c>
      <c r="M7248">
        <v>54500000</v>
      </c>
      <c r="N7248">
        <v>27250000</v>
      </c>
      <c r="O7248">
        <v>27250000</v>
      </c>
      <c r="P7248">
        <v>54500000</v>
      </c>
      <c r="Q7248">
        <v>54500000</v>
      </c>
      <c r="R7248" s="14">
        <f>_xlfn.XLOOKUP(Table2[[#This Row],[LoanID]],Table1[G-L ID],Table1[ManagerCode],-99)</f>
        <v>183</v>
      </c>
      <c r="T7248"/>
    </row>
    <row r="7249" spans="1:20" x14ac:dyDescent="0.25">
      <c r="A7249">
        <v>20180731</v>
      </c>
      <c r="B7249">
        <v>2018</v>
      </c>
      <c r="C7249">
        <v>7</v>
      </c>
      <c r="D7249">
        <v>1</v>
      </c>
      <c r="E7249">
        <v>12250</v>
      </c>
      <c r="F7249">
        <v>112258.09</v>
      </c>
      <c r="G7249">
        <v>0</v>
      </c>
      <c r="H7249">
        <v>0</v>
      </c>
      <c r="I7249">
        <v>0</v>
      </c>
      <c r="J7249">
        <v>-207120.37</v>
      </c>
      <c r="K7249">
        <v>0</v>
      </c>
      <c r="L7249">
        <v>12478974.140000001</v>
      </c>
      <c r="M7249">
        <v>12686094.51</v>
      </c>
      <c r="N7249">
        <v>12478974.140000001</v>
      </c>
      <c r="O7249">
        <v>12686094.51</v>
      </c>
      <c r="P7249">
        <v>12478974.140000001</v>
      </c>
      <c r="Q7249">
        <v>12686094.51</v>
      </c>
      <c r="R7249" s="14">
        <f>_xlfn.XLOOKUP(Table2[[#This Row],[LoanID]],Table1[G-L ID],Table1[ManagerCode],-99)</f>
        <v>119</v>
      </c>
      <c r="T7249"/>
    </row>
    <row r="7250" spans="1:20" x14ac:dyDescent="0.25">
      <c r="A7250">
        <v>20180731</v>
      </c>
      <c r="B7250">
        <v>2018</v>
      </c>
      <c r="C7250">
        <v>7</v>
      </c>
      <c r="D7250">
        <v>1</v>
      </c>
      <c r="E7250">
        <v>12260</v>
      </c>
      <c r="F7250">
        <v>119135.82</v>
      </c>
      <c r="G7250">
        <v>0</v>
      </c>
      <c r="H7250">
        <v>0</v>
      </c>
      <c r="I7250">
        <v>0</v>
      </c>
      <c r="J7250">
        <v>0</v>
      </c>
      <c r="K7250">
        <v>0</v>
      </c>
      <c r="L7250">
        <v>11470448.4</v>
      </c>
      <c r="M7250">
        <v>11470448.4</v>
      </c>
      <c r="N7250">
        <v>11470448.4</v>
      </c>
      <c r="O7250">
        <v>11470448.4</v>
      </c>
      <c r="P7250">
        <v>11470448.4</v>
      </c>
      <c r="Q7250">
        <v>11470448.4</v>
      </c>
      <c r="R7250" s="14">
        <f>_xlfn.XLOOKUP(Table2[[#This Row],[LoanID]],Table1[G-L ID],Table1[ManagerCode],-99)</f>
        <v>119</v>
      </c>
      <c r="T7250"/>
    </row>
    <row r="7251" spans="1:20" x14ac:dyDescent="0.25">
      <c r="A7251">
        <v>20180731</v>
      </c>
      <c r="B7251">
        <v>2018</v>
      </c>
      <c r="C7251">
        <v>7</v>
      </c>
      <c r="D7251">
        <v>1</v>
      </c>
      <c r="E7251">
        <v>12270</v>
      </c>
      <c r="F7251">
        <v>48048.93</v>
      </c>
      <c r="G7251">
        <v>0</v>
      </c>
      <c r="H7251">
        <v>0</v>
      </c>
      <c r="I7251">
        <v>0</v>
      </c>
      <c r="J7251">
        <v>0</v>
      </c>
      <c r="K7251">
        <v>0</v>
      </c>
      <c r="L7251">
        <v>4786147.21</v>
      </c>
      <c r="M7251">
        <v>4786147.21</v>
      </c>
      <c r="N7251">
        <v>4786147.21</v>
      </c>
      <c r="O7251">
        <v>4786147.21</v>
      </c>
      <c r="P7251">
        <v>4786147.21</v>
      </c>
      <c r="Q7251">
        <v>4786147.21</v>
      </c>
      <c r="R7251" s="14">
        <f>_xlfn.XLOOKUP(Table2[[#This Row],[LoanID]],Table1[G-L ID],Table1[ManagerCode],-99)</f>
        <v>119</v>
      </c>
      <c r="T7251"/>
    </row>
    <row r="7252" spans="1:20" x14ac:dyDescent="0.25">
      <c r="A7252">
        <v>20180731</v>
      </c>
      <c r="B7252">
        <v>2018</v>
      </c>
      <c r="C7252">
        <v>7</v>
      </c>
      <c r="D7252">
        <v>1</v>
      </c>
      <c r="E7252">
        <v>12280</v>
      </c>
      <c r="F7252">
        <v>189679.26</v>
      </c>
      <c r="G7252">
        <v>0</v>
      </c>
      <c r="H7252">
        <v>0</v>
      </c>
      <c r="I7252">
        <v>0</v>
      </c>
      <c r="J7252">
        <v>-1330436.56</v>
      </c>
      <c r="K7252">
        <v>0</v>
      </c>
      <c r="L7252">
        <v>23182107.239999998</v>
      </c>
      <c r="M7252">
        <v>24512543.800000001</v>
      </c>
      <c r="N7252">
        <v>23182107.239999998</v>
      </c>
      <c r="O7252">
        <v>24512543.800000001</v>
      </c>
      <c r="P7252">
        <v>23182107.239999998</v>
      </c>
      <c r="Q7252">
        <v>24512543.800000001</v>
      </c>
      <c r="R7252" s="14">
        <f>_xlfn.XLOOKUP(Table2[[#This Row],[LoanID]],Table1[G-L ID],Table1[ManagerCode],-99)</f>
        <v>119</v>
      </c>
      <c r="T7252"/>
    </row>
    <row r="7253" spans="1:20" x14ac:dyDescent="0.25">
      <c r="A7253">
        <v>20180731</v>
      </c>
      <c r="B7253">
        <v>2018</v>
      </c>
      <c r="C7253">
        <v>7</v>
      </c>
      <c r="D7253">
        <v>1</v>
      </c>
      <c r="E7253">
        <v>12290</v>
      </c>
      <c r="F7253">
        <v>217471.04</v>
      </c>
      <c r="G7253">
        <v>0</v>
      </c>
      <c r="H7253">
        <v>0</v>
      </c>
      <c r="I7253">
        <v>0</v>
      </c>
      <c r="J7253">
        <v>0</v>
      </c>
      <c r="K7253">
        <v>0</v>
      </c>
      <c r="L7253">
        <v>22750000</v>
      </c>
      <c r="M7253">
        <v>22750000</v>
      </c>
      <c r="N7253">
        <v>22750000</v>
      </c>
      <c r="O7253">
        <v>22750000</v>
      </c>
      <c r="P7253">
        <v>22750000</v>
      </c>
      <c r="Q7253">
        <v>22750000</v>
      </c>
      <c r="R7253" s="14">
        <f>_xlfn.XLOOKUP(Table2[[#This Row],[LoanID]],Table1[G-L ID],Table1[ManagerCode],-99)</f>
        <v>119</v>
      </c>
      <c r="T7253"/>
    </row>
    <row r="7254" spans="1:20" x14ac:dyDescent="0.25">
      <c r="A7254">
        <v>20180731</v>
      </c>
      <c r="B7254">
        <v>2018</v>
      </c>
      <c r="C7254">
        <v>7</v>
      </c>
      <c r="D7254">
        <v>1</v>
      </c>
      <c r="E7254">
        <v>12310</v>
      </c>
      <c r="F7254">
        <v>147732.51999999999</v>
      </c>
      <c r="G7254">
        <v>0</v>
      </c>
      <c r="H7254">
        <v>0</v>
      </c>
      <c r="I7254">
        <v>0</v>
      </c>
      <c r="J7254">
        <v>0</v>
      </c>
      <c r="K7254">
        <v>0</v>
      </c>
      <c r="L7254">
        <v>16375000</v>
      </c>
      <c r="M7254">
        <v>16375000</v>
      </c>
      <c r="N7254">
        <v>16375000</v>
      </c>
      <c r="O7254">
        <v>16375000</v>
      </c>
      <c r="P7254">
        <v>16375000</v>
      </c>
      <c r="Q7254">
        <v>16375000</v>
      </c>
      <c r="R7254" s="14">
        <f>_xlfn.XLOOKUP(Table2[[#This Row],[LoanID]],Table1[G-L ID],Table1[ManagerCode],-99)</f>
        <v>119</v>
      </c>
      <c r="T7254"/>
    </row>
    <row r="7255" spans="1:20" x14ac:dyDescent="0.25">
      <c r="A7255">
        <v>20180731</v>
      </c>
      <c r="B7255">
        <v>2018</v>
      </c>
      <c r="C7255">
        <v>7</v>
      </c>
      <c r="D7255">
        <v>1</v>
      </c>
      <c r="E7255">
        <v>12320</v>
      </c>
      <c r="F7255">
        <v>110481.82</v>
      </c>
      <c r="G7255">
        <v>0</v>
      </c>
      <c r="H7255">
        <v>0</v>
      </c>
      <c r="I7255">
        <v>0</v>
      </c>
      <c r="J7255">
        <v>0</v>
      </c>
      <c r="K7255">
        <v>0</v>
      </c>
      <c r="L7255">
        <v>11750000</v>
      </c>
      <c r="M7255">
        <v>11750000</v>
      </c>
      <c r="N7255">
        <v>11750000</v>
      </c>
      <c r="O7255">
        <v>11750000</v>
      </c>
      <c r="P7255">
        <v>11750000</v>
      </c>
      <c r="Q7255">
        <v>11750000</v>
      </c>
      <c r="R7255" s="14">
        <f>_xlfn.XLOOKUP(Table2[[#This Row],[LoanID]],Table1[G-L ID],Table1[ManagerCode],-99)</f>
        <v>119</v>
      </c>
      <c r="T7255"/>
    </row>
    <row r="7256" spans="1:20" x14ac:dyDescent="0.25">
      <c r="A7256">
        <v>20180731</v>
      </c>
      <c r="B7256">
        <v>2018</v>
      </c>
      <c r="C7256">
        <v>7</v>
      </c>
      <c r="D7256">
        <v>1</v>
      </c>
      <c r="E7256">
        <v>12330</v>
      </c>
      <c r="F7256">
        <v>213032.73</v>
      </c>
      <c r="G7256">
        <v>0</v>
      </c>
      <c r="H7256">
        <v>0</v>
      </c>
      <c r="I7256">
        <v>0</v>
      </c>
      <c r="J7256">
        <v>0</v>
      </c>
      <c r="K7256">
        <v>0</v>
      </c>
      <c r="L7256">
        <v>19976500</v>
      </c>
      <c r="M7256">
        <v>19976500</v>
      </c>
      <c r="N7256">
        <v>19976500</v>
      </c>
      <c r="O7256">
        <v>19976500</v>
      </c>
      <c r="P7256">
        <v>19976500</v>
      </c>
      <c r="Q7256">
        <v>19976500</v>
      </c>
      <c r="R7256" s="14">
        <f>_xlfn.XLOOKUP(Table2[[#This Row],[LoanID]],Table1[G-L ID],Table1[ManagerCode],-99)</f>
        <v>119</v>
      </c>
      <c r="T7256"/>
    </row>
    <row r="7257" spans="1:20" x14ac:dyDescent="0.25">
      <c r="A7257">
        <v>20180731</v>
      </c>
      <c r="B7257">
        <v>2018</v>
      </c>
      <c r="C7257">
        <v>7</v>
      </c>
      <c r="D7257">
        <v>1</v>
      </c>
      <c r="E7257">
        <v>12340</v>
      </c>
      <c r="F7257">
        <v>57947.5</v>
      </c>
      <c r="G7257">
        <v>0</v>
      </c>
      <c r="H7257">
        <v>0</v>
      </c>
      <c r="I7257">
        <v>0</v>
      </c>
      <c r="J7257">
        <v>0</v>
      </c>
      <c r="K7257">
        <v>0</v>
      </c>
      <c r="L7257">
        <v>24180000</v>
      </c>
      <c r="M7257">
        <v>24180000</v>
      </c>
      <c r="N7257">
        <v>12180000</v>
      </c>
      <c r="O7257">
        <v>12180000</v>
      </c>
      <c r="P7257">
        <v>24180000</v>
      </c>
      <c r="Q7257">
        <v>24180000</v>
      </c>
      <c r="R7257" s="14">
        <f>_xlfn.XLOOKUP(Table2[[#This Row],[LoanID]],Table1[G-L ID],Table1[ManagerCode],-99)</f>
        <v>183</v>
      </c>
      <c r="T7257"/>
    </row>
    <row r="7258" spans="1:20" x14ac:dyDescent="0.25">
      <c r="A7258">
        <v>20180731</v>
      </c>
      <c r="B7258">
        <v>2018</v>
      </c>
      <c r="C7258">
        <v>7</v>
      </c>
      <c r="D7258">
        <v>1</v>
      </c>
      <c r="E7258">
        <v>12350</v>
      </c>
      <c r="F7258">
        <v>183162.27</v>
      </c>
      <c r="G7258">
        <v>0</v>
      </c>
      <c r="H7258">
        <v>0</v>
      </c>
      <c r="I7258">
        <v>0</v>
      </c>
      <c r="J7258">
        <v>0</v>
      </c>
      <c r="K7258">
        <v>0</v>
      </c>
      <c r="L7258">
        <v>65113224.079999998</v>
      </c>
      <c r="M7258">
        <v>65113224.079999998</v>
      </c>
      <c r="N7258">
        <v>27613224.079999998</v>
      </c>
      <c r="O7258">
        <v>27613224.079999998</v>
      </c>
      <c r="P7258">
        <v>65113224.079999998</v>
      </c>
      <c r="Q7258">
        <v>65113224.079999998</v>
      </c>
      <c r="R7258" s="14">
        <f>_xlfn.XLOOKUP(Table2[[#This Row],[LoanID]],Table1[G-L ID],Table1[ManagerCode],-99)</f>
        <v>183</v>
      </c>
      <c r="T7258"/>
    </row>
    <row r="7259" spans="1:20" x14ac:dyDescent="0.25">
      <c r="A7259">
        <v>20180731</v>
      </c>
      <c r="B7259">
        <v>2018</v>
      </c>
      <c r="C7259">
        <v>7</v>
      </c>
      <c r="D7259">
        <v>1</v>
      </c>
      <c r="E7259">
        <v>12360</v>
      </c>
      <c r="F7259">
        <v>123266.44</v>
      </c>
      <c r="G7259">
        <v>0</v>
      </c>
      <c r="H7259">
        <v>0</v>
      </c>
      <c r="I7259">
        <v>0</v>
      </c>
      <c r="J7259">
        <v>0</v>
      </c>
      <c r="K7259">
        <v>0</v>
      </c>
      <c r="L7259">
        <v>60000000</v>
      </c>
      <c r="M7259">
        <v>60000000</v>
      </c>
      <c r="N7259">
        <v>19000000</v>
      </c>
      <c r="O7259">
        <v>19000000</v>
      </c>
      <c r="P7259">
        <v>60000000</v>
      </c>
      <c r="Q7259">
        <v>60000000</v>
      </c>
      <c r="R7259" s="14">
        <f>_xlfn.XLOOKUP(Table2[[#This Row],[LoanID]],Table1[G-L ID],Table1[ManagerCode],-99)</f>
        <v>183</v>
      </c>
      <c r="T7259"/>
    </row>
    <row r="7260" spans="1:20" x14ac:dyDescent="0.25">
      <c r="A7260">
        <v>20180731</v>
      </c>
      <c r="B7260">
        <v>2018</v>
      </c>
      <c r="C7260">
        <v>7</v>
      </c>
      <c r="D7260">
        <v>1</v>
      </c>
      <c r="E7260">
        <v>12370</v>
      </c>
      <c r="F7260">
        <v>360573.28</v>
      </c>
      <c r="G7260">
        <v>0</v>
      </c>
      <c r="H7260">
        <v>0</v>
      </c>
      <c r="I7260">
        <v>0</v>
      </c>
      <c r="J7260">
        <v>0</v>
      </c>
      <c r="K7260">
        <v>0</v>
      </c>
      <c r="L7260">
        <v>104000000</v>
      </c>
      <c r="M7260">
        <v>104000000</v>
      </c>
      <c r="N7260">
        <v>44000000</v>
      </c>
      <c r="O7260">
        <v>44000000</v>
      </c>
      <c r="P7260">
        <v>104000000</v>
      </c>
      <c r="Q7260">
        <v>104000000</v>
      </c>
      <c r="R7260" s="14">
        <f>_xlfn.XLOOKUP(Table2[[#This Row],[LoanID]],Table1[G-L ID],Table1[ManagerCode],-99)</f>
        <v>183</v>
      </c>
      <c r="T7260"/>
    </row>
    <row r="7261" spans="1:20" x14ac:dyDescent="0.25">
      <c r="A7261">
        <v>20180731</v>
      </c>
      <c r="B7261">
        <v>2018</v>
      </c>
      <c r="C7261">
        <v>7</v>
      </c>
      <c r="D7261">
        <v>1</v>
      </c>
      <c r="E7261">
        <v>12380</v>
      </c>
      <c r="F7261">
        <v>77957.64</v>
      </c>
      <c r="G7261">
        <v>0</v>
      </c>
      <c r="H7261">
        <v>0</v>
      </c>
      <c r="I7261">
        <v>0</v>
      </c>
      <c r="J7261">
        <v>0</v>
      </c>
      <c r="K7261">
        <v>0</v>
      </c>
      <c r="L7261">
        <v>32500000</v>
      </c>
      <c r="M7261">
        <v>32500000</v>
      </c>
      <c r="N7261">
        <v>12350000</v>
      </c>
      <c r="O7261">
        <v>12350000</v>
      </c>
      <c r="P7261">
        <v>32500000</v>
      </c>
      <c r="Q7261">
        <v>32500000</v>
      </c>
      <c r="R7261" s="14">
        <f>_xlfn.XLOOKUP(Table2[[#This Row],[LoanID]],Table1[G-L ID],Table1[ManagerCode],-99)</f>
        <v>183</v>
      </c>
      <c r="T7261"/>
    </row>
    <row r="7262" spans="1:20" x14ac:dyDescent="0.25">
      <c r="A7262">
        <v>20180731</v>
      </c>
      <c r="B7262">
        <v>2018</v>
      </c>
      <c r="C7262">
        <v>7</v>
      </c>
      <c r="D7262">
        <v>1</v>
      </c>
      <c r="E7262">
        <v>12390</v>
      </c>
      <c r="F7262">
        <v>477311.25</v>
      </c>
      <c r="G7262">
        <v>475621.05</v>
      </c>
      <c r="H7262">
        <v>0</v>
      </c>
      <c r="I7262">
        <v>0</v>
      </c>
      <c r="J7262">
        <v>-432114.36</v>
      </c>
      <c r="K7262">
        <v>0</v>
      </c>
      <c r="L7262">
        <v>71427551.560000002</v>
      </c>
      <c r="M7262">
        <v>72335286.969999999</v>
      </c>
      <c r="N7262">
        <v>71427551.560000002</v>
      </c>
      <c r="O7262">
        <v>72335286.969999999</v>
      </c>
      <c r="P7262">
        <v>71427551.560000002</v>
      </c>
      <c r="Q7262">
        <v>72335286.969999999</v>
      </c>
      <c r="R7262" s="14">
        <f>_xlfn.XLOOKUP(Table2[[#This Row],[LoanID]],Table1[G-L ID],Table1[ManagerCode],-99)</f>
        <v>183</v>
      </c>
      <c r="T7262"/>
    </row>
    <row r="7263" spans="1:20" x14ac:dyDescent="0.25">
      <c r="A7263">
        <v>20180731</v>
      </c>
      <c r="B7263">
        <v>2018</v>
      </c>
      <c r="C7263">
        <v>7</v>
      </c>
      <c r="D7263">
        <v>1</v>
      </c>
      <c r="E7263">
        <v>12400</v>
      </c>
      <c r="F7263">
        <v>89619.71</v>
      </c>
      <c r="G7263">
        <v>103187.21</v>
      </c>
      <c r="H7263">
        <v>0</v>
      </c>
      <c r="I7263">
        <v>0</v>
      </c>
      <c r="J7263">
        <v>-853984.07</v>
      </c>
      <c r="K7263">
        <v>0</v>
      </c>
      <c r="L7263">
        <v>18557711.109999999</v>
      </c>
      <c r="M7263">
        <v>19514882.390000001</v>
      </c>
      <c r="N7263">
        <v>18557711.109999999</v>
      </c>
      <c r="O7263">
        <v>19514882.390000001</v>
      </c>
      <c r="P7263">
        <v>18557711.109999999</v>
      </c>
      <c r="Q7263">
        <v>19514882.390000001</v>
      </c>
      <c r="R7263" s="14">
        <f>_xlfn.XLOOKUP(Table2[[#This Row],[LoanID]],Table1[G-L ID],Table1[ManagerCode],-99)</f>
        <v>183</v>
      </c>
      <c r="T7263"/>
    </row>
    <row r="7264" spans="1:20" x14ac:dyDescent="0.25">
      <c r="A7264">
        <v>20180731</v>
      </c>
      <c r="B7264">
        <v>2018</v>
      </c>
      <c r="C7264">
        <v>7</v>
      </c>
      <c r="D7264">
        <v>1</v>
      </c>
      <c r="E7264">
        <v>12410</v>
      </c>
      <c r="F7264">
        <v>321165.99</v>
      </c>
      <c r="G7264">
        <v>256932.8</v>
      </c>
      <c r="H7264">
        <v>0</v>
      </c>
      <c r="I7264">
        <v>0</v>
      </c>
      <c r="J7264">
        <v>0</v>
      </c>
      <c r="K7264">
        <v>0</v>
      </c>
      <c r="L7264">
        <v>73263963</v>
      </c>
      <c r="M7264">
        <v>73263963.950000003</v>
      </c>
      <c r="N7264">
        <v>73263963</v>
      </c>
      <c r="O7264">
        <v>73263963.950000003</v>
      </c>
      <c r="P7264">
        <v>78047419.540000007</v>
      </c>
      <c r="Q7264">
        <v>78304352.340000004</v>
      </c>
      <c r="R7264" s="14">
        <f>_xlfn.XLOOKUP(Table2[[#This Row],[LoanID]],Table1[G-L ID],Table1[ManagerCode],-99)</f>
        <v>103</v>
      </c>
      <c r="T7264"/>
    </row>
    <row r="7265" spans="1:20" x14ac:dyDescent="0.25">
      <c r="A7265">
        <v>20180731</v>
      </c>
      <c r="B7265">
        <v>2018</v>
      </c>
      <c r="C7265">
        <v>7</v>
      </c>
      <c r="D7265">
        <v>1</v>
      </c>
      <c r="E7265">
        <v>12420</v>
      </c>
      <c r="F7265">
        <v>38427.230000000003</v>
      </c>
      <c r="G7265">
        <v>0</v>
      </c>
      <c r="H7265">
        <v>0</v>
      </c>
      <c r="I7265">
        <v>0</v>
      </c>
      <c r="J7265">
        <v>-58905.27</v>
      </c>
      <c r="K7265">
        <v>0</v>
      </c>
      <c r="L7265">
        <v>3234915</v>
      </c>
      <c r="M7265">
        <v>3293821.58</v>
      </c>
      <c r="N7265">
        <v>3234915</v>
      </c>
      <c r="O7265">
        <v>3293821.58</v>
      </c>
      <c r="P7265">
        <v>3234916.31</v>
      </c>
      <c r="Q7265">
        <v>3293821.58</v>
      </c>
      <c r="R7265" s="14">
        <f>_xlfn.XLOOKUP(Table2[[#This Row],[LoanID]],Table1[G-L ID],Table1[ManagerCode],-99)</f>
        <v>103</v>
      </c>
      <c r="T7265"/>
    </row>
    <row r="7266" spans="1:20" x14ac:dyDescent="0.25">
      <c r="A7266">
        <v>20180731</v>
      </c>
      <c r="B7266">
        <v>2018</v>
      </c>
      <c r="C7266">
        <v>7</v>
      </c>
      <c r="D7266">
        <v>1</v>
      </c>
      <c r="E7266">
        <v>12430</v>
      </c>
      <c r="F7266">
        <v>73801.55</v>
      </c>
      <c r="G7266">
        <v>0</v>
      </c>
      <c r="H7266">
        <v>0</v>
      </c>
      <c r="I7266">
        <v>0</v>
      </c>
      <c r="J7266">
        <v>-73801.55</v>
      </c>
      <c r="K7266">
        <v>0</v>
      </c>
      <c r="L7266">
        <v>21861043</v>
      </c>
      <c r="M7266">
        <v>21928179.609999999</v>
      </c>
      <c r="N7266">
        <v>21861043</v>
      </c>
      <c r="O7266">
        <v>21928179.609999999</v>
      </c>
      <c r="P7266">
        <v>24031495.199999999</v>
      </c>
      <c r="Q7266">
        <v>24105296.75</v>
      </c>
      <c r="R7266" s="14">
        <f>_xlfn.XLOOKUP(Table2[[#This Row],[LoanID]],Table1[G-L ID],Table1[ManagerCode],-99)</f>
        <v>103</v>
      </c>
      <c r="T7266"/>
    </row>
    <row r="7267" spans="1:20" x14ac:dyDescent="0.25">
      <c r="A7267">
        <v>20180731</v>
      </c>
      <c r="B7267">
        <v>2018</v>
      </c>
      <c r="C7267">
        <v>7</v>
      </c>
      <c r="D7267">
        <v>1</v>
      </c>
      <c r="E7267">
        <v>12440</v>
      </c>
      <c r="F7267">
        <v>32274.959999999999</v>
      </c>
      <c r="G7267">
        <v>0</v>
      </c>
      <c r="H7267">
        <v>0</v>
      </c>
      <c r="I7267">
        <v>0</v>
      </c>
      <c r="J7267">
        <v>0</v>
      </c>
      <c r="K7267">
        <v>51091.31</v>
      </c>
      <c r="L7267">
        <v>4381850</v>
      </c>
      <c r="M7267">
        <v>4324045.87</v>
      </c>
      <c r="N7267">
        <v>4381850</v>
      </c>
      <c r="O7267">
        <v>4324045.87</v>
      </c>
      <c r="P7267">
        <v>3872995.2</v>
      </c>
      <c r="Q7267">
        <v>3821903.89</v>
      </c>
      <c r="R7267" s="14">
        <f>_xlfn.XLOOKUP(Table2[[#This Row],[LoanID]],Table1[G-L ID],Table1[ManagerCode],-99)</f>
        <v>103</v>
      </c>
      <c r="T7267"/>
    </row>
    <row r="7268" spans="1:20" x14ac:dyDescent="0.25">
      <c r="A7268">
        <v>20180731</v>
      </c>
      <c r="B7268">
        <v>2018</v>
      </c>
      <c r="C7268">
        <v>7</v>
      </c>
      <c r="D7268">
        <v>1</v>
      </c>
      <c r="E7268">
        <v>12450</v>
      </c>
      <c r="F7268">
        <v>31382.43</v>
      </c>
      <c r="G7268">
        <v>33965.480000000003</v>
      </c>
      <c r="H7268">
        <v>0</v>
      </c>
      <c r="I7268">
        <v>0</v>
      </c>
      <c r="J7268">
        <v>-415400.98</v>
      </c>
      <c r="K7268">
        <v>0</v>
      </c>
      <c r="L7268">
        <v>6091198.0099999998</v>
      </c>
      <c r="M7268">
        <v>6540564.4699999997</v>
      </c>
      <c r="N7268">
        <v>6091198.0099999998</v>
      </c>
      <c r="O7268">
        <v>6540564.4699999997</v>
      </c>
      <c r="P7268">
        <v>6091198.0099999998</v>
      </c>
      <c r="Q7268">
        <v>6540564.4699999997</v>
      </c>
      <c r="R7268" s="14">
        <f>_xlfn.XLOOKUP(Table2[[#This Row],[LoanID]],Table1[G-L ID],Table1[ManagerCode],-99)</f>
        <v>183</v>
      </c>
      <c r="T7268"/>
    </row>
    <row r="7269" spans="1:20" x14ac:dyDescent="0.25">
      <c r="A7269">
        <v>20180731</v>
      </c>
      <c r="B7269">
        <v>2018</v>
      </c>
      <c r="C7269">
        <v>7</v>
      </c>
      <c r="D7269">
        <v>1</v>
      </c>
      <c r="E7269">
        <v>12460</v>
      </c>
      <c r="F7269">
        <v>42250</v>
      </c>
      <c r="G7269">
        <v>45345.4</v>
      </c>
      <c r="H7269">
        <v>0</v>
      </c>
      <c r="I7269">
        <v>0</v>
      </c>
      <c r="J7269">
        <v>0</v>
      </c>
      <c r="K7269">
        <v>0</v>
      </c>
      <c r="L7269">
        <v>8759540.2599999998</v>
      </c>
      <c r="M7269">
        <v>8804885.6600000001</v>
      </c>
      <c r="N7269">
        <v>8759540.2599999998</v>
      </c>
      <c r="O7269">
        <v>8804885.6600000001</v>
      </c>
      <c r="P7269">
        <v>8759540.2599999998</v>
      </c>
      <c r="Q7269">
        <v>8804885.6600000001</v>
      </c>
      <c r="R7269" s="14">
        <f>_xlfn.XLOOKUP(Table2[[#This Row],[LoanID]],Table1[G-L ID],Table1[ManagerCode],-99)</f>
        <v>183</v>
      </c>
      <c r="T7269"/>
    </row>
    <row r="7270" spans="1:20" x14ac:dyDescent="0.25">
      <c r="A7270">
        <v>20180731</v>
      </c>
      <c r="B7270">
        <v>2018</v>
      </c>
      <c r="C7270">
        <v>7</v>
      </c>
      <c r="D7270">
        <v>1</v>
      </c>
      <c r="E7270">
        <v>12470</v>
      </c>
      <c r="F7270">
        <v>310806.56</v>
      </c>
      <c r="G7270">
        <v>0</v>
      </c>
      <c r="H7270">
        <v>0</v>
      </c>
      <c r="I7270">
        <v>0</v>
      </c>
      <c r="J7270">
        <v>0</v>
      </c>
      <c r="K7270">
        <v>0</v>
      </c>
      <c r="L7270">
        <v>115000000</v>
      </c>
      <c r="M7270">
        <v>115000000</v>
      </c>
      <c r="N7270">
        <v>46000000</v>
      </c>
      <c r="O7270">
        <v>46000000</v>
      </c>
      <c r="P7270">
        <v>115000000</v>
      </c>
      <c r="Q7270">
        <v>115000000</v>
      </c>
      <c r="R7270" s="14">
        <f>_xlfn.XLOOKUP(Table2[[#This Row],[LoanID]],Table1[G-L ID],Table1[ManagerCode],-99)</f>
        <v>183</v>
      </c>
      <c r="T7270"/>
    </row>
    <row r="7271" spans="1:20" x14ac:dyDescent="0.25">
      <c r="A7271">
        <v>20180731</v>
      </c>
      <c r="B7271">
        <v>2018</v>
      </c>
      <c r="C7271">
        <v>7</v>
      </c>
      <c r="D7271">
        <v>1</v>
      </c>
      <c r="E7271">
        <v>12480</v>
      </c>
      <c r="F7271">
        <v>75984.990000000005</v>
      </c>
      <c r="G7271">
        <v>0</v>
      </c>
      <c r="H7271">
        <v>0</v>
      </c>
      <c r="I7271">
        <v>0</v>
      </c>
      <c r="J7271">
        <v>0</v>
      </c>
      <c r="K7271">
        <v>0</v>
      </c>
      <c r="L7271">
        <v>19880000</v>
      </c>
      <c r="M7271">
        <v>19880000</v>
      </c>
      <c r="N7271">
        <v>9380000</v>
      </c>
      <c r="O7271">
        <v>9380000</v>
      </c>
      <c r="P7271">
        <v>19880000</v>
      </c>
      <c r="Q7271">
        <v>19880000</v>
      </c>
      <c r="R7271" s="14">
        <f>_xlfn.XLOOKUP(Table2[[#This Row],[LoanID]],Table1[G-L ID],Table1[ManagerCode],-99)</f>
        <v>183</v>
      </c>
      <c r="T7271"/>
    </row>
    <row r="7272" spans="1:20" x14ac:dyDescent="0.25">
      <c r="A7272">
        <v>20180731</v>
      </c>
      <c r="B7272">
        <v>2018</v>
      </c>
      <c r="C7272">
        <v>7</v>
      </c>
      <c r="D7272">
        <v>1</v>
      </c>
      <c r="E7272">
        <v>12490</v>
      </c>
      <c r="F7272">
        <v>131565.34</v>
      </c>
      <c r="G7272">
        <v>0</v>
      </c>
      <c r="H7272">
        <v>0</v>
      </c>
      <c r="I7272">
        <v>0</v>
      </c>
      <c r="J7272">
        <v>0</v>
      </c>
      <c r="K7272">
        <v>0</v>
      </c>
      <c r="L7272">
        <v>50200000</v>
      </c>
      <c r="M7272">
        <v>50200000</v>
      </c>
      <c r="N7272">
        <v>19600000</v>
      </c>
      <c r="O7272">
        <v>19600000</v>
      </c>
      <c r="P7272">
        <v>50200000</v>
      </c>
      <c r="Q7272">
        <v>50200000</v>
      </c>
      <c r="R7272" s="14">
        <f>_xlfn.XLOOKUP(Table2[[#This Row],[LoanID]],Table1[G-L ID],Table1[ManagerCode],-99)</f>
        <v>183</v>
      </c>
      <c r="T7272"/>
    </row>
    <row r="7273" spans="1:20" x14ac:dyDescent="0.25">
      <c r="A7273">
        <v>20180731</v>
      </c>
      <c r="B7273">
        <v>2018</v>
      </c>
      <c r="C7273">
        <v>7</v>
      </c>
      <c r="D7273">
        <v>1</v>
      </c>
      <c r="E7273">
        <v>12500</v>
      </c>
      <c r="F7273">
        <v>503604.17</v>
      </c>
      <c r="G7273">
        <v>0</v>
      </c>
      <c r="H7273">
        <v>0</v>
      </c>
      <c r="I7273">
        <v>0</v>
      </c>
      <c r="J7273">
        <v>0</v>
      </c>
      <c r="K7273">
        <v>0</v>
      </c>
      <c r="L7273">
        <v>115000000</v>
      </c>
      <c r="M7273">
        <v>115000000</v>
      </c>
      <c r="N7273">
        <v>46015000</v>
      </c>
      <c r="O7273">
        <v>46015000</v>
      </c>
      <c r="P7273">
        <v>115000000</v>
      </c>
      <c r="Q7273">
        <v>115000000</v>
      </c>
      <c r="R7273" s="14">
        <f>_xlfn.XLOOKUP(Table2[[#This Row],[LoanID]],Table1[G-L ID],Table1[ManagerCode],-99)</f>
        <v>183</v>
      </c>
      <c r="T7273"/>
    </row>
    <row r="7274" spans="1:20" x14ac:dyDescent="0.25">
      <c r="A7274">
        <v>20180731</v>
      </c>
      <c r="B7274">
        <v>2018</v>
      </c>
      <c r="C7274">
        <v>7</v>
      </c>
      <c r="D7274">
        <v>1</v>
      </c>
      <c r="E7274">
        <v>12510</v>
      </c>
      <c r="F7274">
        <v>324524.09999999998</v>
      </c>
      <c r="G7274">
        <v>0</v>
      </c>
      <c r="H7274">
        <v>0</v>
      </c>
      <c r="I7274">
        <v>0</v>
      </c>
      <c r="J7274">
        <v>0</v>
      </c>
      <c r="K7274">
        <v>0</v>
      </c>
      <c r="L7274">
        <v>131500000</v>
      </c>
      <c r="M7274">
        <v>131500000</v>
      </c>
      <c r="N7274">
        <v>46025000</v>
      </c>
      <c r="O7274">
        <v>46025000</v>
      </c>
      <c r="P7274">
        <v>131500000</v>
      </c>
      <c r="Q7274">
        <v>131500000</v>
      </c>
      <c r="R7274" s="14">
        <f>_xlfn.XLOOKUP(Table2[[#This Row],[LoanID]],Table1[G-L ID],Table1[ManagerCode],-99)</f>
        <v>183</v>
      </c>
      <c r="T7274"/>
    </row>
    <row r="7275" spans="1:20" x14ac:dyDescent="0.25">
      <c r="A7275">
        <v>20180731</v>
      </c>
      <c r="B7275">
        <v>2018</v>
      </c>
      <c r="C7275">
        <v>7</v>
      </c>
      <c r="D7275">
        <v>1</v>
      </c>
      <c r="E7275">
        <v>12520</v>
      </c>
      <c r="F7275">
        <v>157123.46</v>
      </c>
      <c r="G7275">
        <v>0</v>
      </c>
      <c r="H7275">
        <v>0</v>
      </c>
      <c r="I7275">
        <v>0</v>
      </c>
      <c r="J7275">
        <v>0</v>
      </c>
      <c r="K7275">
        <v>0</v>
      </c>
      <c r="L7275">
        <v>43343598.600000001</v>
      </c>
      <c r="M7275">
        <v>43343598.600000001</v>
      </c>
      <c r="N7275">
        <v>18593598.600000001</v>
      </c>
      <c r="O7275">
        <v>18593598.600000001</v>
      </c>
      <c r="P7275">
        <v>43343598.600000001</v>
      </c>
      <c r="Q7275">
        <v>43343598.600000001</v>
      </c>
      <c r="R7275" s="14">
        <f>_xlfn.XLOOKUP(Table2[[#This Row],[LoanID]],Table1[G-L ID],Table1[ManagerCode],-99)</f>
        <v>183</v>
      </c>
      <c r="T7275"/>
    </row>
    <row r="7276" spans="1:20" x14ac:dyDescent="0.25">
      <c r="A7276">
        <v>20180731</v>
      </c>
      <c r="B7276">
        <v>2018</v>
      </c>
      <c r="C7276">
        <v>7</v>
      </c>
      <c r="D7276">
        <v>1</v>
      </c>
      <c r="E7276">
        <v>12530</v>
      </c>
      <c r="F7276">
        <v>235734.5</v>
      </c>
      <c r="G7276">
        <v>0</v>
      </c>
      <c r="H7276">
        <v>0</v>
      </c>
      <c r="I7276">
        <v>0</v>
      </c>
      <c r="J7276">
        <v>0</v>
      </c>
      <c r="K7276">
        <v>0</v>
      </c>
      <c r="L7276">
        <v>26200000</v>
      </c>
      <c r="M7276">
        <v>26200000</v>
      </c>
      <c r="N7276">
        <v>26200000</v>
      </c>
      <c r="O7276">
        <v>26200000</v>
      </c>
      <c r="P7276">
        <v>26200000</v>
      </c>
      <c r="Q7276">
        <v>26200000</v>
      </c>
      <c r="R7276" s="14">
        <f>_xlfn.XLOOKUP(Table2[[#This Row],[LoanID]],Table1[G-L ID],Table1[ManagerCode],-99)</f>
        <v>119</v>
      </c>
      <c r="T7276"/>
    </row>
    <row r="7277" spans="1:20" x14ac:dyDescent="0.25">
      <c r="A7277">
        <v>20180731</v>
      </c>
      <c r="B7277">
        <v>2018</v>
      </c>
      <c r="C7277">
        <v>7</v>
      </c>
      <c r="D7277">
        <v>1</v>
      </c>
      <c r="E7277">
        <v>12540</v>
      </c>
      <c r="F7277">
        <v>0</v>
      </c>
      <c r="G7277">
        <v>0</v>
      </c>
      <c r="H7277">
        <v>0</v>
      </c>
      <c r="I7277">
        <v>0</v>
      </c>
      <c r="J7277">
        <v>0</v>
      </c>
      <c r="K7277">
        <v>0</v>
      </c>
      <c r="L7277">
        <v>15657141.18</v>
      </c>
      <c r="M7277">
        <v>15657141.18</v>
      </c>
      <c r="N7277">
        <v>15657141.18</v>
      </c>
      <c r="O7277">
        <v>15657141.18</v>
      </c>
      <c r="P7277">
        <v>15657141.18</v>
      </c>
      <c r="Q7277">
        <v>15657141.18</v>
      </c>
      <c r="R7277" s="14">
        <f>_xlfn.XLOOKUP(Table2[[#This Row],[LoanID]],Table1[G-L ID],Table1[ManagerCode],-99)</f>
        <v>119</v>
      </c>
      <c r="T7277"/>
    </row>
    <row r="7278" spans="1:20" x14ac:dyDescent="0.25">
      <c r="A7278">
        <v>20180731</v>
      </c>
      <c r="B7278">
        <v>2018</v>
      </c>
      <c r="C7278">
        <v>7</v>
      </c>
      <c r="D7278">
        <v>1</v>
      </c>
      <c r="E7278">
        <v>12550</v>
      </c>
      <c r="F7278">
        <v>74451.45</v>
      </c>
      <c r="G7278">
        <v>0</v>
      </c>
      <c r="H7278">
        <v>0</v>
      </c>
      <c r="I7278">
        <v>0</v>
      </c>
      <c r="J7278">
        <v>0</v>
      </c>
      <c r="K7278">
        <v>0</v>
      </c>
      <c r="L7278">
        <v>7416099.1500000004</v>
      </c>
      <c r="M7278">
        <v>7416099.1500000004</v>
      </c>
      <c r="N7278">
        <v>7416099.1500000004</v>
      </c>
      <c r="O7278">
        <v>7416099.1500000004</v>
      </c>
      <c r="P7278">
        <v>7416099.1500000004</v>
      </c>
      <c r="Q7278">
        <v>7416099.1500000004</v>
      </c>
      <c r="R7278" s="14">
        <f>_xlfn.XLOOKUP(Table2[[#This Row],[LoanID]],Table1[G-L ID],Table1[ManagerCode],-99)</f>
        <v>119</v>
      </c>
      <c r="T7278"/>
    </row>
    <row r="7279" spans="1:20" x14ac:dyDescent="0.25">
      <c r="A7279">
        <v>20180731</v>
      </c>
      <c r="B7279">
        <v>2018</v>
      </c>
      <c r="C7279">
        <v>7</v>
      </c>
      <c r="D7279">
        <v>1</v>
      </c>
      <c r="E7279">
        <v>12560</v>
      </c>
      <c r="F7279">
        <v>136226.53</v>
      </c>
      <c r="G7279">
        <v>0</v>
      </c>
      <c r="H7279">
        <v>0</v>
      </c>
      <c r="I7279">
        <v>0</v>
      </c>
      <c r="J7279">
        <v>-541291.37</v>
      </c>
      <c r="K7279">
        <v>0</v>
      </c>
      <c r="L7279">
        <v>16458928.779999999</v>
      </c>
      <c r="M7279">
        <v>17000220.149999999</v>
      </c>
      <c r="N7279">
        <v>16458928.779999999</v>
      </c>
      <c r="O7279">
        <v>17000220.149999999</v>
      </c>
      <c r="P7279">
        <v>16458928.779999999</v>
      </c>
      <c r="Q7279">
        <v>17000220.149999999</v>
      </c>
      <c r="R7279" s="14">
        <f>_xlfn.XLOOKUP(Table2[[#This Row],[LoanID]],Table1[G-L ID],Table1[ManagerCode],-99)</f>
        <v>119</v>
      </c>
      <c r="T7279"/>
    </row>
    <row r="7280" spans="1:20" x14ac:dyDescent="0.25">
      <c r="A7280">
        <v>20180731</v>
      </c>
      <c r="B7280">
        <v>2018</v>
      </c>
      <c r="C7280">
        <v>7</v>
      </c>
      <c r="D7280">
        <v>1</v>
      </c>
      <c r="E7280">
        <v>12570</v>
      </c>
      <c r="F7280">
        <v>80687.44</v>
      </c>
      <c r="G7280">
        <v>0</v>
      </c>
      <c r="H7280">
        <v>0</v>
      </c>
      <c r="I7280">
        <v>0</v>
      </c>
      <c r="J7280">
        <v>-346559.3</v>
      </c>
      <c r="K7280">
        <v>0</v>
      </c>
      <c r="L7280">
        <v>9268463.0899999999</v>
      </c>
      <c r="M7280">
        <v>9615022.3900000006</v>
      </c>
      <c r="N7280">
        <v>9268463.0899999999</v>
      </c>
      <c r="O7280">
        <v>9615022.3900000006</v>
      </c>
      <c r="P7280">
        <v>9268463.0899999999</v>
      </c>
      <c r="Q7280">
        <v>9615022.3900000006</v>
      </c>
      <c r="R7280" s="14">
        <f>_xlfn.XLOOKUP(Table2[[#This Row],[LoanID]],Table1[G-L ID],Table1[ManagerCode],-99)</f>
        <v>119</v>
      </c>
      <c r="T7280"/>
    </row>
    <row r="7281" spans="1:20" x14ac:dyDescent="0.25">
      <c r="A7281">
        <v>20180731</v>
      </c>
      <c r="B7281">
        <v>2018</v>
      </c>
      <c r="C7281">
        <v>7</v>
      </c>
      <c r="D7281">
        <v>1</v>
      </c>
      <c r="E7281">
        <v>12580</v>
      </c>
      <c r="F7281">
        <v>178355.33</v>
      </c>
      <c r="G7281">
        <v>0</v>
      </c>
      <c r="H7281">
        <v>0</v>
      </c>
      <c r="I7281">
        <v>0</v>
      </c>
      <c r="J7281">
        <v>0</v>
      </c>
      <c r="K7281">
        <v>0</v>
      </c>
      <c r="L7281">
        <v>18000000</v>
      </c>
      <c r="M7281">
        <v>18000000</v>
      </c>
      <c r="N7281">
        <v>18000000</v>
      </c>
      <c r="O7281">
        <v>18000000</v>
      </c>
      <c r="P7281">
        <v>18000000</v>
      </c>
      <c r="Q7281">
        <v>18000000</v>
      </c>
      <c r="R7281" s="14">
        <f>_xlfn.XLOOKUP(Table2[[#This Row],[LoanID]],Table1[G-L ID],Table1[ManagerCode],-99)</f>
        <v>119</v>
      </c>
      <c r="T7281"/>
    </row>
    <row r="7282" spans="1:20" x14ac:dyDescent="0.25">
      <c r="A7282">
        <v>20180731</v>
      </c>
      <c r="B7282">
        <v>2018</v>
      </c>
      <c r="C7282">
        <v>7</v>
      </c>
      <c r="D7282">
        <v>1</v>
      </c>
      <c r="E7282">
        <v>12590</v>
      </c>
      <c r="F7282">
        <v>80190.42</v>
      </c>
      <c r="G7282">
        <v>0</v>
      </c>
      <c r="H7282">
        <v>0</v>
      </c>
      <c r="I7282">
        <v>0</v>
      </c>
      <c r="J7282">
        <v>0</v>
      </c>
      <c r="K7282">
        <v>0</v>
      </c>
      <c r="L7282">
        <v>8500000</v>
      </c>
      <c r="M7282">
        <v>8500000</v>
      </c>
      <c r="N7282">
        <v>8500000</v>
      </c>
      <c r="O7282">
        <v>8500000</v>
      </c>
      <c r="P7282">
        <v>8500000</v>
      </c>
      <c r="Q7282">
        <v>8500000</v>
      </c>
      <c r="R7282" s="14">
        <f>_xlfn.XLOOKUP(Table2[[#This Row],[LoanID]],Table1[G-L ID],Table1[ManagerCode],-99)</f>
        <v>119</v>
      </c>
      <c r="T7282"/>
    </row>
    <row r="7283" spans="1:20" x14ac:dyDescent="0.25">
      <c r="A7283">
        <v>20180731</v>
      </c>
      <c r="B7283">
        <v>2018</v>
      </c>
      <c r="C7283">
        <v>7</v>
      </c>
      <c r="D7283">
        <v>1</v>
      </c>
      <c r="E7283">
        <v>12600</v>
      </c>
      <c r="F7283">
        <v>239898.75</v>
      </c>
      <c r="G7283">
        <v>0</v>
      </c>
      <c r="H7283">
        <v>0</v>
      </c>
      <c r="I7283">
        <v>0</v>
      </c>
      <c r="J7283">
        <v>0</v>
      </c>
      <c r="K7283">
        <v>0</v>
      </c>
      <c r="L7283">
        <v>27750000</v>
      </c>
      <c r="M7283">
        <v>27750000</v>
      </c>
      <c r="N7283">
        <v>27750000</v>
      </c>
      <c r="O7283">
        <v>27750000</v>
      </c>
      <c r="P7283">
        <v>27750000</v>
      </c>
      <c r="Q7283">
        <v>27750000</v>
      </c>
      <c r="R7283" s="14">
        <f>_xlfn.XLOOKUP(Table2[[#This Row],[LoanID]],Table1[G-L ID],Table1[ManagerCode],-99)</f>
        <v>119</v>
      </c>
      <c r="T7283"/>
    </row>
    <row r="7284" spans="1:20" x14ac:dyDescent="0.25">
      <c r="A7284">
        <v>20180731</v>
      </c>
      <c r="B7284">
        <v>2018</v>
      </c>
      <c r="C7284">
        <v>7</v>
      </c>
      <c r="D7284">
        <v>1</v>
      </c>
      <c r="E7284">
        <v>12610</v>
      </c>
      <c r="F7284">
        <v>79401.66</v>
      </c>
      <c r="G7284">
        <v>0</v>
      </c>
      <c r="H7284">
        <v>0</v>
      </c>
      <c r="I7284">
        <v>0</v>
      </c>
      <c r="J7284">
        <v>0</v>
      </c>
      <c r="K7284">
        <v>0</v>
      </c>
      <c r="L7284">
        <v>8875000</v>
      </c>
      <c r="M7284">
        <v>8875000</v>
      </c>
      <c r="N7284">
        <v>8875000</v>
      </c>
      <c r="O7284">
        <v>8875000</v>
      </c>
      <c r="P7284">
        <v>8875000</v>
      </c>
      <c r="Q7284">
        <v>8875000</v>
      </c>
      <c r="R7284" s="14">
        <f>_xlfn.XLOOKUP(Table2[[#This Row],[LoanID]],Table1[G-L ID],Table1[ManagerCode],-99)</f>
        <v>119</v>
      </c>
      <c r="T7284"/>
    </row>
    <row r="7285" spans="1:20" x14ac:dyDescent="0.25">
      <c r="A7285">
        <v>20180731</v>
      </c>
      <c r="B7285">
        <v>2018</v>
      </c>
      <c r="C7285">
        <v>7</v>
      </c>
      <c r="D7285">
        <v>1</v>
      </c>
      <c r="E7285">
        <v>12620</v>
      </c>
      <c r="F7285">
        <v>47871.14</v>
      </c>
      <c r="G7285">
        <v>0</v>
      </c>
      <c r="H7285">
        <v>0</v>
      </c>
      <c r="I7285">
        <v>0</v>
      </c>
      <c r="J7285">
        <v>0</v>
      </c>
      <c r="K7285">
        <v>3757162.5</v>
      </c>
      <c r="L7285">
        <v>5095385.1100000003</v>
      </c>
      <c r="M7285">
        <v>1338222.6100000001</v>
      </c>
      <c r="N7285">
        <v>5095385.1100000003</v>
      </c>
      <c r="O7285">
        <v>1338222.6100000001</v>
      </c>
      <c r="P7285">
        <v>5095385.1100000003</v>
      </c>
      <c r="Q7285">
        <v>1338222.6100000001</v>
      </c>
      <c r="R7285" s="14">
        <f>_xlfn.XLOOKUP(Table2[[#This Row],[LoanID]],Table1[G-L ID],Table1[ManagerCode],-99)</f>
        <v>119</v>
      </c>
      <c r="T7285"/>
    </row>
    <row r="7286" spans="1:20" x14ac:dyDescent="0.25">
      <c r="A7286">
        <v>20180731</v>
      </c>
      <c r="B7286">
        <v>2018</v>
      </c>
      <c r="C7286">
        <v>7</v>
      </c>
      <c r="D7286">
        <v>1</v>
      </c>
      <c r="E7286">
        <v>12630</v>
      </c>
      <c r="F7286">
        <v>116115.44</v>
      </c>
      <c r="G7286">
        <v>0</v>
      </c>
      <c r="H7286">
        <v>0</v>
      </c>
      <c r="I7286">
        <v>0</v>
      </c>
      <c r="J7286">
        <v>0</v>
      </c>
      <c r="K7286">
        <v>0</v>
      </c>
      <c r="L7286">
        <v>13211200.35</v>
      </c>
      <c r="M7286">
        <v>13211200.35</v>
      </c>
      <c r="N7286">
        <v>13211200.35</v>
      </c>
      <c r="O7286">
        <v>13211200.35</v>
      </c>
      <c r="P7286">
        <v>13211200.35</v>
      </c>
      <c r="Q7286">
        <v>13211200.35</v>
      </c>
      <c r="R7286" s="14">
        <f>_xlfn.XLOOKUP(Table2[[#This Row],[LoanID]],Table1[G-L ID],Table1[ManagerCode],-99)</f>
        <v>119</v>
      </c>
      <c r="T7286"/>
    </row>
    <row r="7287" spans="1:20" x14ac:dyDescent="0.25">
      <c r="A7287">
        <v>20180731</v>
      </c>
      <c r="B7287">
        <v>2018</v>
      </c>
      <c r="C7287">
        <v>7</v>
      </c>
      <c r="D7287">
        <v>1</v>
      </c>
      <c r="E7287">
        <v>12640</v>
      </c>
      <c r="F7287">
        <v>80777.97</v>
      </c>
      <c r="G7287">
        <v>0</v>
      </c>
      <c r="H7287">
        <v>0</v>
      </c>
      <c r="I7287">
        <v>0</v>
      </c>
      <c r="J7287">
        <v>0</v>
      </c>
      <c r="K7287">
        <v>0</v>
      </c>
      <c r="L7287">
        <v>8371561.7599999998</v>
      </c>
      <c r="M7287">
        <v>8371561.7599999998</v>
      </c>
      <c r="N7287">
        <v>8371561.7599999998</v>
      </c>
      <c r="O7287">
        <v>8371561.7599999998</v>
      </c>
      <c r="P7287">
        <v>8371561.7599999998</v>
      </c>
      <c r="Q7287">
        <v>8371561.7599999998</v>
      </c>
      <c r="R7287" s="14">
        <f>_xlfn.XLOOKUP(Table2[[#This Row],[LoanID]],Table1[G-L ID],Table1[ManagerCode],-99)</f>
        <v>119</v>
      </c>
      <c r="T7287"/>
    </row>
    <row r="7288" spans="1:20" x14ac:dyDescent="0.25">
      <c r="A7288">
        <v>20180731</v>
      </c>
      <c r="B7288">
        <v>2018</v>
      </c>
      <c r="C7288">
        <v>7</v>
      </c>
      <c r="D7288">
        <v>1</v>
      </c>
      <c r="E7288">
        <v>12650</v>
      </c>
      <c r="F7288">
        <v>339644.05</v>
      </c>
      <c r="G7288">
        <v>0</v>
      </c>
      <c r="H7288">
        <v>0</v>
      </c>
      <c r="I7288">
        <v>0</v>
      </c>
      <c r="J7288">
        <v>0</v>
      </c>
      <c r="K7288">
        <v>0</v>
      </c>
      <c r="L7288">
        <v>111200000</v>
      </c>
      <c r="M7288">
        <v>111200000</v>
      </c>
      <c r="N7288">
        <v>44480000</v>
      </c>
      <c r="O7288">
        <v>44480000</v>
      </c>
      <c r="P7288">
        <v>111200000</v>
      </c>
      <c r="Q7288">
        <v>111200000</v>
      </c>
      <c r="R7288" s="14">
        <f>_xlfn.XLOOKUP(Table2[[#This Row],[LoanID]],Table1[G-L ID],Table1[ManagerCode],-99)</f>
        <v>183</v>
      </c>
      <c r="T7288"/>
    </row>
    <row r="7289" spans="1:20" x14ac:dyDescent="0.25">
      <c r="A7289">
        <v>20180731</v>
      </c>
      <c r="B7289">
        <v>2018</v>
      </c>
      <c r="C7289">
        <v>7</v>
      </c>
      <c r="D7289">
        <v>1</v>
      </c>
      <c r="E7289">
        <v>12660</v>
      </c>
      <c r="F7289">
        <v>115405.66</v>
      </c>
      <c r="G7289">
        <v>0</v>
      </c>
      <c r="H7289">
        <v>0</v>
      </c>
      <c r="I7289">
        <v>0</v>
      </c>
      <c r="J7289">
        <v>0</v>
      </c>
      <c r="K7289">
        <v>0</v>
      </c>
      <c r="L7289">
        <v>47000000</v>
      </c>
      <c r="M7289">
        <v>47000000</v>
      </c>
      <c r="N7289">
        <v>19000000</v>
      </c>
      <c r="O7289">
        <v>19000000</v>
      </c>
      <c r="P7289">
        <v>47000000</v>
      </c>
      <c r="Q7289">
        <v>47000000</v>
      </c>
      <c r="R7289" s="14">
        <f>_xlfn.XLOOKUP(Table2[[#This Row],[LoanID]],Table1[G-L ID],Table1[ManagerCode],-99)</f>
        <v>183</v>
      </c>
      <c r="T7289"/>
    </row>
    <row r="7290" spans="1:20" x14ac:dyDescent="0.25">
      <c r="A7290">
        <v>20180731</v>
      </c>
      <c r="B7290">
        <v>2018</v>
      </c>
      <c r="C7290">
        <v>7</v>
      </c>
      <c r="D7290">
        <v>1</v>
      </c>
      <c r="E7290">
        <v>12670</v>
      </c>
      <c r="F7290">
        <v>59020.5</v>
      </c>
      <c r="G7290">
        <v>0</v>
      </c>
      <c r="H7290">
        <v>0</v>
      </c>
      <c r="I7290">
        <v>0</v>
      </c>
      <c r="J7290">
        <v>0</v>
      </c>
      <c r="K7290">
        <v>0</v>
      </c>
      <c r="L7290">
        <v>15500000</v>
      </c>
      <c r="M7290">
        <v>15500000</v>
      </c>
      <c r="N7290">
        <v>7250000</v>
      </c>
      <c r="O7290">
        <v>7250000</v>
      </c>
      <c r="P7290">
        <v>15500000</v>
      </c>
      <c r="Q7290">
        <v>15500000</v>
      </c>
      <c r="R7290" s="14">
        <f>_xlfn.XLOOKUP(Table2[[#This Row],[LoanID]],Table1[G-L ID],Table1[ManagerCode],-99)</f>
        <v>183</v>
      </c>
      <c r="T7290"/>
    </row>
    <row r="7291" spans="1:20" x14ac:dyDescent="0.25">
      <c r="A7291">
        <v>20180731</v>
      </c>
      <c r="B7291">
        <v>2018</v>
      </c>
      <c r="C7291">
        <v>7</v>
      </c>
      <c r="D7291">
        <v>1</v>
      </c>
      <c r="E7291">
        <v>12680</v>
      </c>
      <c r="F7291">
        <v>146555.1</v>
      </c>
      <c r="G7291">
        <v>0</v>
      </c>
      <c r="H7291">
        <v>0</v>
      </c>
      <c r="I7291">
        <v>0</v>
      </c>
      <c r="J7291">
        <v>0</v>
      </c>
      <c r="K7291">
        <v>0</v>
      </c>
      <c r="L7291">
        <v>16126000</v>
      </c>
      <c r="M7291">
        <v>16126000</v>
      </c>
      <c r="N7291">
        <v>16126000</v>
      </c>
      <c r="O7291">
        <v>16126000</v>
      </c>
      <c r="P7291">
        <v>16126000</v>
      </c>
      <c r="Q7291">
        <v>16126000</v>
      </c>
      <c r="R7291" s="14">
        <f>_xlfn.XLOOKUP(Table2[[#This Row],[LoanID]],Table1[G-L ID],Table1[ManagerCode],-99)</f>
        <v>119</v>
      </c>
      <c r="T7291"/>
    </row>
    <row r="7292" spans="1:20" x14ac:dyDescent="0.25">
      <c r="A7292">
        <v>20180731</v>
      </c>
      <c r="B7292">
        <v>2018</v>
      </c>
      <c r="C7292">
        <v>7</v>
      </c>
      <c r="D7292">
        <v>1</v>
      </c>
      <c r="E7292">
        <v>12690</v>
      </c>
      <c r="F7292">
        <v>93132.95</v>
      </c>
      <c r="G7292">
        <v>0</v>
      </c>
      <c r="H7292">
        <v>0</v>
      </c>
      <c r="I7292">
        <v>0</v>
      </c>
      <c r="J7292">
        <v>0</v>
      </c>
      <c r="K7292">
        <v>0</v>
      </c>
      <c r="L7292">
        <v>10175500</v>
      </c>
      <c r="M7292">
        <v>10175500</v>
      </c>
      <c r="N7292">
        <v>10175500</v>
      </c>
      <c r="O7292">
        <v>10175500</v>
      </c>
      <c r="P7292">
        <v>10175500</v>
      </c>
      <c r="Q7292">
        <v>10175500</v>
      </c>
      <c r="R7292" s="14">
        <f>_xlfn.XLOOKUP(Table2[[#This Row],[LoanID]],Table1[G-L ID],Table1[ManagerCode],-99)</f>
        <v>119</v>
      </c>
      <c r="T7292"/>
    </row>
    <row r="7293" spans="1:20" x14ac:dyDescent="0.25">
      <c r="A7293">
        <v>20180731</v>
      </c>
      <c r="B7293">
        <v>2018</v>
      </c>
      <c r="C7293">
        <v>7</v>
      </c>
      <c r="D7293">
        <v>1</v>
      </c>
      <c r="E7293">
        <v>12700</v>
      </c>
      <c r="F7293">
        <v>217166.67</v>
      </c>
      <c r="G7293">
        <v>0</v>
      </c>
      <c r="H7293">
        <v>0</v>
      </c>
      <c r="I7293">
        <v>0</v>
      </c>
      <c r="J7293">
        <v>0</v>
      </c>
      <c r="K7293">
        <v>0</v>
      </c>
      <c r="L7293">
        <v>25000000</v>
      </c>
      <c r="M7293">
        <v>25000000</v>
      </c>
      <c r="N7293">
        <v>25000000</v>
      </c>
      <c r="O7293">
        <v>25000000</v>
      </c>
      <c r="P7293">
        <v>25000000</v>
      </c>
      <c r="Q7293">
        <v>25000000</v>
      </c>
      <c r="R7293" s="14">
        <f>_xlfn.XLOOKUP(Table2[[#This Row],[LoanID]],Table1[G-L ID],Table1[ManagerCode],-99)</f>
        <v>119</v>
      </c>
      <c r="T7293"/>
    </row>
    <row r="7294" spans="1:20" x14ac:dyDescent="0.25">
      <c r="A7294">
        <v>20180731</v>
      </c>
      <c r="B7294">
        <v>2018</v>
      </c>
      <c r="C7294">
        <v>7</v>
      </c>
      <c r="D7294">
        <v>1</v>
      </c>
      <c r="E7294">
        <v>12710</v>
      </c>
      <c r="F7294">
        <v>92601.56</v>
      </c>
      <c r="G7294">
        <v>0</v>
      </c>
      <c r="H7294">
        <v>0</v>
      </c>
      <c r="I7294">
        <v>0</v>
      </c>
      <c r="J7294">
        <v>0</v>
      </c>
      <c r="K7294">
        <v>0</v>
      </c>
      <c r="L7294">
        <v>9738975</v>
      </c>
      <c r="M7294">
        <v>9738975</v>
      </c>
      <c r="N7294">
        <v>9738975</v>
      </c>
      <c r="O7294">
        <v>9738975</v>
      </c>
      <c r="P7294">
        <v>9738975</v>
      </c>
      <c r="Q7294">
        <v>9738975</v>
      </c>
      <c r="R7294" s="14">
        <f>_xlfn.XLOOKUP(Table2[[#This Row],[LoanID]],Table1[G-L ID],Table1[ManagerCode],-99)</f>
        <v>119</v>
      </c>
      <c r="T7294"/>
    </row>
    <row r="7295" spans="1:20" x14ac:dyDescent="0.25">
      <c r="A7295">
        <v>20180731</v>
      </c>
      <c r="B7295">
        <v>2018</v>
      </c>
      <c r="C7295">
        <v>7</v>
      </c>
      <c r="D7295">
        <v>1</v>
      </c>
      <c r="E7295">
        <v>12720</v>
      </c>
      <c r="F7295">
        <v>523292.59</v>
      </c>
      <c r="G7295">
        <v>0</v>
      </c>
      <c r="H7295">
        <v>0</v>
      </c>
      <c r="I7295">
        <v>0</v>
      </c>
      <c r="J7295">
        <v>0</v>
      </c>
      <c r="K7295">
        <v>0</v>
      </c>
      <c r="L7295">
        <v>192400000</v>
      </c>
      <c r="M7295">
        <v>192400000</v>
      </c>
      <c r="N7295">
        <v>90519000</v>
      </c>
      <c r="O7295">
        <v>90519000</v>
      </c>
      <c r="P7295">
        <v>192400000</v>
      </c>
      <c r="Q7295">
        <v>192400000</v>
      </c>
      <c r="R7295" s="14">
        <f>_xlfn.XLOOKUP(Table2[[#This Row],[LoanID]],Table1[G-L ID],Table1[ManagerCode],-99)</f>
        <v>183</v>
      </c>
      <c r="T7295"/>
    </row>
    <row r="7296" spans="1:20" x14ac:dyDescent="0.25">
      <c r="A7296">
        <v>20180731</v>
      </c>
      <c r="B7296">
        <v>2018</v>
      </c>
      <c r="C7296">
        <v>7</v>
      </c>
      <c r="D7296">
        <v>1</v>
      </c>
      <c r="E7296">
        <v>12730</v>
      </c>
      <c r="F7296">
        <v>80809.039999999994</v>
      </c>
      <c r="G7296">
        <v>0</v>
      </c>
      <c r="H7296">
        <v>0</v>
      </c>
      <c r="I7296">
        <v>0</v>
      </c>
      <c r="J7296">
        <v>0</v>
      </c>
      <c r="K7296">
        <v>0</v>
      </c>
      <c r="L7296">
        <v>38460000</v>
      </c>
      <c r="M7296">
        <v>38460000</v>
      </c>
      <c r="N7296">
        <v>13460000</v>
      </c>
      <c r="O7296">
        <v>13460000</v>
      </c>
      <c r="P7296">
        <v>38460000</v>
      </c>
      <c r="Q7296">
        <v>38460000</v>
      </c>
      <c r="R7296" s="14">
        <f>_xlfn.XLOOKUP(Table2[[#This Row],[LoanID]],Table1[G-L ID],Table1[ManagerCode],-99)</f>
        <v>183</v>
      </c>
      <c r="T7296"/>
    </row>
    <row r="7297" spans="1:20" x14ac:dyDescent="0.25">
      <c r="A7297">
        <v>20180731</v>
      </c>
      <c r="B7297">
        <v>2018</v>
      </c>
      <c r="C7297">
        <v>7</v>
      </c>
      <c r="D7297">
        <v>1</v>
      </c>
      <c r="E7297">
        <v>12740</v>
      </c>
      <c r="F7297">
        <v>86945.76</v>
      </c>
      <c r="G7297">
        <v>65061.36</v>
      </c>
      <c r="H7297">
        <v>0</v>
      </c>
      <c r="I7297">
        <v>0</v>
      </c>
      <c r="J7297">
        <v>-44687.03</v>
      </c>
      <c r="K7297">
        <v>0</v>
      </c>
      <c r="L7297">
        <v>18288360.550000001</v>
      </c>
      <c r="M7297">
        <v>18398108.940000001</v>
      </c>
      <c r="N7297">
        <v>18288360.550000001</v>
      </c>
      <c r="O7297">
        <v>18398108.940000001</v>
      </c>
      <c r="P7297">
        <v>18288360.550000001</v>
      </c>
      <c r="Q7297">
        <v>18398108.940000001</v>
      </c>
      <c r="R7297" s="14">
        <f>_xlfn.XLOOKUP(Table2[[#This Row],[LoanID]],Table1[G-L ID],Table1[ManagerCode],-99)</f>
        <v>183</v>
      </c>
      <c r="T7297"/>
    </row>
    <row r="7298" spans="1:20" x14ac:dyDescent="0.25">
      <c r="A7298">
        <v>20180731</v>
      </c>
      <c r="B7298">
        <v>2018</v>
      </c>
      <c r="C7298">
        <v>7</v>
      </c>
      <c r="D7298">
        <v>1</v>
      </c>
      <c r="E7298">
        <v>12750</v>
      </c>
      <c r="F7298">
        <v>108412.77</v>
      </c>
      <c r="G7298">
        <v>0</v>
      </c>
      <c r="H7298">
        <v>0</v>
      </c>
      <c r="I7298">
        <v>0</v>
      </c>
      <c r="J7298">
        <v>-468538.71</v>
      </c>
      <c r="K7298">
        <v>234269.35</v>
      </c>
      <c r="L7298">
        <v>23906383.539999999</v>
      </c>
      <c r="M7298">
        <v>24374922.25</v>
      </c>
      <c r="N7298">
        <v>11905721.460000001</v>
      </c>
      <c r="O7298">
        <v>12139990.82</v>
      </c>
      <c r="P7298">
        <v>23906383.539999999</v>
      </c>
      <c r="Q7298">
        <v>24374922.25</v>
      </c>
      <c r="R7298" s="14">
        <f>_xlfn.XLOOKUP(Table2[[#This Row],[LoanID]],Table1[G-L ID],Table1[ManagerCode],-99)</f>
        <v>236</v>
      </c>
      <c r="T7298"/>
    </row>
    <row r="7299" spans="1:20" x14ac:dyDescent="0.25">
      <c r="A7299">
        <v>20180731</v>
      </c>
      <c r="B7299">
        <v>2018</v>
      </c>
      <c r="C7299">
        <v>7</v>
      </c>
      <c r="D7299">
        <v>1</v>
      </c>
      <c r="E7299">
        <v>12760</v>
      </c>
      <c r="F7299">
        <v>285494.94</v>
      </c>
      <c r="G7299">
        <v>0</v>
      </c>
      <c r="H7299">
        <v>0</v>
      </c>
      <c r="I7299">
        <v>0</v>
      </c>
      <c r="J7299">
        <v>-1308455.46</v>
      </c>
      <c r="K7299">
        <v>654227.73</v>
      </c>
      <c r="L7299">
        <v>108600000</v>
      </c>
      <c r="M7299">
        <v>109908455.5</v>
      </c>
      <c r="N7299">
        <v>54300000</v>
      </c>
      <c r="O7299">
        <v>54954227.770000003</v>
      </c>
      <c r="P7299">
        <v>108600000</v>
      </c>
      <c r="Q7299">
        <v>109908455.5</v>
      </c>
      <c r="R7299" s="14">
        <f>_xlfn.XLOOKUP(Table2[[#This Row],[LoanID]],Table1[G-L ID],Table1[ManagerCode],-99)</f>
        <v>236</v>
      </c>
      <c r="T7299"/>
    </row>
    <row r="7300" spans="1:20" x14ac:dyDescent="0.25">
      <c r="A7300">
        <v>20180731</v>
      </c>
      <c r="B7300">
        <v>2018</v>
      </c>
      <c r="C7300">
        <v>7</v>
      </c>
      <c r="D7300">
        <v>1</v>
      </c>
      <c r="E7300">
        <v>12930</v>
      </c>
      <c r="F7300">
        <v>168035.21</v>
      </c>
      <c r="G7300">
        <v>0</v>
      </c>
      <c r="H7300">
        <v>0</v>
      </c>
      <c r="I7300">
        <v>0</v>
      </c>
      <c r="J7300">
        <v>0</v>
      </c>
      <c r="K7300">
        <v>0</v>
      </c>
      <c r="L7300">
        <v>19000000</v>
      </c>
      <c r="M7300">
        <v>19000000</v>
      </c>
      <c r="N7300">
        <v>19000000</v>
      </c>
      <c r="O7300">
        <v>19000000</v>
      </c>
      <c r="P7300">
        <v>19000000</v>
      </c>
      <c r="Q7300">
        <v>19000000</v>
      </c>
      <c r="R7300" s="14">
        <f>_xlfn.XLOOKUP(Table2[[#This Row],[LoanID]],Table1[G-L ID],Table1[ManagerCode],-99)</f>
        <v>119</v>
      </c>
      <c r="T7300"/>
    </row>
    <row r="7301" spans="1:20" x14ac:dyDescent="0.25">
      <c r="A7301">
        <v>20180731</v>
      </c>
      <c r="B7301">
        <v>2018</v>
      </c>
      <c r="C7301">
        <v>7</v>
      </c>
      <c r="D7301">
        <v>1</v>
      </c>
      <c r="E7301">
        <v>12940</v>
      </c>
      <c r="F7301">
        <v>191791.64</v>
      </c>
      <c r="G7301">
        <v>0</v>
      </c>
      <c r="H7301">
        <v>0</v>
      </c>
      <c r="I7301">
        <v>0</v>
      </c>
      <c r="J7301">
        <v>0</v>
      </c>
      <c r="K7301">
        <v>0</v>
      </c>
      <c r="L7301">
        <v>19000000</v>
      </c>
      <c r="M7301">
        <v>19000000</v>
      </c>
      <c r="N7301">
        <v>19000000</v>
      </c>
      <c r="O7301">
        <v>19000000</v>
      </c>
      <c r="P7301">
        <v>19000000</v>
      </c>
      <c r="Q7301">
        <v>19000000</v>
      </c>
      <c r="R7301" s="14">
        <f>_xlfn.XLOOKUP(Table2[[#This Row],[LoanID]],Table1[G-L ID],Table1[ManagerCode],-99)</f>
        <v>119</v>
      </c>
      <c r="T7301"/>
    </row>
    <row r="7302" spans="1:20" x14ac:dyDescent="0.25">
      <c r="A7302">
        <v>20180731</v>
      </c>
      <c r="B7302">
        <v>2018</v>
      </c>
      <c r="C7302">
        <v>7</v>
      </c>
      <c r="D7302">
        <v>1</v>
      </c>
      <c r="E7302">
        <v>12950</v>
      </c>
      <c r="F7302">
        <v>227719.65</v>
      </c>
      <c r="G7302">
        <v>0</v>
      </c>
      <c r="H7302">
        <v>0</v>
      </c>
      <c r="I7302">
        <v>0</v>
      </c>
      <c r="J7302">
        <v>0</v>
      </c>
      <c r="K7302">
        <v>0</v>
      </c>
      <c r="L7302">
        <v>26732750</v>
      </c>
      <c r="M7302">
        <v>26732750</v>
      </c>
      <c r="N7302">
        <v>26732750</v>
      </c>
      <c r="O7302">
        <v>26732750</v>
      </c>
      <c r="P7302">
        <v>26732750</v>
      </c>
      <c r="Q7302">
        <v>26732750</v>
      </c>
      <c r="R7302" s="14">
        <f>_xlfn.XLOOKUP(Table2[[#This Row],[LoanID]],Table1[G-L ID],Table1[ManagerCode],-99)</f>
        <v>119</v>
      </c>
      <c r="T7302"/>
    </row>
    <row r="7303" spans="1:20" x14ac:dyDescent="0.25">
      <c r="A7303">
        <v>20180731</v>
      </c>
      <c r="B7303">
        <v>2018</v>
      </c>
      <c r="C7303">
        <v>7</v>
      </c>
      <c r="D7303">
        <v>1</v>
      </c>
      <c r="E7303">
        <v>12960</v>
      </c>
      <c r="F7303">
        <v>78388.87</v>
      </c>
      <c r="G7303">
        <v>0</v>
      </c>
      <c r="H7303">
        <v>0</v>
      </c>
      <c r="I7303">
        <v>0</v>
      </c>
      <c r="J7303">
        <v>0</v>
      </c>
      <c r="K7303">
        <v>0</v>
      </c>
      <c r="L7303">
        <v>8850000</v>
      </c>
      <c r="M7303">
        <v>8850000</v>
      </c>
      <c r="N7303">
        <v>8850000</v>
      </c>
      <c r="O7303">
        <v>8850000</v>
      </c>
      <c r="P7303">
        <v>8850000</v>
      </c>
      <c r="Q7303">
        <v>8850000</v>
      </c>
      <c r="R7303" s="14">
        <f>_xlfn.XLOOKUP(Table2[[#This Row],[LoanID]],Table1[G-L ID],Table1[ManagerCode],-99)</f>
        <v>119</v>
      </c>
      <c r="T7303"/>
    </row>
    <row r="7304" spans="1:20" x14ac:dyDescent="0.25">
      <c r="A7304">
        <v>20180731</v>
      </c>
      <c r="B7304">
        <v>2018</v>
      </c>
      <c r="C7304">
        <v>7</v>
      </c>
      <c r="D7304">
        <v>1</v>
      </c>
      <c r="E7304">
        <v>12970</v>
      </c>
      <c r="F7304">
        <v>143883.07</v>
      </c>
      <c r="G7304">
        <v>0</v>
      </c>
      <c r="H7304">
        <v>0</v>
      </c>
      <c r="I7304">
        <v>0</v>
      </c>
      <c r="J7304">
        <v>-7439.51</v>
      </c>
      <c r="K7304">
        <v>0</v>
      </c>
      <c r="L7304">
        <v>10000000</v>
      </c>
      <c r="M7304">
        <v>10007439.51</v>
      </c>
      <c r="N7304">
        <v>10000000</v>
      </c>
      <c r="O7304">
        <v>10007439.51</v>
      </c>
      <c r="P7304">
        <v>10000000</v>
      </c>
      <c r="Q7304">
        <v>10007439.51</v>
      </c>
      <c r="R7304" s="14">
        <f>_xlfn.XLOOKUP(Table2[[#This Row],[LoanID]],Table1[G-L ID],Table1[ManagerCode],-99)</f>
        <v>119</v>
      </c>
      <c r="T7304"/>
    </row>
    <row r="7305" spans="1:20" x14ac:dyDescent="0.25">
      <c r="A7305">
        <v>20180731</v>
      </c>
      <c r="B7305">
        <v>2018</v>
      </c>
      <c r="C7305">
        <v>7</v>
      </c>
      <c r="D7305">
        <v>1</v>
      </c>
      <c r="E7305">
        <v>12980</v>
      </c>
      <c r="F7305">
        <v>-140559.38</v>
      </c>
      <c r="G7305">
        <v>0</v>
      </c>
      <c r="H7305">
        <v>0</v>
      </c>
      <c r="I7305">
        <v>0</v>
      </c>
      <c r="J7305">
        <v>0</v>
      </c>
      <c r="K7305">
        <v>0</v>
      </c>
      <c r="L7305">
        <v>13750000</v>
      </c>
      <c r="M7305">
        <v>13750000</v>
      </c>
      <c r="N7305">
        <v>13750000</v>
      </c>
      <c r="O7305">
        <v>13750000</v>
      </c>
      <c r="P7305">
        <v>13750000</v>
      </c>
      <c r="Q7305">
        <v>13750000</v>
      </c>
      <c r="R7305" s="14">
        <f>_xlfn.XLOOKUP(Table2[[#This Row],[LoanID]],Table1[G-L ID],Table1[ManagerCode],-99)</f>
        <v>119</v>
      </c>
      <c r="T7305"/>
    </row>
    <row r="7306" spans="1:20" x14ac:dyDescent="0.25">
      <c r="A7306">
        <v>20180731</v>
      </c>
      <c r="B7306">
        <v>2018</v>
      </c>
      <c r="C7306">
        <v>7</v>
      </c>
      <c r="D7306">
        <v>1</v>
      </c>
      <c r="E7306">
        <v>12990</v>
      </c>
      <c r="F7306">
        <v>130688.32000000001</v>
      </c>
      <c r="G7306">
        <v>0</v>
      </c>
      <c r="H7306">
        <v>-898535</v>
      </c>
      <c r="I7306">
        <v>0</v>
      </c>
      <c r="J7306">
        <v>99975000</v>
      </c>
      <c r="K7306">
        <v>0</v>
      </c>
      <c r="L7306">
        <v>129000000</v>
      </c>
      <c r="M7306">
        <v>29025000</v>
      </c>
      <c r="N7306">
        <v>129000000</v>
      </c>
      <c r="O7306">
        <v>29025000</v>
      </c>
      <c r="P7306">
        <v>129000000</v>
      </c>
      <c r="Q7306">
        <v>29025000</v>
      </c>
      <c r="R7306" s="14">
        <f>_xlfn.XLOOKUP(Table2[[#This Row],[LoanID]],Table1[G-L ID],Table1[ManagerCode],-99)</f>
        <v>119</v>
      </c>
      <c r="T7306"/>
    </row>
    <row r="7307" spans="1:20" x14ac:dyDescent="0.25">
      <c r="A7307">
        <v>20180731</v>
      </c>
      <c r="B7307">
        <v>2018</v>
      </c>
      <c r="C7307">
        <v>7</v>
      </c>
      <c r="D7307">
        <v>1</v>
      </c>
      <c r="E7307">
        <v>13000</v>
      </c>
      <c r="F7307">
        <v>103185.33</v>
      </c>
      <c r="G7307">
        <v>338855.88</v>
      </c>
      <c r="H7307">
        <v>0</v>
      </c>
      <c r="I7307">
        <v>0</v>
      </c>
      <c r="J7307">
        <v>-3047518.01</v>
      </c>
      <c r="K7307">
        <v>0</v>
      </c>
      <c r="L7307">
        <v>35173979.5</v>
      </c>
      <c r="M7307">
        <v>38510847.159999996</v>
      </c>
      <c r="N7307">
        <v>35173979.5</v>
      </c>
      <c r="O7307">
        <v>38510847.159999996</v>
      </c>
      <c r="P7307">
        <v>35695825.57</v>
      </c>
      <c r="Q7307">
        <v>39082199.460000001</v>
      </c>
      <c r="R7307" s="14">
        <f>_xlfn.XLOOKUP(Table2[[#This Row],[LoanID]],Table1[G-L ID],Table1[ManagerCode],-99)</f>
        <v>103</v>
      </c>
      <c r="T7307"/>
    </row>
    <row r="7308" spans="1:20" x14ac:dyDescent="0.25">
      <c r="A7308">
        <v>20180731</v>
      </c>
      <c r="B7308">
        <v>2018</v>
      </c>
      <c r="C7308">
        <v>7</v>
      </c>
      <c r="D7308">
        <v>1</v>
      </c>
      <c r="E7308">
        <v>13010</v>
      </c>
      <c r="F7308">
        <v>1400000</v>
      </c>
      <c r="G7308">
        <v>0</v>
      </c>
      <c r="H7308">
        <v>0</v>
      </c>
      <c r="I7308">
        <v>0</v>
      </c>
      <c r="J7308">
        <v>0</v>
      </c>
      <c r="K7308">
        <v>0</v>
      </c>
      <c r="L7308">
        <v>197858495</v>
      </c>
      <c r="M7308">
        <v>197858495</v>
      </c>
      <c r="N7308">
        <v>197858495</v>
      </c>
      <c r="O7308">
        <v>197858495</v>
      </c>
      <c r="P7308">
        <v>210000000</v>
      </c>
      <c r="Q7308">
        <v>210000000</v>
      </c>
      <c r="R7308" s="14">
        <f>_xlfn.XLOOKUP(Table2[[#This Row],[LoanID]],Table1[G-L ID],Table1[ManagerCode],-99)</f>
        <v>103</v>
      </c>
      <c r="T7308"/>
    </row>
    <row r="7309" spans="1:20" x14ac:dyDescent="0.25">
      <c r="A7309">
        <v>20180731</v>
      </c>
      <c r="B7309">
        <v>2018</v>
      </c>
      <c r="C7309">
        <v>7</v>
      </c>
      <c r="D7309">
        <v>1</v>
      </c>
      <c r="E7309">
        <v>13020</v>
      </c>
      <c r="F7309">
        <v>190740.38</v>
      </c>
      <c r="G7309">
        <v>0</v>
      </c>
      <c r="H7309">
        <v>0</v>
      </c>
      <c r="I7309">
        <v>0</v>
      </c>
      <c r="J7309">
        <v>-190740.38</v>
      </c>
      <c r="K7309">
        <v>0</v>
      </c>
      <c r="L7309">
        <v>19074038.120000001</v>
      </c>
      <c r="M7309">
        <v>19264778.5</v>
      </c>
      <c r="N7309">
        <v>19074038.120000001</v>
      </c>
      <c r="O7309">
        <v>19264778.5</v>
      </c>
      <c r="P7309">
        <v>19074038.120000001</v>
      </c>
      <c r="Q7309">
        <v>19264778.5</v>
      </c>
      <c r="R7309" s="14">
        <f>_xlfn.XLOOKUP(Table2[[#This Row],[LoanID]],Table1[G-L ID],Table1[ManagerCode],-99)</f>
        <v>103</v>
      </c>
      <c r="T7309"/>
    </row>
    <row r="7310" spans="1:20" x14ac:dyDescent="0.25">
      <c r="A7310">
        <v>20180731</v>
      </c>
      <c r="B7310">
        <v>2018</v>
      </c>
      <c r="C7310">
        <v>7</v>
      </c>
      <c r="D7310">
        <v>1</v>
      </c>
      <c r="E7310">
        <v>13570</v>
      </c>
      <c r="F7310">
        <v>355866</v>
      </c>
      <c r="G7310">
        <v>0</v>
      </c>
      <c r="H7310">
        <v>0</v>
      </c>
      <c r="I7310">
        <v>0</v>
      </c>
      <c r="J7310">
        <v>0</v>
      </c>
      <c r="K7310">
        <v>0</v>
      </c>
      <c r="L7310">
        <v>45299487.100000001</v>
      </c>
      <c r="M7310">
        <v>45330706.210000001</v>
      </c>
      <c r="N7310">
        <v>45299487.100000001</v>
      </c>
      <c r="O7310">
        <v>45330706.210000001</v>
      </c>
      <c r="P7310">
        <v>45800000</v>
      </c>
      <c r="Q7310">
        <v>45800000</v>
      </c>
      <c r="R7310" s="14">
        <f>_xlfn.XLOOKUP(Table2[[#This Row],[LoanID]],Table1[G-L ID],Table1[ManagerCode],-99)</f>
        <v>298</v>
      </c>
      <c r="T7310"/>
    </row>
    <row r="7311" spans="1:20" x14ac:dyDescent="0.25">
      <c r="A7311">
        <v>20180731</v>
      </c>
      <c r="B7311">
        <v>2018</v>
      </c>
      <c r="C7311">
        <v>7</v>
      </c>
      <c r="D7311">
        <v>1</v>
      </c>
      <c r="E7311">
        <v>13580</v>
      </c>
      <c r="F7311">
        <v>415625</v>
      </c>
      <c r="G7311">
        <v>0</v>
      </c>
      <c r="H7311">
        <v>0</v>
      </c>
      <c r="I7311">
        <v>0</v>
      </c>
      <c r="J7311">
        <v>0</v>
      </c>
      <c r="K7311">
        <v>0</v>
      </c>
      <c r="L7311">
        <v>63825707.280000001</v>
      </c>
      <c r="M7311">
        <v>63898618.469999999</v>
      </c>
      <c r="N7311">
        <v>63825707.280000001</v>
      </c>
      <c r="O7311">
        <v>63898618.469999999</v>
      </c>
      <c r="P7311">
        <v>66500000</v>
      </c>
      <c r="Q7311">
        <v>66500000</v>
      </c>
      <c r="R7311" s="14">
        <f>_xlfn.XLOOKUP(Table2[[#This Row],[LoanID]],Table1[G-L ID],Table1[ManagerCode],-99)</f>
        <v>298</v>
      </c>
      <c r="T7311"/>
    </row>
    <row r="7312" spans="1:20" x14ac:dyDescent="0.25">
      <c r="A7312">
        <v>20180731</v>
      </c>
      <c r="B7312">
        <v>2018</v>
      </c>
      <c r="C7312">
        <v>7</v>
      </c>
      <c r="D7312">
        <v>1</v>
      </c>
      <c r="E7312">
        <v>13590</v>
      </c>
      <c r="F7312">
        <v>285800</v>
      </c>
      <c r="G7312">
        <v>0</v>
      </c>
      <c r="H7312">
        <v>0</v>
      </c>
      <c r="I7312">
        <v>0</v>
      </c>
      <c r="J7312">
        <v>0</v>
      </c>
      <c r="K7312">
        <v>0</v>
      </c>
      <c r="L7312">
        <v>40000000</v>
      </c>
      <c r="M7312">
        <v>40000000</v>
      </c>
      <c r="N7312">
        <v>40000000</v>
      </c>
      <c r="O7312">
        <v>40000000</v>
      </c>
      <c r="P7312">
        <v>40000000</v>
      </c>
      <c r="Q7312">
        <v>40000000</v>
      </c>
      <c r="R7312" s="14">
        <f>_xlfn.XLOOKUP(Table2[[#This Row],[LoanID]],Table1[G-L ID],Table1[ManagerCode],-99)</f>
        <v>298</v>
      </c>
      <c r="T7312"/>
    </row>
    <row r="7313" spans="1:20" x14ac:dyDescent="0.25">
      <c r="A7313">
        <v>20180731</v>
      </c>
      <c r="B7313">
        <v>2018</v>
      </c>
      <c r="C7313">
        <v>7</v>
      </c>
      <c r="D7313">
        <v>1</v>
      </c>
      <c r="E7313">
        <v>13600</v>
      </c>
      <c r="F7313">
        <v>366802.29</v>
      </c>
      <c r="G7313">
        <v>0</v>
      </c>
      <c r="H7313">
        <v>0</v>
      </c>
      <c r="I7313">
        <v>0</v>
      </c>
      <c r="J7313">
        <v>0</v>
      </c>
      <c r="K7313">
        <v>0</v>
      </c>
      <c r="L7313">
        <v>45970000</v>
      </c>
      <c r="M7313">
        <v>45970000</v>
      </c>
      <c r="N7313">
        <v>45970000</v>
      </c>
      <c r="O7313">
        <v>45970000</v>
      </c>
      <c r="P7313">
        <v>45970000</v>
      </c>
      <c r="Q7313">
        <v>45970000</v>
      </c>
      <c r="R7313" s="14">
        <f>_xlfn.XLOOKUP(Table2[[#This Row],[LoanID]],Table1[G-L ID],Table1[ManagerCode],-99)</f>
        <v>298</v>
      </c>
      <c r="T7313"/>
    </row>
    <row r="7314" spans="1:20" x14ac:dyDescent="0.25">
      <c r="A7314">
        <v>20180731</v>
      </c>
      <c r="B7314">
        <v>2018</v>
      </c>
      <c r="C7314">
        <v>7</v>
      </c>
      <c r="D7314">
        <v>1</v>
      </c>
      <c r="E7314">
        <v>13610</v>
      </c>
      <c r="F7314">
        <v>61250</v>
      </c>
      <c r="G7314">
        <v>0</v>
      </c>
      <c r="H7314">
        <v>0</v>
      </c>
      <c r="I7314">
        <v>0</v>
      </c>
      <c r="J7314">
        <v>0</v>
      </c>
      <c r="K7314">
        <v>0</v>
      </c>
      <c r="L7314">
        <v>10549064</v>
      </c>
      <c r="M7314">
        <v>10549064</v>
      </c>
      <c r="N7314">
        <v>10549064</v>
      </c>
      <c r="O7314">
        <v>10549064</v>
      </c>
      <c r="P7314">
        <v>10500000</v>
      </c>
      <c r="Q7314">
        <v>10500000</v>
      </c>
      <c r="R7314" s="14">
        <f>_xlfn.XLOOKUP(Table2[[#This Row],[LoanID]],Table1[G-L ID],Table1[ManagerCode],-99)</f>
        <v>298</v>
      </c>
      <c r="T7314"/>
    </row>
    <row r="7315" spans="1:20" x14ac:dyDescent="0.25">
      <c r="A7315">
        <v>20180731</v>
      </c>
      <c r="B7315">
        <v>2018</v>
      </c>
      <c r="C7315">
        <v>7</v>
      </c>
      <c r="D7315">
        <v>1</v>
      </c>
      <c r="E7315">
        <v>13620</v>
      </c>
      <c r="F7315">
        <v>342666.67</v>
      </c>
      <c r="G7315">
        <v>0</v>
      </c>
      <c r="H7315">
        <v>0</v>
      </c>
      <c r="I7315">
        <v>0</v>
      </c>
      <c r="J7315">
        <v>0</v>
      </c>
      <c r="K7315">
        <v>0</v>
      </c>
      <c r="L7315">
        <v>49919787</v>
      </c>
      <c r="M7315">
        <v>49919787</v>
      </c>
      <c r="N7315">
        <v>49919787</v>
      </c>
      <c r="O7315">
        <v>49919787</v>
      </c>
      <c r="P7315">
        <v>50000000</v>
      </c>
      <c r="Q7315">
        <v>50000000</v>
      </c>
      <c r="R7315" s="14">
        <f>_xlfn.XLOOKUP(Table2[[#This Row],[LoanID]],Table1[G-L ID],Table1[ManagerCode],-99)</f>
        <v>298</v>
      </c>
      <c r="T7315"/>
    </row>
    <row r="7316" spans="1:20" x14ac:dyDescent="0.25">
      <c r="A7316">
        <v>20180731</v>
      </c>
      <c r="B7316">
        <v>2018</v>
      </c>
      <c r="C7316">
        <v>7</v>
      </c>
      <c r="D7316">
        <v>1</v>
      </c>
      <c r="E7316">
        <v>13630</v>
      </c>
      <c r="F7316">
        <v>211458.33</v>
      </c>
      <c r="G7316">
        <v>0</v>
      </c>
      <c r="H7316">
        <v>0</v>
      </c>
      <c r="I7316">
        <v>0</v>
      </c>
      <c r="J7316">
        <v>0</v>
      </c>
      <c r="K7316">
        <v>0</v>
      </c>
      <c r="L7316">
        <v>35537284.43</v>
      </c>
      <c r="M7316">
        <v>35537284.43</v>
      </c>
      <c r="N7316">
        <v>35537284.43</v>
      </c>
      <c r="O7316">
        <v>35537284.43</v>
      </c>
      <c r="P7316">
        <v>35000000</v>
      </c>
      <c r="Q7316">
        <v>35000000</v>
      </c>
      <c r="R7316" s="14">
        <f>_xlfn.XLOOKUP(Table2[[#This Row],[LoanID]],Table1[G-L ID],Table1[ManagerCode],-99)</f>
        <v>298</v>
      </c>
      <c r="T7316"/>
    </row>
    <row r="7317" spans="1:20" x14ac:dyDescent="0.25">
      <c r="A7317">
        <v>20180731</v>
      </c>
      <c r="B7317">
        <v>2018</v>
      </c>
      <c r="C7317">
        <v>7</v>
      </c>
      <c r="D7317">
        <v>1</v>
      </c>
      <c r="E7317">
        <v>13640</v>
      </c>
      <c r="F7317">
        <v>219661.46</v>
      </c>
      <c r="G7317">
        <v>0</v>
      </c>
      <c r="H7317">
        <v>0</v>
      </c>
      <c r="I7317">
        <v>0</v>
      </c>
      <c r="J7317">
        <v>0</v>
      </c>
      <c r="K7317">
        <v>0</v>
      </c>
      <c r="L7317">
        <v>30282941</v>
      </c>
      <c r="M7317">
        <v>30282941</v>
      </c>
      <c r="N7317">
        <v>30282941</v>
      </c>
      <c r="O7317">
        <v>30282941</v>
      </c>
      <c r="P7317">
        <v>30125000</v>
      </c>
      <c r="Q7317">
        <v>30125000</v>
      </c>
      <c r="R7317" s="14">
        <f>_xlfn.XLOOKUP(Table2[[#This Row],[LoanID]],Table1[G-L ID],Table1[ManagerCode],-99)</f>
        <v>298</v>
      </c>
      <c r="T7317"/>
    </row>
    <row r="7318" spans="1:20" x14ac:dyDescent="0.25">
      <c r="A7318">
        <v>20180731</v>
      </c>
      <c r="B7318">
        <v>2018</v>
      </c>
      <c r="C7318">
        <v>7</v>
      </c>
      <c r="D7318">
        <v>1</v>
      </c>
      <c r="E7318">
        <v>13650</v>
      </c>
      <c r="F7318">
        <v>216666.67</v>
      </c>
      <c r="G7318">
        <v>0</v>
      </c>
      <c r="H7318">
        <v>0</v>
      </c>
      <c r="I7318">
        <v>0</v>
      </c>
      <c r="J7318">
        <v>0</v>
      </c>
      <c r="K7318">
        <v>0</v>
      </c>
      <c r="L7318">
        <v>38811572</v>
      </c>
      <c r="M7318">
        <v>38811572</v>
      </c>
      <c r="N7318">
        <v>38811572</v>
      </c>
      <c r="O7318">
        <v>38811572</v>
      </c>
      <c r="P7318">
        <v>40000000</v>
      </c>
      <c r="Q7318">
        <v>40000000</v>
      </c>
      <c r="R7318" s="14">
        <f>_xlfn.XLOOKUP(Table2[[#This Row],[LoanID]],Table1[G-L ID],Table1[ManagerCode],-99)</f>
        <v>298</v>
      </c>
      <c r="T7318"/>
    </row>
    <row r="7319" spans="1:20" x14ac:dyDescent="0.25">
      <c r="A7319">
        <v>20180731</v>
      </c>
      <c r="B7319">
        <v>2018</v>
      </c>
      <c r="C7319">
        <v>7</v>
      </c>
      <c r="D7319">
        <v>1</v>
      </c>
      <c r="E7319">
        <v>13660</v>
      </c>
      <c r="F7319">
        <v>114166.67</v>
      </c>
      <c r="G7319">
        <v>0</v>
      </c>
      <c r="H7319">
        <v>0</v>
      </c>
      <c r="I7319">
        <v>0</v>
      </c>
      <c r="J7319">
        <v>0</v>
      </c>
      <c r="K7319">
        <v>0</v>
      </c>
      <c r="L7319">
        <v>18948845</v>
      </c>
      <c r="M7319">
        <v>18948845</v>
      </c>
      <c r="N7319">
        <v>18948845</v>
      </c>
      <c r="O7319">
        <v>18948845</v>
      </c>
      <c r="P7319">
        <v>20000000</v>
      </c>
      <c r="Q7319">
        <v>20000000</v>
      </c>
      <c r="R7319" s="14">
        <f>_xlfn.XLOOKUP(Table2[[#This Row],[LoanID]],Table1[G-L ID],Table1[ManagerCode],-99)</f>
        <v>298</v>
      </c>
      <c r="T7319"/>
    </row>
    <row r="7320" spans="1:20" x14ac:dyDescent="0.25">
      <c r="A7320">
        <v>20180731</v>
      </c>
      <c r="B7320">
        <v>2018</v>
      </c>
      <c r="C7320">
        <v>7</v>
      </c>
      <c r="D7320">
        <v>1</v>
      </c>
      <c r="E7320">
        <v>13670</v>
      </c>
      <c r="F7320">
        <v>330437.5</v>
      </c>
      <c r="G7320">
        <v>0</v>
      </c>
      <c r="H7320">
        <v>0</v>
      </c>
      <c r="I7320">
        <v>0</v>
      </c>
      <c r="J7320">
        <v>0</v>
      </c>
      <c r="K7320">
        <v>0</v>
      </c>
      <c r="L7320">
        <v>37539280.890000001</v>
      </c>
      <c r="M7320">
        <v>37539280.890000001</v>
      </c>
      <c r="N7320">
        <v>37539280.890000001</v>
      </c>
      <c r="O7320">
        <v>37539280.890000001</v>
      </c>
      <c r="P7320">
        <v>37500000</v>
      </c>
      <c r="Q7320">
        <v>37500000</v>
      </c>
      <c r="R7320" s="14">
        <f>_xlfn.XLOOKUP(Table2[[#This Row],[LoanID]],Table1[G-L ID],Table1[ManagerCode],-99)</f>
        <v>298</v>
      </c>
      <c r="T7320"/>
    </row>
    <row r="7321" spans="1:20" x14ac:dyDescent="0.25">
      <c r="A7321">
        <v>20180731</v>
      </c>
      <c r="B7321">
        <v>2018</v>
      </c>
      <c r="C7321">
        <v>7</v>
      </c>
      <c r="D7321">
        <v>1</v>
      </c>
      <c r="E7321">
        <v>13680</v>
      </c>
      <c r="F7321">
        <v>175006.46</v>
      </c>
      <c r="G7321">
        <v>0</v>
      </c>
      <c r="H7321">
        <v>0</v>
      </c>
      <c r="I7321">
        <v>0</v>
      </c>
      <c r="J7321">
        <v>0</v>
      </c>
      <c r="K7321">
        <v>19047.990000000002</v>
      </c>
      <c r="L7321">
        <v>17971328.219999999</v>
      </c>
      <c r="M7321">
        <v>17971328.219999999</v>
      </c>
      <c r="N7321">
        <v>17971328.219999999</v>
      </c>
      <c r="O7321">
        <v>17971328.219999999</v>
      </c>
      <c r="P7321">
        <v>17866664.07</v>
      </c>
      <c r="Q7321">
        <v>17847616.079999998</v>
      </c>
      <c r="R7321" s="14">
        <f>_xlfn.XLOOKUP(Table2[[#This Row],[LoanID]],Table1[G-L ID],Table1[ManagerCode],-99)</f>
        <v>298</v>
      </c>
      <c r="T7321"/>
    </row>
    <row r="7322" spans="1:20" x14ac:dyDescent="0.25">
      <c r="A7322">
        <v>20180731</v>
      </c>
      <c r="B7322">
        <v>2018</v>
      </c>
      <c r="C7322">
        <v>7</v>
      </c>
      <c r="D7322">
        <v>1</v>
      </c>
      <c r="E7322">
        <v>13690</v>
      </c>
      <c r="F7322">
        <v>129166.67</v>
      </c>
      <c r="G7322">
        <v>0</v>
      </c>
      <c r="H7322">
        <v>0</v>
      </c>
      <c r="I7322">
        <v>0</v>
      </c>
      <c r="J7322">
        <v>0</v>
      </c>
      <c r="K7322">
        <v>0</v>
      </c>
      <c r="L7322">
        <v>19779539.27</v>
      </c>
      <c r="M7322">
        <v>19779539.27</v>
      </c>
      <c r="N7322">
        <v>19779539.27</v>
      </c>
      <c r="O7322">
        <v>19779539.27</v>
      </c>
      <c r="P7322">
        <v>20000000</v>
      </c>
      <c r="Q7322">
        <v>20000000</v>
      </c>
      <c r="R7322" s="14">
        <f>_xlfn.XLOOKUP(Table2[[#This Row],[LoanID]],Table1[G-L ID],Table1[ManagerCode],-99)</f>
        <v>298</v>
      </c>
      <c r="T7322"/>
    </row>
    <row r="7323" spans="1:20" x14ac:dyDescent="0.25">
      <c r="A7323">
        <v>20180731</v>
      </c>
      <c r="B7323">
        <v>2018</v>
      </c>
      <c r="C7323">
        <v>7</v>
      </c>
      <c r="D7323">
        <v>1</v>
      </c>
      <c r="E7323">
        <v>14020</v>
      </c>
      <c r="F7323">
        <v>620723.39</v>
      </c>
      <c r="G7323">
        <v>0</v>
      </c>
      <c r="H7323">
        <v>0</v>
      </c>
      <c r="I7323">
        <v>0</v>
      </c>
      <c r="J7323">
        <v>-23294748.390000001</v>
      </c>
      <c r="K7323">
        <v>0</v>
      </c>
      <c r="L7323">
        <v>0</v>
      </c>
      <c r="M7323">
        <v>23294748.390000001</v>
      </c>
      <c r="N7323">
        <v>0</v>
      </c>
      <c r="O7323">
        <v>23294748.390000001</v>
      </c>
      <c r="P7323">
        <v>0</v>
      </c>
      <c r="Q7323">
        <v>23294748.390000001</v>
      </c>
      <c r="R7323" s="14">
        <f>_xlfn.XLOOKUP(Table2[[#This Row],[LoanID]],Table1[G-L ID],Table1[ManagerCode],-99)</f>
        <v>119</v>
      </c>
      <c r="T7323"/>
    </row>
    <row r="7324" spans="1:20" x14ac:dyDescent="0.25">
      <c r="A7324">
        <v>20180731</v>
      </c>
      <c r="B7324">
        <v>2018</v>
      </c>
      <c r="C7324">
        <v>7</v>
      </c>
      <c r="D7324">
        <v>1</v>
      </c>
      <c r="E7324">
        <v>14670</v>
      </c>
      <c r="F7324">
        <v>71067.199999999997</v>
      </c>
      <c r="G7324">
        <v>0</v>
      </c>
      <c r="H7324">
        <v>0</v>
      </c>
      <c r="I7324">
        <v>0</v>
      </c>
      <c r="J7324">
        <v>0</v>
      </c>
      <c r="K7324">
        <v>0</v>
      </c>
      <c r="L7324">
        <v>29647082</v>
      </c>
      <c r="M7324">
        <v>29647082</v>
      </c>
      <c r="N7324">
        <v>8598832</v>
      </c>
      <c r="O7324">
        <v>8598832</v>
      </c>
      <c r="P7324">
        <v>29500000</v>
      </c>
      <c r="Q7324">
        <v>29500000</v>
      </c>
      <c r="R7324" s="14">
        <f>_xlfn.XLOOKUP(Table2[[#This Row],[LoanID]],Table1[G-L ID],Table1[ManagerCode],-99)</f>
        <v>220</v>
      </c>
      <c r="T7324"/>
    </row>
    <row r="7325" spans="1:20" x14ac:dyDescent="0.25">
      <c r="A7325">
        <v>20180731</v>
      </c>
      <c r="B7325">
        <v>2018</v>
      </c>
      <c r="C7325">
        <v>7</v>
      </c>
      <c r="D7325">
        <v>1</v>
      </c>
      <c r="E7325">
        <v>14680</v>
      </c>
      <c r="F7325">
        <v>40486.639999999999</v>
      </c>
      <c r="G7325">
        <v>0</v>
      </c>
      <c r="H7325">
        <v>0</v>
      </c>
      <c r="I7325">
        <v>0</v>
      </c>
      <c r="J7325">
        <v>0</v>
      </c>
      <c r="K7325">
        <v>0</v>
      </c>
      <c r="L7325">
        <v>27097598</v>
      </c>
      <c r="M7325">
        <v>27097598</v>
      </c>
      <c r="N7325">
        <v>6847598</v>
      </c>
      <c r="O7325">
        <v>6847598</v>
      </c>
      <c r="P7325">
        <v>27000000</v>
      </c>
      <c r="Q7325">
        <v>27000000</v>
      </c>
      <c r="R7325" s="14">
        <f>_xlfn.XLOOKUP(Table2[[#This Row],[LoanID]],Table1[G-L ID],Table1[ManagerCode],-99)</f>
        <v>220</v>
      </c>
      <c r="T7325"/>
    </row>
    <row r="7326" spans="1:20" x14ac:dyDescent="0.25">
      <c r="A7326">
        <v>20180731</v>
      </c>
      <c r="B7326">
        <v>2018</v>
      </c>
      <c r="C7326">
        <v>7</v>
      </c>
      <c r="D7326">
        <v>1</v>
      </c>
      <c r="E7326">
        <v>14790</v>
      </c>
      <c r="F7326">
        <v>194881.16</v>
      </c>
      <c r="G7326">
        <v>0</v>
      </c>
      <c r="H7326">
        <v>0</v>
      </c>
      <c r="I7326">
        <v>0</v>
      </c>
      <c r="J7326">
        <v>0</v>
      </c>
      <c r="K7326">
        <v>0</v>
      </c>
      <c r="L7326">
        <v>72200000</v>
      </c>
      <c r="M7326">
        <v>72200000</v>
      </c>
      <c r="N7326">
        <v>32200000</v>
      </c>
      <c r="O7326">
        <v>32200000</v>
      </c>
      <c r="P7326">
        <v>72200000</v>
      </c>
      <c r="Q7326">
        <v>72200000</v>
      </c>
      <c r="R7326" s="14">
        <f>_xlfn.XLOOKUP(Table2[[#This Row],[LoanID]],Table1[G-L ID],Table1[ManagerCode],-99)</f>
        <v>220</v>
      </c>
      <c r="T7326"/>
    </row>
    <row r="7327" spans="1:20" x14ac:dyDescent="0.25">
      <c r="A7327">
        <v>20180731</v>
      </c>
      <c r="B7327">
        <v>2018</v>
      </c>
      <c r="C7327">
        <v>7</v>
      </c>
      <c r="D7327">
        <v>1</v>
      </c>
      <c r="E7327">
        <v>14810</v>
      </c>
      <c r="F7327">
        <v>50070.52</v>
      </c>
      <c r="G7327">
        <v>0</v>
      </c>
      <c r="H7327">
        <v>186975</v>
      </c>
      <c r="I7327">
        <v>0</v>
      </c>
      <c r="J7327">
        <v>-24930000</v>
      </c>
      <c r="K7327">
        <v>0</v>
      </c>
      <c r="L7327">
        <v>0</v>
      </c>
      <c r="M7327">
        <v>24999639</v>
      </c>
      <c r="N7327">
        <v>0</v>
      </c>
      <c r="O7327">
        <v>24999639</v>
      </c>
      <c r="P7327">
        <v>0</v>
      </c>
      <c r="Q7327">
        <v>24930000</v>
      </c>
      <c r="R7327" s="14">
        <f>_xlfn.XLOOKUP(Table2[[#This Row],[LoanID]],Table1[G-L ID],Table1[ManagerCode],-99)</f>
        <v>220</v>
      </c>
      <c r="T7327"/>
    </row>
    <row r="7328" spans="1:20" x14ac:dyDescent="0.25">
      <c r="A7328">
        <v>20180731</v>
      </c>
      <c r="B7328">
        <v>2018</v>
      </c>
      <c r="C7328">
        <v>7</v>
      </c>
      <c r="D7328">
        <v>1</v>
      </c>
      <c r="E7328">
        <v>14830</v>
      </c>
      <c r="F7328">
        <v>73713.3</v>
      </c>
      <c r="G7328">
        <v>0</v>
      </c>
      <c r="H7328">
        <v>0</v>
      </c>
      <c r="I7328">
        <v>0</v>
      </c>
      <c r="J7328">
        <v>0</v>
      </c>
      <c r="K7328">
        <v>0</v>
      </c>
      <c r="L7328">
        <v>34362710</v>
      </c>
      <c r="M7328">
        <v>34362710</v>
      </c>
      <c r="N7328">
        <v>14408996.6</v>
      </c>
      <c r="O7328">
        <v>14408996.6</v>
      </c>
      <c r="P7328">
        <v>34242248</v>
      </c>
      <c r="Q7328">
        <v>34242248</v>
      </c>
      <c r="R7328" s="14">
        <f>_xlfn.XLOOKUP(Table2[[#This Row],[LoanID]],Table1[G-L ID],Table1[ManagerCode],-99)</f>
        <v>220</v>
      </c>
      <c r="T7328"/>
    </row>
    <row r="7329" spans="1:20" x14ac:dyDescent="0.25">
      <c r="A7329">
        <v>20180731</v>
      </c>
      <c r="B7329">
        <v>2018</v>
      </c>
      <c r="C7329">
        <v>7</v>
      </c>
      <c r="D7329">
        <v>1</v>
      </c>
      <c r="E7329">
        <v>14840</v>
      </c>
      <c r="F7329">
        <v>62321.25</v>
      </c>
      <c r="G7329">
        <v>0</v>
      </c>
      <c r="H7329">
        <v>0</v>
      </c>
      <c r="I7329">
        <v>0</v>
      </c>
      <c r="J7329">
        <v>-252579.33</v>
      </c>
      <c r="K7329">
        <v>0</v>
      </c>
      <c r="L7329">
        <v>30926954</v>
      </c>
      <c r="M7329">
        <v>30926954</v>
      </c>
      <c r="N7329">
        <v>12434954</v>
      </c>
      <c r="O7329">
        <v>12434954</v>
      </c>
      <c r="P7329">
        <v>30820000</v>
      </c>
      <c r="Q7329">
        <v>31072579.329999998</v>
      </c>
      <c r="R7329" s="14">
        <f>_xlfn.XLOOKUP(Table2[[#This Row],[LoanID]],Table1[G-L ID],Table1[ManagerCode],-99)</f>
        <v>220</v>
      </c>
      <c r="T7329"/>
    </row>
    <row r="7330" spans="1:20" x14ac:dyDescent="0.25">
      <c r="A7330">
        <v>20180731</v>
      </c>
      <c r="B7330">
        <v>2018</v>
      </c>
      <c r="C7330">
        <v>7</v>
      </c>
      <c r="D7330">
        <v>1</v>
      </c>
      <c r="E7330">
        <v>14850</v>
      </c>
      <c r="F7330">
        <v>294133.34000000003</v>
      </c>
      <c r="G7330">
        <v>0</v>
      </c>
      <c r="H7330">
        <v>0</v>
      </c>
      <c r="I7330">
        <v>0</v>
      </c>
      <c r="J7330">
        <v>0</v>
      </c>
      <c r="K7330">
        <v>2000000</v>
      </c>
      <c r="L7330">
        <v>76256536</v>
      </c>
      <c r="M7330">
        <v>76256536</v>
      </c>
      <c r="N7330">
        <v>76256536</v>
      </c>
      <c r="O7330">
        <v>74256536</v>
      </c>
      <c r="P7330">
        <v>76034429.890000001</v>
      </c>
      <c r="Q7330">
        <v>76034429.890000001</v>
      </c>
      <c r="R7330" s="14">
        <f>_xlfn.XLOOKUP(Table2[[#This Row],[LoanID]],Table1[G-L ID],Table1[ManagerCode],-99)</f>
        <v>220</v>
      </c>
      <c r="T7330"/>
    </row>
    <row r="7331" spans="1:20" x14ac:dyDescent="0.25">
      <c r="A7331">
        <v>20180731</v>
      </c>
      <c r="B7331">
        <v>2018</v>
      </c>
      <c r="C7331">
        <v>7</v>
      </c>
      <c r="D7331">
        <v>1</v>
      </c>
      <c r="E7331">
        <v>14860</v>
      </c>
      <c r="F7331">
        <v>268612.84000000003</v>
      </c>
      <c r="G7331">
        <v>0</v>
      </c>
      <c r="H7331">
        <v>0</v>
      </c>
      <c r="I7331">
        <v>0</v>
      </c>
      <c r="J7331">
        <v>0</v>
      </c>
      <c r="K7331">
        <v>0</v>
      </c>
      <c r="L7331">
        <v>64961983</v>
      </c>
      <c r="M7331">
        <v>64961983</v>
      </c>
      <c r="N7331">
        <v>26102983</v>
      </c>
      <c r="O7331">
        <v>26102983</v>
      </c>
      <c r="P7331">
        <v>64765000</v>
      </c>
      <c r="Q7331">
        <v>64765000</v>
      </c>
      <c r="R7331" s="14">
        <f>_xlfn.XLOOKUP(Table2[[#This Row],[LoanID]],Table1[G-L ID],Table1[ManagerCode],-99)</f>
        <v>220</v>
      </c>
      <c r="T7331"/>
    </row>
    <row r="7332" spans="1:20" x14ac:dyDescent="0.25">
      <c r="A7332">
        <v>20180731</v>
      </c>
      <c r="B7332">
        <v>2018</v>
      </c>
      <c r="C7332">
        <v>7</v>
      </c>
      <c r="D7332">
        <v>1</v>
      </c>
      <c r="E7332">
        <v>14870</v>
      </c>
      <c r="F7332">
        <v>218907.73</v>
      </c>
      <c r="G7332">
        <v>0</v>
      </c>
      <c r="H7332">
        <v>0</v>
      </c>
      <c r="I7332">
        <v>0</v>
      </c>
      <c r="J7332">
        <v>0</v>
      </c>
      <c r="K7332">
        <v>0</v>
      </c>
      <c r="L7332">
        <v>47517532</v>
      </c>
      <c r="M7332">
        <v>47517532</v>
      </c>
      <c r="N7332">
        <v>47517532</v>
      </c>
      <c r="O7332">
        <v>47517532</v>
      </c>
      <c r="P7332">
        <v>47357000</v>
      </c>
      <c r="Q7332">
        <v>47357000</v>
      </c>
      <c r="R7332" s="14">
        <f>_xlfn.XLOOKUP(Table2[[#This Row],[LoanID]],Table1[G-L ID],Table1[ManagerCode],-99)</f>
        <v>220</v>
      </c>
      <c r="T7332"/>
    </row>
    <row r="7333" spans="1:20" x14ac:dyDescent="0.25">
      <c r="A7333">
        <v>20180731</v>
      </c>
      <c r="B7333">
        <v>2018</v>
      </c>
      <c r="C7333">
        <v>7</v>
      </c>
      <c r="D7333">
        <v>1</v>
      </c>
      <c r="E7333">
        <v>14880</v>
      </c>
      <c r="F7333">
        <v>116330.85</v>
      </c>
      <c r="G7333">
        <v>0</v>
      </c>
      <c r="H7333">
        <v>0</v>
      </c>
      <c r="I7333">
        <v>0</v>
      </c>
      <c r="J7333">
        <v>-146030</v>
      </c>
      <c r="K7333">
        <v>0</v>
      </c>
      <c r="L7333">
        <v>16910309</v>
      </c>
      <c r="M7333">
        <v>16910309</v>
      </c>
      <c r="N7333">
        <v>16910309</v>
      </c>
      <c r="O7333">
        <v>16910309</v>
      </c>
      <c r="P7333">
        <v>16825000</v>
      </c>
      <c r="Q7333">
        <v>16971030</v>
      </c>
      <c r="R7333" s="14">
        <f>_xlfn.XLOOKUP(Table2[[#This Row],[LoanID]],Table1[G-L ID],Table1[ManagerCode],-99)</f>
        <v>220</v>
      </c>
      <c r="T7333"/>
    </row>
    <row r="7334" spans="1:20" x14ac:dyDescent="0.25">
      <c r="A7334">
        <v>20180731</v>
      </c>
      <c r="B7334">
        <v>2018</v>
      </c>
      <c r="C7334">
        <v>7</v>
      </c>
      <c r="D7334">
        <v>1</v>
      </c>
      <c r="E7334">
        <v>14950</v>
      </c>
      <c r="F7334">
        <v>0</v>
      </c>
      <c r="G7334">
        <v>0</v>
      </c>
      <c r="H7334">
        <v>0</v>
      </c>
      <c r="I7334">
        <v>0</v>
      </c>
      <c r="J7334">
        <v>0</v>
      </c>
      <c r="K7334">
        <v>0</v>
      </c>
      <c r="L7334">
        <v>35000000</v>
      </c>
      <c r="M7334">
        <v>35000000</v>
      </c>
      <c r="N7334">
        <v>35000000</v>
      </c>
      <c r="O7334">
        <v>35000000</v>
      </c>
      <c r="P7334">
        <v>35000000</v>
      </c>
      <c r="Q7334">
        <v>35000000</v>
      </c>
      <c r="R7334" s="14">
        <f>_xlfn.XLOOKUP(Table2[[#This Row],[LoanID]],Table1[G-L ID],Table1[ManagerCode],-99)</f>
        <v>220</v>
      </c>
      <c r="T7334"/>
    </row>
    <row r="7335" spans="1:20" x14ac:dyDescent="0.25">
      <c r="A7335">
        <v>20180731</v>
      </c>
      <c r="B7335">
        <v>2018</v>
      </c>
      <c r="C7335">
        <v>7</v>
      </c>
      <c r="D7335">
        <v>1</v>
      </c>
      <c r="E7335">
        <v>14960</v>
      </c>
      <c r="F7335">
        <v>0</v>
      </c>
      <c r="G7335">
        <v>0</v>
      </c>
      <c r="H7335">
        <v>0</v>
      </c>
      <c r="I7335">
        <v>0</v>
      </c>
      <c r="J7335">
        <v>-1200000</v>
      </c>
      <c r="K7335">
        <v>0</v>
      </c>
      <c r="L7335">
        <v>13280000</v>
      </c>
      <c r="M7335">
        <v>14477373.310000001</v>
      </c>
      <c r="N7335">
        <v>13280000</v>
      </c>
      <c r="O7335">
        <v>14477373.310000001</v>
      </c>
      <c r="P7335">
        <v>13277373.310000001</v>
      </c>
      <c r="Q7335">
        <v>14477373.310000001</v>
      </c>
      <c r="R7335" s="14">
        <f>_xlfn.XLOOKUP(Table2[[#This Row],[LoanID]],Table1[G-L ID],Table1[ManagerCode],-99)</f>
        <v>220</v>
      </c>
      <c r="T7335"/>
    </row>
    <row r="7336" spans="1:20" x14ac:dyDescent="0.25">
      <c r="A7336">
        <v>20180731</v>
      </c>
      <c r="B7336">
        <v>2018</v>
      </c>
      <c r="C7336">
        <v>7</v>
      </c>
      <c r="D7336">
        <v>1</v>
      </c>
      <c r="E7336">
        <v>15030</v>
      </c>
      <c r="F7336">
        <v>75678.039999999994</v>
      </c>
      <c r="G7336">
        <v>0</v>
      </c>
      <c r="H7336">
        <v>0</v>
      </c>
      <c r="I7336">
        <v>0</v>
      </c>
      <c r="J7336">
        <v>-76372.53</v>
      </c>
      <c r="K7336">
        <v>0</v>
      </c>
      <c r="L7336">
        <v>37451916</v>
      </c>
      <c r="M7336">
        <v>37451916</v>
      </c>
      <c r="N7336">
        <v>13622579.220000001</v>
      </c>
      <c r="O7336">
        <v>13622579.220000001</v>
      </c>
      <c r="P7336">
        <v>37294081.990000002</v>
      </c>
      <c r="Q7336">
        <v>37370454.520000003</v>
      </c>
      <c r="R7336" s="14">
        <f>_xlfn.XLOOKUP(Table2[[#This Row],[LoanID]],Table1[G-L ID],Table1[ManagerCode],-99)</f>
        <v>220</v>
      </c>
      <c r="T7336"/>
    </row>
    <row r="7337" spans="1:20" x14ac:dyDescent="0.25">
      <c r="A7337">
        <v>20180731</v>
      </c>
      <c r="B7337">
        <v>2018</v>
      </c>
      <c r="C7337">
        <v>7</v>
      </c>
      <c r="D7337">
        <v>1</v>
      </c>
      <c r="E7337">
        <v>15540</v>
      </c>
      <c r="F7337">
        <v>264906.25</v>
      </c>
      <c r="G7337">
        <v>13125</v>
      </c>
      <c r="H7337">
        <v>0</v>
      </c>
      <c r="I7337">
        <v>-2187.5</v>
      </c>
      <c r="J7337">
        <v>0</v>
      </c>
      <c r="K7337">
        <v>0</v>
      </c>
      <c r="L7337">
        <v>52764906.25</v>
      </c>
      <c r="M7337">
        <v>52778031.25</v>
      </c>
      <c r="N7337">
        <v>52764906.25</v>
      </c>
      <c r="O7337">
        <v>52778031.25</v>
      </c>
      <c r="P7337">
        <v>52764906.25</v>
      </c>
      <c r="Q7337">
        <v>52778031.25</v>
      </c>
      <c r="R7337" s="14">
        <f>_xlfn.XLOOKUP(Table2[[#This Row],[LoanID]],Table1[G-L ID],Table1[ManagerCode],-99)</f>
        <v>212</v>
      </c>
      <c r="T7337"/>
    </row>
    <row r="7338" spans="1:20" x14ac:dyDescent="0.25">
      <c r="A7338">
        <v>20180731</v>
      </c>
      <c r="B7338">
        <v>2018</v>
      </c>
      <c r="C7338">
        <v>7</v>
      </c>
      <c r="D7338">
        <v>1</v>
      </c>
      <c r="E7338">
        <v>15580</v>
      </c>
      <c r="F7338">
        <v>112138</v>
      </c>
      <c r="G7338">
        <v>3648.22</v>
      </c>
      <c r="H7338">
        <v>0</v>
      </c>
      <c r="I7338">
        <v>0</v>
      </c>
      <c r="J7338">
        <v>0</v>
      </c>
      <c r="K7338">
        <v>11263.31</v>
      </c>
      <c r="L7338">
        <v>14659770.25</v>
      </c>
      <c r="M7338">
        <v>14652155.16</v>
      </c>
      <c r="N7338">
        <v>14659770.25</v>
      </c>
      <c r="O7338">
        <v>14652155.16</v>
      </c>
      <c r="P7338">
        <v>14659770.25</v>
      </c>
      <c r="Q7338">
        <v>14652155.16</v>
      </c>
      <c r="R7338" s="14">
        <f>_xlfn.XLOOKUP(Table2[[#This Row],[LoanID]],Table1[G-L ID],Table1[ManagerCode],-99)</f>
        <v>212</v>
      </c>
      <c r="T7338"/>
    </row>
    <row r="7339" spans="1:20" x14ac:dyDescent="0.25">
      <c r="A7339">
        <v>20180731</v>
      </c>
      <c r="B7339">
        <v>2018</v>
      </c>
      <c r="C7339">
        <v>7</v>
      </c>
      <c r="D7339">
        <v>1</v>
      </c>
      <c r="E7339">
        <v>15610</v>
      </c>
      <c r="F7339">
        <v>0</v>
      </c>
      <c r="G7339">
        <v>828595.56</v>
      </c>
      <c r="H7339">
        <v>0</v>
      </c>
      <c r="I7339">
        <v>-8940</v>
      </c>
      <c r="J7339">
        <v>0</v>
      </c>
      <c r="K7339">
        <v>0</v>
      </c>
      <c r="L7339">
        <v>198400812.5</v>
      </c>
      <c r="M7339">
        <v>199229408</v>
      </c>
      <c r="N7339">
        <v>198400812.5</v>
      </c>
      <c r="O7339">
        <v>199229408</v>
      </c>
      <c r="P7339">
        <v>198400812.5</v>
      </c>
      <c r="Q7339">
        <v>199229408</v>
      </c>
      <c r="R7339" s="14">
        <f>_xlfn.XLOOKUP(Table2[[#This Row],[LoanID]],Table1[G-L ID],Table1[ManagerCode],-99)</f>
        <v>212</v>
      </c>
      <c r="T7339"/>
    </row>
    <row r="7340" spans="1:20" x14ac:dyDescent="0.25">
      <c r="A7340">
        <v>20180731</v>
      </c>
      <c r="B7340">
        <v>2018</v>
      </c>
      <c r="C7340">
        <v>7</v>
      </c>
      <c r="D7340">
        <v>1</v>
      </c>
      <c r="E7340">
        <v>15620</v>
      </c>
      <c r="F7340">
        <v>315575</v>
      </c>
      <c r="G7340">
        <v>16900</v>
      </c>
      <c r="H7340">
        <v>0</v>
      </c>
      <c r="I7340">
        <v>-3250</v>
      </c>
      <c r="J7340">
        <v>0</v>
      </c>
      <c r="K7340">
        <v>0</v>
      </c>
      <c r="L7340">
        <v>78315575</v>
      </c>
      <c r="M7340">
        <v>78332475</v>
      </c>
      <c r="N7340">
        <v>78315575</v>
      </c>
      <c r="O7340">
        <v>78332475</v>
      </c>
      <c r="P7340">
        <v>78315575</v>
      </c>
      <c r="Q7340">
        <v>78332475</v>
      </c>
      <c r="R7340" s="14">
        <f>_xlfn.XLOOKUP(Table2[[#This Row],[LoanID]],Table1[G-L ID],Table1[ManagerCode],-99)</f>
        <v>212</v>
      </c>
      <c r="T7340"/>
    </row>
    <row r="7341" spans="1:20" x14ac:dyDescent="0.25">
      <c r="A7341">
        <v>20180831</v>
      </c>
      <c r="B7341">
        <v>2018</v>
      </c>
      <c r="C7341">
        <v>8</v>
      </c>
      <c r="D7341">
        <v>1</v>
      </c>
      <c r="E7341">
        <v>10010</v>
      </c>
      <c r="F7341">
        <v>215876.01</v>
      </c>
      <c r="G7341">
        <v>0</v>
      </c>
      <c r="H7341">
        <v>0</v>
      </c>
      <c r="I7341">
        <v>0</v>
      </c>
      <c r="J7341">
        <v>0</v>
      </c>
      <c r="K7341">
        <v>28921.65</v>
      </c>
      <c r="L7341">
        <v>21894504.469999999</v>
      </c>
      <c r="M7341">
        <v>21865582.82</v>
      </c>
      <c r="N7341">
        <v>21894504.469999999</v>
      </c>
      <c r="O7341">
        <v>21865582.82</v>
      </c>
      <c r="P7341">
        <v>21894504.469999999</v>
      </c>
      <c r="Q7341">
        <v>21865582.82</v>
      </c>
      <c r="R7341" s="14">
        <f>_xlfn.XLOOKUP(Table2[[#This Row],[LoanID]],Table1[G-L ID],Table1[ManagerCode],-99)</f>
        <v>119</v>
      </c>
      <c r="T7341"/>
    </row>
    <row r="7342" spans="1:20" x14ac:dyDescent="0.25">
      <c r="A7342">
        <v>20180831</v>
      </c>
      <c r="B7342">
        <v>2018</v>
      </c>
      <c r="C7342">
        <v>8</v>
      </c>
      <c r="D7342">
        <v>1</v>
      </c>
      <c r="E7342">
        <v>10030</v>
      </c>
      <c r="F7342">
        <v>90250.54</v>
      </c>
      <c r="G7342">
        <v>0</v>
      </c>
      <c r="H7342">
        <v>0</v>
      </c>
      <c r="I7342">
        <v>0</v>
      </c>
      <c r="J7342">
        <v>0</v>
      </c>
      <c r="K7342">
        <v>0</v>
      </c>
      <c r="L7342">
        <v>9613797.1799999997</v>
      </c>
      <c r="M7342">
        <v>9613797.1799999997</v>
      </c>
      <c r="N7342">
        <v>9613797.1799999997</v>
      </c>
      <c r="O7342">
        <v>9613797.1799999997</v>
      </c>
      <c r="P7342">
        <v>9613797.1799999997</v>
      </c>
      <c r="Q7342">
        <v>9613797.1799999997</v>
      </c>
      <c r="R7342" s="14">
        <f>_xlfn.XLOOKUP(Table2[[#This Row],[LoanID]],Table1[G-L ID],Table1[ManagerCode],-99)</f>
        <v>119</v>
      </c>
      <c r="T7342"/>
    </row>
    <row r="7343" spans="1:20" x14ac:dyDescent="0.25">
      <c r="A7343">
        <v>20180831</v>
      </c>
      <c r="B7343">
        <v>2018</v>
      </c>
      <c r="C7343">
        <v>8</v>
      </c>
      <c r="D7343">
        <v>1</v>
      </c>
      <c r="E7343">
        <v>10050</v>
      </c>
      <c r="F7343">
        <v>153981.01999999999</v>
      </c>
      <c r="G7343">
        <v>0</v>
      </c>
      <c r="H7343">
        <v>0</v>
      </c>
      <c r="I7343">
        <v>-69.44</v>
      </c>
      <c r="J7343">
        <v>0</v>
      </c>
      <c r="K7343">
        <v>0</v>
      </c>
      <c r="L7343">
        <v>36088803.920000002</v>
      </c>
      <c r="M7343">
        <v>35820572.469999999</v>
      </c>
      <c r="N7343">
        <v>36088803.920000002</v>
      </c>
      <c r="O7343">
        <v>35820572.469999999</v>
      </c>
      <c r="P7343">
        <v>33333334</v>
      </c>
      <c r="Q7343">
        <v>33333334</v>
      </c>
      <c r="R7343" s="14">
        <f>_xlfn.XLOOKUP(Table2[[#This Row],[LoanID]],Table1[G-L ID],Table1[ManagerCode],-99)</f>
        <v>103</v>
      </c>
      <c r="T7343"/>
    </row>
    <row r="7344" spans="1:20" x14ac:dyDescent="0.25">
      <c r="A7344">
        <v>20180831</v>
      </c>
      <c r="B7344">
        <v>2018</v>
      </c>
      <c r="C7344">
        <v>8</v>
      </c>
      <c r="D7344">
        <v>1</v>
      </c>
      <c r="E7344">
        <v>10070</v>
      </c>
      <c r="F7344">
        <v>70037.179999999993</v>
      </c>
      <c r="G7344">
        <v>0</v>
      </c>
      <c r="H7344">
        <v>0</v>
      </c>
      <c r="I7344">
        <v>0</v>
      </c>
      <c r="J7344">
        <v>0</v>
      </c>
      <c r="K7344">
        <v>0</v>
      </c>
      <c r="L7344">
        <v>5875000</v>
      </c>
      <c r="M7344">
        <v>5875000</v>
      </c>
      <c r="N7344">
        <v>5875000</v>
      </c>
      <c r="O7344">
        <v>5875000</v>
      </c>
      <c r="P7344">
        <v>5875000</v>
      </c>
      <c r="Q7344">
        <v>5875000</v>
      </c>
      <c r="R7344" s="14">
        <f>_xlfn.XLOOKUP(Table2[[#This Row],[LoanID]],Table1[G-L ID],Table1[ManagerCode],-99)</f>
        <v>119</v>
      </c>
      <c r="T7344"/>
    </row>
    <row r="7345" spans="1:20" x14ac:dyDescent="0.25">
      <c r="A7345">
        <v>20180831</v>
      </c>
      <c r="B7345">
        <v>2018</v>
      </c>
      <c r="C7345">
        <v>8</v>
      </c>
      <c r="D7345">
        <v>1</v>
      </c>
      <c r="E7345">
        <v>10220</v>
      </c>
      <c r="F7345">
        <v>559722.22</v>
      </c>
      <c r="G7345">
        <v>0</v>
      </c>
      <c r="H7345">
        <v>0</v>
      </c>
      <c r="I7345">
        <v>0</v>
      </c>
      <c r="J7345">
        <v>0</v>
      </c>
      <c r="K7345">
        <v>0</v>
      </c>
      <c r="L7345">
        <v>109734846</v>
      </c>
      <c r="M7345">
        <v>109049952.09999999</v>
      </c>
      <c r="N7345">
        <v>109734846</v>
      </c>
      <c r="O7345">
        <v>109049952.09999999</v>
      </c>
      <c r="P7345">
        <v>100000000</v>
      </c>
      <c r="Q7345">
        <v>100000000</v>
      </c>
      <c r="R7345" s="14">
        <f>_xlfn.XLOOKUP(Table2[[#This Row],[LoanID]],Table1[G-L ID],Table1[ManagerCode],-99)</f>
        <v>103</v>
      </c>
      <c r="T7345"/>
    </row>
    <row r="7346" spans="1:20" x14ac:dyDescent="0.25">
      <c r="A7346">
        <v>20180831</v>
      </c>
      <c r="B7346">
        <v>2018</v>
      </c>
      <c r="C7346">
        <v>8</v>
      </c>
      <c r="D7346">
        <v>1</v>
      </c>
      <c r="E7346">
        <v>10250</v>
      </c>
      <c r="F7346">
        <v>57487.78</v>
      </c>
      <c r="G7346">
        <v>0</v>
      </c>
      <c r="H7346">
        <v>0</v>
      </c>
      <c r="I7346">
        <v>0</v>
      </c>
      <c r="J7346">
        <v>0</v>
      </c>
      <c r="K7346">
        <v>0</v>
      </c>
      <c r="L7346">
        <v>5000000</v>
      </c>
      <c r="M7346">
        <v>5000000</v>
      </c>
      <c r="N7346">
        <v>5000000</v>
      </c>
      <c r="O7346">
        <v>5000000</v>
      </c>
      <c r="P7346">
        <v>5000000</v>
      </c>
      <c r="Q7346">
        <v>5000000</v>
      </c>
      <c r="R7346" s="14">
        <f>_xlfn.XLOOKUP(Table2[[#This Row],[LoanID]],Table1[G-L ID],Table1[ManagerCode],-99)</f>
        <v>119</v>
      </c>
      <c r="T7346"/>
    </row>
    <row r="7347" spans="1:20" x14ac:dyDescent="0.25">
      <c r="A7347">
        <v>20180831</v>
      </c>
      <c r="B7347">
        <v>2018</v>
      </c>
      <c r="C7347">
        <v>8</v>
      </c>
      <c r="D7347">
        <v>1</v>
      </c>
      <c r="E7347">
        <v>10270</v>
      </c>
      <c r="F7347">
        <v>50995.75</v>
      </c>
      <c r="G7347">
        <v>0</v>
      </c>
      <c r="H7347">
        <v>0</v>
      </c>
      <c r="I7347">
        <v>0</v>
      </c>
      <c r="J7347">
        <v>0</v>
      </c>
      <c r="K7347">
        <v>0</v>
      </c>
      <c r="L7347">
        <v>4500000</v>
      </c>
      <c r="M7347">
        <v>4500000</v>
      </c>
      <c r="N7347">
        <v>4500000</v>
      </c>
      <c r="O7347">
        <v>4500000</v>
      </c>
      <c r="P7347">
        <v>4500000</v>
      </c>
      <c r="Q7347">
        <v>4500000</v>
      </c>
      <c r="R7347" s="14">
        <f>_xlfn.XLOOKUP(Table2[[#This Row],[LoanID]],Table1[G-L ID],Table1[ManagerCode],-99)</f>
        <v>119</v>
      </c>
      <c r="T7347"/>
    </row>
    <row r="7348" spans="1:20" x14ac:dyDescent="0.25">
      <c r="A7348">
        <v>20180831</v>
      </c>
      <c r="B7348">
        <v>2018</v>
      </c>
      <c r="C7348">
        <v>8</v>
      </c>
      <c r="D7348">
        <v>1</v>
      </c>
      <c r="E7348">
        <v>10330</v>
      </c>
      <c r="F7348">
        <v>90142.05</v>
      </c>
      <c r="G7348">
        <v>0</v>
      </c>
      <c r="H7348">
        <v>0</v>
      </c>
      <c r="I7348">
        <v>0</v>
      </c>
      <c r="J7348">
        <v>0</v>
      </c>
      <c r="K7348">
        <v>0</v>
      </c>
      <c r="L7348">
        <v>8652759.6999999993</v>
      </c>
      <c r="M7348">
        <v>8652759.6999999993</v>
      </c>
      <c r="N7348">
        <v>8652759.6999999993</v>
      </c>
      <c r="O7348">
        <v>8652759.6999999993</v>
      </c>
      <c r="P7348">
        <v>8652759.6999999993</v>
      </c>
      <c r="Q7348">
        <v>8652759.6999999993</v>
      </c>
      <c r="R7348" s="14">
        <f>_xlfn.XLOOKUP(Table2[[#This Row],[LoanID]],Table1[G-L ID],Table1[ManagerCode],-99)</f>
        <v>119</v>
      </c>
      <c r="T7348"/>
    </row>
    <row r="7349" spans="1:20" x14ac:dyDescent="0.25">
      <c r="A7349">
        <v>20180831</v>
      </c>
      <c r="B7349">
        <v>2018</v>
      </c>
      <c r="C7349">
        <v>8</v>
      </c>
      <c r="D7349">
        <v>1</v>
      </c>
      <c r="E7349">
        <v>10360</v>
      </c>
      <c r="F7349">
        <v>57858.96</v>
      </c>
      <c r="G7349">
        <v>0</v>
      </c>
      <c r="H7349">
        <v>0</v>
      </c>
      <c r="I7349">
        <v>0</v>
      </c>
      <c r="J7349">
        <v>0</v>
      </c>
      <c r="K7349">
        <v>0</v>
      </c>
      <c r="L7349">
        <v>5909000</v>
      </c>
      <c r="M7349">
        <v>5909000</v>
      </c>
      <c r="N7349">
        <v>5909000</v>
      </c>
      <c r="O7349">
        <v>5909000</v>
      </c>
      <c r="P7349">
        <v>5909000</v>
      </c>
      <c r="Q7349">
        <v>5909000</v>
      </c>
      <c r="R7349" s="14">
        <f>_xlfn.XLOOKUP(Table2[[#This Row],[LoanID]],Table1[G-L ID],Table1[ManagerCode],-99)</f>
        <v>183</v>
      </c>
      <c r="T7349"/>
    </row>
    <row r="7350" spans="1:20" x14ac:dyDescent="0.25">
      <c r="A7350">
        <v>20180831</v>
      </c>
      <c r="B7350">
        <v>2018</v>
      </c>
      <c r="C7350">
        <v>8</v>
      </c>
      <c r="D7350">
        <v>1</v>
      </c>
      <c r="E7350">
        <v>10480</v>
      </c>
      <c r="F7350">
        <v>170408</v>
      </c>
      <c r="G7350">
        <v>0</v>
      </c>
      <c r="H7350">
        <v>0</v>
      </c>
      <c r="I7350">
        <v>0</v>
      </c>
      <c r="J7350">
        <v>0</v>
      </c>
      <c r="K7350">
        <v>0</v>
      </c>
      <c r="L7350">
        <v>18223440.300000001</v>
      </c>
      <c r="M7350">
        <v>18223440.300000001</v>
      </c>
      <c r="N7350">
        <v>18223440.300000001</v>
      </c>
      <c r="O7350">
        <v>18223440.300000001</v>
      </c>
      <c r="P7350">
        <v>18223440.300000001</v>
      </c>
      <c r="Q7350">
        <v>18223440.300000001</v>
      </c>
      <c r="R7350" s="14">
        <f>_xlfn.XLOOKUP(Table2[[#This Row],[LoanID]],Table1[G-L ID],Table1[ManagerCode],-99)</f>
        <v>119</v>
      </c>
      <c r="T7350"/>
    </row>
    <row r="7351" spans="1:20" x14ac:dyDescent="0.25">
      <c r="A7351">
        <v>20180831</v>
      </c>
      <c r="B7351">
        <v>2018</v>
      </c>
      <c r="C7351">
        <v>8</v>
      </c>
      <c r="D7351">
        <v>1</v>
      </c>
      <c r="E7351">
        <v>10620</v>
      </c>
      <c r="F7351">
        <v>133487.64000000001</v>
      </c>
      <c r="G7351">
        <v>0</v>
      </c>
      <c r="H7351">
        <v>0</v>
      </c>
      <c r="I7351">
        <v>0</v>
      </c>
      <c r="J7351">
        <v>0</v>
      </c>
      <c r="K7351">
        <v>0</v>
      </c>
      <c r="L7351">
        <v>12250966.1</v>
      </c>
      <c r="M7351">
        <v>12250966.1</v>
      </c>
      <c r="N7351">
        <v>12250966.1</v>
      </c>
      <c r="O7351">
        <v>12250966.1</v>
      </c>
      <c r="P7351">
        <v>12250966.1</v>
      </c>
      <c r="Q7351">
        <v>12250966.1</v>
      </c>
      <c r="R7351" s="14">
        <f>_xlfn.XLOOKUP(Table2[[#This Row],[LoanID]],Table1[G-L ID],Table1[ManagerCode],-99)</f>
        <v>119</v>
      </c>
      <c r="T7351"/>
    </row>
    <row r="7352" spans="1:20" x14ac:dyDescent="0.25">
      <c r="A7352">
        <v>20180831</v>
      </c>
      <c r="B7352">
        <v>2018</v>
      </c>
      <c r="C7352">
        <v>8</v>
      </c>
      <c r="D7352">
        <v>1</v>
      </c>
      <c r="E7352">
        <v>10730</v>
      </c>
      <c r="F7352">
        <v>112566.03</v>
      </c>
      <c r="G7352">
        <v>0</v>
      </c>
      <c r="H7352">
        <v>0</v>
      </c>
      <c r="I7352">
        <v>0</v>
      </c>
      <c r="J7352">
        <v>0</v>
      </c>
      <c r="K7352">
        <v>0</v>
      </c>
      <c r="L7352">
        <v>9500000</v>
      </c>
      <c r="M7352">
        <v>9500000</v>
      </c>
      <c r="N7352">
        <v>9500000</v>
      </c>
      <c r="O7352">
        <v>9500000</v>
      </c>
      <c r="P7352">
        <v>9500000</v>
      </c>
      <c r="Q7352">
        <v>9500000</v>
      </c>
      <c r="R7352" s="14">
        <f>_xlfn.XLOOKUP(Table2[[#This Row],[LoanID]],Table1[G-L ID],Table1[ManagerCode],-99)</f>
        <v>119</v>
      </c>
      <c r="T7352"/>
    </row>
    <row r="7353" spans="1:20" x14ac:dyDescent="0.25">
      <c r="A7353">
        <v>20180831</v>
      </c>
      <c r="B7353">
        <v>2018</v>
      </c>
      <c r="C7353">
        <v>8</v>
      </c>
      <c r="D7353">
        <v>1</v>
      </c>
      <c r="E7353">
        <v>10750</v>
      </c>
      <c r="F7353">
        <v>213759.15</v>
      </c>
      <c r="G7353">
        <v>0</v>
      </c>
      <c r="H7353">
        <v>0</v>
      </c>
      <c r="I7353">
        <v>0</v>
      </c>
      <c r="J7353">
        <v>0</v>
      </c>
      <c r="K7353">
        <v>0</v>
      </c>
      <c r="L7353">
        <v>8757259.9600000009</v>
      </c>
      <c r="M7353">
        <v>8757259.9600000009</v>
      </c>
      <c r="N7353">
        <v>8757259.9600000009</v>
      </c>
      <c r="O7353">
        <v>8757259.9600000009</v>
      </c>
      <c r="P7353">
        <v>8757259.9600000009</v>
      </c>
      <c r="Q7353">
        <v>8757259.9600000009</v>
      </c>
      <c r="R7353" s="14">
        <f>_xlfn.XLOOKUP(Table2[[#This Row],[LoanID]],Table1[G-L ID],Table1[ManagerCode],-99)</f>
        <v>119</v>
      </c>
      <c r="T7353"/>
    </row>
    <row r="7354" spans="1:20" x14ac:dyDescent="0.25">
      <c r="A7354">
        <v>20180831</v>
      </c>
      <c r="B7354">
        <v>2018</v>
      </c>
      <c r="C7354">
        <v>8</v>
      </c>
      <c r="D7354">
        <v>1</v>
      </c>
      <c r="E7354">
        <v>10790</v>
      </c>
      <c r="F7354">
        <v>21888.59</v>
      </c>
      <c r="G7354">
        <v>0</v>
      </c>
      <c r="H7354">
        <v>0</v>
      </c>
      <c r="I7354">
        <v>0</v>
      </c>
      <c r="J7354">
        <v>0</v>
      </c>
      <c r="K7354">
        <v>47579.66</v>
      </c>
      <c r="L7354">
        <v>4809320</v>
      </c>
      <c r="M7354">
        <v>4745707.87</v>
      </c>
      <c r="N7354">
        <v>4809320</v>
      </c>
      <c r="O7354">
        <v>4745707.87</v>
      </c>
      <c r="P7354">
        <v>4673719.8</v>
      </c>
      <c r="Q7354">
        <v>4626140.1399999997</v>
      </c>
      <c r="R7354" s="14">
        <f>_xlfn.XLOOKUP(Table2[[#This Row],[LoanID]],Table1[G-L ID],Table1[ManagerCode],-99)</f>
        <v>103</v>
      </c>
      <c r="T7354"/>
    </row>
    <row r="7355" spans="1:20" x14ac:dyDescent="0.25">
      <c r="A7355">
        <v>20180831</v>
      </c>
      <c r="B7355">
        <v>2018</v>
      </c>
      <c r="C7355">
        <v>8</v>
      </c>
      <c r="D7355">
        <v>1</v>
      </c>
      <c r="E7355">
        <v>10810</v>
      </c>
      <c r="F7355">
        <v>94286.080000000002</v>
      </c>
      <c r="G7355">
        <v>0</v>
      </c>
      <c r="H7355">
        <v>0</v>
      </c>
      <c r="I7355">
        <v>0</v>
      </c>
      <c r="J7355">
        <v>0</v>
      </c>
      <c r="K7355">
        <v>0</v>
      </c>
      <c r="L7355">
        <v>7846080.3499999996</v>
      </c>
      <c r="M7355">
        <v>7846080.3499999996</v>
      </c>
      <c r="N7355">
        <v>7846080.3499999996</v>
      </c>
      <c r="O7355">
        <v>7846080.3499999996</v>
      </c>
      <c r="P7355">
        <v>7846080.3499999996</v>
      </c>
      <c r="Q7355">
        <v>7846080.3499999996</v>
      </c>
      <c r="R7355" s="14">
        <f>_xlfn.XLOOKUP(Table2[[#This Row],[LoanID]],Table1[G-L ID],Table1[ManagerCode],-99)</f>
        <v>119</v>
      </c>
      <c r="T7355"/>
    </row>
    <row r="7356" spans="1:20" x14ac:dyDescent="0.25">
      <c r="A7356">
        <v>20180831</v>
      </c>
      <c r="B7356">
        <v>2018</v>
      </c>
      <c r="C7356">
        <v>8</v>
      </c>
      <c r="D7356">
        <v>1</v>
      </c>
      <c r="E7356">
        <v>10820</v>
      </c>
      <c r="F7356">
        <v>207301.38</v>
      </c>
      <c r="G7356">
        <v>0</v>
      </c>
      <c r="H7356">
        <v>0</v>
      </c>
      <c r="I7356">
        <v>0</v>
      </c>
      <c r="J7356">
        <v>-528720</v>
      </c>
      <c r="K7356">
        <v>0</v>
      </c>
      <c r="L7356">
        <v>24675582.760000002</v>
      </c>
      <c r="M7356">
        <v>25204302.760000002</v>
      </c>
      <c r="N7356">
        <v>24675582.760000002</v>
      </c>
      <c r="O7356">
        <v>25204302.760000002</v>
      </c>
      <c r="P7356">
        <v>24675582.760000002</v>
      </c>
      <c r="Q7356">
        <v>25204302.760000002</v>
      </c>
      <c r="R7356" s="14">
        <f>_xlfn.XLOOKUP(Table2[[#This Row],[LoanID]],Table1[G-L ID],Table1[ManagerCode],-99)</f>
        <v>220</v>
      </c>
      <c r="T7356"/>
    </row>
    <row r="7357" spans="1:20" x14ac:dyDescent="0.25">
      <c r="A7357">
        <v>20180831</v>
      </c>
      <c r="B7357">
        <v>2018</v>
      </c>
      <c r="C7357">
        <v>8</v>
      </c>
      <c r="D7357">
        <v>1</v>
      </c>
      <c r="E7357">
        <v>10830</v>
      </c>
      <c r="F7357">
        <v>63857.77</v>
      </c>
      <c r="G7357">
        <v>0</v>
      </c>
      <c r="H7357">
        <v>0</v>
      </c>
      <c r="I7357">
        <v>0</v>
      </c>
      <c r="J7357">
        <v>0</v>
      </c>
      <c r="K7357">
        <v>0</v>
      </c>
      <c r="L7357">
        <v>7806043.1399999997</v>
      </c>
      <c r="M7357">
        <v>7806043.1399999997</v>
      </c>
      <c r="N7357">
        <v>7806043.1399999997</v>
      </c>
      <c r="O7357">
        <v>7806043.1399999997</v>
      </c>
      <c r="P7357">
        <v>7806043.1399999997</v>
      </c>
      <c r="Q7357">
        <v>7806043.1399999997</v>
      </c>
      <c r="R7357" s="14">
        <f>_xlfn.XLOOKUP(Table2[[#This Row],[LoanID]],Table1[G-L ID],Table1[ManagerCode],-99)</f>
        <v>220</v>
      </c>
      <c r="T7357"/>
    </row>
    <row r="7358" spans="1:20" x14ac:dyDescent="0.25">
      <c r="A7358">
        <v>20180831</v>
      </c>
      <c r="B7358">
        <v>2018</v>
      </c>
      <c r="C7358">
        <v>8</v>
      </c>
      <c r="D7358">
        <v>1</v>
      </c>
      <c r="E7358">
        <v>10840</v>
      </c>
      <c r="F7358">
        <v>103968.23</v>
      </c>
      <c r="G7358">
        <v>0</v>
      </c>
      <c r="H7358">
        <v>0</v>
      </c>
      <c r="I7358">
        <v>0</v>
      </c>
      <c r="J7358">
        <v>0</v>
      </c>
      <c r="K7358">
        <v>0</v>
      </c>
      <c r="L7358">
        <v>12709189</v>
      </c>
      <c r="M7358">
        <v>12709189</v>
      </c>
      <c r="N7358">
        <v>12709189</v>
      </c>
      <c r="O7358">
        <v>12709189</v>
      </c>
      <c r="P7358">
        <v>12709189</v>
      </c>
      <c r="Q7358">
        <v>12709189</v>
      </c>
      <c r="R7358" s="14">
        <f>_xlfn.XLOOKUP(Table2[[#This Row],[LoanID]],Table1[G-L ID],Table1[ManagerCode],-99)</f>
        <v>220</v>
      </c>
      <c r="T7358"/>
    </row>
    <row r="7359" spans="1:20" x14ac:dyDescent="0.25">
      <c r="A7359">
        <v>20180831</v>
      </c>
      <c r="B7359">
        <v>2018</v>
      </c>
      <c r="C7359">
        <v>8</v>
      </c>
      <c r="D7359">
        <v>1</v>
      </c>
      <c r="E7359">
        <v>10850</v>
      </c>
      <c r="F7359">
        <v>21393.83</v>
      </c>
      <c r="G7359">
        <v>0</v>
      </c>
      <c r="H7359">
        <v>270237.84000000003</v>
      </c>
      <c r="I7359">
        <v>0</v>
      </c>
      <c r="J7359">
        <v>0</v>
      </c>
      <c r="K7359">
        <v>13511892</v>
      </c>
      <c r="L7359">
        <v>13511892</v>
      </c>
      <c r="M7359">
        <v>0</v>
      </c>
      <c r="N7359">
        <v>13511892</v>
      </c>
      <c r="O7359">
        <v>0</v>
      </c>
      <c r="P7359">
        <v>13511892</v>
      </c>
      <c r="Q7359">
        <v>0</v>
      </c>
      <c r="R7359" s="14">
        <f>_xlfn.XLOOKUP(Table2[[#This Row],[LoanID]],Table1[G-L ID],Table1[ManagerCode],-99)</f>
        <v>220</v>
      </c>
      <c r="T7359"/>
    </row>
    <row r="7360" spans="1:20" x14ac:dyDescent="0.25">
      <c r="A7360">
        <v>20180831</v>
      </c>
      <c r="B7360">
        <v>2018</v>
      </c>
      <c r="C7360">
        <v>8</v>
      </c>
      <c r="D7360">
        <v>1</v>
      </c>
      <c r="E7360">
        <v>10910</v>
      </c>
      <c r="F7360">
        <v>83780.91</v>
      </c>
      <c r="G7360">
        <v>0</v>
      </c>
      <c r="H7360">
        <v>0</v>
      </c>
      <c r="I7360">
        <v>0</v>
      </c>
      <c r="J7360">
        <v>0</v>
      </c>
      <c r="K7360">
        <v>0</v>
      </c>
      <c r="L7360">
        <v>9762500</v>
      </c>
      <c r="M7360">
        <v>9762500</v>
      </c>
      <c r="N7360">
        <v>9762500</v>
      </c>
      <c r="O7360">
        <v>9762500</v>
      </c>
      <c r="P7360">
        <v>9762500</v>
      </c>
      <c r="Q7360">
        <v>9762500</v>
      </c>
      <c r="R7360" s="14">
        <f>_xlfn.XLOOKUP(Table2[[#This Row],[LoanID]],Table1[G-L ID],Table1[ManagerCode],-99)</f>
        <v>119</v>
      </c>
      <c r="T7360"/>
    </row>
    <row r="7361" spans="1:20" x14ac:dyDescent="0.25">
      <c r="A7361">
        <v>20180831</v>
      </c>
      <c r="B7361">
        <v>2018</v>
      </c>
      <c r="C7361">
        <v>8</v>
      </c>
      <c r="D7361">
        <v>1</v>
      </c>
      <c r="E7361">
        <v>10930</v>
      </c>
      <c r="F7361">
        <v>0</v>
      </c>
      <c r="G7361">
        <v>169728.44</v>
      </c>
      <c r="H7361">
        <v>0</v>
      </c>
      <c r="I7361">
        <v>0</v>
      </c>
      <c r="J7361">
        <v>0</v>
      </c>
      <c r="K7361">
        <v>0</v>
      </c>
      <c r="L7361">
        <v>15372426.789999999</v>
      </c>
      <c r="M7361">
        <v>15542155.23</v>
      </c>
      <c r="N7361">
        <v>15372426.789999999</v>
      </c>
      <c r="O7361">
        <v>15542155.23</v>
      </c>
      <c r="P7361">
        <v>15372426.789999999</v>
      </c>
      <c r="Q7361">
        <v>15542155.23</v>
      </c>
      <c r="R7361" s="14">
        <f>_xlfn.XLOOKUP(Table2[[#This Row],[LoanID]],Table1[G-L ID],Table1[ManagerCode],-99)</f>
        <v>183</v>
      </c>
      <c r="T7361"/>
    </row>
    <row r="7362" spans="1:20" x14ac:dyDescent="0.25">
      <c r="A7362">
        <v>20180831</v>
      </c>
      <c r="B7362">
        <v>2018</v>
      </c>
      <c r="C7362">
        <v>8</v>
      </c>
      <c r="D7362">
        <v>1</v>
      </c>
      <c r="E7362">
        <v>10970</v>
      </c>
      <c r="F7362">
        <v>26467.23</v>
      </c>
      <c r="G7362">
        <v>28672.83</v>
      </c>
      <c r="H7362">
        <v>0</v>
      </c>
      <c r="I7362">
        <v>0</v>
      </c>
      <c r="J7362">
        <v>-26195.200000000001</v>
      </c>
      <c r="K7362">
        <v>0</v>
      </c>
      <c r="L7362">
        <v>5283622.55</v>
      </c>
      <c r="M7362">
        <v>5338490.58</v>
      </c>
      <c r="N7362">
        <v>5283622.55</v>
      </c>
      <c r="O7362">
        <v>5338490.58</v>
      </c>
      <c r="P7362">
        <v>5283622.55</v>
      </c>
      <c r="Q7362">
        <v>5338490.58</v>
      </c>
      <c r="R7362" s="14">
        <f>_xlfn.XLOOKUP(Table2[[#This Row],[LoanID]],Table1[G-L ID],Table1[ManagerCode],-99)</f>
        <v>183</v>
      </c>
      <c r="T7362"/>
    </row>
    <row r="7363" spans="1:20" x14ac:dyDescent="0.25">
      <c r="A7363">
        <v>20180831</v>
      </c>
      <c r="B7363">
        <v>2018</v>
      </c>
      <c r="C7363">
        <v>8</v>
      </c>
      <c r="D7363">
        <v>1</v>
      </c>
      <c r="E7363">
        <v>11060</v>
      </c>
      <c r="F7363">
        <v>215808.1</v>
      </c>
      <c r="G7363">
        <v>0</v>
      </c>
      <c r="H7363">
        <v>0</v>
      </c>
      <c r="I7363">
        <v>0</v>
      </c>
      <c r="J7363">
        <v>0</v>
      </c>
      <c r="K7363">
        <v>0</v>
      </c>
      <c r="L7363">
        <v>22000000</v>
      </c>
      <c r="M7363">
        <v>22000000</v>
      </c>
      <c r="N7363">
        <v>22000000</v>
      </c>
      <c r="O7363">
        <v>22000000</v>
      </c>
      <c r="P7363">
        <v>22000000</v>
      </c>
      <c r="Q7363">
        <v>22000000</v>
      </c>
      <c r="R7363" s="14">
        <f>_xlfn.XLOOKUP(Table2[[#This Row],[LoanID]],Table1[G-L ID],Table1[ManagerCode],-99)</f>
        <v>119</v>
      </c>
      <c r="T7363"/>
    </row>
    <row r="7364" spans="1:20" x14ac:dyDescent="0.25">
      <c r="A7364">
        <v>20180831</v>
      </c>
      <c r="B7364">
        <v>2018</v>
      </c>
      <c r="C7364">
        <v>8</v>
      </c>
      <c r="D7364">
        <v>1</v>
      </c>
      <c r="E7364">
        <v>11080</v>
      </c>
      <c r="F7364">
        <v>418484.93</v>
      </c>
      <c r="G7364">
        <v>0</v>
      </c>
      <c r="H7364">
        <v>0</v>
      </c>
      <c r="I7364">
        <v>0</v>
      </c>
      <c r="J7364">
        <v>0</v>
      </c>
      <c r="K7364">
        <v>61919.27</v>
      </c>
      <c r="L7364">
        <v>38761464.899999999</v>
      </c>
      <c r="M7364">
        <v>38699545.630000003</v>
      </c>
      <c r="N7364">
        <v>38761464.899999999</v>
      </c>
      <c r="O7364">
        <v>38699545.630000003</v>
      </c>
      <c r="P7364">
        <v>38761464.899999999</v>
      </c>
      <c r="Q7364">
        <v>38699545.630000003</v>
      </c>
      <c r="R7364" s="14">
        <f>_xlfn.XLOOKUP(Table2[[#This Row],[LoanID]],Table1[G-L ID],Table1[ManagerCode],-99)</f>
        <v>119</v>
      </c>
      <c r="T7364"/>
    </row>
    <row r="7365" spans="1:20" x14ac:dyDescent="0.25">
      <c r="A7365">
        <v>20180831</v>
      </c>
      <c r="B7365">
        <v>2018</v>
      </c>
      <c r="C7365">
        <v>8</v>
      </c>
      <c r="D7365">
        <v>1</v>
      </c>
      <c r="E7365">
        <v>11090</v>
      </c>
      <c r="F7365">
        <v>213073.11</v>
      </c>
      <c r="G7365">
        <v>0</v>
      </c>
      <c r="H7365">
        <v>0</v>
      </c>
      <c r="I7365">
        <v>0</v>
      </c>
      <c r="J7365">
        <v>0</v>
      </c>
      <c r="K7365">
        <v>10868000</v>
      </c>
      <c r="L7365">
        <v>10868000</v>
      </c>
      <c r="M7365">
        <v>0</v>
      </c>
      <c r="N7365">
        <v>10868000</v>
      </c>
      <c r="O7365">
        <v>0</v>
      </c>
      <c r="P7365">
        <v>10868000</v>
      </c>
      <c r="Q7365">
        <v>0</v>
      </c>
      <c r="R7365" s="14">
        <f>_xlfn.XLOOKUP(Table2[[#This Row],[LoanID]],Table1[G-L ID],Table1[ManagerCode],-99)</f>
        <v>119</v>
      </c>
      <c r="T7365"/>
    </row>
    <row r="7366" spans="1:20" x14ac:dyDescent="0.25">
      <c r="A7366">
        <v>20180831</v>
      </c>
      <c r="B7366">
        <v>2018</v>
      </c>
      <c r="C7366">
        <v>8</v>
      </c>
      <c r="D7366">
        <v>1</v>
      </c>
      <c r="E7366">
        <v>11150</v>
      </c>
      <c r="F7366">
        <v>122506.88</v>
      </c>
      <c r="G7366">
        <v>0</v>
      </c>
      <c r="H7366">
        <v>0</v>
      </c>
      <c r="I7366">
        <v>0</v>
      </c>
      <c r="J7366">
        <v>0</v>
      </c>
      <c r="K7366">
        <v>0</v>
      </c>
      <c r="L7366">
        <v>10675276.130000001</v>
      </c>
      <c r="M7366">
        <v>10675276.130000001</v>
      </c>
      <c r="N7366">
        <v>10675276.130000001</v>
      </c>
      <c r="O7366">
        <v>10675276.130000001</v>
      </c>
      <c r="P7366">
        <v>10675276.130000001</v>
      </c>
      <c r="Q7366">
        <v>10675276.130000001</v>
      </c>
      <c r="R7366" s="14">
        <f>_xlfn.XLOOKUP(Table2[[#This Row],[LoanID]],Table1[G-L ID],Table1[ManagerCode],-99)</f>
        <v>119</v>
      </c>
      <c r="T7366"/>
    </row>
    <row r="7367" spans="1:20" x14ac:dyDescent="0.25">
      <c r="A7367">
        <v>20180831</v>
      </c>
      <c r="B7367">
        <v>2018</v>
      </c>
      <c r="C7367">
        <v>8</v>
      </c>
      <c r="D7367">
        <v>1</v>
      </c>
      <c r="E7367">
        <v>11210</v>
      </c>
      <c r="F7367">
        <v>80735.23</v>
      </c>
      <c r="G7367">
        <v>0</v>
      </c>
      <c r="H7367">
        <v>0</v>
      </c>
      <c r="I7367">
        <v>0</v>
      </c>
      <c r="J7367">
        <v>0</v>
      </c>
      <c r="K7367">
        <v>0</v>
      </c>
      <c r="L7367">
        <v>9500000</v>
      </c>
      <c r="M7367">
        <v>9500000</v>
      </c>
      <c r="N7367">
        <v>9500000</v>
      </c>
      <c r="O7367">
        <v>9500000</v>
      </c>
      <c r="P7367">
        <v>9500000</v>
      </c>
      <c r="Q7367">
        <v>9500000</v>
      </c>
      <c r="R7367" s="14">
        <f>_xlfn.XLOOKUP(Table2[[#This Row],[LoanID]],Table1[G-L ID],Table1[ManagerCode],-99)</f>
        <v>119</v>
      </c>
      <c r="T7367"/>
    </row>
    <row r="7368" spans="1:20" x14ac:dyDescent="0.25">
      <c r="A7368">
        <v>20180831</v>
      </c>
      <c r="B7368">
        <v>2018</v>
      </c>
      <c r="C7368">
        <v>8</v>
      </c>
      <c r="D7368">
        <v>1</v>
      </c>
      <c r="E7368">
        <v>11340</v>
      </c>
      <c r="F7368">
        <v>288646.31</v>
      </c>
      <c r="G7368">
        <v>0</v>
      </c>
      <c r="H7368">
        <v>0</v>
      </c>
      <c r="I7368">
        <v>0</v>
      </c>
      <c r="J7368">
        <v>0</v>
      </c>
      <c r="K7368">
        <v>68945.63</v>
      </c>
      <c r="L7368">
        <v>47407164.07</v>
      </c>
      <c r="M7368">
        <v>47338907.920000002</v>
      </c>
      <c r="N7368">
        <v>47407164.07</v>
      </c>
      <c r="O7368">
        <v>47338907.920000002</v>
      </c>
      <c r="P7368">
        <v>47886024.32</v>
      </c>
      <c r="Q7368">
        <v>47817078.689999998</v>
      </c>
      <c r="R7368" s="14">
        <f>_xlfn.XLOOKUP(Table2[[#This Row],[LoanID]],Table1[G-L ID],Table1[ManagerCode],-99)</f>
        <v>103</v>
      </c>
      <c r="T7368"/>
    </row>
    <row r="7369" spans="1:20" x14ac:dyDescent="0.25">
      <c r="A7369">
        <v>20180831</v>
      </c>
      <c r="B7369">
        <v>2018</v>
      </c>
      <c r="C7369">
        <v>8</v>
      </c>
      <c r="D7369">
        <v>1</v>
      </c>
      <c r="E7369">
        <v>11350</v>
      </c>
      <c r="F7369">
        <v>331527.78000000003</v>
      </c>
      <c r="G7369">
        <v>0</v>
      </c>
      <c r="H7369">
        <v>0</v>
      </c>
      <c r="I7369">
        <v>0</v>
      </c>
      <c r="J7369">
        <v>0</v>
      </c>
      <c r="K7369">
        <v>0</v>
      </c>
      <c r="L7369">
        <v>54449945.549999997</v>
      </c>
      <c r="M7369">
        <v>54449945.549999997</v>
      </c>
      <c r="N7369">
        <v>54449945.549999997</v>
      </c>
      <c r="O7369">
        <v>54449945.549999997</v>
      </c>
      <c r="P7369">
        <v>55000000</v>
      </c>
      <c r="Q7369">
        <v>55000000</v>
      </c>
      <c r="R7369" s="14">
        <f>_xlfn.XLOOKUP(Table2[[#This Row],[LoanID]],Table1[G-L ID],Table1[ManagerCode],-99)</f>
        <v>103</v>
      </c>
      <c r="T7369"/>
    </row>
    <row r="7370" spans="1:20" x14ac:dyDescent="0.25">
      <c r="A7370">
        <v>20180831</v>
      </c>
      <c r="B7370">
        <v>2018</v>
      </c>
      <c r="C7370">
        <v>8</v>
      </c>
      <c r="D7370">
        <v>1</v>
      </c>
      <c r="E7370">
        <v>11360</v>
      </c>
      <c r="F7370">
        <v>78995.89</v>
      </c>
      <c r="G7370">
        <v>0</v>
      </c>
      <c r="H7370">
        <v>0</v>
      </c>
      <c r="I7370">
        <v>0</v>
      </c>
      <c r="J7370">
        <v>0</v>
      </c>
      <c r="K7370">
        <v>0</v>
      </c>
      <c r="L7370">
        <v>9355036</v>
      </c>
      <c r="M7370">
        <v>9355036</v>
      </c>
      <c r="N7370">
        <v>9355036</v>
      </c>
      <c r="O7370">
        <v>9355036</v>
      </c>
      <c r="P7370">
        <v>9355036</v>
      </c>
      <c r="Q7370">
        <v>9355036</v>
      </c>
      <c r="R7370" s="14">
        <f>_xlfn.XLOOKUP(Table2[[#This Row],[LoanID]],Table1[G-L ID],Table1[ManagerCode],-99)</f>
        <v>119</v>
      </c>
      <c r="T7370"/>
    </row>
    <row r="7371" spans="1:20" x14ac:dyDescent="0.25">
      <c r="A7371">
        <v>20180831</v>
      </c>
      <c r="B7371">
        <v>2018</v>
      </c>
      <c r="C7371">
        <v>8</v>
      </c>
      <c r="D7371">
        <v>1</v>
      </c>
      <c r="E7371">
        <v>11410</v>
      </c>
      <c r="F7371">
        <v>125777.33</v>
      </c>
      <c r="G7371">
        <v>0</v>
      </c>
      <c r="H7371">
        <v>0</v>
      </c>
      <c r="I7371">
        <v>0</v>
      </c>
      <c r="J7371">
        <v>0</v>
      </c>
      <c r="K7371">
        <v>0</v>
      </c>
      <c r="L7371">
        <v>12000000</v>
      </c>
      <c r="M7371">
        <v>12000000</v>
      </c>
      <c r="N7371">
        <v>12000000</v>
      </c>
      <c r="O7371">
        <v>12000000</v>
      </c>
      <c r="P7371">
        <v>12000000</v>
      </c>
      <c r="Q7371">
        <v>12000000</v>
      </c>
      <c r="R7371" s="14">
        <f>_xlfn.XLOOKUP(Table2[[#This Row],[LoanID]],Table1[G-L ID],Table1[ManagerCode],-99)</f>
        <v>119</v>
      </c>
      <c r="T7371"/>
    </row>
    <row r="7372" spans="1:20" x14ac:dyDescent="0.25">
      <c r="A7372">
        <v>20180831</v>
      </c>
      <c r="B7372">
        <v>2018</v>
      </c>
      <c r="C7372">
        <v>8</v>
      </c>
      <c r="D7372">
        <v>1</v>
      </c>
      <c r="E7372">
        <v>11440</v>
      </c>
      <c r="F7372">
        <v>156250</v>
      </c>
      <c r="G7372">
        <v>0</v>
      </c>
      <c r="H7372">
        <v>0</v>
      </c>
      <c r="I7372">
        <v>0</v>
      </c>
      <c r="J7372">
        <v>0</v>
      </c>
      <c r="K7372">
        <v>0</v>
      </c>
      <c r="L7372">
        <v>18750000</v>
      </c>
      <c r="M7372">
        <v>18750000</v>
      </c>
      <c r="N7372">
        <v>18750000</v>
      </c>
      <c r="O7372">
        <v>18750000</v>
      </c>
      <c r="P7372">
        <v>18750000</v>
      </c>
      <c r="Q7372">
        <v>18750000</v>
      </c>
      <c r="R7372" s="14">
        <f>_xlfn.XLOOKUP(Table2[[#This Row],[LoanID]],Table1[G-L ID],Table1[ManagerCode],-99)</f>
        <v>183</v>
      </c>
      <c r="T7372"/>
    </row>
    <row r="7373" spans="1:20" x14ac:dyDescent="0.25">
      <c r="A7373">
        <v>20180831</v>
      </c>
      <c r="B7373">
        <v>2018</v>
      </c>
      <c r="C7373">
        <v>8</v>
      </c>
      <c r="D7373">
        <v>1</v>
      </c>
      <c r="E7373">
        <v>11450</v>
      </c>
      <c r="F7373">
        <v>160420.4</v>
      </c>
      <c r="G7373">
        <v>0</v>
      </c>
      <c r="H7373">
        <v>0</v>
      </c>
      <c r="I7373">
        <v>0</v>
      </c>
      <c r="J7373">
        <v>-16903.66</v>
      </c>
      <c r="K7373">
        <v>0</v>
      </c>
      <c r="L7373">
        <v>16786326.640000001</v>
      </c>
      <c r="M7373">
        <v>16803230.300000001</v>
      </c>
      <c r="N7373">
        <v>16786326.640000001</v>
      </c>
      <c r="O7373">
        <v>16803230.300000001</v>
      </c>
      <c r="P7373">
        <v>16786326.640000001</v>
      </c>
      <c r="Q7373">
        <v>16803230.300000001</v>
      </c>
      <c r="R7373" s="14">
        <f>_xlfn.XLOOKUP(Table2[[#This Row],[LoanID]],Table1[G-L ID],Table1[ManagerCode],-99)</f>
        <v>119</v>
      </c>
      <c r="T7373"/>
    </row>
    <row r="7374" spans="1:20" x14ac:dyDescent="0.25">
      <c r="A7374">
        <v>20180831</v>
      </c>
      <c r="B7374">
        <v>2018</v>
      </c>
      <c r="C7374">
        <v>8</v>
      </c>
      <c r="D7374">
        <v>1</v>
      </c>
      <c r="E7374">
        <v>11520</v>
      </c>
      <c r="F7374">
        <v>67159.02</v>
      </c>
      <c r="G7374">
        <v>0</v>
      </c>
      <c r="H7374">
        <v>0</v>
      </c>
      <c r="I7374">
        <v>0</v>
      </c>
      <c r="J7374">
        <v>0</v>
      </c>
      <c r="K7374">
        <v>0</v>
      </c>
      <c r="L7374">
        <v>8405516.8200000003</v>
      </c>
      <c r="M7374">
        <v>8405516.8200000003</v>
      </c>
      <c r="N7374">
        <v>8405516.8200000003</v>
      </c>
      <c r="O7374">
        <v>8405516.8200000003</v>
      </c>
      <c r="P7374">
        <v>8405516.8200000003</v>
      </c>
      <c r="Q7374">
        <v>8405516.8200000003</v>
      </c>
      <c r="R7374" s="14">
        <f>_xlfn.XLOOKUP(Table2[[#This Row],[LoanID]],Table1[G-L ID],Table1[ManagerCode],-99)</f>
        <v>119</v>
      </c>
      <c r="T7374"/>
    </row>
    <row r="7375" spans="1:20" x14ac:dyDescent="0.25">
      <c r="A7375">
        <v>20180831</v>
      </c>
      <c r="B7375">
        <v>2018</v>
      </c>
      <c r="C7375">
        <v>8</v>
      </c>
      <c r="D7375">
        <v>1</v>
      </c>
      <c r="E7375">
        <v>11530</v>
      </c>
      <c r="F7375">
        <v>156693.07999999999</v>
      </c>
      <c r="G7375">
        <v>0</v>
      </c>
      <c r="H7375">
        <v>0</v>
      </c>
      <c r="I7375">
        <v>0</v>
      </c>
      <c r="J7375">
        <v>0</v>
      </c>
      <c r="K7375">
        <v>0</v>
      </c>
      <c r="L7375">
        <v>14260454.07</v>
      </c>
      <c r="M7375">
        <v>14260454.07</v>
      </c>
      <c r="N7375">
        <v>14260454.07</v>
      </c>
      <c r="O7375">
        <v>14260454.07</v>
      </c>
      <c r="P7375">
        <v>14260454.07</v>
      </c>
      <c r="Q7375">
        <v>14260454.07</v>
      </c>
      <c r="R7375" s="14">
        <f>_xlfn.XLOOKUP(Table2[[#This Row],[LoanID]],Table1[G-L ID],Table1[ManagerCode],-99)</f>
        <v>119</v>
      </c>
      <c r="T7375"/>
    </row>
    <row r="7376" spans="1:20" x14ac:dyDescent="0.25">
      <c r="A7376">
        <v>20180831</v>
      </c>
      <c r="B7376">
        <v>2018</v>
      </c>
      <c r="C7376">
        <v>8</v>
      </c>
      <c r="D7376">
        <v>1</v>
      </c>
      <c r="E7376">
        <v>11590</v>
      </c>
      <c r="F7376">
        <v>16335.71</v>
      </c>
      <c r="G7376">
        <v>0</v>
      </c>
      <c r="H7376">
        <v>0</v>
      </c>
      <c r="I7376">
        <v>0</v>
      </c>
      <c r="J7376">
        <v>0</v>
      </c>
      <c r="K7376">
        <v>0</v>
      </c>
      <c r="L7376">
        <v>1982289.13</v>
      </c>
      <c r="M7376">
        <v>1982289.13</v>
      </c>
      <c r="N7376">
        <v>1982289.13</v>
      </c>
      <c r="O7376">
        <v>1982289.13</v>
      </c>
      <c r="P7376">
        <v>1982289.13</v>
      </c>
      <c r="Q7376">
        <v>1982289.13</v>
      </c>
      <c r="R7376" s="14">
        <f>_xlfn.XLOOKUP(Table2[[#This Row],[LoanID]],Table1[G-L ID],Table1[ManagerCode],-99)</f>
        <v>119</v>
      </c>
      <c r="T7376"/>
    </row>
    <row r="7377" spans="1:20" x14ac:dyDescent="0.25">
      <c r="A7377">
        <v>20180831</v>
      </c>
      <c r="B7377">
        <v>2018</v>
      </c>
      <c r="C7377">
        <v>8</v>
      </c>
      <c r="D7377">
        <v>1</v>
      </c>
      <c r="E7377">
        <v>11680</v>
      </c>
      <c r="F7377">
        <v>57126.559999999998</v>
      </c>
      <c r="G7377">
        <v>0</v>
      </c>
      <c r="H7377">
        <v>0</v>
      </c>
      <c r="I7377">
        <v>0</v>
      </c>
      <c r="J7377">
        <v>0</v>
      </c>
      <c r="K7377">
        <v>0</v>
      </c>
      <c r="L7377">
        <v>6600000</v>
      </c>
      <c r="M7377">
        <v>6600000</v>
      </c>
      <c r="N7377">
        <v>6600000</v>
      </c>
      <c r="O7377">
        <v>6600000</v>
      </c>
      <c r="P7377">
        <v>6600000</v>
      </c>
      <c r="Q7377">
        <v>6600000</v>
      </c>
      <c r="R7377" s="14">
        <f>_xlfn.XLOOKUP(Table2[[#This Row],[LoanID]],Table1[G-L ID],Table1[ManagerCode],-99)</f>
        <v>183</v>
      </c>
      <c r="T7377"/>
    </row>
    <row r="7378" spans="1:20" x14ac:dyDescent="0.25">
      <c r="A7378">
        <v>20180831</v>
      </c>
      <c r="B7378">
        <v>2018</v>
      </c>
      <c r="C7378">
        <v>8</v>
      </c>
      <c r="D7378">
        <v>1</v>
      </c>
      <c r="E7378">
        <v>11690</v>
      </c>
      <c r="F7378">
        <v>162081.78</v>
      </c>
      <c r="G7378">
        <v>0</v>
      </c>
      <c r="H7378">
        <v>0</v>
      </c>
      <c r="I7378">
        <v>0</v>
      </c>
      <c r="J7378">
        <v>0</v>
      </c>
      <c r="K7378">
        <v>0</v>
      </c>
      <c r="L7378">
        <v>17000000</v>
      </c>
      <c r="M7378">
        <v>17000000</v>
      </c>
      <c r="N7378">
        <v>17000000</v>
      </c>
      <c r="O7378">
        <v>17000000</v>
      </c>
      <c r="P7378">
        <v>17000000</v>
      </c>
      <c r="Q7378">
        <v>17000000</v>
      </c>
      <c r="R7378" s="14">
        <f>_xlfn.XLOOKUP(Table2[[#This Row],[LoanID]],Table1[G-L ID],Table1[ManagerCode],-99)</f>
        <v>119</v>
      </c>
      <c r="T7378"/>
    </row>
    <row r="7379" spans="1:20" x14ac:dyDescent="0.25">
      <c r="A7379">
        <v>20180831</v>
      </c>
      <c r="B7379">
        <v>2018</v>
      </c>
      <c r="C7379">
        <v>8</v>
      </c>
      <c r="D7379">
        <v>1</v>
      </c>
      <c r="E7379">
        <v>11830</v>
      </c>
      <c r="F7379">
        <v>118330.41</v>
      </c>
      <c r="G7379">
        <v>0</v>
      </c>
      <c r="H7379">
        <v>0</v>
      </c>
      <c r="I7379">
        <v>0</v>
      </c>
      <c r="J7379">
        <v>0</v>
      </c>
      <c r="K7379">
        <v>0</v>
      </c>
      <c r="L7379">
        <v>13834719.1</v>
      </c>
      <c r="M7379">
        <v>13834719.1</v>
      </c>
      <c r="N7379">
        <v>13834719.1</v>
      </c>
      <c r="O7379">
        <v>13834719.1</v>
      </c>
      <c r="P7379">
        <v>13834719.1</v>
      </c>
      <c r="Q7379">
        <v>13834719.1</v>
      </c>
      <c r="R7379" s="14">
        <f>_xlfn.XLOOKUP(Table2[[#This Row],[LoanID]],Table1[G-L ID],Table1[ManagerCode],-99)</f>
        <v>119</v>
      </c>
      <c r="T7379"/>
    </row>
    <row r="7380" spans="1:20" x14ac:dyDescent="0.25">
      <c r="A7380">
        <v>20180831</v>
      </c>
      <c r="B7380">
        <v>2018</v>
      </c>
      <c r="C7380">
        <v>8</v>
      </c>
      <c r="D7380">
        <v>1</v>
      </c>
      <c r="E7380">
        <v>11850</v>
      </c>
      <c r="F7380">
        <v>0</v>
      </c>
      <c r="G7380">
        <v>0</v>
      </c>
      <c r="H7380">
        <v>0</v>
      </c>
      <c r="I7380">
        <v>0</v>
      </c>
      <c r="J7380">
        <v>0</v>
      </c>
      <c r="K7380">
        <v>9340688.8399999999</v>
      </c>
      <c r="L7380">
        <v>9599424.6300000008</v>
      </c>
      <c r="M7380">
        <v>0</v>
      </c>
      <c r="N7380">
        <v>9599424.6300000008</v>
      </c>
      <c r="O7380">
        <v>0</v>
      </c>
      <c r="P7380">
        <v>9599424.6300000008</v>
      </c>
      <c r="Q7380">
        <v>0</v>
      </c>
      <c r="R7380" s="14">
        <f>_xlfn.XLOOKUP(Table2[[#This Row],[LoanID]],Table1[G-L ID],Table1[ManagerCode],-99)</f>
        <v>183</v>
      </c>
      <c r="T7380"/>
    </row>
    <row r="7381" spans="1:20" x14ac:dyDescent="0.25">
      <c r="A7381">
        <v>20180831</v>
      </c>
      <c r="B7381">
        <v>2018</v>
      </c>
      <c r="C7381">
        <v>8</v>
      </c>
      <c r="D7381">
        <v>1</v>
      </c>
      <c r="E7381">
        <v>12180</v>
      </c>
      <c r="F7381">
        <v>255385.71</v>
      </c>
      <c r="G7381">
        <v>0</v>
      </c>
      <c r="H7381">
        <v>0</v>
      </c>
      <c r="I7381">
        <v>0</v>
      </c>
      <c r="J7381">
        <v>0</v>
      </c>
      <c r="K7381">
        <v>0</v>
      </c>
      <c r="L7381">
        <v>30400000</v>
      </c>
      <c r="M7381">
        <v>30400000</v>
      </c>
      <c r="N7381">
        <v>30400000</v>
      </c>
      <c r="O7381">
        <v>30400000</v>
      </c>
      <c r="P7381">
        <v>30393210.870000001</v>
      </c>
      <c r="Q7381">
        <v>30393210.870000001</v>
      </c>
      <c r="R7381" s="14">
        <f>_xlfn.XLOOKUP(Table2[[#This Row],[LoanID]],Table1[G-L ID],Table1[ManagerCode],-99)</f>
        <v>220</v>
      </c>
      <c r="T7381"/>
    </row>
    <row r="7382" spans="1:20" x14ac:dyDescent="0.25">
      <c r="A7382">
        <v>20180831</v>
      </c>
      <c r="B7382">
        <v>2018</v>
      </c>
      <c r="C7382">
        <v>8</v>
      </c>
      <c r="D7382">
        <v>1</v>
      </c>
      <c r="E7382">
        <v>12220</v>
      </c>
      <c r="F7382">
        <v>197146.18</v>
      </c>
      <c r="G7382">
        <v>0</v>
      </c>
      <c r="H7382">
        <v>0</v>
      </c>
      <c r="I7382">
        <v>0</v>
      </c>
      <c r="J7382">
        <v>0</v>
      </c>
      <c r="K7382">
        <v>0</v>
      </c>
      <c r="L7382">
        <v>54500000</v>
      </c>
      <c r="M7382">
        <v>54500000</v>
      </c>
      <c r="N7382">
        <v>27250000</v>
      </c>
      <c r="O7382">
        <v>27250000</v>
      </c>
      <c r="P7382">
        <v>54500000</v>
      </c>
      <c r="Q7382">
        <v>54500000</v>
      </c>
      <c r="R7382" s="14">
        <f>_xlfn.XLOOKUP(Table2[[#This Row],[LoanID]],Table1[G-L ID],Table1[ManagerCode],-99)</f>
        <v>183</v>
      </c>
      <c r="T7382"/>
    </row>
    <row r="7383" spans="1:20" x14ac:dyDescent="0.25">
      <c r="A7383">
        <v>20180831</v>
      </c>
      <c r="B7383">
        <v>2018</v>
      </c>
      <c r="C7383">
        <v>8</v>
      </c>
      <c r="D7383">
        <v>1</v>
      </c>
      <c r="E7383">
        <v>12250</v>
      </c>
      <c r="F7383">
        <v>113201.41</v>
      </c>
      <c r="G7383">
        <v>0</v>
      </c>
      <c r="H7383">
        <v>0</v>
      </c>
      <c r="I7383">
        <v>0</v>
      </c>
      <c r="J7383">
        <v>-279460.15000000002</v>
      </c>
      <c r="K7383">
        <v>0</v>
      </c>
      <c r="L7383">
        <v>12686094.51</v>
      </c>
      <c r="M7383">
        <v>12965554.66</v>
      </c>
      <c r="N7383">
        <v>12686094.51</v>
      </c>
      <c r="O7383">
        <v>12965554.66</v>
      </c>
      <c r="P7383">
        <v>12686094.51</v>
      </c>
      <c r="Q7383">
        <v>12965554.66</v>
      </c>
      <c r="R7383" s="14">
        <f>_xlfn.XLOOKUP(Table2[[#This Row],[LoanID]],Table1[G-L ID],Table1[ManagerCode],-99)</f>
        <v>119</v>
      </c>
      <c r="T7383"/>
    </row>
    <row r="7384" spans="1:20" x14ac:dyDescent="0.25">
      <c r="A7384">
        <v>20180831</v>
      </c>
      <c r="B7384">
        <v>2018</v>
      </c>
      <c r="C7384">
        <v>8</v>
      </c>
      <c r="D7384">
        <v>1</v>
      </c>
      <c r="E7384">
        <v>12260</v>
      </c>
      <c r="F7384">
        <v>118446.95</v>
      </c>
      <c r="G7384">
        <v>0</v>
      </c>
      <c r="H7384">
        <v>0</v>
      </c>
      <c r="I7384">
        <v>0</v>
      </c>
      <c r="J7384">
        <v>-2069697.43</v>
      </c>
      <c r="K7384">
        <v>0</v>
      </c>
      <c r="L7384">
        <v>11470448.4</v>
      </c>
      <c r="M7384">
        <v>13540145.83</v>
      </c>
      <c r="N7384">
        <v>11470448.4</v>
      </c>
      <c r="O7384">
        <v>13540145.83</v>
      </c>
      <c r="P7384">
        <v>11470448.4</v>
      </c>
      <c r="Q7384">
        <v>13540145.83</v>
      </c>
      <c r="R7384" s="14">
        <f>_xlfn.XLOOKUP(Table2[[#This Row],[LoanID]],Table1[G-L ID],Table1[ManagerCode],-99)</f>
        <v>119</v>
      </c>
      <c r="T7384"/>
    </row>
    <row r="7385" spans="1:20" x14ac:dyDescent="0.25">
      <c r="A7385">
        <v>20180831</v>
      </c>
      <c r="B7385">
        <v>2018</v>
      </c>
      <c r="C7385">
        <v>8</v>
      </c>
      <c r="D7385">
        <v>1</v>
      </c>
      <c r="E7385">
        <v>12270</v>
      </c>
      <c r="F7385">
        <v>49778.32</v>
      </c>
      <c r="G7385">
        <v>0</v>
      </c>
      <c r="H7385">
        <v>0</v>
      </c>
      <c r="I7385">
        <v>0</v>
      </c>
      <c r="J7385">
        <v>0</v>
      </c>
      <c r="K7385">
        <v>0</v>
      </c>
      <c r="L7385">
        <v>4786147.21</v>
      </c>
      <c r="M7385">
        <v>4786147.21</v>
      </c>
      <c r="N7385">
        <v>4786147.21</v>
      </c>
      <c r="O7385">
        <v>4786147.21</v>
      </c>
      <c r="P7385">
        <v>4786147.21</v>
      </c>
      <c r="Q7385">
        <v>4786147.21</v>
      </c>
      <c r="R7385" s="14">
        <f>_xlfn.XLOOKUP(Table2[[#This Row],[LoanID]],Table1[G-L ID],Table1[ManagerCode],-99)</f>
        <v>119</v>
      </c>
      <c r="T7385"/>
    </row>
    <row r="7386" spans="1:20" x14ac:dyDescent="0.25">
      <c r="A7386">
        <v>20180831</v>
      </c>
      <c r="B7386">
        <v>2018</v>
      </c>
      <c r="C7386">
        <v>8</v>
      </c>
      <c r="D7386">
        <v>1</v>
      </c>
      <c r="E7386">
        <v>12280</v>
      </c>
      <c r="F7386">
        <v>200873.75</v>
      </c>
      <c r="G7386">
        <v>0</v>
      </c>
      <c r="H7386">
        <v>0</v>
      </c>
      <c r="I7386">
        <v>0</v>
      </c>
      <c r="J7386">
        <v>-1824793.88</v>
      </c>
      <c r="K7386">
        <v>0</v>
      </c>
      <c r="L7386">
        <v>24512543.800000001</v>
      </c>
      <c r="M7386">
        <v>26337337.68</v>
      </c>
      <c r="N7386">
        <v>24512543.800000001</v>
      </c>
      <c r="O7386">
        <v>26337337.68</v>
      </c>
      <c r="P7386">
        <v>24512543.800000001</v>
      </c>
      <c r="Q7386">
        <v>26337337.68</v>
      </c>
      <c r="R7386" s="14">
        <f>_xlfn.XLOOKUP(Table2[[#This Row],[LoanID]],Table1[G-L ID],Table1[ManagerCode],-99)</f>
        <v>119</v>
      </c>
      <c r="T7386"/>
    </row>
    <row r="7387" spans="1:20" x14ac:dyDescent="0.25">
      <c r="A7387">
        <v>20180831</v>
      </c>
      <c r="B7387">
        <v>2018</v>
      </c>
      <c r="C7387">
        <v>8</v>
      </c>
      <c r="D7387">
        <v>1</v>
      </c>
      <c r="E7387">
        <v>12290</v>
      </c>
      <c r="F7387">
        <v>217883.07</v>
      </c>
      <c r="G7387">
        <v>0</v>
      </c>
      <c r="H7387">
        <v>0</v>
      </c>
      <c r="I7387">
        <v>0</v>
      </c>
      <c r="J7387">
        <v>0</v>
      </c>
      <c r="K7387">
        <v>0</v>
      </c>
      <c r="L7387">
        <v>22750000</v>
      </c>
      <c r="M7387">
        <v>22750000</v>
      </c>
      <c r="N7387">
        <v>22750000</v>
      </c>
      <c r="O7387">
        <v>22750000</v>
      </c>
      <c r="P7387">
        <v>22750000</v>
      </c>
      <c r="Q7387">
        <v>22750000</v>
      </c>
      <c r="R7387" s="14">
        <f>_xlfn.XLOOKUP(Table2[[#This Row],[LoanID]],Table1[G-L ID],Table1[ManagerCode],-99)</f>
        <v>119</v>
      </c>
      <c r="T7387"/>
    </row>
    <row r="7388" spans="1:20" x14ac:dyDescent="0.25">
      <c r="A7388">
        <v>20180831</v>
      </c>
      <c r="B7388">
        <v>2018</v>
      </c>
      <c r="C7388">
        <v>8</v>
      </c>
      <c r="D7388">
        <v>1</v>
      </c>
      <c r="E7388">
        <v>12310</v>
      </c>
      <c r="F7388">
        <v>151726.20000000001</v>
      </c>
      <c r="G7388">
        <v>0</v>
      </c>
      <c r="H7388">
        <v>0</v>
      </c>
      <c r="I7388">
        <v>0</v>
      </c>
      <c r="J7388">
        <v>0</v>
      </c>
      <c r="K7388">
        <v>0</v>
      </c>
      <c r="L7388">
        <v>16375000</v>
      </c>
      <c r="M7388">
        <v>16375000</v>
      </c>
      <c r="N7388">
        <v>16375000</v>
      </c>
      <c r="O7388">
        <v>16375000</v>
      </c>
      <c r="P7388">
        <v>16375000</v>
      </c>
      <c r="Q7388">
        <v>16375000</v>
      </c>
      <c r="R7388" s="14">
        <f>_xlfn.XLOOKUP(Table2[[#This Row],[LoanID]],Table1[G-L ID],Table1[ManagerCode],-99)</f>
        <v>119</v>
      </c>
      <c r="T7388"/>
    </row>
    <row r="7389" spans="1:20" x14ac:dyDescent="0.25">
      <c r="A7389">
        <v>20180831</v>
      </c>
      <c r="B7389">
        <v>2018</v>
      </c>
      <c r="C7389">
        <v>8</v>
      </c>
      <c r="D7389">
        <v>1</v>
      </c>
      <c r="E7389">
        <v>12320</v>
      </c>
      <c r="F7389">
        <v>114148.16</v>
      </c>
      <c r="G7389">
        <v>0</v>
      </c>
      <c r="H7389">
        <v>0</v>
      </c>
      <c r="I7389">
        <v>0</v>
      </c>
      <c r="J7389">
        <v>0</v>
      </c>
      <c r="K7389">
        <v>0</v>
      </c>
      <c r="L7389">
        <v>11750000</v>
      </c>
      <c r="M7389">
        <v>11750000</v>
      </c>
      <c r="N7389">
        <v>11750000</v>
      </c>
      <c r="O7389">
        <v>11750000</v>
      </c>
      <c r="P7389">
        <v>11750000</v>
      </c>
      <c r="Q7389">
        <v>11750000</v>
      </c>
      <c r="R7389" s="14">
        <f>_xlfn.XLOOKUP(Table2[[#This Row],[LoanID]],Table1[G-L ID],Table1[ManagerCode],-99)</f>
        <v>119</v>
      </c>
      <c r="T7389"/>
    </row>
    <row r="7390" spans="1:20" x14ac:dyDescent="0.25">
      <c r="A7390">
        <v>20180831</v>
      </c>
      <c r="B7390">
        <v>2018</v>
      </c>
      <c r="C7390">
        <v>8</v>
      </c>
      <c r="D7390">
        <v>1</v>
      </c>
      <c r="E7390">
        <v>12330</v>
      </c>
      <c r="F7390">
        <v>220667.08</v>
      </c>
      <c r="G7390">
        <v>0</v>
      </c>
      <c r="H7390">
        <v>0</v>
      </c>
      <c r="I7390">
        <v>0</v>
      </c>
      <c r="J7390">
        <v>0</v>
      </c>
      <c r="K7390">
        <v>0</v>
      </c>
      <c r="L7390">
        <v>19976500</v>
      </c>
      <c r="M7390">
        <v>19976500</v>
      </c>
      <c r="N7390">
        <v>19976500</v>
      </c>
      <c r="O7390">
        <v>19976500</v>
      </c>
      <c r="P7390">
        <v>19976500</v>
      </c>
      <c r="Q7390">
        <v>19976500</v>
      </c>
      <c r="R7390" s="14">
        <f>_xlfn.XLOOKUP(Table2[[#This Row],[LoanID]],Table1[G-L ID],Table1[ManagerCode],-99)</f>
        <v>119</v>
      </c>
      <c r="T7390"/>
    </row>
    <row r="7391" spans="1:20" x14ac:dyDescent="0.25">
      <c r="A7391">
        <v>20180831</v>
      </c>
      <c r="B7391">
        <v>2018</v>
      </c>
      <c r="C7391">
        <v>8</v>
      </c>
      <c r="D7391">
        <v>1</v>
      </c>
      <c r="E7391">
        <v>12340</v>
      </c>
      <c r="F7391">
        <v>52818.13</v>
      </c>
      <c r="G7391">
        <v>0</v>
      </c>
      <c r="H7391">
        <v>0</v>
      </c>
      <c r="I7391">
        <v>0</v>
      </c>
      <c r="J7391">
        <v>0</v>
      </c>
      <c r="K7391">
        <v>0</v>
      </c>
      <c r="L7391">
        <v>24180000</v>
      </c>
      <c r="M7391">
        <v>24180000</v>
      </c>
      <c r="N7391">
        <v>12180000</v>
      </c>
      <c r="O7391">
        <v>12180000</v>
      </c>
      <c r="P7391">
        <v>24180000</v>
      </c>
      <c r="Q7391">
        <v>24180000</v>
      </c>
      <c r="R7391" s="14">
        <f>_xlfn.XLOOKUP(Table2[[#This Row],[LoanID]],Table1[G-L ID],Table1[ManagerCode],-99)</f>
        <v>183</v>
      </c>
      <c r="T7391"/>
    </row>
    <row r="7392" spans="1:20" x14ac:dyDescent="0.25">
      <c r="A7392">
        <v>20180831</v>
      </c>
      <c r="B7392">
        <v>2018</v>
      </c>
      <c r="C7392">
        <v>8</v>
      </c>
      <c r="D7392">
        <v>1</v>
      </c>
      <c r="E7392">
        <v>12350</v>
      </c>
      <c r="F7392">
        <v>171747.27</v>
      </c>
      <c r="G7392">
        <v>0</v>
      </c>
      <c r="H7392">
        <v>0</v>
      </c>
      <c r="I7392">
        <v>0</v>
      </c>
      <c r="J7392">
        <v>0</v>
      </c>
      <c r="K7392">
        <v>0</v>
      </c>
      <c r="L7392">
        <v>65113224.079999998</v>
      </c>
      <c r="M7392">
        <v>65113224.079999998</v>
      </c>
      <c r="N7392">
        <v>27613224.079999998</v>
      </c>
      <c r="O7392">
        <v>27613224.079999998</v>
      </c>
      <c r="P7392">
        <v>65113224.079999998</v>
      </c>
      <c r="Q7392">
        <v>65113224.079999998</v>
      </c>
      <c r="R7392" s="14">
        <f>_xlfn.XLOOKUP(Table2[[#This Row],[LoanID]],Table1[G-L ID],Table1[ManagerCode],-99)</f>
        <v>183</v>
      </c>
      <c r="T7392"/>
    </row>
    <row r="7393" spans="1:20" x14ac:dyDescent="0.25">
      <c r="A7393">
        <v>20180831</v>
      </c>
      <c r="B7393">
        <v>2018</v>
      </c>
      <c r="C7393">
        <v>8</v>
      </c>
      <c r="D7393">
        <v>1</v>
      </c>
      <c r="E7393">
        <v>12360</v>
      </c>
      <c r="F7393">
        <v>123883.92</v>
      </c>
      <c r="G7393">
        <v>0</v>
      </c>
      <c r="H7393">
        <v>0</v>
      </c>
      <c r="I7393">
        <v>0</v>
      </c>
      <c r="J7393">
        <v>0</v>
      </c>
      <c r="K7393">
        <v>0</v>
      </c>
      <c r="L7393">
        <v>60000000</v>
      </c>
      <c r="M7393">
        <v>60000000</v>
      </c>
      <c r="N7393">
        <v>19000000</v>
      </c>
      <c r="O7393">
        <v>19000000</v>
      </c>
      <c r="P7393">
        <v>60000000</v>
      </c>
      <c r="Q7393">
        <v>60000000</v>
      </c>
      <c r="R7393" s="14">
        <f>_xlfn.XLOOKUP(Table2[[#This Row],[LoanID]],Table1[G-L ID],Table1[ManagerCode],-99)</f>
        <v>183</v>
      </c>
      <c r="T7393"/>
    </row>
    <row r="7394" spans="1:20" x14ac:dyDescent="0.25">
      <c r="A7394">
        <v>20180831</v>
      </c>
      <c r="B7394">
        <v>2018</v>
      </c>
      <c r="C7394">
        <v>8</v>
      </c>
      <c r="D7394">
        <v>1</v>
      </c>
      <c r="E7394">
        <v>12370</v>
      </c>
      <c r="F7394">
        <v>359562.5</v>
      </c>
      <c r="G7394">
        <v>0</v>
      </c>
      <c r="H7394">
        <v>0</v>
      </c>
      <c r="I7394">
        <v>0</v>
      </c>
      <c r="J7394">
        <v>0</v>
      </c>
      <c r="K7394">
        <v>0</v>
      </c>
      <c r="L7394">
        <v>104000000</v>
      </c>
      <c r="M7394">
        <v>104000000</v>
      </c>
      <c r="N7394">
        <v>44000000</v>
      </c>
      <c r="O7394">
        <v>44000000</v>
      </c>
      <c r="P7394">
        <v>104000000</v>
      </c>
      <c r="Q7394">
        <v>104000000</v>
      </c>
      <c r="R7394" s="14">
        <f>_xlfn.XLOOKUP(Table2[[#This Row],[LoanID]],Table1[G-L ID],Table1[ManagerCode],-99)</f>
        <v>183</v>
      </c>
      <c r="T7394"/>
    </row>
    <row r="7395" spans="1:20" x14ac:dyDescent="0.25">
      <c r="A7395">
        <v>20180831</v>
      </c>
      <c r="B7395">
        <v>2018</v>
      </c>
      <c r="C7395">
        <v>8</v>
      </c>
      <c r="D7395">
        <v>1</v>
      </c>
      <c r="E7395">
        <v>12380</v>
      </c>
      <c r="F7395">
        <v>87417.22</v>
      </c>
      <c r="G7395">
        <v>0</v>
      </c>
      <c r="H7395">
        <v>0</v>
      </c>
      <c r="I7395">
        <v>0</v>
      </c>
      <c r="J7395">
        <v>0</v>
      </c>
      <c r="K7395">
        <v>0</v>
      </c>
      <c r="L7395">
        <v>32500000</v>
      </c>
      <c r="M7395">
        <v>32500000</v>
      </c>
      <c r="N7395">
        <v>12350000</v>
      </c>
      <c r="O7395">
        <v>12350000</v>
      </c>
      <c r="P7395">
        <v>32500000</v>
      </c>
      <c r="Q7395">
        <v>32500000</v>
      </c>
      <c r="R7395" s="14">
        <f>_xlfn.XLOOKUP(Table2[[#This Row],[LoanID]],Table1[G-L ID],Table1[ManagerCode],-99)</f>
        <v>183</v>
      </c>
      <c r="T7395"/>
    </row>
    <row r="7396" spans="1:20" x14ac:dyDescent="0.25">
      <c r="A7396">
        <v>20180831</v>
      </c>
      <c r="B7396">
        <v>2018</v>
      </c>
      <c r="C7396">
        <v>8</v>
      </c>
      <c r="D7396">
        <v>1</v>
      </c>
      <c r="E7396">
        <v>12390</v>
      </c>
      <c r="F7396">
        <v>517537.84</v>
      </c>
      <c r="G7396">
        <v>489191.61</v>
      </c>
      <c r="H7396">
        <v>0</v>
      </c>
      <c r="I7396">
        <v>0</v>
      </c>
      <c r="J7396">
        <v>-5388976.2599999998</v>
      </c>
      <c r="K7396">
        <v>0</v>
      </c>
      <c r="L7396">
        <v>72335286.969999999</v>
      </c>
      <c r="M7396">
        <v>78213454.840000004</v>
      </c>
      <c r="N7396">
        <v>72335286.969999999</v>
      </c>
      <c r="O7396">
        <v>78213454.840000004</v>
      </c>
      <c r="P7396">
        <v>72335286.969999999</v>
      </c>
      <c r="Q7396">
        <v>78213454.840000004</v>
      </c>
      <c r="R7396" s="14">
        <f>_xlfn.XLOOKUP(Table2[[#This Row],[LoanID]],Table1[G-L ID],Table1[ManagerCode],-99)</f>
        <v>183</v>
      </c>
      <c r="T7396"/>
    </row>
    <row r="7397" spans="1:20" x14ac:dyDescent="0.25">
      <c r="A7397">
        <v>20180831</v>
      </c>
      <c r="B7397">
        <v>2018</v>
      </c>
      <c r="C7397">
        <v>8</v>
      </c>
      <c r="D7397">
        <v>1</v>
      </c>
      <c r="E7397">
        <v>12400</v>
      </c>
      <c r="F7397">
        <v>95249.69</v>
      </c>
      <c r="G7397">
        <v>107952.03</v>
      </c>
      <c r="H7397">
        <v>0</v>
      </c>
      <c r="I7397">
        <v>0</v>
      </c>
      <c r="J7397">
        <v>-853257.64</v>
      </c>
      <c r="K7397">
        <v>0</v>
      </c>
      <c r="L7397">
        <v>19514882.390000001</v>
      </c>
      <c r="M7397">
        <v>20476092.059999999</v>
      </c>
      <c r="N7397">
        <v>19514882.390000001</v>
      </c>
      <c r="O7397">
        <v>20476092.059999999</v>
      </c>
      <c r="P7397">
        <v>19514882.390000001</v>
      </c>
      <c r="Q7397">
        <v>20476092.059999999</v>
      </c>
      <c r="R7397" s="14">
        <f>_xlfn.XLOOKUP(Table2[[#This Row],[LoanID]],Table1[G-L ID],Table1[ManagerCode],-99)</f>
        <v>183</v>
      </c>
      <c r="T7397"/>
    </row>
    <row r="7398" spans="1:20" x14ac:dyDescent="0.25">
      <c r="A7398">
        <v>20180831</v>
      </c>
      <c r="B7398">
        <v>2018</v>
      </c>
      <c r="C7398">
        <v>8</v>
      </c>
      <c r="D7398">
        <v>1</v>
      </c>
      <c r="E7398">
        <v>12410</v>
      </c>
      <c r="F7398">
        <v>322236.55</v>
      </c>
      <c r="G7398">
        <v>257789.24</v>
      </c>
      <c r="H7398">
        <v>0</v>
      </c>
      <c r="I7398">
        <v>0</v>
      </c>
      <c r="J7398">
        <v>0</v>
      </c>
      <c r="K7398">
        <v>0</v>
      </c>
      <c r="L7398">
        <v>73263963.950000003</v>
      </c>
      <c r="M7398">
        <v>74389134.719999999</v>
      </c>
      <c r="N7398">
        <v>73263963.950000003</v>
      </c>
      <c r="O7398">
        <v>74389134.719999999</v>
      </c>
      <c r="P7398">
        <v>78304352.340000004</v>
      </c>
      <c r="Q7398">
        <v>78562141.579999998</v>
      </c>
      <c r="R7398" s="14">
        <f>_xlfn.XLOOKUP(Table2[[#This Row],[LoanID]],Table1[G-L ID],Table1[ManagerCode],-99)</f>
        <v>103</v>
      </c>
      <c r="T7398"/>
    </row>
    <row r="7399" spans="1:20" x14ac:dyDescent="0.25">
      <c r="A7399">
        <v>20180831</v>
      </c>
      <c r="B7399">
        <v>2018</v>
      </c>
      <c r="C7399">
        <v>8</v>
      </c>
      <c r="D7399">
        <v>1</v>
      </c>
      <c r="E7399">
        <v>12420</v>
      </c>
      <c r="F7399">
        <v>40419.629999999997</v>
      </c>
      <c r="G7399">
        <v>0</v>
      </c>
      <c r="H7399">
        <v>0</v>
      </c>
      <c r="I7399">
        <v>0</v>
      </c>
      <c r="J7399">
        <v>0</v>
      </c>
      <c r="K7399">
        <v>0</v>
      </c>
      <c r="L7399">
        <v>3293821.58</v>
      </c>
      <c r="M7399">
        <v>3293821.58</v>
      </c>
      <c r="N7399">
        <v>3293821.58</v>
      </c>
      <c r="O7399">
        <v>3293821.58</v>
      </c>
      <c r="P7399">
        <v>3293821.58</v>
      </c>
      <c r="Q7399">
        <v>3293821.58</v>
      </c>
      <c r="R7399" s="14">
        <f>_xlfn.XLOOKUP(Table2[[#This Row],[LoanID]],Table1[G-L ID],Table1[ManagerCode],-99)</f>
        <v>103</v>
      </c>
      <c r="T7399"/>
    </row>
    <row r="7400" spans="1:20" x14ac:dyDescent="0.25">
      <c r="A7400">
        <v>20180831</v>
      </c>
      <c r="B7400">
        <v>2018</v>
      </c>
      <c r="C7400">
        <v>8</v>
      </c>
      <c r="D7400">
        <v>1</v>
      </c>
      <c r="E7400">
        <v>12430</v>
      </c>
      <c r="F7400">
        <v>81346.740000000005</v>
      </c>
      <c r="G7400">
        <v>298725.40999999997</v>
      </c>
      <c r="H7400">
        <v>0</v>
      </c>
      <c r="I7400">
        <v>0</v>
      </c>
      <c r="J7400">
        <v>-81346.740000000005</v>
      </c>
      <c r="K7400">
        <v>0</v>
      </c>
      <c r="L7400">
        <v>21928179.609999999</v>
      </c>
      <c r="M7400">
        <v>22237983.93</v>
      </c>
      <c r="N7400">
        <v>21928179.609999999</v>
      </c>
      <c r="O7400">
        <v>22237983.93</v>
      </c>
      <c r="P7400">
        <v>24105296.75</v>
      </c>
      <c r="Q7400">
        <v>24485368.899999999</v>
      </c>
      <c r="R7400" s="14">
        <f>_xlfn.XLOOKUP(Table2[[#This Row],[LoanID]],Table1[G-L ID],Table1[ManagerCode],-99)</f>
        <v>103</v>
      </c>
      <c r="T7400"/>
    </row>
    <row r="7401" spans="1:20" x14ac:dyDescent="0.25">
      <c r="A7401">
        <v>20180831</v>
      </c>
      <c r="B7401">
        <v>2018</v>
      </c>
      <c r="C7401">
        <v>8</v>
      </c>
      <c r="D7401">
        <v>1</v>
      </c>
      <c r="E7401">
        <v>12440</v>
      </c>
      <c r="F7401">
        <v>31849.200000000001</v>
      </c>
      <c r="G7401">
        <v>0</v>
      </c>
      <c r="H7401">
        <v>0</v>
      </c>
      <c r="I7401">
        <v>0</v>
      </c>
      <c r="J7401">
        <v>0</v>
      </c>
      <c r="K7401">
        <v>51517.07</v>
      </c>
      <c r="L7401">
        <v>4324045.87</v>
      </c>
      <c r="M7401">
        <v>4245610.99</v>
      </c>
      <c r="N7401">
        <v>4324045.87</v>
      </c>
      <c r="O7401">
        <v>4245610.99</v>
      </c>
      <c r="P7401">
        <v>3821903.89</v>
      </c>
      <c r="Q7401">
        <v>3770386.82</v>
      </c>
      <c r="R7401" s="14">
        <f>_xlfn.XLOOKUP(Table2[[#This Row],[LoanID]],Table1[G-L ID],Table1[ManagerCode],-99)</f>
        <v>103</v>
      </c>
      <c r="T7401"/>
    </row>
    <row r="7402" spans="1:20" x14ac:dyDescent="0.25">
      <c r="A7402">
        <v>20180831</v>
      </c>
      <c r="B7402">
        <v>2018</v>
      </c>
      <c r="C7402">
        <v>8</v>
      </c>
      <c r="D7402">
        <v>1</v>
      </c>
      <c r="E7402">
        <v>12450</v>
      </c>
      <c r="F7402">
        <v>34206.160000000003</v>
      </c>
      <c r="G7402">
        <v>34332.07</v>
      </c>
      <c r="H7402">
        <v>0</v>
      </c>
      <c r="I7402">
        <v>0</v>
      </c>
      <c r="J7402">
        <v>-518449.61</v>
      </c>
      <c r="K7402">
        <v>0</v>
      </c>
      <c r="L7402">
        <v>6540564.4699999997</v>
      </c>
      <c r="M7402">
        <v>7093346.1500000004</v>
      </c>
      <c r="N7402">
        <v>6540564.4699999997</v>
      </c>
      <c r="O7402">
        <v>7093346.1500000004</v>
      </c>
      <c r="P7402">
        <v>6540564.4699999997</v>
      </c>
      <c r="Q7402">
        <v>7093346.1500000004</v>
      </c>
      <c r="R7402" s="14">
        <f>_xlfn.XLOOKUP(Table2[[#This Row],[LoanID]],Table1[G-L ID],Table1[ManagerCode],-99)</f>
        <v>183</v>
      </c>
      <c r="T7402"/>
    </row>
    <row r="7403" spans="1:20" x14ac:dyDescent="0.25">
      <c r="A7403">
        <v>20180831</v>
      </c>
      <c r="B7403">
        <v>2018</v>
      </c>
      <c r="C7403">
        <v>8</v>
      </c>
      <c r="D7403">
        <v>1</v>
      </c>
      <c r="E7403">
        <v>12460</v>
      </c>
      <c r="F7403">
        <v>42250</v>
      </c>
      <c r="G7403">
        <v>45798.86</v>
      </c>
      <c r="H7403">
        <v>0</v>
      </c>
      <c r="I7403">
        <v>0</v>
      </c>
      <c r="J7403">
        <v>0</v>
      </c>
      <c r="K7403">
        <v>0</v>
      </c>
      <c r="L7403">
        <v>8804885.6600000001</v>
      </c>
      <c r="M7403">
        <v>8850684.5199999996</v>
      </c>
      <c r="N7403">
        <v>8804885.6600000001</v>
      </c>
      <c r="O7403">
        <v>8850684.5199999996</v>
      </c>
      <c r="P7403">
        <v>8804885.6600000001</v>
      </c>
      <c r="Q7403">
        <v>8850684.5199999996</v>
      </c>
      <c r="R7403" s="14">
        <f>_xlfn.XLOOKUP(Table2[[#This Row],[LoanID]],Table1[G-L ID],Table1[ManagerCode],-99)</f>
        <v>183</v>
      </c>
      <c r="T7403"/>
    </row>
    <row r="7404" spans="1:20" x14ac:dyDescent="0.25">
      <c r="A7404">
        <v>20180831</v>
      </c>
      <c r="B7404">
        <v>2018</v>
      </c>
      <c r="C7404">
        <v>8</v>
      </c>
      <c r="D7404">
        <v>1</v>
      </c>
      <c r="E7404">
        <v>12470</v>
      </c>
      <c r="F7404">
        <v>343984.17</v>
      </c>
      <c r="G7404">
        <v>0</v>
      </c>
      <c r="H7404">
        <v>0</v>
      </c>
      <c r="I7404">
        <v>0</v>
      </c>
      <c r="J7404">
        <v>0</v>
      </c>
      <c r="K7404">
        <v>0</v>
      </c>
      <c r="L7404">
        <v>115000000</v>
      </c>
      <c r="M7404">
        <v>115000000</v>
      </c>
      <c r="N7404">
        <v>46000000</v>
      </c>
      <c r="O7404">
        <v>46000000</v>
      </c>
      <c r="P7404">
        <v>115000000</v>
      </c>
      <c r="Q7404">
        <v>115000000</v>
      </c>
      <c r="R7404" s="14">
        <f>_xlfn.XLOOKUP(Table2[[#This Row],[LoanID]],Table1[G-L ID],Table1[ManagerCode],-99)</f>
        <v>183</v>
      </c>
      <c r="T7404"/>
    </row>
    <row r="7405" spans="1:20" x14ac:dyDescent="0.25">
      <c r="A7405">
        <v>20180831</v>
      </c>
      <c r="B7405">
        <v>2018</v>
      </c>
      <c r="C7405">
        <v>8</v>
      </c>
      <c r="D7405">
        <v>1</v>
      </c>
      <c r="E7405">
        <v>12480</v>
      </c>
      <c r="F7405">
        <v>75772.97</v>
      </c>
      <c r="G7405">
        <v>0</v>
      </c>
      <c r="H7405">
        <v>0</v>
      </c>
      <c r="I7405">
        <v>0</v>
      </c>
      <c r="J7405">
        <v>0</v>
      </c>
      <c r="K7405">
        <v>0</v>
      </c>
      <c r="L7405">
        <v>19880000</v>
      </c>
      <c r="M7405">
        <v>19880000</v>
      </c>
      <c r="N7405">
        <v>9380000</v>
      </c>
      <c r="O7405">
        <v>9380000</v>
      </c>
      <c r="P7405">
        <v>19880000</v>
      </c>
      <c r="Q7405">
        <v>19880000</v>
      </c>
      <c r="R7405" s="14">
        <f>_xlfn.XLOOKUP(Table2[[#This Row],[LoanID]],Table1[G-L ID],Table1[ManagerCode],-99)</f>
        <v>183</v>
      </c>
      <c r="T7405"/>
    </row>
    <row r="7406" spans="1:20" x14ac:dyDescent="0.25">
      <c r="A7406">
        <v>20180831</v>
      </c>
      <c r="B7406">
        <v>2018</v>
      </c>
      <c r="C7406">
        <v>8</v>
      </c>
      <c r="D7406">
        <v>1</v>
      </c>
      <c r="E7406">
        <v>12490</v>
      </c>
      <c r="F7406">
        <v>131049.29</v>
      </c>
      <c r="G7406">
        <v>0</v>
      </c>
      <c r="H7406">
        <v>0</v>
      </c>
      <c r="I7406">
        <v>0</v>
      </c>
      <c r="J7406">
        <v>0</v>
      </c>
      <c r="K7406">
        <v>0</v>
      </c>
      <c r="L7406">
        <v>50200000</v>
      </c>
      <c r="M7406">
        <v>50200000</v>
      </c>
      <c r="N7406">
        <v>19600000</v>
      </c>
      <c r="O7406">
        <v>19600000</v>
      </c>
      <c r="P7406">
        <v>50200000</v>
      </c>
      <c r="Q7406">
        <v>50200000</v>
      </c>
      <c r="R7406" s="14">
        <f>_xlfn.XLOOKUP(Table2[[#This Row],[LoanID]],Table1[G-L ID],Table1[ManagerCode],-99)</f>
        <v>183</v>
      </c>
      <c r="T7406"/>
    </row>
    <row r="7407" spans="1:20" x14ac:dyDescent="0.25">
      <c r="A7407">
        <v>20180831</v>
      </c>
      <c r="B7407">
        <v>2018</v>
      </c>
      <c r="C7407">
        <v>8</v>
      </c>
      <c r="D7407">
        <v>1</v>
      </c>
      <c r="E7407">
        <v>12500</v>
      </c>
      <c r="F7407">
        <v>465861.93</v>
      </c>
      <c r="G7407">
        <v>0</v>
      </c>
      <c r="H7407">
        <v>0</v>
      </c>
      <c r="I7407">
        <v>0</v>
      </c>
      <c r="J7407">
        <v>0</v>
      </c>
      <c r="K7407">
        <v>46015000</v>
      </c>
      <c r="L7407">
        <v>115000000</v>
      </c>
      <c r="M7407">
        <v>0</v>
      </c>
      <c r="N7407">
        <v>46015000</v>
      </c>
      <c r="O7407">
        <v>0</v>
      </c>
      <c r="P7407">
        <v>115000000</v>
      </c>
      <c r="Q7407">
        <v>0</v>
      </c>
      <c r="R7407" s="14">
        <f>_xlfn.XLOOKUP(Table2[[#This Row],[LoanID]],Table1[G-L ID],Table1[ManagerCode],-99)</f>
        <v>183</v>
      </c>
      <c r="T7407"/>
    </row>
    <row r="7408" spans="1:20" x14ac:dyDescent="0.25">
      <c r="A7408">
        <v>20180831</v>
      </c>
      <c r="B7408">
        <v>2018</v>
      </c>
      <c r="C7408">
        <v>8</v>
      </c>
      <c r="D7408">
        <v>1</v>
      </c>
      <c r="E7408">
        <v>12510</v>
      </c>
      <c r="F7408">
        <v>323147.71999999997</v>
      </c>
      <c r="G7408">
        <v>0</v>
      </c>
      <c r="H7408">
        <v>0</v>
      </c>
      <c r="I7408">
        <v>0</v>
      </c>
      <c r="J7408">
        <v>0</v>
      </c>
      <c r="K7408">
        <v>0</v>
      </c>
      <c r="L7408">
        <v>131500000</v>
      </c>
      <c r="M7408">
        <v>131500000</v>
      </c>
      <c r="N7408">
        <v>46025000</v>
      </c>
      <c r="O7408">
        <v>46025000</v>
      </c>
      <c r="P7408">
        <v>131500000</v>
      </c>
      <c r="Q7408">
        <v>131500000</v>
      </c>
      <c r="R7408" s="14">
        <f>_xlfn.XLOOKUP(Table2[[#This Row],[LoanID]],Table1[G-L ID],Table1[ManagerCode],-99)</f>
        <v>183</v>
      </c>
      <c r="T7408"/>
    </row>
    <row r="7409" spans="1:20" x14ac:dyDescent="0.25">
      <c r="A7409">
        <v>20180831</v>
      </c>
      <c r="B7409">
        <v>2018</v>
      </c>
      <c r="C7409">
        <v>8</v>
      </c>
      <c r="D7409">
        <v>1</v>
      </c>
      <c r="E7409">
        <v>12520</v>
      </c>
      <c r="F7409">
        <v>170178.8</v>
      </c>
      <c r="G7409">
        <v>0</v>
      </c>
      <c r="H7409">
        <v>0</v>
      </c>
      <c r="I7409">
        <v>0</v>
      </c>
      <c r="J7409">
        <v>-964007.96</v>
      </c>
      <c r="K7409">
        <v>0</v>
      </c>
      <c r="L7409">
        <v>43343598.600000001</v>
      </c>
      <c r="M7409">
        <v>44307606.560000002</v>
      </c>
      <c r="N7409">
        <v>18593598.600000001</v>
      </c>
      <c r="O7409">
        <v>19557606.559999999</v>
      </c>
      <c r="P7409">
        <v>43343598.600000001</v>
      </c>
      <c r="Q7409">
        <v>44307606.560000002</v>
      </c>
      <c r="R7409" s="14">
        <f>_xlfn.XLOOKUP(Table2[[#This Row],[LoanID]],Table1[G-L ID],Table1[ManagerCode],-99)</f>
        <v>183</v>
      </c>
      <c r="T7409"/>
    </row>
    <row r="7410" spans="1:20" x14ac:dyDescent="0.25">
      <c r="A7410">
        <v>20180831</v>
      </c>
      <c r="B7410">
        <v>2018</v>
      </c>
      <c r="C7410">
        <v>8</v>
      </c>
      <c r="D7410">
        <v>1</v>
      </c>
      <c r="E7410">
        <v>12530</v>
      </c>
      <c r="F7410">
        <v>244291.71</v>
      </c>
      <c r="G7410">
        <v>0</v>
      </c>
      <c r="H7410">
        <v>0</v>
      </c>
      <c r="I7410">
        <v>0</v>
      </c>
      <c r="J7410">
        <v>0</v>
      </c>
      <c r="K7410">
        <v>0</v>
      </c>
      <c r="L7410">
        <v>26200000</v>
      </c>
      <c r="M7410">
        <v>26200000</v>
      </c>
      <c r="N7410">
        <v>26200000</v>
      </c>
      <c r="O7410">
        <v>26200000</v>
      </c>
      <c r="P7410">
        <v>26200000</v>
      </c>
      <c r="Q7410">
        <v>26200000</v>
      </c>
      <c r="R7410" s="14">
        <f>_xlfn.XLOOKUP(Table2[[#This Row],[LoanID]],Table1[G-L ID],Table1[ManagerCode],-99)</f>
        <v>119</v>
      </c>
      <c r="T7410"/>
    </row>
    <row r="7411" spans="1:20" x14ac:dyDescent="0.25">
      <c r="A7411">
        <v>20180831</v>
      </c>
      <c r="B7411">
        <v>2018</v>
      </c>
      <c r="C7411">
        <v>8</v>
      </c>
      <c r="D7411">
        <v>1</v>
      </c>
      <c r="E7411">
        <v>12540</v>
      </c>
      <c r="F7411">
        <v>289995.90999999997</v>
      </c>
      <c r="G7411">
        <v>0</v>
      </c>
      <c r="H7411">
        <v>0</v>
      </c>
      <c r="I7411">
        <v>0</v>
      </c>
      <c r="J7411">
        <v>0</v>
      </c>
      <c r="K7411">
        <v>0</v>
      </c>
      <c r="L7411">
        <v>15657141.18</v>
      </c>
      <c r="M7411">
        <v>15657141.18</v>
      </c>
      <c r="N7411">
        <v>15657141.18</v>
      </c>
      <c r="O7411">
        <v>15657141.18</v>
      </c>
      <c r="P7411">
        <v>15657141.18</v>
      </c>
      <c r="Q7411">
        <v>15657141.18</v>
      </c>
      <c r="R7411" s="14">
        <f>_xlfn.XLOOKUP(Table2[[#This Row],[LoanID]],Table1[G-L ID],Table1[ManagerCode],-99)</f>
        <v>119</v>
      </c>
      <c r="T7411"/>
    </row>
    <row r="7412" spans="1:20" x14ac:dyDescent="0.25">
      <c r="A7412">
        <v>20180831</v>
      </c>
      <c r="B7412">
        <v>2018</v>
      </c>
      <c r="C7412">
        <v>8</v>
      </c>
      <c r="D7412">
        <v>1</v>
      </c>
      <c r="E7412">
        <v>12550</v>
      </c>
      <c r="F7412">
        <v>77131.14</v>
      </c>
      <c r="G7412">
        <v>0</v>
      </c>
      <c r="H7412">
        <v>0</v>
      </c>
      <c r="I7412">
        <v>0</v>
      </c>
      <c r="J7412">
        <v>0</v>
      </c>
      <c r="K7412">
        <v>0</v>
      </c>
      <c r="L7412">
        <v>7416099.1500000004</v>
      </c>
      <c r="M7412">
        <v>7416099.1500000004</v>
      </c>
      <c r="N7412">
        <v>7416099.1500000004</v>
      </c>
      <c r="O7412">
        <v>7416099.1500000004</v>
      </c>
      <c r="P7412">
        <v>7416099.1500000004</v>
      </c>
      <c r="Q7412">
        <v>7416099.1500000004</v>
      </c>
      <c r="R7412" s="14">
        <f>_xlfn.XLOOKUP(Table2[[#This Row],[LoanID]],Table1[G-L ID],Table1[ManagerCode],-99)</f>
        <v>119</v>
      </c>
      <c r="T7412"/>
    </row>
    <row r="7413" spans="1:20" x14ac:dyDescent="0.25">
      <c r="A7413">
        <v>20180831</v>
      </c>
      <c r="B7413">
        <v>2018</v>
      </c>
      <c r="C7413">
        <v>8</v>
      </c>
      <c r="D7413">
        <v>1</v>
      </c>
      <c r="E7413">
        <v>12560</v>
      </c>
      <c r="F7413">
        <v>143114.82</v>
      </c>
      <c r="G7413">
        <v>0</v>
      </c>
      <c r="H7413">
        <v>0</v>
      </c>
      <c r="I7413">
        <v>0</v>
      </c>
      <c r="J7413">
        <v>-601854.97</v>
      </c>
      <c r="K7413">
        <v>0</v>
      </c>
      <c r="L7413">
        <v>17000220.149999999</v>
      </c>
      <c r="M7413">
        <v>17602075.120000001</v>
      </c>
      <c r="N7413">
        <v>17000220.149999999</v>
      </c>
      <c r="O7413">
        <v>17602075.120000001</v>
      </c>
      <c r="P7413">
        <v>17000220.149999999</v>
      </c>
      <c r="Q7413">
        <v>17602075.120000001</v>
      </c>
      <c r="R7413" s="14">
        <f>_xlfn.XLOOKUP(Table2[[#This Row],[LoanID]],Table1[G-L ID],Table1[ManagerCode],-99)</f>
        <v>119</v>
      </c>
      <c r="T7413"/>
    </row>
    <row r="7414" spans="1:20" x14ac:dyDescent="0.25">
      <c r="A7414">
        <v>20180831</v>
      </c>
      <c r="B7414">
        <v>2018</v>
      </c>
      <c r="C7414">
        <v>8</v>
      </c>
      <c r="D7414">
        <v>1</v>
      </c>
      <c r="E7414">
        <v>12570</v>
      </c>
      <c r="F7414">
        <v>84162.25</v>
      </c>
      <c r="G7414">
        <v>0</v>
      </c>
      <c r="H7414">
        <v>0</v>
      </c>
      <c r="I7414">
        <v>0</v>
      </c>
      <c r="J7414">
        <v>0</v>
      </c>
      <c r="K7414">
        <v>0</v>
      </c>
      <c r="L7414">
        <v>9615022.3900000006</v>
      </c>
      <c r="M7414">
        <v>9615022.3900000006</v>
      </c>
      <c r="N7414">
        <v>9615022.3900000006</v>
      </c>
      <c r="O7414">
        <v>9615022.3900000006</v>
      </c>
      <c r="P7414">
        <v>9615022.3900000006</v>
      </c>
      <c r="Q7414">
        <v>9615022.3900000006</v>
      </c>
      <c r="R7414" s="14">
        <f>_xlfn.XLOOKUP(Table2[[#This Row],[LoanID]],Table1[G-L ID],Table1[ManagerCode],-99)</f>
        <v>119</v>
      </c>
      <c r="T7414"/>
    </row>
    <row r="7415" spans="1:20" x14ac:dyDescent="0.25">
      <c r="A7415">
        <v>20180831</v>
      </c>
      <c r="B7415">
        <v>2018</v>
      </c>
      <c r="C7415">
        <v>8</v>
      </c>
      <c r="D7415">
        <v>1</v>
      </c>
      <c r="E7415">
        <v>12580</v>
      </c>
      <c r="F7415">
        <v>180792</v>
      </c>
      <c r="G7415">
        <v>0</v>
      </c>
      <c r="H7415">
        <v>0</v>
      </c>
      <c r="I7415">
        <v>0</v>
      </c>
      <c r="J7415">
        <v>0</v>
      </c>
      <c r="K7415">
        <v>0</v>
      </c>
      <c r="L7415">
        <v>18000000</v>
      </c>
      <c r="M7415">
        <v>18000000</v>
      </c>
      <c r="N7415">
        <v>18000000</v>
      </c>
      <c r="O7415">
        <v>18000000</v>
      </c>
      <c r="P7415">
        <v>18000000</v>
      </c>
      <c r="Q7415">
        <v>18000000</v>
      </c>
      <c r="R7415" s="14">
        <f>_xlfn.XLOOKUP(Table2[[#This Row],[LoanID]],Table1[G-L ID],Table1[ManagerCode],-99)</f>
        <v>119</v>
      </c>
      <c r="T7415"/>
    </row>
    <row r="7416" spans="1:20" x14ac:dyDescent="0.25">
      <c r="A7416">
        <v>20180831</v>
      </c>
      <c r="B7416">
        <v>2018</v>
      </c>
      <c r="C7416">
        <v>8</v>
      </c>
      <c r="D7416">
        <v>1</v>
      </c>
      <c r="E7416">
        <v>12590</v>
      </c>
      <c r="F7416">
        <v>82848.789999999994</v>
      </c>
      <c r="G7416">
        <v>0</v>
      </c>
      <c r="H7416">
        <v>0</v>
      </c>
      <c r="I7416">
        <v>0</v>
      </c>
      <c r="J7416">
        <v>0</v>
      </c>
      <c r="K7416">
        <v>0</v>
      </c>
      <c r="L7416">
        <v>8500000</v>
      </c>
      <c r="M7416">
        <v>8500000</v>
      </c>
      <c r="N7416">
        <v>8500000</v>
      </c>
      <c r="O7416">
        <v>8500000</v>
      </c>
      <c r="P7416">
        <v>8500000</v>
      </c>
      <c r="Q7416">
        <v>8500000</v>
      </c>
      <c r="R7416" s="14">
        <f>_xlfn.XLOOKUP(Table2[[#This Row],[LoanID]],Table1[G-L ID],Table1[ManagerCode],-99)</f>
        <v>119</v>
      </c>
      <c r="T7416"/>
    </row>
    <row r="7417" spans="1:20" x14ac:dyDescent="0.25">
      <c r="A7417">
        <v>20180831</v>
      </c>
      <c r="B7417">
        <v>2018</v>
      </c>
      <c r="C7417">
        <v>8</v>
      </c>
      <c r="D7417">
        <v>1</v>
      </c>
      <c r="E7417">
        <v>12600</v>
      </c>
      <c r="F7417">
        <v>247847.58</v>
      </c>
      <c r="G7417">
        <v>0</v>
      </c>
      <c r="H7417">
        <v>0</v>
      </c>
      <c r="I7417">
        <v>0</v>
      </c>
      <c r="J7417">
        <v>0</v>
      </c>
      <c r="K7417">
        <v>0</v>
      </c>
      <c r="L7417">
        <v>27750000</v>
      </c>
      <c r="M7417">
        <v>27750000</v>
      </c>
      <c r="N7417">
        <v>27750000</v>
      </c>
      <c r="O7417">
        <v>27750000</v>
      </c>
      <c r="P7417">
        <v>27750000</v>
      </c>
      <c r="Q7417">
        <v>27750000</v>
      </c>
      <c r="R7417" s="14">
        <f>_xlfn.XLOOKUP(Table2[[#This Row],[LoanID]],Table1[G-L ID],Table1[ManagerCode],-99)</f>
        <v>119</v>
      </c>
      <c r="T7417"/>
    </row>
    <row r="7418" spans="1:20" x14ac:dyDescent="0.25">
      <c r="A7418">
        <v>20180831</v>
      </c>
      <c r="B7418">
        <v>2018</v>
      </c>
      <c r="C7418">
        <v>8</v>
      </c>
      <c r="D7418">
        <v>1</v>
      </c>
      <c r="E7418">
        <v>12610</v>
      </c>
      <c r="F7418">
        <v>78689.72</v>
      </c>
      <c r="G7418">
        <v>0</v>
      </c>
      <c r="H7418">
        <v>0</v>
      </c>
      <c r="I7418">
        <v>0</v>
      </c>
      <c r="J7418">
        <v>-734070.02</v>
      </c>
      <c r="K7418">
        <v>0</v>
      </c>
      <c r="L7418">
        <v>8875000</v>
      </c>
      <c r="M7418">
        <v>9609070.0199999996</v>
      </c>
      <c r="N7418">
        <v>8875000</v>
      </c>
      <c r="O7418">
        <v>9609070.0199999996</v>
      </c>
      <c r="P7418">
        <v>8875000</v>
      </c>
      <c r="Q7418">
        <v>9609070.0199999996</v>
      </c>
      <c r="R7418" s="14">
        <f>_xlfn.XLOOKUP(Table2[[#This Row],[LoanID]],Table1[G-L ID],Table1[ManagerCode],-99)</f>
        <v>119</v>
      </c>
      <c r="T7418"/>
    </row>
    <row r="7419" spans="1:20" x14ac:dyDescent="0.25">
      <c r="A7419">
        <v>20180831</v>
      </c>
      <c r="B7419">
        <v>2018</v>
      </c>
      <c r="C7419">
        <v>8</v>
      </c>
      <c r="D7419">
        <v>1</v>
      </c>
      <c r="E7419">
        <v>12620</v>
      </c>
      <c r="F7419">
        <v>12989.38</v>
      </c>
      <c r="G7419">
        <v>0</v>
      </c>
      <c r="H7419">
        <v>0</v>
      </c>
      <c r="I7419">
        <v>0</v>
      </c>
      <c r="J7419">
        <v>0</v>
      </c>
      <c r="K7419">
        <v>0</v>
      </c>
      <c r="L7419">
        <v>1338222.6100000001</v>
      </c>
      <c r="M7419">
        <v>1338222.6100000001</v>
      </c>
      <c r="N7419">
        <v>1338222.6100000001</v>
      </c>
      <c r="O7419">
        <v>1338222.6100000001</v>
      </c>
      <c r="P7419">
        <v>1338222.6100000001</v>
      </c>
      <c r="Q7419">
        <v>1338222.6100000001</v>
      </c>
      <c r="R7419" s="14">
        <f>_xlfn.XLOOKUP(Table2[[#This Row],[LoanID]],Table1[G-L ID],Table1[ManagerCode],-99)</f>
        <v>119</v>
      </c>
      <c r="T7419"/>
    </row>
    <row r="7420" spans="1:20" x14ac:dyDescent="0.25">
      <c r="A7420">
        <v>20180831</v>
      </c>
      <c r="B7420">
        <v>2018</v>
      </c>
      <c r="C7420">
        <v>8</v>
      </c>
      <c r="D7420">
        <v>1</v>
      </c>
      <c r="E7420">
        <v>12630</v>
      </c>
      <c r="F7420">
        <v>120566.15</v>
      </c>
      <c r="G7420">
        <v>0</v>
      </c>
      <c r="H7420">
        <v>0</v>
      </c>
      <c r="I7420">
        <v>0</v>
      </c>
      <c r="J7420">
        <v>0</v>
      </c>
      <c r="K7420">
        <v>0</v>
      </c>
      <c r="L7420">
        <v>13211200.35</v>
      </c>
      <c r="M7420">
        <v>13211200.35</v>
      </c>
      <c r="N7420">
        <v>13211200.35</v>
      </c>
      <c r="O7420">
        <v>13211200.35</v>
      </c>
      <c r="P7420">
        <v>13211200.35</v>
      </c>
      <c r="Q7420">
        <v>13211200.35</v>
      </c>
      <c r="R7420" s="14">
        <f>_xlfn.XLOOKUP(Table2[[#This Row],[LoanID]],Table1[G-L ID],Table1[ManagerCode],-99)</f>
        <v>119</v>
      </c>
      <c r="T7420"/>
    </row>
    <row r="7421" spans="1:20" x14ac:dyDescent="0.25">
      <c r="A7421">
        <v>20180831</v>
      </c>
      <c r="B7421">
        <v>2018</v>
      </c>
      <c r="C7421">
        <v>8</v>
      </c>
      <c r="D7421">
        <v>1</v>
      </c>
      <c r="E7421">
        <v>12640</v>
      </c>
      <c r="F7421">
        <v>83160.23</v>
      </c>
      <c r="G7421">
        <v>0</v>
      </c>
      <c r="H7421">
        <v>0</v>
      </c>
      <c r="I7421">
        <v>0</v>
      </c>
      <c r="J7421">
        <v>-1460944.89</v>
      </c>
      <c r="K7421">
        <v>0</v>
      </c>
      <c r="L7421">
        <v>8371561.7599999998</v>
      </c>
      <c r="M7421">
        <v>9832506.6500000004</v>
      </c>
      <c r="N7421">
        <v>8371561.7599999998</v>
      </c>
      <c r="O7421">
        <v>9832506.6500000004</v>
      </c>
      <c r="P7421">
        <v>8371561.7599999998</v>
      </c>
      <c r="Q7421">
        <v>9832506.6500000004</v>
      </c>
      <c r="R7421" s="14">
        <f>_xlfn.XLOOKUP(Table2[[#This Row],[LoanID]],Table1[G-L ID],Table1[ManagerCode],-99)</f>
        <v>119</v>
      </c>
      <c r="T7421"/>
    </row>
    <row r="7422" spans="1:20" x14ac:dyDescent="0.25">
      <c r="A7422">
        <v>20180831</v>
      </c>
      <c r="B7422">
        <v>2018</v>
      </c>
      <c r="C7422">
        <v>8</v>
      </c>
      <c r="D7422">
        <v>1</v>
      </c>
      <c r="E7422">
        <v>12650</v>
      </c>
      <c r="F7422">
        <v>338437.1</v>
      </c>
      <c r="G7422">
        <v>0</v>
      </c>
      <c r="H7422">
        <v>0</v>
      </c>
      <c r="I7422">
        <v>0</v>
      </c>
      <c r="J7422">
        <v>-12000000</v>
      </c>
      <c r="K7422">
        <v>0</v>
      </c>
      <c r="L7422">
        <v>111200000</v>
      </c>
      <c r="M7422">
        <v>123200000</v>
      </c>
      <c r="N7422">
        <v>44480000</v>
      </c>
      <c r="O7422">
        <v>56480000</v>
      </c>
      <c r="P7422">
        <v>111200000</v>
      </c>
      <c r="Q7422">
        <v>123200000</v>
      </c>
      <c r="R7422" s="14">
        <f>_xlfn.XLOOKUP(Table2[[#This Row],[LoanID]],Table1[G-L ID],Table1[ManagerCode],-99)</f>
        <v>183</v>
      </c>
      <c r="T7422"/>
    </row>
    <row r="7423" spans="1:20" x14ac:dyDescent="0.25">
      <c r="A7423">
        <v>20180831</v>
      </c>
      <c r="B7423">
        <v>2018</v>
      </c>
      <c r="C7423">
        <v>8</v>
      </c>
      <c r="D7423">
        <v>1</v>
      </c>
      <c r="E7423">
        <v>12660</v>
      </c>
      <c r="F7423">
        <v>114917.48</v>
      </c>
      <c r="G7423">
        <v>0</v>
      </c>
      <c r="H7423">
        <v>0</v>
      </c>
      <c r="I7423">
        <v>0</v>
      </c>
      <c r="J7423">
        <v>0</v>
      </c>
      <c r="K7423">
        <v>0</v>
      </c>
      <c r="L7423">
        <v>47000000</v>
      </c>
      <c r="M7423">
        <v>47000000</v>
      </c>
      <c r="N7423">
        <v>19000000</v>
      </c>
      <c r="O7423">
        <v>19000000</v>
      </c>
      <c r="P7423">
        <v>47000000</v>
      </c>
      <c r="Q7423">
        <v>47000000</v>
      </c>
      <c r="R7423" s="14">
        <f>_xlfn.XLOOKUP(Table2[[#This Row],[LoanID]],Table1[G-L ID],Table1[ManagerCode],-99)</f>
        <v>183</v>
      </c>
      <c r="T7423"/>
    </row>
    <row r="7424" spans="1:20" x14ac:dyDescent="0.25">
      <c r="A7424">
        <v>20180831</v>
      </c>
      <c r="B7424">
        <v>2018</v>
      </c>
      <c r="C7424">
        <v>8</v>
      </c>
      <c r="D7424">
        <v>1</v>
      </c>
      <c r="E7424">
        <v>12670</v>
      </c>
      <c r="F7424">
        <v>58855.76</v>
      </c>
      <c r="G7424">
        <v>0</v>
      </c>
      <c r="H7424">
        <v>0</v>
      </c>
      <c r="I7424">
        <v>0</v>
      </c>
      <c r="J7424">
        <v>0</v>
      </c>
      <c r="K7424">
        <v>0</v>
      </c>
      <c r="L7424">
        <v>15500000</v>
      </c>
      <c r="M7424">
        <v>15500000</v>
      </c>
      <c r="N7424">
        <v>7250000</v>
      </c>
      <c r="O7424">
        <v>7250000</v>
      </c>
      <c r="P7424">
        <v>15500000</v>
      </c>
      <c r="Q7424">
        <v>15500000</v>
      </c>
      <c r="R7424" s="14">
        <f>_xlfn.XLOOKUP(Table2[[#This Row],[LoanID]],Table1[G-L ID],Table1[ManagerCode],-99)</f>
        <v>183</v>
      </c>
      <c r="T7424"/>
    </row>
    <row r="7425" spans="1:20" x14ac:dyDescent="0.25">
      <c r="A7425">
        <v>20180831</v>
      </c>
      <c r="B7425">
        <v>2018</v>
      </c>
      <c r="C7425">
        <v>8</v>
      </c>
      <c r="D7425">
        <v>1</v>
      </c>
      <c r="E7425">
        <v>12680</v>
      </c>
      <c r="F7425">
        <v>151417.78</v>
      </c>
      <c r="G7425">
        <v>0</v>
      </c>
      <c r="H7425">
        <v>0</v>
      </c>
      <c r="I7425">
        <v>0</v>
      </c>
      <c r="J7425">
        <v>0</v>
      </c>
      <c r="K7425">
        <v>0</v>
      </c>
      <c r="L7425">
        <v>16126000</v>
      </c>
      <c r="M7425">
        <v>16126000</v>
      </c>
      <c r="N7425">
        <v>16126000</v>
      </c>
      <c r="O7425">
        <v>16126000</v>
      </c>
      <c r="P7425">
        <v>16126000</v>
      </c>
      <c r="Q7425">
        <v>16126000</v>
      </c>
      <c r="R7425" s="14">
        <f>_xlfn.XLOOKUP(Table2[[#This Row],[LoanID]],Table1[G-L ID],Table1[ManagerCode],-99)</f>
        <v>119</v>
      </c>
      <c r="T7425"/>
    </row>
    <row r="7426" spans="1:20" x14ac:dyDescent="0.25">
      <c r="A7426">
        <v>20180831</v>
      </c>
      <c r="B7426">
        <v>2018</v>
      </c>
      <c r="C7426">
        <v>8</v>
      </c>
      <c r="D7426">
        <v>1</v>
      </c>
      <c r="E7426">
        <v>12690</v>
      </c>
      <c r="F7426">
        <v>95672.34</v>
      </c>
      <c r="G7426">
        <v>0</v>
      </c>
      <c r="H7426">
        <v>0</v>
      </c>
      <c r="I7426">
        <v>0</v>
      </c>
      <c r="J7426">
        <v>0</v>
      </c>
      <c r="K7426">
        <v>0</v>
      </c>
      <c r="L7426">
        <v>10175500</v>
      </c>
      <c r="M7426">
        <v>10175500</v>
      </c>
      <c r="N7426">
        <v>10175500</v>
      </c>
      <c r="O7426">
        <v>10175500</v>
      </c>
      <c r="P7426">
        <v>10175500</v>
      </c>
      <c r="Q7426">
        <v>10175500</v>
      </c>
      <c r="R7426" s="14">
        <f>_xlfn.XLOOKUP(Table2[[#This Row],[LoanID]],Table1[G-L ID],Table1[ManagerCode],-99)</f>
        <v>119</v>
      </c>
      <c r="T7426"/>
    </row>
    <row r="7427" spans="1:20" x14ac:dyDescent="0.25">
      <c r="A7427">
        <v>20180831</v>
      </c>
      <c r="B7427">
        <v>2018</v>
      </c>
      <c r="C7427">
        <v>8</v>
      </c>
      <c r="D7427">
        <v>1</v>
      </c>
      <c r="E7427">
        <v>12700</v>
      </c>
      <c r="F7427">
        <v>224362.5</v>
      </c>
      <c r="G7427">
        <v>0</v>
      </c>
      <c r="H7427">
        <v>0</v>
      </c>
      <c r="I7427">
        <v>0</v>
      </c>
      <c r="J7427">
        <v>0</v>
      </c>
      <c r="K7427">
        <v>0</v>
      </c>
      <c r="L7427">
        <v>25000000</v>
      </c>
      <c r="M7427">
        <v>25000000</v>
      </c>
      <c r="N7427">
        <v>25000000</v>
      </c>
      <c r="O7427">
        <v>25000000</v>
      </c>
      <c r="P7427">
        <v>25000000</v>
      </c>
      <c r="Q7427">
        <v>25000000</v>
      </c>
      <c r="R7427" s="14">
        <f>_xlfn.XLOOKUP(Table2[[#This Row],[LoanID]],Table1[G-L ID],Table1[ManagerCode],-99)</f>
        <v>119</v>
      </c>
      <c r="T7427"/>
    </row>
    <row r="7428" spans="1:20" x14ac:dyDescent="0.25">
      <c r="A7428">
        <v>20180831</v>
      </c>
      <c r="B7428">
        <v>2018</v>
      </c>
      <c r="C7428">
        <v>8</v>
      </c>
      <c r="D7428">
        <v>1</v>
      </c>
      <c r="E7428">
        <v>12710</v>
      </c>
      <c r="F7428">
        <v>91792.98</v>
      </c>
      <c r="G7428">
        <v>0</v>
      </c>
      <c r="H7428">
        <v>0</v>
      </c>
      <c r="I7428">
        <v>0</v>
      </c>
      <c r="J7428">
        <v>0</v>
      </c>
      <c r="K7428">
        <v>0</v>
      </c>
      <c r="L7428">
        <v>9738975</v>
      </c>
      <c r="M7428">
        <v>9738975</v>
      </c>
      <c r="N7428">
        <v>9738975</v>
      </c>
      <c r="O7428">
        <v>9738975</v>
      </c>
      <c r="P7428">
        <v>9738975</v>
      </c>
      <c r="Q7428">
        <v>9738975</v>
      </c>
      <c r="R7428" s="14">
        <f>_xlfn.XLOOKUP(Table2[[#This Row],[LoanID]],Table1[G-L ID],Table1[ManagerCode],-99)</f>
        <v>119</v>
      </c>
      <c r="T7428"/>
    </row>
    <row r="7429" spans="1:20" x14ac:dyDescent="0.25">
      <c r="A7429">
        <v>20180831</v>
      </c>
      <c r="B7429">
        <v>2018</v>
      </c>
      <c r="C7429">
        <v>8</v>
      </c>
      <c r="D7429">
        <v>1</v>
      </c>
      <c r="E7429">
        <v>12720</v>
      </c>
      <c r="F7429">
        <v>521132.72</v>
      </c>
      <c r="G7429">
        <v>0</v>
      </c>
      <c r="H7429">
        <v>0</v>
      </c>
      <c r="I7429">
        <v>0</v>
      </c>
      <c r="J7429">
        <v>0</v>
      </c>
      <c r="K7429">
        <v>0</v>
      </c>
      <c r="L7429">
        <v>192400000</v>
      </c>
      <c r="M7429">
        <v>192400000</v>
      </c>
      <c r="N7429">
        <v>90519000</v>
      </c>
      <c r="O7429">
        <v>90519000</v>
      </c>
      <c r="P7429">
        <v>192400000</v>
      </c>
      <c r="Q7429">
        <v>192400000</v>
      </c>
      <c r="R7429" s="14">
        <f>_xlfn.XLOOKUP(Table2[[#This Row],[LoanID]],Table1[G-L ID],Table1[ManagerCode],-99)</f>
        <v>183</v>
      </c>
      <c r="T7429"/>
    </row>
    <row r="7430" spans="1:20" x14ac:dyDescent="0.25">
      <c r="A7430">
        <v>20180831</v>
      </c>
      <c r="B7430">
        <v>2018</v>
      </c>
      <c r="C7430">
        <v>8</v>
      </c>
      <c r="D7430">
        <v>1</v>
      </c>
      <c r="E7430">
        <v>12730</v>
      </c>
      <c r="F7430">
        <v>80441.740000000005</v>
      </c>
      <c r="G7430">
        <v>0</v>
      </c>
      <c r="H7430">
        <v>0</v>
      </c>
      <c r="I7430">
        <v>0</v>
      </c>
      <c r="J7430">
        <v>0</v>
      </c>
      <c r="K7430">
        <v>0</v>
      </c>
      <c r="L7430">
        <v>38460000</v>
      </c>
      <c r="M7430">
        <v>38460000</v>
      </c>
      <c r="N7430">
        <v>13460000</v>
      </c>
      <c r="O7430">
        <v>13460000</v>
      </c>
      <c r="P7430">
        <v>38460000</v>
      </c>
      <c r="Q7430">
        <v>38460000</v>
      </c>
      <c r="R7430" s="14">
        <f>_xlfn.XLOOKUP(Table2[[#This Row],[LoanID]],Table1[G-L ID],Table1[ManagerCode],-99)</f>
        <v>183</v>
      </c>
      <c r="T7430"/>
    </row>
    <row r="7431" spans="1:20" x14ac:dyDescent="0.25">
      <c r="A7431">
        <v>20180831</v>
      </c>
      <c r="B7431">
        <v>2018</v>
      </c>
      <c r="C7431">
        <v>8</v>
      </c>
      <c r="D7431">
        <v>1</v>
      </c>
      <c r="E7431">
        <v>12740</v>
      </c>
      <c r="F7431">
        <v>88296.08</v>
      </c>
      <c r="G7431">
        <v>65674.899999999994</v>
      </c>
      <c r="H7431">
        <v>0</v>
      </c>
      <c r="I7431">
        <v>0</v>
      </c>
      <c r="J7431">
        <v>-741674.16</v>
      </c>
      <c r="K7431">
        <v>0</v>
      </c>
      <c r="L7431">
        <v>18398108.940000001</v>
      </c>
      <c r="M7431">
        <v>19205458</v>
      </c>
      <c r="N7431">
        <v>18398108.940000001</v>
      </c>
      <c r="O7431">
        <v>19205458</v>
      </c>
      <c r="P7431">
        <v>18398108.940000001</v>
      </c>
      <c r="Q7431">
        <v>19205458</v>
      </c>
      <c r="R7431" s="14">
        <f>_xlfn.XLOOKUP(Table2[[#This Row],[LoanID]],Table1[G-L ID],Table1[ManagerCode],-99)</f>
        <v>183</v>
      </c>
      <c r="T7431"/>
    </row>
    <row r="7432" spans="1:20" x14ac:dyDescent="0.25">
      <c r="A7432">
        <v>20180831</v>
      </c>
      <c r="B7432">
        <v>2018</v>
      </c>
      <c r="C7432">
        <v>8</v>
      </c>
      <c r="D7432">
        <v>1</v>
      </c>
      <c r="E7432">
        <v>12750</v>
      </c>
      <c r="F7432">
        <v>-12731.22</v>
      </c>
      <c r="G7432">
        <v>81748.740000000005</v>
      </c>
      <c r="H7432">
        <v>0</v>
      </c>
      <c r="I7432">
        <v>0</v>
      </c>
      <c r="J7432">
        <v>-781754.17</v>
      </c>
      <c r="K7432">
        <v>431751.46</v>
      </c>
      <c r="L7432">
        <v>24374922.25</v>
      </c>
      <c r="M7432">
        <v>25238425.16</v>
      </c>
      <c r="N7432">
        <v>12139990.82</v>
      </c>
      <c r="O7432">
        <v>12571742.279999999</v>
      </c>
      <c r="P7432">
        <v>24374922.25</v>
      </c>
      <c r="Q7432">
        <v>25238425.16</v>
      </c>
      <c r="R7432" s="14">
        <f>_xlfn.XLOOKUP(Table2[[#This Row],[LoanID]],Table1[G-L ID],Table1[ManagerCode],-99)</f>
        <v>236</v>
      </c>
      <c r="T7432"/>
    </row>
    <row r="7433" spans="1:20" x14ac:dyDescent="0.25">
      <c r="A7433">
        <v>20180831</v>
      </c>
      <c r="B7433">
        <v>2018</v>
      </c>
      <c r="C7433">
        <v>8</v>
      </c>
      <c r="D7433">
        <v>1</v>
      </c>
      <c r="E7433">
        <v>12760</v>
      </c>
      <c r="F7433">
        <v>307171.83</v>
      </c>
      <c r="G7433">
        <v>0</v>
      </c>
      <c r="H7433">
        <v>0</v>
      </c>
      <c r="I7433">
        <v>0</v>
      </c>
      <c r="J7433">
        <v>0</v>
      </c>
      <c r="K7433">
        <v>0</v>
      </c>
      <c r="L7433">
        <v>109908455.5</v>
      </c>
      <c r="M7433">
        <v>109908455.5</v>
      </c>
      <c r="N7433">
        <v>54954227.770000003</v>
      </c>
      <c r="O7433">
        <v>54954227.770000003</v>
      </c>
      <c r="P7433">
        <v>109908455.5</v>
      </c>
      <c r="Q7433">
        <v>109908455.5</v>
      </c>
      <c r="R7433" s="14">
        <f>_xlfn.XLOOKUP(Table2[[#This Row],[LoanID]],Table1[G-L ID],Table1[ManagerCode],-99)</f>
        <v>236</v>
      </c>
      <c r="T7433"/>
    </row>
    <row r="7434" spans="1:20" x14ac:dyDescent="0.25">
      <c r="A7434">
        <v>20180831</v>
      </c>
      <c r="B7434">
        <v>2018</v>
      </c>
      <c r="C7434">
        <v>8</v>
      </c>
      <c r="D7434">
        <v>1</v>
      </c>
      <c r="E7434">
        <v>12930</v>
      </c>
      <c r="F7434">
        <v>173609.88</v>
      </c>
      <c r="G7434">
        <v>0</v>
      </c>
      <c r="H7434">
        <v>0</v>
      </c>
      <c r="I7434">
        <v>0</v>
      </c>
      <c r="J7434">
        <v>0</v>
      </c>
      <c r="K7434">
        <v>0</v>
      </c>
      <c r="L7434">
        <v>19000000</v>
      </c>
      <c r="M7434">
        <v>19000000</v>
      </c>
      <c r="N7434">
        <v>19000000</v>
      </c>
      <c r="O7434">
        <v>19000000</v>
      </c>
      <c r="P7434">
        <v>19000000</v>
      </c>
      <c r="Q7434">
        <v>19000000</v>
      </c>
      <c r="R7434" s="14">
        <f>_xlfn.XLOOKUP(Table2[[#This Row],[LoanID]],Table1[G-L ID],Table1[ManagerCode],-99)</f>
        <v>119</v>
      </c>
      <c r="T7434"/>
    </row>
    <row r="7435" spans="1:20" x14ac:dyDescent="0.25">
      <c r="A7435">
        <v>20180831</v>
      </c>
      <c r="B7435">
        <v>2018</v>
      </c>
      <c r="C7435">
        <v>8</v>
      </c>
      <c r="D7435">
        <v>1</v>
      </c>
      <c r="E7435">
        <v>12940</v>
      </c>
      <c r="F7435">
        <v>172781.52</v>
      </c>
      <c r="G7435">
        <v>0</v>
      </c>
      <c r="H7435">
        <v>0</v>
      </c>
      <c r="I7435">
        <v>0</v>
      </c>
      <c r="J7435">
        <v>0</v>
      </c>
      <c r="K7435">
        <v>0</v>
      </c>
      <c r="L7435">
        <v>19000000</v>
      </c>
      <c r="M7435">
        <v>19000000</v>
      </c>
      <c r="N7435">
        <v>19000000</v>
      </c>
      <c r="O7435">
        <v>19000000</v>
      </c>
      <c r="P7435">
        <v>19000000</v>
      </c>
      <c r="Q7435">
        <v>19000000</v>
      </c>
      <c r="R7435" s="14">
        <f>_xlfn.XLOOKUP(Table2[[#This Row],[LoanID]],Table1[G-L ID],Table1[ManagerCode],-99)</f>
        <v>119</v>
      </c>
      <c r="T7435"/>
    </row>
    <row r="7436" spans="1:20" x14ac:dyDescent="0.25">
      <c r="A7436">
        <v>20180831</v>
      </c>
      <c r="B7436">
        <v>2018</v>
      </c>
      <c r="C7436">
        <v>8</v>
      </c>
      <c r="D7436">
        <v>1</v>
      </c>
      <c r="E7436">
        <v>12950</v>
      </c>
      <c r="F7436">
        <v>233826</v>
      </c>
      <c r="G7436">
        <v>0</v>
      </c>
      <c r="H7436">
        <v>0</v>
      </c>
      <c r="I7436">
        <v>0</v>
      </c>
      <c r="J7436">
        <v>0</v>
      </c>
      <c r="K7436">
        <v>0</v>
      </c>
      <c r="L7436">
        <v>26732750</v>
      </c>
      <c r="M7436">
        <v>26732750</v>
      </c>
      <c r="N7436">
        <v>26732750</v>
      </c>
      <c r="O7436">
        <v>26732750</v>
      </c>
      <c r="P7436">
        <v>26732750</v>
      </c>
      <c r="Q7436">
        <v>26732750</v>
      </c>
      <c r="R7436" s="14">
        <f>_xlfn.XLOOKUP(Table2[[#This Row],[LoanID]],Table1[G-L ID],Table1[ManagerCode],-99)</f>
        <v>119</v>
      </c>
      <c r="T7436"/>
    </row>
    <row r="7437" spans="1:20" x14ac:dyDescent="0.25">
      <c r="A7437">
        <v>20180831</v>
      </c>
      <c r="B7437">
        <v>2018</v>
      </c>
      <c r="C7437">
        <v>8</v>
      </c>
      <c r="D7437">
        <v>1</v>
      </c>
      <c r="E7437">
        <v>12960</v>
      </c>
      <c r="F7437">
        <v>77717.25</v>
      </c>
      <c r="G7437">
        <v>0</v>
      </c>
      <c r="H7437">
        <v>0</v>
      </c>
      <c r="I7437">
        <v>0</v>
      </c>
      <c r="J7437">
        <v>0</v>
      </c>
      <c r="K7437">
        <v>0</v>
      </c>
      <c r="L7437">
        <v>8850000</v>
      </c>
      <c r="M7437">
        <v>8850000</v>
      </c>
      <c r="N7437">
        <v>8850000</v>
      </c>
      <c r="O7437">
        <v>8850000</v>
      </c>
      <c r="P7437">
        <v>8850000</v>
      </c>
      <c r="Q7437">
        <v>8850000</v>
      </c>
      <c r="R7437" s="14">
        <f>_xlfn.XLOOKUP(Table2[[#This Row],[LoanID]],Table1[G-L ID],Table1[ManagerCode],-99)</f>
        <v>119</v>
      </c>
      <c r="T7437"/>
    </row>
    <row r="7438" spans="1:20" x14ac:dyDescent="0.25">
      <c r="A7438">
        <v>20180831</v>
      </c>
      <c r="B7438">
        <v>2018</v>
      </c>
      <c r="C7438">
        <v>8</v>
      </c>
      <c r="D7438">
        <v>1</v>
      </c>
      <c r="E7438">
        <v>12970</v>
      </c>
      <c r="F7438">
        <v>91606.77</v>
      </c>
      <c r="G7438">
        <v>0</v>
      </c>
      <c r="H7438">
        <v>0</v>
      </c>
      <c r="I7438">
        <v>0</v>
      </c>
      <c r="J7438">
        <v>0</v>
      </c>
      <c r="K7438">
        <v>0</v>
      </c>
      <c r="L7438">
        <v>10007439.51</v>
      </c>
      <c r="M7438">
        <v>10007439.51</v>
      </c>
      <c r="N7438">
        <v>10007439.51</v>
      </c>
      <c r="O7438">
        <v>10007439.51</v>
      </c>
      <c r="P7438">
        <v>10007439.51</v>
      </c>
      <c r="Q7438">
        <v>10007439.51</v>
      </c>
      <c r="R7438" s="14">
        <f>_xlfn.XLOOKUP(Table2[[#This Row],[LoanID]],Table1[G-L ID],Table1[ManagerCode],-99)</f>
        <v>119</v>
      </c>
      <c r="T7438"/>
    </row>
    <row r="7439" spans="1:20" x14ac:dyDescent="0.25">
      <c r="A7439">
        <v>20180831</v>
      </c>
      <c r="B7439">
        <v>2018</v>
      </c>
      <c r="C7439">
        <v>8</v>
      </c>
      <c r="D7439">
        <v>1</v>
      </c>
      <c r="E7439">
        <v>12980</v>
      </c>
      <c r="F7439">
        <v>116985.76</v>
      </c>
      <c r="G7439">
        <v>0</v>
      </c>
      <c r="H7439">
        <v>0</v>
      </c>
      <c r="I7439">
        <v>0</v>
      </c>
      <c r="J7439">
        <v>0</v>
      </c>
      <c r="K7439">
        <v>0</v>
      </c>
      <c r="L7439">
        <v>13750000</v>
      </c>
      <c r="M7439">
        <v>13750000</v>
      </c>
      <c r="N7439">
        <v>13750000</v>
      </c>
      <c r="O7439">
        <v>13750000</v>
      </c>
      <c r="P7439">
        <v>13750000</v>
      </c>
      <c r="Q7439">
        <v>13750000</v>
      </c>
      <c r="R7439" s="14">
        <f>_xlfn.XLOOKUP(Table2[[#This Row],[LoanID]],Table1[G-L ID],Table1[ManagerCode],-99)</f>
        <v>119</v>
      </c>
      <c r="T7439"/>
    </row>
    <row r="7440" spans="1:20" x14ac:dyDescent="0.25">
      <c r="A7440">
        <v>20180831</v>
      </c>
      <c r="B7440">
        <v>2018</v>
      </c>
      <c r="C7440">
        <v>8</v>
      </c>
      <c r="D7440">
        <v>1</v>
      </c>
      <c r="E7440">
        <v>12990</v>
      </c>
      <c r="F7440">
        <v>272862.77</v>
      </c>
      <c r="G7440">
        <v>0</v>
      </c>
      <c r="H7440">
        <v>0</v>
      </c>
      <c r="I7440">
        <v>0</v>
      </c>
      <c r="J7440">
        <v>0</v>
      </c>
      <c r="K7440">
        <v>0</v>
      </c>
      <c r="L7440">
        <v>29025000</v>
      </c>
      <c r="M7440">
        <v>29025000</v>
      </c>
      <c r="N7440">
        <v>29025000</v>
      </c>
      <c r="O7440">
        <v>29025000</v>
      </c>
      <c r="P7440">
        <v>29025000</v>
      </c>
      <c r="Q7440">
        <v>29025000</v>
      </c>
      <c r="R7440" s="14">
        <f>_xlfn.XLOOKUP(Table2[[#This Row],[LoanID]],Table1[G-L ID],Table1[ManagerCode],-99)</f>
        <v>119</v>
      </c>
      <c r="T7440"/>
    </row>
    <row r="7441" spans="1:20" x14ac:dyDescent="0.25">
      <c r="A7441">
        <v>20180831</v>
      </c>
      <c r="B7441">
        <v>2018</v>
      </c>
      <c r="C7441">
        <v>8</v>
      </c>
      <c r="D7441">
        <v>1</v>
      </c>
      <c r="E7441">
        <v>13000</v>
      </c>
      <c r="F7441">
        <v>122552.72</v>
      </c>
      <c r="G7441">
        <v>0</v>
      </c>
      <c r="H7441">
        <v>0</v>
      </c>
      <c r="I7441">
        <v>0</v>
      </c>
      <c r="J7441">
        <v>-122552.72</v>
      </c>
      <c r="K7441">
        <v>0</v>
      </c>
      <c r="L7441">
        <v>38510847.159999996</v>
      </c>
      <c r="M7441">
        <v>38631608.25</v>
      </c>
      <c r="N7441">
        <v>38510847.159999996</v>
      </c>
      <c r="O7441">
        <v>38631608.25</v>
      </c>
      <c r="P7441">
        <v>39082199.460000001</v>
      </c>
      <c r="Q7441">
        <v>39204752.18</v>
      </c>
      <c r="R7441" s="14">
        <f>_xlfn.XLOOKUP(Table2[[#This Row],[LoanID]],Table1[G-L ID],Table1[ManagerCode],-99)</f>
        <v>103</v>
      </c>
      <c r="T7441"/>
    </row>
    <row r="7442" spans="1:20" x14ac:dyDescent="0.25">
      <c r="A7442">
        <v>20180831</v>
      </c>
      <c r="B7442">
        <v>2018</v>
      </c>
      <c r="C7442">
        <v>8</v>
      </c>
      <c r="D7442">
        <v>1</v>
      </c>
      <c r="E7442">
        <v>13010</v>
      </c>
      <c r="F7442">
        <v>1400000</v>
      </c>
      <c r="G7442">
        <v>0</v>
      </c>
      <c r="H7442">
        <v>0</v>
      </c>
      <c r="I7442">
        <v>0</v>
      </c>
      <c r="J7442">
        <v>0</v>
      </c>
      <c r="K7442">
        <v>0</v>
      </c>
      <c r="L7442">
        <v>197858495</v>
      </c>
      <c r="M7442">
        <v>199500000</v>
      </c>
      <c r="N7442">
        <v>197858495</v>
      </c>
      <c r="O7442">
        <v>199500000</v>
      </c>
      <c r="P7442">
        <v>210000000</v>
      </c>
      <c r="Q7442">
        <v>210000000</v>
      </c>
      <c r="R7442" s="14">
        <f>_xlfn.XLOOKUP(Table2[[#This Row],[LoanID]],Table1[G-L ID],Table1[ManagerCode],-99)</f>
        <v>103</v>
      </c>
      <c r="T7442"/>
    </row>
    <row r="7443" spans="1:20" x14ac:dyDescent="0.25">
      <c r="A7443">
        <v>20180831</v>
      </c>
      <c r="B7443">
        <v>2018</v>
      </c>
      <c r="C7443">
        <v>8</v>
      </c>
      <c r="D7443">
        <v>1</v>
      </c>
      <c r="E7443">
        <v>13020</v>
      </c>
      <c r="F7443">
        <v>199069.38</v>
      </c>
      <c r="G7443">
        <v>0</v>
      </c>
      <c r="H7443">
        <v>0</v>
      </c>
      <c r="I7443">
        <v>0</v>
      </c>
      <c r="J7443">
        <v>-199069.38</v>
      </c>
      <c r="K7443">
        <v>0</v>
      </c>
      <c r="L7443">
        <v>19264778.5</v>
      </c>
      <c r="M7443">
        <v>19463847.879999999</v>
      </c>
      <c r="N7443">
        <v>19264778.5</v>
      </c>
      <c r="O7443">
        <v>19463847.879999999</v>
      </c>
      <c r="P7443">
        <v>19264778.5</v>
      </c>
      <c r="Q7443">
        <v>19463847.879999999</v>
      </c>
      <c r="R7443" s="14">
        <f>_xlfn.XLOOKUP(Table2[[#This Row],[LoanID]],Table1[G-L ID],Table1[ManagerCode],-99)</f>
        <v>103</v>
      </c>
      <c r="T7443"/>
    </row>
    <row r="7444" spans="1:20" x14ac:dyDescent="0.25">
      <c r="A7444">
        <v>20180831</v>
      </c>
      <c r="B7444">
        <v>2018</v>
      </c>
      <c r="C7444">
        <v>8</v>
      </c>
      <c r="D7444">
        <v>1</v>
      </c>
      <c r="E7444">
        <v>13030</v>
      </c>
      <c r="F7444">
        <v>362974.11</v>
      </c>
      <c r="G7444">
        <v>0</v>
      </c>
      <c r="H7444">
        <v>845000</v>
      </c>
      <c r="I7444">
        <v>0</v>
      </c>
      <c r="J7444">
        <v>-114000000</v>
      </c>
      <c r="K7444">
        <v>62723424</v>
      </c>
      <c r="L7444">
        <v>0</v>
      </c>
      <c r="M7444">
        <v>114000000</v>
      </c>
      <c r="N7444">
        <v>0</v>
      </c>
      <c r="O7444">
        <v>51276576</v>
      </c>
      <c r="P7444">
        <v>0</v>
      </c>
      <c r="Q7444">
        <v>114000000</v>
      </c>
      <c r="R7444" s="14">
        <f>_xlfn.XLOOKUP(Table2[[#This Row],[LoanID]],Table1[G-L ID],Table1[ManagerCode],-99)</f>
        <v>183</v>
      </c>
      <c r="T7444"/>
    </row>
    <row r="7445" spans="1:20" x14ac:dyDescent="0.25">
      <c r="A7445">
        <v>20180831</v>
      </c>
      <c r="B7445">
        <v>2018</v>
      </c>
      <c r="C7445">
        <v>8</v>
      </c>
      <c r="D7445">
        <v>1</v>
      </c>
      <c r="E7445">
        <v>13040</v>
      </c>
      <c r="F7445">
        <v>45833.14</v>
      </c>
      <c r="G7445">
        <v>0</v>
      </c>
      <c r="H7445">
        <v>375625</v>
      </c>
      <c r="I7445">
        <v>0</v>
      </c>
      <c r="J7445">
        <v>-33862500</v>
      </c>
      <c r="K7445">
        <v>20172387</v>
      </c>
      <c r="L7445">
        <v>0</v>
      </c>
      <c r="M7445">
        <v>33862500</v>
      </c>
      <c r="N7445">
        <v>0</v>
      </c>
      <c r="O7445">
        <v>13690113</v>
      </c>
      <c r="P7445">
        <v>0</v>
      </c>
      <c r="Q7445">
        <v>33862500</v>
      </c>
      <c r="R7445" s="14">
        <f>_xlfn.XLOOKUP(Table2[[#This Row],[LoanID]],Table1[G-L ID],Table1[ManagerCode],-99)</f>
        <v>183</v>
      </c>
      <c r="T7445"/>
    </row>
    <row r="7446" spans="1:20" x14ac:dyDescent="0.25">
      <c r="A7446">
        <v>20180831</v>
      </c>
      <c r="B7446">
        <v>2018</v>
      </c>
      <c r="C7446">
        <v>8</v>
      </c>
      <c r="D7446">
        <v>1</v>
      </c>
      <c r="E7446">
        <v>13050</v>
      </c>
      <c r="F7446">
        <v>0</v>
      </c>
      <c r="G7446">
        <v>0</v>
      </c>
      <c r="H7446">
        <v>319312.5</v>
      </c>
      <c r="I7446">
        <v>0</v>
      </c>
      <c r="J7446">
        <v>-42575000</v>
      </c>
      <c r="K7446">
        <v>27673576</v>
      </c>
      <c r="L7446">
        <v>0</v>
      </c>
      <c r="M7446">
        <v>42575000</v>
      </c>
      <c r="N7446">
        <v>0</v>
      </c>
      <c r="O7446">
        <v>14901424</v>
      </c>
      <c r="P7446">
        <v>0</v>
      </c>
      <c r="Q7446">
        <v>42575000</v>
      </c>
      <c r="R7446" s="14">
        <f>_xlfn.XLOOKUP(Table2[[#This Row],[LoanID]],Table1[G-L ID],Table1[ManagerCode],-99)</f>
        <v>183</v>
      </c>
      <c r="T7446"/>
    </row>
    <row r="7447" spans="1:20" x14ac:dyDescent="0.25">
      <c r="A7447">
        <v>20180831</v>
      </c>
      <c r="B7447">
        <v>2018</v>
      </c>
      <c r="C7447">
        <v>8</v>
      </c>
      <c r="D7447">
        <v>1</v>
      </c>
      <c r="E7447">
        <v>13060</v>
      </c>
      <c r="F7447">
        <v>0</v>
      </c>
      <c r="G7447">
        <v>0</v>
      </c>
      <c r="H7447">
        <v>544950</v>
      </c>
      <c r="I7447">
        <v>0</v>
      </c>
      <c r="J7447">
        <v>-42730506.350000001</v>
      </c>
      <c r="K7447">
        <v>25601562</v>
      </c>
      <c r="L7447">
        <v>0</v>
      </c>
      <c r="M7447">
        <v>42730506.350000001</v>
      </c>
      <c r="N7447">
        <v>0</v>
      </c>
      <c r="O7447">
        <v>17128944.350000001</v>
      </c>
      <c r="P7447">
        <v>0</v>
      </c>
      <c r="Q7447">
        <v>42730506.350000001</v>
      </c>
      <c r="R7447" s="14">
        <f>_xlfn.XLOOKUP(Table2[[#This Row],[LoanID]],Table1[G-L ID],Table1[ManagerCode],-99)</f>
        <v>183</v>
      </c>
      <c r="T7447"/>
    </row>
    <row r="7448" spans="1:20" x14ac:dyDescent="0.25">
      <c r="A7448">
        <v>20180831</v>
      </c>
      <c r="B7448">
        <v>2018</v>
      </c>
      <c r="C7448">
        <v>8</v>
      </c>
      <c r="D7448">
        <v>1</v>
      </c>
      <c r="E7448">
        <v>13570</v>
      </c>
      <c r="F7448">
        <v>367649.32</v>
      </c>
      <c r="G7448">
        <v>0</v>
      </c>
      <c r="H7448">
        <v>0</v>
      </c>
      <c r="I7448">
        <v>0</v>
      </c>
      <c r="J7448">
        <v>0</v>
      </c>
      <c r="K7448">
        <v>0</v>
      </c>
      <c r="L7448">
        <v>45330706.210000001</v>
      </c>
      <c r="M7448">
        <v>45361925.32</v>
      </c>
      <c r="N7448">
        <v>45330706.210000001</v>
      </c>
      <c r="O7448">
        <v>45361925.32</v>
      </c>
      <c r="P7448">
        <v>45800000</v>
      </c>
      <c r="Q7448">
        <v>45800000</v>
      </c>
      <c r="R7448" s="14">
        <f>_xlfn.XLOOKUP(Table2[[#This Row],[LoanID]],Table1[G-L ID],Table1[ManagerCode],-99)</f>
        <v>298</v>
      </c>
      <c r="T7448"/>
    </row>
    <row r="7449" spans="1:20" x14ac:dyDescent="0.25">
      <c r="A7449">
        <v>20180831</v>
      </c>
      <c r="B7449">
        <v>2018</v>
      </c>
      <c r="C7449">
        <v>8</v>
      </c>
      <c r="D7449">
        <v>1</v>
      </c>
      <c r="E7449">
        <v>13580</v>
      </c>
      <c r="F7449">
        <v>429479.17</v>
      </c>
      <c r="G7449">
        <v>0</v>
      </c>
      <c r="H7449">
        <v>0</v>
      </c>
      <c r="I7449">
        <v>0</v>
      </c>
      <c r="J7449">
        <v>0</v>
      </c>
      <c r="K7449">
        <v>0</v>
      </c>
      <c r="L7449">
        <v>63898618.469999999</v>
      </c>
      <c r="M7449">
        <v>63971529.659999996</v>
      </c>
      <c r="N7449">
        <v>63898618.469999999</v>
      </c>
      <c r="O7449">
        <v>63971529.659999996</v>
      </c>
      <c r="P7449">
        <v>66500000</v>
      </c>
      <c r="Q7449">
        <v>66500000</v>
      </c>
      <c r="R7449" s="14">
        <f>_xlfn.XLOOKUP(Table2[[#This Row],[LoanID]],Table1[G-L ID],Table1[ManagerCode],-99)</f>
        <v>298</v>
      </c>
      <c r="T7449"/>
    </row>
    <row r="7450" spans="1:20" x14ac:dyDescent="0.25">
      <c r="A7450">
        <v>20180831</v>
      </c>
      <c r="B7450">
        <v>2018</v>
      </c>
      <c r="C7450">
        <v>8</v>
      </c>
      <c r="D7450">
        <v>1</v>
      </c>
      <c r="E7450">
        <v>13590</v>
      </c>
      <c r="F7450">
        <v>295257.77</v>
      </c>
      <c r="G7450">
        <v>0</v>
      </c>
      <c r="H7450">
        <v>0</v>
      </c>
      <c r="I7450">
        <v>0</v>
      </c>
      <c r="J7450">
        <v>0</v>
      </c>
      <c r="K7450">
        <v>0</v>
      </c>
      <c r="L7450">
        <v>40000000</v>
      </c>
      <c r="M7450">
        <v>40000000</v>
      </c>
      <c r="N7450">
        <v>40000000</v>
      </c>
      <c r="O7450">
        <v>40000000</v>
      </c>
      <c r="P7450">
        <v>40000000</v>
      </c>
      <c r="Q7450">
        <v>40000000</v>
      </c>
      <c r="R7450" s="14">
        <f>_xlfn.XLOOKUP(Table2[[#This Row],[LoanID]],Table1[G-L ID],Table1[ManagerCode],-99)</f>
        <v>298</v>
      </c>
      <c r="T7450"/>
    </row>
    <row r="7451" spans="1:20" x14ac:dyDescent="0.25">
      <c r="A7451">
        <v>20180831</v>
      </c>
      <c r="B7451">
        <v>2018</v>
      </c>
      <c r="C7451">
        <v>8</v>
      </c>
      <c r="D7451">
        <v>1</v>
      </c>
      <c r="E7451">
        <v>13600</v>
      </c>
      <c r="F7451">
        <v>379029.03</v>
      </c>
      <c r="G7451">
        <v>0</v>
      </c>
      <c r="H7451">
        <v>0</v>
      </c>
      <c r="I7451">
        <v>0</v>
      </c>
      <c r="J7451">
        <v>0</v>
      </c>
      <c r="K7451">
        <v>0</v>
      </c>
      <c r="L7451">
        <v>45970000</v>
      </c>
      <c r="M7451">
        <v>45970000</v>
      </c>
      <c r="N7451">
        <v>45970000</v>
      </c>
      <c r="O7451">
        <v>45970000</v>
      </c>
      <c r="P7451">
        <v>45970000</v>
      </c>
      <c r="Q7451">
        <v>45970000</v>
      </c>
      <c r="R7451" s="14">
        <f>_xlfn.XLOOKUP(Table2[[#This Row],[LoanID]],Table1[G-L ID],Table1[ManagerCode],-99)</f>
        <v>298</v>
      </c>
      <c r="T7451"/>
    </row>
    <row r="7452" spans="1:20" x14ac:dyDescent="0.25">
      <c r="A7452">
        <v>20180831</v>
      </c>
      <c r="B7452">
        <v>2018</v>
      </c>
      <c r="C7452">
        <v>8</v>
      </c>
      <c r="D7452">
        <v>1</v>
      </c>
      <c r="E7452">
        <v>13610</v>
      </c>
      <c r="F7452">
        <v>63291.67</v>
      </c>
      <c r="G7452">
        <v>0</v>
      </c>
      <c r="H7452">
        <v>0</v>
      </c>
      <c r="I7452">
        <v>0</v>
      </c>
      <c r="J7452">
        <v>0</v>
      </c>
      <c r="K7452">
        <v>0</v>
      </c>
      <c r="L7452">
        <v>10549064</v>
      </c>
      <c r="M7452">
        <v>10549064</v>
      </c>
      <c r="N7452">
        <v>10549064</v>
      </c>
      <c r="O7452">
        <v>10549064</v>
      </c>
      <c r="P7452">
        <v>10500000</v>
      </c>
      <c r="Q7452">
        <v>10500000</v>
      </c>
      <c r="R7452" s="14">
        <f>_xlfn.XLOOKUP(Table2[[#This Row],[LoanID]],Table1[G-L ID],Table1[ManagerCode],-99)</f>
        <v>298</v>
      </c>
      <c r="T7452"/>
    </row>
    <row r="7453" spans="1:20" x14ac:dyDescent="0.25">
      <c r="A7453">
        <v>20180831</v>
      </c>
      <c r="B7453">
        <v>2018</v>
      </c>
      <c r="C7453">
        <v>8</v>
      </c>
      <c r="D7453">
        <v>1</v>
      </c>
      <c r="E7453">
        <v>13620</v>
      </c>
      <c r="F7453">
        <v>354002.78</v>
      </c>
      <c r="G7453">
        <v>0</v>
      </c>
      <c r="H7453">
        <v>0</v>
      </c>
      <c r="I7453">
        <v>0</v>
      </c>
      <c r="J7453">
        <v>0</v>
      </c>
      <c r="K7453">
        <v>0</v>
      </c>
      <c r="L7453">
        <v>49919787</v>
      </c>
      <c r="M7453">
        <v>49919787</v>
      </c>
      <c r="N7453">
        <v>49919787</v>
      </c>
      <c r="O7453">
        <v>49919787</v>
      </c>
      <c r="P7453">
        <v>50000000</v>
      </c>
      <c r="Q7453">
        <v>50000000</v>
      </c>
      <c r="R7453" s="14">
        <f>_xlfn.XLOOKUP(Table2[[#This Row],[LoanID]],Table1[G-L ID],Table1[ManagerCode],-99)</f>
        <v>298</v>
      </c>
      <c r="T7453"/>
    </row>
    <row r="7454" spans="1:20" x14ac:dyDescent="0.25">
      <c r="A7454">
        <v>20180831</v>
      </c>
      <c r="B7454">
        <v>2018</v>
      </c>
      <c r="C7454">
        <v>8</v>
      </c>
      <c r="D7454">
        <v>1</v>
      </c>
      <c r="E7454">
        <v>13630</v>
      </c>
      <c r="F7454">
        <v>218506.94</v>
      </c>
      <c r="G7454">
        <v>0</v>
      </c>
      <c r="H7454">
        <v>0</v>
      </c>
      <c r="I7454">
        <v>0</v>
      </c>
      <c r="J7454">
        <v>0</v>
      </c>
      <c r="K7454">
        <v>0</v>
      </c>
      <c r="L7454">
        <v>35537284.43</v>
      </c>
      <c r="M7454">
        <v>35537284.43</v>
      </c>
      <c r="N7454">
        <v>35537284.43</v>
      </c>
      <c r="O7454">
        <v>35537284.43</v>
      </c>
      <c r="P7454">
        <v>35000000</v>
      </c>
      <c r="Q7454">
        <v>35000000</v>
      </c>
      <c r="R7454" s="14">
        <f>_xlfn.XLOOKUP(Table2[[#This Row],[LoanID]],Table1[G-L ID],Table1[ManagerCode],-99)</f>
        <v>298</v>
      </c>
      <c r="T7454"/>
    </row>
    <row r="7455" spans="1:20" x14ac:dyDescent="0.25">
      <c r="A7455">
        <v>20180831</v>
      </c>
      <c r="B7455">
        <v>2018</v>
      </c>
      <c r="C7455">
        <v>8</v>
      </c>
      <c r="D7455">
        <v>1</v>
      </c>
      <c r="E7455">
        <v>13640</v>
      </c>
      <c r="F7455">
        <v>226983.51</v>
      </c>
      <c r="G7455">
        <v>0</v>
      </c>
      <c r="H7455">
        <v>0</v>
      </c>
      <c r="I7455">
        <v>0</v>
      </c>
      <c r="J7455">
        <v>0</v>
      </c>
      <c r="K7455">
        <v>0</v>
      </c>
      <c r="L7455">
        <v>30282941</v>
      </c>
      <c r="M7455">
        <v>30282941</v>
      </c>
      <c r="N7455">
        <v>30282941</v>
      </c>
      <c r="O7455">
        <v>30282941</v>
      </c>
      <c r="P7455">
        <v>30125000</v>
      </c>
      <c r="Q7455">
        <v>30125000</v>
      </c>
      <c r="R7455" s="14">
        <f>_xlfn.XLOOKUP(Table2[[#This Row],[LoanID]],Table1[G-L ID],Table1[ManagerCode],-99)</f>
        <v>298</v>
      </c>
      <c r="T7455"/>
    </row>
    <row r="7456" spans="1:20" x14ac:dyDescent="0.25">
      <c r="A7456">
        <v>20180831</v>
      </c>
      <c r="B7456">
        <v>2018</v>
      </c>
      <c r="C7456">
        <v>8</v>
      </c>
      <c r="D7456">
        <v>1</v>
      </c>
      <c r="E7456">
        <v>13650</v>
      </c>
      <c r="F7456">
        <v>223888.89</v>
      </c>
      <c r="G7456">
        <v>0</v>
      </c>
      <c r="H7456">
        <v>0</v>
      </c>
      <c r="I7456">
        <v>0</v>
      </c>
      <c r="J7456">
        <v>0</v>
      </c>
      <c r="K7456">
        <v>0</v>
      </c>
      <c r="L7456">
        <v>38811572</v>
      </c>
      <c r="M7456">
        <v>38811572</v>
      </c>
      <c r="N7456">
        <v>38811572</v>
      </c>
      <c r="O7456">
        <v>38811572</v>
      </c>
      <c r="P7456">
        <v>40000000</v>
      </c>
      <c r="Q7456">
        <v>40000000</v>
      </c>
      <c r="R7456" s="14">
        <f>_xlfn.XLOOKUP(Table2[[#This Row],[LoanID]],Table1[G-L ID],Table1[ManagerCode],-99)</f>
        <v>298</v>
      </c>
      <c r="T7456"/>
    </row>
    <row r="7457" spans="1:20" x14ac:dyDescent="0.25">
      <c r="A7457">
        <v>20180831</v>
      </c>
      <c r="B7457">
        <v>2018</v>
      </c>
      <c r="C7457">
        <v>8</v>
      </c>
      <c r="D7457">
        <v>1</v>
      </c>
      <c r="E7457">
        <v>13660</v>
      </c>
      <c r="F7457">
        <v>117972.22</v>
      </c>
      <c r="G7457">
        <v>0</v>
      </c>
      <c r="H7457">
        <v>0</v>
      </c>
      <c r="I7457">
        <v>0</v>
      </c>
      <c r="J7457">
        <v>0</v>
      </c>
      <c r="K7457">
        <v>0</v>
      </c>
      <c r="L7457">
        <v>18948845</v>
      </c>
      <c r="M7457">
        <v>18948845</v>
      </c>
      <c r="N7457">
        <v>18948845</v>
      </c>
      <c r="O7457">
        <v>18948845</v>
      </c>
      <c r="P7457">
        <v>20000000</v>
      </c>
      <c r="Q7457">
        <v>20000000</v>
      </c>
      <c r="R7457" s="14">
        <f>_xlfn.XLOOKUP(Table2[[#This Row],[LoanID]],Table1[G-L ID],Table1[ManagerCode],-99)</f>
        <v>298</v>
      </c>
      <c r="T7457"/>
    </row>
    <row r="7458" spans="1:20" x14ac:dyDescent="0.25">
      <c r="A7458">
        <v>20180831</v>
      </c>
      <c r="B7458">
        <v>2018</v>
      </c>
      <c r="C7458">
        <v>8</v>
      </c>
      <c r="D7458">
        <v>1</v>
      </c>
      <c r="E7458">
        <v>13670</v>
      </c>
      <c r="F7458">
        <v>341387.5</v>
      </c>
      <c r="G7458">
        <v>0</v>
      </c>
      <c r="H7458">
        <v>0</v>
      </c>
      <c r="I7458">
        <v>0</v>
      </c>
      <c r="J7458">
        <v>0</v>
      </c>
      <c r="K7458">
        <v>0</v>
      </c>
      <c r="L7458">
        <v>37539280.890000001</v>
      </c>
      <c r="M7458">
        <v>37539280.890000001</v>
      </c>
      <c r="N7458">
        <v>37539280.890000001</v>
      </c>
      <c r="O7458">
        <v>37539280.890000001</v>
      </c>
      <c r="P7458">
        <v>37500000</v>
      </c>
      <c r="Q7458">
        <v>37500000</v>
      </c>
      <c r="R7458" s="14">
        <f>_xlfn.XLOOKUP(Table2[[#This Row],[LoanID]],Table1[G-L ID],Table1[ManagerCode],-99)</f>
        <v>298</v>
      </c>
      <c r="T7458"/>
    </row>
    <row r="7459" spans="1:20" x14ac:dyDescent="0.25">
      <c r="A7459">
        <v>20180831</v>
      </c>
      <c r="B7459">
        <v>2018</v>
      </c>
      <c r="C7459">
        <v>8</v>
      </c>
      <c r="D7459">
        <v>1</v>
      </c>
      <c r="E7459">
        <v>13680</v>
      </c>
      <c r="F7459">
        <v>169180.53</v>
      </c>
      <c r="G7459">
        <v>0</v>
      </c>
      <c r="H7459">
        <v>0</v>
      </c>
      <c r="I7459">
        <v>0</v>
      </c>
      <c r="J7459">
        <v>0</v>
      </c>
      <c r="K7459">
        <v>19047.990000000002</v>
      </c>
      <c r="L7459">
        <v>17971328.219999999</v>
      </c>
      <c r="M7459">
        <v>17971328.219999999</v>
      </c>
      <c r="N7459">
        <v>17971328.219999999</v>
      </c>
      <c r="O7459">
        <v>17971328.219999999</v>
      </c>
      <c r="P7459">
        <v>17847616.079999998</v>
      </c>
      <c r="Q7459">
        <v>17828568.09</v>
      </c>
      <c r="R7459" s="14">
        <f>_xlfn.XLOOKUP(Table2[[#This Row],[LoanID]],Table1[G-L ID],Table1[ManagerCode],-99)</f>
        <v>298</v>
      </c>
      <c r="T7459"/>
    </row>
    <row r="7460" spans="1:20" x14ac:dyDescent="0.25">
      <c r="A7460">
        <v>20180831</v>
      </c>
      <c r="B7460">
        <v>2018</v>
      </c>
      <c r="C7460">
        <v>8</v>
      </c>
      <c r="D7460">
        <v>1</v>
      </c>
      <c r="E7460">
        <v>13690</v>
      </c>
      <c r="F7460">
        <v>133472.22</v>
      </c>
      <c r="G7460">
        <v>0</v>
      </c>
      <c r="H7460">
        <v>0</v>
      </c>
      <c r="I7460">
        <v>0</v>
      </c>
      <c r="J7460">
        <v>0</v>
      </c>
      <c r="K7460">
        <v>0</v>
      </c>
      <c r="L7460">
        <v>19779539.27</v>
      </c>
      <c r="M7460">
        <v>19779539.27</v>
      </c>
      <c r="N7460">
        <v>19779539.27</v>
      </c>
      <c r="O7460">
        <v>19779539.27</v>
      </c>
      <c r="P7460">
        <v>20000000</v>
      </c>
      <c r="Q7460">
        <v>20000000</v>
      </c>
      <c r="R7460" s="14">
        <f>_xlfn.XLOOKUP(Table2[[#This Row],[LoanID]],Table1[G-L ID],Table1[ManagerCode],-99)</f>
        <v>298</v>
      </c>
      <c r="T7460"/>
    </row>
    <row r="7461" spans="1:20" x14ac:dyDescent="0.25">
      <c r="A7461">
        <v>20180831</v>
      </c>
      <c r="B7461">
        <v>2018</v>
      </c>
      <c r="C7461">
        <v>8</v>
      </c>
      <c r="D7461">
        <v>1</v>
      </c>
      <c r="E7461">
        <v>14000</v>
      </c>
      <c r="F7461">
        <v>177892.54</v>
      </c>
      <c r="G7461">
        <v>0</v>
      </c>
      <c r="H7461">
        <v>780000</v>
      </c>
      <c r="I7461">
        <v>0</v>
      </c>
      <c r="J7461">
        <v>-98000000</v>
      </c>
      <c r="K7461">
        <v>58800000</v>
      </c>
      <c r="L7461">
        <v>0</v>
      </c>
      <c r="M7461">
        <v>98000000</v>
      </c>
      <c r="N7461">
        <v>0</v>
      </c>
      <c r="O7461">
        <v>39200000</v>
      </c>
      <c r="P7461">
        <v>0</v>
      </c>
      <c r="Q7461">
        <v>98000000</v>
      </c>
      <c r="R7461" s="14">
        <f>_xlfn.XLOOKUP(Table2[[#This Row],[LoanID]],Table1[G-L ID],Table1[ManagerCode],-99)</f>
        <v>183</v>
      </c>
      <c r="T7461"/>
    </row>
    <row r="7462" spans="1:20" x14ac:dyDescent="0.25">
      <c r="A7462">
        <v>20180831</v>
      </c>
      <c r="B7462">
        <v>2018</v>
      </c>
      <c r="C7462">
        <v>8</v>
      </c>
      <c r="D7462">
        <v>1</v>
      </c>
      <c r="E7462">
        <v>14010</v>
      </c>
      <c r="F7462">
        <v>70867.37</v>
      </c>
      <c r="G7462">
        <v>0</v>
      </c>
      <c r="H7462">
        <v>457333.75</v>
      </c>
      <c r="I7462">
        <v>0</v>
      </c>
      <c r="J7462">
        <v>-49600000</v>
      </c>
      <c r="K7462">
        <v>0</v>
      </c>
      <c r="L7462">
        <v>0</v>
      </c>
      <c r="M7462">
        <v>49600000</v>
      </c>
      <c r="N7462">
        <v>0</v>
      </c>
      <c r="O7462">
        <v>49600000</v>
      </c>
      <c r="P7462">
        <v>0</v>
      </c>
      <c r="Q7462">
        <v>49600000</v>
      </c>
      <c r="R7462" s="14">
        <f>_xlfn.XLOOKUP(Table2[[#This Row],[LoanID]],Table1[G-L ID],Table1[ManagerCode],-99)</f>
        <v>119</v>
      </c>
      <c r="T7462"/>
    </row>
    <row r="7463" spans="1:20" x14ac:dyDescent="0.25">
      <c r="A7463">
        <v>20180831</v>
      </c>
      <c r="B7463">
        <v>2018</v>
      </c>
      <c r="C7463">
        <v>8</v>
      </c>
      <c r="D7463">
        <v>1</v>
      </c>
      <c r="E7463">
        <v>14020</v>
      </c>
      <c r="F7463">
        <v>0</v>
      </c>
      <c r="G7463">
        <v>0</v>
      </c>
      <c r="H7463">
        <v>0</v>
      </c>
      <c r="I7463">
        <v>0</v>
      </c>
      <c r="J7463">
        <v>0</v>
      </c>
      <c r="K7463">
        <v>0</v>
      </c>
      <c r="L7463">
        <v>23294748.390000001</v>
      </c>
      <c r="M7463">
        <v>23294748.390000001</v>
      </c>
      <c r="N7463">
        <v>23294748.390000001</v>
      </c>
      <c r="O7463">
        <v>23294748.390000001</v>
      </c>
      <c r="P7463">
        <v>23294748.390000001</v>
      </c>
      <c r="Q7463">
        <v>23294748.390000001</v>
      </c>
      <c r="R7463" s="14">
        <f>_xlfn.XLOOKUP(Table2[[#This Row],[LoanID]],Table1[G-L ID],Table1[ManagerCode],-99)</f>
        <v>119</v>
      </c>
      <c r="T7463"/>
    </row>
    <row r="7464" spans="1:20" x14ac:dyDescent="0.25">
      <c r="A7464">
        <v>20180831</v>
      </c>
      <c r="B7464">
        <v>2018</v>
      </c>
      <c r="C7464">
        <v>8</v>
      </c>
      <c r="D7464">
        <v>1</v>
      </c>
      <c r="E7464">
        <v>14670</v>
      </c>
      <c r="F7464">
        <v>76185.11</v>
      </c>
      <c r="G7464">
        <v>0</v>
      </c>
      <c r="H7464">
        <v>0</v>
      </c>
      <c r="I7464">
        <v>0</v>
      </c>
      <c r="J7464">
        <v>0</v>
      </c>
      <c r="K7464">
        <v>0</v>
      </c>
      <c r="L7464">
        <v>29647082</v>
      </c>
      <c r="M7464">
        <v>29647082</v>
      </c>
      <c r="N7464">
        <v>8598832</v>
      </c>
      <c r="O7464">
        <v>8598832</v>
      </c>
      <c r="P7464">
        <v>29500000</v>
      </c>
      <c r="Q7464">
        <v>29500000</v>
      </c>
      <c r="R7464" s="14">
        <f>_xlfn.XLOOKUP(Table2[[#This Row],[LoanID]],Table1[G-L ID],Table1[ManagerCode],-99)</f>
        <v>220</v>
      </c>
      <c r="T7464"/>
    </row>
    <row r="7465" spans="1:20" x14ac:dyDescent="0.25">
      <c r="A7465">
        <v>20180831</v>
      </c>
      <c r="B7465">
        <v>2018</v>
      </c>
      <c r="C7465">
        <v>8</v>
      </c>
      <c r="D7465">
        <v>1</v>
      </c>
      <c r="E7465">
        <v>14680</v>
      </c>
      <c r="F7465">
        <v>46603.81</v>
      </c>
      <c r="G7465">
        <v>0</v>
      </c>
      <c r="H7465">
        <v>0</v>
      </c>
      <c r="I7465">
        <v>0</v>
      </c>
      <c r="J7465">
        <v>-306773.3</v>
      </c>
      <c r="K7465">
        <v>0</v>
      </c>
      <c r="L7465">
        <v>27097598</v>
      </c>
      <c r="M7465">
        <v>27097598</v>
      </c>
      <c r="N7465">
        <v>6847598</v>
      </c>
      <c r="O7465">
        <v>6847598</v>
      </c>
      <c r="P7465">
        <v>27000000</v>
      </c>
      <c r="Q7465">
        <v>27306773.300000001</v>
      </c>
      <c r="R7465" s="14">
        <f>_xlfn.XLOOKUP(Table2[[#This Row],[LoanID]],Table1[G-L ID],Table1[ManagerCode],-99)</f>
        <v>220</v>
      </c>
      <c r="T7465"/>
    </row>
    <row r="7466" spans="1:20" x14ac:dyDescent="0.25">
      <c r="A7466">
        <v>20180831</v>
      </c>
      <c r="B7466">
        <v>2018</v>
      </c>
      <c r="C7466">
        <v>8</v>
      </c>
      <c r="D7466">
        <v>1</v>
      </c>
      <c r="E7466">
        <v>14790</v>
      </c>
      <c r="F7466">
        <v>204378.18</v>
      </c>
      <c r="G7466">
        <v>0</v>
      </c>
      <c r="H7466">
        <v>0</v>
      </c>
      <c r="I7466">
        <v>0</v>
      </c>
      <c r="J7466">
        <v>0</v>
      </c>
      <c r="K7466">
        <v>0</v>
      </c>
      <c r="L7466">
        <v>72200000</v>
      </c>
      <c r="M7466">
        <v>72200000</v>
      </c>
      <c r="N7466">
        <v>32200000</v>
      </c>
      <c r="O7466">
        <v>32200000</v>
      </c>
      <c r="P7466">
        <v>72200000</v>
      </c>
      <c r="Q7466">
        <v>72200000</v>
      </c>
      <c r="R7466" s="14">
        <f>_xlfn.XLOOKUP(Table2[[#This Row],[LoanID]],Table1[G-L ID],Table1[ManagerCode],-99)</f>
        <v>220</v>
      </c>
      <c r="T7466"/>
    </row>
    <row r="7467" spans="1:20" x14ac:dyDescent="0.25">
      <c r="A7467">
        <v>20180831</v>
      </c>
      <c r="B7467">
        <v>2018</v>
      </c>
      <c r="C7467">
        <v>8</v>
      </c>
      <c r="D7467">
        <v>1</v>
      </c>
      <c r="E7467">
        <v>14810</v>
      </c>
      <c r="F7467">
        <v>0</v>
      </c>
      <c r="G7467">
        <v>0</v>
      </c>
      <c r="H7467">
        <v>0</v>
      </c>
      <c r="I7467">
        <v>0</v>
      </c>
      <c r="J7467">
        <v>0</v>
      </c>
      <c r="K7467">
        <v>0</v>
      </c>
      <c r="L7467">
        <v>24999639</v>
      </c>
      <c r="M7467">
        <v>24999639</v>
      </c>
      <c r="N7467">
        <v>24999639</v>
      </c>
      <c r="O7467">
        <v>24999639</v>
      </c>
      <c r="P7467">
        <v>24930000</v>
      </c>
      <c r="Q7467">
        <v>24930000</v>
      </c>
      <c r="R7467" s="14">
        <f>_xlfn.XLOOKUP(Table2[[#This Row],[LoanID]],Table1[G-L ID],Table1[ManagerCode],-99)</f>
        <v>220</v>
      </c>
      <c r="T7467"/>
    </row>
    <row r="7468" spans="1:20" x14ac:dyDescent="0.25">
      <c r="A7468">
        <v>20180831</v>
      </c>
      <c r="B7468">
        <v>2018</v>
      </c>
      <c r="C7468">
        <v>8</v>
      </c>
      <c r="D7468">
        <v>1</v>
      </c>
      <c r="E7468">
        <v>14820</v>
      </c>
      <c r="F7468">
        <v>69478.38</v>
      </c>
      <c r="G7468">
        <v>0</v>
      </c>
      <c r="H7468">
        <v>278300</v>
      </c>
      <c r="I7468">
        <v>0</v>
      </c>
      <c r="J7468">
        <v>-22623000</v>
      </c>
      <c r="K7468">
        <v>0</v>
      </c>
      <c r="L7468">
        <v>0</v>
      </c>
      <c r="M7468">
        <v>22623000</v>
      </c>
      <c r="N7468">
        <v>0</v>
      </c>
      <c r="O7468">
        <v>22623000</v>
      </c>
      <c r="P7468">
        <v>0</v>
      </c>
      <c r="Q7468">
        <v>22623000</v>
      </c>
      <c r="R7468" s="14">
        <f>_xlfn.XLOOKUP(Table2[[#This Row],[LoanID]],Table1[G-L ID],Table1[ManagerCode],-99)</f>
        <v>220</v>
      </c>
      <c r="T7468"/>
    </row>
    <row r="7469" spans="1:20" x14ac:dyDescent="0.25">
      <c r="A7469">
        <v>20180831</v>
      </c>
      <c r="B7469">
        <v>2018</v>
      </c>
      <c r="C7469">
        <v>8</v>
      </c>
      <c r="D7469">
        <v>1</v>
      </c>
      <c r="E7469">
        <v>14830</v>
      </c>
      <c r="F7469">
        <v>79797.820000000007</v>
      </c>
      <c r="G7469">
        <v>0</v>
      </c>
      <c r="H7469">
        <v>0</v>
      </c>
      <c r="I7469">
        <v>0</v>
      </c>
      <c r="J7469">
        <v>-62646.42</v>
      </c>
      <c r="K7469">
        <v>0</v>
      </c>
      <c r="L7469">
        <v>34362710</v>
      </c>
      <c r="M7469">
        <v>34362710</v>
      </c>
      <c r="N7469">
        <v>14408996.6</v>
      </c>
      <c r="O7469">
        <v>14408996.6</v>
      </c>
      <c r="P7469">
        <v>34242248</v>
      </c>
      <c r="Q7469">
        <v>34304894.420000002</v>
      </c>
      <c r="R7469" s="14">
        <f>_xlfn.XLOOKUP(Table2[[#This Row],[LoanID]],Table1[G-L ID],Table1[ManagerCode],-99)</f>
        <v>220</v>
      </c>
      <c r="T7469"/>
    </row>
    <row r="7470" spans="1:20" x14ac:dyDescent="0.25">
      <c r="A7470">
        <v>20180831</v>
      </c>
      <c r="B7470">
        <v>2018</v>
      </c>
      <c r="C7470">
        <v>8</v>
      </c>
      <c r="D7470">
        <v>1</v>
      </c>
      <c r="E7470">
        <v>14840</v>
      </c>
      <c r="F7470">
        <v>69097.36</v>
      </c>
      <c r="G7470">
        <v>0</v>
      </c>
      <c r="H7470">
        <v>0</v>
      </c>
      <c r="I7470">
        <v>0</v>
      </c>
      <c r="J7470">
        <v>-171634.36</v>
      </c>
      <c r="K7470">
        <v>0</v>
      </c>
      <c r="L7470">
        <v>30926954</v>
      </c>
      <c r="M7470">
        <v>30926954</v>
      </c>
      <c r="N7470">
        <v>12434954</v>
      </c>
      <c r="O7470">
        <v>12434954</v>
      </c>
      <c r="P7470">
        <v>31072579.329999998</v>
      </c>
      <c r="Q7470">
        <v>31244213.690000001</v>
      </c>
      <c r="R7470" s="14">
        <f>_xlfn.XLOOKUP(Table2[[#This Row],[LoanID]],Table1[G-L ID],Table1[ManagerCode],-99)</f>
        <v>220</v>
      </c>
      <c r="T7470"/>
    </row>
    <row r="7471" spans="1:20" x14ac:dyDescent="0.25">
      <c r="A7471">
        <v>20180831</v>
      </c>
      <c r="B7471">
        <v>2018</v>
      </c>
      <c r="C7471">
        <v>8</v>
      </c>
      <c r="D7471">
        <v>1</v>
      </c>
      <c r="E7471">
        <v>14850</v>
      </c>
      <c r="F7471">
        <v>180052.81</v>
      </c>
      <c r="G7471">
        <v>0</v>
      </c>
      <c r="H7471">
        <v>0</v>
      </c>
      <c r="I7471">
        <v>0</v>
      </c>
      <c r="J7471">
        <v>-289028.45</v>
      </c>
      <c r="K7471">
        <v>43270477.600000001</v>
      </c>
      <c r="L7471">
        <v>76256536</v>
      </c>
      <c r="M7471">
        <v>76256536</v>
      </c>
      <c r="N7471">
        <v>74256536</v>
      </c>
      <c r="O7471">
        <v>30986058.399999999</v>
      </c>
      <c r="P7471">
        <v>76034429.890000001</v>
      </c>
      <c r="Q7471">
        <v>76323458.340000004</v>
      </c>
      <c r="R7471" s="14">
        <f>_xlfn.XLOOKUP(Table2[[#This Row],[LoanID]],Table1[G-L ID],Table1[ManagerCode],-99)</f>
        <v>220</v>
      </c>
      <c r="T7471"/>
    </row>
    <row r="7472" spans="1:20" x14ac:dyDescent="0.25">
      <c r="A7472">
        <v>20180831</v>
      </c>
      <c r="B7472">
        <v>2018</v>
      </c>
      <c r="C7472">
        <v>8</v>
      </c>
      <c r="D7472">
        <v>1</v>
      </c>
      <c r="E7472">
        <v>14860</v>
      </c>
      <c r="F7472">
        <v>240052.12</v>
      </c>
      <c r="G7472">
        <v>0</v>
      </c>
      <c r="H7472">
        <v>0</v>
      </c>
      <c r="I7472">
        <v>0</v>
      </c>
      <c r="J7472">
        <v>0</v>
      </c>
      <c r="K7472">
        <v>0</v>
      </c>
      <c r="L7472">
        <v>64961983</v>
      </c>
      <c r="M7472">
        <v>64961983</v>
      </c>
      <c r="N7472">
        <v>26102983</v>
      </c>
      <c r="O7472">
        <v>26102983</v>
      </c>
      <c r="P7472">
        <v>64765000</v>
      </c>
      <c r="Q7472">
        <v>64765000</v>
      </c>
      <c r="R7472" s="14">
        <f>_xlfn.XLOOKUP(Table2[[#This Row],[LoanID]],Table1[G-L ID],Table1[ManagerCode],-99)</f>
        <v>220</v>
      </c>
      <c r="T7472"/>
    </row>
    <row r="7473" spans="1:20" x14ac:dyDescent="0.25">
      <c r="A7473">
        <v>20180831</v>
      </c>
      <c r="B7473">
        <v>2018</v>
      </c>
      <c r="C7473">
        <v>8</v>
      </c>
      <c r="D7473">
        <v>1</v>
      </c>
      <c r="E7473">
        <v>14870</v>
      </c>
      <c r="F7473">
        <v>228284.42</v>
      </c>
      <c r="G7473">
        <v>0</v>
      </c>
      <c r="H7473">
        <v>0</v>
      </c>
      <c r="I7473">
        <v>0</v>
      </c>
      <c r="J7473">
        <v>0</v>
      </c>
      <c r="K7473">
        <v>0</v>
      </c>
      <c r="L7473">
        <v>47517532</v>
      </c>
      <c r="M7473">
        <v>47517532</v>
      </c>
      <c r="N7473">
        <v>47517532</v>
      </c>
      <c r="O7473">
        <v>47517532</v>
      </c>
      <c r="P7473">
        <v>47357000</v>
      </c>
      <c r="Q7473">
        <v>47357000</v>
      </c>
      <c r="R7473" s="14">
        <f>_xlfn.XLOOKUP(Table2[[#This Row],[LoanID]],Table1[G-L ID],Table1[ManagerCode],-99)</f>
        <v>220</v>
      </c>
      <c r="T7473"/>
    </row>
    <row r="7474" spans="1:20" x14ac:dyDescent="0.25">
      <c r="A7474">
        <v>20180831</v>
      </c>
      <c r="B7474">
        <v>2018</v>
      </c>
      <c r="C7474">
        <v>8</v>
      </c>
      <c r="D7474">
        <v>1</v>
      </c>
      <c r="E7474">
        <v>14880</v>
      </c>
      <c r="F7474">
        <v>121760.15</v>
      </c>
      <c r="G7474">
        <v>0</v>
      </c>
      <c r="H7474">
        <v>0</v>
      </c>
      <c r="I7474">
        <v>0</v>
      </c>
      <c r="J7474">
        <v>-980227</v>
      </c>
      <c r="K7474">
        <v>0</v>
      </c>
      <c r="L7474">
        <v>16910309</v>
      </c>
      <c r="M7474">
        <v>18043089</v>
      </c>
      <c r="N7474">
        <v>16910309</v>
      </c>
      <c r="O7474">
        <v>18043089</v>
      </c>
      <c r="P7474">
        <v>16971030</v>
      </c>
      <c r="Q7474">
        <v>17951257</v>
      </c>
      <c r="R7474" s="14">
        <f>_xlfn.XLOOKUP(Table2[[#This Row],[LoanID]],Table1[G-L ID],Table1[ManagerCode],-99)</f>
        <v>220</v>
      </c>
      <c r="T7474"/>
    </row>
    <row r="7475" spans="1:20" x14ac:dyDescent="0.25">
      <c r="A7475">
        <v>20180831</v>
      </c>
      <c r="B7475">
        <v>2018</v>
      </c>
      <c r="C7475">
        <v>8</v>
      </c>
      <c r="D7475">
        <v>1</v>
      </c>
      <c r="E7475">
        <v>14900</v>
      </c>
      <c r="F7475">
        <v>204163.56</v>
      </c>
      <c r="G7475">
        <v>0</v>
      </c>
      <c r="H7475">
        <v>662250</v>
      </c>
      <c r="I7475">
        <v>0</v>
      </c>
      <c r="J7475">
        <v>-64000000</v>
      </c>
      <c r="K7475">
        <v>0</v>
      </c>
      <c r="L7475">
        <v>0</v>
      </c>
      <c r="M7475">
        <v>64000000</v>
      </c>
      <c r="N7475">
        <v>0</v>
      </c>
      <c r="O7475">
        <v>64000000</v>
      </c>
      <c r="P7475">
        <v>0</v>
      </c>
      <c r="Q7475">
        <v>64000000</v>
      </c>
      <c r="R7475" s="14">
        <f>_xlfn.XLOOKUP(Table2[[#This Row],[LoanID]],Table1[G-L ID],Table1[ManagerCode],-99)</f>
        <v>220</v>
      </c>
      <c r="T7475"/>
    </row>
    <row r="7476" spans="1:20" x14ac:dyDescent="0.25">
      <c r="A7476">
        <v>20180831</v>
      </c>
      <c r="B7476">
        <v>2018</v>
      </c>
      <c r="C7476">
        <v>8</v>
      </c>
      <c r="D7476">
        <v>1</v>
      </c>
      <c r="E7476">
        <v>14950</v>
      </c>
      <c r="F7476">
        <v>213986.11</v>
      </c>
      <c r="G7476">
        <v>0</v>
      </c>
      <c r="H7476">
        <v>0</v>
      </c>
      <c r="I7476">
        <v>0</v>
      </c>
      <c r="J7476">
        <v>0</v>
      </c>
      <c r="K7476">
        <v>0</v>
      </c>
      <c r="L7476">
        <v>35000000</v>
      </c>
      <c r="M7476">
        <v>35000000</v>
      </c>
      <c r="N7476">
        <v>35000000</v>
      </c>
      <c r="O7476">
        <v>35000000</v>
      </c>
      <c r="P7476">
        <v>35000000</v>
      </c>
      <c r="Q7476">
        <v>35000000</v>
      </c>
      <c r="R7476" s="14">
        <f>_xlfn.XLOOKUP(Table2[[#This Row],[LoanID]],Table1[G-L ID],Table1[ManagerCode],-99)</f>
        <v>220</v>
      </c>
      <c r="T7476"/>
    </row>
    <row r="7477" spans="1:20" x14ac:dyDescent="0.25">
      <c r="A7477">
        <v>20180831</v>
      </c>
      <c r="B7477">
        <v>2018</v>
      </c>
      <c r="C7477">
        <v>8</v>
      </c>
      <c r="D7477">
        <v>1</v>
      </c>
      <c r="E7477">
        <v>14960</v>
      </c>
      <c r="F7477">
        <v>63439.79</v>
      </c>
      <c r="G7477">
        <v>0</v>
      </c>
      <c r="H7477">
        <v>0</v>
      </c>
      <c r="I7477">
        <v>0</v>
      </c>
      <c r="J7477">
        <v>-327626.69</v>
      </c>
      <c r="K7477">
        <v>0</v>
      </c>
      <c r="L7477">
        <v>14477373.310000001</v>
      </c>
      <c r="M7477">
        <v>14805000</v>
      </c>
      <c r="N7477">
        <v>14477373.310000001</v>
      </c>
      <c r="O7477">
        <v>14805000</v>
      </c>
      <c r="P7477">
        <v>14477373.310000001</v>
      </c>
      <c r="Q7477">
        <v>14805000</v>
      </c>
      <c r="R7477" s="14">
        <f>_xlfn.XLOOKUP(Table2[[#This Row],[LoanID]],Table1[G-L ID],Table1[ManagerCode],-99)</f>
        <v>220</v>
      </c>
      <c r="T7477"/>
    </row>
    <row r="7478" spans="1:20" x14ac:dyDescent="0.25">
      <c r="A7478">
        <v>20180831</v>
      </c>
      <c r="B7478">
        <v>2018</v>
      </c>
      <c r="C7478">
        <v>8</v>
      </c>
      <c r="D7478">
        <v>1</v>
      </c>
      <c r="E7478">
        <v>15030</v>
      </c>
      <c r="F7478">
        <v>81963.95</v>
      </c>
      <c r="G7478">
        <v>0</v>
      </c>
      <c r="H7478">
        <v>0</v>
      </c>
      <c r="I7478">
        <v>0</v>
      </c>
      <c r="J7478">
        <v>-3628.88</v>
      </c>
      <c r="K7478">
        <v>0</v>
      </c>
      <c r="L7478">
        <v>37451916</v>
      </c>
      <c r="M7478">
        <v>37451916</v>
      </c>
      <c r="N7478">
        <v>13622579.220000001</v>
      </c>
      <c r="O7478">
        <v>13622579.220000001</v>
      </c>
      <c r="P7478">
        <v>37370454.520000003</v>
      </c>
      <c r="Q7478">
        <v>37374083.399999999</v>
      </c>
      <c r="R7478" s="14">
        <f>_xlfn.XLOOKUP(Table2[[#This Row],[LoanID]],Table1[G-L ID],Table1[ManagerCode],-99)</f>
        <v>220</v>
      </c>
      <c r="T7478"/>
    </row>
    <row r="7479" spans="1:20" x14ac:dyDescent="0.25">
      <c r="A7479">
        <v>20180831</v>
      </c>
      <c r="B7479">
        <v>2018</v>
      </c>
      <c r="C7479">
        <v>8</v>
      </c>
      <c r="D7479">
        <v>1</v>
      </c>
      <c r="E7479">
        <v>15540</v>
      </c>
      <c r="F7479">
        <v>278031.25</v>
      </c>
      <c r="G7479">
        <v>-858.96</v>
      </c>
      <c r="H7479">
        <v>0</v>
      </c>
      <c r="I7479">
        <v>-2260.42</v>
      </c>
      <c r="J7479">
        <v>0</v>
      </c>
      <c r="K7479">
        <v>0</v>
      </c>
      <c r="L7479">
        <v>52778031.25</v>
      </c>
      <c r="M7479">
        <v>52777172.289999999</v>
      </c>
      <c r="N7479">
        <v>52778031.25</v>
      </c>
      <c r="O7479">
        <v>52777172.289999999</v>
      </c>
      <c r="P7479">
        <v>52778031.25</v>
      </c>
      <c r="Q7479">
        <v>52777172.289999999</v>
      </c>
      <c r="R7479" s="14">
        <f>_xlfn.XLOOKUP(Table2[[#This Row],[LoanID]],Table1[G-L ID],Table1[ManagerCode],-99)</f>
        <v>212</v>
      </c>
      <c r="T7479"/>
    </row>
    <row r="7480" spans="1:20" x14ac:dyDescent="0.25">
      <c r="A7480">
        <v>20180831</v>
      </c>
      <c r="B7480">
        <v>2018</v>
      </c>
      <c r="C7480">
        <v>8</v>
      </c>
      <c r="D7480">
        <v>1</v>
      </c>
      <c r="E7480">
        <v>15580</v>
      </c>
      <c r="F7480">
        <v>115786.22</v>
      </c>
      <c r="G7480">
        <v>-60.66</v>
      </c>
      <c r="H7480">
        <v>0</v>
      </c>
      <c r="I7480">
        <v>0</v>
      </c>
      <c r="J7480">
        <v>0</v>
      </c>
      <c r="K7480">
        <v>7615.09</v>
      </c>
      <c r="L7480">
        <v>14652155.16</v>
      </c>
      <c r="M7480">
        <v>14644479.41</v>
      </c>
      <c r="N7480">
        <v>14652155.16</v>
      </c>
      <c r="O7480">
        <v>14644479.41</v>
      </c>
      <c r="P7480">
        <v>14652155.16</v>
      </c>
      <c r="Q7480">
        <v>14644479.41</v>
      </c>
      <c r="R7480" s="14">
        <f>_xlfn.XLOOKUP(Table2[[#This Row],[LoanID]],Table1[G-L ID],Table1[ManagerCode],-99)</f>
        <v>212</v>
      </c>
      <c r="T7480"/>
    </row>
    <row r="7481" spans="1:20" x14ac:dyDescent="0.25">
      <c r="A7481">
        <v>20180831</v>
      </c>
      <c r="B7481">
        <v>2018</v>
      </c>
      <c r="C7481">
        <v>8</v>
      </c>
      <c r="D7481">
        <v>1</v>
      </c>
      <c r="E7481">
        <v>15610</v>
      </c>
      <c r="F7481">
        <v>828595.56</v>
      </c>
      <c r="G7481">
        <v>-4058.5</v>
      </c>
      <c r="H7481">
        <v>0</v>
      </c>
      <c r="I7481">
        <v>-8542.2199999999993</v>
      </c>
      <c r="J7481">
        <v>0</v>
      </c>
      <c r="K7481">
        <v>0</v>
      </c>
      <c r="L7481">
        <v>199229408</v>
      </c>
      <c r="M7481">
        <v>199225349.5</v>
      </c>
      <c r="N7481">
        <v>199229408</v>
      </c>
      <c r="O7481">
        <v>199225349.5</v>
      </c>
      <c r="P7481">
        <v>199229408</v>
      </c>
      <c r="Q7481">
        <v>199225349.5</v>
      </c>
      <c r="R7481" s="14">
        <f>_xlfn.XLOOKUP(Table2[[#This Row],[LoanID]],Table1[G-L ID],Table1[ManagerCode],-99)</f>
        <v>212</v>
      </c>
      <c r="T7481"/>
    </row>
    <row r="7482" spans="1:20" x14ac:dyDescent="0.25">
      <c r="A7482">
        <v>20180831</v>
      </c>
      <c r="B7482">
        <v>2018</v>
      </c>
      <c r="C7482">
        <v>8</v>
      </c>
      <c r="D7482">
        <v>1</v>
      </c>
      <c r="E7482">
        <v>15620</v>
      </c>
      <c r="F7482">
        <v>332475</v>
      </c>
      <c r="G7482">
        <v>-961.8</v>
      </c>
      <c r="H7482">
        <v>0</v>
      </c>
      <c r="I7482">
        <v>-3358.33</v>
      </c>
      <c r="J7482">
        <v>-382519</v>
      </c>
      <c r="K7482">
        <v>0</v>
      </c>
      <c r="L7482">
        <v>78332475</v>
      </c>
      <c r="M7482">
        <v>78714032.200000003</v>
      </c>
      <c r="N7482">
        <v>78332475</v>
      </c>
      <c r="O7482">
        <v>78714032.200000003</v>
      </c>
      <c r="P7482">
        <v>78332475</v>
      </c>
      <c r="Q7482">
        <v>78714032.200000003</v>
      </c>
      <c r="R7482" s="14">
        <f>_xlfn.XLOOKUP(Table2[[#This Row],[LoanID]],Table1[G-L ID],Table1[ManagerCode],-99)</f>
        <v>212</v>
      </c>
      <c r="T7482"/>
    </row>
    <row r="7483" spans="1:20" x14ac:dyDescent="0.25">
      <c r="A7483">
        <v>20180930</v>
      </c>
      <c r="B7483">
        <v>2018</v>
      </c>
      <c r="C7483">
        <v>9</v>
      </c>
      <c r="D7483">
        <v>1</v>
      </c>
      <c r="E7483">
        <v>10010</v>
      </c>
      <c r="F7483">
        <v>215538.31</v>
      </c>
      <c r="G7483">
        <v>0</v>
      </c>
      <c r="H7483">
        <v>0</v>
      </c>
      <c r="I7483">
        <v>0</v>
      </c>
      <c r="J7483">
        <v>0</v>
      </c>
      <c r="K7483">
        <v>29046.17</v>
      </c>
      <c r="L7483">
        <v>21865582.82</v>
      </c>
      <c r="M7483">
        <v>21836536.649999999</v>
      </c>
      <c r="N7483">
        <v>21865582.82</v>
      </c>
      <c r="O7483">
        <v>21836536.649999999</v>
      </c>
      <c r="P7483">
        <v>21865582.82</v>
      </c>
      <c r="Q7483">
        <v>21836536.649999999</v>
      </c>
      <c r="R7483" s="14">
        <f>_xlfn.XLOOKUP(Table2[[#This Row],[LoanID]],Table1[G-L ID],Table1[ManagerCode],-99)</f>
        <v>119</v>
      </c>
      <c r="T7483"/>
    </row>
    <row r="7484" spans="1:20" x14ac:dyDescent="0.25">
      <c r="A7484">
        <v>20180930</v>
      </c>
      <c r="B7484">
        <v>2018</v>
      </c>
      <c r="C7484">
        <v>9</v>
      </c>
      <c r="D7484">
        <v>1</v>
      </c>
      <c r="E7484">
        <v>10030</v>
      </c>
      <c r="F7484">
        <v>89977.33</v>
      </c>
      <c r="G7484">
        <v>0</v>
      </c>
      <c r="H7484">
        <v>0</v>
      </c>
      <c r="I7484">
        <v>0</v>
      </c>
      <c r="J7484">
        <v>0</v>
      </c>
      <c r="K7484">
        <v>0</v>
      </c>
      <c r="L7484">
        <v>9613797.1799999997</v>
      </c>
      <c r="M7484">
        <v>9613797.1799999997</v>
      </c>
      <c r="N7484">
        <v>9613797.1799999997</v>
      </c>
      <c r="O7484">
        <v>9613797.1799999997</v>
      </c>
      <c r="P7484">
        <v>9613797.1799999997</v>
      </c>
      <c r="Q7484">
        <v>9613797.1799999997</v>
      </c>
      <c r="R7484" s="14">
        <f>_xlfn.XLOOKUP(Table2[[#This Row],[LoanID]],Table1[G-L ID],Table1[ManagerCode],-99)</f>
        <v>119</v>
      </c>
      <c r="T7484"/>
    </row>
    <row r="7485" spans="1:20" x14ac:dyDescent="0.25">
      <c r="A7485">
        <v>20180930</v>
      </c>
      <c r="B7485">
        <v>2018</v>
      </c>
      <c r="C7485">
        <v>9</v>
      </c>
      <c r="D7485">
        <v>1</v>
      </c>
      <c r="E7485">
        <v>10050</v>
      </c>
      <c r="F7485">
        <v>153981.01999999999</v>
      </c>
      <c r="G7485">
        <v>0</v>
      </c>
      <c r="H7485">
        <v>0</v>
      </c>
      <c r="I7485">
        <v>-69.44</v>
      </c>
      <c r="J7485">
        <v>0</v>
      </c>
      <c r="K7485">
        <v>0</v>
      </c>
      <c r="L7485">
        <v>35820572.469999999</v>
      </c>
      <c r="M7485">
        <v>36041392.280000001</v>
      </c>
      <c r="N7485">
        <v>35820572.469999999</v>
      </c>
      <c r="O7485">
        <v>36041392.280000001</v>
      </c>
      <c r="P7485">
        <v>33333334</v>
      </c>
      <c r="Q7485">
        <v>33333334</v>
      </c>
      <c r="R7485" s="14">
        <f>_xlfn.XLOOKUP(Table2[[#This Row],[LoanID]],Table1[G-L ID],Table1[ManagerCode],-99)</f>
        <v>103</v>
      </c>
      <c r="T7485"/>
    </row>
    <row r="7486" spans="1:20" x14ac:dyDescent="0.25">
      <c r="A7486">
        <v>20180930</v>
      </c>
      <c r="B7486">
        <v>2018</v>
      </c>
      <c r="C7486">
        <v>9</v>
      </c>
      <c r="D7486">
        <v>1</v>
      </c>
      <c r="E7486">
        <v>10070</v>
      </c>
      <c r="F7486">
        <v>70158.600000000006</v>
      </c>
      <c r="G7486">
        <v>0</v>
      </c>
      <c r="H7486">
        <v>0</v>
      </c>
      <c r="I7486">
        <v>0</v>
      </c>
      <c r="J7486">
        <v>0</v>
      </c>
      <c r="K7486">
        <v>0</v>
      </c>
      <c r="L7486">
        <v>5875000</v>
      </c>
      <c r="M7486">
        <v>5875000</v>
      </c>
      <c r="N7486">
        <v>5875000</v>
      </c>
      <c r="O7486">
        <v>5875000</v>
      </c>
      <c r="P7486">
        <v>5875000</v>
      </c>
      <c r="Q7486">
        <v>5875000</v>
      </c>
      <c r="R7486" s="14">
        <f>_xlfn.XLOOKUP(Table2[[#This Row],[LoanID]],Table1[G-L ID],Table1[ManagerCode],-99)</f>
        <v>119</v>
      </c>
      <c r="T7486"/>
    </row>
    <row r="7487" spans="1:20" x14ac:dyDescent="0.25">
      <c r="A7487">
        <v>20180930</v>
      </c>
      <c r="B7487">
        <v>2018</v>
      </c>
      <c r="C7487">
        <v>9</v>
      </c>
      <c r="D7487">
        <v>1</v>
      </c>
      <c r="E7487">
        <v>10220</v>
      </c>
      <c r="F7487">
        <v>559722.22</v>
      </c>
      <c r="G7487">
        <v>0</v>
      </c>
      <c r="H7487">
        <v>0</v>
      </c>
      <c r="I7487">
        <v>0</v>
      </c>
      <c r="J7487">
        <v>0</v>
      </c>
      <c r="K7487">
        <v>0</v>
      </c>
      <c r="L7487">
        <v>109049952.09999999</v>
      </c>
      <c r="M7487">
        <v>108327374</v>
      </c>
      <c r="N7487">
        <v>109049952.09999999</v>
      </c>
      <c r="O7487">
        <v>108327374</v>
      </c>
      <c r="P7487">
        <v>100000000</v>
      </c>
      <c r="Q7487">
        <v>100000000</v>
      </c>
      <c r="R7487" s="14">
        <f>_xlfn.XLOOKUP(Table2[[#This Row],[LoanID]],Table1[G-L ID],Table1[ManagerCode],-99)</f>
        <v>103</v>
      </c>
      <c r="T7487"/>
    </row>
    <row r="7488" spans="1:20" x14ac:dyDescent="0.25">
      <c r="A7488">
        <v>20180930</v>
      </c>
      <c r="B7488">
        <v>2018</v>
      </c>
      <c r="C7488">
        <v>9</v>
      </c>
      <c r="D7488">
        <v>1</v>
      </c>
      <c r="E7488">
        <v>10250</v>
      </c>
      <c r="F7488">
        <v>57449.03</v>
      </c>
      <c r="G7488">
        <v>0</v>
      </c>
      <c r="H7488">
        <v>0</v>
      </c>
      <c r="I7488">
        <v>0</v>
      </c>
      <c r="J7488">
        <v>0</v>
      </c>
      <c r="K7488">
        <v>0</v>
      </c>
      <c r="L7488">
        <v>5000000</v>
      </c>
      <c r="M7488">
        <v>5000000</v>
      </c>
      <c r="N7488">
        <v>5000000</v>
      </c>
      <c r="O7488">
        <v>5000000</v>
      </c>
      <c r="P7488">
        <v>5000000</v>
      </c>
      <c r="Q7488">
        <v>5000000</v>
      </c>
      <c r="R7488" s="14">
        <f>_xlfn.XLOOKUP(Table2[[#This Row],[LoanID]],Table1[G-L ID],Table1[ManagerCode],-99)</f>
        <v>119</v>
      </c>
      <c r="T7488"/>
    </row>
    <row r="7489" spans="1:20" x14ac:dyDescent="0.25">
      <c r="A7489">
        <v>20180930</v>
      </c>
      <c r="B7489">
        <v>2018</v>
      </c>
      <c r="C7489">
        <v>9</v>
      </c>
      <c r="D7489">
        <v>1</v>
      </c>
      <c r="E7489">
        <v>10270</v>
      </c>
      <c r="F7489">
        <v>51015.25</v>
      </c>
      <c r="G7489">
        <v>0</v>
      </c>
      <c r="H7489">
        <v>0</v>
      </c>
      <c r="I7489">
        <v>0</v>
      </c>
      <c r="J7489">
        <v>0</v>
      </c>
      <c r="K7489">
        <v>0</v>
      </c>
      <c r="L7489">
        <v>4500000</v>
      </c>
      <c r="M7489">
        <v>4500000</v>
      </c>
      <c r="N7489">
        <v>4500000</v>
      </c>
      <c r="O7489">
        <v>4500000</v>
      </c>
      <c r="P7489">
        <v>4500000</v>
      </c>
      <c r="Q7489">
        <v>4500000</v>
      </c>
      <c r="R7489" s="14">
        <f>_xlfn.XLOOKUP(Table2[[#This Row],[LoanID]],Table1[G-L ID],Table1[ManagerCode],-99)</f>
        <v>119</v>
      </c>
      <c r="T7489"/>
    </row>
    <row r="7490" spans="1:20" x14ac:dyDescent="0.25">
      <c r="A7490">
        <v>20180930</v>
      </c>
      <c r="B7490">
        <v>2018</v>
      </c>
      <c r="C7490">
        <v>9</v>
      </c>
      <c r="D7490">
        <v>1</v>
      </c>
      <c r="E7490">
        <v>10330</v>
      </c>
      <c r="F7490">
        <v>90320.88</v>
      </c>
      <c r="G7490">
        <v>0</v>
      </c>
      <c r="H7490">
        <v>0</v>
      </c>
      <c r="I7490">
        <v>0</v>
      </c>
      <c r="J7490">
        <v>0</v>
      </c>
      <c r="K7490">
        <v>0</v>
      </c>
      <c r="L7490">
        <v>8652759.6999999993</v>
      </c>
      <c r="M7490">
        <v>8652759.6999999993</v>
      </c>
      <c r="N7490">
        <v>8652759.6999999993</v>
      </c>
      <c r="O7490">
        <v>8652759.6999999993</v>
      </c>
      <c r="P7490">
        <v>8652759.6999999993</v>
      </c>
      <c r="Q7490">
        <v>8652759.6999999993</v>
      </c>
      <c r="R7490" s="14">
        <f>_xlfn.XLOOKUP(Table2[[#This Row],[LoanID]],Table1[G-L ID],Table1[ManagerCode],-99)</f>
        <v>119</v>
      </c>
      <c r="T7490"/>
    </row>
    <row r="7491" spans="1:20" x14ac:dyDescent="0.25">
      <c r="A7491">
        <v>20180930</v>
      </c>
      <c r="B7491">
        <v>2018</v>
      </c>
      <c r="C7491">
        <v>9</v>
      </c>
      <c r="D7491">
        <v>1</v>
      </c>
      <c r="E7491">
        <v>10360</v>
      </c>
      <c r="F7491">
        <v>57858.96</v>
      </c>
      <c r="G7491">
        <v>0</v>
      </c>
      <c r="H7491">
        <v>0</v>
      </c>
      <c r="I7491">
        <v>0</v>
      </c>
      <c r="J7491">
        <v>0</v>
      </c>
      <c r="K7491">
        <v>0</v>
      </c>
      <c r="L7491">
        <v>5909000</v>
      </c>
      <c r="M7491">
        <v>5909000</v>
      </c>
      <c r="N7491">
        <v>5909000</v>
      </c>
      <c r="O7491">
        <v>5909000</v>
      </c>
      <c r="P7491">
        <v>5909000</v>
      </c>
      <c r="Q7491">
        <v>5909000</v>
      </c>
      <c r="R7491" s="14">
        <f>_xlfn.XLOOKUP(Table2[[#This Row],[LoanID]],Table1[G-L ID],Table1[ManagerCode],-99)</f>
        <v>183</v>
      </c>
      <c r="T7491"/>
    </row>
    <row r="7492" spans="1:20" x14ac:dyDescent="0.25">
      <c r="A7492">
        <v>20180930</v>
      </c>
      <c r="B7492">
        <v>2018</v>
      </c>
      <c r="C7492">
        <v>9</v>
      </c>
      <c r="D7492">
        <v>1</v>
      </c>
      <c r="E7492">
        <v>10480</v>
      </c>
      <c r="F7492">
        <v>170749.28</v>
      </c>
      <c r="G7492">
        <v>0</v>
      </c>
      <c r="H7492">
        <v>0</v>
      </c>
      <c r="I7492">
        <v>0</v>
      </c>
      <c r="J7492">
        <v>0</v>
      </c>
      <c r="K7492">
        <v>0</v>
      </c>
      <c r="L7492">
        <v>18223440.300000001</v>
      </c>
      <c r="M7492">
        <v>18223440.300000001</v>
      </c>
      <c r="N7492">
        <v>18223440.300000001</v>
      </c>
      <c r="O7492">
        <v>18223440.300000001</v>
      </c>
      <c r="P7492">
        <v>18223440.300000001</v>
      </c>
      <c r="Q7492">
        <v>18223440.300000001</v>
      </c>
      <c r="R7492" s="14">
        <f>_xlfn.XLOOKUP(Table2[[#This Row],[LoanID]],Table1[G-L ID],Table1[ManagerCode],-99)</f>
        <v>119</v>
      </c>
      <c r="T7492"/>
    </row>
    <row r="7493" spans="1:20" x14ac:dyDescent="0.25">
      <c r="A7493">
        <v>20180930</v>
      </c>
      <c r="B7493">
        <v>2018</v>
      </c>
      <c r="C7493">
        <v>9</v>
      </c>
      <c r="D7493">
        <v>1</v>
      </c>
      <c r="E7493">
        <v>10620</v>
      </c>
      <c r="F7493">
        <v>264650.82</v>
      </c>
      <c r="G7493">
        <v>0</v>
      </c>
      <c r="H7493">
        <v>0</v>
      </c>
      <c r="I7493">
        <v>0</v>
      </c>
      <c r="J7493">
        <v>0</v>
      </c>
      <c r="K7493">
        <v>12250966.1</v>
      </c>
      <c r="L7493">
        <v>12250966.1</v>
      </c>
      <c r="M7493">
        <v>0</v>
      </c>
      <c r="N7493">
        <v>12250966.1</v>
      </c>
      <c r="O7493">
        <v>0</v>
      </c>
      <c r="P7493">
        <v>12250966.1</v>
      </c>
      <c r="Q7493">
        <v>0</v>
      </c>
      <c r="R7493" s="14">
        <f>_xlfn.XLOOKUP(Table2[[#This Row],[LoanID]],Table1[G-L ID],Table1[ManagerCode],-99)</f>
        <v>119</v>
      </c>
      <c r="T7493"/>
    </row>
    <row r="7494" spans="1:20" x14ac:dyDescent="0.25">
      <c r="A7494">
        <v>20180930</v>
      </c>
      <c r="B7494">
        <v>2018</v>
      </c>
      <c r="C7494">
        <v>9</v>
      </c>
      <c r="D7494">
        <v>1</v>
      </c>
      <c r="E7494">
        <v>10730</v>
      </c>
      <c r="F7494">
        <v>112607.19</v>
      </c>
      <c r="G7494">
        <v>0</v>
      </c>
      <c r="H7494">
        <v>28500</v>
      </c>
      <c r="I7494">
        <v>0</v>
      </c>
      <c r="J7494">
        <v>0</v>
      </c>
      <c r="K7494">
        <v>0</v>
      </c>
      <c r="L7494">
        <v>9500000</v>
      </c>
      <c r="M7494">
        <v>9500000</v>
      </c>
      <c r="N7494">
        <v>9500000</v>
      </c>
      <c r="O7494">
        <v>9500000</v>
      </c>
      <c r="P7494">
        <v>9500000</v>
      </c>
      <c r="Q7494">
        <v>9500000</v>
      </c>
      <c r="R7494" s="14">
        <f>_xlfn.XLOOKUP(Table2[[#This Row],[LoanID]],Table1[G-L ID],Table1[ManagerCode],-99)</f>
        <v>119</v>
      </c>
      <c r="T7494"/>
    </row>
    <row r="7495" spans="1:20" x14ac:dyDescent="0.25">
      <c r="A7495">
        <v>20180930</v>
      </c>
      <c r="B7495">
        <v>2018</v>
      </c>
      <c r="C7495">
        <v>9</v>
      </c>
      <c r="D7495">
        <v>1</v>
      </c>
      <c r="E7495">
        <v>10750</v>
      </c>
      <c r="F7495">
        <v>213748.46</v>
      </c>
      <c r="G7495">
        <v>0</v>
      </c>
      <c r="H7495">
        <v>0</v>
      </c>
      <c r="I7495">
        <v>0</v>
      </c>
      <c r="J7495">
        <v>0</v>
      </c>
      <c r="K7495">
        <v>0</v>
      </c>
      <c r="L7495">
        <v>8757259.9600000009</v>
      </c>
      <c r="M7495">
        <v>8757259.9600000009</v>
      </c>
      <c r="N7495">
        <v>8757259.9600000009</v>
      </c>
      <c r="O7495">
        <v>8757259.9600000009</v>
      </c>
      <c r="P7495">
        <v>8757259.9600000009</v>
      </c>
      <c r="Q7495">
        <v>8757259.9600000009</v>
      </c>
      <c r="R7495" s="14">
        <f>_xlfn.XLOOKUP(Table2[[#This Row],[LoanID]],Table1[G-L ID],Table1[ManagerCode],-99)</f>
        <v>119</v>
      </c>
      <c r="T7495"/>
    </row>
    <row r="7496" spans="1:20" x14ac:dyDescent="0.25">
      <c r="A7496">
        <v>20180930</v>
      </c>
      <c r="B7496">
        <v>2018</v>
      </c>
      <c r="C7496">
        <v>9</v>
      </c>
      <c r="D7496">
        <v>1</v>
      </c>
      <c r="E7496">
        <v>10790</v>
      </c>
      <c r="F7496">
        <v>21665.759999999998</v>
      </c>
      <c r="G7496">
        <v>0</v>
      </c>
      <c r="H7496">
        <v>0</v>
      </c>
      <c r="I7496">
        <v>0</v>
      </c>
      <c r="J7496">
        <v>0</v>
      </c>
      <c r="K7496">
        <v>47802.49</v>
      </c>
      <c r="L7496">
        <v>4745707.87</v>
      </c>
      <c r="M7496">
        <v>4692812.4000000004</v>
      </c>
      <c r="N7496">
        <v>4745707.87</v>
      </c>
      <c r="O7496">
        <v>4692812.4000000004</v>
      </c>
      <c r="P7496">
        <v>4626140.1399999997</v>
      </c>
      <c r="Q7496">
        <v>4578337.6500000004</v>
      </c>
      <c r="R7496" s="14">
        <f>_xlfn.XLOOKUP(Table2[[#This Row],[LoanID]],Table1[G-L ID],Table1[ManagerCode],-99)</f>
        <v>103</v>
      </c>
      <c r="T7496"/>
    </row>
    <row r="7497" spans="1:20" x14ac:dyDescent="0.25">
      <c r="A7497">
        <v>20180930</v>
      </c>
      <c r="B7497">
        <v>2018</v>
      </c>
      <c r="C7497">
        <v>9</v>
      </c>
      <c r="D7497">
        <v>1</v>
      </c>
      <c r="E7497">
        <v>10810</v>
      </c>
      <c r="F7497">
        <v>94315.05</v>
      </c>
      <c r="G7497">
        <v>0</v>
      </c>
      <c r="H7497">
        <v>0</v>
      </c>
      <c r="I7497">
        <v>0</v>
      </c>
      <c r="J7497">
        <v>-313316.38</v>
      </c>
      <c r="K7497">
        <v>0</v>
      </c>
      <c r="L7497">
        <v>7846080.3499999996</v>
      </c>
      <c r="M7497">
        <v>8159396.7300000004</v>
      </c>
      <c r="N7497">
        <v>7846080.3499999996</v>
      </c>
      <c r="O7497">
        <v>8159396.7300000004</v>
      </c>
      <c r="P7497">
        <v>7846080.3499999996</v>
      </c>
      <c r="Q7497">
        <v>8159396.7300000004</v>
      </c>
      <c r="R7497" s="14">
        <f>_xlfn.XLOOKUP(Table2[[#This Row],[LoanID]],Table1[G-L ID],Table1[ManagerCode],-99)</f>
        <v>119</v>
      </c>
      <c r="T7497"/>
    </row>
    <row r="7498" spans="1:20" x14ac:dyDescent="0.25">
      <c r="A7498">
        <v>20180930</v>
      </c>
      <c r="B7498">
        <v>2018</v>
      </c>
      <c r="C7498">
        <v>9</v>
      </c>
      <c r="D7498">
        <v>1</v>
      </c>
      <c r="E7498">
        <v>10820</v>
      </c>
      <c r="F7498">
        <v>207008.02</v>
      </c>
      <c r="G7498">
        <v>0</v>
      </c>
      <c r="H7498">
        <v>0</v>
      </c>
      <c r="I7498">
        <v>0</v>
      </c>
      <c r="J7498">
        <v>-91708.51</v>
      </c>
      <c r="K7498">
        <v>0</v>
      </c>
      <c r="L7498">
        <v>25204302.760000002</v>
      </c>
      <c r="M7498">
        <v>25296011.27</v>
      </c>
      <c r="N7498">
        <v>25204302.760000002</v>
      </c>
      <c r="O7498">
        <v>25296011.27</v>
      </c>
      <c r="P7498">
        <v>25204302.760000002</v>
      </c>
      <c r="Q7498">
        <v>25296011.27</v>
      </c>
      <c r="R7498" s="14">
        <f>_xlfn.XLOOKUP(Table2[[#This Row],[LoanID]],Table1[G-L ID],Table1[ManagerCode],-99)</f>
        <v>220</v>
      </c>
      <c r="T7498"/>
    </row>
    <row r="7499" spans="1:20" x14ac:dyDescent="0.25">
      <c r="A7499">
        <v>20180930</v>
      </c>
      <c r="B7499">
        <v>2018</v>
      </c>
      <c r="C7499">
        <v>9</v>
      </c>
      <c r="D7499">
        <v>1</v>
      </c>
      <c r="E7499">
        <v>10830</v>
      </c>
      <c r="F7499">
        <v>63857.77</v>
      </c>
      <c r="G7499">
        <v>0</v>
      </c>
      <c r="H7499">
        <v>0</v>
      </c>
      <c r="I7499">
        <v>0</v>
      </c>
      <c r="J7499">
        <v>0</v>
      </c>
      <c r="K7499">
        <v>0</v>
      </c>
      <c r="L7499">
        <v>7806043.1399999997</v>
      </c>
      <c r="M7499">
        <v>7806043.1399999997</v>
      </c>
      <c r="N7499">
        <v>7806043.1399999997</v>
      </c>
      <c r="O7499">
        <v>7806043.1399999997</v>
      </c>
      <c r="P7499">
        <v>7806043.1399999997</v>
      </c>
      <c r="Q7499">
        <v>7806043.1399999997</v>
      </c>
      <c r="R7499" s="14">
        <f>_xlfn.XLOOKUP(Table2[[#This Row],[LoanID]],Table1[G-L ID],Table1[ManagerCode],-99)</f>
        <v>220</v>
      </c>
      <c r="T7499"/>
    </row>
    <row r="7500" spans="1:20" x14ac:dyDescent="0.25">
      <c r="A7500">
        <v>20180930</v>
      </c>
      <c r="B7500">
        <v>2018</v>
      </c>
      <c r="C7500">
        <v>9</v>
      </c>
      <c r="D7500">
        <v>1</v>
      </c>
      <c r="E7500">
        <v>10840</v>
      </c>
      <c r="F7500">
        <v>103968.23</v>
      </c>
      <c r="G7500">
        <v>0</v>
      </c>
      <c r="H7500">
        <v>0</v>
      </c>
      <c r="I7500">
        <v>0</v>
      </c>
      <c r="J7500">
        <v>0</v>
      </c>
      <c r="K7500">
        <v>0</v>
      </c>
      <c r="L7500">
        <v>12709189</v>
      </c>
      <c r="M7500">
        <v>12709189</v>
      </c>
      <c r="N7500">
        <v>12709189</v>
      </c>
      <c r="O7500">
        <v>12709189</v>
      </c>
      <c r="P7500">
        <v>12709189</v>
      </c>
      <c r="Q7500">
        <v>12709189</v>
      </c>
      <c r="R7500" s="14">
        <f>_xlfn.XLOOKUP(Table2[[#This Row],[LoanID]],Table1[G-L ID],Table1[ManagerCode],-99)</f>
        <v>220</v>
      </c>
      <c r="T7500"/>
    </row>
    <row r="7501" spans="1:20" x14ac:dyDescent="0.25">
      <c r="A7501">
        <v>20180930</v>
      </c>
      <c r="B7501">
        <v>2018</v>
      </c>
      <c r="C7501">
        <v>9</v>
      </c>
      <c r="D7501">
        <v>1</v>
      </c>
      <c r="E7501">
        <v>10910</v>
      </c>
      <c r="F7501">
        <v>83771.740000000005</v>
      </c>
      <c r="G7501">
        <v>0</v>
      </c>
      <c r="H7501">
        <v>0</v>
      </c>
      <c r="I7501">
        <v>0</v>
      </c>
      <c r="J7501">
        <v>0</v>
      </c>
      <c r="K7501">
        <v>0</v>
      </c>
      <c r="L7501">
        <v>9762500</v>
      </c>
      <c r="M7501">
        <v>9762500</v>
      </c>
      <c r="N7501">
        <v>9762500</v>
      </c>
      <c r="O7501">
        <v>9762500</v>
      </c>
      <c r="P7501">
        <v>9762500</v>
      </c>
      <c r="Q7501">
        <v>9762500</v>
      </c>
      <c r="R7501" s="14">
        <f>_xlfn.XLOOKUP(Table2[[#This Row],[LoanID]],Table1[G-L ID],Table1[ManagerCode],-99)</f>
        <v>119</v>
      </c>
      <c r="T7501"/>
    </row>
    <row r="7502" spans="1:20" x14ac:dyDescent="0.25">
      <c r="A7502">
        <v>20180930</v>
      </c>
      <c r="B7502">
        <v>2018</v>
      </c>
      <c r="C7502">
        <v>9</v>
      </c>
      <c r="D7502">
        <v>1</v>
      </c>
      <c r="E7502">
        <v>10930</v>
      </c>
      <c r="F7502">
        <v>0</v>
      </c>
      <c r="G7502">
        <v>166066.85999999999</v>
      </c>
      <c r="H7502">
        <v>0</v>
      </c>
      <c r="I7502">
        <v>0</v>
      </c>
      <c r="J7502">
        <v>0</v>
      </c>
      <c r="K7502">
        <v>0</v>
      </c>
      <c r="L7502">
        <v>15542155.23</v>
      </c>
      <c r="M7502">
        <v>15708222.09</v>
      </c>
      <c r="N7502">
        <v>15542155.23</v>
      </c>
      <c r="O7502">
        <v>15708222.09</v>
      </c>
      <c r="P7502">
        <v>15542155.23</v>
      </c>
      <c r="Q7502">
        <v>15708222.09</v>
      </c>
      <c r="R7502" s="14">
        <f>_xlfn.XLOOKUP(Table2[[#This Row],[LoanID]],Table1[G-L ID],Table1[ManagerCode],-99)</f>
        <v>183</v>
      </c>
      <c r="T7502"/>
    </row>
    <row r="7503" spans="1:20" x14ac:dyDescent="0.25">
      <c r="A7503">
        <v>20180930</v>
      </c>
      <c r="B7503">
        <v>2018</v>
      </c>
      <c r="C7503">
        <v>9</v>
      </c>
      <c r="D7503">
        <v>1</v>
      </c>
      <c r="E7503">
        <v>10970</v>
      </c>
      <c r="F7503">
        <v>26742.080000000002</v>
      </c>
      <c r="G7503">
        <v>28970.58</v>
      </c>
      <c r="H7503">
        <v>0</v>
      </c>
      <c r="I7503">
        <v>0</v>
      </c>
      <c r="J7503">
        <v>-26467.23</v>
      </c>
      <c r="K7503">
        <v>0</v>
      </c>
      <c r="L7503">
        <v>5338490.58</v>
      </c>
      <c r="M7503">
        <v>5393928.3899999997</v>
      </c>
      <c r="N7503">
        <v>5338490.58</v>
      </c>
      <c r="O7503">
        <v>5393928.3899999997</v>
      </c>
      <c r="P7503">
        <v>5338490.58</v>
      </c>
      <c r="Q7503">
        <v>5393928.3899999997</v>
      </c>
      <c r="R7503" s="14">
        <f>_xlfn.XLOOKUP(Table2[[#This Row],[LoanID]],Table1[G-L ID],Table1[ManagerCode],-99)</f>
        <v>183</v>
      </c>
      <c r="T7503"/>
    </row>
    <row r="7504" spans="1:20" x14ac:dyDescent="0.25">
      <c r="A7504">
        <v>20180930</v>
      </c>
      <c r="B7504">
        <v>2018</v>
      </c>
      <c r="C7504">
        <v>9</v>
      </c>
      <c r="D7504">
        <v>1</v>
      </c>
      <c r="E7504">
        <v>11060</v>
      </c>
      <c r="F7504">
        <v>215638.74</v>
      </c>
      <c r="G7504">
        <v>0</v>
      </c>
      <c r="H7504">
        <v>0</v>
      </c>
      <c r="I7504">
        <v>0</v>
      </c>
      <c r="J7504">
        <v>0</v>
      </c>
      <c r="K7504">
        <v>0</v>
      </c>
      <c r="L7504">
        <v>22000000</v>
      </c>
      <c r="M7504">
        <v>22000000</v>
      </c>
      <c r="N7504">
        <v>22000000</v>
      </c>
      <c r="O7504">
        <v>22000000</v>
      </c>
      <c r="P7504">
        <v>22000000</v>
      </c>
      <c r="Q7504">
        <v>22000000</v>
      </c>
      <c r="R7504" s="14">
        <f>_xlfn.XLOOKUP(Table2[[#This Row],[LoanID]],Table1[G-L ID],Table1[ManagerCode],-99)</f>
        <v>119</v>
      </c>
      <c r="T7504"/>
    </row>
    <row r="7505" spans="1:20" x14ac:dyDescent="0.25">
      <c r="A7505">
        <v>20180930</v>
      </c>
      <c r="B7505">
        <v>2018</v>
      </c>
      <c r="C7505">
        <v>9</v>
      </c>
      <c r="D7505">
        <v>1</v>
      </c>
      <c r="E7505">
        <v>11080</v>
      </c>
      <c r="F7505">
        <v>0</v>
      </c>
      <c r="G7505">
        <v>0</v>
      </c>
      <c r="H7505">
        <v>0</v>
      </c>
      <c r="I7505">
        <v>0</v>
      </c>
      <c r="J7505">
        <v>0</v>
      </c>
      <c r="K7505">
        <v>0</v>
      </c>
      <c r="L7505">
        <v>38699545.630000003</v>
      </c>
      <c r="M7505">
        <v>38699545.630000003</v>
      </c>
      <c r="N7505">
        <v>38699545.630000003</v>
      </c>
      <c r="O7505">
        <v>38699545.630000003</v>
      </c>
      <c r="P7505">
        <v>38699545.630000003</v>
      </c>
      <c r="Q7505">
        <v>38699545.630000003</v>
      </c>
      <c r="R7505" s="14">
        <f>_xlfn.XLOOKUP(Table2[[#This Row],[LoanID]],Table1[G-L ID],Table1[ManagerCode],-99)</f>
        <v>119</v>
      </c>
      <c r="T7505"/>
    </row>
    <row r="7506" spans="1:20" x14ac:dyDescent="0.25">
      <c r="A7506">
        <v>20180930</v>
      </c>
      <c r="B7506">
        <v>2018</v>
      </c>
      <c r="C7506">
        <v>9</v>
      </c>
      <c r="D7506">
        <v>1</v>
      </c>
      <c r="E7506">
        <v>11150</v>
      </c>
      <c r="F7506">
        <v>121900.49</v>
      </c>
      <c r="G7506">
        <v>0</v>
      </c>
      <c r="H7506">
        <v>0</v>
      </c>
      <c r="I7506">
        <v>0</v>
      </c>
      <c r="J7506">
        <v>-315291.09000000003</v>
      </c>
      <c r="K7506">
        <v>0</v>
      </c>
      <c r="L7506">
        <v>10675276.130000001</v>
      </c>
      <c r="M7506">
        <v>10990567.220000001</v>
      </c>
      <c r="N7506">
        <v>10675276.130000001</v>
      </c>
      <c r="O7506">
        <v>10990567.220000001</v>
      </c>
      <c r="P7506">
        <v>10675276.130000001</v>
      </c>
      <c r="Q7506">
        <v>10990567.220000001</v>
      </c>
      <c r="R7506" s="14">
        <f>_xlfn.XLOOKUP(Table2[[#This Row],[LoanID]],Table1[G-L ID],Table1[ManagerCode],-99)</f>
        <v>119</v>
      </c>
      <c r="T7506"/>
    </row>
    <row r="7507" spans="1:20" x14ac:dyDescent="0.25">
      <c r="A7507">
        <v>20180930</v>
      </c>
      <c r="B7507">
        <v>2018</v>
      </c>
      <c r="C7507">
        <v>9</v>
      </c>
      <c r="D7507">
        <v>1</v>
      </c>
      <c r="E7507">
        <v>11210</v>
      </c>
      <c r="F7507">
        <v>75953.440000000002</v>
      </c>
      <c r="G7507">
        <v>0</v>
      </c>
      <c r="H7507">
        <v>0</v>
      </c>
      <c r="I7507">
        <v>0</v>
      </c>
      <c r="J7507">
        <v>0</v>
      </c>
      <c r="K7507">
        <v>0</v>
      </c>
      <c r="L7507">
        <v>9500000</v>
      </c>
      <c r="M7507">
        <v>9500000</v>
      </c>
      <c r="N7507">
        <v>9500000</v>
      </c>
      <c r="O7507">
        <v>9500000</v>
      </c>
      <c r="P7507">
        <v>9500000</v>
      </c>
      <c r="Q7507">
        <v>9500000</v>
      </c>
      <c r="R7507" s="14">
        <f>_xlfn.XLOOKUP(Table2[[#This Row],[LoanID]],Table1[G-L ID],Table1[ManagerCode],-99)</f>
        <v>119</v>
      </c>
      <c r="T7507"/>
    </row>
    <row r="7508" spans="1:20" x14ac:dyDescent="0.25">
      <c r="A7508">
        <v>20180930</v>
      </c>
      <c r="B7508">
        <v>2018</v>
      </c>
      <c r="C7508">
        <v>9</v>
      </c>
      <c r="D7508">
        <v>1</v>
      </c>
      <c r="E7508">
        <v>11340</v>
      </c>
      <c r="F7508">
        <v>288230.71999999997</v>
      </c>
      <c r="G7508">
        <v>0</v>
      </c>
      <c r="H7508">
        <v>0</v>
      </c>
      <c r="I7508">
        <v>0</v>
      </c>
      <c r="J7508">
        <v>0</v>
      </c>
      <c r="K7508">
        <v>69206.86</v>
      </c>
      <c r="L7508">
        <v>47338907.920000002</v>
      </c>
      <c r="M7508">
        <v>47270393.109999999</v>
      </c>
      <c r="N7508">
        <v>47338907.920000002</v>
      </c>
      <c r="O7508">
        <v>47270393.109999999</v>
      </c>
      <c r="P7508">
        <v>47817078.689999998</v>
      </c>
      <c r="Q7508">
        <v>47747871.829999998</v>
      </c>
      <c r="R7508" s="14">
        <f>_xlfn.XLOOKUP(Table2[[#This Row],[LoanID]],Table1[G-L ID],Table1[ManagerCode],-99)</f>
        <v>103</v>
      </c>
      <c r="T7508"/>
    </row>
    <row r="7509" spans="1:20" x14ac:dyDescent="0.25">
      <c r="A7509">
        <v>20180930</v>
      </c>
      <c r="B7509">
        <v>2018</v>
      </c>
      <c r="C7509">
        <v>9</v>
      </c>
      <c r="D7509">
        <v>1</v>
      </c>
      <c r="E7509">
        <v>11350</v>
      </c>
      <c r="F7509">
        <v>652361.11</v>
      </c>
      <c r="G7509">
        <v>0</v>
      </c>
      <c r="H7509">
        <v>10973024.960000001</v>
      </c>
      <c r="I7509">
        <v>0</v>
      </c>
      <c r="J7509">
        <v>0</v>
      </c>
      <c r="K7509">
        <v>55000000</v>
      </c>
      <c r="L7509">
        <v>54449945.549999997</v>
      </c>
      <c r="M7509">
        <v>0</v>
      </c>
      <c r="N7509">
        <v>54449945.549999997</v>
      </c>
      <c r="O7509">
        <v>0</v>
      </c>
      <c r="P7509">
        <v>55000000</v>
      </c>
      <c r="Q7509">
        <v>0</v>
      </c>
      <c r="R7509" s="14">
        <f>_xlfn.XLOOKUP(Table2[[#This Row],[LoanID]],Table1[G-L ID],Table1[ManagerCode],-99)</f>
        <v>103</v>
      </c>
      <c r="T7509"/>
    </row>
    <row r="7510" spans="1:20" x14ac:dyDescent="0.25">
      <c r="A7510">
        <v>20180930</v>
      </c>
      <c r="B7510">
        <v>2018</v>
      </c>
      <c r="C7510">
        <v>9</v>
      </c>
      <c r="D7510">
        <v>1</v>
      </c>
      <c r="E7510">
        <v>11360</v>
      </c>
      <c r="F7510">
        <v>78986.899999999994</v>
      </c>
      <c r="G7510">
        <v>0</v>
      </c>
      <c r="H7510">
        <v>0</v>
      </c>
      <c r="I7510">
        <v>0</v>
      </c>
      <c r="J7510">
        <v>0</v>
      </c>
      <c r="K7510">
        <v>0</v>
      </c>
      <c r="L7510">
        <v>9355036</v>
      </c>
      <c r="M7510">
        <v>9355036</v>
      </c>
      <c r="N7510">
        <v>9355036</v>
      </c>
      <c r="O7510">
        <v>9355036</v>
      </c>
      <c r="P7510">
        <v>9355036</v>
      </c>
      <c r="Q7510">
        <v>9355036</v>
      </c>
      <c r="R7510" s="14">
        <f>_xlfn.XLOOKUP(Table2[[#This Row],[LoanID]],Table1[G-L ID],Table1[ManagerCode],-99)</f>
        <v>119</v>
      </c>
      <c r="T7510"/>
    </row>
    <row r="7511" spans="1:20" x14ac:dyDescent="0.25">
      <c r="A7511">
        <v>20180930</v>
      </c>
      <c r="B7511">
        <v>2018</v>
      </c>
      <c r="C7511">
        <v>9</v>
      </c>
      <c r="D7511">
        <v>1</v>
      </c>
      <c r="E7511">
        <v>11410</v>
      </c>
      <c r="F7511">
        <v>125684.33</v>
      </c>
      <c r="G7511">
        <v>0</v>
      </c>
      <c r="H7511">
        <v>0</v>
      </c>
      <c r="I7511">
        <v>0</v>
      </c>
      <c r="J7511">
        <v>0</v>
      </c>
      <c r="K7511">
        <v>0</v>
      </c>
      <c r="L7511">
        <v>12000000</v>
      </c>
      <c r="M7511">
        <v>12000000</v>
      </c>
      <c r="N7511">
        <v>12000000</v>
      </c>
      <c r="O7511">
        <v>12000000</v>
      </c>
      <c r="P7511">
        <v>12000000</v>
      </c>
      <c r="Q7511">
        <v>12000000</v>
      </c>
      <c r="R7511" s="14">
        <f>_xlfn.XLOOKUP(Table2[[#This Row],[LoanID]],Table1[G-L ID],Table1[ManagerCode],-99)</f>
        <v>119</v>
      </c>
      <c r="T7511"/>
    </row>
    <row r="7512" spans="1:20" x14ac:dyDescent="0.25">
      <c r="A7512">
        <v>20180930</v>
      </c>
      <c r="B7512">
        <v>2018</v>
      </c>
      <c r="C7512">
        <v>9</v>
      </c>
      <c r="D7512">
        <v>1</v>
      </c>
      <c r="E7512">
        <v>11440</v>
      </c>
      <c r="F7512">
        <v>156250</v>
      </c>
      <c r="G7512">
        <v>0</v>
      </c>
      <c r="H7512">
        <v>583833.32999999996</v>
      </c>
      <c r="I7512">
        <v>0</v>
      </c>
      <c r="J7512">
        <v>0</v>
      </c>
      <c r="K7512">
        <v>18750000</v>
      </c>
      <c r="L7512">
        <v>18750000</v>
      </c>
      <c r="M7512">
        <v>0</v>
      </c>
      <c r="N7512">
        <v>18750000</v>
      </c>
      <c r="O7512">
        <v>0</v>
      </c>
      <c r="P7512">
        <v>18750000</v>
      </c>
      <c r="Q7512">
        <v>0</v>
      </c>
      <c r="R7512" s="14">
        <f>_xlfn.XLOOKUP(Table2[[#This Row],[LoanID]],Table1[G-L ID],Table1[ManagerCode],-99)</f>
        <v>183</v>
      </c>
      <c r="T7512"/>
    </row>
    <row r="7513" spans="1:20" x14ac:dyDescent="0.25">
      <c r="A7513">
        <v>20180930</v>
      </c>
      <c r="B7513">
        <v>2018</v>
      </c>
      <c r="C7513">
        <v>9</v>
      </c>
      <c r="D7513">
        <v>1</v>
      </c>
      <c r="E7513">
        <v>11450</v>
      </c>
      <c r="F7513">
        <v>160236.99</v>
      </c>
      <c r="G7513">
        <v>0</v>
      </c>
      <c r="H7513">
        <v>0</v>
      </c>
      <c r="I7513">
        <v>0</v>
      </c>
      <c r="J7513">
        <v>0</v>
      </c>
      <c r="K7513">
        <v>0</v>
      </c>
      <c r="L7513">
        <v>16803230.300000001</v>
      </c>
      <c r="M7513">
        <v>16803230.300000001</v>
      </c>
      <c r="N7513">
        <v>16803230.300000001</v>
      </c>
      <c r="O7513">
        <v>16803230.300000001</v>
      </c>
      <c r="P7513">
        <v>16803230.300000001</v>
      </c>
      <c r="Q7513">
        <v>16803230.300000001</v>
      </c>
      <c r="R7513" s="14">
        <f>_xlfn.XLOOKUP(Table2[[#This Row],[LoanID]],Table1[G-L ID],Table1[ManagerCode],-99)</f>
        <v>119</v>
      </c>
      <c r="T7513"/>
    </row>
    <row r="7514" spans="1:20" x14ac:dyDescent="0.25">
      <c r="A7514">
        <v>20180930</v>
      </c>
      <c r="B7514">
        <v>2018</v>
      </c>
      <c r="C7514">
        <v>9</v>
      </c>
      <c r="D7514">
        <v>1</v>
      </c>
      <c r="E7514">
        <v>11520</v>
      </c>
      <c r="F7514">
        <v>67287.490000000005</v>
      </c>
      <c r="G7514">
        <v>0</v>
      </c>
      <c r="H7514">
        <v>0</v>
      </c>
      <c r="I7514">
        <v>0</v>
      </c>
      <c r="J7514">
        <v>0</v>
      </c>
      <c r="K7514">
        <v>0</v>
      </c>
      <c r="L7514">
        <v>8405516.8200000003</v>
      </c>
      <c r="M7514">
        <v>8405516.8200000003</v>
      </c>
      <c r="N7514">
        <v>8405516.8200000003</v>
      </c>
      <c r="O7514">
        <v>8405516.8200000003</v>
      </c>
      <c r="P7514">
        <v>8405516.8200000003</v>
      </c>
      <c r="Q7514">
        <v>8405516.8200000003</v>
      </c>
      <c r="R7514" s="14">
        <f>_xlfn.XLOOKUP(Table2[[#This Row],[LoanID]],Table1[G-L ID],Table1[ManagerCode],-99)</f>
        <v>119</v>
      </c>
      <c r="T7514"/>
    </row>
    <row r="7515" spans="1:20" x14ac:dyDescent="0.25">
      <c r="A7515">
        <v>20180930</v>
      </c>
      <c r="B7515">
        <v>2018</v>
      </c>
      <c r="C7515">
        <v>9</v>
      </c>
      <c r="D7515">
        <v>1</v>
      </c>
      <c r="E7515">
        <v>11530</v>
      </c>
      <c r="F7515">
        <v>156754.87</v>
      </c>
      <c r="G7515">
        <v>0</v>
      </c>
      <c r="H7515">
        <v>0</v>
      </c>
      <c r="I7515">
        <v>0</v>
      </c>
      <c r="J7515">
        <v>0</v>
      </c>
      <c r="K7515">
        <v>0</v>
      </c>
      <c r="L7515">
        <v>14260454.07</v>
      </c>
      <c r="M7515">
        <v>14260454.07</v>
      </c>
      <c r="N7515">
        <v>14260454.07</v>
      </c>
      <c r="O7515">
        <v>14260454.07</v>
      </c>
      <c r="P7515">
        <v>14260454.07</v>
      </c>
      <c r="Q7515">
        <v>14260454.07</v>
      </c>
      <c r="R7515" s="14">
        <f>_xlfn.XLOOKUP(Table2[[#This Row],[LoanID]],Table1[G-L ID],Table1[ManagerCode],-99)</f>
        <v>119</v>
      </c>
      <c r="T7515"/>
    </row>
    <row r="7516" spans="1:20" x14ac:dyDescent="0.25">
      <c r="A7516">
        <v>20180930</v>
      </c>
      <c r="B7516">
        <v>2018</v>
      </c>
      <c r="C7516">
        <v>9</v>
      </c>
      <c r="D7516">
        <v>1</v>
      </c>
      <c r="E7516">
        <v>11590</v>
      </c>
      <c r="F7516">
        <v>16318.64</v>
      </c>
      <c r="G7516">
        <v>0</v>
      </c>
      <c r="H7516">
        <v>0</v>
      </c>
      <c r="I7516">
        <v>0</v>
      </c>
      <c r="J7516">
        <v>0</v>
      </c>
      <c r="K7516">
        <v>0</v>
      </c>
      <c r="L7516">
        <v>1982289.13</v>
      </c>
      <c r="M7516">
        <v>1982289.13</v>
      </c>
      <c r="N7516">
        <v>1982289.13</v>
      </c>
      <c r="O7516">
        <v>1982289.13</v>
      </c>
      <c r="P7516">
        <v>1982289.13</v>
      </c>
      <c r="Q7516">
        <v>1982289.13</v>
      </c>
      <c r="R7516" s="14">
        <f>_xlfn.XLOOKUP(Table2[[#This Row],[LoanID]],Table1[G-L ID],Table1[ManagerCode],-99)</f>
        <v>119</v>
      </c>
      <c r="T7516"/>
    </row>
    <row r="7517" spans="1:20" x14ac:dyDescent="0.25">
      <c r="A7517">
        <v>20180930</v>
      </c>
      <c r="B7517">
        <v>2018</v>
      </c>
      <c r="C7517">
        <v>9</v>
      </c>
      <c r="D7517">
        <v>1</v>
      </c>
      <c r="E7517">
        <v>11680</v>
      </c>
      <c r="F7517">
        <v>57126.559999999998</v>
      </c>
      <c r="G7517">
        <v>0</v>
      </c>
      <c r="H7517">
        <v>0</v>
      </c>
      <c r="I7517">
        <v>0</v>
      </c>
      <c r="J7517">
        <v>0</v>
      </c>
      <c r="K7517">
        <v>0</v>
      </c>
      <c r="L7517">
        <v>6600000</v>
      </c>
      <c r="M7517">
        <v>6600000</v>
      </c>
      <c r="N7517">
        <v>6600000</v>
      </c>
      <c r="O7517">
        <v>6600000</v>
      </c>
      <c r="P7517">
        <v>6600000</v>
      </c>
      <c r="Q7517">
        <v>6600000</v>
      </c>
      <c r="R7517" s="14">
        <f>_xlfn.XLOOKUP(Table2[[#This Row],[LoanID]],Table1[G-L ID],Table1[ManagerCode],-99)</f>
        <v>183</v>
      </c>
      <c r="T7517"/>
    </row>
    <row r="7518" spans="1:20" x14ac:dyDescent="0.25">
      <c r="A7518">
        <v>20180930</v>
      </c>
      <c r="B7518">
        <v>2018</v>
      </c>
      <c r="C7518">
        <v>9</v>
      </c>
      <c r="D7518">
        <v>1</v>
      </c>
      <c r="E7518">
        <v>11690</v>
      </c>
      <c r="F7518">
        <v>161950.03</v>
      </c>
      <c r="G7518">
        <v>0</v>
      </c>
      <c r="H7518">
        <v>0</v>
      </c>
      <c r="I7518">
        <v>0</v>
      </c>
      <c r="J7518">
        <v>0</v>
      </c>
      <c r="K7518">
        <v>0</v>
      </c>
      <c r="L7518">
        <v>17000000</v>
      </c>
      <c r="M7518">
        <v>17000000</v>
      </c>
      <c r="N7518">
        <v>17000000</v>
      </c>
      <c r="O7518">
        <v>17000000</v>
      </c>
      <c r="P7518">
        <v>17000000</v>
      </c>
      <c r="Q7518">
        <v>17000000</v>
      </c>
      <c r="R7518" s="14">
        <f>_xlfn.XLOOKUP(Table2[[#This Row],[LoanID]],Table1[G-L ID],Table1[ManagerCode],-99)</f>
        <v>119</v>
      </c>
      <c r="T7518"/>
    </row>
    <row r="7519" spans="1:20" x14ac:dyDescent="0.25">
      <c r="A7519">
        <v>20180930</v>
      </c>
      <c r="B7519">
        <v>2018</v>
      </c>
      <c r="C7519">
        <v>9</v>
      </c>
      <c r="D7519">
        <v>1</v>
      </c>
      <c r="E7519">
        <v>11830</v>
      </c>
      <c r="F7519">
        <v>119878.32</v>
      </c>
      <c r="G7519">
        <v>0</v>
      </c>
      <c r="H7519">
        <v>0</v>
      </c>
      <c r="I7519">
        <v>0</v>
      </c>
      <c r="J7519">
        <v>-510006.56</v>
      </c>
      <c r="K7519">
        <v>0</v>
      </c>
      <c r="L7519">
        <v>13834719.1</v>
      </c>
      <c r="M7519">
        <v>14344725.66</v>
      </c>
      <c r="N7519">
        <v>13834719.1</v>
      </c>
      <c r="O7519">
        <v>14344725.66</v>
      </c>
      <c r="P7519">
        <v>13834719.1</v>
      </c>
      <c r="Q7519">
        <v>14344725.66</v>
      </c>
      <c r="R7519" s="14">
        <f>_xlfn.XLOOKUP(Table2[[#This Row],[LoanID]],Table1[G-L ID],Table1[ManagerCode],-99)</f>
        <v>119</v>
      </c>
      <c r="T7519"/>
    </row>
    <row r="7520" spans="1:20" x14ac:dyDescent="0.25">
      <c r="A7520">
        <v>20180930</v>
      </c>
      <c r="B7520">
        <v>2018</v>
      </c>
      <c r="C7520">
        <v>9</v>
      </c>
      <c r="D7520">
        <v>1</v>
      </c>
      <c r="E7520">
        <v>12180</v>
      </c>
      <c r="F7520">
        <v>250282.18</v>
      </c>
      <c r="G7520">
        <v>0</v>
      </c>
      <c r="H7520">
        <v>0</v>
      </c>
      <c r="I7520">
        <v>0</v>
      </c>
      <c r="J7520">
        <v>0</v>
      </c>
      <c r="K7520">
        <v>0</v>
      </c>
      <c r="L7520">
        <v>30400000</v>
      </c>
      <c r="M7520">
        <v>30400000</v>
      </c>
      <c r="N7520">
        <v>30400000</v>
      </c>
      <c r="O7520">
        <v>30400000</v>
      </c>
      <c r="P7520">
        <v>30393210.870000001</v>
      </c>
      <c r="Q7520">
        <v>30393210.870000001</v>
      </c>
      <c r="R7520" s="14">
        <f>_xlfn.XLOOKUP(Table2[[#This Row],[LoanID]],Table1[G-L ID],Table1[ManagerCode],-99)</f>
        <v>220</v>
      </c>
      <c r="T7520"/>
    </row>
    <row r="7521" spans="1:20" x14ac:dyDescent="0.25">
      <c r="A7521">
        <v>20180930</v>
      </c>
      <c r="B7521">
        <v>2018</v>
      </c>
      <c r="C7521">
        <v>9</v>
      </c>
      <c r="D7521">
        <v>1</v>
      </c>
      <c r="E7521">
        <v>12220</v>
      </c>
      <c r="F7521">
        <v>200141.6</v>
      </c>
      <c r="G7521">
        <v>0</v>
      </c>
      <c r="H7521">
        <v>0</v>
      </c>
      <c r="I7521">
        <v>0</v>
      </c>
      <c r="J7521">
        <v>0</v>
      </c>
      <c r="K7521">
        <v>0</v>
      </c>
      <c r="L7521">
        <v>54500000</v>
      </c>
      <c r="M7521">
        <v>54500000</v>
      </c>
      <c r="N7521">
        <v>27250000</v>
      </c>
      <c r="O7521">
        <v>27250000</v>
      </c>
      <c r="P7521">
        <v>54500000</v>
      </c>
      <c r="Q7521">
        <v>54500000</v>
      </c>
      <c r="R7521" s="14">
        <f>_xlfn.XLOOKUP(Table2[[#This Row],[LoanID]],Table1[G-L ID],Table1[ManagerCode],-99)</f>
        <v>183</v>
      </c>
      <c r="T7521"/>
    </row>
    <row r="7522" spans="1:20" x14ac:dyDescent="0.25">
      <c r="A7522">
        <v>20180930</v>
      </c>
      <c r="B7522">
        <v>2018</v>
      </c>
      <c r="C7522">
        <v>9</v>
      </c>
      <c r="D7522">
        <v>1</v>
      </c>
      <c r="E7522">
        <v>12250</v>
      </c>
      <c r="F7522">
        <v>115041.60000000001</v>
      </c>
      <c r="G7522">
        <v>0</v>
      </c>
      <c r="H7522">
        <v>0</v>
      </c>
      <c r="I7522">
        <v>0</v>
      </c>
      <c r="J7522">
        <v>0</v>
      </c>
      <c r="K7522">
        <v>0</v>
      </c>
      <c r="L7522">
        <v>12965554.66</v>
      </c>
      <c r="M7522">
        <v>12965554.66</v>
      </c>
      <c r="N7522">
        <v>12965554.66</v>
      </c>
      <c r="O7522">
        <v>12965554.66</v>
      </c>
      <c r="P7522">
        <v>12965554.66</v>
      </c>
      <c r="Q7522">
        <v>12965554.66</v>
      </c>
      <c r="R7522" s="14">
        <f>_xlfn.XLOOKUP(Table2[[#This Row],[LoanID]],Table1[G-L ID],Table1[ManagerCode],-99)</f>
        <v>119</v>
      </c>
      <c r="T7522"/>
    </row>
    <row r="7523" spans="1:20" x14ac:dyDescent="0.25">
      <c r="A7523">
        <v>20180930</v>
      </c>
      <c r="B7523">
        <v>2018</v>
      </c>
      <c r="C7523">
        <v>9</v>
      </c>
      <c r="D7523">
        <v>1</v>
      </c>
      <c r="E7523">
        <v>12260</v>
      </c>
      <c r="F7523">
        <v>133775.09</v>
      </c>
      <c r="G7523">
        <v>0</v>
      </c>
      <c r="H7523">
        <v>246250</v>
      </c>
      <c r="I7523">
        <v>0</v>
      </c>
      <c r="J7523">
        <v>-3696787.3</v>
      </c>
      <c r="K7523">
        <v>0</v>
      </c>
      <c r="L7523">
        <v>13540145.83</v>
      </c>
      <c r="M7523">
        <v>17236933.129999999</v>
      </c>
      <c r="N7523">
        <v>13540145.83</v>
      </c>
      <c r="O7523">
        <v>17236933.129999999</v>
      </c>
      <c r="P7523">
        <v>13540145.83</v>
      </c>
      <c r="Q7523">
        <v>17236933.129999999</v>
      </c>
      <c r="R7523" s="14">
        <f>_xlfn.XLOOKUP(Table2[[#This Row],[LoanID]],Table1[G-L ID],Table1[ManagerCode],-99)</f>
        <v>119</v>
      </c>
      <c r="T7523"/>
    </row>
    <row r="7524" spans="1:20" x14ac:dyDescent="0.25">
      <c r="A7524">
        <v>20180930</v>
      </c>
      <c r="B7524">
        <v>2018</v>
      </c>
      <c r="C7524">
        <v>9</v>
      </c>
      <c r="D7524">
        <v>1</v>
      </c>
      <c r="E7524">
        <v>12270</v>
      </c>
      <c r="F7524">
        <v>90639.95</v>
      </c>
      <c r="G7524">
        <v>0</v>
      </c>
      <c r="H7524">
        <v>0</v>
      </c>
      <c r="I7524">
        <v>0</v>
      </c>
      <c r="J7524">
        <v>0</v>
      </c>
      <c r="K7524">
        <v>4046114.4</v>
      </c>
      <c r="L7524">
        <v>4786147.21</v>
      </c>
      <c r="M7524">
        <v>740032.81</v>
      </c>
      <c r="N7524">
        <v>4786147.21</v>
      </c>
      <c r="O7524">
        <v>740032.81</v>
      </c>
      <c r="P7524">
        <v>4786147.21</v>
      </c>
      <c r="Q7524">
        <v>740032.81</v>
      </c>
      <c r="R7524" s="14">
        <f>_xlfn.XLOOKUP(Table2[[#This Row],[LoanID]],Table1[G-L ID],Table1[ManagerCode],-99)</f>
        <v>119</v>
      </c>
      <c r="T7524"/>
    </row>
    <row r="7525" spans="1:20" x14ac:dyDescent="0.25">
      <c r="A7525">
        <v>20180930</v>
      </c>
      <c r="B7525">
        <v>2018</v>
      </c>
      <c r="C7525">
        <v>9</v>
      </c>
      <c r="D7525">
        <v>1</v>
      </c>
      <c r="E7525">
        <v>12280</v>
      </c>
      <c r="F7525">
        <v>211925.12</v>
      </c>
      <c r="G7525">
        <v>0</v>
      </c>
      <c r="H7525">
        <v>0</v>
      </c>
      <c r="I7525">
        <v>0</v>
      </c>
      <c r="J7525">
        <v>-945367.78</v>
      </c>
      <c r="K7525">
        <v>0</v>
      </c>
      <c r="L7525">
        <v>26337337.68</v>
      </c>
      <c r="M7525">
        <v>27282705.460000001</v>
      </c>
      <c r="N7525">
        <v>26337337.68</v>
      </c>
      <c r="O7525">
        <v>27282705.460000001</v>
      </c>
      <c r="P7525">
        <v>26337337.68</v>
      </c>
      <c r="Q7525">
        <v>27282705.460000001</v>
      </c>
      <c r="R7525" s="14">
        <f>_xlfn.XLOOKUP(Table2[[#This Row],[LoanID]],Table1[G-L ID],Table1[ManagerCode],-99)</f>
        <v>119</v>
      </c>
      <c r="T7525"/>
    </row>
    <row r="7526" spans="1:20" x14ac:dyDescent="0.25">
      <c r="A7526">
        <v>20180930</v>
      </c>
      <c r="B7526">
        <v>2018</v>
      </c>
      <c r="C7526">
        <v>9</v>
      </c>
      <c r="D7526">
        <v>1</v>
      </c>
      <c r="E7526">
        <v>12290</v>
      </c>
      <c r="F7526">
        <v>218274.88</v>
      </c>
      <c r="G7526">
        <v>0</v>
      </c>
      <c r="H7526">
        <v>0</v>
      </c>
      <c r="I7526">
        <v>0</v>
      </c>
      <c r="J7526">
        <v>0</v>
      </c>
      <c r="K7526">
        <v>0</v>
      </c>
      <c r="L7526">
        <v>22750000</v>
      </c>
      <c r="M7526">
        <v>22750000</v>
      </c>
      <c r="N7526">
        <v>22750000</v>
      </c>
      <c r="O7526">
        <v>22750000</v>
      </c>
      <c r="P7526">
        <v>22750000</v>
      </c>
      <c r="Q7526">
        <v>22750000</v>
      </c>
      <c r="R7526" s="14">
        <f>_xlfn.XLOOKUP(Table2[[#This Row],[LoanID]],Table1[G-L ID],Table1[ManagerCode],-99)</f>
        <v>119</v>
      </c>
      <c r="T7526"/>
    </row>
    <row r="7527" spans="1:20" x14ac:dyDescent="0.25">
      <c r="A7527">
        <v>20180930</v>
      </c>
      <c r="B7527">
        <v>2018</v>
      </c>
      <c r="C7527">
        <v>9</v>
      </c>
      <c r="D7527">
        <v>1</v>
      </c>
      <c r="E7527">
        <v>12310</v>
      </c>
      <c r="F7527">
        <v>151797.16</v>
      </c>
      <c r="G7527">
        <v>0</v>
      </c>
      <c r="H7527">
        <v>0</v>
      </c>
      <c r="I7527">
        <v>0</v>
      </c>
      <c r="J7527">
        <v>0</v>
      </c>
      <c r="K7527">
        <v>0</v>
      </c>
      <c r="L7527">
        <v>16375000</v>
      </c>
      <c r="M7527">
        <v>16375000</v>
      </c>
      <c r="N7527">
        <v>16375000</v>
      </c>
      <c r="O7527">
        <v>16375000</v>
      </c>
      <c r="P7527">
        <v>16375000</v>
      </c>
      <c r="Q7527">
        <v>16375000</v>
      </c>
      <c r="R7527" s="14">
        <f>_xlfn.XLOOKUP(Table2[[#This Row],[LoanID]],Table1[G-L ID],Table1[ManagerCode],-99)</f>
        <v>119</v>
      </c>
      <c r="T7527"/>
    </row>
    <row r="7528" spans="1:20" x14ac:dyDescent="0.25">
      <c r="A7528">
        <v>20180930</v>
      </c>
      <c r="B7528">
        <v>2018</v>
      </c>
      <c r="C7528">
        <v>9</v>
      </c>
      <c r="D7528">
        <v>1</v>
      </c>
      <c r="E7528">
        <v>12320</v>
      </c>
      <c r="F7528">
        <v>114057.7</v>
      </c>
      <c r="G7528">
        <v>0</v>
      </c>
      <c r="H7528">
        <v>0</v>
      </c>
      <c r="I7528">
        <v>0</v>
      </c>
      <c r="J7528">
        <v>0</v>
      </c>
      <c r="K7528">
        <v>0</v>
      </c>
      <c r="L7528">
        <v>11750000</v>
      </c>
      <c r="M7528">
        <v>11750000</v>
      </c>
      <c r="N7528">
        <v>11750000</v>
      </c>
      <c r="O7528">
        <v>11750000</v>
      </c>
      <c r="P7528">
        <v>11750000</v>
      </c>
      <c r="Q7528">
        <v>11750000</v>
      </c>
      <c r="R7528" s="14">
        <f>_xlfn.XLOOKUP(Table2[[#This Row],[LoanID]],Table1[G-L ID],Table1[ManagerCode],-99)</f>
        <v>119</v>
      </c>
      <c r="T7528"/>
    </row>
    <row r="7529" spans="1:20" x14ac:dyDescent="0.25">
      <c r="A7529">
        <v>20180930</v>
      </c>
      <c r="B7529">
        <v>2018</v>
      </c>
      <c r="C7529">
        <v>9</v>
      </c>
      <c r="D7529">
        <v>1</v>
      </c>
      <c r="E7529">
        <v>12330</v>
      </c>
      <c r="F7529">
        <v>220495.06</v>
      </c>
      <c r="G7529">
        <v>0</v>
      </c>
      <c r="H7529">
        <v>0</v>
      </c>
      <c r="I7529">
        <v>0</v>
      </c>
      <c r="J7529">
        <v>0</v>
      </c>
      <c r="K7529">
        <v>0</v>
      </c>
      <c r="L7529">
        <v>19976500</v>
      </c>
      <c r="M7529">
        <v>19976500</v>
      </c>
      <c r="N7529">
        <v>19976500</v>
      </c>
      <c r="O7529">
        <v>19976500</v>
      </c>
      <c r="P7529">
        <v>19976500</v>
      </c>
      <c r="Q7529">
        <v>19976500</v>
      </c>
      <c r="R7529" s="14">
        <f>_xlfn.XLOOKUP(Table2[[#This Row],[LoanID]],Table1[G-L ID],Table1[ManagerCode],-99)</f>
        <v>119</v>
      </c>
      <c r="T7529"/>
    </row>
    <row r="7530" spans="1:20" x14ac:dyDescent="0.25">
      <c r="A7530">
        <v>20180930</v>
      </c>
      <c r="B7530">
        <v>2018</v>
      </c>
      <c r="C7530">
        <v>9</v>
      </c>
      <c r="D7530">
        <v>1</v>
      </c>
      <c r="E7530">
        <v>12340</v>
      </c>
      <c r="F7530">
        <v>61724</v>
      </c>
      <c r="G7530">
        <v>0</v>
      </c>
      <c r="H7530">
        <v>0</v>
      </c>
      <c r="I7530">
        <v>0</v>
      </c>
      <c r="J7530">
        <v>0</v>
      </c>
      <c r="K7530">
        <v>0</v>
      </c>
      <c r="L7530">
        <v>24180000</v>
      </c>
      <c r="M7530">
        <v>24180000</v>
      </c>
      <c r="N7530">
        <v>12180000</v>
      </c>
      <c r="O7530">
        <v>12180000</v>
      </c>
      <c r="P7530">
        <v>24180000</v>
      </c>
      <c r="Q7530">
        <v>24180000</v>
      </c>
      <c r="R7530" s="14">
        <f>_xlfn.XLOOKUP(Table2[[#This Row],[LoanID]],Table1[G-L ID],Table1[ManagerCode],-99)</f>
        <v>183</v>
      </c>
      <c r="T7530"/>
    </row>
    <row r="7531" spans="1:20" x14ac:dyDescent="0.25">
      <c r="A7531">
        <v>20180930</v>
      </c>
      <c r="B7531">
        <v>2018</v>
      </c>
      <c r="C7531">
        <v>9</v>
      </c>
      <c r="D7531">
        <v>1</v>
      </c>
      <c r="E7531">
        <v>12350</v>
      </c>
      <c r="F7531">
        <v>187768.13</v>
      </c>
      <c r="G7531">
        <v>0</v>
      </c>
      <c r="H7531">
        <v>0</v>
      </c>
      <c r="I7531">
        <v>0</v>
      </c>
      <c r="J7531">
        <v>0</v>
      </c>
      <c r="K7531">
        <v>0</v>
      </c>
      <c r="L7531">
        <v>65113224.079999998</v>
      </c>
      <c r="M7531">
        <v>65113224.079999998</v>
      </c>
      <c r="N7531">
        <v>27613224.079999998</v>
      </c>
      <c r="O7531">
        <v>27613224.079999998</v>
      </c>
      <c r="P7531">
        <v>65113224.079999998</v>
      </c>
      <c r="Q7531">
        <v>65113224.079999998</v>
      </c>
      <c r="R7531" s="14">
        <f>_xlfn.XLOOKUP(Table2[[#This Row],[LoanID]],Table1[G-L ID],Table1[ManagerCode],-99)</f>
        <v>183</v>
      </c>
      <c r="T7531"/>
    </row>
    <row r="7532" spans="1:20" x14ac:dyDescent="0.25">
      <c r="A7532">
        <v>20180930</v>
      </c>
      <c r="B7532">
        <v>2018</v>
      </c>
      <c r="C7532">
        <v>9</v>
      </c>
      <c r="D7532">
        <v>1</v>
      </c>
      <c r="E7532">
        <v>12360</v>
      </c>
      <c r="F7532">
        <v>127873.3</v>
      </c>
      <c r="G7532">
        <v>0</v>
      </c>
      <c r="H7532">
        <v>0</v>
      </c>
      <c r="I7532">
        <v>0</v>
      </c>
      <c r="J7532">
        <v>0</v>
      </c>
      <c r="K7532">
        <v>0</v>
      </c>
      <c r="L7532">
        <v>60000000</v>
      </c>
      <c r="M7532">
        <v>60000000</v>
      </c>
      <c r="N7532">
        <v>19000000</v>
      </c>
      <c r="O7532">
        <v>19000000</v>
      </c>
      <c r="P7532">
        <v>60000000</v>
      </c>
      <c r="Q7532">
        <v>60000000</v>
      </c>
      <c r="R7532" s="14">
        <f>_xlfn.XLOOKUP(Table2[[#This Row],[LoanID]],Table1[G-L ID],Table1[ManagerCode],-99)</f>
        <v>183</v>
      </c>
      <c r="T7532"/>
    </row>
    <row r="7533" spans="1:20" x14ac:dyDescent="0.25">
      <c r="A7533">
        <v>20180930</v>
      </c>
      <c r="B7533">
        <v>2018</v>
      </c>
      <c r="C7533">
        <v>9</v>
      </c>
      <c r="D7533">
        <v>1</v>
      </c>
      <c r="E7533">
        <v>12370</v>
      </c>
      <c r="F7533">
        <v>367679.17</v>
      </c>
      <c r="G7533">
        <v>0</v>
      </c>
      <c r="H7533">
        <v>0</v>
      </c>
      <c r="I7533">
        <v>0</v>
      </c>
      <c r="J7533">
        <v>0</v>
      </c>
      <c r="K7533">
        <v>0</v>
      </c>
      <c r="L7533">
        <v>104000000</v>
      </c>
      <c r="M7533">
        <v>104000000</v>
      </c>
      <c r="N7533">
        <v>44000000</v>
      </c>
      <c r="O7533">
        <v>44000000</v>
      </c>
      <c r="P7533">
        <v>104000000</v>
      </c>
      <c r="Q7533">
        <v>104000000</v>
      </c>
      <c r="R7533" s="14">
        <f>_xlfn.XLOOKUP(Table2[[#This Row],[LoanID]],Table1[G-L ID],Table1[ManagerCode],-99)</f>
        <v>183</v>
      </c>
      <c r="T7533"/>
    </row>
    <row r="7534" spans="1:20" x14ac:dyDescent="0.25">
      <c r="A7534">
        <v>20180930</v>
      </c>
      <c r="B7534">
        <v>2018</v>
      </c>
      <c r="C7534">
        <v>9</v>
      </c>
      <c r="D7534">
        <v>1</v>
      </c>
      <c r="E7534">
        <v>12380</v>
      </c>
      <c r="F7534">
        <v>85328.76</v>
      </c>
      <c r="G7534">
        <v>0</v>
      </c>
      <c r="H7534">
        <v>0</v>
      </c>
      <c r="I7534">
        <v>0</v>
      </c>
      <c r="J7534">
        <v>0</v>
      </c>
      <c r="K7534">
        <v>0</v>
      </c>
      <c r="L7534">
        <v>32500000</v>
      </c>
      <c r="M7534">
        <v>32500000</v>
      </c>
      <c r="N7534">
        <v>12350000</v>
      </c>
      <c r="O7534">
        <v>12350000</v>
      </c>
      <c r="P7534">
        <v>32500000</v>
      </c>
      <c r="Q7534">
        <v>32500000</v>
      </c>
      <c r="R7534" s="14">
        <f>_xlfn.XLOOKUP(Table2[[#This Row],[LoanID]],Table1[G-L ID],Table1[ManagerCode],-99)</f>
        <v>183</v>
      </c>
      <c r="T7534"/>
    </row>
    <row r="7535" spans="1:20" x14ac:dyDescent="0.25">
      <c r="A7535">
        <v>20180930</v>
      </c>
      <c r="B7535">
        <v>2018</v>
      </c>
      <c r="C7535">
        <v>9</v>
      </c>
      <c r="D7535">
        <v>1</v>
      </c>
      <c r="E7535">
        <v>12390</v>
      </c>
      <c r="F7535">
        <v>561460.6</v>
      </c>
      <c r="G7535">
        <v>496723.17</v>
      </c>
      <c r="H7535">
        <v>0</v>
      </c>
      <c r="I7535">
        <v>0</v>
      </c>
      <c r="J7535">
        <v>-7902358.1399999997</v>
      </c>
      <c r="K7535">
        <v>0</v>
      </c>
      <c r="L7535">
        <v>78213454.840000004</v>
      </c>
      <c r="M7535">
        <v>86612536.150000006</v>
      </c>
      <c r="N7535">
        <v>78213454.840000004</v>
      </c>
      <c r="O7535">
        <v>86612536.150000006</v>
      </c>
      <c r="P7535">
        <v>78213454.840000004</v>
      </c>
      <c r="Q7535">
        <v>86612536.150000006</v>
      </c>
      <c r="R7535" s="14">
        <f>_xlfn.XLOOKUP(Table2[[#This Row],[LoanID]],Table1[G-L ID],Table1[ManagerCode],-99)</f>
        <v>183</v>
      </c>
      <c r="T7535"/>
    </row>
    <row r="7536" spans="1:20" x14ac:dyDescent="0.25">
      <c r="A7536">
        <v>20180930</v>
      </c>
      <c r="B7536">
        <v>2018</v>
      </c>
      <c r="C7536">
        <v>9</v>
      </c>
      <c r="D7536">
        <v>1</v>
      </c>
      <c r="E7536">
        <v>12400</v>
      </c>
      <c r="F7536">
        <v>99648.02</v>
      </c>
      <c r="G7536">
        <v>114217.81</v>
      </c>
      <c r="H7536">
        <v>0</v>
      </c>
      <c r="I7536">
        <v>0</v>
      </c>
      <c r="J7536">
        <v>-1421737.44</v>
      </c>
      <c r="K7536">
        <v>0</v>
      </c>
      <c r="L7536">
        <v>20476092.059999999</v>
      </c>
      <c r="M7536">
        <v>22012047.309999999</v>
      </c>
      <c r="N7536">
        <v>20476092.059999999</v>
      </c>
      <c r="O7536">
        <v>22012047.309999999</v>
      </c>
      <c r="P7536">
        <v>20476092.059999999</v>
      </c>
      <c r="Q7536">
        <v>22012047.309999999</v>
      </c>
      <c r="R7536" s="14">
        <f>_xlfn.XLOOKUP(Table2[[#This Row],[LoanID]],Table1[G-L ID],Table1[ManagerCode],-99)</f>
        <v>183</v>
      </c>
      <c r="T7536"/>
    </row>
    <row r="7537" spans="1:20" x14ac:dyDescent="0.25">
      <c r="A7537">
        <v>20180930</v>
      </c>
      <c r="B7537">
        <v>2018</v>
      </c>
      <c r="C7537">
        <v>9</v>
      </c>
      <c r="D7537">
        <v>1</v>
      </c>
      <c r="E7537">
        <v>12410</v>
      </c>
      <c r="F7537">
        <v>323310.67</v>
      </c>
      <c r="G7537">
        <v>258648.54</v>
      </c>
      <c r="H7537">
        <v>0</v>
      </c>
      <c r="I7537">
        <v>0</v>
      </c>
      <c r="J7537">
        <v>0</v>
      </c>
      <c r="K7537">
        <v>0</v>
      </c>
      <c r="L7537">
        <v>74389134.719999999</v>
      </c>
      <c r="M7537">
        <v>73759509.450000003</v>
      </c>
      <c r="N7537">
        <v>74389134.719999999</v>
      </c>
      <c r="O7537">
        <v>73759509.450000003</v>
      </c>
      <c r="P7537">
        <v>78562141.579999998</v>
      </c>
      <c r="Q7537">
        <v>78820790.120000005</v>
      </c>
      <c r="R7537" s="14">
        <f>_xlfn.XLOOKUP(Table2[[#This Row],[LoanID]],Table1[G-L ID],Table1[ManagerCode],-99)</f>
        <v>103</v>
      </c>
      <c r="T7537"/>
    </row>
    <row r="7538" spans="1:20" x14ac:dyDescent="0.25">
      <c r="A7538">
        <v>20180930</v>
      </c>
      <c r="B7538">
        <v>2018</v>
      </c>
      <c r="C7538">
        <v>9</v>
      </c>
      <c r="D7538">
        <v>1</v>
      </c>
      <c r="E7538">
        <v>12420</v>
      </c>
      <c r="F7538">
        <v>56416.76</v>
      </c>
      <c r="G7538">
        <v>0</v>
      </c>
      <c r="H7538">
        <v>0</v>
      </c>
      <c r="I7538">
        <v>0</v>
      </c>
      <c r="J7538">
        <v>0</v>
      </c>
      <c r="K7538">
        <v>3293821.58</v>
      </c>
      <c r="L7538">
        <v>3293821.58</v>
      </c>
      <c r="M7538">
        <v>0</v>
      </c>
      <c r="N7538">
        <v>3293821.58</v>
      </c>
      <c r="O7538">
        <v>0</v>
      </c>
      <c r="P7538">
        <v>3293821.58</v>
      </c>
      <c r="Q7538">
        <v>0</v>
      </c>
      <c r="R7538" s="14">
        <f>_xlfn.XLOOKUP(Table2[[#This Row],[LoanID]],Table1[G-L ID],Table1[ManagerCode],-99)</f>
        <v>103</v>
      </c>
      <c r="T7538"/>
    </row>
    <row r="7539" spans="1:20" x14ac:dyDescent="0.25">
      <c r="A7539">
        <v>20180930</v>
      </c>
      <c r="B7539">
        <v>2018</v>
      </c>
      <c r="C7539">
        <v>9</v>
      </c>
      <c r="D7539">
        <v>1</v>
      </c>
      <c r="E7539">
        <v>12430</v>
      </c>
      <c r="F7539">
        <v>81617.899999999994</v>
      </c>
      <c r="G7539">
        <v>0</v>
      </c>
      <c r="H7539">
        <v>0</v>
      </c>
      <c r="I7539">
        <v>0</v>
      </c>
      <c r="J7539">
        <v>-81617.899999999994</v>
      </c>
      <c r="K7539">
        <v>0</v>
      </c>
      <c r="L7539">
        <v>22237983.93</v>
      </c>
      <c r="M7539">
        <v>22551222.859999999</v>
      </c>
      <c r="N7539">
        <v>22237983.93</v>
      </c>
      <c r="O7539">
        <v>22551222.859999999</v>
      </c>
      <c r="P7539">
        <v>24485368.899999999</v>
      </c>
      <c r="Q7539">
        <v>24566986.800000001</v>
      </c>
      <c r="R7539" s="14">
        <f>_xlfn.XLOOKUP(Table2[[#This Row],[LoanID]],Table1[G-L ID],Table1[ManagerCode],-99)</f>
        <v>103</v>
      </c>
      <c r="T7539"/>
    </row>
    <row r="7540" spans="1:20" x14ac:dyDescent="0.25">
      <c r="A7540">
        <v>20180930</v>
      </c>
      <c r="B7540">
        <v>2018</v>
      </c>
      <c r="C7540">
        <v>9</v>
      </c>
      <c r="D7540">
        <v>1</v>
      </c>
      <c r="E7540">
        <v>12440</v>
      </c>
      <c r="F7540">
        <v>31419.89</v>
      </c>
      <c r="G7540">
        <v>0</v>
      </c>
      <c r="H7540">
        <v>0</v>
      </c>
      <c r="I7540">
        <v>0</v>
      </c>
      <c r="J7540">
        <v>0</v>
      </c>
      <c r="K7540">
        <v>51946.38</v>
      </c>
      <c r="L7540">
        <v>4245610.99</v>
      </c>
      <c r="M7540">
        <v>4187117.22</v>
      </c>
      <c r="N7540">
        <v>4245610.99</v>
      </c>
      <c r="O7540">
        <v>4187117.22</v>
      </c>
      <c r="P7540">
        <v>3770386.82</v>
      </c>
      <c r="Q7540">
        <v>3718440.44</v>
      </c>
      <c r="R7540" s="14">
        <f>_xlfn.XLOOKUP(Table2[[#This Row],[LoanID]],Table1[G-L ID],Table1[ManagerCode],-99)</f>
        <v>103</v>
      </c>
      <c r="T7540"/>
    </row>
    <row r="7541" spans="1:20" x14ac:dyDescent="0.25">
      <c r="A7541">
        <v>20180930</v>
      </c>
      <c r="B7541">
        <v>2018</v>
      </c>
      <c r="C7541">
        <v>9</v>
      </c>
      <c r="D7541">
        <v>1</v>
      </c>
      <c r="E7541">
        <v>12450</v>
      </c>
      <c r="F7541">
        <v>37147</v>
      </c>
      <c r="G7541">
        <v>34702.81</v>
      </c>
      <c r="H7541">
        <v>0</v>
      </c>
      <c r="I7541">
        <v>0</v>
      </c>
      <c r="J7541">
        <v>-527135.79</v>
      </c>
      <c r="K7541">
        <v>0</v>
      </c>
      <c r="L7541">
        <v>7093346.1500000004</v>
      </c>
      <c r="M7541">
        <v>7655184.75</v>
      </c>
      <c r="N7541">
        <v>7093346.1500000004</v>
      </c>
      <c r="O7541">
        <v>7655184.75</v>
      </c>
      <c r="P7541">
        <v>7093346.1500000004</v>
      </c>
      <c r="Q7541">
        <v>7655184.75</v>
      </c>
      <c r="R7541" s="14">
        <f>_xlfn.XLOOKUP(Table2[[#This Row],[LoanID]],Table1[G-L ID],Table1[ManagerCode],-99)</f>
        <v>183</v>
      </c>
      <c r="T7541"/>
    </row>
    <row r="7542" spans="1:20" x14ac:dyDescent="0.25">
      <c r="A7542">
        <v>20180930</v>
      </c>
      <c r="B7542">
        <v>2018</v>
      </c>
      <c r="C7542">
        <v>9</v>
      </c>
      <c r="D7542">
        <v>1</v>
      </c>
      <c r="E7542">
        <v>12460</v>
      </c>
      <c r="F7542">
        <v>42250</v>
      </c>
      <c r="G7542">
        <v>46256.85</v>
      </c>
      <c r="H7542">
        <v>0</v>
      </c>
      <c r="I7542">
        <v>0</v>
      </c>
      <c r="J7542">
        <v>0</v>
      </c>
      <c r="K7542">
        <v>0</v>
      </c>
      <c r="L7542">
        <v>8850684.5199999996</v>
      </c>
      <c r="M7542">
        <v>8896941.3699999992</v>
      </c>
      <c r="N7542">
        <v>8850684.5199999996</v>
      </c>
      <c r="O7542">
        <v>8896941.3699999992</v>
      </c>
      <c r="P7542">
        <v>8850684.5199999996</v>
      </c>
      <c r="Q7542">
        <v>8896941.3699999992</v>
      </c>
      <c r="R7542" s="14">
        <f>_xlfn.XLOOKUP(Table2[[#This Row],[LoanID]],Table1[G-L ID],Table1[ManagerCode],-99)</f>
        <v>183</v>
      </c>
      <c r="T7542"/>
    </row>
    <row r="7543" spans="1:20" x14ac:dyDescent="0.25">
      <c r="A7543">
        <v>20180930</v>
      </c>
      <c r="B7543">
        <v>2018</v>
      </c>
      <c r="C7543">
        <v>9</v>
      </c>
      <c r="D7543">
        <v>1</v>
      </c>
      <c r="E7543">
        <v>12470</v>
      </c>
      <c r="F7543">
        <v>334074.90000000002</v>
      </c>
      <c r="G7543">
        <v>0</v>
      </c>
      <c r="H7543">
        <v>0</v>
      </c>
      <c r="I7543">
        <v>0</v>
      </c>
      <c r="J7543">
        <v>0</v>
      </c>
      <c r="K7543">
        <v>0</v>
      </c>
      <c r="L7543">
        <v>115000000</v>
      </c>
      <c r="M7543">
        <v>115000000</v>
      </c>
      <c r="N7543">
        <v>46000000</v>
      </c>
      <c r="O7543">
        <v>46000000</v>
      </c>
      <c r="P7543">
        <v>115000000</v>
      </c>
      <c r="Q7543">
        <v>115000000</v>
      </c>
      <c r="R7543" s="14">
        <f>_xlfn.XLOOKUP(Table2[[#This Row],[LoanID]],Table1[G-L ID],Table1[ManagerCode],-99)</f>
        <v>183</v>
      </c>
      <c r="T7543"/>
    </row>
    <row r="7544" spans="1:20" x14ac:dyDescent="0.25">
      <c r="A7544">
        <v>20180930</v>
      </c>
      <c r="B7544">
        <v>2018</v>
      </c>
      <c r="C7544">
        <v>9</v>
      </c>
      <c r="D7544">
        <v>1</v>
      </c>
      <c r="E7544">
        <v>12480</v>
      </c>
      <c r="F7544">
        <v>73597.86</v>
      </c>
      <c r="G7544">
        <v>0</v>
      </c>
      <c r="H7544">
        <v>0</v>
      </c>
      <c r="I7544">
        <v>0</v>
      </c>
      <c r="J7544">
        <v>0</v>
      </c>
      <c r="K7544">
        <v>0</v>
      </c>
      <c r="L7544">
        <v>19880000</v>
      </c>
      <c r="M7544">
        <v>19880000</v>
      </c>
      <c r="N7544">
        <v>9380000</v>
      </c>
      <c r="O7544">
        <v>9380000</v>
      </c>
      <c r="P7544">
        <v>19880000</v>
      </c>
      <c r="Q7544">
        <v>19880000</v>
      </c>
      <c r="R7544" s="14">
        <f>_xlfn.XLOOKUP(Table2[[#This Row],[LoanID]],Table1[G-L ID],Table1[ManagerCode],-99)</f>
        <v>183</v>
      </c>
      <c r="T7544"/>
    </row>
    <row r="7545" spans="1:20" x14ac:dyDescent="0.25">
      <c r="A7545">
        <v>20180930</v>
      </c>
      <c r="B7545">
        <v>2018</v>
      </c>
      <c r="C7545">
        <v>9</v>
      </c>
      <c r="D7545">
        <v>1</v>
      </c>
      <c r="E7545">
        <v>12490</v>
      </c>
      <c r="F7545">
        <v>139666.72</v>
      </c>
      <c r="G7545">
        <v>0</v>
      </c>
      <c r="H7545">
        <v>0</v>
      </c>
      <c r="I7545">
        <v>0</v>
      </c>
      <c r="J7545">
        <v>0</v>
      </c>
      <c r="K7545">
        <v>0</v>
      </c>
      <c r="L7545">
        <v>50200000</v>
      </c>
      <c r="M7545">
        <v>50200000</v>
      </c>
      <c r="N7545">
        <v>19600000</v>
      </c>
      <c r="O7545">
        <v>19600000</v>
      </c>
      <c r="P7545">
        <v>50200000</v>
      </c>
      <c r="Q7545">
        <v>50200000</v>
      </c>
      <c r="R7545" s="14">
        <f>_xlfn.XLOOKUP(Table2[[#This Row],[LoanID]],Table1[G-L ID],Table1[ManagerCode],-99)</f>
        <v>183</v>
      </c>
      <c r="T7545"/>
    </row>
    <row r="7546" spans="1:20" x14ac:dyDescent="0.25">
      <c r="A7546">
        <v>20180930</v>
      </c>
      <c r="B7546">
        <v>2018</v>
      </c>
      <c r="C7546">
        <v>9</v>
      </c>
      <c r="D7546">
        <v>1</v>
      </c>
      <c r="E7546">
        <v>12510</v>
      </c>
      <c r="F7546">
        <v>309426.42</v>
      </c>
      <c r="G7546">
        <v>0</v>
      </c>
      <c r="H7546">
        <v>0</v>
      </c>
      <c r="I7546">
        <v>0</v>
      </c>
      <c r="J7546">
        <v>0</v>
      </c>
      <c r="K7546">
        <v>0</v>
      </c>
      <c r="L7546">
        <v>131500000</v>
      </c>
      <c r="M7546">
        <v>131500000</v>
      </c>
      <c r="N7546">
        <v>46025000</v>
      </c>
      <c r="O7546">
        <v>46025000</v>
      </c>
      <c r="P7546">
        <v>131500000</v>
      </c>
      <c r="Q7546">
        <v>131500000</v>
      </c>
      <c r="R7546" s="14">
        <f>_xlfn.XLOOKUP(Table2[[#This Row],[LoanID]],Table1[G-L ID],Table1[ManagerCode],-99)</f>
        <v>183</v>
      </c>
      <c r="T7546"/>
    </row>
    <row r="7547" spans="1:20" x14ac:dyDescent="0.25">
      <c r="A7547">
        <v>20180930</v>
      </c>
      <c r="B7547">
        <v>2018</v>
      </c>
      <c r="C7547">
        <v>9</v>
      </c>
      <c r="D7547">
        <v>1</v>
      </c>
      <c r="E7547">
        <v>12520</v>
      </c>
      <c r="F7547">
        <v>169966.82</v>
      </c>
      <c r="G7547">
        <v>0</v>
      </c>
      <c r="H7547">
        <v>0</v>
      </c>
      <c r="I7547">
        <v>0</v>
      </c>
      <c r="J7547">
        <v>0</v>
      </c>
      <c r="K7547">
        <v>0</v>
      </c>
      <c r="L7547">
        <v>44307606.560000002</v>
      </c>
      <c r="M7547">
        <v>44307606.560000002</v>
      </c>
      <c r="N7547">
        <v>19557606.559999999</v>
      </c>
      <c r="O7547">
        <v>19557606.559999999</v>
      </c>
      <c r="P7547">
        <v>44307606.560000002</v>
      </c>
      <c r="Q7547">
        <v>44307606.560000002</v>
      </c>
      <c r="R7547" s="14">
        <f>_xlfn.XLOOKUP(Table2[[#This Row],[LoanID]],Table1[G-L ID],Table1[ManagerCode],-99)</f>
        <v>183</v>
      </c>
      <c r="T7547"/>
    </row>
    <row r="7548" spans="1:20" x14ac:dyDescent="0.25">
      <c r="A7548">
        <v>20180930</v>
      </c>
      <c r="B7548">
        <v>2018</v>
      </c>
      <c r="C7548">
        <v>9</v>
      </c>
      <c r="D7548">
        <v>1</v>
      </c>
      <c r="E7548">
        <v>12530</v>
      </c>
      <c r="F7548">
        <v>244066.1</v>
      </c>
      <c r="G7548">
        <v>0</v>
      </c>
      <c r="H7548">
        <v>0</v>
      </c>
      <c r="I7548">
        <v>0</v>
      </c>
      <c r="J7548">
        <v>0</v>
      </c>
      <c r="K7548">
        <v>0</v>
      </c>
      <c r="L7548">
        <v>26200000</v>
      </c>
      <c r="M7548">
        <v>26200000</v>
      </c>
      <c r="N7548">
        <v>26200000</v>
      </c>
      <c r="O7548">
        <v>26200000</v>
      </c>
      <c r="P7548">
        <v>26200000</v>
      </c>
      <c r="Q7548">
        <v>26200000</v>
      </c>
      <c r="R7548" s="14">
        <f>_xlfn.XLOOKUP(Table2[[#This Row],[LoanID]],Table1[G-L ID],Table1[ManagerCode],-99)</f>
        <v>119</v>
      </c>
      <c r="T7548"/>
    </row>
    <row r="7549" spans="1:20" x14ac:dyDescent="0.25">
      <c r="A7549">
        <v>20180930</v>
      </c>
      <c r="B7549">
        <v>2018</v>
      </c>
      <c r="C7549">
        <v>9</v>
      </c>
      <c r="D7549">
        <v>1</v>
      </c>
      <c r="E7549">
        <v>12540</v>
      </c>
      <c r="F7549">
        <v>0</v>
      </c>
      <c r="G7549">
        <v>0</v>
      </c>
      <c r="H7549">
        <v>0</v>
      </c>
      <c r="I7549">
        <v>0</v>
      </c>
      <c r="J7549">
        <v>-89339.81</v>
      </c>
      <c r="K7549">
        <v>0</v>
      </c>
      <c r="L7549">
        <v>15657141.18</v>
      </c>
      <c r="M7549">
        <v>15746480.99</v>
      </c>
      <c r="N7549">
        <v>15657141.18</v>
      </c>
      <c r="O7549">
        <v>15746480.99</v>
      </c>
      <c r="P7549">
        <v>15657141.18</v>
      </c>
      <c r="Q7549">
        <v>15746480.99</v>
      </c>
      <c r="R7549" s="14">
        <f>_xlfn.XLOOKUP(Table2[[#This Row],[LoanID]],Table1[G-L ID],Table1[ManagerCode],-99)</f>
        <v>119</v>
      </c>
      <c r="T7549"/>
    </row>
    <row r="7550" spans="1:20" x14ac:dyDescent="0.25">
      <c r="A7550">
        <v>20180930</v>
      </c>
      <c r="B7550">
        <v>2018</v>
      </c>
      <c r="C7550">
        <v>9</v>
      </c>
      <c r="D7550">
        <v>1</v>
      </c>
      <c r="E7550">
        <v>12550</v>
      </c>
      <c r="F7550">
        <v>77067.28</v>
      </c>
      <c r="G7550">
        <v>0</v>
      </c>
      <c r="H7550">
        <v>0</v>
      </c>
      <c r="I7550">
        <v>0</v>
      </c>
      <c r="J7550">
        <v>0</v>
      </c>
      <c r="K7550">
        <v>0</v>
      </c>
      <c r="L7550">
        <v>7416099.1500000004</v>
      </c>
      <c r="M7550">
        <v>7416099.1500000004</v>
      </c>
      <c r="N7550">
        <v>7416099.1500000004</v>
      </c>
      <c r="O7550">
        <v>7416099.1500000004</v>
      </c>
      <c r="P7550">
        <v>7416099.1500000004</v>
      </c>
      <c r="Q7550">
        <v>7416099.1500000004</v>
      </c>
      <c r="R7550" s="14">
        <f>_xlfn.XLOOKUP(Table2[[#This Row],[LoanID]],Table1[G-L ID],Table1[ManagerCode],-99)</f>
        <v>119</v>
      </c>
      <c r="T7550"/>
    </row>
    <row r="7551" spans="1:20" x14ac:dyDescent="0.25">
      <c r="A7551">
        <v>20180930</v>
      </c>
      <c r="B7551">
        <v>2018</v>
      </c>
      <c r="C7551">
        <v>9</v>
      </c>
      <c r="D7551">
        <v>1</v>
      </c>
      <c r="E7551">
        <v>12560</v>
      </c>
      <c r="F7551">
        <v>146621.01</v>
      </c>
      <c r="G7551">
        <v>0</v>
      </c>
      <c r="H7551">
        <v>0</v>
      </c>
      <c r="I7551">
        <v>0</v>
      </c>
      <c r="J7551">
        <v>-529395.41</v>
      </c>
      <c r="K7551">
        <v>0</v>
      </c>
      <c r="L7551">
        <v>17602075.120000001</v>
      </c>
      <c r="M7551">
        <v>18131470.530000001</v>
      </c>
      <c r="N7551">
        <v>17602075.120000001</v>
      </c>
      <c r="O7551">
        <v>18131470.530000001</v>
      </c>
      <c r="P7551">
        <v>17602075.120000001</v>
      </c>
      <c r="Q7551">
        <v>18131470.530000001</v>
      </c>
      <c r="R7551" s="14">
        <f>_xlfn.XLOOKUP(Table2[[#This Row],[LoanID]],Table1[G-L ID],Table1[ManagerCode],-99)</f>
        <v>119</v>
      </c>
      <c r="T7551"/>
    </row>
    <row r="7552" spans="1:20" x14ac:dyDescent="0.25">
      <c r="A7552">
        <v>20180930</v>
      </c>
      <c r="B7552">
        <v>2018</v>
      </c>
      <c r="C7552">
        <v>9</v>
      </c>
      <c r="D7552">
        <v>1</v>
      </c>
      <c r="E7552">
        <v>12570</v>
      </c>
      <c r="F7552">
        <v>84482.28</v>
      </c>
      <c r="G7552">
        <v>0</v>
      </c>
      <c r="H7552">
        <v>0</v>
      </c>
      <c r="I7552">
        <v>0</v>
      </c>
      <c r="J7552">
        <v>0</v>
      </c>
      <c r="K7552">
        <v>0</v>
      </c>
      <c r="L7552">
        <v>9615022.3900000006</v>
      </c>
      <c r="M7552">
        <v>9615022.3900000006</v>
      </c>
      <c r="N7552">
        <v>9615022.3900000006</v>
      </c>
      <c r="O7552">
        <v>9615022.3900000006</v>
      </c>
      <c r="P7552">
        <v>9615022.3900000006</v>
      </c>
      <c r="Q7552">
        <v>9615022.3900000006</v>
      </c>
      <c r="R7552" s="14">
        <f>_xlfn.XLOOKUP(Table2[[#This Row],[LoanID]],Table1[G-L ID],Table1[ManagerCode],-99)</f>
        <v>119</v>
      </c>
      <c r="T7552"/>
    </row>
    <row r="7553" spans="1:20" x14ac:dyDescent="0.25">
      <c r="A7553">
        <v>20180930</v>
      </c>
      <c r="B7553">
        <v>2018</v>
      </c>
      <c r="C7553">
        <v>9</v>
      </c>
      <c r="D7553">
        <v>1</v>
      </c>
      <c r="E7553">
        <v>12580</v>
      </c>
      <c r="F7553">
        <v>180781.67</v>
      </c>
      <c r="G7553">
        <v>0</v>
      </c>
      <c r="H7553">
        <v>0</v>
      </c>
      <c r="I7553">
        <v>0</v>
      </c>
      <c r="J7553">
        <v>0</v>
      </c>
      <c r="K7553">
        <v>0</v>
      </c>
      <c r="L7553">
        <v>18000000</v>
      </c>
      <c r="M7553">
        <v>18000000</v>
      </c>
      <c r="N7553">
        <v>18000000</v>
      </c>
      <c r="O7553">
        <v>18000000</v>
      </c>
      <c r="P7553">
        <v>18000000</v>
      </c>
      <c r="Q7553">
        <v>18000000</v>
      </c>
      <c r="R7553" s="14">
        <f>_xlfn.XLOOKUP(Table2[[#This Row],[LoanID]],Table1[G-L ID],Table1[ManagerCode],-99)</f>
        <v>119</v>
      </c>
      <c r="T7553"/>
    </row>
    <row r="7554" spans="1:20" x14ac:dyDescent="0.25">
      <c r="A7554">
        <v>20180930</v>
      </c>
      <c r="B7554">
        <v>2018</v>
      </c>
      <c r="C7554">
        <v>9</v>
      </c>
      <c r="D7554">
        <v>1</v>
      </c>
      <c r="E7554">
        <v>12590</v>
      </c>
      <c r="F7554">
        <v>82782.92</v>
      </c>
      <c r="G7554">
        <v>0</v>
      </c>
      <c r="H7554">
        <v>96000</v>
      </c>
      <c r="I7554">
        <v>0</v>
      </c>
      <c r="J7554">
        <v>0</v>
      </c>
      <c r="K7554">
        <v>500000</v>
      </c>
      <c r="L7554">
        <v>8500000</v>
      </c>
      <c r="M7554">
        <v>8000000</v>
      </c>
      <c r="N7554">
        <v>8500000</v>
      </c>
      <c r="O7554">
        <v>8000000</v>
      </c>
      <c r="P7554">
        <v>8500000</v>
      </c>
      <c r="Q7554">
        <v>8000000</v>
      </c>
      <c r="R7554" s="14">
        <f>_xlfn.XLOOKUP(Table2[[#This Row],[LoanID]],Table1[G-L ID],Table1[ManagerCode],-99)</f>
        <v>119</v>
      </c>
      <c r="T7554"/>
    </row>
    <row r="7555" spans="1:20" x14ac:dyDescent="0.25">
      <c r="A7555">
        <v>20180930</v>
      </c>
      <c r="B7555">
        <v>2018</v>
      </c>
      <c r="C7555">
        <v>9</v>
      </c>
      <c r="D7555">
        <v>1</v>
      </c>
      <c r="E7555">
        <v>12600</v>
      </c>
      <c r="F7555">
        <v>247632.52</v>
      </c>
      <c r="G7555">
        <v>0</v>
      </c>
      <c r="H7555">
        <v>0</v>
      </c>
      <c r="I7555">
        <v>0</v>
      </c>
      <c r="J7555">
        <v>0</v>
      </c>
      <c r="K7555">
        <v>0</v>
      </c>
      <c r="L7555">
        <v>27750000</v>
      </c>
      <c r="M7555">
        <v>27750000</v>
      </c>
      <c r="N7555">
        <v>27750000</v>
      </c>
      <c r="O7555">
        <v>27750000</v>
      </c>
      <c r="P7555">
        <v>27750000</v>
      </c>
      <c r="Q7555">
        <v>27750000</v>
      </c>
      <c r="R7555" s="14">
        <f>_xlfn.XLOOKUP(Table2[[#This Row],[LoanID]],Table1[G-L ID],Table1[ManagerCode],-99)</f>
        <v>119</v>
      </c>
      <c r="T7555"/>
    </row>
    <row r="7556" spans="1:20" x14ac:dyDescent="0.25">
      <c r="A7556">
        <v>20180930</v>
      </c>
      <c r="B7556">
        <v>2018</v>
      </c>
      <c r="C7556">
        <v>9</v>
      </c>
      <c r="D7556">
        <v>1</v>
      </c>
      <c r="E7556">
        <v>12610</v>
      </c>
      <c r="F7556">
        <v>78874.98</v>
      </c>
      <c r="G7556">
        <v>0</v>
      </c>
      <c r="H7556">
        <v>0</v>
      </c>
      <c r="I7556">
        <v>0</v>
      </c>
      <c r="J7556">
        <v>0</v>
      </c>
      <c r="K7556">
        <v>0</v>
      </c>
      <c r="L7556">
        <v>9609070.0199999996</v>
      </c>
      <c r="M7556">
        <v>9609070.0199999996</v>
      </c>
      <c r="N7556">
        <v>9609070.0199999996</v>
      </c>
      <c r="O7556">
        <v>9609070.0199999996</v>
      </c>
      <c r="P7556">
        <v>9609070.0199999996</v>
      </c>
      <c r="Q7556">
        <v>9609070.0199999996</v>
      </c>
      <c r="R7556" s="14">
        <f>_xlfn.XLOOKUP(Table2[[#This Row],[LoanID]],Table1[G-L ID],Table1[ManagerCode],-99)</f>
        <v>119</v>
      </c>
      <c r="T7556"/>
    </row>
    <row r="7557" spans="1:20" x14ac:dyDescent="0.25">
      <c r="A7557">
        <v>20180930</v>
      </c>
      <c r="B7557">
        <v>2018</v>
      </c>
      <c r="C7557">
        <v>9</v>
      </c>
      <c r="D7557">
        <v>1</v>
      </c>
      <c r="E7557">
        <v>12620</v>
      </c>
      <c r="F7557">
        <v>12979.01</v>
      </c>
      <c r="G7557">
        <v>0</v>
      </c>
      <c r="H7557">
        <v>0</v>
      </c>
      <c r="I7557">
        <v>0</v>
      </c>
      <c r="J7557">
        <v>0</v>
      </c>
      <c r="K7557">
        <v>0</v>
      </c>
      <c r="L7557">
        <v>1338222.6100000001</v>
      </c>
      <c r="M7557">
        <v>1338222.6100000001</v>
      </c>
      <c r="N7557">
        <v>1338222.6100000001</v>
      </c>
      <c r="O7557">
        <v>1338222.6100000001</v>
      </c>
      <c r="P7557">
        <v>1338222.6100000001</v>
      </c>
      <c r="Q7557">
        <v>1338222.6100000001</v>
      </c>
      <c r="R7557" s="14">
        <f>_xlfn.XLOOKUP(Table2[[#This Row],[LoanID]],Table1[G-L ID],Table1[ManagerCode],-99)</f>
        <v>119</v>
      </c>
      <c r="T7557"/>
    </row>
    <row r="7558" spans="1:20" x14ac:dyDescent="0.25">
      <c r="A7558">
        <v>20180930</v>
      </c>
      <c r="B7558">
        <v>2018</v>
      </c>
      <c r="C7558">
        <v>9</v>
      </c>
      <c r="D7558">
        <v>1</v>
      </c>
      <c r="E7558">
        <v>12630</v>
      </c>
      <c r="F7558">
        <v>120270.36</v>
      </c>
      <c r="G7558">
        <v>0</v>
      </c>
      <c r="H7558">
        <v>0</v>
      </c>
      <c r="I7558">
        <v>0</v>
      </c>
      <c r="J7558">
        <v>0</v>
      </c>
      <c r="K7558">
        <v>0</v>
      </c>
      <c r="L7558">
        <v>13211200.35</v>
      </c>
      <c r="M7558">
        <v>13211200.35</v>
      </c>
      <c r="N7558">
        <v>13211200.35</v>
      </c>
      <c r="O7558">
        <v>13211200.35</v>
      </c>
      <c r="P7558">
        <v>13211200.35</v>
      </c>
      <c r="Q7558">
        <v>13211200.35</v>
      </c>
      <c r="R7558" s="14">
        <f>_xlfn.XLOOKUP(Table2[[#This Row],[LoanID]],Table1[G-L ID],Table1[ManagerCode],-99)</f>
        <v>119</v>
      </c>
      <c r="T7558"/>
    </row>
    <row r="7559" spans="1:20" x14ac:dyDescent="0.25">
      <c r="A7559">
        <v>20180930</v>
      </c>
      <c r="B7559">
        <v>2018</v>
      </c>
      <c r="C7559">
        <v>9</v>
      </c>
      <c r="D7559">
        <v>1</v>
      </c>
      <c r="E7559">
        <v>12640</v>
      </c>
      <c r="F7559">
        <v>95402.4</v>
      </c>
      <c r="G7559">
        <v>0</v>
      </c>
      <c r="H7559">
        <v>0</v>
      </c>
      <c r="I7559">
        <v>0</v>
      </c>
      <c r="J7559">
        <v>0</v>
      </c>
      <c r="K7559">
        <v>0</v>
      </c>
      <c r="L7559">
        <v>9832506.6500000004</v>
      </c>
      <c r="M7559">
        <v>9832506.6500000004</v>
      </c>
      <c r="N7559">
        <v>9832506.6500000004</v>
      </c>
      <c r="O7559">
        <v>9832506.6500000004</v>
      </c>
      <c r="P7559">
        <v>9832506.6500000004</v>
      </c>
      <c r="Q7559">
        <v>9832506.6500000004</v>
      </c>
      <c r="R7559" s="14">
        <f>_xlfn.XLOOKUP(Table2[[#This Row],[LoanID]],Table1[G-L ID],Table1[ManagerCode],-99)</f>
        <v>119</v>
      </c>
      <c r="T7559"/>
    </row>
    <row r="7560" spans="1:20" x14ac:dyDescent="0.25">
      <c r="A7560">
        <v>20180930</v>
      </c>
      <c r="B7560">
        <v>2018</v>
      </c>
      <c r="C7560">
        <v>9</v>
      </c>
      <c r="D7560">
        <v>1</v>
      </c>
      <c r="E7560">
        <v>12650</v>
      </c>
      <c r="F7560">
        <v>389412.06</v>
      </c>
      <c r="G7560">
        <v>0</v>
      </c>
      <c r="H7560">
        <v>0</v>
      </c>
      <c r="I7560">
        <v>0</v>
      </c>
      <c r="J7560">
        <v>0</v>
      </c>
      <c r="K7560">
        <v>0</v>
      </c>
      <c r="L7560">
        <v>123200000</v>
      </c>
      <c r="M7560">
        <v>123200000</v>
      </c>
      <c r="N7560">
        <v>56480000</v>
      </c>
      <c r="O7560">
        <v>56480000</v>
      </c>
      <c r="P7560">
        <v>123200000</v>
      </c>
      <c r="Q7560">
        <v>123200000</v>
      </c>
      <c r="R7560" s="14">
        <f>_xlfn.XLOOKUP(Table2[[#This Row],[LoanID]],Table1[G-L ID],Table1[ManagerCode],-99)</f>
        <v>183</v>
      </c>
      <c r="T7560"/>
    </row>
    <row r="7561" spans="1:20" x14ac:dyDescent="0.25">
      <c r="A7561">
        <v>20180930</v>
      </c>
      <c r="B7561">
        <v>2018</v>
      </c>
      <c r="C7561">
        <v>9</v>
      </c>
      <c r="D7561">
        <v>1</v>
      </c>
      <c r="E7561">
        <v>12660</v>
      </c>
      <c r="F7561">
        <v>116894.34</v>
      </c>
      <c r="G7561">
        <v>0</v>
      </c>
      <c r="H7561">
        <v>0</v>
      </c>
      <c r="I7561">
        <v>0</v>
      </c>
      <c r="J7561">
        <v>0</v>
      </c>
      <c r="K7561">
        <v>0</v>
      </c>
      <c r="L7561">
        <v>47000000</v>
      </c>
      <c r="M7561">
        <v>47000000</v>
      </c>
      <c r="N7561">
        <v>19000000</v>
      </c>
      <c r="O7561">
        <v>19000000</v>
      </c>
      <c r="P7561">
        <v>47000000</v>
      </c>
      <c r="Q7561">
        <v>47000000</v>
      </c>
      <c r="R7561" s="14">
        <f>_xlfn.XLOOKUP(Table2[[#This Row],[LoanID]],Table1[G-L ID],Table1[ManagerCode],-99)</f>
        <v>183</v>
      </c>
      <c r="T7561"/>
    </row>
    <row r="7562" spans="1:20" x14ac:dyDescent="0.25">
      <c r="A7562">
        <v>20180930</v>
      </c>
      <c r="B7562">
        <v>2018</v>
      </c>
      <c r="C7562">
        <v>9</v>
      </c>
      <c r="D7562">
        <v>1</v>
      </c>
      <c r="E7562">
        <v>12670</v>
      </c>
      <c r="F7562">
        <v>57165.89</v>
      </c>
      <c r="G7562">
        <v>0</v>
      </c>
      <c r="H7562">
        <v>0</v>
      </c>
      <c r="I7562">
        <v>0</v>
      </c>
      <c r="J7562">
        <v>0</v>
      </c>
      <c r="K7562">
        <v>0</v>
      </c>
      <c r="L7562">
        <v>15500000</v>
      </c>
      <c r="M7562">
        <v>15500000</v>
      </c>
      <c r="N7562">
        <v>7250000</v>
      </c>
      <c r="O7562">
        <v>7250000</v>
      </c>
      <c r="P7562">
        <v>15500000</v>
      </c>
      <c r="Q7562">
        <v>15500000</v>
      </c>
      <c r="R7562" s="14">
        <f>_xlfn.XLOOKUP(Table2[[#This Row],[LoanID]],Table1[G-L ID],Table1[ManagerCode],-99)</f>
        <v>183</v>
      </c>
      <c r="T7562"/>
    </row>
    <row r="7563" spans="1:20" x14ac:dyDescent="0.25">
      <c r="A7563">
        <v>20180930</v>
      </c>
      <c r="B7563">
        <v>2018</v>
      </c>
      <c r="C7563">
        <v>9</v>
      </c>
      <c r="D7563">
        <v>1</v>
      </c>
      <c r="E7563">
        <v>12680</v>
      </c>
      <c r="F7563">
        <v>151293.63</v>
      </c>
      <c r="G7563">
        <v>0</v>
      </c>
      <c r="H7563">
        <v>0</v>
      </c>
      <c r="I7563">
        <v>0</v>
      </c>
      <c r="J7563">
        <v>0</v>
      </c>
      <c r="K7563">
        <v>0</v>
      </c>
      <c r="L7563">
        <v>16126000</v>
      </c>
      <c r="M7563">
        <v>16126000</v>
      </c>
      <c r="N7563">
        <v>16126000</v>
      </c>
      <c r="O7563">
        <v>16126000</v>
      </c>
      <c r="P7563">
        <v>16126000</v>
      </c>
      <c r="Q7563">
        <v>16126000</v>
      </c>
      <c r="R7563" s="14">
        <f>_xlfn.XLOOKUP(Table2[[#This Row],[LoanID]],Table1[G-L ID],Table1[ManagerCode],-99)</f>
        <v>119</v>
      </c>
      <c r="T7563"/>
    </row>
    <row r="7564" spans="1:20" x14ac:dyDescent="0.25">
      <c r="A7564">
        <v>20180930</v>
      </c>
      <c r="B7564">
        <v>2018</v>
      </c>
      <c r="C7564">
        <v>9</v>
      </c>
      <c r="D7564">
        <v>1</v>
      </c>
      <c r="E7564">
        <v>12690</v>
      </c>
      <c r="F7564">
        <v>95718.54</v>
      </c>
      <c r="G7564">
        <v>0</v>
      </c>
      <c r="H7564">
        <v>0</v>
      </c>
      <c r="I7564">
        <v>0</v>
      </c>
      <c r="J7564">
        <v>0</v>
      </c>
      <c r="K7564">
        <v>0</v>
      </c>
      <c r="L7564">
        <v>10175500</v>
      </c>
      <c r="M7564">
        <v>10175500</v>
      </c>
      <c r="N7564">
        <v>10175500</v>
      </c>
      <c r="O7564">
        <v>10175500</v>
      </c>
      <c r="P7564">
        <v>10175500</v>
      </c>
      <c r="Q7564">
        <v>10175500</v>
      </c>
      <c r="R7564" s="14">
        <f>_xlfn.XLOOKUP(Table2[[#This Row],[LoanID]],Table1[G-L ID],Table1[ManagerCode],-99)</f>
        <v>119</v>
      </c>
      <c r="T7564"/>
    </row>
    <row r="7565" spans="1:20" x14ac:dyDescent="0.25">
      <c r="A7565">
        <v>20180930</v>
      </c>
      <c r="B7565">
        <v>2018</v>
      </c>
      <c r="C7565">
        <v>9</v>
      </c>
      <c r="D7565">
        <v>1</v>
      </c>
      <c r="E7565">
        <v>12700</v>
      </c>
      <c r="F7565">
        <v>224168.75</v>
      </c>
      <c r="G7565">
        <v>0</v>
      </c>
      <c r="H7565">
        <v>0</v>
      </c>
      <c r="I7565">
        <v>0</v>
      </c>
      <c r="J7565">
        <v>0</v>
      </c>
      <c r="K7565">
        <v>0</v>
      </c>
      <c r="L7565">
        <v>25000000</v>
      </c>
      <c r="M7565">
        <v>25000000</v>
      </c>
      <c r="N7565">
        <v>25000000</v>
      </c>
      <c r="O7565">
        <v>25000000</v>
      </c>
      <c r="P7565">
        <v>25000000</v>
      </c>
      <c r="Q7565">
        <v>25000000</v>
      </c>
      <c r="R7565" s="14">
        <f>_xlfn.XLOOKUP(Table2[[#This Row],[LoanID]],Table1[G-L ID],Table1[ManagerCode],-99)</f>
        <v>119</v>
      </c>
      <c r="T7565"/>
    </row>
    <row r="7566" spans="1:20" x14ac:dyDescent="0.25">
      <c r="A7566">
        <v>20180930</v>
      </c>
      <c r="B7566">
        <v>2018</v>
      </c>
      <c r="C7566">
        <v>9</v>
      </c>
      <c r="D7566">
        <v>1</v>
      </c>
      <c r="E7566">
        <v>12710</v>
      </c>
      <c r="F7566">
        <v>91996.26</v>
      </c>
      <c r="G7566">
        <v>0</v>
      </c>
      <c r="H7566">
        <v>0</v>
      </c>
      <c r="I7566">
        <v>0</v>
      </c>
      <c r="J7566">
        <v>0</v>
      </c>
      <c r="K7566">
        <v>0</v>
      </c>
      <c r="L7566">
        <v>9738975</v>
      </c>
      <c r="M7566">
        <v>9738975</v>
      </c>
      <c r="N7566">
        <v>9738975</v>
      </c>
      <c r="O7566">
        <v>9738975</v>
      </c>
      <c r="P7566">
        <v>9738975</v>
      </c>
      <c r="Q7566">
        <v>9738975</v>
      </c>
      <c r="R7566" s="14">
        <f>_xlfn.XLOOKUP(Table2[[#This Row],[LoanID]],Table1[G-L ID],Table1[ManagerCode],-99)</f>
        <v>119</v>
      </c>
      <c r="T7566"/>
    </row>
    <row r="7567" spans="1:20" x14ac:dyDescent="0.25">
      <c r="A7567">
        <v>20180930</v>
      </c>
      <c r="B7567">
        <v>2018</v>
      </c>
      <c r="C7567">
        <v>9</v>
      </c>
      <c r="D7567">
        <v>1</v>
      </c>
      <c r="E7567">
        <v>12720</v>
      </c>
      <c r="F7567">
        <v>521132.72</v>
      </c>
      <c r="G7567">
        <v>0</v>
      </c>
      <c r="H7567">
        <v>0</v>
      </c>
      <c r="I7567">
        <v>0</v>
      </c>
      <c r="J7567">
        <v>-257731.79</v>
      </c>
      <c r="K7567">
        <v>0</v>
      </c>
      <c r="L7567">
        <v>192400000</v>
      </c>
      <c r="M7567">
        <v>192657731.80000001</v>
      </c>
      <c r="N7567">
        <v>90519000</v>
      </c>
      <c r="O7567">
        <v>90776731.799999997</v>
      </c>
      <c r="P7567">
        <v>192400000</v>
      </c>
      <c r="Q7567">
        <v>192657731.80000001</v>
      </c>
      <c r="R7567" s="14">
        <f>_xlfn.XLOOKUP(Table2[[#This Row],[LoanID]],Table1[G-L ID],Table1[ManagerCode],-99)</f>
        <v>183</v>
      </c>
      <c r="T7567"/>
    </row>
    <row r="7568" spans="1:20" x14ac:dyDescent="0.25">
      <c r="A7568">
        <v>20180930</v>
      </c>
      <c r="B7568">
        <v>2018</v>
      </c>
      <c r="C7568">
        <v>9</v>
      </c>
      <c r="D7568">
        <v>1</v>
      </c>
      <c r="E7568">
        <v>12730</v>
      </c>
      <c r="F7568">
        <v>156561.42000000001</v>
      </c>
      <c r="G7568">
        <v>0</v>
      </c>
      <c r="H7568">
        <v>0</v>
      </c>
      <c r="I7568">
        <v>0</v>
      </c>
      <c r="J7568">
        <v>0</v>
      </c>
      <c r="K7568">
        <v>0</v>
      </c>
      <c r="L7568">
        <v>38460000</v>
      </c>
      <c r="M7568">
        <v>38460000</v>
      </c>
      <c r="N7568">
        <v>13460000</v>
      </c>
      <c r="O7568">
        <v>13460000</v>
      </c>
      <c r="P7568">
        <v>38460000</v>
      </c>
      <c r="Q7568">
        <v>38460000</v>
      </c>
      <c r="R7568" s="14">
        <f>_xlfn.XLOOKUP(Table2[[#This Row],[LoanID]],Table1[G-L ID],Table1[ManagerCode],-99)</f>
        <v>183</v>
      </c>
      <c r="T7568"/>
    </row>
    <row r="7569" spans="1:20" x14ac:dyDescent="0.25">
      <c r="A7569">
        <v>20180930</v>
      </c>
      <c r="B7569">
        <v>2018</v>
      </c>
      <c r="C7569">
        <v>9</v>
      </c>
      <c r="D7569">
        <v>1</v>
      </c>
      <c r="E7569">
        <v>12740</v>
      </c>
      <c r="F7569">
        <v>88800.56</v>
      </c>
      <c r="G7569">
        <v>64245.51</v>
      </c>
      <c r="H7569">
        <v>0</v>
      </c>
      <c r="I7569">
        <v>0</v>
      </c>
      <c r="J7569">
        <v>-88296.08</v>
      </c>
      <c r="K7569">
        <v>0</v>
      </c>
      <c r="L7569">
        <v>19205458</v>
      </c>
      <c r="M7569">
        <v>19357999.59</v>
      </c>
      <c r="N7569">
        <v>19205458</v>
      </c>
      <c r="O7569">
        <v>19357999.59</v>
      </c>
      <c r="P7569">
        <v>19205458</v>
      </c>
      <c r="Q7569">
        <v>19357999.59</v>
      </c>
      <c r="R7569" s="14">
        <f>_xlfn.XLOOKUP(Table2[[#This Row],[LoanID]],Table1[G-L ID],Table1[ManagerCode],-99)</f>
        <v>183</v>
      </c>
      <c r="T7569"/>
    </row>
    <row r="7570" spans="1:20" x14ac:dyDescent="0.25">
      <c r="A7570">
        <v>20180930</v>
      </c>
      <c r="B7570">
        <v>2018</v>
      </c>
      <c r="C7570">
        <v>9</v>
      </c>
      <c r="D7570">
        <v>1</v>
      </c>
      <c r="E7570">
        <v>12750</v>
      </c>
      <c r="F7570">
        <v>59325.919999999998</v>
      </c>
      <c r="G7570">
        <v>60159.25</v>
      </c>
      <c r="H7570">
        <v>0</v>
      </c>
      <c r="I7570">
        <v>0</v>
      </c>
      <c r="J7570">
        <v>0</v>
      </c>
      <c r="K7570">
        <v>0</v>
      </c>
      <c r="L7570">
        <v>25238425.16</v>
      </c>
      <c r="M7570">
        <v>25298584.41</v>
      </c>
      <c r="N7570">
        <v>12571742.279999999</v>
      </c>
      <c r="O7570">
        <v>12631901.529999999</v>
      </c>
      <c r="P7570">
        <v>25238425.16</v>
      </c>
      <c r="Q7570">
        <v>25298584.41</v>
      </c>
      <c r="R7570" s="14">
        <f>_xlfn.XLOOKUP(Table2[[#This Row],[LoanID]],Table1[G-L ID],Table1[ManagerCode],-99)</f>
        <v>236</v>
      </c>
      <c r="T7570"/>
    </row>
    <row r="7571" spans="1:20" x14ac:dyDescent="0.25">
      <c r="A7571">
        <v>20180930</v>
      </c>
      <c r="B7571">
        <v>2018</v>
      </c>
      <c r="C7571">
        <v>9</v>
      </c>
      <c r="D7571">
        <v>1</v>
      </c>
      <c r="E7571">
        <v>12760</v>
      </c>
      <c r="F7571">
        <v>307236.98</v>
      </c>
      <c r="G7571">
        <v>0</v>
      </c>
      <c r="H7571">
        <v>0</v>
      </c>
      <c r="I7571">
        <v>0</v>
      </c>
      <c r="J7571">
        <v>0</v>
      </c>
      <c r="K7571">
        <v>0</v>
      </c>
      <c r="L7571">
        <v>109908455.5</v>
      </c>
      <c r="M7571">
        <v>109908455.5</v>
      </c>
      <c r="N7571">
        <v>54954227.770000003</v>
      </c>
      <c r="O7571">
        <v>54954227.770000003</v>
      </c>
      <c r="P7571">
        <v>109908455.5</v>
      </c>
      <c r="Q7571">
        <v>109908455.5</v>
      </c>
      <c r="R7571" s="14">
        <f>_xlfn.XLOOKUP(Table2[[#This Row],[LoanID]],Table1[G-L ID],Table1[ManagerCode],-99)</f>
        <v>236</v>
      </c>
      <c r="T7571"/>
    </row>
    <row r="7572" spans="1:20" x14ac:dyDescent="0.25">
      <c r="A7572">
        <v>20180930</v>
      </c>
      <c r="B7572">
        <v>2018</v>
      </c>
      <c r="C7572">
        <v>9</v>
      </c>
      <c r="D7572">
        <v>1</v>
      </c>
      <c r="E7572">
        <v>12930</v>
      </c>
      <c r="F7572">
        <v>173463.61</v>
      </c>
      <c r="G7572">
        <v>0</v>
      </c>
      <c r="H7572">
        <v>0</v>
      </c>
      <c r="I7572">
        <v>0</v>
      </c>
      <c r="J7572">
        <v>0</v>
      </c>
      <c r="K7572">
        <v>0</v>
      </c>
      <c r="L7572">
        <v>19000000</v>
      </c>
      <c r="M7572">
        <v>19000000</v>
      </c>
      <c r="N7572">
        <v>19000000</v>
      </c>
      <c r="O7572">
        <v>19000000</v>
      </c>
      <c r="P7572">
        <v>19000000</v>
      </c>
      <c r="Q7572">
        <v>19000000</v>
      </c>
      <c r="R7572" s="14">
        <f>_xlfn.XLOOKUP(Table2[[#This Row],[LoanID]],Table1[G-L ID],Table1[ManagerCode],-99)</f>
        <v>119</v>
      </c>
      <c r="T7572"/>
    </row>
    <row r="7573" spans="1:20" x14ac:dyDescent="0.25">
      <c r="A7573">
        <v>20180930</v>
      </c>
      <c r="B7573">
        <v>2018</v>
      </c>
      <c r="C7573">
        <v>9</v>
      </c>
      <c r="D7573">
        <v>1</v>
      </c>
      <c r="E7573">
        <v>12940</v>
      </c>
      <c r="F7573">
        <v>172897.59</v>
      </c>
      <c r="G7573">
        <v>0</v>
      </c>
      <c r="H7573">
        <v>0</v>
      </c>
      <c r="I7573">
        <v>0</v>
      </c>
      <c r="J7573">
        <v>0</v>
      </c>
      <c r="K7573">
        <v>0</v>
      </c>
      <c r="L7573">
        <v>19000000</v>
      </c>
      <c r="M7573">
        <v>19000000</v>
      </c>
      <c r="N7573">
        <v>19000000</v>
      </c>
      <c r="O7573">
        <v>19000000</v>
      </c>
      <c r="P7573">
        <v>19000000</v>
      </c>
      <c r="Q7573">
        <v>19000000</v>
      </c>
      <c r="R7573" s="14">
        <f>_xlfn.XLOOKUP(Table2[[#This Row],[LoanID]],Table1[G-L ID],Table1[ManagerCode],-99)</f>
        <v>119</v>
      </c>
      <c r="T7573"/>
    </row>
    <row r="7574" spans="1:20" x14ac:dyDescent="0.25">
      <c r="A7574">
        <v>20180930</v>
      </c>
      <c r="B7574">
        <v>2018</v>
      </c>
      <c r="C7574">
        <v>9</v>
      </c>
      <c r="D7574">
        <v>1</v>
      </c>
      <c r="E7574">
        <v>12950</v>
      </c>
      <c r="F7574">
        <v>243596.79</v>
      </c>
      <c r="G7574">
        <v>0</v>
      </c>
      <c r="H7574">
        <v>0</v>
      </c>
      <c r="I7574">
        <v>0</v>
      </c>
      <c r="J7574">
        <v>0</v>
      </c>
      <c r="K7574">
        <v>0</v>
      </c>
      <c r="L7574">
        <v>26732750</v>
      </c>
      <c r="M7574">
        <v>26732750</v>
      </c>
      <c r="N7574">
        <v>26732750</v>
      </c>
      <c r="O7574">
        <v>26732750</v>
      </c>
      <c r="P7574">
        <v>26732750</v>
      </c>
      <c r="Q7574">
        <v>26732750</v>
      </c>
      <c r="R7574" s="14">
        <f>_xlfn.XLOOKUP(Table2[[#This Row],[LoanID]],Table1[G-L ID],Table1[ManagerCode],-99)</f>
        <v>119</v>
      </c>
      <c r="T7574"/>
    </row>
    <row r="7575" spans="1:20" x14ac:dyDescent="0.25">
      <c r="A7575">
        <v>20180930</v>
      </c>
      <c r="B7575">
        <v>2018</v>
      </c>
      <c r="C7575">
        <v>9</v>
      </c>
      <c r="D7575">
        <v>1</v>
      </c>
      <c r="E7575">
        <v>12960</v>
      </c>
      <c r="F7575">
        <v>77900.149999999994</v>
      </c>
      <c r="G7575">
        <v>0</v>
      </c>
      <c r="H7575">
        <v>0</v>
      </c>
      <c r="I7575">
        <v>0</v>
      </c>
      <c r="J7575">
        <v>0</v>
      </c>
      <c r="K7575">
        <v>0</v>
      </c>
      <c r="L7575">
        <v>8850000</v>
      </c>
      <c r="M7575">
        <v>8850000</v>
      </c>
      <c r="N7575">
        <v>8850000</v>
      </c>
      <c r="O7575">
        <v>8850000</v>
      </c>
      <c r="P7575">
        <v>8850000</v>
      </c>
      <c r="Q7575">
        <v>8850000</v>
      </c>
      <c r="R7575" s="14">
        <f>_xlfn.XLOOKUP(Table2[[#This Row],[LoanID]],Table1[G-L ID],Table1[ManagerCode],-99)</f>
        <v>119</v>
      </c>
      <c r="T7575"/>
    </row>
    <row r="7576" spans="1:20" x14ac:dyDescent="0.25">
      <c r="A7576">
        <v>20180930</v>
      </c>
      <c r="B7576">
        <v>2018</v>
      </c>
      <c r="C7576">
        <v>9</v>
      </c>
      <c r="D7576">
        <v>1</v>
      </c>
      <c r="E7576">
        <v>12970</v>
      </c>
      <c r="F7576">
        <v>103903.78</v>
      </c>
      <c r="G7576">
        <v>0</v>
      </c>
      <c r="H7576">
        <v>0</v>
      </c>
      <c r="I7576">
        <v>0</v>
      </c>
      <c r="J7576">
        <v>0</v>
      </c>
      <c r="K7576">
        <v>0</v>
      </c>
      <c r="L7576">
        <v>10007439.51</v>
      </c>
      <c r="M7576">
        <v>10007439.51</v>
      </c>
      <c r="N7576">
        <v>10007439.51</v>
      </c>
      <c r="O7576">
        <v>10007439.51</v>
      </c>
      <c r="P7576">
        <v>10007439.51</v>
      </c>
      <c r="Q7576">
        <v>10007439.51</v>
      </c>
      <c r="R7576" s="14">
        <f>_xlfn.XLOOKUP(Table2[[#This Row],[LoanID]],Table1[G-L ID],Table1[ManagerCode],-99)</f>
        <v>119</v>
      </c>
      <c r="T7576"/>
    </row>
    <row r="7577" spans="1:20" x14ac:dyDescent="0.25">
      <c r="A7577">
        <v>20180930</v>
      </c>
      <c r="B7577">
        <v>2018</v>
      </c>
      <c r="C7577">
        <v>9</v>
      </c>
      <c r="D7577">
        <v>1</v>
      </c>
      <c r="E7577">
        <v>12980</v>
      </c>
      <c r="F7577">
        <v>126098.96</v>
      </c>
      <c r="G7577">
        <v>0</v>
      </c>
      <c r="H7577">
        <v>0</v>
      </c>
      <c r="I7577">
        <v>0</v>
      </c>
      <c r="J7577">
        <v>0</v>
      </c>
      <c r="K7577">
        <v>0</v>
      </c>
      <c r="L7577">
        <v>13750000</v>
      </c>
      <c r="M7577">
        <v>13750000</v>
      </c>
      <c r="N7577">
        <v>13750000</v>
      </c>
      <c r="O7577">
        <v>13750000</v>
      </c>
      <c r="P7577">
        <v>13750000</v>
      </c>
      <c r="Q7577">
        <v>13750000</v>
      </c>
      <c r="R7577" s="14">
        <f>_xlfn.XLOOKUP(Table2[[#This Row],[LoanID]],Table1[G-L ID],Table1[ManagerCode],-99)</f>
        <v>119</v>
      </c>
      <c r="T7577"/>
    </row>
    <row r="7578" spans="1:20" x14ac:dyDescent="0.25">
      <c r="A7578">
        <v>20180930</v>
      </c>
      <c r="B7578">
        <v>2018</v>
      </c>
      <c r="C7578">
        <v>9</v>
      </c>
      <c r="D7578">
        <v>1</v>
      </c>
      <c r="E7578">
        <v>12990</v>
      </c>
      <c r="F7578">
        <v>253436.63</v>
      </c>
      <c r="G7578">
        <v>0</v>
      </c>
      <c r="H7578">
        <v>0</v>
      </c>
      <c r="I7578">
        <v>0</v>
      </c>
      <c r="J7578">
        <v>0</v>
      </c>
      <c r="K7578">
        <v>0</v>
      </c>
      <c r="L7578">
        <v>29025000</v>
      </c>
      <c r="M7578">
        <v>29025000</v>
      </c>
      <c r="N7578">
        <v>29025000</v>
      </c>
      <c r="O7578">
        <v>29025000</v>
      </c>
      <c r="P7578">
        <v>29025000</v>
      </c>
      <c r="Q7578">
        <v>29025000</v>
      </c>
      <c r="R7578" s="14">
        <f>_xlfn.XLOOKUP(Table2[[#This Row],[LoanID]],Table1[G-L ID],Table1[ManagerCode],-99)</f>
        <v>119</v>
      </c>
      <c r="T7578"/>
    </row>
    <row r="7579" spans="1:20" x14ac:dyDescent="0.25">
      <c r="A7579">
        <v>20180930</v>
      </c>
      <c r="B7579">
        <v>2018</v>
      </c>
      <c r="C7579">
        <v>9</v>
      </c>
      <c r="D7579">
        <v>1</v>
      </c>
      <c r="E7579">
        <v>13000</v>
      </c>
      <c r="F7579">
        <v>130636.62</v>
      </c>
      <c r="G7579">
        <v>0</v>
      </c>
      <c r="H7579">
        <v>0</v>
      </c>
      <c r="I7579">
        <v>0</v>
      </c>
      <c r="J7579">
        <v>-130636.62</v>
      </c>
      <c r="K7579">
        <v>0</v>
      </c>
      <c r="L7579">
        <v>38631608.25</v>
      </c>
      <c r="M7579">
        <v>38760335.060000002</v>
      </c>
      <c r="N7579">
        <v>38631608.25</v>
      </c>
      <c r="O7579">
        <v>38760335.060000002</v>
      </c>
      <c r="P7579">
        <v>39204752.18</v>
      </c>
      <c r="Q7579">
        <v>39335388.799999997</v>
      </c>
      <c r="R7579" s="14">
        <f>_xlfn.XLOOKUP(Table2[[#This Row],[LoanID]],Table1[G-L ID],Table1[ManagerCode],-99)</f>
        <v>103</v>
      </c>
      <c r="T7579"/>
    </row>
    <row r="7580" spans="1:20" x14ac:dyDescent="0.25">
      <c r="A7580">
        <v>20180930</v>
      </c>
      <c r="B7580">
        <v>2018</v>
      </c>
      <c r="C7580">
        <v>9</v>
      </c>
      <c r="D7580">
        <v>1</v>
      </c>
      <c r="E7580">
        <v>13010</v>
      </c>
      <c r="F7580">
        <v>1400000</v>
      </c>
      <c r="G7580">
        <v>0</v>
      </c>
      <c r="H7580">
        <v>50000</v>
      </c>
      <c r="I7580">
        <v>0</v>
      </c>
      <c r="J7580">
        <v>0</v>
      </c>
      <c r="K7580">
        <v>0</v>
      </c>
      <c r="L7580">
        <v>199500000</v>
      </c>
      <c r="M7580">
        <v>199500000</v>
      </c>
      <c r="N7580">
        <v>199500000</v>
      </c>
      <c r="O7580">
        <v>199500000</v>
      </c>
      <c r="P7580">
        <v>210000000</v>
      </c>
      <c r="Q7580">
        <v>210000000</v>
      </c>
      <c r="R7580" s="14">
        <f>_xlfn.XLOOKUP(Table2[[#This Row],[LoanID]],Table1[G-L ID],Table1[ManagerCode],-99)</f>
        <v>103</v>
      </c>
      <c r="T7580"/>
    </row>
    <row r="7581" spans="1:20" x14ac:dyDescent="0.25">
      <c r="A7581">
        <v>20180930</v>
      </c>
      <c r="B7581">
        <v>2018</v>
      </c>
      <c r="C7581">
        <v>9</v>
      </c>
      <c r="D7581">
        <v>1</v>
      </c>
      <c r="E7581">
        <v>13020</v>
      </c>
      <c r="F7581">
        <v>201126.43</v>
      </c>
      <c r="G7581">
        <v>0</v>
      </c>
      <c r="H7581">
        <v>0</v>
      </c>
      <c r="I7581">
        <v>0</v>
      </c>
      <c r="J7581">
        <v>-201126.43</v>
      </c>
      <c r="K7581">
        <v>0</v>
      </c>
      <c r="L7581">
        <v>19463847.879999999</v>
      </c>
      <c r="M7581">
        <v>19664974.309999999</v>
      </c>
      <c r="N7581">
        <v>19463847.879999999</v>
      </c>
      <c r="O7581">
        <v>19664974.309999999</v>
      </c>
      <c r="P7581">
        <v>19463847.879999999</v>
      </c>
      <c r="Q7581">
        <v>19664974.309999999</v>
      </c>
      <c r="R7581" s="14">
        <f>_xlfn.XLOOKUP(Table2[[#This Row],[LoanID]],Table1[G-L ID],Table1[ManagerCode],-99)</f>
        <v>103</v>
      </c>
      <c r="T7581"/>
    </row>
    <row r="7582" spans="1:20" x14ac:dyDescent="0.25">
      <c r="A7582">
        <v>20180930</v>
      </c>
      <c r="B7582">
        <v>2018</v>
      </c>
      <c r="C7582">
        <v>9</v>
      </c>
      <c r="D7582">
        <v>1</v>
      </c>
      <c r="E7582">
        <v>13030</v>
      </c>
      <c r="F7582">
        <v>275711.90000000002</v>
      </c>
      <c r="G7582">
        <v>0</v>
      </c>
      <c r="H7582">
        <v>0</v>
      </c>
      <c r="I7582">
        <v>0</v>
      </c>
      <c r="J7582">
        <v>0</v>
      </c>
      <c r="K7582">
        <v>0</v>
      </c>
      <c r="L7582">
        <v>114000000</v>
      </c>
      <c r="M7582">
        <v>114000000</v>
      </c>
      <c r="N7582">
        <v>51276576</v>
      </c>
      <c r="O7582">
        <v>51276576</v>
      </c>
      <c r="P7582">
        <v>114000000</v>
      </c>
      <c r="Q7582">
        <v>114000000</v>
      </c>
      <c r="R7582" s="14">
        <f>_xlfn.XLOOKUP(Table2[[#This Row],[LoanID]],Table1[G-L ID],Table1[ManagerCode],-99)</f>
        <v>183</v>
      </c>
      <c r="T7582"/>
    </row>
    <row r="7583" spans="1:20" x14ac:dyDescent="0.25">
      <c r="A7583">
        <v>20180930</v>
      </c>
      <c r="B7583">
        <v>2018</v>
      </c>
      <c r="C7583">
        <v>9</v>
      </c>
      <c r="D7583">
        <v>1</v>
      </c>
      <c r="E7583">
        <v>13040</v>
      </c>
      <c r="F7583">
        <v>69330.3</v>
      </c>
      <c r="G7583">
        <v>0</v>
      </c>
      <c r="H7583">
        <v>0</v>
      </c>
      <c r="I7583">
        <v>0</v>
      </c>
      <c r="J7583">
        <v>0</v>
      </c>
      <c r="K7583">
        <v>0</v>
      </c>
      <c r="L7583">
        <v>33862500</v>
      </c>
      <c r="M7583">
        <v>33862500</v>
      </c>
      <c r="N7583">
        <v>13690113</v>
      </c>
      <c r="O7583">
        <v>13690113</v>
      </c>
      <c r="P7583">
        <v>33862500</v>
      </c>
      <c r="Q7583">
        <v>33862500</v>
      </c>
      <c r="R7583" s="14">
        <f>_xlfn.XLOOKUP(Table2[[#This Row],[LoanID]],Table1[G-L ID],Table1[ManagerCode],-99)</f>
        <v>183</v>
      </c>
      <c r="T7583"/>
    </row>
    <row r="7584" spans="1:20" x14ac:dyDescent="0.25">
      <c r="A7584">
        <v>20180930</v>
      </c>
      <c r="B7584">
        <v>2018</v>
      </c>
      <c r="C7584">
        <v>9</v>
      </c>
      <c r="D7584">
        <v>1</v>
      </c>
      <c r="E7584">
        <v>13050</v>
      </c>
      <c r="F7584">
        <v>113212.76</v>
      </c>
      <c r="G7584">
        <v>0</v>
      </c>
      <c r="H7584">
        <v>0</v>
      </c>
      <c r="I7584">
        <v>0</v>
      </c>
      <c r="J7584">
        <v>0</v>
      </c>
      <c r="K7584">
        <v>0</v>
      </c>
      <c r="L7584">
        <v>42575000</v>
      </c>
      <c r="M7584">
        <v>42575000</v>
      </c>
      <c r="N7584">
        <v>14901424</v>
      </c>
      <c r="O7584">
        <v>14901424</v>
      </c>
      <c r="P7584">
        <v>42575000</v>
      </c>
      <c r="Q7584">
        <v>42575000</v>
      </c>
      <c r="R7584" s="14">
        <f>_xlfn.XLOOKUP(Table2[[#This Row],[LoanID]],Table1[G-L ID],Table1[ManagerCode],-99)</f>
        <v>183</v>
      </c>
      <c r="T7584"/>
    </row>
    <row r="7585" spans="1:20" x14ac:dyDescent="0.25">
      <c r="A7585">
        <v>20180930</v>
      </c>
      <c r="B7585">
        <v>2018</v>
      </c>
      <c r="C7585">
        <v>9</v>
      </c>
      <c r="D7585">
        <v>1</v>
      </c>
      <c r="E7585">
        <v>13060</v>
      </c>
      <c r="F7585">
        <v>113445.46</v>
      </c>
      <c r="G7585">
        <v>0</v>
      </c>
      <c r="H7585">
        <v>0</v>
      </c>
      <c r="I7585">
        <v>0</v>
      </c>
      <c r="J7585">
        <v>0</v>
      </c>
      <c r="K7585">
        <v>0</v>
      </c>
      <c r="L7585">
        <v>42730506.350000001</v>
      </c>
      <c r="M7585">
        <v>42730506.350000001</v>
      </c>
      <c r="N7585">
        <v>17128944.350000001</v>
      </c>
      <c r="O7585">
        <v>17128944.350000001</v>
      </c>
      <c r="P7585">
        <v>42730506.350000001</v>
      </c>
      <c r="Q7585">
        <v>42730506.350000001</v>
      </c>
      <c r="R7585" s="14">
        <f>_xlfn.XLOOKUP(Table2[[#This Row],[LoanID]],Table1[G-L ID],Table1[ManagerCode],-99)</f>
        <v>183</v>
      </c>
      <c r="T7585"/>
    </row>
    <row r="7586" spans="1:20" x14ac:dyDescent="0.25">
      <c r="A7586">
        <v>20180930</v>
      </c>
      <c r="B7586">
        <v>2018</v>
      </c>
      <c r="C7586">
        <v>9</v>
      </c>
      <c r="D7586">
        <v>1</v>
      </c>
      <c r="E7586">
        <v>13070</v>
      </c>
      <c r="F7586">
        <v>0</v>
      </c>
      <c r="G7586">
        <v>0</v>
      </c>
      <c r="H7586">
        <v>797000</v>
      </c>
      <c r="I7586">
        <v>0</v>
      </c>
      <c r="J7586">
        <v>-84000000</v>
      </c>
      <c r="K7586">
        <v>40000000</v>
      </c>
      <c r="L7586">
        <v>0</v>
      </c>
      <c r="M7586">
        <v>84000000</v>
      </c>
      <c r="N7586">
        <v>0</v>
      </c>
      <c r="O7586">
        <v>44000000</v>
      </c>
      <c r="P7586">
        <v>0</v>
      </c>
      <c r="Q7586">
        <v>84000000</v>
      </c>
      <c r="R7586" s="14">
        <f>_xlfn.XLOOKUP(Table2[[#This Row],[LoanID]],Table1[G-L ID],Table1[ManagerCode],-99)</f>
        <v>183</v>
      </c>
      <c r="T7586"/>
    </row>
    <row r="7587" spans="1:20" x14ac:dyDescent="0.25">
      <c r="A7587">
        <v>20180930</v>
      </c>
      <c r="B7587">
        <v>2018</v>
      </c>
      <c r="C7587">
        <v>9</v>
      </c>
      <c r="D7587">
        <v>1</v>
      </c>
      <c r="E7587">
        <v>13080</v>
      </c>
      <c r="F7587">
        <v>0</v>
      </c>
      <c r="G7587">
        <v>0</v>
      </c>
      <c r="H7587">
        <v>322500</v>
      </c>
      <c r="I7587">
        <v>0</v>
      </c>
      <c r="J7587">
        <v>-36000000</v>
      </c>
      <c r="K7587">
        <v>21500000</v>
      </c>
      <c r="L7587">
        <v>0</v>
      </c>
      <c r="M7587">
        <v>36000000</v>
      </c>
      <c r="N7587">
        <v>0</v>
      </c>
      <c r="O7587">
        <v>14500000</v>
      </c>
      <c r="P7587">
        <v>0</v>
      </c>
      <c r="Q7587">
        <v>36000000</v>
      </c>
      <c r="R7587" s="14">
        <f>_xlfn.XLOOKUP(Table2[[#This Row],[LoanID]],Table1[G-L ID],Table1[ManagerCode],-99)</f>
        <v>183</v>
      </c>
      <c r="T7587"/>
    </row>
    <row r="7588" spans="1:20" x14ac:dyDescent="0.25">
      <c r="A7588">
        <v>20180930</v>
      </c>
      <c r="B7588">
        <v>2018</v>
      </c>
      <c r="C7588">
        <v>9</v>
      </c>
      <c r="D7588">
        <v>1</v>
      </c>
      <c r="E7588">
        <v>13090</v>
      </c>
      <c r="F7588">
        <v>36200</v>
      </c>
      <c r="G7588">
        <v>0</v>
      </c>
      <c r="H7588">
        <v>80000</v>
      </c>
      <c r="I7588">
        <v>0</v>
      </c>
      <c r="J7588">
        <v>-20000000</v>
      </c>
      <c r="K7588">
        <v>0</v>
      </c>
      <c r="L7588">
        <v>0</v>
      </c>
      <c r="M7588">
        <v>20000000</v>
      </c>
      <c r="N7588">
        <v>0</v>
      </c>
      <c r="O7588">
        <v>20000000</v>
      </c>
      <c r="P7588">
        <v>0</v>
      </c>
      <c r="Q7588">
        <v>20000000</v>
      </c>
      <c r="R7588" s="14">
        <f>_xlfn.XLOOKUP(Table2[[#This Row],[LoanID]],Table1[G-L ID],Table1[ManagerCode],-99)</f>
        <v>183</v>
      </c>
      <c r="T7588"/>
    </row>
    <row r="7589" spans="1:20" x14ac:dyDescent="0.25">
      <c r="A7589">
        <v>20180930</v>
      </c>
      <c r="B7589">
        <v>2018</v>
      </c>
      <c r="C7589">
        <v>9</v>
      </c>
      <c r="D7589">
        <v>1</v>
      </c>
      <c r="E7589">
        <v>13570</v>
      </c>
      <c r="F7589">
        <v>367294.37</v>
      </c>
      <c r="G7589">
        <v>0</v>
      </c>
      <c r="H7589">
        <v>0</v>
      </c>
      <c r="I7589">
        <v>0</v>
      </c>
      <c r="J7589">
        <v>0</v>
      </c>
      <c r="K7589">
        <v>0</v>
      </c>
      <c r="L7589">
        <v>45361925.32</v>
      </c>
      <c r="M7589">
        <v>45392137.369999997</v>
      </c>
      <c r="N7589">
        <v>45361925.32</v>
      </c>
      <c r="O7589">
        <v>45392137.369999997</v>
      </c>
      <c r="P7589">
        <v>45800000</v>
      </c>
      <c r="Q7589">
        <v>45800000</v>
      </c>
      <c r="R7589" s="14">
        <f>_xlfn.XLOOKUP(Table2[[#This Row],[LoanID]],Table1[G-L ID],Table1[ManagerCode],-99)</f>
        <v>298</v>
      </c>
      <c r="T7589"/>
    </row>
    <row r="7590" spans="1:20" x14ac:dyDescent="0.25">
      <c r="A7590">
        <v>20180930</v>
      </c>
      <c r="B7590">
        <v>2018</v>
      </c>
      <c r="C7590">
        <v>9</v>
      </c>
      <c r="D7590">
        <v>1</v>
      </c>
      <c r="E7590">
        <v>13580</v>
      </c>
      <c r="F7590">
        <v>429479.17</v>
      </c>
      <c r="G7590">
        <v>0</v>
      </c>
      <c r="H7590">
        <v>0</v>
      </c>
      <c r="I7590">
        <v>0</v>
      </c>
      <c r="J7590">
        <v>0</v>
      </c>
      <c r="K7590">
        <v>0</v>
      </c>
      <c r="L7590">
        <v>63971529.659999996</v>
      </c>
      <c r="M7590">
        <v>64042088.880000003</v>
      </c>
      <c r="N7590">
        <v>63971529.659999996</v>
      </c>
      <c r="O7590">
        <v>64042088.880000003</v>
      </c>
      <c r="P7590">
        <v>66500000</v>
      </c>
      <c r="Q7590">
        <v>66500000</v>
      </c>
      <c r="R7590" s="14">
        <f>_xlfn.XLOOKUP(Table2[[#This Row],[LoanID]],Table1[G-L ID],Table1[ManagerCode],-99)</f>
        <v>298</v>
      </c>
      <c r="T7590"/>
    </row>
    <row r="7591" spans="1:20" x14ac:dyDescent="0.25">
      <c r="A7591">
        <v>20180930</v>
      </c>
      <c r="B7591">
        <v>2018</v>
      </c>
      <c r="C7591">
        <v>9</v>
      </c>
      <c r="D7591">
        <v>1</v>
      </c>
      <c r="E7591">
        <v>13590</v>
      </c>
      <c r="F7591">
        <v>294947.78000000003</v>
      </c>
      <c r="G7591">
        <v>0</v>
      </c>
      <c r="H7591">
        <v>0</v>
      </c>
      <c r="I7591">
        <v>0</v>
      </c>
      <c r="J7591">
        <v>0</v>
      </c>
      <c r="K7591">
        <v>0</v>
      </c>
      <c r="L7591">
        <v>40000000</v>
      </c>
      <c r="M7591">
        <v>40000000</v>
      </c>
      <c r="N7591">
        <v>40000000</v>
      </c>
      <c r="O7591">
        <v>40000000</v>
      </c>
      <c r="P7591">
        <v>40000000</v>
      </c>
      <c r="Q7591">
        <v>40000000</v>
      </c>
      <c r="R7591" s="14">
        <f>_xlfn.XLOOKUP(Table2[[#This Row],[LoanID]],Table1[G-L ID],Table1[ManagerCode],-99)</f>
        <v>298</v>
      </c>
      <c r="T7591"/>
    </row>
    <row r="7592" spans="1:20" x14ac:dyDescent="0.25">
      <c r="A7592">
        <v>20180930</v>
      </c>
      <c r="B7592">
        <v>2018</v>
      </c>
      <c r="C7592">
        <v>9</v>
      </c>
      <c r="D7592">
        <v>1</v>
      </c>
      <c r="E7592">
        <v>13600</v>
      </c>
      <c r="F7592">
        <v>379029.03</v>
      </c>
      <c r="G7592">
        <v>0</v>
      </c>
      <c r="H7592">
        <v>0</v>
      </c>
      <c r="I7592">
        <v>0</v>
      </c>
      <c r="J7592">
        <v>0</v>
      </c>
      <c r="K7592">
        <v>0</v>
      </c>
      <c r="L7592">
        <v>45970000</v>
      </c>
      <c r="M7592">
        <v>45970000</v>
      </c>
      <c r="N7592">
        <v>45970000</v>
      </c>
      <c r="O7592">
        <v>45970000</v>
      </c>
      <c r="P7592">
        <v>45970000</v>
      </c>
      <c r="Q7592">
        <v>45970000</v>
      </c>
      <c r="R7592" s="14">
        <f>_xlfn.XLOOKUP(Table2[[#This Row],[LoanID]],Table1[G-L ID],Table1[ManagerCode],-99)</f>
        <v>298</v>
      </c>
      <c r="T7592"/>
    </row>
    <row r="7593" spans="1:20" x14ac:dyDescent="0.25">
      <c r="A7593">
        <v>20180930</v>
      </c>
      <c r="B7593">
        <v>2018</v>
      </c>
      <c r="C7593">
        <v>9</v>
      </c>
      <c r="D7593">
        <v>1</v>
      </c>
      <c r="E7593">
        <v>13610</v>
      </c>
      <c r="F7593">
        <v>63291.67</v>
      </c>
      <c r="G7593">
        <v>0</v>
      </c>
      <c r="H7593">
        <v>0</v>
      </c>
      <c r="I7593">
        <v>0</v>
      </c>
      <c r="J7593">
        <v>0</v>
      </c>
      <c r="K7593">
        <v>0</v>
      </c>
      <c r="L7593">
        <v>10549064</v>
      </c>
      <c r="M7593">
        <v>10549064</v>
      </c>
      <c r="N7593">
        <v>10549064</v>
      </c>
      <c r="O7593">
        <v>10549064</v>
      </c>
      <c r="P7593">
        <v>10500000</v>
      </c>
      <c r="Q7593">
        <v>10500000</v>
      </c>
      <c r="R7593" s="14">
        <f>_xlfn.XLOOKUP(Table2[[#This Row],[LoanID]],Table1[G-L ID],Table1[ManagerCode],-99)</f>
        <v>298</v>
      </c>
      <c r="T7593"/>
    </row>
    <row r="7594" spans="1:20" x14ac:dyDescent="0.25">
      <c r="A7594">
        <v>20180930</v>
      </c>
      <c r="B7594">
        <v>2018</v>
      </c>
      <c r="C7594">
        <v>9</v>
      </c>
      <c r="D7594">
        <v>1</v>
      </c>
      <c r="E7594">
        <v>13620</v>
      </c>
      <c r="F7594">
        <v>353615.28</v>
      </c>
      <c r="G7594">
        <v>0</v>
      </c>
      <c r="H7594">
        <v>0</v>
      </c>
      <c r="I7594">
        <v>0</v>
      </c>
      <c r="J7594">
        <v>0</v>
      </c>
      <c r="K7594">
        <v>0</v>
      </c>
      <c r="L7594">
        <v>49919787</v>
      </c>
      <c r="M7594">
        <v>49919787</v>
      </c>
      <c r="N7594">
        <v>49919787</v>
      </c>
      <c r="O7594">
        <v>49919787</v>
      </c>
      <c r="P7594">
        <v>50000000</v>
      </c>
      <c r="Q7594">
        <v>50000000</v>
      </c>
      <c r="R7594" s="14">
        <f>_xlfn.XLOOKUP(Table2[[#This Row],[LoanID]],Table1[G-L ID],Table1[ManagerCode],-99)</f>
        <v>298</v>
      </c>
      <c r="T7594"/>
    </row>
    <row r="7595" spans="1:20" x14ac:dyDescent="0.25">
      <c r="A7595">
        <v>20180930</v>
      </c>
      <c r="B7595">
        <v>2018</v>
      </c>
      <c r="C7595">
        <v>9</v>
      </c>
      <c r="D7595">
        <v>1</v>
      </c>
      <c r="E7595">
        <v>13630</v>
      </c>
      <c r="F7595">
        <v>218506.94</v>
      </c>
      <c r="G7595">
        <v>0</v>
      </c>
      <c r="H7595">
        <v>0</v>
      </c>
      <c r="I7595">
        <v>0</v>
      </c>
      <c r="J7595">
        <v>0</v>
      </c>
      <c r="K7595">
        <v>0</v>
      </c>
      <c r="L7595">
        <v>35537284.43</v>
      </c>
      <c r="M7595">
        <v>35537284.43</v>
      </c>
      <c r="N7595">
        <v>35537284.43</v>
      </c>
      <c r="O7595">
        <v>35537284.43</v>
      </c>
      <c r="P7595">
        <v>35000000</v>
      </c>
      <c r="Q7595">
        <v>35000000</v>
      </c>
      <c r="R7595" s="14">
        <f>_xlfn.XLOOKUP(Table2[[#This Row],[LoanID]],Table1[G-L ID],Table1[ManagerCode],-99)</f>
        <v>298</v>
      </c>
      <c r="T7595"/>
    </row>
    <row r="7596" spans="1:20" x14ac:dyDescent="0.25">
      <c r="A7596">
        <v>20180930</v>
      </c>
      <c r="B7596">
        <v>2018</v>
      </c>
      <c r="C7596">
        <v>9</v>
      </c>
      <c r="D7596">
        <v>1</v>
      </c>
      <c r="E7596">
        <v>13640</v>
      </c>
      <c r="F7596">
        <v>226983.51</v>
      </c>
      <c r="G7596">
        <v>0</v>
      </c>
      <c r="H7596">
        <v>0</v>
      </c>
      <c r="I7596">
        <v>0</v>
      </c>
      <c r="J7596">
        <v>0</v>
      </c>
      <c r="K7596">
        <v>0</v>
      </c>
      <c r="L7596">
        <v>30282941</v>
      </c>
      <c r="M7596">
        <v>30282941</v>
      </c>
      <c r="N7596">
        <v>30282941</v>
      </c>
      <c r="O7596">
        <v>30282941</v>
      </c>
      <c r="P7596">
        <v>30125000</v>
      </c>
      <c r="Q7596">
        <v>30125000</v>
      </c>
      <c r="R7596" s="14">
        <f>_xlfn.XLOOKUP(Table2[[#This Row],[LoanID]],Table1[G-L ID],Table1[ManagerCode],-99)</f>
        <v>298</v>
      </c>
      <c r="T7596"/>
    </row>
    <row r="7597" spans="1:20" x14ac:dyDescent="0.25">
      <c r="A7597">
        <v>20180930</v>
      </c>
      <c r="B7597">
        <v>2018</v>
      </c>
      <c r="C7597">
        <v>9</v>
      </c>
      <c r="D7597">
        <v>1</v>
      </c>
      <c r="E7597">
        <v>13650</v>
      </c>
      <c r="F7597">
        <v>223888.89</v>
      </c>
      <c r="G7597">
        <v>0</v>
      </c>
      <c r="H7597">
        <v>0</v>
      </c>
      <c r="I7597">
        <v>0</v>
      </c>
      <c r="J7597">
        <v>0</v>
      </c>
      <c r="K7597">
        <v>0</v>
      </c>
      <c r="L7597">
        <v>38811572</v>
      </c>
      <c r="M7597">
        <v>38811572</v>
      </c>
      <c r="N7597">
        <v>38811572</v>
      </c>
      <c r="O7597">
        <v>38811572</v>
      </c>
      <c r="P7597">
        <v>40000000</v>
      </c>
      <c r="Q7597">
        <v>40000000</v>
      </c>
      <c r="R7597" s="14">
        <f>_xlfn.XLOOKUP(Table2[[#This Row],[LoanID]],Table1[G-L ID],Table1[ManagerCode],-99)</f>
        <v>298</v>
      </c>
      <c r="T7597"/>
    </row>
    <row r="7598" spans="1:20" x14ac:dyDescent="0.25">
      <c r="A7598">
        <v>20180930</v>
      </c>
      <c r="B7598">
        <v>2018</v>
      </c>
      <c r="C7598">
        <v>9</v>
      </c>
      <c r="D7598">
        <v>1</v>
      </c>
      <c r="E7598">
        <v>13660</v>
      </c>
      <c r="F7598">
        <v>117972.22</v>
      </c>
      <c r="G7598">
        <v>0</v>
      </c>
      <c r="H7598">
        <v>0</v>
      </c>
      <c r="I7598">
        <v>0</v>
      </c>
      <c r="J7598">
        <v>0</v>
      </c>
      <c r="K7598">
        <v>0</v>
      </c>
      <c r="L7598">
        <v>18948845</v>
      </c>
      <c r="M7598">
        <v>18948845</v>
      </c>
      <c r="N7598">
        <v>18948845</v>
      </c>
      <c r="O7598">
        <v>18948845</v>
      </c>
      <c r="P7598">
        <v>20000000</v>
      </c>
      <c r="Q7598">
        <v>20000000</v>
      </c>
      <c r="R7598" s="14">
        <f>_xlfn.XLOOKUP(Table2[[#This Row],[LoanID]],Table1[G-L ID],Table1[ManagerCode],-99)</f>
        <v>298</v>
      </c>
      <c r="T7598"/>
    </row>
    <row r="7599" spans="1:20" x14ac:dyDescent="0.25">
      <c r="A7599">
        <v>20180930</v>
      </c>
      <c r="B7599">
        <v>2018</v>
      </c>
      <c r="C7599">
        <v>9</v>
      </c>
      <c r="D7599">
        <v>1</v>
      </c>
      <c r="E7599">
        <v>13670</v>
      </c>
      <c r="F7599">
        <v>341096.88</v>
      </c>
      <c r="G7599">
        <v>0</v>
      </c>
      <c r="H7599">
        <v>0</v>
      </c>
      <c r="I7599">
        <v>0</v>
      </c>
      <c r="J7599">
        <v>0</v>
      </c>
      <c r="K7599">
        <v>0</v>
      </c>
      <c r="L7599">
        <v>37539280.890000001</v>
      </c>
      <c r="M7599">
        <v>37539280.890000001</v>
      </c>
      <c r="N7599">
        <v>37539280.890000001</v>
      </c>
      <c r="O7599">
        <v>37539280.890000001</v>
      </c>
      <c r="P7599">
        <v>37500000</v>
      </c>
      <c r="Q7599">
        <v>37500000</v>
      </c>
      <c r="R7599" s="14">
        <f>_xlfn.XLOOKUP(Table2[[#This Row],[LoanID]],Table1[G-L ID],Table1[ManagerCode],-99)</f>
        <v>298</v>
      </c>
      <c r="T7599"/>
    </row>
    <row r="7600" spans="1:20" x14ac:dyDescent="0.25">
      <c r="A7600">
        <v>20180930</v>
      </c>
      <c r="B7600">
        <v>2018</v>
      </c>
      <c r="C7600">
        <v>9</v>
      </c>
      <c r="D7600">
        <v>1</v>
      </c>
      <c r="E7600">
        <v>13680</v>
      </c>
      <c r="F7600">
        <v>191533.3</v>
      </c>
      <c r="G7600">
        <v>0</v>
      </c>
      <c r="H7600">
        <v>0</v>
      </c>
      <c r="I7600">
        <v>0</v>
      </c>
      <c r="J7600">
        <v>0</v>
      </c>
      <c r="K7600">
        <v>19047.990000000002</v>
      </c>
      <c r="L7600">
        <v>17971328.219999999</v>
      </c>
      <c r="M7600">
        <v>17971328.219999999</v>
      </c>
      <c r="N7600">
        <v>17971328.219999999</v>
      </c>
      <c r="O7600">
        <v>17971328.219999999</v>
      </c>
      <c r="P7600">
        <v>17828568.09</v>
      </c>
      <c r="Q7600">
        <v>17809520.100000001</v>
      </c>
      <c r="R7600" s="14">
        <f>_xlfn.XLOOKUP(Table2[[#This Row],[LoanID]],Table1[G-L ID],Table1[ManagerCode],-99)</f>
        <v>298</v>
      </c>
      <c r="T7600"/>
    </row>
    <row r="7601" spans="1:20" x14ac:dyDescent="0.25">
      <c r="A7601">
        <v>20180930</v>
      </c>
      <c r="B7601">
        <v>2018</v>
      </c>
      <c r="C7601">
        <v>9</v>
      </c>
      <c r="D7601">
        <v>1</v>
      </c>
      <c r="E7601">
        <v>13690</v>
      </c>
      <c r="F7601">
        <v>133472.22</v>
      </c>
      <c r="G7601">
        <v>0</v>
      </c>
      <c r="H7601">
        <v>0</v>
      </c>
      <c r="I7601">
        <v>0</v>
      </c>
      <c r="J7601">
        <v>0</v>
      </c>
      <c r="K7601">
        <v>0</v>
      </c>
      <c r="L7601">
        <v>19779539.27</v>
      </c>
      <c r="M7601">
        <v>19791063.850000001</v>
      </c>
      <c r="N7601">
        <v>19779539.27</v>
      </c>
      <c r="O7601">
        <v>19791063.850000001</v>
      </c>
      <c r="P7601">
        <v>20000000</v>
      </c>
      <c r="Q7601">
        <v>20000000</v>
      </c>
      <c r="R7601" s="14">
        <f>_xlfn.XLOOKUP(Table2[[#This Row],[LoanID]],Table1[G-L ID],Table1[ManagerCode],-99)</f>
        <v>298</v>
      </c>
      <c r="T7601"/>
    </row>
    <row r="7602" spans="1:20" x14ac:dyDescent="0.25">
      <c r="A7602">
        <v>20180930</v>
      </c>
      <c r="B7602">
        <v>2018</v>
      </c>
      <c r="C7602">
        <v>9</v>
      </c>
      <c r="D7602">
        <v>1</v>
      </c>
      <c r="E7602">
        <v>14000</v>
      </c>
      <c r="F7602">
        <v>212330.89</v>
      </c>
      <c r="G7602">
        <v>0</v>
      </c>
      <c r="H7602">
        <v>0</v>
      </c>
      <c r="I7602">
        <v>0</v>
      </c>
      <c r="J7602">
        <v>0</v>
      </c>
      <c r="K7602">
        <v>0</v>
      </c>
      <c r="L7602">
        <v>98000000</v>
      </c>
      <c r="M7602">
        <v>98000000</v>
      </c>
      <c r="N7602">
        <v>39200000</v>
      </c>
      <c r="O7602">
        <v>39200000</v>
      </c>
      <c r="P7602">
        <v>98000000</v>
      </c>
      <c r="Q7602">
        <v>98000000</v>
      </c>
      <c r="R7602" s="14">
        <f>_xlfn.XLOOKUP(Table2[[#This Row],[LoanID]],Table1[G-L ID],Table1[ManagerCode],-99)</f>
        <v>183</v>
      </c>
      <c r="T7602"/>
    </row>
    <row r="7603" spans="1:20" x14ac:dyDescent="0.25">
      <c r="A7603">
        <v>20180930</v>
      </c>
      <c r="B7603">
        <v>2018</v>
      </c>
      <c r="C7603">
        <v>9</v>
      </c>
      <c r="D7603">
        <v>1</v>
      </c>
      <c r="E7603">
        <v>14010</v>
      </c>
      <c r="F7603">
        <v>-40021.69</v>
      </c>
      <c r="G7603">
        <v>0</v>
      </c>
      <c r="H7603">
        <v>-359667</v>
      </c>
      <c r="I7603">
        <v>0</v>
      </c>
      <c r="J7603">
        <v>39680000</v>
      </c>
      <c r="K7603">
        <v>0</v>
      </c>
      <c r="L7603">
        <v>49600000</v>
      </c>
      <c r="M7603">
        <v>9920000</v>
      </c>
      <c r="N7603">
        <v>49600000</v>
      </c>
      <c r="O7603">
        <v>9920000</v>
      </c>
      <c r="P7603">
        <v>49600000</v>
      </c>
      <c r="Q7603">
        <v>9920000</v>
      </c>
      <c r="R7603" s="14">
        <f>_xlfn.XLOOKUP(Table2[[#This Row],[LoanID]],Table1[G-L ID],Table1[ManagerCode],-99)</f>
        <v>119</v>
      </c>
      <c r="T7603"/>
    </row>
    <row r="7604" spans="1:20" x14ac:dyDescent="0.25">
      <c r="A7604">
        <v>20180930</v>
      </c>
      <c r="B7604">
        <v>2018</v>
      </c>
      <c r="C7604">
        <v>9</v>
      </c>
      <c r="D7604">
        <v>1</v>
      </c>
      <c r="E7604">
        <v>14020</v>
      </c>
      <c r="F7604">
        <v>412554.31</v>
      </c>
      <c r="G7604">
        <v>0</v>
      </c>
      <c r="H7604">
        <v>0</v>
      </c>
      <c r="I7604">
        <v>0</v>
      </c>
      <c r="J7604">
        <v>-4186842.01</v>
      </c>
      <c r="K7604">
        <v>0</v>
      </c>
      <c r="L7604">
        <v>23294748.390000001</v>
      </c>
      <c r="M7604">
        <v>27481590.399999999</v>
      </c>
      <c r="N7604">
        <v>23294748.390000001</v>
      </c>
      <c r="O7604">
        <v>27481590.399999999</v>
      </c>
      <c r="P7604">
        <v>23294748.390000001</v>
      </c>
      <c r="Q7604">
        <v>27481590.399999999</v>
      </c>
      <c r="R7604" s="14">
        <f>_xlfn.XLOOKUP(Table2[[#This Row],[LoanID]],Table1[G-L ID],Table1[ManagerCode],-99)</f>
        <v>119</v>
      </c>
      <c r="T7604"/>
    </row>
    <row r="7605" spans="1:20" x14ac:dyDescent="0.25">
      <c r="A7605">
        <v>20180930</v>
      </c>
      <c r="B7605">
        <v>2018</v>
      </c>
      <c r="C7605">
        <v>9</v>
      </c>
      <c r="D7605">
        <v>1</v>
      </c>
      <c r="E7605">
        <v>14670</v>
      </c>
      <c r="F7605">
        <v>76066.44</v>
      </c>
      <c r="G7605">
        <v>0</v>
      </c>
      <c r="H7605">
        <v>0</v>
      </c>
      <c r="I7605">
        <v>0</v>
      </c>
      <c r="J7605">
        <v>-242887.42</v>
      </c>
      <c r="K7605">
        <v>0</v>
      </c>
      <c r="L7605">
        <v>29647082</v>
      </c>
      <c r="M7605">
        <v>29921086</v>
      </c>
      <c r="N7605">
        <v>8598832</v>
      </c>
      <c r="O7605">
        <v>8872836</v>
      </c>
      <c r="P7605">
        <v>29500000</v>
      </c>
      <c r="Q7605">
        <v>29742887.420000002</v>
      </c>
      <c r="R7605" s="14">
        <f>_xlfn.XLOOKUP(Table2[[#This Row],[LoanID]],Table1[G-L ID],Table1[ManagerCode],-99)</f>
        <v>220</v>
      </c>
      <c r="T7605"/>
    </row>
    <row r="7606" spans="1:20" x14ac:dyDescent="0.25">
      <c r="A7606">
        <v>20180930</v>
      </c>
      <c r="B7606">
        <v>2018</v>
      </c>
      <c r="C7606">
        <v>9</v>
      </c>
      <c r="D7606">
        <v>1</v>
      </c>
      <c r="E7606">
        <v>14680</v>
      </c>
      <c r="F7606">
        <v>42951.51</v>
      </c>
      <c r="G7606">
        <v>0</v>
      </c>
      <c r="H7606">
        <v>0</v>
      </c>
      <c r="I7606">
        <v>0</v>
      </c>
      <c r="J7606">
        <v>0</v>
      </c>
      <c r="K7606">
        <v>0</v>
      </c>
      <c r="L7606">
        <v>27097598</v>
      </c>
      <c r="M7606">
        <v>27407629</v>
      </c>
      <c r="N7606">
        <v>6847598</v>
      </c>
      <c r="O7606">
        <v>7157629</v>
      </c>
      <c r="P7606">
        <v>27306773.300000001</v>
      </c>
      <c r="Q7606">
        <v>27306773.300000001</v>
      </c>
      <c r="R7606" s="14">
        <f>_xlfn.XLOOKUP(Table2[[#This Row],[LoanID]],Table1[G-L ID],Table1[ManagerCode],-99)</f>
        <v>220</v>
      </c>
      <c r="T7606"/>
    </row>
    <row r="7607" spans="1:20" x14ac:dyDescent="0.25">
      <c r="A7607">
        <v>20180930</v>
      </c>
      <c r="B7607">
        <v>2018</v>
      </c>
      <c r="C7607">
        <v>9</v>
      </c>
      <c r="D7607">
        <v>1</v>
      </c>
      <c r="E7607">
        <v>14790</v>
      </c>
      <c r="F7607">
        <v>205130.06</v>
      </c>
      <c r="G7607">
        <v>0</v>
      </c>
      <c r="H7607">
        <v>0</v>
      </c>
      <c r="I7607">
        <v>0</v>
      </c>
      <c r="J7607">
        <v>0</v>
      </c>
      <c r="K7607">
        <v>0</v>
      </c>
      <c r="L7607">
        <v>72200000</v>
      </c>
      <c r="M7607">
        <v>72872310</v>
      </c>
      <c r="N7607">
        <v>32200000</v>
      </c>
      <c r="O7607">
        <v>32872310</v>
      </c>
      <c r="P7607">
        <v>72200000</v>
      </c>
      <c r="Q7607">
        <v>72200000</v>
      </c>
      <c r="R7607" s="14">
        <f>_xlfn.XLOOKUP(Table2[[#This Row],[LoanID]],Table1[G-L ID],Table1[ManagerCode],-99)</f>
        <v>220</v>
      </c>
      <c r="T7607"/>
    </row>
    <row r="7608" spans="1:20" x14ac:dyDescent="0.25">
      <c r="A7608">
        <v>20180930</v>
      </c>
      <c r="B7608">
        <v>2018</v>
      </c>
      <c r="C7608">
        <v>9</v>
      </c>
      <c r="D7608">
        <v>1</v>
      </c>
      <c r="E7608">
        <v>14800</v>
      </c>
      <c r="F7608">
        <v>179048.25</v>
      </c>
      <c r="G7608">
        <v>0</v>
      </c>
      <c r="H7608">
        <v>382500</v>
      </c>
      <c r="I7608">
        <v>0</v>
      </c>
      <c r="J7608">
        <v>-51000000</v>
      </c>
      <c r="K7608">
        <v>0</v>
      </c>
      <c r="L7608">
        <v>0</v>
      </c>
      <c r="M7608">
        <v>51000000</v>
      </c>
      <c r="N7608">
        <v>0</v>
      </c>
      <c r="O7608">
        <v>51000000</v>
      </c>
      <c r="P7608">
        <v>0</v>
      </c>
      <c r="Q7608">
        <v>51000000</v>
      </c>
      <c r="R7608" s="14">
        <f>_xlfn.XLOOKUP(Table2[[#This Row],[LoanID]],Table1[G-L ID],Table1[ManagerCode],-99)</f>
        <v>220</v>
      </c>
      <c r="T7608"/>
    </row>
    <row r="7609" spans="1:20" x14ac:dyDescent="0.25">
      <c r="A7609">
        <v>20180930</v>
      </c>
      <c r="B7609">
        <v>2018</v>
      </c>
      <c r="C7609">
        <v>9</v>
      </c>
      <c r="D7609">
        <v>1</v>
      </c>
      <c r="E7609">
        <v>14810</v>
      </c>
      <c r="F7609">
        <v>97076.04</v>
      </c>
      <c r="G7609">
        <v>0</v>
      </c>
      <c r="H7609">
        <v>0</v>
      </c>
      <c r="I7609">
        <v>0</v>
      </c>
      <c r="J7609">
        <v>0</v>
      </c>
      <c r="K7609">
        <v>0</v>
      </c>
      <c r="L7609">
        <v>24999639</v>
      </c>
      <c r="M7609">
        <v>24999639</v>
      </c>
      <c r="N7609">
        <v>24999639</v>
      </c>
      <c r="O7609">
        <v>24999639</v>
      </c>
      <c r="P7609">
        <v>24930000</v>
      </c>
      <c r="Q7609">
        <v>24930000</v>
      </c>
      <c r="R7609" s="14">
        <f>_xlfn.XLOOKUP(Table2[[#This Row],[LoanID]],Table1[G-L ID],Table1[ManagerCode],-99)</f>
        <v>220</v>
      </c>
      <c r="T7609"/>
    </row>
    <row r="7610" spans="1:20" x14ac:dyDescent="0.25">
      <c r="A7610">
        <v>20180930</v>
      </c>
      <c r="B7610">
        <v>2018</v>
      </c>
      <c r="C7610">
        <v>9</v>
      </c>
      <c r="D7610">
        <v>1</v>
      </c>
      <c r="E7610">
        <v>14820</v>
      </c>
      <c r="F7610">
        <v>0</v>
      </c>
      <c r="G7610">
        <v>0</v>
      </c>
      <c r="H7610">
        <v>0</v>
      </c>
      <c r="I7610">
        <v>0</v>
      </c>
      <c r="J7610">
        <v>0</v>
      </c>
      <c r="K7610">
        <v>0</v>
      </c>
      <c r="L7610">
        <v>22623000</v>
      </c>
      <c r="M7610">
        <v>22623000</v>
      </c>
      <c r="N7610">
        <v>22623000</v>
      </c>
      <c r="O7610">
        <v>22623000</v>
      </c>
      <c r="P7610">
        <v>22623000</v>
      </c>
      <c r="Q7610">
        <v>22623000</v>
      </c>
      <c r="R7610" s="14">
        <f>_xlfn.XLOOKUP(Table2[[#This Row],[LoanID]],Table1[G-L ID],Table1[ManagerCode],-99)</f>
        <v>220</v>
      </c>
      <c r="T7610"/>
    </row>
    <row r="7611" spans="1:20" x14ac:dyDescent="0.25">
      <c r="A7611">
        <v>20180930</v>
      </c>
      <c r="B7611">
        <v>2018</v>
      </c>
      <c r="C7611">
        <v>9</v>
      </c>
      <c r="D7611">
        <v>1</v>
      </c>
      <c r="E7611">
        <v>14830</v>
      </c>
      <c r="F7611">
        <v>79511.34</v>
      </c>
      <c r="G7611">
        <v>0</v>
      </c>
      <c r="H7611">
        <v>0</v>
      </c>
      <c r="I7611">
        <v>0</v>
      </c>
      <c r="J7611">
        <v>0</v>
      </c>
      <c r="K7611">
        <v>0</v>
      </c>
      <c r="L7611">
        <v>34362710</v>
      </c>
      <c r="M7611">
        <v>34429120</v>
      </c>
      <c r="N7611">
        <v>14408996.6</v>
      </c>
      <c r="O7611">
        <v>14475406.6</v>
      </c>
      <c r="P7611">
        <v>34304894.420000002</v>
      </c>
      <c r="Q7611">
        <v>34304894.420000002</v>
      </c>
      <c r="R7611" s="14">
        <f>_xlfn.XLOOKUP(Table2[[#This Row],[LoanID]],Table1[G-L ID],Table1[ManagerCode],-99)</f>
        <v>220</v>
      </c>
      <c r="T7611"/>
    </row>
    <row r="7612" spans="1:20" x14ac:dyDescent="0.25">
      <c r="A7612">
        <v>20180930</v>
      </c>
      <c r="B7612">
        <v>2018</v>
      </c>
      <c r="C7612">
        <v>9</v>
      </c>
      <c r="D7612">
        <v>1</v>
      </c>
      <c r="E7612">
        <v>14840</v>
      </c>
      <c r="F7612">
        <v>66450.64</v>
      </c>
      <c r="G7612">
        <v>0</v>
      </c>
      <c r="H7612">
        <v>0</v>
      </c>
      <c r="I7612">
        <v>0</v>
      </c>
      <c r="J7612">
        <v>-274345.44</v>
      </c>
      <c r="K7612">
        <v>0</v>
      </c>
      <c r="L7612">
        <v>30926954</v>
      </c>
      <c r="M7612">
        <v>31630119</v>
      </c>
      <c r="N7612">
        <v>12434954</v>
      </c>
      <c r="O7612">
        <v>13138119</v>
      </c>
      <c r="P7612">
        <v>31244213.690000001</v>
      </c>
      <c r="Q7612">
        <v>31518559.129999999</v>
      </c>
      <c r="R7612" s="14">
        <f>_xlfn.XLOOKUP(Table2[[#This Row],[LoanID]],Table1[G-L ID],Table1[ManagerCode],-99)</f>
        <v>220</v>
      </c>
      <c r="T7612"/>
    </row>
    <row r="7613" spans="1:20" x14ac:dyDescent="0.25">
      <c r="A7613">
        <v>20180930</v>
      </c>
      <c r="B7613">
        <v>2018</v>
      </c>
      <c r="C7613">
        <v>9</v>
      </c>
      <c r="D7613">
        <v>1</v>
      </c>
      <c r="E7613">
        <v>14850</v>
      </c>
      <c r="F7613">
        <v>157239.29999999999</v>
      </c>
      <c r="G7613">
        <v>0</v>
      </c>
      <c r="H7613">
        <v>0</v>
      </c>
      <c r="I7613">
        <v>0</v>
      </c>
      <c r="J7613">
        <v>-1253607.78</v>
      </c>
      <c r="K7613">
        <v>0</v>
      </c>
      <c r="L7613">
        <v>76256536</v>
      </c>
      <c r="M7613">
        <v>77806401</v>
      </c>
      <c r="N7613">
        <v>30986058.399999999</v>
      </c>
      <c r="O7613">
        <v>32535923.399999999</v>
      </c>
      <c r="P7613">
        <v>76323458.340000004</v>
      </c>
      <c r="Q7613">
        <v>77577066.120000005</v>
      </c>
      <c r="R7613" s="14">
        <f>_xlfn.XLOOKUP(Table2[[#This Row],[LoanID]],Table1[G-L ID],Table1[ManagerCode],-99)</f>
        <v>220</v>
      </c>
      <c r="T7613"/>
    </row>
    <row r="7614" spans="1:20" x14ac:dyDescent="0.25">
      <c r="A7614">
        <v>20180930</v>
      </c>
      <c r="B7614">
        <v>2018</v>
      </c>
      <c r="C7614">
        <v>9</v>
      </c>
      <c r="D7614">
        <v>1</v>
      </c>
      <c r="E7614">
        <v>14860</v>
      </c>
      <c r="F7614">
        <v>148904.09</v>
      </c>
      <c r="G7614">
        <v>0</v>
      </c>
      <c r="H7614">
        <v>0</v>
      </c>
      <c r="I7614">
        <v>0</v>
      </c>
      <c r="J7614">
        <v>0</v>
      </c>
      <c r="K7614">
        <v>0</v>
      </c>
      <c r="L7614">
        <v>64961983</v>
      </c>
      <c r="M7614">
        <v>64964912</v>
      </c>
      <c r="N7614">
        <v>26102983</v>
      </c>
      <c r="O7614">
        <v>26105912</v>
      </c>
      <c r="P7614">
        <v>64765000</v>
      </c>
      <c r="Q7614">
        <v>64765000</v>
      </c>
      <c r="R7614" s="14">
        <f>_xlfn.XLOOKUP(Table2[[#This Row],[LoanID]],Table1[G-L ID],Table1[ManagerCode],-99)</f>
        <v>220</v>
      </c>
      <c r="T7614"/>
    </row>
    <row r="7615" spans="1:20" x14ac:dyDescent="0.25">
      <c r="A7615">
        <v>20180930</v>
      </c>
      <c r="B7615">
        <v>2018</v>
      </c>
      <c r="C7615">
        <v>9</v>
      </c>
      <c r="D7615">
        <v>1</v>
      </c>
      <c r="E7615">
        <v>14870</v>
      </c>
      <c r="F7615">
        <v>227224.15</v>
      </c>
      <c r="G7615">
        <v>0</v>
      </c>
      <c r="H7615">
        <v>0</v>
      </c>
      <c r="I7615">
        <v>0</v>
      </c>
      <c r="J7615">
        <v>0</v>
      </c>
      <c r="K7615">
        <v>0</v>
      </c>
      <c r="L7615">
        <v>47517532</v>
      </c>
      <c r="M7615">
        <v>47519674</v>
      </c>
      <c r="N7615">
        <v>47517532</v>
      </c>
      <c r="O7615">
        <v>47519674</v>
      </c>
      <c r="P7615">
        <v>47357000</v>
      </c>
      <c r="Q7615">
        <v>47357000</v>
      </c>
      <c r="R7615" s="14">
        <f>_xlfn.XLOOKUP(Table2[[#This Row],[LoanID]],Table1[G-L ID],Table1[ManagerCode],-99)</f>
        <v>220</v>
      </c>
      <c r="T7615"/>
    </row>
    <row r="7616" spans="1:20" x14ac:dyDescent="0.25">
      <c r="A7616">
        <v>20180930</v>
      </c>
      <c r="B7616">
        <v>2018</v>
      </c>
      <c r="C7616">
        <v>9</v>
      </c>
      <c r="D7616">
        <v>1</v>
      </c>
      <c r="E7616">
        <v>14880</v>
      </c>
      <c r="F7616">
        <v>129096.31</v>
      </c>
      <c r="G7616">
        <v>0</v>
      </c>
      <c r="H7616">
        <v>0</v>
      </c>
      <c r="I7616">
        <v>0</v>
      </c>
      <c r="J7616">
        <v>0</v>
      </c>
      <c r="K7616">
        <v>0</v>
      </c>
      <c r="L7616">
        <v>18043089</v>
      </c>
      <c r="M7616">
        <v>18043089</v>
      </c>
      <c r="N7616">
        <v>18043089</v>
      </c>
      <c r="O7616">
        <v>18043089</v>
      </c>
      <c r="P7616">
        <v>17951257</v>
      </c>
      <c r="Q7616">
        <v>17951257</v>
      </c>
      <c r="R7616" s="14">
        <f>_xlfn.XLOOKUP(Table2[[#This Row],[LoanID]],Table1[G-L ID],Table1[ManagerCode],-99)</f>
        <v>220</v>
      </c>
      <c r="T7616"/>
    </row>
    <row r="7617" spans="1:20" x14ac:dyDescent="0.25">
      <c r="A7617">
        <v>20180930</v>
      </c>
      <c r="B7617">
        <v>2018</v>
      </c>
      <c r="C7617">
        <v>9</v>
      </c>
      <c r="D7617">
        <v>1</v>
      </c>
      <c r="E7617">
        <v>14900</v>
      </c>
      <c r="F7617">
        <v>0</v>
      </c>
      <c r="G7617">
        <v>0</v>
      </c>
      <c r="H7617">
        <v>0</v>
      </c>
      <c r="I7617">
        <v>0</v>
      </c>
      <c r="J7617">
        <v>0</v>
      </c>
      <c r="K7617">
        <v>41600000</v>
      </c>
      <c r="L7617">
        <v>64000000</v>
      </c>
      <c r="M7617">
        <v>64174866</v>
      </c>
      <c r="N7617">
        <v>64000000</v>
      </c>
      <c r="O7617">
        <v>22574866</v>
      </c>
      <c r="P7617">
        <v>64000000</v>
      </c>
      <c r="Q7617">
        <v>64000000</v>
      </c>
      <c r="R7617" s="14">
        <f>_xlfn.XLOOKUP(Table2[[#This Row],[LoanID]],Table1[G-L ID],Table1[ManagerCode],-99)</f>
        <v>220</v>
      </c>
      <c r="T7617"/>
    </row>
    <row r="7618" spans="1:20" x14ac:dyDescent="0.25">
      <c r="A7618">
        <v>20180930</v>
      </c>
      <c r="B7618">
        <v>2018</v>
      </c>
      <c r="C7618">
        <v>9</v>
      </c>
      <c r="D7618">
        <v>1</v>
      </c>
      <c r="E7618">
        <v>14930</v>
      </c>
      <c r="F7618">
        <v>72969.72</v>
      </c>
      <c r="G7618">
        <v>0</v>
      </c>
      <c r="H7618">
        <v>467500</v>
      </c>
      <c r="I7618">
        <v>0</v>
      </c>
      <c r="J7618">
        <v>-55000000</v>
      </c>
      <c r="K7618">
        <v>0</v>
      </c>
      <c r="L7618">
        <v>0</v>
      </c>
      <c r="M7618">
        <v>55000000</v>
      </c>
      <c r="N7618">
        <v>0</v>
      </c>
      <c r="O7618">
        <v>55000000</v>
      </c>
      <c r="P7618">
        <v>0</v>
      </c>
      <c r="Q7618">
        <v>55000000</v>
      </c>
      <c r="R7618" s="14">
        <f>_xlfn.XLOOKUP(Table2[[#This Row],[LoanID]],Table1[G-L ID],Table1[ManagerCode],-99)</f>
        <v>220</v>
      </c>
      <c r="T7618"/>
    </row>
    <row r="7619" spans="1:20" x14ac:dyDescent="0.25">
      <c r="A7619">
        <v>20180930</v>
      </c>
      <c r="B7619">
        <v>2018</v>
      </c>
      <c r="C7619">
        <v>9</v>
      </c>
      <c r="D7619">
        <v>1</v>
      </c>
      <c r="E7619">
        <v>14940</v>
      </c>
      <c r="F7619">
        <v>82782.53</v>
      </c>
      <c r="G7619">
        <v>0</v>
      </c>
      <c r="H7619">
        <v>619150</v>
      </c>
      <c r="I7619">
        <v>0</v>
      </c>
      <c r="J7619">
        <v>-60991589</v>
      </c>
      <c r="K7619">
        <v>0</v>
      </c>
      <c r="L7619">
        <v>0</v>
      </c>
      <c r="M7619">
        <v>60991589</v>
      </c>
      <c r="N7619">
        <v>0</v>
      </c>
      <c r="O7619">
        <v>60991589</v>
      </c>
      <c r="P7619">
        <v>0</v>
      </c>
      <c r="Q7619">
        <v>60991589</v>
      </c>
      <c r="R7619" s="14">
        <f>_xlfn.XLOOKUP(Table2[[#This Row],[LoanID]],Table1[G-L ID],Table1[ManagerCode],-99)</f>
        <v>220</v>
      </c>
      <c r="T7619"/>
    </row>
    <row r="7620" spans="1:20" x14ac:dyDescent="0.25">
      <c r="A7620">
        <v>20180930</v>
      </c>
      <c r="B7620">
        <v>2018</v>
      </c>
      <c r="C7620">
        <v>9</v>
      </c>
      <c r="D7620">
        <v>1</v>
      </c>
      <c r="E7620">
        <v>14950</v>
      </c>
      <c r="F7620">
        <v>220266.65</v>
      </c>
      <c r="G7620">
        <v>0</v>
      </c>
      <c r="H7620">
        <v>0</v>
      </c>
      <c r="I7620">
        <v>0</v>
      </c>
      <c r="J7620">
        <v>0</v>
      </c>
      <c r="K7620">
        <v>0</v>
      </c>
      <c r="L7620">
        <v>35000000</v>
      </c>
      <c r="M7620">
        <v>35000000</v>
      </c>
      <c r="N7620">
        <v>35000000</v>
      </c>
      <c r="O7620">
        <v>35000000</v>
      </c>
      <c r="P7620">
        <v>35000000</v>
      </c>
      <c r="Q7620">
        <v>35000000</v>
      </c>
      <c r="R7620" s="14">
        <f>_xlfn.XLOOKUP(Table2[[#This Row],[LoanID]],Table1[G-L ID],Table1[ManagerCode],-99)</f>
        <v>220</v>
      </c>
      <c r="T7620"/>
    </row>
    <row r="7621" spans="1:20" x14ac:dyDescent="0.25">
      <c r="A7621">
        <v>20180930</v>
      </c>
      <c r="B7621">
        <v>2018</v>
      </c>
      <c r="C7621">
        <v>9</v>
      </c>
      <c r="D7621">
        <v>1</v>
      </c>
      <c r="E7621">
        <v>14960</v>
      </c>
      <c r="F7621">
        <v>61304.03</v>
      </c>
      <c r="G7621">
        <v>0</v>
      </c>
      <c r="H7621">
        <v>0</v>
      </c>
      <c r="I7621">
        <v>0</v>
      </c>
      <c r="J7621">
        <v>0</v>
      </c>
      <c r="K7621">
        <v>0</v>
      </c>
      <c r="L7621">
        <v>14805000</v>
      </c>
      <c r="M7621">
        <v>14872008</v>
      </c>
      <c r="N7621">
        <v>14805000</v>
      </c>
      <c r="O7621">
        <v>14872008</v>
      </c>
      <c r="P7621">
        <v>14805000</v>
      </c>
      <c r="Q7621">
        <v>14805000</v>
      </c>
      <c r="R7621" s="14">
        <f>_xlfn.XLOOKUP(Table2[[#This Row],[LoanID]],Table1[G-L ID],Table1[ManagerCode],-99)</f>
        <v>220</v>
      </c>
      <c r="T7621"/>
    </row>
    <row r="7622" spans="1:20" x14ac:dyDescent="0.25">
      <c r="A7622">
        <v>20180930</v>
      </c>
      <c r="B7622">
        <v>2018</v>
      </c>
      <c r="C7622">
        <v>9</v>
      </c>
      <c r="D7622">
        <v>1</v>
      </c>
      <c r="E7622">
        <v>15030</v>
      </c>
      <c r="F7622">
        <v>82159.12</v>
      </c>
      <c r="G7622">
        <v>0</v>
      </c>
      <c r="H7622">
        <v>0</v>
      </c>
      <c r="I7622">
        <v>0</v>
      </c>
      <c r="J7622">
        <v>-31673.18</v>
      </c>
      <c r="K7622">
        <v>0</v>
      </c>
      <c r="L7622">
        <v>37451916</v>
      </c>
      <c r="M7622">
        <v>37672133</v>
      </c>
      <c r="N7622">
        <v>13622579.220000001</v>
      </c>
      <c r="O7622">
        <v>13842796.220000001</v>
      </c>
      <c r="P7622">
        <v>37374083.399999999</v>
      </c>
      <c r="Q7622">
        <v>37405756.579999998</v>
      </c>
      <c r="R7622" s="14">
        <f>_xlfn.XLOOKUP(Table2[[#This Row],[LoanID]],Table1[G-L ID],Table1[ManagerCode],-99)</f>
        <v>220</v>
      </c>
      <c r="T7622"/>
    </row>
    <row r="7623" spans="1:20" x14ac:dyDescent="0.25">
      <c r="A7623">
        <v>20180930</v>
      </c>
      <c r="B7623">
        <v>2018</v>
      </c>
      <c r="C7623">
        <v>9</v>
      </c>
      <c r="D7623">
        <v>1</v>
      </c>
      <c r="E7623">
        <v>15540</v>
      </c>
      <c r="F7623">
        <v>277172.28999999998</v>
      </c>
      <c r="G7623">
        <v>-7497.29</v>
      </c>
      <c r="H7623">
        <v>0</v>
      </c>
      <c r="I7623">
        <v>-2260.42</v>
      </c>
      <c r="J7623">
        <v>0</v>
      </c>
      <c r="K7623">
        <v>0</v>
      </c>
      <c r="L7623">
        <v>52777172.289999999</v>
      </c>
      <c r="M7623">
        <v>52769675</v>
      </c>
      <c r="N7623">
        <v>52777172.289999999</v>
      </c>
      <c r="O7623">
        <v>52769675</v>
      </c>
      <c r="P7623">
        <v>52777172.289999999</v>
      </c>
      <c r="Q7623">
        <v>52769675</v>
      </c>
      <c r="R7623" s="14">
        <f>_xlfn.XLOOKUP(Table2[[#This Row],[LoanID]],Table1[G-L ID],Table1[ManagerCode],-99)</f>
        <v>212</v>
      </c>
      <c r="T7623"/>
    </row>
    <row r="7624" spans="1:20" x14ac:dyDescent="0.25">
      <c r="A7624">
        <v>20180930</v>
      </c>
      <c r="B7624">
        <v>2018</v>
      </c>
      <c r="C7624">
        <v>9</v>
      </c>
      <c r="D7624">
        <v>1</v>
      </c>
      <c r="E7624">
        <v>15580</v>
      </c>
      <c r="F7624">
        <v>115725.56</v>
      </c>
      <c r="G7624">
        <v>-3792.25</v>
      </c>
      <c r="H7624">
        <v>0</v>
      </c>
      <c r="I7624">
        <v>0</v>
      </c>
      <c r="J7624">
        <v>0</v>
      </c>
      <c r="K7624">
        <v>7675.75</v>
      </c>
      <c r="L7624">
        <v>14644479.41</v>
      </c>
      <c r="M7624">
        <v>14633011.41</v>
      </c>
      <c r="N7624">
        <v>14644479.41</v>
      </c>
      <c r="O7624">
        <v>14633011.41</v>
      </c>
      <c r="P7624">
        <v>14644479.41</v>
      </c>
      <c r="Q7624">
        <v>14633011.41</v>
      </c>
      <c r="R7624" s="14">
        <f>_xlfn.XLOOKUP(Table2[[#This Row],[LoanID]],Table1[G-L ID],Table1[ManagerCode],-99)</f>
        <v>212</v>
      </c>
      <c r="T7624"/>
    </row>
    <row r="7625" spans="1:20" x14ac:dyDescent="0.25">
      <c r="A7625">
        <v>20180930</v>
      </c>
      <c r="B7625">
        <v>2018</v>
      </c>
      <c r="C7625">
        <v>9</v>
      </c>
      <c r="D7625">
        <v>1</v>
      </c>
      <c r="E7625">
        <v>15610</v>
      </c>
      <c r="F7625">
        <v>825349.51</v>
      </c>
      <c r="G7625">
        <v>-21168.18</v>
      </c>
      <c r="H7625">
        <v>0</v>
      </c>
      <c r="I7625">
        <v>-8542.2199999999993</v>
      </c>
      <c r="J7625">
        <v>0</v>
      </c>
      <c r="K7625">
        <v>0</v>
      </c>
      <c r="L7625">
        <v>199225349.5</v>
      </c>
      <c r="M7625">
        <v>199204181.30000001</v>
      </c>
      <c r="N7625">
        <v>199225349.5</v>
      </c>
      <c r="O7625">
        <v>199204181.30000001</v>
      </c>
      <c r="P7625">
        <v>199225349.5</v>
      </c>
      <c r="Q7625">
        <v>199204181.30000001</v>
      </c>
      <c r="R7625" s="14">
        <f>_xlfn.XLOOKUP(Table2[[#This Row],[LoanID]],Table1[G-L ID],Table1[ManagerCode],-99)</f>
        <v>212</v>
      </c>
      <c r="T7625"/>
    </row>
    <row r="7626" spans="1:20" x14ac:dyDescent="0.25">
      <c r="A7626">
        <v>20180930</v>
      </c>
      <c r="B7626">
        <v>2018</v>
      </c>
      <c r="C7626">
        <v>9</v>
      </c>
      <c r="D7626">
        <v>1</v>
      </c>
      <c r="E7626">
        <v>15620</v>
      </c>
      <c r="F7626">
        <v>331513.2</v>
      </c>
      <c r="G7626">
        <v>-6956.48</v>
      </c>
      <c r="H7626">
        <v>0</v>
      </c>
      <c r="I7626">
        <v>-3672.7</v>
      </c>
      <c r="J7626">
        <v>0</v>
      </c>
      <c r="K7626">
        <v>0</v>
      </c>
      <c r="L7626">
        <v>78714032.200000003</v>
      </c>
      <c r="M7626">
        <v>78707075.719999999</v>
      </c>
      <c r="N7626">
        <v>78714032.200000003</v>
      </c>
      <c r="O7626">
        <v>78707075.719999999</v>
      </c>
      <c r="P7626">
        <v>78714032.200000003</v>
      </c>
      <c r="Q7626">
        <v>78707075.719999999</v>
      </c>
      <c r="R7626" s="14">
        <f>_xlfn.XLOOKUP(Table2[[#This Row],[LoanID]],Table1[G-L ID],Table1[ManagerCode],-99)</f>
        <v>212</v>
      </c>
      <c r="T7626"/>
    </row>
    <row r="7627" spans="1:20" x14ac:dyDescent="0.25">
      <c r="A7627">
        <v>20181031</v>
      </c>
      <c r="B7627">
        <v>2018</v>
      </c>
      <c r="C7627">
        <v>10</v>
      </c>
      <c r="D7627">
        <v>1</v>
      </c>
      <c r="E7627">
        <v>10010</v>
      </c>
      <c r="F7627">
        <v>208674.06</v>
      </c>
      <c r="G7627">
        <v>0</v>
      </c>
      <c r="H7627">
        <v>0</v>
      </c>
      <c r="I7627">
        <v>0</v>
      </c>
      <c r="J7627">
        <v>0</v>
      </c>
      <c r="K7627">
        <v>3417355.41</v>
      </c>
      <c r="L7627">
        <v>21836536.649999999</v>
      </c>
      <c r="M7627">
        <v>18419181.239999998</v>
      </c>
      <c r="N7627">
        <v>21836536.649999999</v>
      </c>
      <c r="O7627">
        <v>18419181.239999998</v>
      </c>
      <c r="P7627">
        <v>21836536.649999999</v>
      </c>
      <c r="Q7627">
        <v>18419181.239999998</v>
      </c>
      <c r="R7627" s="14">
        <f>_xlfn.XLOOKUP(Table2[[#This Row],[LoanID]],Table1[G-L ID],Table1[ManagerCode],-99)</f>
        <v>119</v>
      </c>
      <c r="T7627"/>
    </row>
    <row r="7628" spans="1:20" x14ac:dyDescent="0.25">
      <c r="A7628">
        <v>20181031</v>
      </c>
      <c r="B7628">
        <v>2018</v>
      </c>
      <c r="C7628">
        <v>10</v>
      </c>
      <c r="D7628">
        <v>1</v>
      </c>
      <c r="E7628">
        <v>10030</v>
      </c>
      <c r="F7628">
        <v>87783.06</v>
      </c>
      <c r="G7628">
        <v>0</v>
      </c>
      <c r="H7628">
        <v>0</v>
      </c>
      <c r="I7628">
        <v>0</v>
      </c>
      <c r="J7628">
        <v>-120031.32</v>
      </c>
      <c r="K7628">
        <v>0</v>
      </c>
      <c r="L7628">
        <v>9613797.1799999997</v>
      </c>
      <c r="M7628">
        <v>9733828.5</v>
      </c>
      <c r="N7628">
        <v>9613797.1799999997</v>
      </c>
      <c r="O7628">
        <v>9733828.5</v>
      </c>
      <c r="P7628">
        <v>9613797.1799999997</v>
      </c>
      <c r="Q7628">
        <v>9733828.5</v>
      </c>
      <c r="R7628" s="14">
        <f>_xlfn.XLOOKUP(Table2[[#This Row],[LoanID]],Table1[G-L ID],Table1[ManagerCode],-99)</f>
        <v>119</v>
      </c>
      <c r="T7628"/>
    </row>
    <row r="7629" spans="1:20" x14ac:dyDescent="0.25">
      <c r="A7629">
        <v>20181031</v>
      </c>
      <c r="B7629">
        <v>2018</v>
      </c>
      <c r="C7629">
        <v>10</v>
      </c>
      <c r="D7629">
        <v>1</v>
      </c>
      <c r="E7629">
        <v>10050</v>
      </c>
      <c r="F7629">
        <v>149013.89000000001</v>
      </c>
      <c r="G7629">
        <v>0</v>
      </c>
      <c r="H7629">
        <v>0</v>
      </c>
      <c r="I7629">
        <v>-69.45</v>
      </c>
      <c r="J7629">
        <v>0</v>
      </c>
      <c r="K7629">
        <v>0</v>
      </c>
      <c r="L7629">
        <v>36041392.280000001</v>
      </c>
      <c r="M7629">
        <v>35322154</v>
      </c>
      <c r="N7629">
        <v>36041392.280000001</v>
      </c>
      <c r="O7629">
        <v>35322154</v>
      </c>
      <c r="P7629">
        <v>33333334</v>
      </c>
      <c r="Q7629">
        <v>33333334</v>
      </c>
      <c r="R7629" s="14">
        <f>_xlfn.XLOOKUP(Table2[[#This Row],[LoanID]],Table1[G-L ID],Table1[ManagerCode],-99)</f>
        <v>103</v>
      </c>
      <c r="T7629"/>
    </row>
    <row r="7630" spans="1:20" x14ac:dyDescent="0.25">
      <c r="A7630">
        <v>20181031</v>
      </c>
      <c r="B7630">
        <v>2018</v>
      </c>
      <c r="C7630">
        <v>10</v>
      </c>
      <c r="D7630">
        <v>1</v>
      </c>
      <c r="E7630">
        <v>10070</v>
      </c>
      <c r="F7630">
        <v>68306.66</v>
      </c>
      <c r="G7630">
        <v>0</v>
      </c>
      <c r="H7630">
        <v>0</v>
      </c>
      <c r="I7630">
        <v>0</v>
      </c>
      <c r="J7630">
        <v>0</v>
      </c>
      <c r="K7630">
        <v>0</v>
      </c>
      <c r="L7630">
        <v>5875000</v>
      </c>
      <c r="M7630">
        <v>5875000</v>
      </c>
      <c r="N7630">
        <v>5875000</v>
      </c>
      <c r="O7630">
        <v>5875000</v>
      </c>
      <c r="P7630">
        <v>5875000</v>
      </c>
      <c r="Q7630">
        <v>5875000</v>
      </c>
      <c r="R7630" s="14">
        <f>_xlfn.XLOOKUP(Table2[[#This Row],[LoanID]],Table1[G-L ID],Table1[ManagerCode],-99)</f>
        <v>119</v>
      </c>
      <c r="T7630"/>
    </row>
    <row r="7631" spans="1:20" x14ac:dyDescent="0.25">
      <c r="A7631">
        <v>20181031</v>
      </c>
      <c r="B7631">
        <v>2018</v>
      </c>
      <c r="C7631">
        <v>10</v>
      </c>
      <c r="D7631">
        <v>1</v>
      </c>
      <c r="E7631">
        <v>10220</v>
      </c>
      <c r="F7631">
        <v>541666.67000000004</v>
      </c>
      <c r="G7631">
        <v>0</v>
      </c>
      <c r="H7631">
        <v>0</v>
      </c>
      <c r="I7631">
        <v>0</v>
      </c>
      <c r="J7631">
        <v>0</v>
      </c>
      <c r="K7631">
        <v>0</v>
      </c>
      <c r="L7631">
        <v>108327374</v>
      </c>
      <c r="M7631">
        <v>107816091</v>
      </c>
      <c r="N7631">
        <v>108327374</v>
      </c>
      <c r="O7631">
        <v>107816091</v>
      </c>
      <c r="P7631">
        <v>100000000</v>
      </c>
      <c r="Q7631">
        <v>100000000</v>
      </c>
      <c r="R7631" s="14">
        <f>_xlfn.XLOOKUP(Table2[[#This Row],[LoanID]],Table1[G-L ID],Table1[ManagerCode],-99)</f>
        <v>103</v>
      </c>
      <c r="T7631"/>
    </row>
    <row r="7632" spans="1:20" x14ac:dyDescent="0.25">
      <c r="A7632">
        <v>20181031</v>
      </c>
      <c r="B7632">
        <v>2018</v>
      </c>
      <c r="C7632">
        <v>10</v>
      </c>
      <c r="D7632">
        <v>1</v>
      </c>
      <c r="E7632">
        <v>10250</v>
      </c>
      <c r="F7632">
        <v>59606.94</v>
      </c>
      <c r="G7632">
        <v>0</v>
      </c>
      <c r="H7632">
        <v>0</v>
      </c>
      <c r="I7632">
        <v>0</v>
      </c>
      <c r="J7632">
        <v>0</v>
      </c>
      <c r="K7632">
        <v>0</v>
      </c>
      <c r="L7632">
        <v>5000000</v>
      </c>
      <c r="M7632">
        <v>5000000</v>
      </c>
      <c r="N7632">
        <v>5000000</v>
      </c>
      <c r="O7632">
        <v>5000000</v>
      </c>
      <c r="P7632">
        <v>5000000</v>
      </c>
      <c r="Q7632">
        <v>5000000</v>
      </c>
      <c r="R7632" s="14">
        <f>_xlfn.XLOOKUP(Table2[[#This Row],[LoanID]],Table1[G-L ID],Table1[ManagerCode],-99)</f>
        <v>119</v>
      </c>
      <c r="T7632"/>
    </row>
    <row r="7633" spans="1:20" x14ac:dyDescent="0.25">
      <c r="A7633">
        <v>20181031</v>
      </c>
      <c r="B7633">
        <v>2018</v>
      </c>
      <c r="C7633">
        <v>10</v>
      </c>
      <c r="D7633">
        <v>1</v>
      </c>
      <c r="E7633">
        <v>10270</v>
      </c>
      <c r="F7633">
        <v>49906.879999999997</v>
      </c>
      <c r="G7633">
        <v>0</v>
      </c>
      <c r="H7633">
        <v>11250</v>
      </c>
      <c r="I7633">
        <v>0</v>
      </c>
      <c r="J7633">
        <v>0</v>
      </c>
      <c r="K7633">
        <v>0</v>
      </c>
      <c r="L7633">
        <v>4500000</v>
      </c>
      <c r="M7633">
        <v>4500000</v>
      </c>
      <c r="N7633">
        <v>4500000</v>
      </c>
      <c r="O7633">
        <v>4500000</v>
      </c>
      <c r="P7633">
        <v>4500000</v>
      </c>
      <c r="Q7633">
        <v>4500000</v>
      </c>
      <c r="R7633" s="14">
        <f>_xlfn.XLOOKUP(Table2[[#This Row],[LoanID]],Table1[G-L ID],Table1[ManagerCode],-99)</f>
        <v>119</v>
      </c>
      <c r="T7633"/>
    </row>
    <row r="7634" spans="1:20" x14ac:dyDescent="0.25">
      <c r="A7634">
        <v>20181031</v>
      </c>
      <c r="B7634">
        <v>2018</v>
      </c>
      <c r="C7634">
        <v>10</v>
      </c>
      <c r="D7634">
        <v>1</v>
      </c>
      <c r="E7634">
        <v>10330</v>
      </c>
      <c r="F7634">
        <v>88012.99</v>
      </c>
      <c r="G7634">
        <v>0</v>
      </c>
      <c r="H7634">
        <v>0</v>
      </c>
      <c r="I7634">
        <v>0</v>
      </c>
      <c r="J7634">
        <v>0</v>
      </c>
      <c r="K7634">
        <v>0</v>
      </c>
      <c r="L7634">
        <v>8652759.6999999993</v>
      </c>
      <c r="M7634">
        <v>8652759.6999999993</v>
      </c>
      <c r="N7634">
        <v>8652759.6999999993</v>
      </c>
      <c r="O7634">
        <v>8652759.6999999993</v>
      </c>
      <c r="P7634">
        <v>8652759.6999999993</v>
      </c>
      <c r="Q7634">
        <v>8652759.6999999993</v>
      </c>
      <c r="R7634" s="14">
        <f>_xlfn.XLOOKUP(Table2[[#This Row],[LoanID]],Table1[G-L ID],Table1[ManagerCode],-99)</f>
        <v>119</v>
      </c>
      <c r="T7634"/>
    </row>
    <row r="7635" spans="1:20" x14ac:dyDescent="0.25">
      <c r="A7635">
        <v>20181031</v>
      </c>
      <c r="B7635">
        <v>2018</v>
      </c>
      <c r="C7635">
        <v>10</v>
      </c>
      <c r="D7635">
        <v>1</v>
      </c>
      <c r="E7635">
        <v>10360</v>
      </c>
      <c r="F7635">
        <v>57858.96</v>
      </c>
      <c r="G7635">
        <v>0</v>
      </c>
      <c r="H7635">
        <v>0</v>
      </c>
      <c r="I7635">
        <v>0</v>
      </c>
      <c r="J7635">
        <v>0</v>
      </c>
      <c r="K7635">
        <v>0</v>
      </c>
      <c r="L7635">
        <v>5909000</v>
      </c>
      <c r="M7635">
        <v>5909000</v>
      </c>
      <c r="N7635">
        <v>5909000</v>
      </c>
      <c r="O7635">
        <v>5909000</v>
      </c>
      <c r="P7635">
        <v>5909000</v>
      </c>
      <c r="Q7635">
        <v>5909000</v>
      </c>
      <c r="R7635" s="14">
        <f>_xlfn.XLOOKUP(Table2[[#This Row],[LoanID]],Table1[G-L ID],Table1[ManagerCode],-99)</f>
        <v>183</v>
      </c>
      <c r="T7635"/>
    </row>
    <row r="7636" spans="1:20" x14ac:dyDescent="0.25">
      <c r="A7636">
        <v>20181031</v>
      </c>
      <c r="B7636">
        <v>2018</v>
      </c>
      <c r="C7636">
        <v>10</v>
      </c>
      <c r="D7636">
        <v>1</v>
      </c>
      <c r="E7636">
        <v>10480</v>
      </c>
      <c r="F7636">
        <v>380236.76</v>
      </c>
      <c r="G7636">
        <v>0</v>
      </c>
      <c r="H7636">
        <v>0</v>
      </c>
      <c r="I7636">
        <v>0</v>
      </c>
      <c r="J7636">
        <v>0</v>
      </c>
      <c r="K7636">
        <v>18223440.300000001</v>
      </c>
      <c r="L7636">
        <v>18223440.300000001</v>
      </c>
      <c r="M7636">
        <v>0</v>
      </c>
      <c r="N7636">
        <v>18223440.300000001</v>
      </c>
      <c r="O7636">
        <v>0</v>
      </c>
      <c r="P7636">
        <v>18223440.300000001</v>
      </c>
      <c r="Q7636">
        <v>0</v>
      </c>
      <c r="R7636" s="14">
        <f>_xlfn.XLOOKUP(Table2[[#This Row],[LoanID]],Table1[G-L ID],Table1[ManagerCode],-99)</f>
        <v>119</v>
      </c>
      <c r="T7636"/>
    </row>
    <row r="7637" spans="1:20" x14ac:dyDescent="0.25">
      <c r="A7637">
        <v>20181031</v>
      </c>
      <c r="B7637">
        <v>2018</v>
      </c>
      <c r="C7637">
        <v>10</v>
      </c>
      <c r="D7637">
        <v>1</v>
      </c>
      <c r="E7637">
        <v>10730</v>
      </c>
      <c r="F7637">
        <v>110108.96</v>
      </c>
      <c r="G7637">
        <v>0</v>
      </c>
      <c r="H7637">
        <v>0</v>
      </c>
      <c r="I7637">
        <v>0</v>
      </c>
      <c r="J7637">
        <v>0</v>
      </c>
      <c r="K7637">
        <v>0</v>
      </c>
      <c r="L7637">
        <v>9500000</v>
      </c>
      <c r="M7637">
        <v>9500000</v>
      </c>
      <c r="N7637">
        <v>9500000</v>
      </c>
      <c r="O7637">
        <v>9500000</v>
      </c>
      <c r="P7637">
        <v>9500000</v>
      </c>
      <c r="Q7637">
        <v>9500000</v>
      </c>
      <c r="R7637" s="14">
        <f>_xlfn.XLOOKUP(Table2[[#This Row],[LoanID]],Table1[G-L ID],Table1[ManagerCode],-99)</f>
        <v>119</v>
      </c>
      <c r="T7637"/>
    </row>
    <row r="7638" spans="1:20" x14ac:dyDescent="0.25">
      <c r="A7638">
        <v>20181031</v>
      </c>
      <c r="B7638">
        <v>2018</v>
      </c>
      <c r="C7638">
        <v>10</v>
      </c>
      <c r="D7638">
        <v>1</v>
      </c>
      <c r="E7638">
        <v>10750</v>
      </c>
      <c r="F7638">
        <v>202965.2</v>
      </c>
      <c r="G7638">
        <v>0</v>
      </c>
      <c r="H7638">
        <v>0</v>
      </c>
      <c r="I7638">
        <v>0</v>
      </c>
      <c r="J7638">
        <v>0</v>
      </c>
      <c r="K7638">
        <v>0</v>
      </c>
      <c r="L7638">
        <v>8757259.9600000009</v>
      </c>
      <c r="M7638">
        <v>8757259.9600000009</v>
      </c>
      <c r="N7638">
        <v>8757259.9600000009</v>
      </c>
      <c r="O7638">
        <v>8757259.9600000009</v>
      </c>
      <c r="P7638">
        <v>8757259.9600000009</v>
      </c>
      <c r="Q7638">
        <v>8757259.9600000009</v>
      </c>
      <c r="R7638" s="14">
        <f>_xlfn.XLOOKUP(Table2[[#This Row],[LoanID]],Table1[G-L ID],Table1[ManagerCode],-99)</f>
        <v>119</v>
      </c>
      <c r="T7638"/>
    </row>
    <row r="7639" spans="1:20" x14ac:dyDescent="0.25">
      <c r="A7639">
        <v>20181031</v>
      </c>
      <c r="B7639">
        <v>2018</v>
      </c>
      <c r="C7639">
        <v>10</v>
      </c>
      <c r="D7639">
        <v>1</v>
      </c>
      <c r="E7639">
        <v>10790</v>
      </c>
      <c r="F7639">
        <v>21441.88</v>
      </c>
      <c r="G7639">
        <v>0</v>
      </c>
      <c r="H7639">
        <v>0</v>
      </c>
      <c r="I7639">
        <v>0</v>
      </c>
      <c r="J7639">
        <v>0</v>
      </c>
      <c r="K7639">
        <v>48026.37</v>
      </c>
      <c r="L7639">
        <v>4692812.4000000004</v>
      </c>
      <c r="M7639">
        <v>4618869</v>
      </c>
      <c r="N7639">
        <v>4692812.4000000004</v>
      </c>
      <c r="O7639">
        <v>4618869</v>
      </c>
      <c r="P7639">
        <v>4578337.6500000004</v>
      </c>
      <c r="Q7639">
        <v>4530311.28</v>
      </c>
      <c r="R7639" s="14">
        <f>_xlfn.XLOOKUP(Table2[[#This Row],[LoanID]],Table1[G-L ID],Table1[ManagerCode],-99)</f>
        <v>103</v>
      </c>
      <c r="T7639"/>
    </row>
    <row r="7640" spans="1:20" x14ac:dyDescent="0.25">
      <c r="A7640">
        <v>20181031</v>
      </c>
      <c r="B7640">
        <v>2018</v>
      </c>
      <c r="C7640">
        <v>10</v>
      </c>
      <c r="D7640">
        <v>1</v>
      </c>
      <c r="E7640">
        <v>10810</v>
      </c>
      <c r="F7640">
        <v>92193.02</v>
      </c>
      <c r="G7640">
        <v>0</v>
      </c>
      <c r="H7640">
        <v>0</v>
      </c>
      <c r="I7640">
        <v>0</v>
      </c>
      <c r="J7640">
        <v>0</v>
      </c>
      <c r="K7640">
        <v>112603.89</v>
      </c>
      <c r="L7640">
        <v>8159396.7300000004</v>
      </c>
      <c r="M7640">
        <v>8046792.8399999999</v>
      </c>
      <c r="N7640">
        <v>8159396.7300000004</v>
      </c>
      <c r="O7640">
        <v>8046792.8399999999</v>
      </c>
      <c r="P7640">
        <v>8159396.7300000004</v>
      </c>
      <c r="Q7640">
        <v>8046792.8399999999</v>
      </c>
      <c r="R7640" s="14">
        <f>_xlfn.XLOOKUP(Table2[[#This Row],[LoanID]],Table1[G-L ID],Table1[ManagerCode],-99)</f>
        <v>119</v>
      </c>
      <c r="T7640"/>
    </row>
    <row r="7641" spans="1:20" x14ac:dyDescent="0.25">
      <c r="A7641">
        <v>20181031</v>
      </c>
      <c r="B7641">
        <v>2018</v>
      </c>
      <c r="C7641">
        <v>10</v>
      </c>
      <c r="D7641">
        <v>1</v>
      </c>
      <c r="E7641">
        <v>10820</v>
      </c>
      <c r="F7641">
        <v>200260.09</v>
      </c>
      <c r="G7641">
        <v>0</v>
      </c>
      <c r="H7641">
        <v>0</v>
      </c>
      <c r="I7641">
        <v>0</v>
      </c>
      <c r="J7641">
        <v>0</v>
      </c>
      <c r="K7641">
        <v>0</v>
      </c>
      <c r="L7641">
        <v>25296011.27</v>
      </c>
      <c r="M7641">
        <v>25296011.27</v>
      </c>
      <c r="N7641">
        <v>25296011.27</v>
      </c>
      <c r="O7641">
        <v>25296011.27</v>
      </c>
      <c r="P7641">
        <v>25296011.27</v>
      </c>
      <c r="Q7641">
        <v>25296011.27</v>
      </c>
      <c r="R7641" s="14">
        <f>_xlfn.XLOOKUP(Table2[[#This Row],[LoanID]],Table1[G-L ID],Table1[ManagerCode],-99)</f>
        <v>220</v>
      </c>
      <c r="T7641"/>
    </row>
    <row r="7642" spans="1:20" x14ac:dyDescent="0.25">
      <c r="A7642">
        <v>20181031</v>
      </c>
      <c r="B7642">
        <v>2018</v>
      </c>
      <c r="C7642">
        <v>10</v>
      </c>
      <c r="D7642">
        <v>1</v>
      </c>
      <c r="E7642">
        <v>10830</v>
      </c>
      <c r="F7642">
        <v>123595.68</v>
      </c>
      <c r="G7642">
        <v>0</v>
      </c>
      <c r="H7642">
        <v>0</v>
      </c>
      <c r="I7642">
        <v>0</v>
      </c>
      <c r="J7642">
        <v>0</v>
      </c>
      <c r="K7642">
        <v>0</v>
      </c>
      <c r="L7642">
        <v>7806043.1399999997</v>
      </c>
      <c r="M7642">
        <v>7806043.1399999997</v>
      </c>
      <c r="N7642">
        <v>7806043.1399999997</v>
      </c>
      <c r="O7642">
        <v>7806043.1399999997</v>
      </c>
      <c r="P7642">
        <v>7806043.1399999997</v>
      </c>
      <c r="Q7642">
        <v>7806043.1399999997</v>
      </c>
      <c r="R7642" s="14">
        <f>_xlfn.XLOOKUP(Table2[[#This Row],[LoanID]],Table1[G-L ID],Table1[ManagerCode],-99)</f>
        <v>220</v>
      </c>
      <c r="T7642"/>
    </row>
    <row r="7643" spans="1:20" x14ac:dyDescent="0.25">
      <c r="A7643">
        <v>20181031</v>
      </c>
      <c r="B7643">
        <v>2018</v>
      </c>
      <c r="C7643">
        <v>10</v>
      </c>
      <c r="D7643">
        <v>1</v>
      </c>
      <c r="E7643">
        <v>10840</v>
      </c>
      <c r="F7643">
        <v>201228.82</v>
      </c>
      <c r="G7643">
        <v>0</v>
      </c>
      <c r="H7643">
        <v>0</v>
      </c>
      <c r="I7643">
        <v>0</v>
      </c>
      <c r="J7643">
        <v>0</v>
      </c>
      <c r="K7643">
        <v>0</v>
      </c>
      <c r="L7643">
        <v>12709189</v>
      </c>
      <c r="M7643">
        <v>12709189</v>
      </c>
      <c r="N7643">
        <v>12709189</v>
      </c>
      <c r="O7643">
        <v>12709189</v>
      </c>
      <c r="P7643">
        <v>12709189</v>
      </c>
      <c r="Q7643">
        <v>12709189</v>
      </c>
      <c r="R7643" s="14">
        <f>_xlfn.XLOOKUP(Table2[[#This Row],[LoanID]],Table1[G-L ID],Table1[ManagerCode],-99)</f>
        <v>220</v>
      </c>
      <c r="T7643"/>
    </row>
    <row r="7644" spans="1:20" x14ac:dyDescent="0.25">
      <c r="A7644">
        <v>20181031</v>
      </c>
      <c r="B7644">
        <v>2018</v>
      </c>
      <c r="C7644">
        <v>10</v>
      </c>
      <c r="D7644">
        <v>1</v>
      </c>
      <c r="E7644">
        <v>10910</v>
      </c>
      <c r="F7644">
        <v>81786.09</v>
      </c>
      <c r="G7644">
        <v>0</v>
      </c>
      <c r="H7644">
        <v>0</v>
      </c>
      <c r="I7644">
        <v>0</v>
      </c>
      <c r="J7644">
        <v>0</v>
      </c>
      <c r="K7644">
        <v>0</v>
      </c>
      <c r="L7644">
        <v>9762500</v>
      </c>
      <c r="M7644">
        <v>9762500</v>
      </c>
      <c r="N7644">
        <v>9762500</v>
      </c>
      <c r="O7644">
        <v>9762500</v>
      </c>
      <c r="P7644">
        <v>9762500</v>
      </c>
      <c r="Q7644">
        <v>9762500</v>
      </c>
      <c r="R7644" s="14">
        <f>_xlfn.XLOOKUP(Table2[[#This Row],[LoanID]],Table1[G-L ID],Table1[ManagerCode],-99)</f>
        <v>119</v>
      </c>
      <c r="T7644"/>
    </row>
    <row r="7645" spans="1:20" x14ac:dyDescent="0.25">
      <c r="A7645">
        <v>20181031</v>
      </c>
      <c r="B7645">
        <v>2018</v>
      </c>
      <c r="C7645">
        <v>10</v>
      </c>
      <c r="D7645">
        <v>1</v>
      </c>
      <c r="E7645">
        <v>10930</v>
      </c>
      <c r="F7645">
        <v>0</v>
      </c>
      <c r="G7645">
        <v>173435.99</v>
      </c>
      <c r="H7645">
        <v>0</v>
      </c>
      <c r="I7645">
        <v>0</v>
      </c>
      <c r="J7645">
        <v>0</v>
      </c>
      <c r="K7645">
        <v>0</v>
      </c>
      <c r="L7645">
        <v>15708222.09</v>
      </c>
      <c r="M7645">
        <v>15881658.08</v>
      </c>
      <c r="N7645">
        <v>15708222.09</v>
      </c>
      <c r="O7645">
        <v>15881658.08</v>
      </c>
      <c r="P7645">
        <v>15708222.09</v>
      </c>
      <c r="Q7645">
        <v>15881658.08</v>
      </c>
      <c r="R7645" s="14">
        <f>_xlfn.XLOOKUP(Table2[[#This Row],[LoanID]],Table1[G-L ID],Table1[ManagerCode],-99)</f>
        <v>183</v>
      </c>
      <c r="T7645"/>
    </row>
    <row r="7646" spans="1:20" x14ac:dyDescent="0.25">
      <c r="A7646">
        <v>20181031</v>
      </c>
      <c r="B7646">
        <v>2018</v>
      </c>
      <c r="C7646">
        <v>10</v>
      </c>
      <c r="D7646">
        <v>1</v>
      </c>
      <c r="E7646">
        <v>10970</v>
      </c>
      <c r="F7646">
        <v>27019.79</v>
      </c>
      <c r="G7646">
        <v>29271.43</v>
      </c>
      <c r="H7646">
        <v>0</v>
      </c>
      <c r="I7646">
        <v>0</v>
      </c>
      <c r="J7646">
        <v>-26742.080000000002</v>
      </c>
      <c r="K7646">
        <v>0</v>
      </c>
      <c r="L7646">
        <v>5393928.3899999997</v>
      </c>
      <c r="M7646">
        <v>5449941.9000000004</v>
      </c>
      <c r="N7646">
        <v>5393928.3899999997</v>
      </c>
      <c r="O7646">
        <v>5449941.9000000004</v>
      </c>
      <c r="P7646">
        <v>5393928.3899999997</v>
      </c>
      <c r="Q7646">
        <v>5449941.9000000004</v>
      </c>
      <c r="R7646" s="14">
        <f>_xlfn.XLOOKUP(Table2[[#This Row],[LoanID]],Table1[G-L ID],Table1[ManagerCode],-99)</f>
        <v>183</v>
      </c>
      <c r="T7646"/>
    </row>
    <row r="7647" spans="1:20" x14ac:dyDescent="0.25">
      <c r="A7647">
        <v>20181031</v>
      </c>
      <c r="B7647">
        <v>2018</v>
      </c>
      <c r="C7647">
        <v>10</v>
      </c>
      <c r="D7647">
        <v>1</v>
      </c>
      <c r="E7647">
        <v>11060</v>
      </c>
      <c r="F7647">
        <v>210438.07</v>
      </c>
      <c r="G7647">
        <v>0</v>
      </c>
      <c r="H7647">
        <v>0</v>
      </c>
      <c r="I7647">
        <v>0</v>
      </c>
      <c r="J7647">
        <v>0</v>
      </c>
      <c r="K7647">
        <v>0</v>
      </c>
      <c r="L7647">
        <v>22000000</v>
      </c>
      <c r="M7647">
        <v>22000000</v>
      </c>
      <c r="N7647">
        <v>22000000</v>
      </c>
      <c r="O7647">
        <v>22000000</v>
      </c>
      <c r="P7647">
        <v>22000000</v>
      </c>
      <c r="Q7647">
        <v>22000000</v>
      </c>
      <c r="R7647" s="14">
        <f>_xlfn.XLOOKUP(Table2[[#This Row],[LoanID]],Table1[G-L ID],Table1[ManagerCode],-99)</f>
        <v>119</v>
      </c>
      <c r="T7647"/>
    </row>
    <row r="7648" spans="1:20" x14ac:dyDescent="0.25">
      <c r="A7648">
        <v>20181031</v>
      </c>
      <c r="B7648">
        <v>2018</v>
      </c>
      <c r="C7648">
        <v>10</v>
      </c>
      <c r="D7648">
        <v>1</v>
      </c>
      <c r="E7648">
        <v>11080</v>
      </c>
      <c r="F7648">
        <v>718878.02</v>
      </c>
      <c r="G7648">
        <v>0</v>
      </c>
      <c r="H7648">
        <v>0</v>
      </c>
      <c r="I7648">
        <v>0</v>
      </c>
      <c r="J7648">
        <v>0</v>
      </c>
      <c r="K7648">
        <v>123838.54</v>
      </c>
      <c r="L7648">
        <v>38699545.630000003</v>
      </c>
      <c r="M7648">
        <v>38575707.090000004</v>
      </c>
      <c r="N7648">
        <v>38699545.630000003</v>
      </c>
      <c r="O7648">
        <v>38575707.090000004</v>
      </c>
      <c r="P7648">
        <v>38699545.630000003</v>
      </c>
      <c r="Q7648">
        <v>38575707.090000004</v>
      </c>
      <c r="R7648" s="14">
        <f>_xlfn.XLOOKUP(Table2[[#This Row],[LoanID]],Table1[G-L ID],Table1[ManagerCode],-99)</f>
        <v>119</v>
      </c>
      <c r="T7648"/>
    </row>
    <row r="7649" spans="1:20" x14ac:dyDescent="0.25">
      <c r="A7649">
        <v>20181031</v>
      </c>
      <c r="B7649">
        <v>2018</v>
      </c>
      <c r="C7649">
        <v>10</v>
      </c>
      <c r="D7649">
        <v>1</v>
      </c>
      <c r="E7649">
        <v>11150</v>
      </c>
      <c r="F7649">
        <v>120243.32</v>
      </c>
      <c r="G7649">
        <v>0</v>
      </c>
      <c r="H7649">
        <v>0</v>
      </c>
      <c r="I7649">
        <v>0</v>
      </c>
      <c r="J7649">
        <v>0</v>
      </c>
      <c r="K7649">
        <v>0</v>
      </c>
      <c r="L7649">
        <v>10990567.220000001</v>
      </c>
      <c r="M7649">
        <v>10990567.220000001</v>
      </c>
      <c r="N7649">
        <v>10990567.220000001</v>
      </c>
      <c r="O7649">
        <v>10990567.220000001</v>
      </c>
      <c r="P7649">
        <v>10990567.220000001</v>
      </c>
      <c r="Q7649">
        <v>10990567.220000001</v>
      </c>
      <c r="R7649" s="14">
        <f>_xlfn.XLOOKUP(Table2[[#This Row],[LoanID]],Table1[G-L ID],Table1[ManagerCode],-99)</f>
        <v>119</v>
      </c>
      <c r="T7649"/>
    </row>
    <row r="7650" spans="1:20" x14ac:dyDescent="0.25">
      <c r="A7650">
        <v>20181031</v>
      </c>
      <c r="B7650">
        <v>2018</v>
      </c>
      <c r="C7650">
        <v>10</v>
      </c>
      <c r="D7650">
        <v>1</v>
      </c>
      <c r="E7650">
        <v>11210</v>
      </c>
      <c r="F7650">
        <v>72387.009999999995</v>
      </c>
      <c r="G7650">
        <v>0</v>
      </c>
      <c r="H7650">
        <v>0</v>
      </c>
      <c r="I7650">
        <v>0</v>
      </c>
      <c r="J7650">
        <v>0</v>
      </c>
      <c r="K7650">
        <v>0</v>
      </c>
      <c r="L7650">
        <v>9500000</v>
      </c>
      <c r="M7650">
        <v>9500000</v>
      </c>
      <c r="N7650">
        <v>9500000</v>
      </c>
      <c r="O7650">
        <v>9500000</v>
      </c>
      <c r="P7650">
        <v>9500000</v>
      </c>
      <c r="Q7650">
        <v>9500000</v>
      </c>
      <c r="R7650" s="14">
        <f>_xlfn.XLOOKUP(Table2[[#This Row],[LoanID]],Table1[G-L ID],Table1[ManagerCode],-99)</f>
        <v>119</v>
      </c>
      <c r="T7650"/>
    </row>
    <row r="7651" spans="1:20" x14ac:dyDescent="0.25">
      <c r="A7651">
        <v>20181031</v>
      </c>
      <c r="B7651">
        <v>2018</v>
      </c>
      <c r="C7651">
        <v>10</v>
      </c>
      <c r="D7651">
        <v>1</v>
      </c>
      <c r="E7651">
        <v>11340</v>
      </c>
      <c r="F7651">
        <v>278529.25</v>
      </c>
      <c r="G7651">
        <v>0</v>
      </c>
      <c r="H7651">
        <v>0</v>
      </c>
      <c r="I7651">
        <v>0</v>
      </c>
      <c r="J7651">
        <v>0</v>
      </c>
      <c r="K7651">
        <v>75304.929999999993</v>
      </c>
      <c r="L7651">
        <v>47270393.109999999</v>
      </c>
      <c r="M7651">
        <v>47195840</v>
      </c>
      <c r="N7651">
        <v>47270393.109999999</v>
      </c>
      <c r="O7651">
        <v>47195840</v>
      </c>
      <c r="P7651">
        <v>47747871.829999998</v>
      </c>
      <c r="Q7651">
        <v>47672566.899999999</v>
      </c>
      <c r="R7651" s="14">
        <f>_xlfn.XLOOKUP(Table2[[#This Row],[LoanID]],Table1[G-L ID],Table1[ManagerCode],-99)</f>
        <v>103</v>
      </c>
      <c r="T7651"/>
    </row>
    <row r="7652" spans="1:20" x14ac:dyDescent="0.25">
      <c r="A7652">
        <v>20181031</v>
      </c>
      <c r="B7652">
        <v>2018</v>
      </c>
      <c r="C7652">
        <v>10</v>
      </c>
      <c r="D7652">
        <v>1</v>
      </c>
      <c r="E7652">
        <v>11360</v>
      </c>
      <c r="F7652">
        <v>77394.429999999993</v>
      </c>
      <c r="G7652">
        <v>0</v>
      </c>
      <c r="H7652">
        <v>0</v>
      </c>
      <c r="I7652">
        <v>0</v>
      </c>
      <c r="J7652">
        <v>0</v>
      </c>
      <c r="K7652">
        <v>0</v>
      </c>
      <c r="L7652">
        <v>9355036</v>
      </c>
      <c r="M7652">
        <v>9355036</v>
      </c>
      <c r="N7652">
        <v>9355036</v>
      </c>
      <c r="O7652">
        <v>9355036</v>
      </c>
      <c r="P7652">
        <v>9355036</v>
      </c>
      <c r="Q7652">
        <v>9355036</v>
      </c>
      <c r="R7652" s="14">
        <f>_xlfn.XLOOKUP(Table2[[#This Row],[LoanID]],Table1[G-L ID],Table1[ManagerCode],-99)</f>
        <v>119</v>
      </c>
      <c r="T7652"/>
    </row>
    <row r="7653" spans="1:20" x14ac:dyDescent="0.25">
      <c r="A7653">
        <v>20181031</v>
      </c>
      <c r="B7653">
        <v>2018</v>
      </c>
      <c r="C7653">
        <v>10</v>
      </c>
      <c r="D7653">
        <v>1</v>
      </c>
      <c r="E7653">
        <v>11410</v>
      </c>
      <c r="F7653">
        <v>122590</v>
      </c>
      <c r="G7653">
        <v>0</v>
      </c>
      <c r="H7653">
        <v>0</v>
      </c>
      <c r="I7653">
        <v>0</v>
      </c>
      <c r="J7653">
        <v>0</v>
      </c>
      <c r="K7653">
        <v>0</v>
      </c>
      <c r="L7653">
        <v>12000000</v>
      </c>
      <c r="M7653">
        <v>12000000</v>
      </c>
      <c r="N7653">
        <v>12000000</v>
      </c>
      <c r="O7653">
        <v>12000000</v>
      </c>
      <c r="P7653">
        <v>12000000</v>
      </c>
      <c r="Q7653">
        <v>12000000</v>
      </c>
      <c r="R7653" s="14">
        <f>_xlfn.XLOOKUP(Table2[[#This Row],[LoanID]],Table1[G-L ID],Table1[ManagerCode],-99)</f>
        <v>119</v>
      </c>
      <c r="T7653"/>
    </row>
    <row r="7654" spans="1:20" x14ac:dyDescent="0.25">
      <c r="A7654">
        <v>20181031</v>
      </c>
      <c r="B7654">
        <v>2018</v>
      </c>
      <c r="C7654">
        <v>10</v>
      </c>
      <c r="D7654">
        <v>1</v>
      </c>
      <c r="E7654">
        <v>11450</v>
      </c>
      <c r="F7654">
        <v>155891.97</v>
      </c>
      <c r="G7654">
        <v>0</v>
      </c>
      <c r="H7654">
        <v>0</v>
      </c>
      <c r="I7654">
        <v>0</v>
      </c>
      <c r="J7654">
        <v>-41049.410000000003</v>
      </c>
      <c r="K7654">
        <v>0</v>
      </c>
      <c r="L7654">
        <v>16803230.300000001</v>
      </c>
      <c r="M7654">
        <v>16844279.710000001</v>
      </c>
      <c r="N7654">
        <v>16803230.300000001</v>
      </c>
      <c r="O7654">
        <v>16844279.710000001</v>
      </c>
      <c r="P7654">
        <v>16803230.300000001</v>
      </c>
      <c r="Q7654">
        <v>16844279.710000001</v>
      </c>
      <c r="R7654" s="14">
        <f>_xlfn.XLOOKUP(Table2[[#This Row],[LoanID]],Table1[G-L ID],Table1[ManagerCode],-99)</f>
        <v>119</v>
      </c>
      <c r="T7654"/>
    </row>
    <row r="7655" spans="1:20" x14ac:dyDescent="0.25">
      <c r="A7655">
        <v>20181031</v>
      </c>
      <c r="B7655">
        <v>2018</v>
      </c>
      <c r="C7655">
        <v>10</v>
      </c>
      <c r="D7655">
        <v>1</v>
      </c>
      <c r="E7655">
        <v>11520</v>
      </c>
      <c r="F7655">
        <v>65721.23</v>
      </c>
      <c r="G7655">
        <v>0</v>
      </c>
      <c r="H7655">
        <v>0</v>
      </c>
      <c r="I7655">
        <v>0</v>
      </c>
      <c r="J7655">
        <v>0</v>
      </c>
      <c r="K7655">
        <v>0</v>
      </c>
      <c r="L7655">
        <v>8405516.8200000003</v>
      </c>
      <c r="M7655">
        <v>8405516.8200000003</v>
      </c>
      <c r="N7655">
        <v>8405516.8200000003</v>
      </c>
      <c r="O7655">
        <v>8405516.8200000003</v>
      </c>
      <c r="P7655">
        <v>8405516.8200000003</v>
      </c>
      <c r="Q7655">
        <v>8405516.8200000003</v>
      </c>
      <c r="R7655" s="14">
        <f>_xlfn.XLOOKUP(Table2[[#This Row],[LoanID]],Table1[G-L ID],Table1[ManagerCode],-99)</f>
        <v>119</v>
      </c>
      <c r="T7655"/>
    </row>
    <row r="7656" spans="1:20" x14ac:dyDescent="0.25">
      <c r="A7656">
        <v>20181031</v>
      </c>
      <c r="B7656">
        <v>2018</v>
      </c>
      <c r="C7656">
        <v>10</v>
      </c>
      <c r="D7656">
        <v>1</v>
      </c>
      <c r="E7656">
        <v>11530</v>
      </c>
      <c r="F7656">
        <v>52634.93</v>
      </c>
      <c r="G7656">
        <v>0</v>
      </c>
      <c r="H7656">
        <v>450000</v>
      </c>
      <c r="I7656">
        <v>0</v>
      </c>
      <c r="J7656">
        <v>-739545.93</v>
      </c>
      <c r="K7656">
        <v>0</v>
      </c>
      <c r="L7656">
        <v>14260454.07</v>
      </c>
      <c r="M7656">
        <v>15000000</v>
      </c>
      <c r="N7656">
        <v>14260454.07</v>
      </c>
      <c r="O7656">
        <v>15000000</v>
      </c>
      <c r="P7656">
        <v>14260454.07</v>
      </c>
      <c r="Q7656">
        <v>15000000</v>
      </c>
      <c r="R7656" s="14">
        <f>_xlfn.XLOOKUP(Table2[[#This Row],[LoanID]],Table1[G-L ID],Table1[ManagerCode],-99)</f>
        <v>119</v>
      </c>
      <c r="T7656"/>
    </row>
    <row r="7657" spans="1:20" x14ac:dyDescent="0.25">
      <c r="A7657">
        <v>20181031</v>
      </c>
      <c r="B7657">
        <v>2018</v>
      </c>
      <c r="C7657">
        <v>10</v>
      </c>
      <c r="D7657">
        <v>1</v>
      </c>
      <c r="E7657">
        <v>11590</v>
      </c>
      <c r="F7657">
        <v>15957.43</v>
      </c>
      <c r="G7657">
        <v>0</v>
      </c>
      <c r="H7657">
        <v>0</v>
      </c>
      <c r="I7657">
        <v>0</v>
      </c>
      <c r="J7657">
        <v>0</v>
      </c>
      <c r="K7657">
        <v>0</v>
      </c>
      <c r="L7657">
        <v>1982289.13</v>
      </c>
      <c r="M7657">
        <v>1982289.13</v>
      </c>
      <c r="N7657">
        <v>1982289.13</v>
      </c>
      <c r="O7657">
        <v>1982289.13</v>
      </c>
      <c r="P7657">
        <v>1982289.13</v>
      </c>
      <c r="Q7657">
        <v>1982289.13</v>
      </c>
      <c r="R7657" s="14">
        <f>_xlfn.XLOOKUP(Table2[[#This Row],[LoanID]],Table1[G-L ID],Table1[ManagerCode],-99)</f>
        <v>119</v>
      </c>
      <c r="T7657"/>
    </row>
    <row r="7658" spans="1:20" x14ac:dyDescent="0.25">
      <c r="A7658">
        <v>20181031</v>
      </c>
      <c r="B7658">
        <v>2018</v>
      </c>
      <c r="C7658">
        <v>10</v>
      </c>
      <c r="D7658">
        <v>1</v>
      </c>
      <c r="E7658">
        <v>11680</v>
      </c>
      <c r="F7658">
        <v>57126.559999999998</v>
      </c>
      <c r="G7658">
        <v>0</v>
      </c>
      <c r="H7658">
        <v>0</v>
      </c>
      <c r="I7658">
        <v>0</v>
      </c>
      <c r="J7658">
        <v>0</v>
      </c>
      <c r="K7658">
        <v>0</v>
      </c>
      <c r="L7658">
        <v>6600000</v>
      </c>
      <c r="M7658">
        <v>6600000</v>
      </c>
      <c r="N7658">
        <v>6600000</v>
      </c>
      <c r="O7658">
        <v>6600000</v>
      </c>
      <c r="P7658">
        <v>6600000</v>
      </c>
      <c r="Q7658">
        <v>6600000</v>
      </c>
      <c r="R7658" s="14">
        <f>_xlfn.XLOOKUP(Table2[[#This Row],[LoanID]],Table1[G-L ID],Table1[ManagerCode],-99)</f>
        <v>183</v>
      </c>
      <c r="T7658"/>
    </row>
    <row r="7659" spans="1:20" x14ac:dyDescent="0.25">
      <c r="A7659">
        <v>20181031</v>
      </c>
      <c r="B7659">
        <v>2018</v>
      </c>
      <c r="C7659">
        <v>10</v>
      </c>
      <c r="D7659">
        <v>1</v>
      </c>
      <c r="E7659">
        <v>11690</v>
      </c>
      <c r="F7659">
        <v>105390.57</v>
      </c>
      <c r="G7659">
        <v>0</v>
      </c>
      <c r="H7659">
        <v>0</v>
      </c>
      <c r="I7659">
        <v>0</v>
      </c>
      <c r="J7659">
        <v>0</v>
      </c>
      <c r="K7659">
        <v>17000000</v>
      </c>
      <c r="L7659">
        <v>17000000</v>
      </c>
      <c r="M7659">
        <v>0</v>
      </c>
      <c r="N7659">
        <v>17000000</v>
      </c>
      <c r="O7659">
        <v>0</v>
      </c>
      <c r="P7659">
        <v>17000000</v>
      </c>
      <c r="Q7659">
        <v>0</v>
      </c>
      <c r="R7659" s="14">
        <f>_xlfn.XLOOKUP(Table2[[#This Row],[LoanID]],Table1[G-L ID],Table1[ManagerCode],-99)</f>
        <v>119</v>
      </c>
      <c r="T7659"/>
    </row>
    <row r="7660" spans="1:20" x14ac:dyDescent="0.25">
      <c r="A7660">
        <v>20181031</v>
      </c>
      <c r="B7660">
        <v>2018</v>
      </c>
      <c r="C7660">
        <v>10</v>
      </c>
      <c r="D7660">
        <v>1</v>
      </c>
      <c r="E7660">
        <v>11830</v>
      </c>
      <c r="F7660">
        <v>118833.06</v>
      </c>
      <c r="G7660">
        <v>0</v>
      </c>
      <c r="H7660">
        <v>0</v>
      </c>
      <c r="I7660">
        <v>0</v>
      </c>
      <c r="J7660">
        <v>0</v>
      </c>
      <c r="K7660">
        <v>3321009.25</v>
      </c>
      <c r="L7660">
        <v>14344725.66</v>
      </c>
      <c r="M7660">
        <v>11023716.41</v>
      </c>
      <c r="N7660">
        <v>14344725.66</v>
      </c>
      <c r="O7660">
        <v>11023716.41</v>
      </c>
      <c r="P7660">
        <v>14344725.66</v>
      </c>
      <c r="Q7660">
        <v>11023716.41</v>
      </c>
      <c r="R7660" s="14">
        <f>_xlfn.XLOOKUP(Table2[[#This Row],[LoanID]],Table1[G-L ID],Table1[ManagerCode],-99)</f>
        <v>119</v>
      </c>
      <c r="T7660"/>
    </row>
    <row r="7661" spans="1:20" x14ac:dyDescent="0.25">
      <c r="A7661">
        <v>20181031</v>
      </c>
      <c r="B7661">
        <v>2018</v>
      </c>
      <c r="C7661">
        <v>10</v>
      </c>
      <c r="D7661">
        <v>1</v>
      </c>
      <c r="E7661">
        <v>12180</v>
      </c>
      <c r="F7661">
        <v>489280.04</v>
      </c>
      <c r="G7661">
        <v>0</v>
      </c>
      <c r="H7661">
        <v>0</v>
      </c>
      <c r="I7661">
        <v>0</v>
      </c>
      <c r="J7661">
        <v>0</v>
      </c>
      <c r="K7661">
        <v>0</v>
      </c>
      <c r="L7661">
        <v>30400000</v>
      </c>
      <c r="M7661">
        <v>30400000</v>
      </c>
      <c r="N7661">
        <v>30400000</v>
      </c>
      <c r="O7661">
        <v>30400000</v>
      </c>
      <c r="P7661">
        <v>30393210.870000001</v>
      </c>
      <c r="Q7661">
        <v>30393210.870000001</v>
      </c>
      <c r="R7661" s="14">
        <f>_xlfn.XLOOKUP(Table2[[#This Row],[LoanID]],Table1[G-L ID],Table1[ManagerCode],-99)</f>
        <v>220</v>
      </c>
      <c r="T7661"/>
    </row>
    <row r="7662" spans="1:20" x14ac:dyDescent="0.25">
      <c r="A7662">
        <v>20181031</v>
      </c>
      <c r="B7662">
        <v>2018</v>
      </c>
      <c r="C7662">
        <v>10</v>
      </c>
      <c r="D7662">
        <v>1</v>
      </c>
      <c r="E7662">
        <v>12220</v>
      </c>
      <c r="F7662">
        <v>190882.8</v>
      </c>
      <c r="G7662">
        <v>0</v>
      </c>
      <c r="H7662">
        <v>0</v>
      </c>
      <c r="I7662">
        <v>0</v>
      </c>
      <c r="J7662">
        <v>0</v>
      </c>
      <c r="K7662">
        <v>0</v>
      </c>
      <c r="L7662">
        <v>54500000</v>
      </c>
      <c r="M7662">
        <v>54500000</v>
      </c>
      <c r="N7662">
        <v>27250000</v>
      </c>
      <c r="O7662">
        <v>27250000</v>
      </c>
      <c r="P7662">
        <v>54500000</v>
      </c>
      <c r="Q7662">
        <v>54500000</v>
      </c>
      <c r="R7662" s="14">
        <f>_xlfn.XLOOKUP(Table2[[#This Row],[LoanID]],Table1[G-L ID],Table1[ManagerCode],-99)</f>
        <v>183</v>
      </c>
      <c r="T7662"/>
    </row>
    <row r="7663" spans="1:20" x14ac:dyDescent="0.25">
      <c r="A7663">
        <v>20181031</v>
      </c>
      <c r="B7663">
        <v>2018</v>
      </c>
      <c r="C7663">
        <v>10</v>
      </c>
      <c r="D7663">
        <v>1</v>
      </c>
      <c r="E7663">
        <v>12250</v>
      </c>
      <c r="F7663">
        <v>111300.1</v>
      </c>
      <c r="G7663">
        <v>0</v>
      </c>
      <c r="H7663">
        <v>0</v>
      </c>
      <c r="I7663">
        <v>0</v>
      </c>
      <c r="J7663">
        <v>-220496.46</v>
      </c>
      <c r="K7663">
        <v>0</v>
      </c>
      <c r="L7663">
        <v>12965554.66</v>
      </c>
      <c r="M7663">
        <v>13186051.119999999</v>
      </c>
      <c r="N7663">
        <v>12965554.66</v>
      </c>
      <c r="O7663">
        <v>13186051.119999999</v>
      </c>
      <c r="P7663">
        <v>12965554.66</v>
      </c>
      <c r="Q7663">
        <v>13186051.119999999</v>
      </c>
      <c r="R7663" s="14">
        <f>_xlfn.XLOOKUP(Table2[[#This Row],[LoanID]],Table1[G-L ID],Table1[ManagerCode],-99)</f>
        <v>119</v>
      </c>
      <c r="T7663"/>
    </row>
    <row r="7664" spans="1:20" x14ac:dyDescent="0.25">
      <c r="A7664">
        <v>20181031</v>
      </c>
      <c r="B7664">
        <v>2018</v>
      </c>
      <c r="C7664">
        <v>10</v>
      </c>
      <c r="D7664">
        <v>1</v>
      </c>
      <c r="E7664">
        <v>12260</v>
      </c>
      <c r="F7664">
        <v>154393.19</v>
      </c>
      <c r="G7664">
        <v>0</v>
      </c>
      <c r="H7664">
        <v>0</v>
      </c>
      <c r="I7664">
        <v>0</v>
      </c>
      <c r="J7664">
        <v>-1538671.07</v>
      </c>
      <c r="K7664">
        <v>0</v>
      </c>
      <c r="L7664">
        <v>17236933.129999999</v>
      </c>
      <c r="M7664">
        <v>18775604.199999999</v>
      </c>
      <c r="N7664">
        <v>17236933.129999999</v>
      </c>
      <c r="O7664">
        <v>18775604.199999999</v>
      </c>
      <c r="P7664">
        <v>17236933.129999999</v>
      </c>
      <c r="Q7664">
        <v>18775604.199999999</v>
      </c>
      <c r="R7664" s="14">
        <f>_xlfn.XLOOKUP(Table2[[#This Row],[LoanID]],Table1[G-L ID],Table1[ManagerCode],-99)</f>
        <v>119</v>
      </c>
      <c r="T7664"/>
    </row>
    <row r="7665" spans="1:20" x14ac:dyDescent="0.25">
      <c r="A7665">
        <v>20181031</v>
      </c>
      <c r="B7665">
        <v>2018</v>
      </c>
      <c r="C7665">
        <v>10</v>
      </c>
      <c r="D7665">
        <v>1</v>
      </c>
      <c r="E7665">
        <v>12270</v>
      </c>
      <c r="F7665">
        <v>7481.12</v>
      </c>
      <c r="G7665">
        <v>0</v>
      </c>
      <c r="H7665">
        <v>0</v>
      </c>
      <c r="I7665">
        <v>0</v>
      </c>
      <c r="J7665">
        <v>0</v>
      </c>
      <c r="K7665">
        <v>0</v>
      </c>
      <c r="L7665">
        <v>740032.81</v>
      </c>
      <c r="M7665">
        <v>740032.81</v>
      </c>
      <c r="N7665">
        <v>740032.81</v>
      </c>
      <c r="O7665">
        <v>740032.81</v>
      </c>
      <c r="P7665">
        <v>740032.81</v>
      </c>
      <c r="Q7665">
        <v>740032.81</v>
      </c>
      <c r="R7665" s="14">
        <f>_xlfn.XLOOKUP(Table2[[#This Row],[LoanID]],Table1[G-L ID],Table1[ManagerCode],-99)</f>
        <v>119</v>
      </c>
      <c r="T7665"/>
    </row>
    <row r="7666" spans="1:20" x14ac:dyDescent="0.25">
      <c r="A7666">
        <v>20181031</v>
      </c>
      <c r="B7666">
        <v>2018</v>
      </c>
      <c r="C7666">
        <v>10</v>
      </c>
      <c r="D7666">
        <v>1</v>
      </c>
      <c r="E7666">
        <v>12280</v>
      </c>
      <c r="F7666">
        <v>212896.22</v>
      </c>
      <c r="G7666">
        <v>0</v>
      </c>
      <c r="H7666">
        <v>0</v>
      </c>
      <c r="I7666">
        <v>0</v>
      </c>
      <c r="J7666">
        <v>0</v>
      </c>
      <c r="K7666">
        <v>5920102.8300000001</v>
      </c>
      <c r="L7666">
        <v>27282705.460000001</v>
      </c>
      <c r="M7666">
        <v>21362602.629999999</v>
      </c>
      <c r="N7666">
        <v>27282705.460000001</v>
      </c>
      <c r="O7666">
        <v>21362602.629999999</v>
      </c>
      <c r="P7666">
        <v>27282705.460000001</v>
      </c>
      <c r="Q7666">
        <v>21362602.629999999</v>
      </c>
      <c r="R7666" s="14">
        <f>_xlfn.XLOOKUP(Table2[[#This Row],[LoanID]],Table1[G-L ID],Table1[ManagerCode],-99)</f>
        <v>119</v>
      </c>
      <c r="T7666"/>
    </row>
    <row r="7667" spans="1:20" x14ac:dyDescent="0.25">
      <c r="A7667">
        <v>20181031</v>
      </c>
      <c r="B7667">
        <v>2018</v>
      </c>
      <c r="C7667">
        <v>10</v>
      </c>
      <c r="D7667">
        <v>1</v>
      </c>
      <c r="E7667">
        <v>12290</v>
      </c>
      <c r="F7667">
        <v>210323.75</v>
      </c>
      <c r="G7667">
        <v>0</v>
      </c>
      <c r="H7667">
        <v>0</v>
      </c>
      <c r="I7667">
        <v>0</v>
      </c>
      <c r="J7667">
        <v>0</v>
      </c>
      <c r="K7667">
        <v>0</v>
      </c>
      <c r="L7667">
        <v>22750000</v>
      </c>
      <c r="M7667">
        <v>22750000</v>
      </c>
      <c r="N7667">
        <v>22750000</v>
      </c>
      <c r="O7667">
        <v>22750000</v>
      </c>
      <c r="P7667">
        <v>22750000</v>
      </c>
      <c r="Q7667">
        <v>22750000</v>
      </c>
      <c r="R7667" s="14">
        <f>_xlfn.XLOOKUP(Table2[[#This Row],[LoanID]],Table1[G-L ID],Table1[ManagerCode],-99)</f>
        <v>119</v>
      </c>
      <c r="T7667"/>
    </row>
    <row r="7668" spans="1:20" x14ac:dyDescent="0.25">
      <c r="A7668">
        <v>20181031</v>
      </c>
      <c r="B7668">
        <v>2018</v>
      </c>
      <c r="C7668">
        <v>10</v>
      </c>
      <c r="D7668">
        <v>1</v>
      </c>
      <c r="E7668">
        <v>12310</v>
      </c>
      <c r="F7668">
        <v>148855.57999999999</v>
      </c>
      <c r="G7668">
        <v>0</v>
      </c>
      <c r="H7668">
        <v>0</v>
      </c>
      <c r="I7668">
        <v>0</v>
      </c>
      <c r="J7668">
        <v>0</v>
      </c>
      <c r="K7668">
        <v>0</v>
      </c>
      <c r="L7668">
        <v>16375000</v>
      </c>
      <c r="M7668">
        <v>16375000</v>
      </c>
      <c r="N7668">
        <v>16375000</v>
      </c>
      <c r="O7668">
        <v>16375000</v>
      </c>
      <c r="P7668">
        <v>16375000</v>
      </c>
      <c r="Q7668">
        <v>16375000</v>
      </c>
      <c r="R7668" s="14">
        <f>_xlfn.XLOOKUP(Table2[[#This Row],[LoanID]],Table1[G-L ID],Table1[ManagerCode],-99)</f>
        <v>119</v>
      </c>
      <c r="T7668"/>
    </row>
    <row r="7669" spans="1:20" x14ac:dyDescent="0.25">
      <c r="A7669">
        <v>20181031</v>
      </c>
      <c r="B7669">
        <v>2018</v>
      </c>
      <c r="C7669">
        <v>10</v>
      </c>
      <c r="D7669">
        <v>1</v>
      </c>
      <c r="E7669">
        <v>12320</v>
      </c>
      <c r="F7669">
        <v>111315.98</v>
      </c>
      <c r="G7669">
        <v>0</v>
      </c>
      <c r="H7669">
        <v>0</v>
      </c>
      <c r="I7669">
        <v>0</v>
      </c>
      <c r="J7669">
        <v>0</v>
      </c>
      <c r="K7669">
        <v>11750000</v>
      </c>
      <c r="L7669">
        <v>11750000</v>
      </c>
      <c r="M7669">
        <v>0</v>
      </c>
      <c r="N7669">
        <v>11750000</v>
      </c>
      <c r="O7669">
        <v>0</v>
      </c>
      <c r="P7669">
        <v>11750000</v>
      </c>
      <c r="Q7669">
        <v>0</v>
      </c>
      <c r="R7669" s="14">
        <f>_xlfn.XLOOKUP(Table2[[#This Row],[LoanID]],Table1[G-L ID],Table1[ManagerCode],-99)</f>
        <v>119</v>
      </c>
      <c r="T7669"/>
    </row>
    <row r="7670" spans="1:20" x14ac:dyDescent="0.25">
      <c r="A7670">
        <v>20181031</v>
      </c>
      <c r="B7670">
        <v>2018</v>
      </c>
      <c r="C7670">
        <v>10</v>
      </c>
      <c r="D7670">
        <v>1</v>
      </c>
      <c r="E7670">
        <v>12330</v>
      </c>
      <c r="F7670">
        <v>214431.08</v>
      </c>
      <c r="G7670">
        <v>0</v>
      </c>
      <c r="H7670">
        <v>0</v>
      </c>
      <c r="I7670">
        <v>0</v>
      </c>
      <c r="J7670">
        <v>0</v>
      </c>
      <c r="K7670">
        <v>0</v>
      </c>
      <c r="L7670">
        <v>19976500</v>
      </c>
      <c r="M7670">
        <v>19976500</v>
      </c>
      <c r="N7670">
        <v>19976500</v>
      </c>
      <c r="O7670">
        <v>19976500</v>
      </c>
      <c r="P7670">
        <v>19976500</v>
      </c>
      <c r="Q7670">
        <v>19976500</v>
      </c>
      <c r="R7670" s="14">
        <f>_xlfn.XLOOKUP(Table2[[#This Row],[LoanID]],Table1[G-L ID],Table1[ManagerCode],-99)</f>
        <v>119</v>
      </c>
      <c r="T7670"/>
    </row>
    <row r="7671" spans="1:20" x14ac:dyDescent="0.25">
      <c r="A7671">
        <v>20181031</v>
      </c>
      <c r="B7671">
        <v>2018</v>
      </c>
      <c r="C7671">
        <v>10</v>
      </c>
      <c r="D7671">
        <v>1</v>
      </c>
      <c r="E7671">
        <v>12340</v>
      </c>
      <c r="F7671">
        <v>58143.08</v>
      </c>
      <c r="G7671">
        <v>0</v>
      </c>
      <c r="H7671">
        <v>0</v>
      </c>
      <c r="I7671">
        <v>0</v>
      </c>
      <c r="J7671">
        <v>0</v>
      </c>
      <c r="K7671">
        <v>0</v>
      </c>
      <c r="L7671">
        <v>24180000</v>
      </c>
      <c r="M7671">
        <v>24180000</v>
      </c>
      <c r="N7671">
        <v>12180000</v>
      </c>
      <c r="O7671">
        <v>12180000</v>
      </c>
      <c r="P7671">
        <v>24180000</v>
      </c>
      <c r="Q7671">
        <v>24180000</v>
      </c>
      <c r="R7671" s="14">
        <f>_xlfn.XLOOKUP(Table2[[#This Row],[LoanID]],Table1[G-L ID],Table1[ManagerCode],-99)</f>
        <v>183</v>
      </c>
      <c r="T7671"/>
    </row>
    <row r="7672" spans="1:20" x14ac:dyDescent="0.25">
      <c r="A7672">
        <v>20181031</v>
      </c>
      <c r="B7672">
        <v>2018</v>
      </c>
      <c r="C7672">
        <v>10</v>
      </c>
      <c r="D7672">
        <v>1</v>
      </c>
      <c r="E7672">
        <v>12350</v>
      </c>
      <c r="F7672">
        <v>180416.03</v>
      </c>
      <c r="G7672">
        <v>0</v>
      </c>
      <c r="H7672">
        <v>0</v>
      </c>
      <c r="I7672">
        <v>0</v>
      </c>
      <c r="J7672">
        <v>0</v>
      </c>
      <c r="K7672">
        <v>0</v>
      </c>
      <c r="L7672">
        <v>65113224.079999998</v>
      </c>
      <c r="M7672">
        <v>65113224.079999998</v>
      </c>
      <c r="N7672">
        <v>27613224.079999998</v>
      </c>
      <c r="O7672">
        <v>27613224.079999998</v>
      </c>
      <c r="P7672">
        <v>65113224.079999998</v>
      </c>
      <c r="Q7672">
        <v>65113224.079999998</v>
      </c>
      <c r="R7672" s="14">
        <f>_xlfn.XLOOKUP(Table2[[#This Row],[LoanID]],Table1[G-L ID],Table1[ManagerCode],-99)</f>
        <v>183</v>
      </c>
      <c r="T7672"/>
    </row>
    <row r="7673" spans="1:20" x14ac:dyDescent="0.25">
      <c r="A7673">
        <v>20181031</v>
      </c>
      <c r="B7673">
        <v>2018</v>
      </c>
      <c r="C7673">
        <v>10</v>
      </c>
      <c r="D7673">
        <v>1</v>
      </c>
      <c r="E7673">
        <v>12360</v>
      </c>
      <c r="F7673">
        <v>129143.41</v>
      </c>
      <c r="G7673">
        <v>0</v>
      </c>
      <c r="H7673">
        <v>0</v>
      </c>
      <c r="I7673">
        <v>0</v>
      </c>
      <c r="J7673">
        <v>0</v>
      </c>
      <c r="K7673">
        <v>0</v>
      </c>
      <c r="L7673">
        <v>60000000</v>
      </c>
      <c r="M7673">
        <v>60000000</v>
      </c>
      <c r="N7673">
        <v>19000000</v>
      </c>
      <c r="O7673">
        <v>19000000</v>
      </c>
      <c r="P7673">
        <v>60000000</v>
      </c>
      <c r="Q7673">
        <v>60000000</v>
      </c>
      <c r="R7673" s="14">
        <f>_xlfn.XLOOKUP(Table2[[#This Row],[LoanID]],Table1[G-L ID],Table1[ManagerCode],-99)</f>
        <v>183</v>
      </c>
      <c r="T7673"/>
    </row>
    <row r="7674" spans="1:20" x14ac:dyDescent="0.25">
      <c r="A7674">
        <v>20181031</v>
      </c>
      <c r="B7674">
        <v>2018</v>
      </c>
      <c r="C7674">
        <v>10</v>
      </c>
      <c r="D7674">
        <v>1</v>
      </c>
      <c r="E7674">
        <v>12370</v>
      </c>
      <c r="F7674">
        <v>366406.67</v>
      </c>
      <c r="G7674">
        <v>0</v>
      </c>
      <c r="H7674">
        <v>0</v>
      </c>
      <c r="I7674">
        <v>0</v>
      </c>
      <c r="J7674">
        <v>0</v>
      </c>
      <c r="K7674">
        <v>0</v>
      </c>
      <c r="L7674">
        <v>104000000</v>
      </c>
      <c r="M7674">
        <v>104000000</v>
      </c>
      <c r="N7674">
        <v>44000000</v>
      </c>
      <c r="O7674">
        <v>44000000</v>
      </c>
      <c r="P7674">
        <v>104000000</v>
      </c>
      <c r="Q7674">
        <v>104000000</v>
      </c>
      <c r="R7674" s="14">
        <f>_xlfn.XLOOKUP(Table2[[#This Row],[LoanID]],Table1[G-L ID],Table1[ManagerCode],-99)</f>
        <v>183</v>
      </c>
      <c r="T7674"/>
    </row>
    <row r="7675" spans="1:20" x14ac:dyDescent="0.25">
      <c r="A7675">
        <v>20181031</v>
      </c>
      <c r="B7675">
        <v>2018</v>
      </c>
      <c r="C7675">
        <v>10</v>
      </c>
      <c r="D7675">
        <v>1</v>
      </c>
      <c r="E7675">
        <v>12380</v>
      </c>
      <c r="F7675">
        <v>78921.320000000007</v>
      </c>
      <c r="G7675">
        <v>0</v>
      </c>
      <c r="H7675">
        <v>0</v>
      </c>
      <c r="I7675">
        <v>0</v>
      </c>
      <c r="J7675">
        <v>0</v>
      </c>
      <c r="K7675">
        <v>0</v>
      </c>
      <c r="L7675">
        <v>32500000</v>
      </c>
      <c r="M7675">
        <v>32500000</v>
      </c>
      <c r="N7675">
        <v>12350000</v>
      </c>
      <c r="O7675">
        <v>12350000</v>
      </c>
      <c r="P7675">
        <v>32500000</v>
      </c>
      <c r="Q7675">
        <v>32500000</v>
      </c>
      <c r="R7675" s="14">
        <f>_xlfn.XLOOKUP(Table2[[#This Row],[LoanID]],Table1[G-L ID],Table1[ManagerCode],-99)</f>
        <v>183</v>
      </c>
      <c r="T7675"/>
    </row>
    <row r="7676" spans="1:20" x14ac:dyDescent="0.25">
      <c r="A7676">
        <v>20181031</v>
      </c>
      <c r="B7676">
        <v>2018</v>
      </c>
      <c r="C7676">
        <v>10</v>
      </c>
      <c r="D7676">
        <v>1</v>
      </c>
      <c r="E7676">
        <v>12390</v>
      </c>
      <c r="F7676">
        <v>626273.34</v>
      </c>
      <c r="G7676">
        <v>503903.21</v>
      </c>
      <c r="H7676">
        <v>0</v>
      </c>
      <c r="I7676">
        <v>0</v>
      </c>
      <c r="J7676">
        <v>-7058539.2400000002</v>
      </c>
      <c r="K7676">
        <v>0</v>
      </c>
      <c r="L7676">
        <v>86612536.150000006</v>
      </c>
      <c r="M7676">
        <v>94174978.599999994</v>
      </c>
      <c r="N7676">
        <v>86612536.150000006</v>
      </c>
      <c r="O7676">
        <v>94174978.599999994</v>
      </c>
      <c r="P7676">
        <v>86612536.150000006</v>
      </c>
      <c r="Q7676">
        <v>94174978.599999994</v>
      </c>
      <c r="R7676" s="14">
        <f>_xlfn.XLOOKUP(Table2[[#This Row],[LoanID]],Table1[G-L ID],Table1[ManagerCode],-99)</f>
        <v>183</v>
      </c>
      <c r="T7676"/>
    </row>
    <row r="7677" spans="1:20" x14ac:dyDescent="0.25">
      <c r="A7677">
        <v>20181031</v>
      </c>
      <c r="B7677">
        <v>2018</v>
      </c>
      <c r="C7677">
        <v>10</v>
      </c>
      <c r="D7677">
        <v>1</v>
      </c>
      <c r="E7677">
        <v>12400</v>
      </c>
      <c r="F7677">
        <v>105431.83</v>
      </c>
      <c r="G7677">
        <v>119717.5</v>
      </c>
      <c r="H7677">
        <v>0</v>
      </c>
      <c r="I7677">
        <v>0</v>
      </c>
      <c r="J7677">
        <v>-2325533.9700000002</v>
      </c>
      <c r="K7677">
        <v>0</v>
      </c>
      <c r="L7677">
        <v>22012047.309999999</v>
      </c>
      <c r="M7677">
        <v>24457298.780000001</v>
      </c>
      <c r="N7677">
        <v>22012047.309999999</v>
      </c>
      <c r="O7677">
        <v>24457298.780000001</v>
      </c>
      <c r="P7677">
        <v>22012047.309999999</v>
      </c>
      <c r="Q7677">
        <v>24457298.780000001</v>
      </c>
      <c r="R7677" s="14">
        <f>_xlfn.XLOOKUP(Table2[[#This Row],[LoanID]],Table1[G-L ID],Table1[ManagerCode],-99)</f>
        <v>183</v>
      </c>
      <c r="T7677"/>
    </row>
    <row r="7678" spans="1:20" x14ac:dyDescent="0.25">
      <c r="A7678">
        <v>20181031</v>
      </c>
      <c r="B7678">
        <v>2018</v>
      </c>
      <c r="C7678">
        <v>10</v>
      </c>
      <c r="D7678">
        <v>1</v>
      </c>
      <c r="E7678">
        <v>12410</v>
      </c>
      <c r="F7678">
        <v>324388.37</v>
      </c>
      <c r="G7678">
        <v>259510.7</v>
      </c>
      <c r="H7678">
        <v>0</v>
      </c>
      <c r="I7678">
        <v>0</v>
      </c>
      <c r="J7678">
        <v>0</v>
      </c>
      <c r="K7678">
        <v>0</v>
      </c>
      <c r="L7678">
        <v>73759509.450000003</v>
      </c>
      <c r="M7678">
        <v>74234526</v>
      </c>
      <c r="N7678">
        <v>73759509.450000003</v>
      </c>
      <c r="O7678">
        <v>74234526</v>
      </c>
      <c r="P7678">
        <v>78820790.120000005</v>
      </c>
      <c r="Q7678">
        <v>79080300.819999993</v>
      </c>
      <c r="R7678" s="14">
        <f>_xlfn.XLOOKUP(Table2[[#This Row],[LoanID]],Table1[G-L ID],Table1[ManagerCode],-99)</f>
        <v>103</v>
      </c>
      <c r="T7678"/>
    </row>
    <row r="7679" spans="1:20" x14ac:dyDescent="0.25">
      <c r="A7679">
        <v>20181031</v>
      </c>
      <c r="B7679">
        <v>2018</v>
      </c>
      <c r="C7679">
        <v>10</v>
      </c>
      <c r="D7679">
        <v>1</v>
      </c>
      <c r="E7679">
        <v>12430</v>
      </c>
      <c r="F7679">
        <v>81889.960000000006</v>
      </c>
      <c r="G7679">
        <v>367281.88</v>
      </c>
      <c r="H7679">
        <v>0</v>
      </c>
      <c r="I7679">
        <v>0</v>
      </c>
      <c r="J7679">
        <v>-81889.960000000006</v>
      </c>
      <c r="K7679">
        <v>0</v>
      </c>
      <c r="L7679">
        <v>22551222.859999999</v>
      </c>
      <c r="M7679">
        <v>22927465</v>
      </c>
      <c r="N7679">
        <v>22551222.859999999</v>
      </c>
      <c r="O7679">
        <v>22927465</v>
      </c>
      <c r="P7679">
        <v>24566986.800000001</v>
      </c>
      <c r="Q7679">
        <v>25016158.640000001</v>
      </c>
      <c r="R7679" s="14">
        <f>_xlfn.XLOOKUP(Table2[[#This Row],[LoanID]],Table1[G-L ID],Table1[ManagerCode],-99)</f>
        <v>103</v>
      </c>
      <c r="T7679"/>
    </row>
    <row r="7680" spans="1:20" x14ac:dyDescent="0.25">
      <c r="A7680">
        <v>20181031</v>
      </c>
      <c r="B7680">
        <v>2018</v>
      </c>
      <c r="C7680">
        <v>10</v>
      </c>
      <c r="D7680">
        <v>1</v>
      </c>
      <c r="E7680">
        <v>12440</v>
      </c>
      <c r="F7680">
        <v>30987</v>
      </c>
      <c r="G7680">
        <v>0</v>
      </c>
      <c r="H7680">
        <v>0</v>
      </c>
      <c r="I7680">
        <v>0</v>
      </c>
      <c r="J7680">
        <v>0</v>
      </c>
      <c r="K7680">
        <v>52379.27</v>
      </c>
      <c r="L7680">
        <v>4187117.22</v>
      </c>
      <c r="M7680">
        <v>4087836</v>
      </c>
      <c r="N7680">
        <v>4187117.22</v>
      </c>
      <c r="O7680">
        <v>4087836</v>
      </c>
      <c r="P7680">
        <v>3718440.44</v>
      </c>
      <c r="Q7680">
        <v>3666061.17</v>
      </c>
      <c r="R7680" s="14">
        <f>_xlfn.XLOOKUP(Table2[[#This Row],[LoanID]],Table1[G-L ID],Table1[ManagerCode],-99)</f>
        <v>103</v>
      </c>
      <c r="T7680"/>
    </row>
    <row r="7681" spans="1:20" x14ac:dyDescent="0.25">
      <c r="A7681">
        <v>20181031</v>
      </c>
      <c r="B7681">
        <v>2018</v>
      </c>
      <c r="C7681">
        <v>10</v>
      </c>
      <c r="D7681">
        <v>1</v>
      </c>
      <c r="E7681">
        <v>12450</v>
      </c>
      <c r="F7681">
        <v>40212.269999999997</v>
      </c>
      <c r="G7681">
        <v>35077.550000000003</v>
      </c>
      <c r="H7681">
        <v>0</v>
      </c>
      <c r="I7681">
        <v>0</v>
      </c>
      <c r="J7681">
        <v>-465916.05</v>
      </c>
      <c r="K7681">
        <v>0</v>
      </c>
      <c r="L7681">
        <v>7655184.75</v>
      </c>
      <c r="M7681">
        <v>8156178.3499999996</v>
      </c>
      <c r="N7681">
        <v>7655184.75</v>
      </c>
      <c r="O7681">
        <v>8156178.3499999996</v>
      </c>
      <c r="P7681">
        <v>7655184.75</v>
      </c>
      <c r="Q7681">
        <v>8156178.3499999996</v>
      </c>
      <c r="R7681" s="14">
        <f>_xlfn.XLOOKUP(Table2[[#This Row],[LoanID]],Table1[G-L ID],Table1[ManagerCode],-99)</f>
        <v>183</v>
      </c>
      <c r="T7681"/>
    </row>
    <row r="7682" spans="1:20" x14ac:dyDescent="0.25">
      <c r="A7682">
        <v>20181031</v>
      </c>
      <c r="B7682">
        <v>2018</v>
      </c>
      <c r="C7682">
        <v>10</v>
      </c>
      <c r="D7682">
        <v>1</v>
      </c>
      <c r="E7682">
        <v>12460</v>
      </c>
      <c r="F7682">
        <v>42250</v>
      </c>
      <c r="G7682">
        <v>46719.41</v>
      </c>
      <c r="H7682">
        <v>0</v>
      </c>
      <c r="I7682">
        <v>0</v>
      </c>
      <c r="J7682">
        <v>0</v>
      </c>
      <c r="K7682">
        <v>0</v>
      </c>
      <c r="L7682">
        <v>8896941.3699999992</v>
      </c>
      <c r="M7682">
        <v>8943660.7799999993</v>
      </c>
      <c r="N7682">
        <v>8896941.3699999992</v>
      </c>
      <c r="O7682">
        <v>8943660.7799999993</v>
      </c>
      <c r="P7682">
        <v>8896941.3699999992</v>
      </c>
      <c r="Q7682">
        <v>8943660.7799999993</v>
      </c>
      <c r="R7682" s="14">
        <f>_xlfn.XLOOKUP(Table2[[#This Row],[LoanID]],Table1[G-L ID],Table1[ManagerCode],-99)</f>
        <v>183</v>
      </c>
      <c r="T7682"/>
    </row>
    <row r="7683" spans="1:20" x14ac:dyDescent="0.25">
      <c r="A7683">
        <v>20181031</v>
      </c>
      <c r="B7683">
        <v>2018</v>
      </c>
      <c r="C7683">
        <v>10</v>
      </c>
      <c r="D7683">
        <v>1</v>
      </c>
      <c r="E7683">
        <v>12470</v>
      </c>
      <c r="F7683">
        <v>313336.56</v>
      </c>
      <c r="G7683">
        <v>0</v>
      </c>
      <c r="H7683">
        <v>0</v>
      </c>
      <c r="I7683">
        <v>0</v>
      </c>
      <c r="J7683">
        <v>0</v>
      </c>
      <c r="K7683">
        <v>0</v>
      </c>
      <c r="L7683">
        <v>115000000</v>
      </c>
      <c r="M7683">
        <v>115000000</v>
      </c>
      <c r="N7683">
        <v>46000000</v>
      </c>
      <c r="O7683">
        <v>46000000</v>
      </c>
      <c r="P7683">
        <v>115000000</v>
      </c>
      <c r="Q7683">
        <v>115000000</v>
      </c>
      <c r="R7683" s="14">
        <f>_xlfn.XLOOKUP(Table2[[#This Row],[LoanID]],Table1[G-L ID],Table1[ManagerCode],-99)</f>
        <v>183</v>
      </c>
      <c r="T7683"/>
    </row>
    <row r="7684" spans="1:20" x14ac:dyDescent="0.25">
      <c r="A7684">
        <v>20181031</v>
      </c>
      <c r="B7684">
        <v>2018</v>
      </c>
      <c r="C7684">
        <v>10</v>
      </c>
      <c r="D7684">
        <v>1</v>
      </c>
      <c r="E7684">
        <v>12480</v>
      </c>
      <c r="F7684">
        <v>77327.95</v>
      </c>
      <c r="G7684">
        <v>0</v>
      </c>
      <c r="H7684">
        <v>0</v>
      </c>
      <c r="I7684">
        <v>0</v>
      </c>
      <c r="J7684">
        <v>0</v>
      </c>
      <c r="K7684">
        <v>0</v>
      </c>
      <c r="L7684">
        <v>19880000</v>
      </c>
      <c r="M7684">
        <v>19880000</v>
      </c>
      <c r="N7684">
        <v>9380000</v>
      </c>
      <c r="O7684">
        <v>9380000</v>
      </c>
      <c r="P7684">
        <v>19880000</v>
      </c>
      <c r="Q7684">
        <v>19880000</v>
      </c>
      <c r="R7684" s="14">
        <f>_xlfn.XLOOKUP(Table2[[#This Row],[LoanID]],Table1[G-L ID],Table1[ManagerCode],-99)</f>
        <v>183</v>
      </c>
      <c r="T7684"/>
    </row>
    <row r="7685" spans="1:20" x14ac:dyDescent="0.25">
      <c r="A7685">
        <v>20181031</v>
      </c>
      <c r="B7685">
        <v>2018</v>
      </c>
      <c r="C7685">
        <v>10</v>
      </c>
      <c r="D7685">
        <v>1</v>
      </c>
      <c r="E7685">
        <v>12490</v>
      </c>
      <c r="F7685">
        <v>132991.85</v>
      </c>
      <c r="G7685">
        <v>0</v>
      </c>
      <c r="H7685">
        <v>0</v>
      </c>
      <c r="I7685">
        <v>0</v>
      </c>
      <c r="J7685">
        <v>0</v>
      </c>
      <c r="K7685">
        <v>0</v>
      </c>
      <c r="L7685">
        <v>50200000</v>
      </c>
      <c r="M7685">
        <v>50200000</v>
      </c>
      <c r="N7685">
        <v>19600000</v>
      </c>
      <c r="O7685">
        <v>19600000</v>
      </c>
      <c r="P7685">
        <v>50200000</v>
      </c>
      <c r="Q7685">
        <v>50200000</v>
      </c>
      <c r="R7685" s="14">
        <f>_xlfn.XLOOKUP(Table2[[#This Row],[LoanID]],Table1[G-L ID],Table1[ManagerCode],-99)</f>
        <v>183</v>
      </c>
      <c r="T7685"/>
    </row>
    <row r="7686" spans="1:20" x14ac:dyDescent="0.25">
      <c r="A7686">
        <v>20181031</v>
      </c>
      <c r="B7686">
        <v>2018</v>
      </c>
      <c r="C7686">
        <v>10</v>
      </c>
      <c r="D7686">
        <v>1</v>
      </c>
      <c r="E7686">
        <v>12510</v>
      </c>
      <c r="F7686">
        <v>327911.96000000002</v>
      </c>
      <c r="G7686">
        <v>0</v>
      </c>
      <c r="H7686">
        <v>0</v>
      </c>
      <c r="I7686">
        <v>0</v>
      </c>
      <c r="J7686">
        <v>0</v>
      </c>
      <c r="K7686">
        <v>0</v>
      </c>
      <c r="L7686">
        <v>131500000</v>
      </c>
      <c r="M7686">
        <v>131500000</v>
      </c>
      <c r="N7686">
        <v>46025000</v>
      </c>
      <c r="O7686">
        <v>46025000</v>
      </c>
      <c r="P7686">
        <v>131500000</v>
      </c>
      <c r="Q7686">
        <v>131500000</v>
      </c>
      <c r="R7686" s="14">
        <f>_xlfn.XLOOKUP(Table2[[#This Row],[LoanID]],Table1[G-L ID],Table1[ManagerCode],-99)</f>
        <v>183</v>
      </c>
      <c r="T7686"/>
    </row>
    <row r="7687" spans="1:20" x14ac:dyDescent="0.25">
      <c r="A7687">
        <v>20181031</v>
      </c>
      <c r="B7687">
        <v>2018</v>
      </c>
      <c r="C7687">
        <v>10</v>
      </c>
      <c r="D7687">
        <v>1</v>
      </c>
      <c r="E7687">
        <v>12520</v>
      </c>
      <c r="F7687">
        <v>165620.32999999999</v>
      </c>
      <c r="G7687">
        <v>0</v>
      </c>
      <c r="H7687">
        <v>0</v>
      </c>
      <c r="I7687">
        <v>0</v>
      </c>
      <c r="J7687">
        <v>-657759.55000000005</v>
      </c>
      <c r="K7687">
        <v>0</v>
      </c>
      <c r="L7687">
        <v>44307606.560000002</v>
      </c>
      <c r="M7687">
        <v>44965366.109999999</v>
      </c>
      <c r="N7687">
        <v>19557606.559999999</v>
      </c>
      <c r="O7687">
        <v>20215366.109999999</v>
      </c>
      <c r="P7687">
        <v>44307606.560000002</v>
      </c>
      <c r="Q7687">
        <v>44965366.109999999</v>
      </c>
      <c r="R7687" s="14">
        <f>_xlfn.XLOOKUP(Table2[[#This Row],[LoanID]],Table1[G-L ID],Table1[ManagerCode],-99)</f>
        <v>183</v>
      </c>
      <c r="T7687"/>
    </row>
    <row r="7688" spans="1:20" x14ac:dyDescent="0.25">
      <c r="A7688">
        <v>20181031</v>
      </c>
      <c r="B7688">
        <v>2018</v>
      </c>
      <c r="C7688">
        <v>10</v>
      </c>
      <c r="D7688">
        <v>1</v>
      </c>
      <c r="E7688">
        <v>12530</v>
      </c>
      <c r="F7688">
        <v>237568.5</v>
      </c>
      <c r="G7688">
        <v>0</v>
      </c>
      <c r="H7688">
        <v>0</v>
      </c>
      <c r="I7688">
        <v>0</v>
      </c>
      <c r="J7688">
        <v>0</v>
      </c>
      <c r="K7688">
        <v>0</v>
      </c>
      <c r="L7688">
        <v>26200000</v>
      </c>
      <c r="M7688">
        <v>26200000</v>
      </c>
      <c r="N7688">
        <v>26200000</v>
      </c>
      <c r="O7688">
        <v>26200000</v>
      </c>
      <c r="P7688">
        <v>26200000</v>
      </c>
      <c r="Q7688">
        <v>26200000</v>
      </c>
      <c r="R7688" s="14">
        <f>_xlfn.XLOOKUP(Table2[[#This Row],[LoanID]],Table1[G-L ID],Table1[ManagerCode],-99)</f>
        <v>119</v>
      </c>
      <c r="T7688"/>
    </row>
    <row r="7689" spans="1:20" x14ac:dyDescent="0.25">
      <c r="A7689">
        <v>20181031</v>
      </c>
      <c r="B7689">
        <v>2018</v>
      </c>
      <c r="C7689">
        <v>10</v>
      </c>
      <c r="D7689">
        <v>1</v>
      </c>
      <c r="E7689">
        <v>12540</v>
      </c>
      <c r="F7689">
        <v>288726.17</v>
      </c>
      <c r="G7689">
        <v>0</v>
      </c>
      <c r="H7689">
        <v>0</v>
      </c>
      <c r="I7689">
        <v>0</v>
      </c>
      <c r="J7689">
        <v>0</v>
      </c>
      <c r="K7689">
        <v>0</v>
      </c>
      <c r="L7689">
        <v>15746480.99</v>
      </c>
      <c r="M7689">
        <v>15746480.99</v>
      </c>
      <c r="N7689">
        <v>15746480.99</v>
      </c>
      <c r="O7689">
        <v>15746480.99</v>
      </c>
      <c r="P7689">
        <v>15746480.99</v>
      </c>
      <c r="Q7689">
        <v>15746480.99</v>
      </c>
      <c r="R7689" s="14">
        <f>_xlfn.XLOOKUP(Table2[[#This Row],[LoanID]],Table1[G-L ID],Table1[ManagerCode],-99)</f>
        <v>119</v>
      </c>
      <c r="T7689"/>
    </row>
    <row r="7690" spans="1:20" x14ac:dyDescent="0.25">
      <c r="A7690">
        <v>20181031</v>
      </c>
      <c r="B7690">
        <v>2018</v>
      </c>
      <c r="C7690">
        <v>10</v>
      </c>
      <c r="D7690">
        <v>1</v>
      </c>
      <c r="E7690">
        <v>12550</v>
      </c>
      <c r="F7690">
        <v>74970.58</v>
      </c>
      <c r="G7690">
        <v>0</v>
      </c>
      <c r="H7690">
        <v>0</v>
      </c>
      <c r="I7690">
        <v>0</v>
      </c>
      <c r="J7690">
        <v>0</v>
      </c>
      <c r="K7690">
        <v>0</v>
      </c>
      <c r="L7690">
        <v>7416099.1500000004</v>
      </c>
      <c r="M7690">
        <v>7416099.1500000004</v>
      </c>
      <c r="N7690">
        <v>7416099.1500000004</v>
      </c>
      <c r="O7690">
        <v>7416099.1500000004</v>
      </c>
      <c r="P7690">
        <v>7416099.1500000004</v>
      </c>
      <c r="Q7690">
        <v>7416099.1500000004</v>
      </c>
      <c r="R7690" s="14">
        <f>_xlfn.XLOOKUP(Table2[[#This Row],[LoanID]],Table1[G-L ID],Table1[ManagerCode],-99)</f>
        <v>119</v>
      </c>
      <c r="T7690"/>
    </row>
    <row r="7691" spans="1:20" x14ac:dyDescent="0.25">
      <c r="A7691">
        <v>20181031</v>
      </c>
      <c r="B7691">
        <v>2018</v>
      </c>
      <c r="C7691">
        <v>10</v>
      </c>
      <c r="D7691">
        <v>1</v>
      </c>
      <c r="E7691">
        <v>12560</v>
      </c>
      <c r="F7691">
        <v>144350.97</v>
      </c>
      <c r="G7691">
        <v>0</v>
      </c>
      <c r="H7691">
        <v>0</v>
      </c>
      <c r="I7691">
        <v>0</v>
      </c>
      <c r="J7691">
        <v>-782269.53</v>
      </c>
      <c r="K7691">
        <v>0</v>
      </c>
      <c r="L7691">
        <v>18131470.530000001</v>
      </c>
      <c r="M7691">
        <v>18913740.059999999</v>
      </c>
      <c r="N7691">
        <v>18131470.530000001</v>
      </c>
      <c r="O7691">
        <v>18913740.059999999</v>
      </c>
      <c r="P7691">
        <v>18131470.530000001</v>
      </c>
      <c r="Q7691">
        <v>18913740.059999999</v>
      </c>
      <c r="R7691" s="14">
        <f>_xlfn.XLOOKUP(Table2[[#This Row],[LoanID]],Table1[G-L ID],Table1[ManagerCode],-99)</f>
        <v>119</v>
      </c>
      <c r="T7691"/>
    </row>
    <row r="7692" spans="1:20" x14ac:dyDescent="0.25">
      <c r="A7692">
        <v>20181031</v>
      </c>
      <c r="B7692">
        <v>2018</v>
      </c>
      <c r="C7692">
        <v>10</v>
      </c>
      <c r="D7692">
        <v>1</v>
      </c>
      <c r="E7692">
        <v>12570</v>
      </c>
      <c r="F7692">
        <v>82793.36</v>
      </c>
      <c r="G7692">
        <v>0</v>
      </c>
      <c r="H7692">
        <v>0</v>
      </c>
      <c r="I7692">
        <v>0</v>
      </c>
      <c r="J7692">
        <v>-884117.08</v>
      </c>
      <c r="K7692">
        <v>0</v>
      </c>
      <c r="L7692">
        <v>9615022.3900000006</v>
      </c>
      <c r="M7692">
        <v>10499139.470000001</v>
      </c>
      <c r="N7692">
        <v>9615022.3900000006</v>
      </c>
      <c r="O7692">
        <v>10499139.470000001</v>
      </c>
      <c r="P7692">
        <v>9615022.3900000006</v>
      </c>
      <c r="Q7692">
        <v>10499139.470000001</v>
      </c>
      <c r="R7692" s="14">
        <f>_xlfn.XLOOKUP(Table2[[#This Row],[LoanID]],Table1[G-L ID],Table1[ManagerCode],-99)</f>
        <v>119</v>
      </c>
      <c r="T7692"/>
    </row>
    <row r="7693" spans="1:20" x14ac:dyDescent="0.25">
      <c r="A7693">
        <v>20181031</v>
      </c>
      <c r="B7693">
        <v>2018</v>
      </c>
      <c r="C7693">
        <v>10</v>
      </c>
      <c r="D7693">
        <v>1</v>
      </c>
      <c r="E7693">
        <v>12580</v>
      </c>
      <c r="F7693">
        <v>174985</v>
      </c>
      <c r="G7693">
        <v>0</v>
      </c>
      <c r="H7693">
        <v>0</v>
      </c>
      <c r="I7693">
        <v>0</v>
      </c>
      <c r="J7693">
        <v>0</v>
      </c>
      <c r="K7693">
        <v>0</v>
      </c>
      <c r="L7693">
        <v>18000000</v>
      </c>
      <c r="M7693">
        <v>18000000</v>
      </c>
      <c r="N7693">
        <v>18000000</v>
      </c>
      <c r="O7693">
        <v>18000000</v>
      </c>
      <c r="P7693">
        <v>18000000</v>
      </c>
      <c r="Q7693">
        <v>18000000</v>
      </c>
      <c r="R7693" s="14">
        <f>_xlfn.XLOOKUP(Table2[[#This Row],[LoanID]],Table1[G-L ID],Table1[ManagerCode],-99)</f>
        <v>119</v>
      </c>
      <c r="T7693"/>
    </row>
    <row r="7694" spans="1:20" x14ac:dyDescent="0.25">
      <c r="A7694">
        <v>20181031</v>
      </c>
      <c r="B7694">
        <v>2018</v>
      </c>
      <c r="C7694">
        <v>10</v>
      </c>
      <c r="D7694">
        <v>1</v>
      </c>
      <c r="E7694">
        <v>12590</v>
      </c>
      <c r="F7694">
        <v>66858.28</v>
      </c>
      <c r="G7694">
        <v>0</v>
      </c>
      <c r="H7694">
        <v>0</v>
      </c>
      <c r="I7694">
        <v>0</v>
      </c>
      <c r="J7694">
        <v>0</v>
      </c>
      <c r="K7694">
        <v>0</v>
      </c>
      <c r="L7694">
        <v>8000000</v>
      </c>
      <c r="M7694">
        <v>8000000</v>
      </c>
      <c r="N7694">
        <v>8000000</v>
      </c>
      <c r="O7694">
        <v>8000000</v>
      </c>
      <c r="P7694">
        <v>8000000</v>
      </c>
      <c r="Q7694">
        <v>8000000</v>
      </c>
      <c r="R7694" s="14">
        <f>_xlfn.XLOOKUP(Table2[[#This Row],[LoanID]],Table1[G-L ID],Table1[ManagerCode],-99)</f>
        <v>119</v>
      </c>
      <c r="T7694"/>
    </row>
    <row r="7695" spans="1:20" x14ac:dyDescent="0.25">
      <c r="A7695">
        <v>20181031</v>
      </c>
      <c r="B7695">
        <v>2018</v>
      </c>
      <c r="C7695">
        <v>10</v>
      </c>
      <c r="D7695">
        <v>1</v>
      </c>
      <c r="E7695">
        <v>12600</v>
      </c>
      <c r="F7695">
        <v>241864.38</v>
      </c>
      <c r="G7695">
        <v>0</v>
      </c>
      <c r="H7695">
        <v>0</v>
      </c>
      <c r="I7695">
        <v>0</v>
      </c>
      <c r="J7695">
        <v>0</v>
      </c>
      <c r="K7695">
        <v>0</v>
      </c>
      <c r="L7695">
        <v>27750000</v>
      </c>
      <c r="M7695">
        <v>27750000</v>
      </c>
      <c r="N7695">
        <v>27750000</v>
      </c>
      <c r="O7695">
        <v>27750000</v>
      </c>
      <c r="P7695">
        <v>27750000</v>
      </c>
      <c r="Q7695">
        <v>27750000</v>
      </c>
      <c r="R7695" s="14">
        <f>_xlfn.XLOOKUP(Table2[[#This Row],[LoanID]],Table1[G-L ID],Table1[ManagerCode],-99)</f>
        <v>119</v>
      </c>
      <c r="T7695"/>
    </row>
    <row r="7696" spans="1:20" x14ac:dyDescent="0.25">
      <c r="A7696">
        <v>20181031</v>
      </c>
      <c r="B7696">
        <v>2018</v>
      </c>
      <c r="C7696">
        <v>10</v>
      </c>
      <c r="D7696">
        <v>1</v>
      </c>
      <c r="E7696">
        <v>12610</v>
      </c>
      <c r="F7696">
        <v>82455.22</v>
      </c>
      <c r="G7696">
        <v>0</v>
      </c>
      <c r="H7696">
        <v>0</v>
      </c>
      <c r="I7696">
        <v>0</v>
      </c>
      <c r="J7696">
        <v>0</v>
      </c>
      <c r="K7696">
        <v>0</v>
      </c>
      <c r="L7696">
        <v>9609070.0199999996</v>
      </c>
      <c r="M7696">
        <v>9609070.0199999996</v>
      </c>
      <c r="N7696">
        <v>9609070.0199999996</v>
      </c>
      <c r="O7696">
        <v>9609070.0199999996</v>
      </c>
      <c r="P7696">
        <v>9609070.0199999996</v>
      </c>
      <c r="Q7696">
        <v>9609070.0199999996</v>
      </c>
      <c r="R7696" s="14">
        <f>_xlfn.XLOOKUP(Table2[[#This Row],[LoanID]],Table1[G-L ID],Table1[ManagerCode],-99)</f>
        <v>119</v>
      </c>
      <c r="T7696"/>
    </row>
    <row r="7697" spans="1:20" x14ac:dyDescent="0.25">
      <c r="A7697">
        <v>20181031</v>
      </c>
      <c r="B7697">
        <v>2018</v>
      </c>
      <c r="C7697">
        <v>10</v>
      </c>
      <c r="D7697">
        <v>1</v>
      </c>
      <c r="E7697">
        <v>12620</v>
      </c>
      <c r="F7697">
        <v>12667.39</v>
      </c>
      <c r="G7697">
        <v>0</v>
      </c>
      <c r="H7697">
        <v>0</v>
      </c>
      <c r="I7697">
        <v>0</v>
      </c>
      <c r="J7697">
        <v>0</v>
      </c>
      <c r="K7697">
        <v>0</v>
      </c>
      <c r="L7697">
        <v>1338222.6100000001</v>
      </c>
      <c r="M7697">
        <v>1338222.6100000001</v>
      </c>
      <c r="N7697">
        <v>1338222.6100000001</v>
      </c>
      <c r="O7697">
        <v>1338222.6100000001</v>
      </c>
      <c r="P7697">
        <v>1338222.6100000001</v>
      </c>
      <c r="Q7697">
        <v>1338222.6100000001</v>
      </c>
      <c r="R7697" s="14">
        <f>_xlfn.XLOOKUP(Table2[[#This Row],[LoanID]],Table1[G-L ID],Table1[ManagerCode],-99)</f>
        <v>119</v>
      </c>
      <c r="T7697"/>
    </row>
    <row r="7698" spans="1:20" x14ac:dyDescent="0.25">
      <c r="A7698">
        <v>20181031</v>
      </c>
      <c r="B7698">
        <v>2018</v>
      </c>
      <c r="C7698">
        <v>10</v>
      </c>
      <c r="D7698">
        <v>1</v>
      </c>
      <c r="E7698">
        <v>12630</v>
      </c>
      <c r="F7698">
        <v>117062.24</v>
      </c>
      <c r="G7698">
        <v>0</v>
      </c>
      <c r="H7698">
        <v>0</v>
      </c>
      <c r="I7698">
        <v>0</v>
      </c>
      <c r="J7698">
        <v>0</v>
      </c>
      <c r="K7698">
        <v>0</v>
      </c>
      <c r="L7698">
        <v>13211200.35</v>
      </c>
      <c r="M7698">
        <v>13211200.35</v>
      </c>
      <c r="N7698">
        <v>13211200.35</v>
      </c>
      <c r="O7698">
        <v>13211200.35</v>
      </c>
      <c r="P7698">
        <v>13211200.35</v>
      </c>
      <c r="Q7698">
        <v>13211200.35</v>
      </c>
      <c r="R7698" s="14">
        <f>_xlfn.XLOOKUP(Table2[[#This Row],[LoanID]],Table1[G-L ID],Table1[ManagerCode],-99)</f>
        <v>119</v>
      </c>
      <c r="T7698"/>
    </row>
    <row r="7699" spans="1:20" x14ac:dyDescent="0.25">
      <c r="A7699">
        <v>20181031</v>
      </c>
      <c r="B7699">
        <v>2018</v>
      </c>
      <c r="C7699">
        <v>10</v>
      </c>
      <c r="D7699">
        <v>1</v>
      </c>
      <c r="E7699">
        <v>12640</v>
      </c>
      <c r="F7699">
        <v>90013.75</v>
      </c>
      <c r="G7699">
        <v>0</v>
      </c>
      <c r="H7699">
        <v>0</v>
      </c>
      <c r="I7699">
        <v>0</v>
      </c>
      <c r="J7699">
        <v>-1113170.71</v>
      </c>
      <c r="K7699">
        <v>0</v>
      </c>
      <c r="L7699">
        <v>9832506.6500000004</v>
      </c>
      <c r="M7699">
        <v>10945677.359999999</v>
      </c>
      <c r="N7699">
        <v>9832506.6500000004</v>
      </c>
      <c r="O7699">
        <v>10945677.359999999</v>
      </c>
      <c r="P7699">
        <v>9832506.6500000004</v>
      </c>
      <c r="Q7699">
        <v>10945677.359999999</v>
      </c>
      <c r="R7699" s="14">
        <f>_xlfn.XLOOKUP(Table2[[#This Row],[LoanID]],Table1[G-L ID],Table1[ManagerCode],-99)</f>
        <v>119</v>
      </c>
      <c r="T7699"/>
    </row>
    <row r="7700" spans="1:20" x14ac:dyDescent="0.25">
      <c r="A7700">
        <v>20181031</v>
      </c>
      <c r="B7700">
        <v>2018</v>
      </c>
      <c r="C7700">
        <v>10</v>
      </c>
      <c r="D7700">
        <v>1</v>
      </c>
      <c r="E7700">
        <v>12650</v>
      </c>
      <c r="F7700">
        <v>422573.17</v>
      </c>
      <c r="G7700">
        <v>0</v>
      </c>
      <c r="H7700">
        <v>0</v>
      </c>
      <c r="I7700">
        <v>0</v>
      </c>
      <c r="J7700">
        <v>0</v>
      </c>
      <c r="K7700">
        <v>0</v>
      </c>
      <c r="L7700">
        <v>123200000</v>
      </c>
      <c r="M7700">
        <v>123200000</v>
      </c>
      <c r="N7700">
        <v>56480000</v>
      </c>
      <c r="O7700">
        <v>56480000</v>
      </c>
      <c r="P7700">
        <v>123200000</v>
      </c>
      <c r="Q7700">
        <v>123200000</v>
      </c>
      <c r="R7700" s="14">
        <f>_xlfn.XLOOKUP(Table2[[#This Row],[LoanID]],Table1[G-L ID],Table1[ManagerCode],-99)</f>
        <v>183</v>
      </c>
      <c r="T7700"/>
    </row>
    <row r="7701" spans="1:20" x14ac:dyDescent="0.25">
      <c r="A7701">
        <v>20181031</v>
      </c>
      <c r="B7701">
        <v>2018</v>
      </c>
      <c r="C7701">
        <v>10</v>
      </c>
      <c r="D7701">
        <v>1</v>
      </c>
      <c r="E7701">
        <v>12660</v>
      </c>
      <c r="F7701">
        <v>118248.06</v>
      </c>
      <c r="G7701">
        <v>0</v>
      </c>
      <c r="H7701">
        <v>0</v>
      </c>
      <c r="I7701">
        <v>0</v>
      </c>
      <c r="J7701">
        <v>0</v>
      </c>
      <c r="K7701">
        <v>0</v>
      </c>
      <c r="L7701">
        <v>47000000</v>
      </c>
      <c r="M7701">
        <v>47000000</v>
      </c>
      <c r="N7701">
        <v>19000000</v>
      </c>
      <c r="O7701">
        <v>19000000</v>
      </c>
      <c r="P7701">
        <v>47000000</v>
      </c>
      <c r="Q7701">
        <v>47000000</v>
      </c>
      <c r="R7701" s="14">
        <f>_xlfn.XLOOKUP(Table2[[#This Row],[LoanID]],Table1[G-L ID],Table1[ManagerCode],-99)</f>
        <v>183</v>
      </c>
      <c r="T7701"/>
    </row>
    <row r="7702" spans="1:20" x14ac:dyDescent="0.25">
      <c r="A7702">
        <v>20181031</v>
      </c>
      <c r="B7702">
        <v>2018</v>
      </c>
      <c r="C7702">
        <v>10</v>
      </c>
      <c r="D7702">
        <v>1</v>
      </c>
      <c r="E7702">
        <v>12670</v>
      </c>
      <c r="F7702">
        <v>60058.63</v>
      </c>
      <c r="G7702">
        <v>0</v>
      </c>
      <c r="H7702">
        <v>0</v>
      </c>
      <c r="I7702">
        <v>0</v>
      </c>
      <c r="J7702">
        <v>0</v>
      </c>
      <c r="K7702">
        <v>0</v>
      </c>
      <c r="L7702">
        <v>15500000</v>
      </c>
      <c r="M7702">
        <v>15500000</v>
      </c>
      <c r="N7702">
        <v>7250000</v>
      </c>
      <c r="O7702">
        <v>7250000</v>
      </c>
      <c r="P7702">
        <v>15500000</v>
      </c>
      <c r="Q7702">
        <v>15500000</v>
      </c>
      <c r="R7702" s="14">
        <f>_xlfn.XLOOKUP(Table2[[#This Row],[LoanID]],Table1[G-L ID],Table1[ManagerCode],-99)</f>
        <v>183</v>
      </c>
      <c r="T7702"/>
    </row>
    <row r="7703" spans="1:20" x14ac:dyDescent="0.25">
      <c r="A7703">
        <v>20181031</v>
      </c>
      <c r="B7703">
        <v>2018</v>
      </c>
      <c r="C7703">
        <v>10</v>
      </c>
      <c r="D7703">
        <v>1</v>
      </c>
      <c r="E7703">
        <v>12680</v>
      </c>
      <c r="F7703">
        <v>147699.92000000001</v>
      </c>
      <c r="G7703">
        <v>0</v>
      </c>
      <c r="H7703">
        <v>0</v>
      </c>
      <c r="I7703">
        <v>0</v>
      </c>
      <c r="J7703">
        <v>0</v>
      </c>
      <c r="K7703">
        <v>0</v>
      </c>
      <c r="L7703">
        <v>16126000</v>
      </c>
      <c r="M7703">
        <v>16126000</v>
      </c>
      <c r="N7703">
        <v>16126000</v>
      </c>
      <c r="O7703">
        <v>16126000</v>
      </c>
      <c r="P7703">
        <v>16126000</v>
      </c>
      <c r="Q7703">
        <v>16126000</v>
      </c>
      <c r="R7703" s="14">
        <f>_xlfn.XLOOKUP(Table2[[#This Row],[LoanID]],Table1[G-L ID],Table1[ManagerCode],-99)</f>
        <v>119</v>
      </c>
      <c r="T7703"/>
    </row>
    <row r="7704" spans="1:20" x14ac:dyDescent="0.25">
      <c r="A7704">
        <v>20181031</v>
      </c>
      <c r="B7704">
        <v>2018</v>
      </c>
      <c r="C7704">
        <v>10</v>
      </c>
      <c r="D7704">
        <v>1</v>
      </c>
      <c r="E7704">
        <v>12690</v>
      </c>
      <c r="F7704">
        <v>93837.27</v>
      </c>
      <c r="G7704">
        <v>0</v>
      </c>
      <c r="H7704">
        <v>0</v>
      </c>
      <c r="I7704">
        <v>0</v>
      </c>
      <c r="J7704">
        <v>0</v>
      </c>
      <c r="K7704">
        <v>0</v>
      </c>
      <c r="L7704">
        <v>10175500</v>
      </c>
      <c r="M7704">
        <v>10175500</v>
      </c>
      <c r="N7704">
        <v>10175500</v>
      </c>
      <c r="O7704">
        <v>10175500</v>
      </c>
      <c r="P7704">
        <v>10175500</v>
      </c>
      <c r="Q7704">
        <v>10175500</v>
      </c>
      <c r="R7704" s="14">
        <f>_xlfn.XLOOKUP(Table2[[#This Row],[LoanID]],Table1[G-L ID],Table1[ManagerCode],-99)</f>
        <v>119</v>
      </c>
      <c r="T7704"/>
    </row>
    <row r="7705" spans="1:20" x14ac:dyDescent="0.25">
      <c r="A7705">
        <v>20181031</v>
      </c>
      <c r="B7705">
        <v>2018</v>
      </c>
      <c r="C7705">
        <v>10</v>
      </c>
      <c r="D7705">
        <v>1</v>
      </c>
      <c r="E7705">
        <v>12700</v>
      </c>
      <c r="F7705">
        <v>218937.5</v>
      </c>
      <c r="G7705">
        <v>0</v>
      </c>
      <c r="H7705">
        <v>0</v>
      </c>
      <c r="I7705">
        <v>0</v>
      </c>
      <c r="J7705">
        <v>0</v>
      </c>
      <c r="K7705">
        <v>0</v>
      </c>
      <c r="L7705">
        <v>25000000</v>
      </c>
      <c r="M7705">
        <v>25000000</v>
      </c>
      <c r="N7705">
        <v>25000000</v>
      </c>
      <c r="O7705">
        <v>25000000</v>
      </c>
      <c r="P7705">
        <v>25000000</v>
      </c>
      <c r="Q7705">
        <v>25000000</v>
      </c>
      <c r="R7705" s="14">
        <f>_xlfn.XLOOKUP(Table2[[#This Row],[LoanID]],Table1[G-L ID],Table1[ManagerCode],-99)</f>
        <v>119</v>
      </c>
      <c r="T7705"/>
    </row>
    <row r="7706" spans="1:20" x14ac:dyDescent="0.25">
      <c r="A7706">
        <v>20181031</v>
      </c>
      <c r="B7706">
        <v>2018</v>
      </c>
      <c r="C7706">
        <v>10</v>
      </c>
      <c r="D7706">
        <v>1</v>
      </c>
      <c r="E7706">
        <v>12710</v>
      </c>
      <c r="F7706">
        <v>89702.26</v>
      </c>
      <c r="G7706">
        <v>0</v>
      </c>
      <c r="H7706">
        <v>0</v>
      </c>
      <c r="I7706">
        <v>0</v>
      </c>
      <c r="J7706">
        <v>0</v>
      </c>
      <c r="K7706">
        <v>0</v>
      </c>
      <c r="L7706">
        <v>9738975</v>
      </c>
      <c r="M7706">
        <v>9738975</v>
      </c>
      <c r="N7706">
        <v>9738975</v>
      </c>
      <c r="O7706">
        <v>9738975</v>
      </c>
      <c r="P7706">
        <v>9738975</v>
      </c>
      <c r="Q7706">
        <v>9738975</v>
      </c>
      <c r="R7706" s="14">
        <f>_xlfn.XLOOKUP(Table2[[#This Row],[LoanID]],Table1[G-L ID],Table1[ManagerCode],-99)</f>
        <v>119</v>
      </c>
      <c r="T7706"/>
    </row>
    <row r="7707" spans="1:20" x14ac:dyDescent="0.25">
      <c r="A7707">
        <v>20181031</v>
      </c>
      <c r="B7707">
        <v>2018</v>
      </c>
      <c r="C7707">
        <v>10</v>
      </c>
      <c r="D7707">
        <v>1</v>
      </c>
      <c r="E7707">
        <v>12720</v>
      </c>
      <c r="F7707">
        <v>533999.49</v>
      </c>
      <c r="G7707">
        <v>0</v>
      </c>
      <c r="H7707">
        <v>0</v>
      </c>
      <c r="I7707">
        <v>0</v>
      </c>
      <c r="J7707">
        <v>-177444.81</v>
      </c>
      <c r="K7707">
        <v>0</v>
      </c>
      <c r="L7707">
        <v>192657731.80000001</v>
      </c>
      <c r="M7707">
        <v>192835176.59999999</v>
      </c>
      <c r="N7707">
        <v>90776731.799999997</v>
      </c>
      <c r="O7707">
        <v>90954176.599999994</v>
      </c>
      <c r="P7707">
        <v>192657731.80000001</v>
      </c>
      <c r="Q7707">
        <v>192835176.59999999</v>
      </c>
      <c r="R7707" s="14">
        <f>_xlfn.XLOOKUP(Table2[[#This Row],[LoanID]],Table1[G-L ID],Table1[ManagerCode],-99)</f>
        <v>183</v>
      </c>
      <c r="T7707"/>
    </row>
    <row r="7708" spans="1:20" x14ac:dyDescent="0.25">
      <c r="A7708">
        <v>20181031</v>
      </c>
      <c r="B7708">
        <v>2018</v>
      </c>
      <c r="C7708">
        <v>10</v>
      </c>
      <c r="D7708">
        <v>1</v>
      </c>
      <c r="E7708">
        <v>12730</v>
      </c>
      <c r="F7708">
        <v>82745.81</v>
      </c>
      <c r="G7708">
        <v>0</v>
      </c>
      <c r="H7708">
        <v>0</v>
      </c>
      <c r="I7708">
        <v>0</v>
      </c>
      <c r="J7708">
        <v>0</v>
      </c>
      <c r="K7708">
        <v>0</v>
      </c>
      <c r="L7708">
        <v>38460000</v>
      </c>
      <c r="M7708">
        <v>38460000</v>
      </c>
      <c r="N7708">
        <v>13460000</v>
      </c>
      <c r="O7708">
        <v>13460000</v>
      </c>
      <c r="P7708">
        <v>38460000</v>
      </c>
      <c r="Q7708">
        <v>38460000</v>
      </c>
      <c r="R7708" s="14">
        <f>_xlfn.XLOOKUP(Table2[[#This Row],[LoanID]],Table1[G-L ID],Table1[ManagerCode],-99)</f>
        <v>183</v>
      </c>
      <c r="T7708"/>
    </row>
    <row r="7709" spans="1:20" x14ac:dyDescent="0.25">
      <c r="A7709">
        <v>20181031</v>
      </c>
      <c r="B7709">
        <v>2018</v>
      </c>
      <c r="C7709">
        <v>10</v>
      </c>
      <c r="D7709">
        <v>1</v>
      </c>
      <c r="E7709">
        <v>12740</v>
      </c>
      <c r="F7709">
        <v>96208.26</v>
      </c>
      <c r="G7709">
        <v>67103.929999999993</v>
      </c>
      <c r="H7709">
        <v>0</v>
      </c>
      <c r="I7709">
        <v>0</v>
      </c>
      <c r="J7709">
        <v>-818830.5</v>
      </c>
      <c r="K7709">
        <v>0</v>
      </c>
      <c r="L7709">
        <v>19357999.59</v>
      </c>
      <c r="M7709">
        <v>20243934.02</v>
      </c>
      <c r="N7709">
        <v>19357999.59</v>
      </c>
      <c r="O7709">
        <v>20243934.02</v>
      </c>
      <c r="P7709">
        <v>19357999.59</v>
      </c>
      <c r="Q7709">
        <v>20243934.02</v>
      </c>
      <c r="R7709" s="14">
        <f>_xlfn.XLOOKUP(Table2[[#This Row],[LoanID]],Table1[G-L ID],Table1[ManagerCode],-99)</f>
        <v>183</v>
      </c>
      <c r="T7709"/>
    </row>
    <row r="7710" spans="1:20" x14ac:dyDescent="0.25">
      <c r="A7710">
        <v>20181031</v>
      </c>
      <c r="B7710">
        <v>2018</v>
      </c>
      <c r="C7710">
        <v>10</v>
      </c>
      <c r="D7710">
        <v>1</v>
      </c>
      <c r="E7710">
        <v>12930</v>
      </c>
      <c r="F7710">
        <v>169384.05</v>
      </c>
      <c r="G7710">
        <v>0</v>
      </c>
      <c r="H7710">
        <v>0</v>
      </c>
      <c r="I7710">
        <v>0</v>
      </c>
      <c r="J7710">
        <v>0</v>
      </c>
      <c r="K7710">
        <v>0</v>
      </c>
      <c r="L7710">
        <v>19000000</v>
      </c>
      <c r="M7710">
        <v>19000000</v>
      </c>
      <c r="N7710">
        <v>19000000</v>
      </c>
      <c r="O7710">
        <v>19000000</v>
      </c>
      <c r="P7710">
        <v>19000000</v>
      </c>
      <c r="Q7710">
        <v>19000000</v>
      </c>
      <c r="R7710" s="14">
        <f>_xlfn.XLOOKUP(Table2[[#This Row],[LoanID]],Table1[G-L ID],Table1[ManagerCode],-99)</f>
        <v>119</v>
      </c>
      <c r="T7710"/>
    </row>
    <row r="7711" spans="1:20" x14ac:dyDescent="0.25">
      <c r="A7711">
        <v>20181031</v>
      </c>
      <c r="B7711">
        <v>2018</v>
      </c>
      <c r="C7711">
        <v>10</v>
      </c>
      <c r="D7711">
        <v>1</v>
      </c>
      <c r="E7711">
        <v>12940</v>
      </c>
      <c r="F7711">
        <v>168308.33</v>
      </c>
      <c r="G7711">
        <v>0</v>
      </c>
      <c r="H7711">
        <v>0</v>
      </c>
      <c r="I7711">
        <v>0</v>
      </c>
      <c r="J7711">
        <v>-370342.25</v>
      </c>
      <c r="K7711">
        <v>0</v>
      </c>
      <c r="L7711">
        <v>19000000</v>
      </c>
      <c r="M7711">
        <v>19370342.25</v>
      </c>
      <c r="N7711">
        <v>19000000</v>
      </c>
      <c r="O7711">
        <v>19370342.25</v>
      </c>
      <c r="P7711">
        <v>19000000</v>
      </c>
      <c r="Q7711">
        <v>19370342.25</v>
      </c>
      <c r="R7711" s="14">
        <f>_xlfn.XLOOKUP(Table2[[#This Row],[LoanID]],Table1[G-L ID],Table1[ManagerCode],-99)</f>
        <v>119</v>
      </c>
      <c r="T7711"/>
    </row>
    <row r="7712" spans="1:20" x14ac:dyDescent="0.25">
      <c r="A7712">
        <v>20181031</v>
      </c>
      <c r="B7712">
        <v>2018</v>
      </c>
      <c r="C7712">
        <v>10</v>
      </c>
      <c r="D7712">
        <v>1</v>
      </c>
      <c r="E7712">
        <v>12950</v>
      </c>
      <c r="F7712">
        <v>229569.79</v>
      </c>
      <c r="G7712">
        <v>0</v>
      </c>
      <c r="H7712">
        <v>0</v>
      </c>
      <c r="I7712">
        <v>0</v>
      </c>
      <c r="J7712">
        <v>0</v>
      </c>
      <c r="K7712">
        <v>0</v>
      </c>
      <c r="L7712">
        <v>26732750</v>
      </c>
      <c r="M7712">
        <v>26732750</v>
      </c>
      <c r="N7712">
        <v>26732750</v>
      </c>
      <c r="O7712">
        <v>26732750</v>
      </c>
      <c r="P7712">
        <v>26732750</v>
      </c>
      <c r="Q7712">
        <v>26732750</v>
      </c>
      <c r="R7712" s="14">
        <f>_xlfn.XLOOKUP(Table2[[#This Row],[LoanID]],Table1[G-L ID],Table1[ManagerCode],-99)</f>
        <v>119</v>
      </c>
      <c r="T7712"/>
    </row>
    <row r="7713" spans="1:20" x14ac:dyDescent="0.25">
      <c r="A7713">
        <v>20181031</v>
      </c>
      <c r="B7713">
        <v>2018</v>
      </c>
      <c r="C7713">
        <v>10</v>
      </c>
      <c r="D7713">
        <v>1</v>
      </c>
      <c r="E7713">
        <v>12960</v>
      </c>
      <c r="F7713">
        <v>76006.75</v>
      </c>
      <c r="G7713">
        <v>0</v>
      </c>
      <c r="H7713">
        <v>0</v>
      </c>
      <c r="I7713">
        <v>0</v>
      </c>
      <c r="J7713">
        <v>0</v>
      </c>
      <c r="K7713">
        <v>0</v>
      </c>
      <c r="L7713">
        <v>8850000</v>
      </c>
      <c r="M7713">
        <v>8850000</v>
      </c>
      <c r="N7713">
        <v>8850000</v>
      </c>
      <c r="O7713">
        <v>8850000</v>
      </c>
      <c r="P7713">
        <v>8850000</v>
      </c>
      <c r="Q7713">
        <v>8850000</v>
      </c>
      <c r="R7713" s="14">
        <f>_xlfn.XLOOKUP(Table2[[#This Row],[LoanID]],Table1[G-L ID],Table1[ManagerCode],-99)</f>
        <v>119</v>
      </c>
      <c r="T7713"/>
    </row>
    <row r="7714" spans="1:20" x14ac:dyDescent="0.25">
      <c r="A7714">
        <v>20181031</v>
      </c>
      <c r="B7714">
        <v>2018</v>
      </c>
      <c r="C7714">
        <v>10</v>
      </c>
      <c r="D7714">
        <v>1</v>
      </c>
      <c r="E7714">
        <v>12970</v>
      </c>
      <c r="F7714">
        <v>95949.93</v>
      </c>
      <c r="G7714">
        <v>0</v>
      </c>
      <c r="H7714">
        <v>0</v>
      </c>
      <c r="I7714">
        <v>0</v>
      </c>
      <c r="J7714">
        <v>0</v>
      </c>
      <c r="K7714">
        <v>0</v>
      </c>
      <c r="L7714">
        <v>10007439.51</v>
      </c>
      <c r="M7714">
        <v>10007439.51</v>
      </c>
      <c r="N7714">
        <v>10007439.51</v>
      </c>
      <c r="O7714">
        <v>10007439.51</v>
      </c>
      <c r="P7714">
        <v>10007439.51</v>
      </c>
      <c r="Q7714">
        <v>10007439.51</v>
      </c>
      <c r="R7714" s="14">
        <f>_xlfn.XLOOKUP(Table2[[#This Row],[LoanID]],Table1[G-L ID],Table1[ManagerCode],-99)</f>
        <v>119</v>
      </c>
      <c r="T7714"/>
    </row>
    <row r="7715" spans="1:20" x14ac:dyDescent="0.25">
      <c r="A7715">
        <v>20181031</v>
      </c>
      <c r="B7715">
        <v>2018</v>
      </c>
      <c r="C7715">
        <v>10</v>
      </c>
      <c r="D7715">
        <v>1</v>
      </c>
      <c r="E7715">
        <v>12980</v>
      </c>
      <c r="F7715">
        <v>121802.08</v>
      </c>
      <c r="G7715">
        <v>0</v>
      </c>
      <c r="H7715">
        <v>0</v>
      </c>
      <c r="I7715">
        <v>0</v>
      </c>
      <c r="J7715">
        <v>0</v>
      </c>
      <c r="K7715">
        <v>0</v>
      </c>
      <c r="L7715">
        <v>13750000</v>
      </c>
      <c r="M7715">
        <v>13750000</v>
      </c>
      <c r="N7715">
        <v>13750000</v>
      </c>
      <c r="O7715">
        <v>13750000</v>
      </c>
      <c r="P7715">
        <v>13750000</v>
      </c>
      <c r="Q7715">
        <v>13750000</v>
      </c>
      <c r="R7715" s="14">
        <f>_xlfn.XLOOKUP(Table2[[#This Row],[LoanID]],Table1[G-L ID],Table1[ManagerCode],-99)</f>
        <v>119</v>
      </c>
      <c r="T7715"/>
    </row>
    <row r="7716" spans="1:20" x14ac:dyDescent="0.25">
      <c r="A7716">
        <v>20181031</v>
      </c>
      <c r="B7716">
        <v>2018</v>
      </c>
      <c r="C7716">
        <v>10</v>
      </c>
      <c r="D7716">
        <v>1</v>
      </c>
      <c r="E7716">
        <v>12990</v>
      </c>
      <c r="F7716">
        <v>247438.12</v>
      </c>
      <c r="G7716">
        <v>0</v>
      </c>
      <c r="H7716">
        <v>0</v>
      </c>
      <c r="I7716">
        <v>0</v>
      </c>
      <c r="J7716">
        <v>-49613.27</v>
      </c>
      <c r="K7716">
        <v>0</v>
      </c>
      <c r="L7716">
        <v>29025000</v>
      </c>
      <c r="M7716">
        <v>29074613.27</v>
      </c>
      <c r="N7716">
        <v>29025000</v>
      </c>
      <c r="O7716">
        <v>29074613.27</v>
      </c>
      <c r="P7716">
        <v>29025000</v>
      </c>
      <c r="Q7716">
        <v>29074613.27</v>
      </c>
      <c r="R7716" s="14">
        <f>_xlfn.XLOOKUP(Table2[[#This Row],[LoanID]],Table1[G-L ID],Table1[ManagerCode],-99)</f>
        <v>119</v>
      </c>
      <c r="T7716"/>
    </row>
    <row r="7717" spans="1:20" x14ac:dyDescent="0.25">
      <c r="A7717">
        <v>20181031</v>
      </c>
      <c r="B7717">
        <v>2018</v>
      </c>
      <c r="C7717">
        <v>10</v>
      </c>
      <c r="D7717">
        <v>1</v>
      </c>
      <c r="E7717">
        <v>13000</v>
      </c>
      <c r="F7717">
        <v>131054.73</v>
      </c>
      <c r="G7717">
        <v>528335.59</v>
      </c>
      <c r="H7717">
        <v>0</v>
      </c>
      <c r="I7717">
        <v>0</v>
      </c>
      <c r="J7717">
        <v>-131054.73</v>
      </c>
      <c r="K7717">
        <v>0</v>
      </c>
      <c r="L7717">
        <v>38760335.060000002</v>
      </c>
      <c r="M7717">
        <v>36176574</v>
      </c>
      <c r="N7717">
        <v>38760335.060000002</v>
      </c>
      <c r="O7717">
        <v>36176574</v>
      </c>
      <c r="P7717">
        <v>39335388.799999997</v>
      </c>
      <c r="Q7717">
        <v>39994779.119999997</v>
      </c>
      <c r="R7717" s="14">
        <f>_xlfn.XLOOKUP(Table2[[#This Row],[LoanID]],Table1[G-L ID],Table1[ManagerCode],-99)</f>
        <v>103</v>
      </c>
      <c r="T7717"/>
    </row>
    <row r="7718" spans="1:20" x14ac:dyDescent="0.25">
      <c r="A7718">
        <v>20181031</v>
      </c>
      <c r="B7718">
        <v>2018</v>
      </c>
      <c r="C7718">
        <v>10</v>
      </c>
      <c r="D7718">
        <v>1</v>
      </c>
      <c r="E7718">
        <v>13010</v>
      </c>
      <c r="F7718">
        <v>1400000</v>
      </c>
      <c r="G7718">
        <v>0</v>
      </c>
      <c r="H7718">
        <v>0</v>
      </c>
      <c r="I7718">
        <v>0</v>
      </c>
      <c r="J7718">
        <v>0</v>
      </c>
      <c r="K7718">
        <v>0</v>
      </c>
      <c r="L7718">
        <v>199500000</v>
      </c>
      <c r="M7718">
        <v>198577038</v>
      </c>
      <c r="N7718">
        <v>199500000</v>
      </c>
      <c r="O7718">
        <v>198577038</v>
      </c>
      <c r="P7718">
        <v>210000000</v>
      </c>
      <c r="Q7718">
        <v>210000000</v>
      </c>
      <c r="R7718" s="14">
        <f>_xlfn.XLOOKUP(Table2[[#This Row],[LoanID]],Table1[G-L ID],Table1[ManagerCode],-99)</f>
        <v>103</v>
      </c>
      <c r="T7718"/>
    </row>
    <row r="7719" spans="1:20" x14ac:dyDescent="0.25">
      <c r="A7719">
        <v>20181031</v>
      </c>
      <c r="B7719">
        <v>2018</v>
      </c>
      <c r="C7719">
        <v>10</v>
      </c>
      <c r="D7719">
        <v>1</v>
      </c>
      <c r="E7719">
        <v>13020</v>
      </c>
      <c r="F7719">
        <v>196649.74</v>
      </c>
      <c r="G7719">
        <v>0</v>
      </c>
      <c r="H7719">
        <v>0</v>
      </c>
      <c r="I7719">
        <v>0</v>
      </c>
      <c r="J7719">
        <v>-196649.74</v>
      </c>
      <c r="K7719">
        <v>0</v>
      </c>
      <c r="L7719">
        <v>19664974.309999999</v>
      </c>
      <c r="M7719">
        <v>19861624.050000001</v>
      </c>
      <c r="N7719">
        <v>19664974.309999999</v>
      </c>
      <c r="O7719">
        <v>19861624.050000001</v>
      </c>
      <c r="P7719">
        <v>19664974.309999999</v>
      </c>
      <c r="Q7719">
        <v>19861624.050000001</v>
      </c>
      <c r="R7719" s="14">
        <f>_xlfn.XLOOKUP(Table2[[#This Row],[LoanID]],Table1[G-L ID],Table1[ManagerCode],-99)</f>
        <v>103</v>
      </c>
      <c r="T7719"/>
    </row>
    <row r="7720" spans="1:20" x14ac:dyDescent="0.25">
      <c r="A7720">
        <v>20181031</v>
      </c>
      <c r="B7720">
        <v>2018</v>
      </c>
      <c r="C7720">
        <v>10</v>
      </c>
      <c r="D7720">
        <v>1</v>
      </c>
      <c r="E7720">
        <v>13030</v>
      </c>
      <c r="F7720">
        <v>278461.37</v>
      </c>
      <c r="G7720">
        <v>0</v>
      </c>
      <c r="H7720">
        <v>0</v>
      </c>
      <c r="I7720">
        <v>0</v>
      </c>
      <c r="J7720">
        <v>0</v>
      </c>
      <c r="K7720">
        <v>0</v>
      </c>
      <c r="L7720">
        <v>114000000</v>
      </c>
      <c r="M7720">
        <v>114000000</v>
      </c>
      <c r="N7720">
        <v>51276576</v>
      </c>
      <c r="O7720">
        <v>51276576</v>
      </c>
      <c r="P7720">
        <v>114000000</v>
      </c>
      <c r="Q7720">
        <v>114000000</v>
      </c>
      <c r="R7720" s="14">
        <f>_xlfn.XLOOKUP(Table2[[#This Row],[LoanID]],Table1[G-L ID],Table1[ManagerCode],-99)</f>
        <v>183</v>
      </c>
      <c r="T7720"/>
    </row>
    <row r="7721" spans="1:20" x14ac:dyDescent="0.25">
      <c r="A7721">
        <v>20181031</v>
      </c>
      <c r="B7721">
        <v>2018</v>
      </c>
      <c r="C7721">
        <v>10</v>
      </c>
      <c r="D7721">
        <v>1</v>
      </c>
      <c r="E7721">
        <v>13040</v>
      </c>
      <c r="F7721">
        <v>73291.98</v>
      </c>
      <c r="G7721">
        <v>0</v>
      </c>
      <c r="H7721">
        <v>0</v>
      </c>
      <c r="I7721">
        <v>0</v>
      </c>
      <c r="J7721">
        <v>0</v>
      </c>
      <c r="K7721">
        <v>0</v>
      </c>
      <c r="L7721">
        <v>33862500</v>
      </c>
      <c r="M7721">
        <v>33862500</v>
      </c>
      <c r="N7721">
        <v>13690113</v>
      </c>
      <c r="O7721">
        <v>13690113</v>
      </c>
      <c r="P7721">
        <v>33862500</v>
      </c>
      <c r="Q7721">
        <v>33862500</v>
      </c>
      <c r="R7721" s="14">
        <f>_xlfn.XLOOKUP(Table2[[#This Row],[LoanID]],Table1[G-L ID],Table1[ManagerCode],-99)</f>
        <v>183</v>
      </c>
      <c r="T7721"/>
    </row>
    <row r="7722" spans="1:20" x14ac:dyDescent="0.25">
      <c r="A7722">
        <v>20181031</v>
      </c>
      <c r="B7722">
        <v>2018</v>
      </c>
      <c r="C7722">
        <v>10</v>
      </c>
      <c r="D7722">
        <v>1</v>
      </c>
      <c r="E7722">
        <v>13050</v>
      </c>
      <c r="F7722">
        <v>73629.38</v>
      </c>
      <c r="G7722">
        <v>0</v>
      </c>
      <c r="H7722">
        <v>0</v>
      </c>
      <c r="I7722">
        <v>0</v>
      </c>
      <c r="J7722">
        <v>0</v>
      </c>
      <c r="K7722">
        <v>0</v>
      </c>
      <c r="L7722">
        <v>42575000</v>
      </c>
      <c r="M7722">
        <v>42575000</v>
      </c>
      <c r="N7722">
        <v>14901424</v>
      </c>
      <c r="O7722">
        <v>14901424</v>
      </c>
      <c r="P7722">
        <v>42575000</v>
      </c>
      <c r="Q7722">
        <v>42575000</v>
      </c>
      <c r="R7722" s="14">
        <f>_xlfn.XLOOKUP(Table2[[#This Row],[LoanID]],Table1[G-L ID],Table1[ManagerCode],-99)</f>
        <v>183</v>
      </c>
      <c r="T7722"/>
    </row>
    <row r="7723" spans="1:20" x14ac:dyDescent="0.25">
      <c r="A7723">
        <v>20181031</v>
      </c>
      <c r="B7723">
        <v>2018</v>
      </c>
      <c r="C7723">
        <v>10</v>
      </c>
      <c r="D7723">
        <v>1</v>
      </c>
      <c r="E7723">
        <v>13060</v>
      </c>
      <c r="F7723">
        <v>84040.71</v>
      </c>
      <c r="G7723">
        <v>0</v>
      </c>
      <c r="H7723">
        <v>0</v>
      </c>
      <c r="I7723">
        <v>0</v>
      </c>
      <c r="J7723">
        <v>0</v>
      </c>
      <c r="K7723">
        <v>0</v>
      </c>
      <c r="L7723">
        <v>42730506.350000001</v>
      </c>
      <c r="M7723">
        <v>42730506.350000001</v>
      </c>
      <c r="N7723">
        <v>17128944.350000001</v>
      </c>
      <c r="O7723">
        <v>17128944.350000001</v>
      </c>
      <c r="P7723">
        <v>42730506.350000001</v>
      </c>
      <c r="Q7723">
        <v>42730506.350000001</v>
      </c>
      <c r="R7723" s="14">
        <f>_xlfn.XLOOKUP(Table2[[#This Row],[LoanID]],Table1[G-L ID],Table1[ManagerCode],-99)</f>
        <v>183</v>
      </c>
      <c r="T7723"/>
    </row>
    <row r="7724" spans="1:20" x14ac:dyDescent="0.25">
      <c r="A7724">
        <v>20181031</v>
      </c>
      <c r="B7724">
        <v>2018</v>
      </c>
      <c r="C7724">
        <v>10</v>
      </c>
      <c r="D7724">
        <v>1</v>
      </c>
      <c r="E7724">
        <v>13070</v>
      </c>
      <c r="F7724">
        <v>876260</v>
      </c>
      <c r="G7724">
        <v>0</v>
      </c>
      <c r="H7724">
        <v>0</v>
      </c>
      <c r="I7724">
        <v>0</v>
      </c>
      <c r="J7724">
        <v>0</v>
      </c>
      <c r="K7724">
        <v>0</v>
      </c>
      <c r="L7724">
        <v>84000000</v>
      </c>
      <c r="M7724">
        <v>84000000</v>
      </c>
      <c r="N7724">
        <v>44000000</v>
      </c>
      <c r="O7724">
        <v>44000000</v>
      </c>
      <c r="P7724">
        <v>84000000</v>
      </c>
      <c r="Q7724">
        <v>84000000</v>
      </c>
      <c r="R7724" s="14">
        <f>_xlfn.XLOOKUP(Table2[[#This Row],[LoanID]],Table1[G-L ID],Table1[ManagerCode],-99)</f>
        <v>183</v>
      </c>
      <c r="T7724"/>
    </row>
    <row r="7725" spans="1:20" x14ac:dyDescent="0.25">
      <c r="A7725">
        <v>20181031</v>
      </c>
      <c r="B7725">
        <v>2018</v>
      </c>
      <c r="C7725">
        <v>10</v>
      </c>
      <c r="D7725">
        <v>1</v>
      </c>
      <c r="E7725">
        <v>13080</v>
      </c>
      <c r="F7725">
        <v>156856.66</v>
      </c>
      <c r="G7725">
        <v>0</v>
      </c>
      <c r="H7725">
        <v>0</v>
      </c>
      <c r="I7725">
        <v>0</v>
      </c>
      <c r="J7725">
        <v>0</v>
      </c>
      <c r="K7725">
        <v>0</v>
      </c>
      <c r="L7725">
        <v>36000000</v>
      </c>
      <c r="M7725">
        <v>36000000</v>
      </c>
      <c r="N7725">
        <v>14500000</v>
      </c>
      <c r="O7725">
        <v>14500000</v>
      </c>
      <c r="P7725">
        <v>36000000</v>
      </c>
      <c r="Q7725">
        <v>36000000</v>
      </c>
      <c r="R7725" s="14">
        <f>_xlfn.XLOOKUP(Table2[[#This Row],[LoanID]],Table1[G-L ID],Table1[ManagerCode],-99)</f>
        <v>183</v>
      </c>
      <c r="T7725"/>
    </row>
    <row r="7726" spans="1:20" x14ac:dyDescent="0.25">
      <c r="A7726">
        <v>20181031</v>
      </c>
      <c r="B7726">
        <v>2018</v>
      </c>
      <c r="C7726">
        <v>10</v>
      </c>
      <c r="D7726">
        <v>1</v>
      </c>
      <c r="E7726">
        <v>13090</v>
      </c>
      <c r="F7726">
        <v>113494.44</v>
      </c>
      <c r="G7726">
        <v>0</v>
      </c>
      <c r="H7726">
        <v>0</v>
      </c>
      <c r="I7726">
        <v>0</v>
      </c>
      <c r="J7726">
        <v>0</v>
      </c>
      <c r="K7726">
        <v>0</v>
      </c>
      <c r="L7726">
        <v>20000000</v>
      </c>
      <c r="M7726">
        <v>20000000</v>
      </c>
      <c r="N7726">
        <v>20000000</v>
      </c>
      <c r="O7726">
        <v>20000000</v>
      </c>
      <c r="P7726">
        <v>20000000</v>
      </c>
      <c r="Q7726">
        <v>20000000</v>
      </c>
      <c r="R7726" s="14">
        <f>_xlfn.XLOOKUP(Table2[[#This Row],[LoanID]],Table1[G-L ID],Table1[ManagerCode],-99)</f>
        <v>183</v>
      </c>
      <c r="T7726"/>
    </row>
    <row r="7727" spans="1:20" x14ac:dyDescent="0.25">
      <c r="A7727">
        <v>20181031</v>
      </c>
      <c r="B7727">
        <v>2018</v>
      </c>
      <c r="C7727">
        <v>10</v>
      </c>
      <c r="D7727">
        <v>1</v>
      </c>
      <c r="E7727">
        <v>13220</v>
      </c>
      <c r="F7727">
        <v>71073.31</v>
      </c>
      <c r="G7727">
        <v>-37.25</v>
      </c>
      <c r="H7727">
        <v>0</v>
      </c>
      <c r="I7727">
        <v>0</v>
      </c>
      <c r="J7727">
        <v>0</v>
      </c>
      <c r="K7727">
        <v>4780.4399999999996</v>
      </c>
      <c r="L7727">
        <v>9349452.3100000005</v>
      </c>
      <c r="M7727">
        <v>9344634.6199999992</v>
      </c>
      <c r="N7727">
        <v>9349452.3100000005</v>
      </c>
      <c r="O7727">
        <v>9344634.6199999992</v>
      </c>
      <c r="P7727">
        <v>9257452.5999999996</v>
      </c>
      <c r="Q7727">
        <v>9252634.9100000001</v>
      </c>
      <c r="R7727" s="14">
        <f>_xlfn.XLOOKUP(Table2[[#This Row],[LoanID]],Table1[G-L ID],Table1[ManagerCode],-99)</f>
        <v>219</v>
      </c>
      <c r="T7727"/>
    </row>
    <row r="7728" spans="1:20" x14ac:dyDescent="0.25">
      <c r="A7728">
        <v>20181031</v>
      </c>
      <c r="B7728">
        <v>2018</v>
      </c>
      <c r="C7728">
        <v>10</v>
      </c>
      <c r="D7728">
        <v>1</v>
      </c>
      <c r="E7728">
        <v>13230</v>
      </c>
      <c r="F7728">
        <v>43180.75</v>
      </c>
      <c r="G7728">
        <v>0</v>
      </c>
      <c r="H7728">
        <v>0</v>
      </c>
      <c r="I7728">
        <v>0</v>
      </c>
      <c r="J7728">
        <v>0</v>
      </c>
      <c r="K7728">
        <v>0</v>
      </c>
      <c r="L7728">
        <v>6608875</v>
      </c>
      <c r="M7728">
        <v>6608875</v>
      </c>
      <c r="N7728">
        <v>6608875</v>
      </c>
      <c r="O7728">
        <v>6608875</v>
      </c>
      <c r="P7728">
        <v>6543875</v>
      </c>
      <c r="Q7728">
        <v>6543875</v>
      </c>
      <c r="R7728" s="14">
        <f>_xlfn.XLOOKUP(Table2[[#This Row],[LoanID]],Table1[G-L ID],Table1[ManagerCode],-99)</f>
        <v>219</v>
      </c>
      <c r="T7728"/>
    </row>
    <row r="7729" spans="1:20" x14ac:dyDescent="0.25">
      <c r="A7729">
        <v>20181031</v>
      </c>
      <c r="B7729">
        <v>2018</v>
      </c>
      <c r="C7729">
        <v>10</v>
      </c>
      <c r="D7729">
        <v>1</v>
      </c>
      <c r="E7729">
        <v>13240</v>
      </c>
      <c r="F7729">
        <v>82786</v>
      </c>
      <c r="G7729">
        <v>1104.17</v>
      </c>
      <c r="H7729">
        <v>0</v>
      </c>
      <c r="I7729">
        <v>0</v>
      </c>
      <c r="J7729">
        <v>0</v>
      </c>
      <c r="K7729">
        <v>0</v>
      </c>
      <c r="L7729">
        <v>8575470.9600000009</v>
      </c>
      <c r="M7729">
        <v>8576575.1300000008</v>
      </c>
      <c r="N7729">
        <v>8575470.9600000009</v>
      </c>
      <c r="O7729">
        <v>8576575.1300000008</v>
      </c>
      <c r="P7729">
        <v>8575470.9600000009</v>
      </c>
      <c r="Q7729">
        <v>8576575.1300000008</v>
      </c>
      <c r="R7729" s="14">
        <f>_xlfn.XLOOKUP(Table2[[#This Row],[LoanID]],Table1[G-L ID],Table1[ManagerCode],-99)</f>
        <v>219</v>
      </c>
      <c r="T7729"/>
    </row>
    <row r="7730" spans="1:20" x14ac:dyDescent="0.25">
      <c r="A7730">
        <v>20181031</v>
      </c>
      <c r="B7730">
        <v>2018</v>
      </c>
      <c r="C7730">
        <v>10</v>
      </c>
      <c r="D7730">
        <v>1</v>
      </c>
      <c r="E7730">
        <v>13250</v>
      </c>
      <c r="F7730">
        <v>63666.67</v>
      </c>
      <c r="G7730">
        <v>2138.86</v>
      </c>
      <c r="H7730">
        <v>0</v>
      </c>
      <c r="I7730">
        <v>0</v>
      </c>
      <c r="J7730">
        <v>0</v>
      </c>
      <c r="K7730">
        <v>0</v>
      </c>
      <c r="L7730">
        <v>7456169.6699999999</v>
      </c>
      <c r="M7730">
        <v>7460831.6799999997</v>
      </c>
      <c r="N7730">
        <v>7456169.6699999999</v>
      </c>
      <c r="O7730">
        <v>7460831.6799999997</v>
      </c>
      <c r="P7730">
        <v>7044916.6699999999</v>
      </c>
      <c r="Q7730">
        <v>7047055.5300000003</v>
      </c>
      <c r="R7730" s="14">
        <f>_xlfn.XLOOKUP(Table2[[#This Row],[LoanID]],Table1[G-L ID],Table1[ManagerCode],-99)</f>
        <v>219</v>
      </c>
      <c r="T7730"/>
    </row>
    <row r="7731" spans="1:20" x14ac:dyDescent="0.25">
      <c r="A7731">
        <v>20181031</v>
      </c>
      <c r="B7731">
        <v>2018</v>
      </c>
      <c r="C7731">
        <v>10</v>
      </c>
      <c r="D7731">
        <v>1</v>
      </c>
      <c r="E7731">
        <v>13260</v>
      </c>
      <c r="F7731">
        <v>177150</v>
      </c>
      <c r="G7731">
        <v>7064.34</v>
      </c>
      <c r="H7731">
        <v>0</v>
      </c>
      <c r="I7731">
        <v>0</v>
      </c>
      <c r="J7731">
        <v>0</v>
      </c>
      <c r="K7731">
        <v>0</v>
      </c>
      <c r="L7731">
        <v>20094746.66</v>
      </c>
      <c r="M7731">
        <v>20101811</v>
      </c>
      <c r="N7731">
        <v>20094746.66</v>
      </c>
      <c r="O7731">
        <v>20101811</v>
      </c>
      <c r="P7731">
        <v>20094746.66</v>
      </c>
      <c r="Q7731">
        <v>20101811</v>
      </c>
      <c r="R7731" s="14">
        <f>_xlfn.XLOOKUP(Table2[[#This Row],[LoanID]],Table1[G-L ID],Table1[ManagerCode],-99)</f>
        <v>219</v>
      </c>
      <c r="T7731"/>
    </row>
    <row r="7732" spans="1:20" x14ac:dyDescent="0.25">
      <c r="A7732">
        <v>20181031</v>
      </c>
      <c r="B7732">
        <v>2018</v>
      </c>
      <c r="C7732">
        <v>10</v>
      </c>
      <c r="D7732">
        <v>1</v>
      </c>
      <c r="E7732">
        <v>13280</v>
      </c>
      <c r="F7732">
        <v>162500</v>
      </c>
      <c r="G7732">
        <v>5997.58</v>
      </c>
      <c r="H7732">
        <v>0</v>
      </c>
      <c r="I7732">
        <v>0</v>
      </c>
      <c r="J7732">
        <v>0</v>
      </c>
      <c r="K7732">
        <v>0</v>
      </c>
      <c r="L7732">
        <v>20311919.09</v>
      </c>
      <c r="M7732">
        <v>20317916.670000002</v>
      </c>
      <c r="N7732">
        <v>20311919.09</v>
      </c>
      <c r="O7732">
        <v>20317916.670000002</v>
      </c>
      <c r="P7732">
        <v>20161919.09</v>
      </c>
      <c r="Q7732">
        <v>20167916.670000002</v>
      </c>
      <c r="R7732" s="14">
        <f>_xlfn.XLOOKUP(Table2[[#This Row],[LoanID]],Table1[G-L ID],Table1[ManagerCode],-99)</f>
        <v>219</v>
      </c>
      <c r="T7732"/>
    </row>
    <row r="7733" spans="1:20" x14ac:dyDescent="0.25">
      <c r="A7733">
        <v>20181031</v>
      </c>
      <c r="B7733">
        <v>2018</v>
      </c>
      <c r="C7733">
        <v>10</v>
      </c>
      <c r="D7733">
        <v>1</v>
      </c>
      <c r="E7733">
        <v>13290</v>
      </c>
      <c r="F7733">
        <v>151770.82999999999</v>
      </c>
      <c r="G7733">
        <v>0</v>
      </c>
      <c r="H7733">
        <v>0</v>
      </c>
      <c r="I7733">
        <v>0</v>
      </c>
      <c r="J7733">
        <v>0</v>
      </c>
      <c r="K7733">
        <v>0</v>
      </c>
      <c r="L7733">
        <v>20000000</v>
      </c>
      <c r="M7733">
        <v>20000000</v>
      </c>
      <c r="N7733">
        <v>20000000</v>
      </c>
      <c r="O7733">
        <v>20000000</v>
      </c>
      <c r="P7733">
        <v>20000000</v>
      </c>
      <c r="Q7733">
        <v>20000000</v>
      </c>
      <c r="R7733" s="14">
        <f>_xlfn.XLOOKUP(Table2[[#This Row],[LoanID]],Table1[G-L ID],Table1[ManagerCode],-99)</f>
        <v>219</v>
      </c>
      <c r="T7733"/>
    </row>
    <row r="7734" spans="1:20" x14ac:dyDescent="0.25">
      <c r="A7734">
        <v>20181031</v>
      </c>
      <c r="B7734">
        <v>2018</v>
      </c>
      <c r="C7734">
        <v>10</v>
      </c>
      <c r="D7734">
        <v>1</v>
      </c>
      <c r="E7734">
        <v>13300</v>
      </c>
      <c r="F7734">
        <v>208333.3</v>
      </c>
      <c r="G7734">
        <v>8105.77</v>
      </c>
      <c r="H7734">
        <v>0</v>
      </c>
      <c r="I7734">
        <v>0</v>
      </c>
      <c r="J7734">
        <v>0</v>
      </c>
      <c r="K7734">
        <v>0</v>
      </c>
      <c r="L7734">
        <v>25207172.010000002</v>
      </c>
      <c r="M7734">
        <v>25215277.780000001</v>
      </c>
      <c r="N7734">
        <v>25207172.010000002</v>
      </c>
      <c r="O7734">
        <v>25215277.780000001</v>
      </c>
      <c r="P7734">
        <v>25207172.010000002</v>
      </c>
      <c r="Q7734">
        <v>25215277.780000001</v>
      </c>
      <c r="R7734" s="14">
        <f>_xlfn.XLOOKUP(Table2[[#This Row],[LoanID]],Table1[G-L ID],Table1[ManagerCode],-99)</f>
        <v>219</v>
      </c>
      <c r="T7734"/>
    </row>
    <row r="7735" spans="1:20" x14ac:dyDescent="0.25">
      <c r="A7735">
        <v>20181031</v>
      </c>
      <c r="B7735">
        <v>2018</v>
      </c>
      <c r="C7735">
        <v>10</v>
      </c>
      <c r="D7735">
        <v>1</v>
      </c>
      <c r="E7735">
        <v>13310</v>
      </c>
      <c r="F7735">
        <v>117619.31</v>
      </c>
      <c r="G7735">
        <v>0</v>
      </c>
      <c r="H7735">
        <v>190564.95</v>
      </c>
      <c r="I7735">
        <v>0</v>
      </c>
      <c r="J7735">
        <v>-15600000</v>
      </c>
      <c r="K7735">
        <v>0</v>
      </c>
      <c r="L7735">
        <v>0</v>
      </c>
      <c r="M7735">
        <v>15600000</v>
      </c>
      <c r="N7735">
        <v>0</v>
      </c>
      <c r="O7735">
        <v>15600000</v>
      </c>
      <c r="P7735">
        <v>0</v>
      </c>
      <c r="Q7735">
        <v>15600000</v>
      </c>
      <c r="R7735" s="14">
        <f>_xlfn.XLOOKUP(Table2[[#This Row],[LoanID]],Table1[G-L ID],Table1[ManagerCode],-99)</f>
        <v>119</v>
      </c>
      <c r="T7735"/>
    </row>
    <row r="7736" spans="1:20" x14ac:dyDescent="0.25">
      <c r="A7736">
        <v>20181031</v>
      </c>
      <c r="B7736">
        <v>2018</v>
      </c>
      <c r="C7736">
        <v>10</v>
      </c>
      <c r="D7736">
        <v>1</v>
      </c>
      <c r="E7736">
        <v>13320</v>
      </c>
      <c r="F7736">
        <v>361665</v>
      </c>
      <c r="G7736">
        <v>0</v>
      </c>
      <c r="H7736">
        <v>701000</v>
      </c>
      <c r="I7736">
        <v>0</v>
      </c>
      <c r="J7736">
        <v>-94000000</v>
      </c>
      <c r="K7736">
        <v>0</v>
      </c>
      <c r="L7736">
        <v>0</v>
      </c>
      <c r="M7736">
        <v>94000000</v>
      </c>
      <c r="N7736">
        <v>0</v>
      </c>
      <c r="O7736">
        <v>94000000</v>
      </c>
      <c r="P7736">
        <v>0</v>
      </c>
      <c r="Q7736">
        <v>94000000</v>
      </c>
      <c r="R7736" s="14">
        <f>_xlfn.XLOOKUP(Table2[[#This Row],[LoanID]],Table1[G-L ID],Table1[ManagerCode],-99)</f>
        <v>119</v>
      </c>
      <c r="T7736"/>
    </row>
    <row r="7737" spans="1:20" x14ac:dyDescent="0.25">
      <c r="A7737">
        <v>20181031</v>
      </c>
      <c r="B7737">
        <v>2018</v>
      </c>
      <c r="C7737">
        <v>10</v>
      </c>
      <c r="D7737">
        <v>1</v>
      </c>
      <c r="E7737">
        <v>13570</v>
      </c>
      <c r="F7737">
        <v>359110.17</v>
      </c>
      <c r="G7737">
        <v>0</v>
      </c>
      <c r="H7737">
        <v>0</v>
      </c>
      <c r="I7737">
        <v>0</v>
      </c>
      <c r="J7737">
        <v>0</v>
      </c>
      <c r="K7737">
        <v>0</v>
      </c>
      <c r="L7737">
        <v>45392137.369999997</v>
      </c>
      <c r="M7737">
        <v>45423356.479999997</v>
      </c>
      <c r="N7737">
        <v>45392137.369999997</v>
      </c>
      <c r="O7737">
        <v>45423356.479999997</v>
      </c>
      <c r="P7737">
        <v>45800000</v>
      </c>
      <c r="Q7737">
        <v>45800000</v>
      </c>
      <c r="R7737" s="14">
        <f>_xlfn.XLOOKUP(Table2[[#This Row],[LoanID]],Table1[G-L ID],Table1[ManagerCode],-99)</f>
        <v>298</v>
      </c>
      <c r="T7737"/>
    </row>
    <row r="7738" spans="1:20" x14ac:dyDescent="0.25">
      <c r="A7738">
        <v>20181031</v>
      </c>
      <c r="B7738">
        <v>2018</v>
      </c>
      <c r="C7738">
        <v>10</v>
      </c>
      <c r="D7738">
        <v>1</v>
      </c>
      <c r="E7738">
        <v>13580</v>
      </c>
      <c r="F7738">
        <v>415625</v>
      </c>
      <c r="G7738">
        <v>0</v>
      </c>
      <c r="H7738">
        <v>0</v>
      </c>
      <c r="I7738">
        <v>0</v>
      </c>
      <c r="J7738">
        <v>0</v>
      </c>
      <c r="K7738">
        <v>0</v>
      </c>
      <c r="L7738">
        <v>64042088.880000003</v>
      </c>
      <c r="M7738">
        <v>64115000.07</v>
      </c>
      <c r="N7738">
        <v>64042088.880000003</v>
      </c>
      <c r="O7738">
        <v>64115000.07</v>
      </c>
      <c r="P7738">
        <v>66500000</v>
      </c>
      <c r="Q7738">
        <v>66500000</v>
      </c>
      <c r="R7738" s="14">
        <f>_xlfn.XLOOKUP(Table2[[#This Row],[LoanID]],Table1[G-L ID],Table1[ManagerCode],-99)</f>
        <v>298</v>
      </c>
      <c r="T7738"/>
    </row>
    <row r="7739" spans="1:20" x14ac:dyDescent="0.25">
      <c r="A7739">
        <v>20181031</v>
      </c>
      <c r="B7739">
        <v>2018</v>
      </c>
      <c r="C7739">
        <v>10</v>
      </c>
      <c r="D7739">
        <v>1</v>
      </c>
      <c r="E7739">
        <v>13590</v>
      </c>
      <c r="F7739">
        <v>288633.34000000003</v>
      </c>
      <c r="G7739">
        <v>0</v>
      </c>
      <c r="H7739">
        <v>0</v>
      </c>
      <c r="I7739">
        <v>0</v>
      </c>
      <c r="J7739">
        <v>0</v>
      </c>
      <c r="K7739">
        <v>0</v>
      </c>
      <c r="L7739">
        <v>40000000</v>
      </c>
      <c r="M7739">
        <v>40000000</v>
      </c>
      <c r="N7739">
        <v>40000000</v>
      </c>
      <c r="O7739">
        <v>40000000</v>
      </c>
      <c r="P7739">
        <v>40000000</v>
      </c>
      <c r="Q7739">
        <v>40000000</v>
      </c>
      <c r="R7739" s="14">
        <f>_xlfn.XLOOKUP(Table2[[#This Row],[LoanID]],Table1[G-L ID],Table1[ManagerCode],-99)</f>
        <v>298</v>
      </c>
      <c r="T7739"/>
    </row>
    <row r="7740" spans="1:20" x14ac:dyDescent="0.25">
      <c r="A7740">
        <v>20181031</v>
      </c>
      <c r="B7740">
        <v>2018</v>
      </c>
      <c r="C7740">
        <v>10</v>
      </c>
      <c r="D7740">
        <v>1</v>
      </c>
      <c r="E7740">
        <v>13600</v>
      </c>
      <c r="F7740">
        <v>366802.29</v>
      </c>
      <c r="G7740">
        <v>0</v>
      </c>
      <c r="H7740">
        <v>0</v>
      </c>
      <c r="I7740">
        <v>0</v>
      </c>
      <c r="J7740">
        <v>0</v>
      </c>
      <c r="K7740">
        <v>0</v>
      </c>
      <c r="L7740">
        <v>45970000</v>
      </c>
      <c r="M7740">
        <v>45970000</v>
      </c>
      <c r="N7740">
        <v>45970000</v>
      </c>
      <c r="O7740">
        <v>45970000</v>
      </c>
      <c r="P7740">
        <v>45970000</v>
      </c>
      <c r="Q7740">
        <v>45970000</v>
      </c>
      <c r="R7740" s="14">
        <f>_xlfn.XLOOKUP(Table2[[#This Row],[LoanID]],Table1[G-L ID],Table1[ManagerCode],-99)</f>
        <v>298</v>
      </c>
      <c r="T7740"/>
    </row>
    <row r="7741" spans="1:20" x14ac:dyDescent="0.25">
      <c r="A7741">
        <v>20181031</v>
      </c>
      <c r="B7741">
        <v>2018</v>
      </c>
      <c r="C7741">
        <v>10</v>
      </c>
      <c r="D7741">
        <v>1</v>
      </c>
      <c r="E7741">
        <v>13610</v>
      </c>
      <c r="F7741">
        <v>61250</v>
      </c>
      <c r="G7741">
        <v>0</v>
      </c>
      <c r="H7741">
        <v>0</v>
      </c>
      <c r="I7741">
        <v>0</v>
      </c>
      <c r="J7741">
        <v>0</v>
      </c>
      <c r="K7741">
        <v>0</v>
      </c>
      <c r="L7741">
        <v>10549064</v>
      </c>
      <c r="M7741">
        <v>10549064</v>
      </c>
      <c r="N7741">
        <v>10549064</v>
      </c>
      <c r="O7741">
        <v>10549064</v>
      </c>
      <c r="P7741">
        <v>10500000</v>
      </c>
      <c r="Q7741">
        <v>10500000</v>
      </c>
      <c r="R7741" s="14">
        <f>_xlfn.XLOOKUP(Table2[[#This Row],[LoanID]],Table1[G-L ID],Table1[ManagerCode],-99)</f>
        <v>298</v>
      </c>
      <c r="T7741"/>
    </row>
    <row r="7742" spans="1:20" x14ac:dyDescent="0.25">
      <c r="A7742">
        <v>20181031</v>
      </c>
      <c r="B7742">
        <v>2018</v>
      </c>
      <c r="C7742">
        <v>10</v>
      </c>
      <c r="D7742">
        <v>1</v>
      </c>
      <c r="E7742">
        <v>13620</v>
      </c>
      <c r="F7742">
        <v>346208.33</v>
      </c>
      <c r="G7742">
        <v>0</v>
      </c>
      <c r="H7742">
        <v>0</v>
      </c>
      <c r="I7742">
        <v>0</v>
      </c>
      <c r="J7742">
        <v>0</v>
      </c>
      <c r="K7742">
        <v>0</v>
      </c>
      <c r="L7742">
        <v>49919787</v>
      </c>
      <c r="M7742">
        <v>49919787</v>
      </c>
      <c r="N7742">
        <v>49919787</v>
      </c>
      <c r="O7742">
        <v>49919787</v>
      </c>
      <c r="P7742">
        <v>50000000</v>
      </c>
      <c r="Q7742">
        <v>50000000</v>
      </c>
      <c r="R7742" s="14">
        <f>_xlfn.XLOOKUP(Table2[[#This Row],[LoanID]],Table1[G-L ID],Table1[ManagerCode],-99)</f>
        <v>298</v>
      </c>
      <c r="T7742"/>
    </row>
    <row r="7743" spans="1:20" x14ac:dyDescent="0.25">
      <c r="A7743">
        <v>20181031</v>
      </c>
      <c r="B7743">
        <v>2018</v>
      </c>
      <c r="C7743">
        <v>10</v>
      </c>
      <c r="D7743">
        <v>1</v>
      </c>
      <c r="E7743">
        <v>13630</v>
      </c>
      <c r="F7743">
        <v>211458.33</v>
      </c>
      <c r="G7743">
        <v>0</v>
      </c>
      <c r="H7743">
        <v>0</v>
      </c>
      <c r="I7743">
        <v>0</v>
      </c>
      <c r="J7743">
        <v>0</v>
      </c>
      <c r="K7743">
        <v>0</v>
      </c>
      <c r="L7743">
        <v>35537284.43</v>
      </c>
      <c r="M7743">
        <v>35537284.43</v>
      </c>
      <c r="N7743">
        <v>35537284.43</v>
      </c>
      <c r="O7743">
        <v>35537284.43</v>
      </c>
      <c r="P7743">
        <v>35000000</v>
      </c>
      <c r="Q7743">
        <v>35000000</v>
      </c>
      <c r="R7743" s="14">
        <f>_xlfn.XLOOKUP(Table2[[#This Row],[LoanID]],Table1[G-L ID],Table1[ManagerCode],-99)</f>
        <v>298</v>
      </c>
      <c r="T7743"/>
    </row>
    <row r="7744" spans="1:20" x14ac:dyDescent="0.25">
      <c r="A7744">
        <v>20181031</v>
      </c>
      <c r="B7744">
        <v>2018</v>
      </c>
      <c r="C7744">
        <v>10</v>
      </c>
      <c r="D7744">
        <v>1</v>
      </c>
      <c r="E7744">
        <v>13640</v>
      </c>
      <c r="F7744">
        <v>219661.46</v>
      </c>
      <c r="G7744">
        <v>0</v>
      </c>
      <c r="H7744">
        <v>0</v>
      </c>
      <c r="I7744">
        <v>0</v>
      </c>
      <c r="J7744">
        <v>0</v>
      </c>
      <c r="K7744">
        <v>0</v>
      </c>
      <c r="L7744">
        <v>30282941</v>
      </c>
      <c r="M7744">
        <v>30282941</v>
      </c>
      <c r="N7744">
        <v>30282941</v>
      </c>
      <c r="O7744">
        <v>30282941</v>
      </c>
      <c r="P7744">
        <v>30125000</v>
      </c>
      <c r="Q7744">
        <v>30125000</v>
      </c>
      <c r="R7744" s="14">
        <f>_xlfn.XLOOKUP(Table2[[#This Row],[LoanID]],Table1[G-L ID],Table1[ManagerCode],-99)</f>
        <v>298</v>
      </c>
      <c r="T7744"/>
    </row>
    <row r="7745" spans="1:20" x14ac:dyDescent="0.25">
      <c r="A7745">
        <v>20181031</v>
      </c>
      <c r="B7745">
        <v>2018</v>
      </c>
      <c r="C7745">
        <v>10</v>
      </c>
      <c r="D7745">
        <v>1</v>
      </c>
      <c r="E7745">
        <v>13650</v>
      </c>
      <c r="F7745">
        <v>216666.67</v>
      </c>
      <c r="G7745">
        <v>0</v>
      </c>
      <c r="H7745">
        <v>0</v>
      </c>
      <c r="I7745">
        <v>0</v>
      </c>
      <c r="J7745">
        <v>0</v>
      </c>
      <c r="K7745">
        <v>0</v>
      </c>
      <c r="L7745">
        <v>38811572</v>
      </c>
      <c r="M7745">
        <v>38811572</v>
      </c>
      <c r="N7745">
        <v>38811572</v>
      </c>
      <c r="O7745">
        <v>38811572</v>
      </c>
      <c r="P7745">
        <v>40000000</v>
      </c>
      <c r="Q7745">
        <v>40000000</v>
      </c>
      <c r="R7745" s="14">
        <f>_xlfn.XLOOKUP(Table2[[#This Row],[LoanID]],Table1[G-L ID],Table1[ManagerCode],-99)</f>
        <v>298</v>
      </c>
      <c r="T7745"/>
    </row>
    <row r="7746" spans="1:20" x14ac:dyDescent="0.25">
      <c r="A7746">
        <v>20181031</v>
      </c>
      <c r="B7746">
        <v>2018</v>
      </c>
      <c r="C7746">
        <v>10</v>
      </c>
      <c r="D7746">
        <v>1</v>
      </c>
      <c r="E7746">
        <v>13660</v>
      </c>
      <c r="F7746">
        <v>114166.67</v>
      </c>
      <c r="G7746">
        <v>0</v>
      </c>
      <c r="H7746">
        <v>0</v>
      </c>
      <c r="I7746">
        <v>0</v>
      </c>
      <c r="J7746">
        <v>0</v>
      </c>
      <c r="K7746">
        <v>0</v>
      </c>
      <c r="L7746">
        <v>18948845</v>
      </c>
      <c r="M7746">
        <v>18948845</v>
      </c>
      <c r="N7746">
        <v>18948845</v>
      </c>
      <c r="O7746">
        <v>18948845</v>
      </c>
      <c r="P7746">
        <v>20000000</v>
      </c>
      <c r="Q7746">
        <v>20000000</v>
      </c>
      <c r="R7746" s="14">
        <f>_xlfn.XLOOKUP(Table2[[#This Row],[LoanID]],Table1[G-L ID],Table1[ManagerCode],-99)</f>
        <v>298</v>
      </c>
      <c r="T7746"/>
    </row>
    <row r="7747" spans="1:20" x14ac:dyDescent="0.25">
      <c r="A7747">
        <v>20181031</v>
      </c>
      <c r="B7747">
        <v>2018</v>
      </c>
      <c r="C7747">
        <v>10</v>
      </c>
      <c r="D7747">
        <v>1</v>
      </c>
      <c r="E7747">
        <v>13670</v>
      </c>
      <c r="F7747">
        <v>467989.56</v>
      </c>
      <c r="G7747">
        <v>0</v>
      </c>
      <c r="H7747">
        <v>0</v>
      </c>
      <c r="I7747">
        <v>0</v>
      </c>
      <c r="J7747">
        <v>0</v>
      </c>
      <c r="K7747">
        <v>0</v>
      </c>
      <c r="L7747">
        <v>37539280.890000001</v>
      </c>
      <c r="M7747">
        <v>37539280.890000001</v>
      </c>
      <c r="N7747">
        <v>37539280.890000001</v>
      </c>
      <c r="O7747">
        <v>37539280.890000001</v>
      </c>
      <c r="P7747">
        <v>37500000</v>
      </c>
      <c r="Q7747">
        <v>37500000</v>
      </c>
      <c r="R7747" s="14">
        <f>_xlfn.XLOOKUP(Table2[[#This Row],[LoanID]],Table1[G-L ID],Table1[ManagerCode],-99)</f>
        <v>298</v>
      </c>
      <c r="T7747"/>
    </row>
    <row r="7748" spans="1:20" x14ac:dyDescent="0.25">
      <c r="A7748">
        <v>20181031</v>
      </c>
      <c r="B7748">
        <v>2018</v>
      </c>
      <c r="C7748">
        <v>10</v>
      </c>
      <c r="D7748">
        <v>1</v>
      </c>
      <c r="E7748">
        <v>13680</v>
      </c>
      <c r="F7748">
        <v>247499.49</v>
      </c>
      <c r="G7748">
        <v>0</v>
      </c>
      <c r="H7748">
        <v>0</v>
      </c>
      <c r="I7748">
        <v>0</v>
      </c>
      <c r="J7748">
        <v>0</v>
      </c>
      <c r="K7748">
        <v>17809520.100000001</v>
      </c>
      <c r="L7748">
        <v>17971328.219999999</v>
      </c>
      <c r="M7748">
        <v>0</v>
      </c>
      <c r="N7748">
        <v>17971328.219999999</v>
      </c>
      <c r="O7748">
        <v>0</v>
      </c>
      <c r="P7748">
        <v>17809520.100000001</v>
      </c>
      <c r="Q7748">
        <v>0</v>
      </c>
      <c r="R7748" s="14">
        <f>_xlfn.XLOOKUP(Table2[[#This Row],[LoanID]],Table1[G-L ID],Table1[ManagerCode],-99)</f>
        <v>298</v>
      </c>
      <c r="T7748"/>
    </row>
    <row r="7749" spans="1:20" x14ac:dyDescent="0.25">
      <c r="A7749">
        <v>20181031</v>
      </c>
      <c r="B7749">
        <v>2018</v>
      </c>
      <c r="C7749">
        <v>10</v>
      </c>
      <c r="D7749">
        <v>1</v>
      </c>
      <c r="E7749">
        <v>13690</v>
      </c>
      <c r="F7749">
        <v>129166.67</v>
      </c>
      <c r="G7749">
        <v>0</v>
      </c>
      <c r="H7749">
        <v>0</v>
      </c>
      <c r="I7749">
        <v>0</v>
      </c>
      <c r="J7749">
        <v>0</v>
      </c>
      <c r="K7749">
        <v>0</v>
      </c>
      <c r="L7749">
        <v>19779539.27</v>
      </c>
      <c r="M7749">
        <v>19779539.27</v>
      </c>
      <c r="N7749">
        <v>19779539.27</v>
      </c>
      <c r="O7749">
        <v>19779539.27</v>
      </c>
      <c r="P7749">
        <v>20000000</v>
      </c>
      <c r="Q7749">
        <v>20000000</v>
      </c>
      <c r="R7749" s="14">
        <f>_xlfn.XLOOKUP(Table2[[#This Row],[LoanID]],Table1[G-L ID],Table1[ManagerCode],-99)</f>
        <v>298</v>
      </c>
      <c r="T7749"/>
    </row>
    <row r="7750" spans="1:20" x14ac:dyDescent="0.25">
      <c r="A7750">
        <v>20181031</v>
      </c>
      <c r="B7750">
        <v>2018</v>
      </c>
      <c r="C7750">
        <v>10</v>
      </c>
      <c r="D7750">
        <v>1</v>
      </c>
      <c r="E7750">
        <v>14000</v>
      </c>
      <c r="F7750">
        <v>230144.01</v>
      </c>
      <c r="G7750">
        <v>0</v>
      </c>
      <c r="H7750">
        <v>0</v>
      </c>
      <c r="I7750">
        <v>0</v>
      </c>
      <c r="J7750">
        <v>0</v>
      </c>
      <c r="K7750">
        <v>0</v>
      </c>
      <c r="L7750">
        <v>98000000</v>
      </c>
      <c r="M7750">
        <v>98000000</v>
      </c>
      <c r="N7750">
        <v>39200000</v>
      </c>
      <c r="O7750">
        <v>39200000</v>
      </c>
      <c r="P7750">
        <v>98000000</v>
      </c>
      <c r="Q7750">
        <v>98000000</v>
      </c>
      <c r="R7750" s="14">
        <f>_xlfn.XLOOKUP(Table2[[#This Row],[LoanID]],Table1[G-L ID],Table1[ManagerCode],-99)</f>
        <v>183</v>
      </c>
      <c r="T7750"/>
    </row>
    <row r="7751" spans="1:20" x14ac:dyDescent="0.25">
      <c r="A7751">
        <v>20181031</v>
      </c>
      <c r="B7751">
        <v>2018</v>
      </c>
      <c r="C7751">
        <v>10</v>
      </c>
      <c r="D7751">
        <v>1</v>
      </c>
      <c r="E7751">
        <v>14010</v>
      </c>
      <c r="F7751">
        <v>75482.929999999993</v>
      </c>
      <c r="G7751">
        <v>0</v>
      </c>
      <c r="H7751">
        <v>0</v>
      </c>
      <c r="I7751">
        <v>0</v>
      </c>
      <c r="J7751">
        <v>0</v>
      </c>
      <c r="K7751">
        <v>0</v>
      </c>
      <c r="L7751">
        <v>9920000</v>
      </c>
      <c r="M7751">
        <v>9920000</v>
      </c>
      <c r="N7751">
        <v>9920000</v>
      </c>
      <c r="O7751">
        <v>9920000</v>
      </c>
      <c r="P7751">
        <v>9920000</v>
      </c>
      <c r="Q7751">
        <v>9920000</v>
      </c>
      <c r="R7751" s="14">
        <f>_xlfn.XLOOKUP(Table2[[#This Row],[LoanID]],Table1[G-L ID],Table1[ManagerCode],-99)</f>
        <v>119</v>
      </c>
      <c r="T7751"/>
    </row>
    <row r="7752" spans="1:20" x14ac:dyDescent="0.25">
      <c r="A7752">
        <v>20181031</v>
      </c>
      <c r="B7752">
        <v>2018</v>
      </c>
      <c r="C7752">
        <v>10</v>
      </c>
      <c r="D7752">
        <v>1</v>
      </c>
      <c r="E7752">
        <v>14020</v>
      </c>
      <c r="F7752">
        <v>428781.55</v>
      </c>
      <c r="G7752">
        <v>0</v>
      </c>
      <c r="H7752">
        <v>0</v>
      </c>
      <c r="I7752">
        <v>0</v>
      </c>
      <c r="J7752">
        <v>-3566794.12</v>
      </c>
      <c r="K7752">
        <v>0</v>
      </c>
      <c r="L7752">
        <v>27481590.399999999</v>
      </c>
      <c r="M7752">
        <v>31048384.52</v>
      </c>
      <c r="N7752">
        <v>27481590.399999999</v>
      </c>
      <c r="O7752">
        <v>31048384.52</v>
      </c>
      <c r="P7752">
        <v>27481590.399999999</v>
      </c>
      <c r="Q7752">
        <v>31048384.52</v>
      </c>
      <c r="R7752" s="14">
        <f>_xlfn.XLOOKUP(Table2[[#This Row],[LoanID]],Table1[G-L ID],Table1[ManagerCode],-99)</f>
        <v>119</v>
      </c>
      <c r="T7752"/>
    </row>
    <row r="7753" spans="1:20" x14ac:dyDescent="0.25">
      <c r="A7753">
        <v>20181031</v>
      </c>
      <c r="B7753">
        <v>2018</v>
      </c>
      <c r="C7753">
        <v>10</v>
      </c>
      <c r="D7753">
        <v>1</v>
      </c>
      <c r="E7753">
        <v>14670</v>
      </c>
      <c r="F7753">
        <v>68478.87</v>
      </c>
      <c r="G7753">
        <v>0</v>
      </c>
      <c r="H7753">
        <v>0</v>
      </c>
      <c r="I7753">
        <v>0</v>
      </c>
      <c r="J7753">
        <v>0</v>
      </c>
      <c r="K7753">
        <v>37420.720000000001</v>
      </c>
      <c r="L7753">
        <v>29921086</v>
      </c>
      <c r="M7753">
        <v>29921086</v>
      </c>
      <c r="N7753">
        <v>8872836</v>
      </c>
      <c r="O7753">
        <v>8872836</v>
      </c>
      <c r="P7753">
        <v>29742887.420000002</v>
      </c>
      <c r="Q7753">
        <v>29705466.699999999</v>
      </c>
      <c r="R7753" s="14">
        <f>_xlfn.XLOOKUP(Table2[[#This Row],[LoanID]],Table1[G-L ID],Table1[ManagerCode],-99)</f>
        <v>220</v>
      </c>
      <c r="T7753"/>
    </row>
    <row r="7754" spans="1:20" x14ac:dyDescent="0.25">
      <c r="A7754">
        <v>20181031</v>
      </c>
      <c r="B7754">
        <v>2018</v>
      </c>
      <c r="C7754">
        <v>10</v>
      </c>
      <c r="D7754">
        <v>1</v>
      </c>
      <c r="E7754">
        <v>14680</v>
      </c>
      <c r="F7754">
        <v>45745.279999999999</v>
      </c>
      <c r="G7754">
        <v>0</v>
      </c>
      <c r="H7754">
        <v>0</v>
      </c>
      <c r="I7754">
        <v>0</v>
      </c>
      <c r="J7754">
        <v>-397590.93</v>
      </c>
      <c r="K7754">
        <v>0</v>
      </c>
      <c r="L7754">
        <v>27407629</v>
      </c>
      <c r="M7754">
        <v>27407629</v>
      </c>
      <c r="N7754">
        <v>7157629</v>
      </c>
      <c r="O7754">
        <v>7157629</v>
      </c>
      <c r="P7754">
        <v>27306773.300000001</v>
      </c>
      <c r="Q7754">
        <v>27704364.23</v>
      </c>
      <c r="R7754" s="14">
        <f>_xlfn.XLOOKUP(Table2[[#This Row],[LoanID]],Table1[G-L ID],Table1[ManagerCode],-99)</f>
        <v>220</v>
      </c>
      <c r="T7754"/>
    </row>
    <row r="7755" spans="1:20" x14ac:dyDescent="0.25">
      <c r="A7755">
        <v>20181031</v>
      </c>
      <c r="B7755">
        <v>2018</v>
      </c>
      <c r="C7755">
        <v>10</v>
      </c>
      <c r="D7755">
        <v>1</v>
      </c>
      <c r="E7755">
        <v>14730</v>
      </c>
      <c r="F7755">
        <v>139262.07999999999</v>
      </c>
      <c r="G7755">
        <v>0</v>
      </c>
      <c r="H7755">
        <v>376950</v>
      </c>
      <c r="I7755">
        <v>0</v>
      </c>
      <c r="J7755">
        <v>-50260000</v>
      </c>
      <c r="K7755">
        <v>0</v>
      </c>
      <c r="L7755">
        <v>0</v>
      </c>
      <c r="M7755">
        <v>50412525</v>
      </c>
      <c r="N7755">
        <v>0</v>
      </c>
      <c r="O7755">
        <v>50412525</v>
      </c>
      <c r="P7755">
        <v>0</v>
      </c>
      <c r="Q7755">
        <v>50260000</v>
      </c>
      <c r="R7755" s="14">
        <f>_xlfn.XLOOKUP(Table2[[#This Row],[LoanID]],Table1[G-L ID],Table1[ManagerCode],-99)</f>
        <v>220</v>
      </c>
      <c r="T7755"/>
    </row>
    <row r="7756" spans="1:20" x14ac:dyDescent="0.25">
      <c r="A7756">
        <v>20181031</v>
      </c>
      <c r="B7756">
        <v>2018</v>
      </c>
      <c r="C7756">
        <v>10</v>
      </c>
      <c r="D7756">
        <v>1</v>
      </c>
      <c r="E7756">
        <v>14790</v>
      </c>
      <c r="F7756">
        <v>173622.93</v>
      </c>
      <c r="G7756">
        <v>0</v>
      </c>
      <c r="H7756">
        <v>0</v>
      </c>
      <c r="I7756">
        <v>0</v>
      </c>
      <c r="J7756">
        <v>0</v>
      </c>
      <c r="K7756">
        <v>0</v>
      </c>
      <c r="L7756">
        <v>72872310</v>
      </c>
      <c r="M7756">
        <v>72872310</v>
      </c>
      <c r="N7756">
        <v>32872310</v>
      </c>
      <c r="O7756">
        <v>32872310</v>
      </c>
      <c r="P7756">
        <v>72200000</v>
      </c>
      <c r="Q7756">
        <v>72200000</v>
      </c>
      <c r="R7756" s="14">
        <f>_xlfn.XLOOKUP(Table2[[#This Row],[LoanID]],Table1[G-L ID],Table1[ManagerCode],-99)</f>
        <v>220</v>
      </c>
      <c r="T7756"/>
    </row>
    <row r="7757" spans="1:20" x14ac:dyDescent="0.25">
      <c r="A7757">
        <v>20181031</v>
      </c>
      <c r="B7757">
        <v>2018</v>
      </c>
      <c r="C7757">
        <v>10</v>
      </c>
      <c r="D7757">
        <v>1</v>
      </c>
      <c r="E7757">
        <v>14800</v>
      </c>
      <c r="F7757">
        <v>-74682.350000000006</v>
      </c>
      <c r="G7757">
        <v>0</v>
      </c>
      <c r="H7757">
        <v>0</v>
      </c>
      <c r="I7757">
        <v>0</v>
      </c>
      <c r="J7757">
        <v>0</v>
      </c>
      <c r="K7757">
        <v>33150000</v>
      </c>
      <c r="L7757">
        <v>51000000</v>
      </c>
      <c r="M7757">
        <v>51000000</v>
      </c>
      <c r="N7757">
        <v>51000000</v>
      </c>
      <c r="O7757">
        <v>17850000</v>
      </c>
      <c r="P7757">
        <v>51000000</v>
      </c>
      <c r="Q7757">
        <v>51000000</v>
      </c>
      <c r="R7757" s="14">
        <f>_xlfn.XLOOKUP(Table2[[#This Row],[LoanID]],Table1[G-L ID],Table1[ManagerCode],-99)</f>
        <v>220</v>
      </c>
      <c r="T7757"/>
    </row>
    <row r="7758" spans="1:20" x14ac:dyDescent="0.25">
      <c r="A7758">
        <v>20181031</v>
      </c>
      <c r="B7758">
        <v>2018</v>
      </c>
      <c r="C7758">
        <v>10</v>
      </c>
      <c r="D7758">
        <v>1</v>
      </c>
      <c r="E7758">
        <v>14810</v>
      </c>
      <c r="F7758">
        <v>94962.53</v>
      </c>
      <c r="G7758">
        <v>0</v>
      </c>
      <c r="H7758">
        <v>0</v>
      </c>
      <c r="I7758">
        <v>0</v>
      </c>
      <c r="J7758">
        <v>0</v>
      </c>
      <c r="K7758">
        <v>0</v>
      </c>
      <c r="L7758">
        <v>24999639</v>
      </c>
      <c r="M7758">
        <v>24999639</v>
      </c>
      <c r="N7758">
        <v>24999639</v>
      </c>
      <c r="O7758">
        <v>24999639</v>
      </c>
      <c r="P7758">
        <v>24930000</v>
      </c>
      <c r="Q7758">
        <v>24930000</v>
      </c>
      <c r="R7758" s="14">
        <f>_xlfn.XLOOKUP(Table2[[#This Row],[LoanID]],Table1[G-L ID],Table1[ManagerCode],-99)</f>
        <v>220</v>
      </c>
      <c r="T7758"/>
    </row>
    <row r="7759" spans="1:20" x14ac:dyDescent="0.25">
      <c r="A7759">
        <v>20181031</v>
      </c>
      <c r="B7759">
        <v>2018</v>
      </c>
      <c r="C7759">
        <v>10</v>
      </c>
      <c r="D7759">
        <v>1</v>
      </c>
      <c r="E7759">
        <v>14820</v>
      </c>
      <c r="F7759">
        <v>110683.03</v>
      </c>
      <c r="G7759">
        <v>0</v>
      </c>
      <c r="H7759">
        <v>0</v>
      </c>
      <c r="I7759">
        <v>0</v>
      </c>
      <c r="J7759">
        <v>0</v>
      </c>
      <c r="K7759">
        <v>0</v>
      </c>
      <c r="L7759">
        <v>22623000</v>
      </c>
      <c r="M7759">
        <v>22623000</v>
      </c>
      <c r="N7759">
        <v>22623000</v>
      </c>
      <c r="O7759">
        <v>22623000</v>
      </c>
      <c r="P7759">
        <v>22623000</v>
      </c>
      <c r="Q7759">
        <v>22623000</v>
      </c>
      <c r="R7759" s="14">
        <f>_xlfn.XLOOKUP(Table2[[#This Row],[LoanID]],Table1[G-L ID],Table1[ManagerCode],-99)</f>
        <v>220</v>
      </c>
      <c r="T7759"/>
    </row>
    <row r="7760" spans="1:20" x14ac:dyDescent="0.25">
      <c r="A7760">
        <v>20181031</v>
      </c>
      <c r="B7760">
        <v>2018</v>
      </c>
      <c r="C7760">
        <v>10</v>
      </c>
      <c r="D7760">
        <v>1</v>
      </c>
      <c r="E7760">
        <v>14830</v>
      </c>
      <c r="F7760">
        <v>72120.27</v>
      </c>
      <c r="G7760">
        <v>0</v>
      </c>
      <c r="H7760">
        <v>0</v>
      </c>
      <c r="I7760">
        <v>0</v>
      </c>
      <c r="J7760">
        <v>-92065.41</v>
      </c>
      <c r="K7760">
        <v>0</v>
      </c>
      <c r="L7760">
        <v>34429120</v>
      </c>
      <c r="M7760">
        <v>34429120</v>
      </c>
      <c r="N7760">
        <v>14475406.6</v>
      </c>
      <c r="O7760">
        <v>14475406.6</v>
      </c>
      <c r="P7760">
        <v>34304894.420000002</v>
      </c>
      <c r="Q7760">
        <v>34396959.829999998</v>
      </c>
      <c r="R7760" s="14">
        <f>_xlfn.XLOOKUP(Table2[[#This Row],[LoanID]],Table1[G-L ID],Table1[ManagerCode],-99)</f>
        <v>220</v>
      </c>
      <c r="T7760"/>
    </row>
    <row r="7761" spans="1:20" x14ac:dyDescent="0.25">
      <c r="A7761">
        <v>20181031</v>
      </c>
      <c r="B7761">
        <v>2018</v>
      </c>
      <c r="C7761">
        <v>10</v>
      </c>
      <c r="D7761">
        <v>1</v>
      </c>
      <c r="E7761">
        <v>14840</v>
      </c>
      <c r="F7761">
        <v>68928.36</v>
      </c>
      <c r="G7761">
        <v>0</v>
      </c>
      <c r="H7761">
        <v>0</v>
      </c>
      <c r="I7761">
        <v>0</v>
      </c>
      <c r="J7761">
        <v>-478995.93</v>
      </c>
      <c r="K7761">
        <v>0</v>
      </c>
      <c r="L7761">
        <v>31630119</v>
      </c>
      <c r="M7761">
        <v>31630119</v>
      </c>
      <c r="N7761">
        <v>13138119</v>
      </c>
      <c r="O7761">
        <v>13138119</v>
      </c>
      <c r="P7761">
        <v>31518559.129999999</v>
      </c>
      <c r="Q7761">
        <v>31997555.059999999</v>
      </c>
      <c r="R7761" s="14">
        <f>_xlfn.XLOOKUP(Table2[[#This Row],[LoanID]],Table1[G-L ID],Table1[ManagerCode],-99)</f>
        <v>220</v>
      </c>
      <c r="T7761"/>
    </row>
    <row r="7762" spans="1:20" x14ac:dyDescent="0.25">
      <c r="A7762">
        <v>20181031</v>
      </c>
      <c r="B7762">
        <v>2018</v>
      </c>
      <c r="C7762">
        <v>10</v>
      </c>
      <c r="D7762">
        <v>1</v>
      </c>
      <c r="E7762">
        <v>14850</v>
      </c>
      <c r="F7762">
        <v>165838.16</v>
      </c>
      <c r="G7762">
        <v>0</v>
      </c>
      <c r="H7762">
        <v>0</v>
      </c>
      <c r="I7762">
        <v>0</v>
      </c>
      <c r="J7762">
        <v>-750562.63</v>
      </c>
      <c r="K7762">
        <v>0</v>
      </c>
      <c r="L7762">
        <v>77806401</v>
      </c>
      <c r="M7762">
        <v>77806401</v>
      </c>
      <c r="N7762">
        <v>32535923.399999999</v>
      </c>
      <c r="O7762">
        <v>32535923.399999999</v>
      </c>
      <c r="P7762">
        <v>77577066.120000005</v>
      </c>
      <c r="Q7762">
        <v>78327628.75</v>
      </c>
      <c r="R7762" s="14">
        <f>_xlfn.XLOOKUP(Table2[[#This Row],[LoanID]],Table1[G-L ID],Table1[ManagerCode],-99)</f>
        <v>220</v>
      </c>
      <c r="T7762"/>
    </row>
    <row r="7763" spans="1:20" x14ac:dyDescent="0.25">
      <c r="A7763">
        <v>20181031</v>
      </c>
      <c r="B7763">
        <v>2018</v>
      </c>
      <c r="C7763">
        <v>10</v>
      </c>
      <c r="D7763">
        <v>1</v>
      </c>
      <c r="E7763">
        <v>14860</v>
      </c>
      <c r="F7763">
        <v>151162.29999999999</v>
      </c>
      <c r="G7763">
        <v>0</v>
      </c>
      <c r="H7763">
        <v>0</v>
      </c>
      <c r="I7763">
        <v>0</v>
      </c>
      <c r="J7763">
        <v>0</v>
      </c>
      <c r="K7763">
        <v>0</v>
      </c>
      <c r="L7763">
        <v>64964912</v>
      </c>
      <c r="M7763">
        <v>64964912</v>
      </c>
      <c r="N7763">
        <v>26105912</v>
      </c>
      <c r="O7763">
        <v>26105912</v>
      </c>
      <c r="P7763">
        <v>64765000</v>
      </c>
      <c r="Q7763">
        <v>64765000</v>
      </c>
      <c r="R7763" s="14">
        <f>_xlfn.XLOOKUP(Table2[[#This Row],[LoanID]],Table1[G-L ID],Table1[ManagerCode],-99)</f>
        <v>220</v>
      </c>
      <c r="T7763"/>
    </row>
    <row r="7764" spans="1:20" x14ac:dyDescent="0.25">
      <c r="A7764">
        <v>20181031</v>
      </c>
      <c r="B7764">
        <v>2018</v>
      </c>
      <c r="C7764">
        <v>10</v>
      </c>
      <c r="D7764">
        <v>1</v>
      </c>
      <c r="E7764">
        <v>14870</v>
      </c>
      <c r="F7764">
        <v>221828.08</v>
      </c>
      <c r="G7764">
        <v>0</v>
      </c>
      <c r="H7764">
        <v>0</v>
      </c>
      <c r="I7764">
        <v>0</v>
      </c>
      <c r="J7764">
        <v>0</v>
      </c>
      <c r="K7764">
        <v>0</v>
      </c>
      <c r="L7764">
        <v>47519674</v>
      </c>
      <c r="M7764">
        <v>47519674</v>
      </c>
      <c r="N7764">
        <v>47519674</v>
      </c>
      <c r="O7764">
        <v>47519674</v>
      </c>
      <c r="P7764">
        <v>47357000</v>
      </c>
      <c r="Q7764">
        <v>47357000</v>
      </c>
      <c r="R7764" s="14">
        <f>_xlfn.XLOOKUP(Table2[[#This Row],[LoanID]],Table1[G-L ID],Table1[ManagerCode],-99)</f>
        <v>220</v>
      </c>
      <c r="T7764"/>
    </row>
    <row r="7765" spans="1:20" x14ac:dyDescent="0.25">
      <c r="A7765">
        <v>20181031</v>
      </c>
      <c r="B7765">
        <v>2018</v>
      </c>
      <c r="C7765">
        <v>10</v>
      </c>
      <c r="D7765">
        <v>1</v>
      </c>
      <c r="E7765">
        <v>14880</v>
      </c>
      <c r="F7765">
        <v>125224.98</v>
      </c>
      <c r="G7765">
        <v>0</v>
      </c>
      <c r="H7765">
        <v>0</v>
      </c>
      <c r="I7765">
        <v>0</v>
      </c>
      <c r="J7765">
        <v>0</v>
      </c>
      <c r="K7765">
        <v>0</v>
      </c>
      <c r="L7765">
        <v>18043089</v>
      </c>
      <c r="M7765">
        <v>18043089</v>
      </c>
      <c r="N7765">
        <v>18043089</v>
      </c>
      <c r="O7765">
        <v>18043089</v>
      </c>
      <c r="P7765">
        <v>17951257</v>
      </c>
      <c r="Q7765">
        <v>17951257</v>
      </c>
      <c r="R7765" s="14">
        <f>_xlfn.XLOOKUP(Table2[[#This Row],[LoanID]],Table1[G-L ID],Table1[ManagerCode],-99)</f>
        <v>220</v>
      </c>
      <c r="T7765"/>
    </row>
    <row r="7766" spans="1:20" x14ac:dyDescent="0.25">
      <c r="A7766">
        <v>20181031</v>
      </c>
      <c r="B7766">
        <v>2018</v>
      </c>
      <c r="C7766">
        <v>10</v>
      </c>
      <c r="D7766">
        <v>1</v>
      </c>
      <c r="E7766">
        <v>14900</v>
      </c>
      <c r="F7766">
        <v>152932.79999999999</v>
      </c>
      <c r="G7766">
        <v>0</v>
      </c>
      <c r="H7766">
        <v>0</v>
      </c>
      <c r="I7766">
        <v>0</v>
      </c>
      <c r="J7766">
        <v>0</v>
      </c>
      <c r="K7766">
        <v>0</v>
      </c>
      <c r="L7766">
        <v>64174866</v>
      </c>
      <c r="M7766">
        <v>64174866</v>
      </c>
      <c r="N7766">
        <v>22574866</v>
      </c>
      <c r="O7766">
        <v>22574866</v>
      </c>
      <c r="P7766">
        <v>64000000</v>
      </c>
      <c r="Q7766">
        <v>64000000</v>
      </c>
      <c r="R7766" s="14">
        <f>_xlfn.XLOOKUP(Table2[[#This Row],[LoanID]],Table1[G-L ID],Table1[ManagerCode],-99)</f>
        <v>220</v>
      </c>
      <c r="T7766"/>
    </row>
    <row r="7767" spans="1:20" x14ac:dyDescent="0.25">
      <c r="A7767">
        <v>20181031</v>
      </c>
      <c r="B7767">
        <v>2018</v>
      </c>
      <c r="C7767">
        <v>10</v>
      </c>
      <c r="D7767">
        <v>1</v>
      </c>
      <c r="E7767">
        <v>14930</v>
      </c>
      <c r="F7767">
        <v>0</v>
      </c>
      <c r="G7767">
        <v>0</v>
      </c>
      <c r="H7767">
        <v>0</v>
      </c>
      <c r="I7767">
        <v>0</v>
      </c>
      <c r="J7767">
        <v>0</v>
      </c>
      <c r="K7767">
        <v>35750000</v>
      </c>
      <c r="L7767">
        <v>55000000</v>
      </c>
      <c r="M7767">
        <v>55000000</v>
      </c>
      <c r="N7767">
        <v>55000000</v>
      </c>
      <c r="O7767">
        <v>19250000</v>
      </c>
      <c r="P7767">
        <v>55000000</v>
      </c>
      <c r="Q7767">
        <v>55000000</v>
      </c>
      <c r="R7767" s="14">
        <f>_xlfn.XLOOKUP(Table2[[#This Row],[LoanID]],Table1[G-L ID],Table1[ManagerCode],-99)</f>
        <v>220</v>
      </c>
      <c r="T7767"/>
    </row>
    <row r="7768" spans="1:20" x14ac:dyDescent="0.25">
      <c r="A7768">
        <v>20181031</v>
      </c>
      <c r="B7768">
        <v>2018</v>
      </c>
      <c r="C7768">
        <v>10</v>
      </c>
      <c r="D7768">
        <v>1</v>
      </c>
      <c r="E7768">
        <v>14940</v>
      </c>
      <c r="F7768">
        <v>0</v>
      </c>
      <c r="G7768">
        <v>0</v>
      </c>
      <c r="H7768">
        <v>0</v>
      </c>
      <c r="I7768">
        <v>0</v>
      </c>
      <c r="J7768">
        <v>0</v>
      </c>
      <c r="K7768">
        <v>0</v>
      </c>
      <c r="L7768">
        <v>60991589</v>
      </c>
      <c r="M7768">
        <v>60991589</v>
      </c>
      <c r="N7768">
        <v>60991589</v>
      </c>
      <c r="O7768">
        <v>60991589</v>
      </c>
      <c r="P7768">
        <v>60991589</v>
      </c>
      <c r="Q7768">
        <v>60991589</v>
      </c>
      <c r="R7768" s="14">
        <f>_xlfn.XLOOKUP(Table2[[#This Row],[LoanID]],Table1[G-L ID],Table1[ManagerCode],-99)</f>
        <v>220</v>
      </c>
      <c r="T7768"/>
    </row>
    <row r="7769" spans="1:20" x14ac:dyDescent="0.25">
      <c r="A7769">
        <v>20181031</v>
      </c>
      <c r="B7769">
        <v>2018</v>
      </c>
      <c r="C7769">
        <v>10</v>
      </c>
      <c r="D7769">
        <v>1</v>
      </c>
      <c r="E7769">
        <v>14950</v>
      </c>
      <c r="F7769">
        <v>201308.33</v>
      </c>
      <c r="G7769">
        <v>0</v>
      </c>
      <c r="H7769">
        <v>0</v>
      </c>
      <c r="I7769">
        <v>0</v>
      </c>
      <c r="J7769">
        <v>0</v>
      </c>
      <c r="K7769">
        <v>0</v>
      </c>
      <c r="L7769">
        <v>35000000</v>
      </c>
      <c r="M7769">
        <v>35000000</v>
      </c>
      <c r="N7769">
        <v>35000000</v>
      </c>
      <c r="O7769">
        <v>35000000</v>
      </c>
      <c r="P7769">
        <v>35000000</v>
      </c>
      <c r="Q7769">
        <v>35000000</v>
      </c>
      <c r="R7769" s="14">
        <f>_xlfn.XLOOKUP(Table2[[#This Row],[LoanID]],Table1[G-L ID],Table1[ManagerCode],-99)</f>
        <v>220</v>
      </c>
      <c r="T7769"/>
    </row>
    <row r="7770" spans="1:20" x14ac:dyDescent="0.25">
      <c r="A7770">
        <v>20181031</v>
      </c>
      <c r="B7770">
        <v>2018</v>
      </c>
      <c r="C7770">
        <v>10</v>
      </c>
      <c r="D7770">
        <v>1</v>
      </c>
      <c r="E7770">
        <v>14960</v>
      </c>
      <c r="F7770">
        <v>60009.599999999999</v>
      </c>
      <c r="G7770">
        <v>0</v>
      </c>
      <c r="H7770">
        <v>0</v>
      </c>
      <c r="I7770">
        <v>0</v>
      </c>
      <c r="J7770">
        <v>0</v>
      </c>
      <c r="K7770">
        <v>0</v>
      </c>
      <c r="L7770">
        <v>14872008</v>
      </c>
      <c r="M7770">
        <v>14872008</v>
      </c>
      <c r="N7770">
        <v>14872008</v>
      </c>
      <c r="O7770">
        <v>14872008</v>
      </c>
      <c r="P7770">
        <v>14805000</v>
      </c>
      <c r="Q7770">
        <v>14805000</v>
      </c>
      <c r="R7770" s="14">
        <f>_xlfn.XLOOKUP(Table2[[#This Row],[LoanID]],Table1[G-L ID],Table1[ManagerCode],-99)</f>
        <v>220</v>
      </c>
      <c r="T7770"/>
    </row>
    <row r="7771" spans="1:20" x14ac:dyDescent="0.25">
      <c r="A7771">
        <v>20181031</v>
      </c>
      <c r="B7771">
        <v>2018</v>
      </c>
      <c r="C7771">
        <v>10</v>
      </c>
      <c r="D7771">
        <v>1</v>
      </c>
      <c r="E7771">
        <v>15030</v>
      </c>
      <c r="F7771">
        <v>72848</v>
      </c>
      <c r="G7771">
        <v>0</v>
      </c>
      <c r="H7771">
        <v>65000</v>
      </c>
      <c r="I7771">
        <v>0</v>
      </c>
      <c r="J7771">
        <v>-411918.5</v>
      </c>
      <c r="K7771">
        <v>0</v>
      </c>
      <c r="L7771">
        <v>37672133</v>
      </c>
      <c r="M7771">
        <v>37672133</v>
      </c>
      <c r="N7771">
        <v>13842796.220000001</v>
      </c>
      <c r="O7771">
        <v>13842796.220000001</v>
      </c>
      <c r="P7771">
        <v>37405756.579999998</v>
      </c>
      <c r="Q7771">
        <v>37817675.079999998</v>
      </c>
      <c r="R7771" s="14">
        <f>_xlfn.XLOOKUP(Table2[[#This Row],[LoanID]],Table1[G-L ID],Table1[ManagerCode],-99)</f>
        <v>220</v>
      </c>
      <c r="T7771"/>
    </row>
    <row r="7772" spans="1:20" x14ac:dyDescent="0.25">
      <c r="A7772">
        <v>20181031</v>
      </c>
      <c r="B7772">
        <v>2018</v>
      </c>
      <c r="C7772">
        <v>10</v>
      </c>
      <c r="D7772">
        <v>1</v>
      </c>
      <c r="E7772">
        <v>15540</v>
      </c>
      <c r="F7772">
        <v>269675</v>
      </c>
      <c r="G7772">
        <v>16493.75</v>
      </c>
      <c r="H7772">
        <v>0</v>
      </c>
      <c r="I7772">
        <v>-2187.5</v>
      </c>
      <c r="J7772">
        <v>0</v>
      </c>
      <c r="K7772">
        <v>0</v>
      </c>
      <c r="L7772">
        <v>52769675</v>
      </c>
      <c r="M7772">
        <v>52786168.75</v>
      </c>
      <c r="N7772">
        <v>52769675</v>
      </c>
      <c r="O7772">
        <v>52786168.75</v>
      </c>
      <c r="P7772">
        <v>52769675</v>
      </c>
      <c r="Q7772">
        <v>52786168.75</v>
      </c>
      <c r="R7772" s="14">
        <f>_xlfn.XLOOKUP(Table2[[#This Row],[LoanID]],Table1[G-L ID],Table1[ManagerCode],-99)</f>
        <v>212</v>
      </c>
      <c r="T7772"/>
    </row>
    <row r="7773" spans="1:20" x14ac:dyDescent="0.25">
      <c r="A7773">
        <v>20181031</v>
      </c>
      <c r="B7773">
        <v>2018</v>
      </c>
      <c r="C7773">
        <v>10</v>
      </c>
      <c r="D7773">
        <v>1</v>
      </c>
      <c r="E7773">
        <v>15580</v>
      </c>
      <c r="F7773">
        <v>111933.31</v>
      </c>
      <c r="G7773">
        <v>3639.76</v>
      </c>
      <c r="H7773">
        <v>0</v>
      </c>
      <c r="I7773">
        <v>0</v>
      </c>
      <c r="J7773">
        <v>0</v>
      </c>
      <c r="K7773">
        <v>11468</v>
      </c>
      <c r="L7773">
        <v>14633011.41</v>
      </c>
      <c r="M7773">
        <v>14625183.17</v>
      </c>
      <c r="N7773">
        <v>14633011.41</v>
      </c>
      <c r="O7773">
        <v>14625183.17</v>
      </c>
      <c r="P7773">
        <v>14633011.41</v>
      </c>
      <c r="Q7773">
        <v>14625183.17</v>
      </c>
      <c r="R7773" s="14">
        <f>_xlfn.XLOOKUP(Table2[[#This Row],[LoanID]],Table1[G-L ID],Table1[ManagerCode],-99)</f>
        <v>212</v>
      </c>
      <c r="T7773"/>
    </row>
    <row r="7774" spans="1:20" x14ac:dyDescent="0.25">
      <c r="A7774">
        <v>20181031</v>
      </c>
      <c r="B7774">
        <v>2018</v>
      </c>
      <c r="C7774">
        <v>10</v>
      </c>
      <c r="D7774">
        <v>1</v>
      </c>
      <c r="E7774">
        <v>15610</v>
      </c>
      <c r="F7774">
        <v>804181.33</v>
      </c>
      <c r="G7774">
        <v>55166.23</v>
      </c>
      <c r="H7774">
        <v>0</v>
      </c>
      <c r="I7774">
        <v>-8266.67</v>
      </c>
      <c r="J7774">
        <v>0</v>
      </c>
      <c r="K7774">
        <v>0</v>
      </c>
      <c r="L7774">
        <v>199204181.30000001</v>
      </c>
      <c r="M7774">
        <v>199259347.59999999</v>
      </c>
      <c r="N7774">
        <v>199204181.30000001</v>
      </c>
      <c r="O7774">
        <v>199259347.59999999</v>
      </c>
      <c r="P7774">
        <v>199204181.30000001</v>
      </c>
      <c r="Q7774">
        <v>199259347.59999999</v>
      </c>
      <c r="R7774" s="14">
        <f>_xlfn.XLOOKUP(Table2[[#This Row],[LoanID]],Table1[G-L ID],Table1[ManagerCode],-99)</f>
        <v>212</v>
      </c>
      <c r="T7774"/>
    </row>
    <row r="7775" spans="1:20" x14ac:dyDescent="0.25">
      <c r="A7775">
        <v>20181031</v>
      </c>
      <c r="B7775">
        <v>2018</v>
      </c>
      <c r="C7775">
        <v>10</v>
      </c>
      <c r="D7775">
        <v>1</v>
      </c>
      <c r="E7775">
        <v>15620</v>
      </c>
      <c r="F7775">
        <v>324242.34999999998</v>
      </c>
      <c r="G7775">
        <v>21698.06</v>
      </c>
      <c r="H7775">
        <v>0</v>
      </c>
      <c r="I7775">
        <v>-2954.72</v>
      </c>
      <c r="J7775">
        <v>0</v>
      </c>
      <c r="K7775">
        <v>0</v>
      </c>
      <c r="L7775">
        <v>78707075.719999999</v>
      </c>
      <c r="M7775">
        <v>78728773.780000001</v>
      </c>
      <c r="N7775">
        <v>78707075.719999999</v>
      </c>
      <c r="O7775">
        <v>78728773.780000001</v>
      </c>
      <c r="P7775">
        <v>78707075.719999999</v>
      </c>
      <c r="Q7775">
        <v>78728773.780000001</v>
      </c>
      <c r="R7775" s="14">
        <f>_xlfn.XLOOKUP(Table2[[#This Row],[LoanID]],Table1[G-L ID],Table1[ManagerCode],-99)</f>
        <v>212</v>
      </c>
      <c r="T7775"/>
    </row>
    <row r="7776" spans="1:20" x14ac:dyDescent="0.25">
      <c r="A7776">
        <v>20181130</v>
      </c>
      <c r="B7776">
        <v>2018</v>
      </c>
      <c r="C7776">
        <v>11</v>
      </c>
      <c r="D7776">
        <v>1</v>
      </c>
      <c r="E7776">
        <v>10010</v>
      </c>
      <c r="F7776">
        <v>212575.02</v>
      </c>
      <c r="G7776">
        <v>0</v>
      </c>
      <c r="H7776">
        <v>0</v>
      </c>
      <c r="I7776">
        <v>0</v>
      </c>
      <c r="J7776">
        <v>0</v>
      </c>
      <c r="K7776">
        <v>29307.19</v>
      </c>
      <c r="L7776">
        <v>18419181.239999998</v>
      </c>
      <c r="M7776">
        <v>18389874.050000001</v>
      </c>
      <c r="N7776">
        <v>18419181.239999998</v>
      </c>
      <c r="O7776">
        <v>18389874.050000001</v>
      </c>
      <c r="P7776">
        <v>18419181.239999998</v>
      </c>
      <c r="Q7776">
        <v>18389874.050000001</v>
      </c>
      <c r="R7776" s="14">
        <f>_xlfn.XLOOKUP(Table2[[#This Row],[LoanID]],Table1[G-L ID],Table1[ManagerCode],-99)</f>
        <v>119</v>
      </c>
      <c r="T7776"/>
    </row>
    <row r="7777" spans="1:20" x14ac:dyDescent="0.25">
      <c r="A7777">
        <v>20181130</v>
      </c>
      <c r="B7777">
        <v>2018</v>
      </c>
      <c r="C7777">
        <v>11</v>
      </c>
      <c r="D7777">
        <v>1</v>
      </c>
      <c r="E7777">
        <v>10030</v>
      </c>
      <c r="F7777">
        <v>190045.77</v>
      </c>
      <c r="G7777">
        <v>0</v>
      </c>
      <c r="H7777">
        <v>27019.41</v>
      </c>
      <c r="I7777">
        <v>0</v>
      </c>
      <c r="J7777">
        <v>0</v>
      </c>
      <c r="K7777">
        <v>9733828.5</v>
      </c>
      <c r="L7777">
        <v>9733828.5</v>
      </c>
      <c r="M7777">
        <v>0</v>
      </c>
      <c r="N7777">
        <v>9733828.5</v>
      </c>
      <c r="O7777">
        <v>0</v>
      </c>
      <c r="P7777">
        <v>9733828.5</v>
      </c>
      <c r="Q7777">
        <v>0</v>
      </c>
      <c r="R7777" s="14">
        <f>_xlfn.XLOOKUP(Table2[[#This Row],[LoanID]],Table1[G-L ID],Table1[ManagerCode],-99)</f>
        <v>119</v>
      </c>
      <c r="T7777"/>
    </row>
    <row r="7778" spans="1:20" x14ac:dyDescent="0.25">
      <c r="A7778">
        <v>20181130</v>
      </c>
      <c r="B7778">
        <v>2018</v>
      </c>
      <c r="C7778">
        <v>11</v>
      </c>
      <c r="D7778">
        <v>1</v>
      </c>
      <c r="E7778">
        <v>10050</v>
      </c>
      <c r="F7778">
        <v>153981.01999999999</v>
      </c>
      <c r="G7778">
        <v>0</v>
      </c>
      <c r="H7778">
        <v>0</v>
      </c>
      <c r="I7778">
        <v>-69.44</v>
      </c>
      <c r="J7778">
        <v>0</v>
      </c>
      <c r="K7778">
        <v>0</v>
      </c>
      <c r="L7778">
        <v>35322154</v>
      </c>
      <c r="M7778">
        <v>35606556</v>
      </c>
      <c r="N7778">
        <v>35322154</v>
      </c>
      <c r="O7778">
        <v>35606556</v>
      </c>
      <c r="P7778">
        <v>33333334</v>
      </c>
      <c r="Q7778">
        <v>33333334</v>
      </c>
      <c r="R7778" s="14">
        <f>_xlfn.XLOOKUP(Table2[[#This Row],[LoanID]],Table1[G-L ID],Table1[ManagerCode],-99)</f>
        <v>103</v>
      </c>
      <c r="T7778"/>
    </row>
    <row r="7779" spans="1:20" x14ac:dyDescent="0.25">
      <c r="A7779">
        <v>20181130</v>
      </c>
      <c r="B7779">
        <v>2018</v>
      </c>
      <c r="C7779">
        <v>11</v>
      </c>
      <c r="D7779">
        <v>1</v>
      </c>
      <c r="E7779">
        <v>10070</v>
      </c>
      <c r="F7779">
        <v>66466.820000000007</v>
      </c>
      <c r="G7779">
        <v>0</v>
      </c>
      <c r="H7779">
        <v>0</v>
      </c>
      <c r="I7779">
        <v>0</v>
      </c>
      <c r="J7779">
        <v>0</v>
      </c>
      <c r="K7779">
        <v>0</v>
      </c>
      <c r="L7779">
        <v>5875000</v>
      </c>
      <c r="M7779">
        <v>5875000</v>
      </c>
      <c r="N7779">
        <v>5875000</v>
      </c>
      <c r="O7779">
        <v>5875000</v>
      </c>
      <c r="P7779">
        <v>5875000</v>
      </c>
      <c r="Q7779">
        <v>5875000</v>
      </c>
      <c r="R7779" s="14">
        <f>_xlfn.XLOOKUP(Table2[[#This Row],[LoanID]],Table1[G-L ID],Table1[ManagerCode],-99)</f>
        <v>119</v>
      </c>
      <c r="T7779"/>
    </row>
    <row r="7780" spans="1:20" x14ac:dyDescent="0.25">
      <c r="A7780">
        <v>20181130</v>
      </c>
      <c r="B7780">
        <v>2018</v>
      </c>
      <c r="C7780">
        <v>11</v>
      </c>
      <c r="D7780">
        <v>1</v>
      </c>
      <c r="E7780">
        <v>10220</v>
      </c>
      <c r="F7780">
        <v>1101388.8899999999</v>
      </c>
      <c r="G7780">
        <v>0</v>
      </c>
      <c r="H7780">
        <v>0</v>
      </c>
      <c r="I7780">
        <v>0</v>
      </c>
      <c r="J7780">
        <v>0</v>
      </c>
      <c r="K7780">
        <v>0</v>
      </c>
      <c r="L7780">
        <v>107816091</v>
      </c>
      <c r="M7780">
        <v>108058854</v>
      </c>
      <c r="N7780">
        <v>107816091</v>
      </c>
      <c r="O7780">
        <v>108058854</v>
      </c>
      <c r="P7780">
        <v>100000000</v>
      </c>
      <c r="Q7780">
        <v>100000000</v>
      </c>
      <c r="R7780" s="14">
        <f>_xlfn.XLOOKUP(Table2[[#This Row],[LoanID]],Table1[G-L ID],Table1[ManagerCode],-99)</f>
        <v>103</v>
      </c>
      <c r="T7780"/>
    </row>
    <row r="7781" spans="1:20" x14ac:dyDescent="0.25">
      <c r="A7781">
        <v>20181130</v>
      </c>
      <c r="B7781">
        <v>2018</v>
      </c>
      <c r="C7781">
        <v>11</v>
      </c>
      <c r="D7781">
        <v>1</v>
      </c>
      <c r="E7781">
        <v>10250</v>
      </c>
      <c r="F7781">
        <v>62619.44</v>
      </c>
      <c r="G7781">
        <v>0</v>
      </c>
      <c r="H7781">
        <v>0</v>
      </c>
      <c r="I7781">
        <v>0</v>
      </c>
      <c r="J7781">
        <v>0</v>
      </c>
      <c r="K7781">
        <v>0</v>
      </c>
      <c r="L7781">
        <v>5000000</v>
      </c>
      <c r="M7781">
        <v>5000000</v>
      </c>
      <c r="N7781">
        <v>5000000</v>
      </c>
      <c r="O7781">
        <v>5000000</v>
      </c>
      <c r="P7781">
        <v>5000000</v>
      </c>
      <c r="Q7781">
        <v>5000000</v>
      </c>
      <c r="R7781" s="14">
        <f>_xlfn.XLOOKUP(Table2[[#This Row],[LoanID]],Table1[G-L ID],Table1[ManagerCode],-99)</f>
        <v>119</v>
      </c>
      <c r="T7781"/>
    </row>
    <row r="7782" spans="1:20" x14ac:dyDescent="0.25">
      <c r="A7782">
        <v>20181130</v>
      </c>
      <c r="B7782">
        <v>2018</v>
      </c>
      <c r="C7782">
        <v>11</v>
      </c>
      <c r="D7782">
        <v>1</v>
      </c>
      <c r="E7782">
        <v>10270</v>
      </c>
      <c r="F7782">
        <v>51976.88</v>
      </c>
      <c r="G7782">
        <v>0</v>
      </c>
      <c r="H7782">
        <v>0</v>
      </c>
      <c r="I7782">
        <v>0</v>
      </c>
      <c r="J7782">
        <v>0</v>
      </c>
      <c r="K7782">
        <v>0</v>
      </c>
      <c r="L7782">
        <v>4500000</v>
      </c>
      <c r="M7782">
        <v>4500000</v>
      </c>
      <c r="N7782">
        <v>4500000</v>
      </c>
      <c r="O7782">
        <v>4500000</v>
      </c>
      <c r="P7782">
        <v>4500000</v>
      </c>
      <c r="Q7782">
        <v>4500000</v>
      </c>
      <c r="R7782" s="14">
        <f>_xlfn.XLOOKUP(Table2[[#This Row],[LoanID]],Table1[G-L ID],Table1[ManagerCode],-99)</f>
        <v>119</v>
      </c>
      <c r="T7782"/>
    </row>
    <row r="7783" spans="1:20" x14ac:dyDescent="0.25">
      <c r="A7783">
        <v>20181130</v>
      </c>
      <c r="B7783">
        <v>2018</v>
      </c>
      <c r="C7783">
        <v>11</v>
      </c>
      <c r="D7783">
        <v>1</v>
      </c>
      <c r="E7783">
        <v>10330</v>
      </c>
      <c r="F7783">
        <v>84523.05</v>
      </c>
      <c r="G7783">
        <v>0</v>
      </c>
      <c r="H7783">
        <v>0</v>
      </c>
      <c r="I7783">
        <v>0</v>
      </c>
      <c r="J7783">
        <v>0</v>
      </c>
      <c r="K7783">
        <v>0</v>
      </c>
      <c r="L7783">
        <v>8652759.6999999993</v>
      </c>
      <c r="M7783">
        <v>8652759.6999999993</v>
      </c>
      <c r="N7783">
        <v>8652759.6999999993</v>
      </c>
      <c r="O7783">
        <v>8652759.6999999993</v>
      </c>
      <c r="P7783">
        <v>8652759.6999999993</v>
      </c>
      <c r="Q7783">
        <v>8652759.6999999993</v>
      </c>
      <c r="R7783" s="14">
        <f>_xlfn.XLOOKUP(Table2[[#This Row],[LoanID]],Table1[G-L ID],Table1[ManagerCode],-99)</f>
        <v>119</v>
      </c>
      <c r="T7783"/>
    </row>
    <row r="7784" spans="1:20" x14ac:dyDescent="0.25">
      <c r="A7784">
        <v>20181130</v>
      </c>
      <c r="B7784">
        <v>2018</v>
      </c>
      <c r="C7784">
        <v>11</v>
      </c>
      <c r="D7784">
        <v>1</v>
      </c>
      <c r="E7784">
        <v>10360</v>
      </c>
      <c r="F7784">
        <v>57858.96</v>
      </c>
      <c r="G7784">
        <v>0</v>
      </c>
      <c r="H7784">
        <v>0</v>
      </c>
      <c r="I7784">
        <v>0</v>
      </c>
      <c r="J7784">
        <v>0</v>
      </c>
      <c r="K7784">
        <v>0</v>
      </c>
      <c r="L7784">
        <v>5909000</v>
      </c>
      <c r="M7784">
        <v>5909000</v>
      </c>
      <c r="N7784">
        <v>5909000</v>
      </c>
      <c r="O7784">
        <v>5909000</v>
      </c>
      <c r="P7784">
        <v>5909000</v>
      </c>
      <c r="Q7784">
        <v>5909000</v>
      </c>
      <c r="R7784" s="14">
        <f>_xlfn.XLOOKUP(Table2[[#This Row],[LoanID]],Table1[G-L ID],Table1[ManagerCode],-99)</f>
        <v>183</v>
      </c>
      <c r="T7784"/>
    </row>
    <row r="7785" spans="1:20" x14ac:dyDescent="0.25">
      <c r="A7785">
        <v>20181130</v>
      </c>
      <c r="B7785">
        <v>2018</v>
      </c>
      <c r="C7785">
        <v>11</v>
      </c>
      <c r="D7785">
        <v>1</v>
      </c>
      <c r="E7785">
        <v>10730</v>
      </c>
      <c r="F7785">
        <v>114637.29</v>
      </c>
      <c r="G7785">
        <v>0</v>
      </c>
      <c r="H7785">
        <v>0</v>
      </c>
      <c r="I7785">
        <v>0</v>
      </c>
      <c r="J7785">
        <v>0</v>
      </c>
      <c r="K7785">
        <v>0</v>
      </c>
      <c r="L7785">
        <v>9500000</v>
      </c>
      <c r="M7785">
        <v>9500000</v>
      </c>
      <c r="N7785">
        <v>9500000</v>
      </c>
      <c r="O7785">
        <v>9500000</v>
      </c>
      <c r="P7785">
        <v>9500000</v>
      </c>
      <c r="Q7785">
        <v>9500000</v>
      </c>
      <c r="R7785" s="14">
        <f>_xlfn.XLOOKUP(Table2[[#This Row],[LoanID]],Table1[G-L ID],Table1[ManagerCode],-99)</f>
        <v>119</v>
      </c>
      <c r="T7785"/>
    </row>
    <row r="7786" spans="1:20" x14ac:dyDescent="0.25">
      <c r="A7786">
        <v>20181130</v>
      </c>
      <c r="B7786">
        <v>2018</v>
      </c>
      <c r="C7786">
        <v>11</v>
      </c>
      <c r="D7786">
        <v>1</v>
      </c>
      <c r="E7786">
        <v>10750</v>
      </c>
      <c r="F7786">
        <v>391051.85</v>
      </c>
      <c r="G7786">
        <v>0</v>
      </c>
      <c r="H7786">
        <v>0</v>
      </c>
      <c r="I7786">
        <v>0</v>
      </c>
      <c r="J7786">
        <v>0</v>
      </c>
      <c r="K7786">
        <v>8757259.9600000009</v>
      </c>
      <c r="L7786">
        <v>8757259.9600000009</v>
      </c>
      <c r="M7786">
        <v>0</v>
      </c>
      <c r="N7786">
        <v>8757259.9600000009</v>
      </c>
      <c r="O7786">
        <v>0</v>
      </c>
      <c r="P7786">
        <v>8757259.9600000009</v>
      </c>
      <c r="Q7786">
        <v>0</v>
      </c>
      <c r="R7786" s="14">
        <f>_xlfn.XLOOKUP(Table2[[#This Row],[LoanID]],Table1[G-L ID],Table1[ManagerCode],-99)</f>
        <v>119</v>
      </c>
      <c r="T7786"/>
    </row>
    <row r="7787" spans="1:20" x14ac:dyDescent="0.25">
      <c r="A7787">
        <v>20181130</v>
      </c>
      <c r="B7787">
        <v>2018</v>
      </c>
      <c r="C7787">
        <v>11</v>
      </c>
      <c r="D7787">
        <v>1</v>
      </c>
      <c r="E7787">
        <v>10790</v>
      </c>
      <c r="F7787">
        <v>21216.959999999999</v>
      </c>
      <c r="G7787">
        <v>0</v>
      </c>
      <c r="H7787">
        <v>0</v>
      </c>
      <c r="I7787">
        <v>0</v>
      </c>
      <c r="J7787">
        <v>0</v>
      </c>
      <c r="K7787">
        <v>48251.29</v>
      </c>
      <c r="L7787">
        <v>4618869</v>
      </c>
      <c r="M7787">
        <v>4566161</v>
      </c>
      <c r="N7787">
        <v>4618869</v>
      </c>
      <c r="O7787">
        <v>4566161</v>
      </c>
      <c r="P7787">
        <v>4530311.28</v>
      </c>
      <c r="Q7787">
        <v>4482059.99</v>
      </c>
      <c r="R7787" s="14">
        <f>_xlfn.XLOOKUP(Table2[[#This Row],[LoanID]],Table1[G-L ID],Table1[ManagerCode],-99)</f>
        <v>103</v>
      </c>
      <c r="T7787"/>
    </row>
    <row r="7788" spans="1:20" x14ac:dyDescent="0.25">
      <c r="A7788">
        <v>20181130</v>
      </c>
      <c r="B7788">
        <v>2018</v>
      </c>
      <c r="C7788">
        <v>11</v>
      </c>
      <c r="D7788">
        <v>1</v>
      </c>
      <c r="E7788">
        <v>10810</v>
      </c>
      <c r="F7788">
        <v>99778.11</v>
      </c>
      <c r="G7788">
        <v>0</v>
      </c>
      <c r="H7788">
        <v>0</v>
      </c>
      <c r="I7788">
        <v>0</v>
      </c>
      <c r="J7788">
        <v>0</v>
      </c>
      <c r="K7788">
        <v>0</v>
      </c>
      <c r="L7788">
        <v>8046792.8399999999</v>
      </c>
      <c r="M7788">
        <v>8046792.8399999999</v>
      </c>
      <c r="N7788">
        <v>8046792.8399999999</v>
      </c>
      <c r="O7788">
        <v>8046792.8399999999</v>
      </c>
      <c r="P7788">
        <v>8046792.8399999999</v>
      </c>
      <c r="Q7788">
        <v>8046792.8399999999</v>
      </c>
      <c r="R7788" s="14">
        <f>_xlfn.XLOOKUP(Table2[[#This Row],[LoanID]],Table1[G-L ID],Table1[ManagerCode],-99)</f>
        <v>119</v>
      </c>
      <c r="T7788"/>
    </row>
    <row r="7789" spans="1:20" x14ac:dyDescent="0.25">
      <c r="A7789">
        <v>20181130</v>
      </c>
      <c r="B7789">
        <v>2018</v>
      </c>
      <c r="C7789">
        <v>11</v>
      </c>
      <c r="D7789">
        <v>1</v>
      </c>
      <c r="E7789">
        <v>10820</v>
      </c>
      <c r="F7789">
        <v>207667.92</v>
      </c>
      <c r="G7789">
        <v>0</v>
      </c>
      <c r="H7789">
        <v>0</v>
      </c>
      <c r="I7789">
        <v>0</v>
      </c>
      <c r="J7789">
        <v>-132180</v>
      </c>
      <c r="K7789">
        <v>0</v>
      </c>
      <c r="L7789">
        <v>25296011.27</v>
      </c>
      <c r="M7789">
        <v>25428191.27</v>
      </c>
      <c r="N7789">
        <v>25296011.27</v>
      </c>
      <c r="O7789">
        <v>25428191.27</v>
      </c>
      <c r="P7789">
        <v>25296011.27</v>
      </c>
      <c r="Q7789">
        <v>25428191.27</v>
      </c>
      <c r="R7789" s="14">
        <f>_xlfn.XLOOKUP(Table2[[#This Row],[LoanID]],Table1[G-L ID],Table1[ManagerCode],-99)</f>
        <v>220</v>
      </c>
      <c r="T7789"/>
    </row>
    <row r="7790" spans="1:20" x14ac:dyDescent="0.25">
      <c r="A7790">
        <v>20181130</v>
      </c>
      <c r="B7790">
        <v>2018</v>
      </c>
      <c r="C7790">
        <v>11</v>
      </c>
      <c r="D7790">
        <v>1</v>
      </c>
      <c r="E7790">
        <v>10830</v>
      </c>
      <c r="F7790">
        <v>63857.77</v>
      </c>
      <c r="G7790">
        <v>0</v>
      </c>
      <c r="H7790">
        <v>0</v>
      </c>
      <c r="I7790">
        <v>0</v>
      </c>
      <c r="J7790">
        <v>0</v>
      </c>
      <c r="K7790">
        <v>0</v>
      </c>
      <c r="L7790">
        <v>7806043.1399999997</v>
      </c>
      <c r="M7790">
        <v>7806043.1399999997</v>
      </c>
      <c r="N7790">
        <v>7806043.1399999997</v>
      </c>
      <c r="O7790">
        <v>7806043.1399999997</v>
      </c>
      <c r="P7790">
        <v>7806043.1399999997</v>
      </c>
      <c r="Q7790">
        <v>7806043.1399999997</v>
      </c>
      <c r="R7790" s="14">
        <f>_xlfn.XLOOKUP(Table2[[#This Row],[LoanID]],Table1[G-L ID],Table1[ManagerCode],-99)</f>
        <v>220</v>
      </c>
      <c r="T7790"/>
    </row>
    <row r="7791" spans="1:20" x14ac:dyDescent="0.25">
      <c r="A7791">
        <v>20181130</v>
      </c>
      <c r="B7791">
        <v>2018</v>
      </c>
      <c r="C7791">
        <v>11</v>
      </c>
      <c r="D7791">
        <v>1</v>
      </c>
      <c r="E7791">
        <v>10840</v>
      </c>
      <c r="F7791">
        <v>103968.23</v>
      </c>
      <c r="G7791">
        <v>0</v>
      </c>
      <c r="H7791">
        <v>0</v>
      </c>
      <c r="I7791">
        <v>0</v>
      </c>
      <c r="J7791">
        <v>0</v>
      </c>
      <c r="K7791">
        <v>0</v>
      </c>
      <c r="L7791">
        <v>12709189</v>
      </c>
      <c r="M7791">
        <v>12709189</v>
      </c>
      <c r="N7791">
        <v>12709189</v>
      </c>
      <c r="O7791">
        <v>12709189</v>
      </c>
      <c r="P7791">
        <v>12709189</v>
      </c>
      <c r="Q7791">
        <v>12709189</v>
      </c>
      <c r="R7791" s="14">
        <f>_xlfn.XLOOKUP(Table2[[#This Row],[LoanID]],Table1[G-L ID],Table1[ManagerCode],-99)</f>
        <v>220</v>
      </c>
      <c r="T7791"/>
    </row>
    <row r="7792" spans="1:20" x14ac:dyDescent="0.25">
      <c r="A7792">
        <v>20181130</v>
      </c>
      <c r="B7792">
        <v>2018</v>
      </c>
      <c r="C7792">
        <v>11</v>
      </c>
      <c r="D7792">
        <v>1</v>
      </c>
      <c r="E7792">
        <v>10910</v>
      </c>
      <c r="F7792">
        <v>180572.23</v>
      </c>
      <c r="G7792">
        <v>0</v>
      </c>
      <c r="H7792">
        <v>0</v>
      </c>
      <c r="I7792">
        <v>0</v>
      </c>
      <c r="J7792">
        <v>-9606421.3699999992</v>
      </c>
      <c r="K7792">
        <v>0</v>
      </c>
      <c r="L7792">
        <v>9762500</v>
      </c>
      <c r="M7792">
        <v>19368921.370000001</v>
      </c>
      <c r="N7792">
        <v>9762500</v>
      </c>
      <c r="O7792">
        <v>19368921.370000001</v>
      </c>
      <c r="P7792">
        <v>9762500</v>
      </c>
      <c r="Q7792">
        <v>19368921.370000001</v>
      </c>
      <c r="R7792" s="14">
        <f>_xlfn.XLOOKUP(Table2[[#This Row],[LoanID]],Table1[G-L ID],Table1[ManagerCode],-99)</f>
        <v>119</v>
      </c>
      <c r="T7792"/>
    </row>
    <row r="7793" spans="1:20" x14ac:dyDescent="0.25">
      <c r="A7793">
        <v>20181130</v>
      </c>
      <c r="B7793">
        <v>2018</v>
      </c>
      <c r="C7793">
        <v>11</v>
      </c>
      <c r="D7793">
        <v>1</v>
      </c>
      <c r="E7793">
        <v>10930</v>
      </c>
      <c r="F7793">
        <v>0</v>
      </c>
      <c r="G7793">
        <v>169694.43</v>
      </c>
      <c r="H7793">
        <v>0</v>
      </c>
      <c r="I7793">
        <v>0</v>
      </c>
      <c r="J7793">
        <v>0</v>
      </c>
      <c r="K7793">
        <v>0</v>
      </c>
      <c r="L7793">
        <v>15881658.08</v>
      </c>
      <c r="M7793">
        <v>16051352.51</v>
      </c>
      <c r="N7793">
        <v>15881658.08</v>
      </c>
      <c r="O7793">
        <v>16051352.51</v>
      </c>
      <c r="P7793">
        <v>15881658.08</v>
      </c>
      <c r="Q7793">
        <v>16051352.51</v>
      </c>
      <c r="R7793" s="14">
        <f>_xlfn.XLOOKUP(Table2[[#This Row],[LoanID]],Table1[G-L ID],Table1[ManagerCode],-99)</f>
        <v>183</v>
      </c>
      <c r="T7793"/>
    </row>
    <row r="7794" spans="1:20" x14ac:dyDescent="0.25">
      <c r="A7794">
        <v>20181130</v>
      </c>
      <c r="B7794">
        <v>2018</v>
      </c>
      <c r="C7794">
        <v>11</v>
      </c>
      <c r="D7794">
        <v>1</v>
      </c>
      <c r="E7794">
        <v>10970</v>
      </c>
      <c r="F7794">
        <v>27279.279999999999</v>
      </c>
      <c r="G7794">
        <v>29552.560000000001</v>
      </c>
      <c r="H7794">
        <v>0</v>
      </c>
      <c r="I7794">
        <v>0</v>
      </c>
      <c r="J7794">
        <v>-20994.19</v>
      </c>
      <c r="K7794">
        <v>0</v>
      </c>
      <c r="L7794">
        <v>5449941.9000000004</v>
      </c>
      <c r="M7794">
        <v>5500488.6500000004</v>
      </c>
      <c r="N7794">
        <v>5449941.9000000004</v>
      </c>
      <c r="O7794">
        <v>5500488.6500000004</v>
      </c>
      <c r="P7794">
        <v>5449941.9000000004</v>
      </c>
      <c r="Q7794">
        <v>5500488.6500000004</v>
      </c>
      <c r="R7794" s="14">
        <f>_xlfn.XLOOKUP(Table2[[#This Row],[LoanID]],Table1[G-L ID],Table1[ManagerCode],-99)</f>
        <v>183</v>
      </c>
      <c r="T7794"/>
    </row>
    <row r="7795" spans="1:20" x14ac:dyDescent="0.25">
      <c r="A7795">
        <v>20181130</v>
      </c>
      <c r="B7795">
        <v>2018</v>
      </c>
      <c r="C7795">
        <v>11</v>
      </c>
      <c r="D7795">
        <v>1</v>
      </c>
      <c r="E7795">
        <v>11060</v>
      </c>
      <c r="F7795">
        <v>219746.08</v>
      </c>
      <c r="G7795">
        <v>0</v>
      </c>
      <c r="H7795">
        <v>0</v>
      </c>
      <c r="I7795">
        <v>0</v>
      </c>
      <c r="J7795">
        <v>0</v>
      </c>
      <c r="K7795">
        <v>0</v>
      </c>
      <c r="L7795">
        <v>22000000</v>
      </c>
      <c r="M7795">
        <v>22000000</v>
      </c>
      <c r="N7795">
        <v>22000000</v>
      </c>
      <c r="O7795">
        <v>22000000</v>
      </c>
      <c r="P7795">
        <v>22000000</v>
      </c>
      <c r="Q7795">
        <v>22000000</v>
      </c>
      <c r="R7795" s="14">
        <f>_xlfn.XLOOKUP(Table2[[#This Row],[LoanID]],Table1[G-L ID],Table1[ManagerCode],-99)</f>
        <v>119</v>
      </c>
      <c r="T7795"/>
    </row>
    <row r="7796" spans="1:20" x14ac:dyDescent="0.25">
      <c r="A7796">
        <v>20181130</v>
      </c>
      <c r="B7796">
        <v>2018</v>
      </c>
      <c r="C7796">
        <v>11</v>
      </c>
      <c r="D7796">
        <v>1</v>
      </c>
      <c r="E7796">
        <v>11080</v>
      </c>
      <c r="F7796">
        <v>399451.62</v>
      </c>
      <c r="G7796">
        <v>0</v>
      </c>
      <c r="H7796">
        <v>0</v>
      </c>
      <c r="I7796">
        <v>0</v>
      </c>
      <c r="J7796">
        <v>0</v>
      </c>
      <c r="K7796">
        <v>61919.27</v>
      </c>
      <c r="L7796">
        <v>38575707.090000004</v>
      </c>
      <c r="M7796">
        <v>38513787.82</v>
      </c>
      <c r="N7796">
        <v>38575707.090000004</v>
      </c>
      <c r="O7796">
        <v>38513787.82</v>
      </c>
      <c r="P7796">
        <v>38575707.090000004</v>
      </c>
      <c r="Q7796">
        <v>38513787.82</v>
      </c>
      <c r="R7796" s="14">
        <f>_xlfn.XLOOKUP(Table2[[#This Row],[LoanID]],Table1[G-L ID],Table1[ManagerCode],-99)</f>
        <v>119</v>
      </c>
      <c r="T7796"/>
    </row>
    <row r="7797" spans="1:20" x14ac:dyDescent="0.25">
      <c r="A7797">
        <v>20181130</v>
      </c>
      <c r="B7797">
        <v>2018</v>
      </c>
      <c r="C7797">
        <v>11</v>
      </c>
      <c r="D7797">
        <v>1</v>
      </c>
      <c r="E7797">
        <v>11150</v>
      </c>
      <c r="F7797">
        <v>118560.12</v>
      </c>
      <c r="G7797">
        <v>0</v>
      </c>
      <c r="H7797">
        <v>0</v>
      </c>
      <c r="I7797">
        <v>0</v>
      </c>
      <c r="J7797">
        <v>0</v>
      </c>
      <c r="K7797">
        <v>1227725.6599999999</v>
      </c>
      <c r="L7797">
        <v>10990567.220000001</v>
      </c>
      <c r="M7797">
        <v>9762841.5600000005</v>
      </c>
      <c r="N7797">
        <v>10990567.220000001</v>
      </c>
      <c r="O7797">
        <v>9762841.5600000005</v>
      </c>
      <c r="P7797">
        <v>10990567.220000001</v>
      </c>
      <c r="Q7797">
        <v>9762841.5600000005</v>
      </c>
      <c r="R7797" s="14">
        <f>_xlfn.XLOOKUP(Table2[[#This Row],[LoanID]],Table1[G-L ID],Table1[ManagerCode],-99)</f>
        <v>119</v>
      </c>
      <c r="T7797"/>
    </row>
    <row r="7798" spans="1:20" x14ac:dyDescent="0.25">
      <c r="A7798">
        <v>20181130</v>
      </c>
      <c r="B7798">
        <v>2018</v>
      </c>
      <c r="C7798">
        <v>11</v>
      </c>
      <c r="D7798">
        <v>1</v>
      </c>
      <c r="E7798">
        <v>11210</v>
      </c>
      <c r="F7798">
        <v>80236.45</v>
      </c>
      <c r="G7798">
        <v>0</v>
      </c>
      <c r="H7798">
        <v>0</v>
      </c>
      <c r="I7798">
        <v>0</v>
      </c>
      <c r="J7798">
        <v>0</v>
      </c>
      <c r="K7798">
        <v>0</v>
      </c>
      <c r="L7798">
        <v>9500000</v>
      </c>
      <c r="M7798">
        <v>9500000</v>
      </c>
      <c r="N7798">
        <v>9500000</v>
      </c>
      <c r="O7798">
        <v>9500000</v>
      </c>
      <c r="P7798">
        <v>9500000</v>
      </c>
      <c r="Q7798">
        <v>9500000</v>
      </c>
      <c r="R7798" s="14">
        <f>_xlfn.XLOOKUP(Table2[[#This Row],[LoanID]],Table1[G-L ID],Table1[ManagerCode],-99)</f>
        <v>119</v>
      </c>
      <c r="T7798"/>
    </row>
    <row r="7799" spans="1:20" x14ac:dyDescent="0.25">
      <c r="A7799">
        <v>20181130</v>
      </c>
      <c r="B7799">
        <v>2018</v>
      </c>
      <c r="C7799">
        <v>11</v>
      </c>
      <c r="D7799">
        <v>1</v>
      </c>
      <c r="E7799">
        <v>11340</v>
      </c>
      <c r="F7799">
        <v>287359.64</v>
      </c>
      <c r="G7799">
        <v>0</v>
      </c>
      <c r="H7799">
        <v>0</v>
      </c>
      <c r="I7799">
        <v>0</v>
      </c>
      <c r="J7799">
        <v>0</v>
      </c>
      <c r="K7799">
        <v>69754.399999999994</v>
      </c>
      <c r="L7799">
        <v>47195840</v>
      </c>
      <c r="M7799">
        <v>51340910</v>
      </c>
      <c r="N7799">
        <v>47195840</v>
      </c>
      <c r="O7799">
        <v>51340910</v>
      </c>
      <c r="P7799">
        <v>47672566.899999999</v>
      </c>
      <c r="Q7799">
        <v>47602812.5</v>
      </c>
      <c r="R7799" s="14">
        <f>_xlfn.XLOOKUP(Table2[[#This Row],[LoanID]],Table1[G-L ID],Table1[ManagerCode],-99)</f>
        <v>103</v>
      </c>
      <c r="T7799"/>
    </row>
    <row r="7800" spans="1:20" x14ac:dyDescent="0.25">
      <c r="A7800">
        <v>20181130</v>
      </c>
      <c r="B7800">
        <v>2018</v>
      </c>
      <c r="C7800">
        <v>11</v>
      </c>
      <c r="D7800">
        <v>1</v>
      </c>
      <c r="E7800">
        <v>11360</v>
      </c>
      <c r="F7800">
        <v>80876.039999999994</v>
      </c>
      <c r="G7800">
        <v>0</v>
      </c>
      <c r="H7800">
        <v>0</v>
      </c>
      <c r="I7800">
        <v>0</v>
      </c>
      <c r="J7800">
        <v>0</v>
      </c>
      <c r="K7800">
        <v>0</v>
      </c>
      <c r="L7800">
        <v>9355036</v>
      </c>
      <c r="M7800">
        <v>9355036</v>
      </c>
      <c r="N7800">
        <v>9355036</v>
      </c>
      <c r="O7800">
        <v>9355036</v>
      </c>
      <c r="P7800">
        <v>9355036</v>
      </c>
      <c r="Q7800">
        <v>9355036</v>
      </c>
      <c r="R7800" s="14">
        <f>_xlfn.XLOOKUP(Table2[[#This Row],[LoanID]],Table1[G-L ID],Table1[ManagerCode],-99)</f>
        <v>119</v>
      </c>
      <c r="T7800"/>
    </row>
    <row r="7801" spans="1:20" x14ac:dyDescent="0.25">
      <c r="A7801">
        <v>20181130</v>
      </c>
      <c r="B7801">
        <v>2018</v>
      </c>
      <c r="C7801">
        <v>11</v>
      </c>
      <c r="D7801">
        <v>1</v>
      </c>
      <c r="E7801">
        <v>11410</v>
      </c>
      <c r="F7801">
        <v>127926.67</v>
      </c>
      <c r="G7801">
        <v>0</v>
      </c>
      <c r="H7801">
        <v>0</v>
      </c>
      <c r="I7801">
        <v>0</v>
      </c>
      <c r="J7801">
        <v>0</v>
      </c>
      <c r="K7801">
        <v>0</v>
      </c>
      <c r="L7801">
        <v>12000000</v>
      </c>
      <c r="M7801">
        <v>12000000</v>
      </c>
      <c r="N7801">
        <v>12000000</v>
      </c>
      <c r="O7801">
        <v>12000000</v>
      </c>
      <c r="P7801">
        <v>12000000</v>
      </c>
      <c r="Q7801">
        <v>12000000</v>
      </c>
      <c r="R7801" s="14">
        <f>_xlfn.XLOOKUP(Table2[[#This Row],[LoanID]],Table1[G-L ID],Table1[ManagerCode],-99)</f>
        <v>119</v>
      </c>
      <c r="T7801"/>
    </row>
    <row r="7802" spans="1:20" x14ac:dyDescent="0.25">
      <c r="A7802">
        <v>20181130</v>
      </c>
      <c r="B7802">
        <v>2018</v>
      </c>
      <c r="C7802">
        <v>11</v>
      </c>
      <c r="D7802">
        <v>1</v>
      </c>
      <c r="E7802">
        <v>11450</v>
      </c>
      <c r="F7802">
        <v>163672.15</v>
      </c>
      <c r="G7802">
        <v>0</v>
      </c>
      <c r="H7802">
        <v>0</v>
      </c>
      <c r="I7802">
        <v>0</v>
      </c>
      <c r="J7802">
        <v>0</v>
      </c>
      <c r="K7802">
        <v>0</v>
      </c>
      <c r="L7802">
        <v>16844279.710000001</v>
      </c>
      <c r="M7802">
        <v>16844279.710000001</v>
      </c>
      <c r="N7802">
        <v>16844279.710000001</v>
      </c>
      <c r="O7802">
        <v>16844279.710000001</v>
      </c>
      <c r="P7802">
        <v>16844279.710000001</v>
      </c>
      <c r="Q7802">
        <v>16844279.710000001</v>
      </c>
      <c r="R7802" s="14">
        <f>_xlfn.XLOOKUP(Table2[[#This Row],[LoanID]],Table1[G-L ID],Table1[ManagerCode],-99)</f>
        <v>119</v>
      </c>
      <c r="T7802"/>
    </row>
    <row r="7803" spans="1:20" x14ac:dyDescent="0.25">
      <c r="A7803">
        <v>20181130</v>
      </c>
      <c r="B7803">
        <v>2018</v>
      </c>
      <c r="C7803">
        <v>11</v>
      </c>
      <c r="D7803">
        <v>1</v>
      </c>
      <c r="E7803">
        <v>11520</v>
      </c>
      <c r="F7803">
        <v>63473.919999999998</v>
      </c>
      <c r="G7803">
        <v>0</v>
      </c>
      <c r="H7803">
        <v>0</v>
      </c>
      <c r="I7803">
        <v>0</v>
      </c>
      <c r="J7803">
        <v>0</v>
      </c>
      <c r="K7803">
        <v>2284311.5299999998</v>
      </c>
      <c r="L7803">
        <v>8405516.8200000003</v>
      </c>
      <c r="M7803">
        <v>6121205.29</v>
      </c>
      <c r="N7803">
        <v>8405516.8200000003</v>
      </c>
      <c r="O7803">
        <v>6121205.29</v>
      </c>
      <c r="P7803">
        <v>8405516.8200000003</v>
      </c>
      <c r="Q7803">
        <v>6121205.29</v>
      </c>
      <c r="R7803" s="14">
        <f>_xlfn.XLOOKUP(Table2[[#This Row],[LoanID]],Table1[G-L ID],Table1[ManagerCode],-99)</f>
        <v>119</v>
      </c>
      <c r="T7803"/>
    </row>
    <row r="7804" spans="1:20" x14ac:dyDescent="0.25">
      <c r="A7804">
        <v>20181130</v>
      </c>
      <c r="B7804">
        <v>2018</v>
      </c>
      <c r="C7804">
        <v>11</v>
      </c>
      <c r="D7804">
        <v>1</v>
      </c>
      <c r="E7804">
        <v>11530</v>
      </c>
      <c r="F7804">
        <v>109112.5</v>
      </c>
      <c r="G7804">
        <v>0</v>
      </c>
      <c r="H7804">
        <v>-540000</v>
      </c>
      <c r="I7804">
        <v>0</v>
      </c>
      <c r="J7804">
        <v>0</v>
      </c>
      <c r="K7804">
        <v>0</v>
      </c>
      <c r="L7804">
        <v>15000000</v>
      </c>
      <c r="M7804">
        <v>15000000</v>
      </c>
      <c r="N7804">
        <v>15000000</v>
      </c>
      <c r="O7804">
        <v>15000000</v>
      </c>
      <c r="P7804">
        <v>15000000</v>
      </c>
      <c r="Q7804">
        <v>15000000</v>
      </c>
      <c r="R7804" s="14">
        <f>_xlfn.XLOOKUP(Table2[[#This Row],[LoanID]],Table1[G-L ID],Table1[ManagerCode],-99)</f>
        <v>119</v>
      </c>
      <c r="T7804"/>
    </row>
    <row r="7805" spans="1:20" x14ac:dyDescent="0.25">
      <c r="A7805">
        <v>20181130</v>
      </c>
      <c r="B7805">
        <v>2018</v>
      </c>
      <c r="C7805">
        <v>11</v>
      </c>
      <c r="D7805">
        <v>1</v>
      </c>
      <c r="E7805">
        <v>11590</v>
      </c>
      <c r="F7805">
        <v>16694.18</v>
      </c>
      <c r="G7805">
        <v>0</v>
      </c>
      <c r="H7805">
        <v>0</v>
      </c>
      <c r="I7805">
        <v>0</v>
      </c>
      <c r="J7805">
        <v>0</v>
      </c>
      <c r="K7805">
        <v>0</v>
      </c>
      <c r="L7805">
        <v>1982289.13</v>
      </c>
      <c r="M7805">
        <v>1982289.13</v>
      </c>
      <c r="N7805">
        <v>1982289.13</v>
      </c>
      <c r="O7805">
        <v>1982289.13</v>
      </c>
      <c r="P7805">
        <v>1982289.13</v>
      </c>
      <c r="Q7805">
        <v>1982289.13</v>
      </c>
      <c r="R7805" s="14">
        <f>_xlfn.XLOOKUP(Table2[[#This Row],[LoanID]],Table1[G-L ID],Table1[ManagerCode],-99)</f>
        <v>119</v>
      </c>
      <c r="T7805"/>
    </row>
    <row r="7806" spans="1:20" x14ac:dyDescent="0.25">
      <c r="A7806">
        <v>20181130</v>
      </c>
      <c r="B7806">
        <v>2018</v>
      </c>
      <c r="C7806">
        <v>11</v>
      </c>
      <c r="D7806">
        <v>1</v>
      </c>
      <c r="E7806">
        <v>11680</v>
      </c>
      <c r="F7806">
        <v>57126.559999999998</v>
      </c>
      <c r="G7806">
        <v>0</v>
      </c>
      <c r="H7806">
        <v>0</v>
      </c>
      <c r="I7806">
        <v>0</v>
      </c>
      <c r="J7806">
        <v>0</v>
      </c>
      <c r="K7806">
        <v>0</v>
      </c>
      <c r="L7806">
        <v>6600000</v>
      </c>
      <c r="M7806">
        <v>6600000</v>
      </c>
      <c r="N7806">
        <v>6600000</v>
      </c>
      <c r="O7806">
        <v>6600000</v>
      </c>
      <c r="P7806">
        <v>6600000</v>
      </c>
      <c r="Q7806">
        <v>6600000</v>
      </c>
      <c r="R7806" s="14">
        <f>_xlfn.XLOOKUP(Table2[[#This Row],[LoanID]],Table1[G-L ID],Table1[ManagerCode],-99)</f>
        <v>183</v>
      </c>
      <c r="T7806"/>
    </row>
    <row r="7807" spans="1:20" x14ac:dyDescent="0.25">
      <c r="A7807">
        <v>20181130</v>
      </c>
      <c r="B7807">
        <v>2018</v>
      </c>
      <c r="C7807">
        <v>11</v>
      </c>
      <c r="D7807">
        <v>1</v>
      </c>
      <c r="E7807">
        <v>11830</v>
      </c>
      <c r="F7807">
        <v>118254.85</v>
      </c>
      <c r="G7807">
        <v>0</v>
      </c>
      <c r="H7807">
        <v>0</v>
      </c>
      <c r="I7807">
        <v>0</v>
      </c>
      <c r="J7807">
        <v>0</v>
      </c>
      <c r="K7807">
        <v>0</v>
      </c>
      <c r="L7807">
        <v>11023716.41</v>
      </c>
      <c r="M7807">
        <v>11023716.41</v>
      </c>
      <c r="N7807">
        <v>11023716.41</v>
      </c>
      <c r="O7807">
        <v>11023716.41</v>
      </c>
      <c r="P7807">
        <v>11023716.41</v>
      </c>
      <c r="Q7807">
        <v>11023716.41</v>
      </c>
      <c r="R7807" s="14">
        <f>_xlfn.XLOOKUP(Table2[[#This Row],[LoanID]],Table1[G-L ID],Table1[ManagerCode],-99)</f>
        <v>119</v>
      </c>
      <c r="T7807"/>
    </row>
    <row r="7808" spans="1:20" x14ac:dyDescent="0.25">
      <c r="A7808">
        <v>20181130</v>
      </c>
      <c r="B7808">
        <v>2018</v>
      </c>
      <c r="C7808">
        <v>11</v>
      </c>
      <c r="D7808">
        <v>1</v>
      </c>
      <c r="E7808">
        <v>12180</v>
      </c>
      <c r="F7808">
        <v>255961.49</v>
      </c>
      <c r="G7808">
        <v>0</v>
      </c>
      <c r="H7808">
        <v>0</v>
      </c>
      <c r="I7808">
        <v>0</v>
      </c>
      <c r="J7808">
        <v>0</v>
      </c>
      <c r="K7808">
        <v>0</v>
      </c>
      <c r="L7808">
        <v>30400000</v>
      </c>
      <c r="M7808">
        <v>30400000</v>
      </c>
      <c r="N7808">
        <v>30400000</v>
      </c>
      <c r="O7808">
        <v>30400000</v>
      </c>
      <c r="P7808">
        <v>30393210.870000001</v>
      </c>
      <c r="Q7808">
        <v>30393210.870000001</v>
      </c>
      <c r="R7808" s="14">
        <f>_xlfn.XLOOKUP(Table2[[#This Row],[LoanID]],Table1[G-L ID],Table1[ManagerCode],-99)</f>
        <v>220</v>
      </c>
      <c r="T7808"/>
    </row>
    <row r="7809" spans="1:20" x14ac:dyDescent="0.25">
      <c r="A7809">
        <v>20181130</v>
      </c>
      <c r="B7809">
        <v>2018</v>
      </c>
      <c r="C7809">
        <v>11</v>
      </c>
      <c r="D7809">
        <v>1</v>
      </c>
      <c r="E7809">
        <v>12220</v>
      </c>
      <c r="F7809">
        <v>216226.98</v>
      </c>
      <c r="G7809">
        <v>0</v>
      </c>
      <c r="H7809">
        <v>0</v>
      </c>
      <c r="I7809">
        <v>0</v>
      </c>
      <c r="J7809">
        <v>0</v>
      </c>
      <c r="K7809">
        <v>0</v>
      </c>
      <c r="L7809">
        <v>54500000</v>
      </c>
      <c r="M7809">
        <v>54500000</v>
      </c>
      <c r="N7809">
        <v>27250000</v>
      </c>
      <c r="O7809">
        <v>27250000</v>
      </c>
      <c r="P7809">
        <v>54500000</v>
      </c>
      <c r="Q7809">
        <v>54500000</v>
      </c>
      <c r="R7809" s="14">
        <f>_xlfn.XLOOKUP(Table2[[#This Row],[LoanID]],Table1[G-L ID],Table1[ManagerCode],-99)</f>
        <v>183</v>
      </c>
      <c r="T7809"/>
    </row>
    <row r="7810" spans="1:20" x14ac:dyDescent="0.25">
      <c r="A7810">
        <v>20181130</v>
      </c>
      <c r="B7810">
        <v>2018</v>
      </c>
      <c r="C7810">
        <v>11</v>
      </c>
      <c r="D7810">
        <v>1</v>
      </c>
      <c r="E7810">
        <v>12250</v>
      </c>
      <c r="F7810">
        <v>110445.42</v>
      </c>
      <c r="G7810">
        <v>0</v>
      </c>
      <c r="H7810">
        <v>0</v>
      </c>
      <c r="I7810">
        <v>0</v>
      </c>
      <c r="J7810">
        <v>0</v>
      </c>
      <c r="K7810">
        <v>1850756.78</v>
      </c>
      <c r="L7810">
        <v>13186051.119999999</v>
      </c>
      <c r="M7810">
        <v>11335294.34</v>
      </c>
      <c r="N7810">
        <v>13186051.119999999</v>
      </c>
      <c r="O7810">
        <v>11335294.34</v>
      </c>
      <c r="P7810">
        <v>13186051.119999999</v>
      </c>
      <c r="Q7810">
        <v>11335294.34</v>
      </c>
      <c r="R7810" s="14">
        <f>_xlfn.XLOOKUP(Table2[[#This Row],[LoanID]],Table1[G-L ID],Table1[ManagerCode],-99)</f>
        <v>119</v>
      </c>
      <c r="T7810"/>
    </row>
    <row r="7811" spans="1:20" x14ac:dyDescent="0.25">
      <c r="A7811">
        <v>20181130</v>
      </c>
      <c r="B7811">
        <v>2018</v>
      </c>
      <c r="C7811">
        <v>11</v>
      </c>
      <c r="D7811">
        <v>1</v>
      </c>
      <c r="E7811">
        <v>12260</v>
      </c>
      <c r="F7811">
        <v>156961.47</v>
      </c>
      <c r="G7811">
        <v>0</v>
      </c>
      <c r="H7811">
        <v>0</v>
      </c>
      <c r="I7811">
        <v>0</v>
      </c>
      <c r="J7811">
        <v>0</v>
      </c>
      <c r="K7811">
        <v>948750</v>
      </c>
      <c r="L7811">
        <v>18775604.199999999</v>
      </c>
      <c r="M7811">
        <v>17826854.199999999</v>
      </c>
      <c r="N7811">
        <v>18775604.199999999</v>
      </c>
      <c r="O7811">
        <v>17826854.199999999</v>
      </c>
      <c r="P7811">
        <v>18775604.199999999</v>
      </c>
      <c r="Q7811">
        <v>17826854.199999999</v>
      </c>
      <c r="R7811" s="14">
        <f>_xlfn.XLOOKUP(Table2[[#This Row],[LoanID]],Table1[G-L ID],Table1[ManagerCode],-99)</f>
        <v>119</v>
      </c>
      <c r="T7811"/>
    </row>
    <row r="7812" spans="1:20" x14ac:dyDescent="0.25">
      <c r="A7812">
        <v>20181130</v>
      </c>
      <c r="B7812">
        <v>2018</v>
      </c>
      <c r="C7812">
        <v>11</v>
      </c>
      <c r="D7812">
        <v>1</v>
      </c>
      <c r="E7812">
        <v>12270</v>
      </c>
      <c r="F7812">
        <v>7830.53</v>
      </c>
      <c r="G7812">
        <v>0</v>
      </c>
      <c r="H7812">
        <v>0</v>
      </c>
      <c r="I7812">
        <v>0</v>
      </c>
      <c r="J7812">
        <v>0</v>
      </c>
      <c r="K7812">
        <v>0</v>
      </c>
      <c r="L7812">
        <v>740032.81</v>
      </c>
      <c r="M7812">
        <v>740032.81</v>
      </c>
      <c r="N7812">
        <v>740032.81</v>
      </c>
      <c r="O7812">
        <v>740032.81</v>
      </c>
      <c r="P7812">
        <v>740032.81</v>
      </c>
      <c r="Q7812">
        <v>740032.81</v>
      </c>
      <c r="R7812" s="14">
        <f>_xlfn.XLOOKUP(Table2[[#This Row],[LoanID]],Table1[G-L ID],Table1[ManagerCode],-99)</f>
        <v>119</v>
      </c>
      <c r="T7812"/>
    </row>
    <row r="7813" spans="1:20" x14ac:dyDescent="0.25">
      <c r="A7813">
        <v>20181130</v>
      </c>
      <c r="B7813">
        <v>2018</v>
      </c>
      <c r="C7813">
        <v>11</v>
      </c>
      <c r="D7813">
        <v>1</v>
      </c>
      <c r="E7813">
        <v>12280</v>
      </c>
      <c r="F7813">
        <v>214814.75</v>
      </c>
      <c r="G7813">
        <v>0</v>
      </c>
      <c r="H7813">
        <v>0</v>
      </c>
      <c r="I7813">
        <v>0</v>
      </c>
      <c r="J7813">
        <v>-795442.78</v>
      </c>
      <c r="K7813">
        <v>0</v>
      </c>
      <c r="L7813">
        <v>21362602.629999999</v>
      </c>
      <c r="M7813">
        <v>22158045.41</v>
      </c>
      <c r="N7813">
        <v>21362602.629999999</v>
      </c>
      <c r="O7813">
        <v>22158045.41</v>
      </c>
      <c r="P7813">
        <v>21362602.629999999</v>
      </c>
      <c r="Q7813">
        <v>22158045.41</v>
      </c>
      <c r="R7813" s="14">
        <f>_xlfn.XLOOKUP(Table2[[#This Row],[LoanID]],Table1[G-L ID],Table1[ManagerCode],-99)</f>
        <v>119</v>
      </c>
      <c r="T7813"/>
    </row>
    <row r="7814" spans="1:20" x14ac:dyDescent="0.25">
      <c r="A7814">
        <v>20181130</v>
      </c>
      <c r="B7814">
        <v>2018</v>
      </c>
      <c r="C7814">
        <v>11</v>
      </c>
      <c r="D7814">
        <v>1</v>
      </c>
      <c r="E7814">
        <v>12290</v>
      </c>
      <c r="F7814">
        <v>203266.19</v>
      </c>
      <c r="G7814">
        <v>0</v>
      </c>
      <c r="H7814">
        <v>0</v>
      </c>
      <c r="I7814">
        <v>0</v>
      </c>
      <c r="J7814">
        <v>0</v>
      </c>
      <c r="K7814">
        <v>0</v>
      </c>
      <c r="L7814">
        <v>22750000</v>
      </c>
      <c r="M7814">
        <v>22750000</v>
      </c>
      <c r="N7814">
        <v>22750000</v>
      </c>
      <c r="O7814">
        <v>22750000</v>
      </c>
      <c r="P7814">
        <v>22750000</v>
      </c>
      <c r="Q7814">
        <v>22750000</v>
      </c>
      <c r="R7814" s="14">
        <f>_xlfn.XLOOKUP(Table2[[#This Row],[LoanID]],Table1[G-L ID],Table1[ManagerCode],-99)</f>
        <v>119</v>
      </c>
      <c r="T7814"/>
    </row>
    <row r="7815" spans="1:20" x14ac:dyDescent="0.25">
      <c r="A7815">
        <v>20181130</v>
      </c>
      <c r="B7815">
        <v>2018</v>
      </c>
      <c r="C7815">
        <v>11</v>
      </c>
      <c r="D7815">
        <v>1</v>
      </c>
      <c r="E7815">
        <v>12310</v>
      </c>
      <c r="F7815">
        <v>155296.41</v>
      </c>
      <c r="G7815">
        <v>0</v>
      </c>
      <c r="H7815">
        <v>0</v>
      </c>
      <c r="I7815">
        <v>0</v>
      </c>
      <c r="J7815">
        <v>0</v>
      </c>
      <c r="K7815">
        <v>0</v>
      </c>
      <c r="L7815">
        <v>16375000</v>
      </c>
      <c r="M7815">
        <v>16375000</v>
      </c>
      <c r="N7815">
        <v>16375000</v>
      </c>
      <c r="O7815">
        <v>16375000</v>
      </c>
      <c r="P7815">
        <v>16375000</v>
      </c>
      <c r="Q7815">
        <v>16375000</v>
      </c>
      <c r="R7815" s="14">
        <f>_xlfn.XLOOKUP(Table2[[#This Row],[LoanID]],Table1[G-L ID],Table1[ManagerCode],-99)</f>
        <v>119</v>
      </c>
      <c r="T7815"/>
    </row>
    <row r="7816" spans="1:20" x14ac:dyDescent="0.25">
      <c r="A7816">
        <v>20181130</v>
      </c>
      <c r="B7816">
        <v>2018</v>
      </c>
      <c r="C7816">
        <v>11</v>
      </c>
      <c r="D7816">
        <v>1</v>
      </c>
      <c r="E7816">
        <v>12330</v>
      </c>
      <c r="F7816">
        <v>224279.49</v>
      </c>
      <c r="G7816">
        <v>0</v>
      </c>
      <c r="H7816">
        <v>0</v>
      </c>
      <c r="I7816">
        <v>0</v>
      </c>
      <c r="J7816">
        <v>0</v>
      </c>
      <c r="K7816">
        <v>0</v>
      </c>
      <c r="L7816">
        <v>19976500</v>
      </c>
      <c r="M7816">
        <v>19976500</v>
      </c>
      <c r="N7816">
        <v>19976500</v>
      </c>
      <c r="O7816">
        <v>19976500</v>
      </c>
      <c r="P7816">
        <v>19976500</v>
      </c>
      <c r="Q7816">
        <v>19976500</v>
      </c>
      <c r="R7816" s="14">
        <f>_xlfn.XLOOKUP(Table2[[#This Row],[LoanID]],Table1[G-L ID],Table1[ManagerCode],-99)</f>
        <v>119</v>
      </c>
      <c r="T7816"/>
    </row>
    <row r="7817" spans="1:20" x14ac:dyDescent="0.25">
      <c r="A7817">
        <v>20181130</v>
      </c>
      <c r="B7817">
        <v>2018</v>
      </c>
      <c r="C7817">
        <v>11</v>
      </c>
      <c r="D7817">
        <v>1</v>
      </c>
      <c r="E7817">
        <v>12340</v>
      </c>
      <c r="F7817">
        <v>57876.27</v>
      </c>
      <c r="G7817">
        <v>0</v>
      </c>
      <c r="H7817">
        <v>0</v>
      </c>
      <c r="I7817">
        <v>0</v>
      </c>
      <c r="J7817">
        <v>0</v>
      </c>
      <c r="K7817">
        <v>0</v>
      </c>
      <c r="L7817">
        <v>24180000</v>
      </c>
      <c r="M7817">
        <v>24180000</v>
      </c>
      <c r="N7817">
        <v>12180000</v>
      </c>
      <c r="O7817">
        <v>12180000</v>
      </c>
      <c r="P7817">
        <v>24180000</v>
      </c>
      <c r="Q7817">
        <v>24180000</v>
      </c>
      <c r="R7817" s="14">
        <f>_xlfn.XLOOKUP(Table2[[#This Row],[LoanID]],Table1[G-L ID],Table1[ManagerCode],-99)</f>
        <v>183</v>
      </c>
      <c r="T7817"/>
    </row>
    <row r="7818" spans="1:20" x14ac:dyDescent="0.25">
      <c r="A7818">
        <v>20181130</v>
      </c>
      <c r="B7818">
        <v>2018</v>
      </c>
      <c r="C7818">
        <v>11</v>
      </c>
      <c r="D7818">
        <v>1</v>
      </c>
      <c r="E7818">
        <v>12350</v>
      </c>
      <c r="F7818">
        <v>180858.66</v>
      </c>
      <c r="G7818">
        <v>0</v>
      </c>
      <c r="H7818">
        <v>0</v>
      </c>
      <c r="I7818">
        <v>0</v>
      </c>
      <c r="J7818">
        <v>0</v>
      </c>
      <c r="K7818">
        <v>0</v>
      </c>
      <c r="L7818">
        <v>65113224.079999998</v>
      </c>
      <c r="M7818">
        <v>65113224.079999998</v>
      </c>
      <c r="N7818">
        <v>27613224.079999998</v>
      </c>
      <c r="O7818">
        <v>27613224.079999998</v>
      </c>
      <c r="P7818">
        <v>65113224.079999998</v>
      </c>
      <c r="Q7818">
        <v>65113224.079999998</v>
      </c>
      <c r="R7818" s="14">
        <f>_xlfn.XLOOKUP(Table2[[#This Row],[LoanID]],Table1[G-L ID],Table1[ManagerCode],-99)</f>
        <v>183</v>
      </c>
      <c r="T7818"/>
    </row>
    <row r="7819" spans="1:20" x14ac:dyDescent="0.25">
      <c r="A7819">
        <v>20181130</v>
      </c>
      <c r="B7819">
        <v>2018</v>
      </c>
      <c r="C7819">
        <v>11</v>
      </c>
      <c r="D7819">
        <v>1</v>
      </c>
      <c r="E7819">
        <v>12360</v>
      </c>
      <c r="F7819">
        <v>131934.57999999999</v>
      </c>
      <c r="G7819">
        <v>0</v>
      </c>
      <c r="H7819">
        <v>0</v>
      </c>
      <c r="I7819">
        <v>0</v>
      </c>
      <c r="J7819">
        <v>0</v>
      </c>
      <c r="K7819">
        <v>0</v>
      </c>
      <c r="L7819">
        <v>60000000</v>
      </c>
      <c r="M7819">
        <v>60000000</v>
      </c>
      <c r="N7819">
        <v>19000000</v>
      </c>
      <c r="O7819">
        <v>19000000</v>
      </c>
      <c r="P7819">
        <v>60000000</v>
      </c>
      <c r="Q7819">
        <v>60000000</v>
      </c>
      <c r="R7819" s="14">
        <f>_xlfn.XLOOKUP(Table2[[#This Row],[LoanID]],Table1[G-L ID],Table1[ManagerCode],-99)</f>
        <v>183</v>
      </c>
      <c r="T7819"/>
    </row>
    <row r="7820" spans="1:20" x14ac:dyDescent="0.25">
      <c r="A7820">
        <v>20181130</v>
      </c>
      <c r="B7820">
        <v>2018</v>
      </c>
      <c r="C7820">
        <v>11</v>
      </c>
      <c r="D7820">
        <v>1</v>
      </c>
      <c r="E7820">
        <v>12370</v>
      </c>
      <c r="F7820">
        <v>375577.67</v>
      </c>
      <c r="G7820">
        <v>0</v>
      </c>
      <c r="H7820">
        <v>0</v>
      </c>
      <c r="I7820">
        <v>0</v>
      </c>
      <c r="J7820">
        <v>0</v>
      </c>
      <c r="K7820">
        <v>0</v>
      </c>
      <c r="L7820">
        <v>104000000</v>
      </c>
      <c r="M7820">
        <v>104000000</v>
      </c>
      <c r="N7820">
        <v>44000000</v>
      </c>
      <c r="O7820">
        <v>44000000</v>
      </c>
      <c r="P7820">
        <v>104000000</v>
      </c>
      <c r="Q7820">
        <v>104000000</v>
      </c>
      <c r="R7820" s="14">
        <f>_xlfn.XLOOKUP(Table2[[#This Row],[LoanID]],Table1[G-L ID],Table1[ManagerCode],-99)</f>
        <v>183</v>
      </c>
      <c r="T7820"/>
    </row>
    <row r="7821" spans="1:20" x14ac:dyDescent="0.25">
      <c r="A7821">
        <v>20181130</v>
      </c>
      <c r="B7821">
        <v>2018</v>
      </c>
      <c r="C7821">
        <v>11</v>
      </c>
      <c r="D7821">
        <v>1</v>
      </c>
      <c r="E7821">
        <v>12380</v>
      </c>
      <c r="F7821">
        <v>92082.25</v>
      </c>
      <c r="G7821">
        <v>0</v>
      </c>
      <c r="H7821">
        <v>0</v>
      </c>
      <c r="I7821">
        <v>0</v>
      </c>
      <c r="J7821">
        <v>0</v>
      </c>
      <c r="K7821">
        <v>0</v>
      </c>
      <c r="L7821">
        <v>32500000</v>
      </c>
      <c r="M7821">
        <v>32500000</v>
      </c>
      <c r="N7821">
        <v>12350000</v>
      </c>
      <c r="O7821">
        <v>12350000</v>
      </c>
      <c r="P7821">
        <v>32500000</v>
      </c>
      <c r="Q7821">
        <v>32500000</v>
      </c>
      <c r="R7821" s="14">
        <f>_xlfn.XLOOKUP(Table2[[#This Row],[LoanID]],Table1[G-L ID],Table1[ManagerCode],-99)</f>
        <v>183</v>
      </c>
      <c r="T7821"/>
    </row>
    <row r="7822" spans="1:20" x14ac:dyDescent="0.25">
      <c r="A7822">
        <v>20181130</v>
      </c>
      <c r="B7822">
        <v>2018</v>
      </c>
      <c r="C7822">
        <v>11</v>
      </c>
      <c r="D7822">
        <v>1</v>
      </c>
      <c r="E7822">
        <v>12390</v>
      </c>
      <c r="F7822">
        <v>683750.41</v>
      </c>
      <c r="G7822">
        <v>511192.41</v>
      </c>
      <c r="H7822">
        <v>0</v>
      </c>
      <c r="I7822">
        <v>0</v>
      </c>
      <c r="J7822">
        <v>-8243608.3200000003</v>
      </c>
      <c r="K7822">
        <v>0</v>
      </c>
      <c r="L7822">
        <v>94174978.599999994</v>
      </c>
      <c r="M7822">
        <v>102929779.3</v>
      </c>
      <c r="N7822">
        <v>94174978.599999994</v>
      </c>
      <c r="O7822">
        <v>102929779.3</v>
      </c>
      <c r="P7822">
        <v>94174978.599999994</v>
      </c>
      <c r="Q7822">
        <v>102929779.3</v>
      </c>
      <c r="R7822" s="14">
        <f>_xlfn.XLOOKUP(Table2[[#This Row],[LoanID]],Table1[G-L ID],Table1[ManagerCode],-99)</f>
        <v>183</v>
      </c>
      <c r="T7822"/>
    </row>
    <row r="7823" spans="1:20" x14ac:dyDescent="0.25">
      <c r="A7823">
        <v>20181130</v>
      </c>
      <c r="B7823">
        <v>2018</v>
      </c>
      <c r="C7823">
        <v>11</v>
      </c>
      <c r="D7823">
        <v>1</v>
      </c>
      <c r="E7823">
        <v>12400</v>
      </c>
      <c r="F7823">
        <v>115875.27</v>
      </c>
      <c r="G7823">
        <v>121299.15</v>
      </c>
      <c r="H7823">
        <v>0</v>
      </c>
      <c r="I7823">
        <v>0</v>
      </c>
      <c r="J7823">
        <v>-2463721.35</v>
      </c>
      <c r="K7823">
        <v>0</v>
      </c>
      <c r="L7823">
        <v>24457298.780000001</v>
      </c>
      <c r="M7823">
        <v>27042319.280000001</v>
      </c>
      <c r="N7823">
        <v>24457298.780000001</v>
      </c>
      <c r="O7823">
        <v>27042319.280000001</v>
      </c>
      <c r="P7823">
        <v>24457298.780000001</v>
      </c>
      <c r="Q7823">
        <v>27042319.280000001</v>
      </c>
      <c r="R7823" s="14">
        <f>_xlfn.XLOOKUP(Table2[[#This Row],[LoanID]],Table1[G-L ID],Table1[ManagerCode],-99)</f>
        <v>183</v>
      </c>
      <c r="T7823"/>
    </row>
    <row r="7824" spans="1:20" x14ac:dyDescent="0.25">
      <c r="A7824">
        <v>20181130</v>
      </c>
      <c r="B7824">
        <v>2018</v>
      </c>
      <c r="C7824">
        <v>11</v>
      </c>
      <c r="D7824">
        <v>1</v>
      </c>
      <c r="E7824">
        <v>12410</v>
      </c>
      <c r="F7824">
        <v>325469.67</v>
      </c>
      <c r="G7824">
        <v>260375.73</v>
      </c>
      <c r="H7824">
        <v>0</v>
      </c>
      <c r="I7824">
        <v>0</v>
      </c>
      <c r="J7824">
        <v>0</v>
      </c>
      <c r="K7824">
        <v>0</v>
      </c>
      <c r="L7824">
        <v>74234526</v>
      </c>
      <c r="M7824">
        <v>74454440</v>
      </c>
      <c r="N7824">
        <v>74234526</v>
      </c>
      <c r="O7824">
        <v>74454440</v>
      </c>
      <c r="P7824">
        <v>79080300.819999993</v>
      </c>
      <c r="Q7824">
        <v>79340676.549999997</v>
      </c>
      <c r="R7824" s="14">
        <f>_xlfn.XLOOKUP(Table2[[#This Row],[LoanID]],Table1[G-L ID],Table1[ManagerCode],-99)</f>
        <v>103</v>
      </c>
      <c r="T7824"/>
    </row>
    <row r="7825" spans="1:20" x14ac:dyDescent="0.25">
      <c r="A7825">
        <v>20181130</v>
      </c>
      <c r="B7825">
        <v>2018</v>
      </c>
      <c r="C7825">
        <v>11</v>
      </c>
      <c r="D7825">
        <v>1</v>
      </c>
      <c r="E7825">
        <v>12430</v>
      </c>
      <c r="F7825">
        <v>83387.199999999997</v>
      </c>
      <c r="G7825">
        <v>0</v>
      </c>
      <c r="H7825">
        <v>0</v>
      </c>
      <c r="I7825">
        <v>0</v>
      </c>
      <c r="J7825">
        <v>-83387.199999999997</v>
      </c>
      <c r="K7825">
        <v>0</v>
      </c>
      <c r="L7825">
        <v>22927465</v>
      </c>
      <c r="M7825">
        <v>22985072</v>
      </c>
      <c r="N7825">
        <v>22927465</v>
      </c>
      <c r="O7825">
        <v>22985072</v>
      </c>
      <c r="P7825">
        <v>25016158.640000001</v>
      </c>
      <c r="Q7825">
        <v>25099545.84</v>
      </c>
      <c r="R7825" s="14">
        <f>_xlfn.XLOOKUP(Table2[[#This Row],[LoanID]],Table1[G-L ID],Table1[ManagerCode],-99)</f>
        <v>103</v>
      </c>
      <c r="T7825"/>
    </row>
    <row r="7826" spans="1:20" x14ac:dyDescent="0.25">
      <c r="A7826">
        <v>20181130</v>
      </c>
      <c r="B7826">
        <v>2018</v>
      </c>
      <c r="C7826">
        <v>11</v>
      </c>
      <c r="D7826">
        <v>1</v>
      </c>
      <c r="E7826">
        <v>12440</v>
      </c>
      <c r="F7826">
        <v>30550.51</v>
      </c>
      <c r="G7826">
        <v>0</v>
      </c>
      <c r="H7826">
        <v>0</v>
      </c>
      <c r="I7826">
        <v>0</v>
      </c>
      <c r="J7826">
        <v>0</v>
      </c>
      <c r="K7826">
        <v>52815.76</v>
      </c>
      <c r="L7826">
        <v>4087836</v>
      </c>
      <c r="M7826">
        <v>4033804</v>
      </c>
      <c r="N7826">
        <v>4087836</v>
      </c>
      <c r="O7826">
        <v>4033804</v>
      </c>
      <c r="P7826">
        <v>3666061.17</v>
      </c>
      <c r="Q7826">
        <v>3613245.41</v>
      </c>
      <c r="R7826" s="14">
        <f>_xlfn.XLOOKUP(Table2[[#This Row],[LoanID]],Table1[G-L ID],Table1[ManagerCode],-99)</f>
        <v>103</v>
      </c>
      <c r="T7826"/>
    </row>
    <row r="7827" spans="1:20" x14ac:dyDescent="0.25">
      <c r="A7827">
        <v>20181130</v>
      </c>
      <c r="B7827">
        <v>2018</v>
      </c>
      <c r="C7827">
        <v>11</v>
      </c>
      <c r="D7827">
        <v>1</v>
      </c>
      <c r="E7827">
        <v>12450</v>
      </c>
      <c r="F7827">
        <v>43722.81</v>
      </c>
      <c r="G7827">
        <v>35469.01</v>
      </c>
      <c r="H7827">
        <v>0</v>
      </c>
      <c r="I7827">
        <v>0</v>
      </c>
      <c r="J7827">
        <v>-809198.02</v>
      </c>
      <c r="K7827">
        <v>0</v>
      </c>
      <c r="L7827">
        <v>8156178.3499999996</v>
      </c>
      <c r="M7827">
        <v>9000845.3800000008</v>
      </c>
      <c r="N7827">
        <v>8156178.3499999996</v>
      </c>
      <c r="O7827">
        <v>9000845.3800000008</v>
      </c>
      <c r="P7827">
        <v>8156178.3499999996</v>
      </c>
      <c r="Q7827">
        <v>9000845.3800000008</v>
      </c>
      <c r="R7827" s="14">
        <f>_xlfn.XLOOKUP(Table2[[#This Row],[LoanID]],Table1[G-L ID],Table1[ManagerCode],-99)</f>
        <v>183</v>
      </c>
      <c r="T7827"/>
    </row>
    <row r="7828" spans="1:20" x14ac:dyDescent="0.25">
      <c r="A7828">
        <v>20181130</v>
      </c>
      <c r="B7828">
        <v>2018</v>
      </c>
      <c r="C7828">
        <v>11</v>
      </c>
      <c r="D7828">
        <v>1</v>
      </c>
      <c r="E7828">
        <v>12460</v>
      </c>
      <c r="F7828">
        <v>42250</v>
      </c>
      <c r="G7828">
        <v>47186.61</v>
      </c>
      <c r="H7828">
        <v>0</v>
      </c>
      <c r="I7828">
        <v>0</v>
      </c>
      <c r="J7828">
        <v>0</v>
      </c>
      <c r="K7828">
        <v>0</v>
      </c>
      <c r="L7828">
        <v>8943660.7799999993</v>
      </c>
      <c r="M7828">
        <v>8990847.3900000006</v>
      </c>
      <c r="N7828">
        <v>8943660.7799999993</v>
      </c>
      <c r="O7828">
        <v>8990847.3900000006</v>
      </c>
      <c r="P7828">
        <v>8943660.7799999993</v>
      </c>
      <c r="Q7828">
        <v>8990847.3900000006</v>
      </c>
      <c r="R7828" s="14">
        <f>_xlfn.XLOOKUP(Table2[[#This Row],[LoanID]],Table1[G-L ID],Table1[ManagerCode],-99)</f>
        <v>183</v>
      </c>
      <c r="T7828"/>
    </row>
    <row r="7829" spans="1:20" x14ac:dyDescent="0.25">
      <c r="A7829">
        <v>20181130</v>
      </c>
      <c r="B7829">
        <v>2018</v>
      </c>
      <c r="C7829">
        <v>11</v>
      </c>
      <c r="D7829">
        <v>1</v>
      </c>
      <c r="E7829">
        <v>12470</v>
      </c>
      <c r="F7829">
        <v>361368.24</v>
      </c>
      <c r="G7829">
        <v>0</v>
      </c>
      <c r="H7829">
        <v>0</v>
      </c>
      <c r="I7829">
        <v>0</v>
      </c>
      <c r="J7829">
        <v>0</v>
      </c>
      <c r="K7829">
        <v>0</v>
      </c>
      <c r="L7829">
        <v>115000000</v>
      </c>
      <c r="M7829">
        <v>115000000</v>
      </c>
      <c r="N7829">
        <v>46000000</v>
      </c>
      <c r="O7829">
        <v>46000000</v>
      </c>
      <c r="P7829">
        <v>115000000</v>
      </c>
      <c r="Q7829">
        <v>115000000</v>
      </c>
      <c r="R7829" s="14">
        <f>_xlfn.XLOOKUP(Table2[[#This Row],[LoanID]],Table1[G-L ID],Table1[ManagerCode],-99)</f>
        <v>183</v>
      </c>
      <c r="T7829"/>
    </row>
    <row r="7830" spans="1:20" x14ac:dyDescent="0.25">
      <c r="A7830">
        <v>20181130</v>
      </c>
      <c r="B7830">
        <v>2018</v>
      </c>
      <c r="C7830">
        <v>11</v>
      </c>
      <c r="D7830">
        <v>1</v>
      </c>
      <c r="E7830">
        <v>12480</v>
      </c>
      <c r="F7830">
        <v>75265.69</v>
      </c>
      <c r="G7830">
        <v>0</v>
      </c>
      <c r="H7830">
        <v>0</v>
      </c>
      <c r="I7830">
        <v>0</v>
      </c>
      <c r="J7830">
        <v>0</v>
      </c>
      <c r="K7830">
        <v>0</v>
      </c>
      <c r="L7830">
        <v>19880000</v>
      </c>
      <c r="M7830">
        <v>19880000</v>
      </c>
      <c r="N7830">
        <v>9380000</v>
      </c>
      <c r="O7830">
        <v>9380000</v>
      </c>
      <c r="P7830">
        <v>19880000</v>
      </c>
      <c r="Q7830">
        <v>19880000</v>
      </c>
      <c r="R7830" s="14">
        <f>_xlfn.XLOOKUP(Table2[[#This Row],[LoanID]],Table1[G-L ID],Table1[ManagerCode],-99)</f>
        <v>183</v>
      </c>
      <c r="T7830"/>
    </row>
    <row r="7831" spans="1:20" x14ac:dyDescent="0.25">
      <c r="A7831">
        <v>20181130</v>
      </c>
      <c r="B7831">
        <v>2018</v>
      </c>
      <c r="C7831">
        <v>11</v>
      </c>
      <c r="D7831">
        <v>1</v>
      </c>
      <c r="E7831">
        <v>12490</v>
      </c>
      <c r="F7831">
        <v>137778.25</v>
      </c>
      <c r="G7831">
        <v>0</v>
      </c>
      <c r="H7831">
        <v>0</v>
      </c>
      <c r="I7831">
        <v>0</v>
      </c>
      <c r="J7831">
        <v>0</v>
      </c>
      <c r="K7831">
        <v>0</v>
      </c>
      <c r="L7831">
        <v>50200000</v>
      </c>
      <c r="M7831">
        <v>50200000</v>
      </c>
      <c r="N7831">
        <v>19600000</v>
      </c>
      <c r="O7831">
        <v>19600000</v>
      </c>
      <c r="P7831">
        <v>50200000</v>
      </c>
      <c r="Q7831">
        <v>50200000</v>
      </c>
      <c r="R7831" s="14">
        <f>_xlfn.XLOOKUP(Table2[[#This Row],[LoanID]],Table1[G-L ID],Table1[ManagerCode],-99)</f>
        <v>183</v>
      </c>
      <c r="T7831"/>
    </row>
    <row r="7832" spans="1:20" x14ac:dyDescent="0.25">
      <c r="A7832">
        <v>20181130</v>
      </c>
      <c r="B7832">
        <v>2018</v>
      </c>
      <c r="C7832">
        <v>11</v>
      </c>
      <c r="D7832">
        <v>1</v>
      </c>
      <c r="E7832">
        <v>12510</v>
      </c>
      <c r="F7832">
        <v>320780.56</v>
      </c>
      <c r="G7832">
        <v>0</v>
      </c>
      <c r="H7832">
        <v>0</v>
      </c>
      <c r="I7832">
        <v>0</v>
      </c>
      <c r="J7832">
        <v>0</v>
      </c>
      <c r="K7832">
        <v>0</v>
      </c>
      <c r="L7832">
        <v>131500000</v>
      </c>
      <c r="M7832">
        <v>131500000</v>
      </c>
      <c r="N7832">
        <v>46025000</v>
      </c>
      <c r="O7832">
        <v>46025000</v>
      </c>
      <c r="P7832">
        <v>131500000</v>
      </c>
      <c r="Q7832">
        <v>131500000</v>
      </c>
      <c r="R7832" s="14">
        <f>_xlfn.XLOOKUP(Table2[[#This Row],[LoanID]],Table1[G-L ID],Table1[ManagerCode],-99)</f>
        <v>183</v>
      </c>
      <c r="T7832"/>
    </row>
    <row r="7833" spans="1:20" x14ac:dyDescent="0.25">
      <c r="A7833">
        <v>20181130</v>
      </c>
      <c r="B7833">
        <v>2018</v>
      </c>
      <c r="C7833">
        <v>11</v>
      </c>
      <c r="D7833">
        <v>1</v>
      </c>
      <c r="E7833">
        <v>12520</v>
      </c>
      <c r="F7833">
        <v>183461.12</v>
      </c>
      <c r="G7833">
        <v>0</v>
      </c>
      <c r="H7833">
        <v>0</v>
      </c>
      <c r="I7833">
        <v>0</v>
      </c>
      <c r="J7833">
        <v>0</v>
      </c>
      <c r="K7833">
        <v>0</v>
      </c>
      <c r="L7833">
        <v>44965366.109999999</v>
      </c>
      <c r="M7833">
        <v>44965366.109999999</v>
      </c>
      <c r="N7833">
        <v>20215366.109999999</v>
      </c>
      <c r="O7833">
        <v>20215366.109999999</v>
      </c>
      <c r="P7833">
        <v>44965366.109999999</v>
      </c>
      <c r="Q7833">
        <v>44965366.109999999</v>
      </c>
      <c r="R7833" s="14">
        <f>_xlfn.XLOOKUP(Table2[[#This Row],[LoanID]],Table1[G-L ID],Table1[ManagerCode],-99)</f>
        <v>183</v>
      </c>
      <c r="T7833"/>
    </row>
    <row r="7834" spans="1:20" x14ac:dyDescent="0.25">
      <c r="A7834">
        <v>20181130</v>
      </c>
      <c r="B7834">
        <v>2018</v>
      </c>
      <c r="C7834">
        <v>11</v>
      </c>
      <c r="D7834">
        <v>1</v>
      </c>
      <c r="E7834">
        <v>12530</v>
      </c>
      <c r="F7834">
        <v>249029.54</v>
      </c>
      <c r="G7834">
        <v>0</v>
      </c>
      <c r="H7834">
        <v>0</v>
      </c>
      <c r="I7834">
        <v>0</v>
      </c>
      <c r="J7834">
        <v>0</v>
      </c>
      <c r="K7834">
        <v>6325000</v>
      </c>
      <c r="L7834">
        <v>26200000</v>
      </c>
      <c r="M7834">
        <v>19875000</v>
      </c>
      <c r="N7834">
        <v>26200000</v>
      </c>
      <c r="O7834">
        <v>19875000</v>
      </c>
      <c r="P7834">
        <v>26200000</v>
      </c>
      <c r="Q7834">
        <v>19875000</v>
      </c>
      <c r="R7834" s="14">
        <f>_xlfn.XLOOKUP(Table2[[#This Row],[LoanID]],Table1[G-L ID],Table1[ManagerCode],-99)</f>
        <v>119</v>
      </c>
      <c r="T7834"/>
    </row>
    <row r="7835" spans="1:20" x14ac:dyDescent="0.25">
      <c r="A7835">
        <v>20181130</v>
      </c>
      <c r="B7835">
        <v>2018</v>
      </c>
      <c r="C7835">
        <v>11</v>
      </c>
      <c r="D7835">
        <v>1</v>
      </c>
      <c r="E7835">
        <v>12540</v>
      </c>
      <c r="F7835">
        <v>143909.71</v>
      </c>
      <c r="G7835">
        <v>0</v>
      </c>
      <c r="H7835">
        <v>0</v>
      </c>
      <c r="I7835">
        <v>0</v>
      </c>
      <c r="J7835">
        <v>0</v>
      </c>
      <c r="K7835">
        <v>0</v>
      </c>
      <c r="L7835">
        <v>15746480.99</v>
      </c>
      <c r="M7835">
        <v>15746480.99</v>
      </c>
      <c r="N7835">
        <v>15746480.99</v>
      </c>
      <c r="O7835">
        <v>15746480.99</v>
      </c>
      <c r="P7835">
        <v>15746480.99</v>
      </c>
      <c r="Q7835">
        <v>15746480.99</v>
      </c>
      <c r="R7835" s="14">
        <f>_xlfn.XLOOKUP(Table2[[#This Row],[LoanID]],Table1[G-L ID],Table1[ManagerCode],-99)</f>
        <v>119</v>
      </c>
      <c r="T7835"/>
    </row>
    <row r="7836" spans="1:20" x14ac:dyDescent="0.25">
      <c r="A7836">
        <v>20181130</v>
      </c>
      <c r="B7836">
        <v>2018</v>
      </c>
      <c r="C7836">
        <v>11</v>
      </c>
      <c r="D7836">
        <v>1</v>
      </c>
      <c r="E7836">
        <v>12550</v>
      </c>
      <c r="F7836">
        <v>78472.22</v>
      </c>
      <c r="G7836">
        <v>0</v>
      </c>
      <c r="H7836">
        <v>0</v>
      </c>
      <c r="I7836">
        <v>0</v>
      </c>
      <c r="J7836">
        <v>0</v>
      </c>
      <c r="K7836">
        <v>0</v>
      </c>
      <c r="L7836">
        <v>7416099.1500000004</v>
      </c>
      <c r="M7836">
        <v>7416099.1500000004</v>
      </c>
      <c r="N7836">
        <v>7416099.1500000004</v>
      </c>
      <c r="O7836">
        <v>7416099.1500000004</v>
      </c>
      <c r="P7836">
        <v>7416099.1500000004</v>
      </c>
      <c r="Q7836">
        <v>7416099.1500000004</v>
      </c>
      <c r="R7836" s="14">
        <f>_xlfn.XLOOKUP(Table2[[#This Row],[LoanID]],Table1[G-L ID],Table1[ManagerCode],-99)</f>
        <v>119</v>
      </c>
      <c r="T7836"/>
    </row>
    <row r="7837" spans="1:20" x14ac:dyDescent="0.25">
      <c r="A7837">
        <v>20181130</v>
      </c>
      <c r="B7837">
        <v>2018</v>
      </c>
      <c r="C7837">
        <v>11</v>
      </c>
      <c r="D7837">
        <v>1</v>
      </c>
      <c r="E7837">
        <v>12560</v>
      </c>
      <c r="F7837">
        <v>148436.76</v>
      </c>
      <c r="G7837">
        <v>0</v>
      </c>
      <c r="H7837">
        <v>-233378.25</v>
      </c>
      <c r="I7837">
        <v>0</v>
      </c>
      <c r="J7837">
        <v>-596011.9</v>
      </c>
      <c r="K7837">
        <v>0</v>
      </c>
      <c r="L7837">
        <v>18913740.059999999</v>
      </c>
      <c r="M7837">
        <v>19509751.960000001</v>
      </c>
      <c r="N7837">
        <v>18913740.059999999</v>
      </c>
      <c r="O7837">
        <v>19509751.960000001</v>
      </c>
      <c r="P7837">
        <v>18913740.059999999</v>
      </c>
      <c r="Q7837">
        <v>19509751.960000001</v>
      </c>
      <c r="R7837" s="14">
        <f>_xlfn.XLOOKUP(Table2[[#This Row],[LoanID]],Table1[G-L ID],Table1[ManagerCode],-99)</f>
        <v>119</v>
      </c>
      <c r="T7837"/>
    </row>
    <row r="7838" spans="1:20" x14ac:dyDescent="0.25">
      <c r="A7838">
        <v>20181130</v>
      </c>
      <c r="B7838">
        <v>2018</v>
      </c>
      <c r="C7838">
        <v>11</v>
      </c>
      <c r="D7838">
        <v>1</v>
      </c>
      <c r="E7838">
        <v>12570</v>
      </c>
      <c r="F7838">
        <v>104907.48</v>
      </c>
      <c r="G7838">
        <v>0</v>
      </c>
      <c r="H7838">
        <v>0</v>
      </c>
      <c r="I7838">
        <v>0</v>
      </c>
      <c r="J7838">
        <v>-306363.96000000002</v>
      </c>
      <c r="K7838">
        <v>0</v>
      </c>
      <c r="L7838">
        <v>10499139.470000001</v>
      </c>
      <c r="M7838">
        <v>10805503.43</v>
      </c>
      <c r="N7838">
        <v>10499139.470000001</v>
      </c>
      <c r="O7838">
        <v>10805503.43</v>
      </c>
      <c r="P7838">
        <v>10499139.470000001</v>
      </c>
      <c r="Q7838">
        <v>10805503.43</v>
      </c>
      <c r="R7838" s="14">
        <f>_xlfn.XLOOKUP(Table2[[#This Row],[LoanID]],Table1[G-L ID],Table1[ManagerCode],-99)</f>
        <v>119</v>
      </c>
      <c r="T7838"/>
    </row>
    <row r="7839" spans="1:20" x14ac:dyDescent="0.25">
      <c r="A7839">
        <v>20181130</v>
      </c>
      <c r="B7839">
        <v>2018</v>
      </c>
      <c r="C7839">
        <v>11</v>
      </c>
      <c r="D7839">
        <v>1</v>
      </c>
      <c r="E7839">
        <v>12580</v>
      </c>
      <c r="F7839">
        <v>172723.33</v>
      </c>
      <c r="G7839">
        <v>0</v>
      </c>
      <c r="H7839">
        <v>0</v>
      </c>
      <c r="I7839">
        <v>0</v>
      </c>
      <c r="J7839">
        <v>0</v>
      </c>
      <c r="K7839">
        <v>0</v>
      </c>
      <c r="L7839">
        <v>18000000</v>
      </c>
      <c r="M7839">
        <v>18000000</v>
      </c>
      <c r="N7839">
        <v>18000000</v>
      </c>
      <c r="O7839">
        <v>18000000</v>
      </c>
      <c r="P7839">
        <v>18000000</v>
      </c>
      <c r="Q7839">
        <v>18000000</v>
      </c>
      <c r="R7839" s="14">
        <f>_xlfn.XLOOKUP(Table2[[#This Row],[LoanID]],Table1[G-L ID],Table1[ManagerCode],-99)</f>
        <v>119</v>
      </c>
      <c r="T7839"/>
    </row>
    <row r="7840" spans="1:20" x14ac:dyDescent="0.25">
      <c r="A7840">
        <v>20181130</v>
      </c>
      <c r="B7840">
        <v>2018</v>
      </c>
      <c r="C7840">
        <v>11</v>
      </c>
      <c r="D7840">
        <v>1</v>
      </c>
      <c r="E7840">
        <v>12590</v>
      </c>
      <c r="F7840">
        <v>70817.78</v>
      </c>
      <c r="G7840">
        <v>0</v>
      </c>
      <c r="H7840">
        <v>0</v>
      </c>
      <c r="I7840">
        <v>0</v>
      </c>
      <c r="J7840">
        <v>0</v>
      </c>
      <c r="K7840">
        <v>0</v>
      </c>
      <c r="L7840">
        <v>8000000</v>
      </c>
      <c r="M7840">
        <v>8000000</v>
      </c>
      <c r="N7840">
        <v>8000000</v>
      </c>
      <c r="O7840">
        <v>8000000</v>
      </c>
      <c r="P7840">
        <v>8000000</v>
      </c>
      <c r="Q7840">
        <v>8000000</v>
      </c>
      <c r="R7840" s="14">
        <f>_xlfn.XLOOKUP(Table2[[#This Row],[LoanID]],Table1[G-L ID],Table1[ManagerCode],-99)</f>
        <v>119</v>
      </c>
      <c r="T7840"/>
    </row>
    <row r="7841" spans="1:20" x14ac:dyDescent="0.25">
      <c r="A7841">
        <v>20181130</v>
      </c>
      <c r="B7841">
        <v>2018</v>
      </c>
      <c r="C7841">
        <v>11</v>
      </c>
      <c r="D7841">
        <v>1</v>
      </c>
      <c r="E7841">
        <v>12600</v>
      </c>
      <c r="F7841">
        <v>252817.92000000001</v>
      </c>
      <c r="G7841">
        <v>0</v>
      </c>
      <c r="H7841">
        <v>0</v>
      </c>
      <c r="I7841">
        <v>0</v>
      </c>
      <c r="J7841">
        <v>0</v>
      </c>
      <c r="K7841">
        <v>0</v>
      </c>
      <c r="L7841">
        <v>27750000</v>
      </c>
      <c r="M7841">
        <v>27750000</v>
      </c>
      <c r="N7841">
        <v>27750000</v>
      </c>
      <c r="O7841">
        <v>27750000</v>
      </c>
      <c r="P7841">
        <v>27750000</v>
      </c>
      <c r="Q7841">
        <v>27750000</v>
      </c>
      <c r="R7841" s="14">
        <f>_xlfn.XLOOKUP(Table2[[#This Row],[LoanID]],Table1[G-L ID],Table1[ManagerCode],-99)</f>
        <v>119</v>
      </c>
      <c r="T7841"/>
    </row>
    <row r="7842" spans="1:20" x14ac:dyDescent="0.25">
      <c r="A7842">
        <v>20181130</v>
      </c>
      <c r="B7842">
        <v>2018</v>
      </c>
      <c r="C7842">
        <v>11</v>
      </c>
      <c r="D7842">
        <v>1</v>
      </c>
      <c r="E7842">
        <v>12610</v>
      </c>
      <c r="F7842">
        <v>77325.440000000002</v>
      </c>
      <c r="G7842">
        <v>0</v>
      </c>
      <c r="H7842">
        <v>0</v>
      </c>
      <c r="I7842">
        <v>0</v>
      </c>
      <c r="J7842">
        <v>0</v>
      </c>
      <c r="K7842">
        <v>550552.52</v>
      </c>
      <c r="L7842">
        <v>9609070.0199999996</v>
      </c>
      <c r="M7842">
        <v>9058517.5</v>
      </c>
      <c r="N7842">
        <v>9609070.0199999996</v>
      </c>
      <c r="O7842">
        <v>9058517.5</v>
      </c>
      <c r="P7842">
        <v>9609070.0199999996</v>
      </c>
      <c r="Q7842">
        <v>9058517.5</v>
      </c>
      <c r="R7842" s="14">
        <f>_xlfn.XLOOKUP(Table2[[#This Row],[LoanID]],Table1[G-L ID],Table1[ManagerCode],-99)</f>
        <v>119</v>
      </c>
      <c r="T7842"/>
    </row>
    <row r="7843" spans="1:20" x14ac:dyDescent="0.25">
      <c r="A7843">
        <v>20181130</v>
      </c>
      <c r="B7843">
        <v>2018</v>
      </c>
      <c r="C7843">
        <v>11</v>
      </c>
      <c r="D7843">
        <v>1</v>
      </c>
      <c r="E7843">
        <v>12620</v>
      </c>
      <c r="F7843">
        <v>13229.07</v>
      </c>
      <c r="G7843">
        <v>0</v>
      </c>
      <c r="H7843">
        <v>0</v>
      </c>
      <c r="I7843">
        <v>0</v>
      </c>
      <c r="J7843">
        <v>0</v>
      </c>
      <c r="K7843">
        <v>0</v>
      </c>
      <c r="L7843">
        <v>1338222.6100000001</v>
      </c>
      <c r="M7843">
        <v>1338222.6100000001</v>
      </c>
      <c r="N7843">
        <v>1338222.6100000001</v>
      </c>
      <c r="O7843">
        <v>1338222.6100000001</v>
      </c>
      <c r="P7843">
        <v>1338222.6100000001</v>
      </c>
      <c r="Q7843">
        <v>1338222.6100000001</v>
      </c>
      <c r="R7843" s="14">
        <f>_xlfn.XLOOKUP(Table2[[#This Row],[LoanID]],Table1[G-L ID],Table1[ManagerCode],-99)</f>
        <v>119</v>
      </c>
      <c r="T7843"/>
    </row>
    <row r="7844" spans="1:20" x14ac:dyDescent="0.25">
      <c r="A7844">
        <v>20181130</v>
      </c>
      <c r="B7844">
        <v>2018</v>
      </c>
      <c r="C7844">
        <v>11</v>
      </c>
      <c r="D7844">
        <v>1</v>
      </c>
      <c r="E7844">
        <v>12630</v>
      </c>
      <c r="F7844">
        <v>122602.51</v>
      </c>
      <c r="G7844">
        <v>0</v>
      </c>
      <c r="H7844">
        <v>0</v>
      </c>
      <c r="I7844">
        <v>0</v>
      </c>
      <c r="J7844">
        <v>0</v>
      </c>
      <c r="K7844">
        <v>0</v>
      </c>
      <c r="L7844">
        <v>13211200.35</v>
      </c>
      <c r="M7844">
        <v>13211200.35</v>
      </c>
      <c r="N7844">
        <v>13211200.35</v>
      </c>
      <c r="O7844">
        <v>13211200.35</v>
      </c>
      <c r="P7844">
        <v>13211200.35</v>
      </c>
      <c r="Q7844">
        <v>13211200.35</v>
      </c>
      <c r="R7844" s="14">
        <f>_xlfn.XLOOKUP(Table2[[#This Row],[LoanID]],Table1[G-L ID],Table1[ManagerCode],-99)</f>
        <v>119</v>
      </c>
      <c r="T7844"/>
    </row>
    <row r="7845" spans="1:20" x14ac:dyDescent="0.25">
      <c r="A7845">
        <v>20181130</v>
      </c>
      <c r="B7845">
        <v>2018</v>
      </c>
      <c r="C7845">
        <v>11</v>
      </c>
      <c r="D7845">
        <v>1</v>
      </c>
      <c r="E7845">
        <v>12640</v>
      </c>
      <c r="F7845">
        <v>100363.15</v>
      </c>
      <c r="G7845">
        <v>0</v>
      </c>
      <c r="H7845">
        <v>0</v>
      </c>
      <c r="I7845">
        <v>0</v>
      </c>
      <c r="J7845">
        <v>0</v>
      </c>
      <c r="K7845">
        <v>0</v>
      </c>
      <c r="L7845">
        <v>10945677.359999999</v>
      </c>
      <c r="M7845">
        <v>10945677.359999999</v>
      </c>
      <c r="N7845">
        <v>10945677.359999999</v>
      </c>
      <c r="O7845">
        <v>10945677.359999999</v>
      </c>
      <c r="P7845">
        <v>10945677.359999999</v>
      </c>
      <c r="Q7845">
        <v>10945677.359999999</v>
      </c>
      <c r="R7845" s="14">
        <f>_xlfn.XLOOKUP(Table2[[#This Row],[LoanID]],Table1[G-L ID],Table1[ManagerCode],-99)</f>
        <v>119</v>
      </c>
      <c r="T7845"/>
    </row>
    <row r="7846" spans="1:20" x14ac:dyDescent="0.25">
      <c r="A7846">
        <v>20181130</v>
      </c>
      <c r="B7846">
        <v>2018</v>
      </c>
      <c r="C7846">
        <v>11</v>
      </c>
      <c r="D7846">
        <v>1</v>
      </c>
      <c r="E7846">
        <v>12650</v>
      </c>
      <c r="F7846">
        <v>398442.43</v>
      </c>
      <c r="G7846">
        <v>0</v>
      </c>
      <c r="H7846">
        <v>0</v>
      </c>
      <c r="I7846">
        <v>0</v>
      </c>
      <c r="J7846">
        <v>0</v>
      </c>
      <c r="K7846">
        <v>0</v>
      </c>
      <c r="L7846">
        <v>123200000</v>
      </c>
      <c r="M7846">
        <v>123200000</v>
      </c>
      <c r="N7846">
        <v>56480000</v>
      </c>
      <c r="O7846">
        <v>56480000</v>
      </c>
      <c r="P7846">
        <v>123200000</v>
      </c>
      <c r="Q7846">
        <v>123200000</v>
      </c>
      <c r="R7846" s="14">
        <f>_xlfn.XLOOKUP(Table2[[#This Row],[LoanID]],Table1[G-L ID],Table1[ManagerCode],-99)</f>
        <v>183</v>
      </c>
      <c r="T7846"/>
    </row>
    <row r="7847" spans="1:20" x14ac:dyDescent="0.25">
      <c r="A7847">
        <v>20181130</v>
      </c>
      <c r="B7847">
        <v>2018</v>
      </c>
      <c r="C7847">
        <v>11</v>
      </c>
      <c r="D7847">
        <v>1</v>
      </c>
      <c r="E7847">
        <v>12660</v>
      </c>
      <c r="F7847">
        <v>124219.07</v>
      </c>
      <c r="G7847">
        <v>0</v>
      </c>
      <c r="H7847">
        <v>0</v>
      </c>
      <c r="I7847">
        <v>0</v>
      </c>
      <c r="J7847">
        <v>0</v>
      </c>
      <c r="K7847">
        <v>0</v>
      </c>
      <c r="L7847">
        <v>47000000</v>
      </c>
      <c r="M7847">
        <v>47000000</v>
      </c>
      <c r="N7847">
        <v>19000000</v>
      </c>
      <c r="O7847">
        <v>19000000</v>
      </c>
      <c r="P7847">
        <v>47000000</v>
      </c>
      <c r="Q7847">
        <v>47000000</v>
      </c>
      <c r="R7847" s="14">
        <f>_xlfn.XLOOKUP(Table2[[#This Row],[LoanID]],Table1[G-L ID],Table1[ManagerCode],-99)</f>
        <v>183</v>
      </c>
      <c r="T7847"/>
    </row>
    <row r="7848" spans="1:20" x14ac:dyDescent="0.25">
      <c r="A7848">
        <v>20181130</v>
      </c>
      <c r="B7848">
        <v>2018</v>
      </c>
      <c r="C7848">
        <v>11</v>
      </c>
      <c r="D7848">
        <v>1</v>
      </c>
      <c r="E7848">
        <v>12670</v>
      </c>
      <c r="F7848">
        <v>58455.93</v>
      </c>
      <c r="G7848">
        <v>0</v>
      </c>
      <c r="H7848">
        <v>0</v>
      </c>
      <c r="I7848">
        <v>0</v>
      </c>
      <c r="J7848">
        <v>0</v>
      </c>
      <c r="K7848">
        <v>0</v>
      </c>
      <c r="L7848">
        <v>15500000</v>
      </c>
      <c r="M7848">
        <v>15500000</v>
      </c>
      <c r="N7848">
        <v>7250000</v>
      </c>
      <c r="O7848">
        <v>7250000</v>
      </c>
      <c r="P7848">
        <v>15500000</v>
      </c>
      <c r="Q7848">
        <v>15500000</v>
      </c>
      <c r="R7848" s="14">
        <f>_xlfn.XLOOKUP(Table2[[#This Row],[LoanID]],Table1[G-L ID],Table1[ManagerCode],-99)</f>
        <v>183</v>
      </c>
      <c r="T7848"/>
    </row>
    <row r="7849" spans="1:20" x14ac:dyDescent="0.25">
      <c r="A7849">
        <v>20181130</v>
      </c>
      <c r="B7849">
        <v>2018</v>
      </c>
      <c r="C7849">
        <v>11</v>
      </c>
      <c r="D7849">
        <v>1</v>
      </c>
      <c r="E7849">
        <v>12680</v>
      </c>
      <c r="F7849">
        <v>154304.32000000001</v>
      </c>
      <c r="G7849">
        <v>0</v>
      </c>
      <c r="H7849">
        <v>0</v>
      </c>
      <c r="I7849">
        <v>0</v>
      </c>
      <c r="J7849">
        <v>0</v>
      </c>
      <c r="K7849">
        <v>0</v>
      </c>
      <c r="L7849">
        <v>16126000</v>
      </c>
      <c r="M7849">
        <v>16126000</v>
      </c>
      <c r="N7849">
        <v>16126000</v>
      </c>
      <c r="O7849">
        <v>16126000</v>
      </c>
      <c r="P7849">
        <v>16126000</v>
      </c>
      <c r="Q7849">
        <v>16126000</v>
      </c>
      <c r="R7849" s="14">
        <f>_xlfn.XLOOKUP(Table2[[#This Row],[LoanID]],Table1[G-L ID],Table1[ManagerCode],-99)</f>
        <v>119</v>
      </c>
      <c r="T7849"/>
    </row>
    <row r="7850" spans="1:20" x14ac:dyDescent="0.25">
      <c r="A7850">
        <v>20181130</v>
      </c>
      <c r="B7850">
        <v>2018</v>
      </c>
      <c r="C7850">
        <v>11</v>
      </c>
      <c r="D7850">
        <v>1</v>
      </c>
      <c r="E7850">
        <v>12690</v>
      </c>
      <c r="F7850">
        <v>97886.32</v>
      </c>
      <c r="G7850">
        <v>0</v>
      </c>
      <c r="H7850">
        <v>0</v>
      </c>
      <c r="I7850">
        <v>0</v>
      </c>
      <c r="J7850">
        <v>0</v>
      </c>
      <c r="K7850">
        <v>0</v>
      </c>
      <c r="L7850">
        <v>10175500</v>
      </c>
      <c r="M7850">
        <v>10175500</v>
      </c>
      <c r="N7850">
        <v>10175500</v>
      </c>
      <c r="O7850">
        <v>10175500</v>
      </c>
      <c r="P7850">
        <v>10175500</v>
      </c>
      <c r="Q7850">
        <v>10175500</v>
      </c>
      <c r="R7850" s="14">
        <f>_xlfn.XLOOKUP(Table2[[#This Row],[LoanID]],Table1[G-L ID],Table1[ManagerCode],-99)</f>
        <v>119</v>
      </c>
      <c r="T7850"/>
    </row>
    <row r="7851" spans="1:20" x14ac:dyDescent="0.25">
      <c r="A7851">
        <v>20181130</v>
      </c>
      <c r="B7851">
        <v>2018</v>
      </c>
      <c r="C7851">
        <v>11</v>
      </c>
      <c r="D7851">
        <v>1</v>
      </c>
      <c r="E7851">
        <v>12700</v>
      </c>
      <c r="F7851">
        <v>292889.93</v>
      </c>
      <c r="G7851">
        <v>0</v>
      </c>
      <c r="H7851">
        <v>0</v>
      </c>
      <c r="I7851">
        <v>0</v>
      </c>
      <c r="J7851">
        <v>0</v>
      </c>
      <c r="K7851">
        <v>13522727.27</v>
      </c>
      <c r="L7851">
        <v>25000000</v>
      </c>
      <c r="M7851">
        <v>11477272.73</v>
      </c>
      <c r="N7851">
        <v>25000000</v>
      </c>
      <c r="O7851">
        <v>11477272.73</v>
      </c>
      <c r="P7851">
        <v>25000000</v>
      </c>
      <c r="Q7851">
        <v>11477272.73</v>
      </c>
      <c r="R7851" s="14">
        <f>_xlfn.XLOOKUP(Table2[[#This Row],[LoanID]],Table1[G-L ID],Table1[ManagerCode],-99)</f>
        <v>119</v>
      </c>
      <c r="T7851"/>
    </row>
    <row r="7852" spans="1:20" x14ac:dyDescent="0.25">
      <c r="A7852">
        <v>20181130</v>
      </c>
      <c r="B7852">
        <v>2018</v>
      </c>
      <c r="C7852">
        <v>11</v>
      </c>
      <c r="D7852">
        <v>1</v>
      </c>
      <c r="E7852">
        <v>12710</v>
      </c>
      <c r="F7852">
        <v>85707.72</v>
      </c>
      <c r="G7852">
        <v>0</v>
      </c>
      <c r="H7852">
        <v>0</v>
      </c>
      <c r="I7852">
        <v>0</v>
      </c>
      <c r="J7852">
        <v>0</v>
      </c>
      <c r="K7852">
        <v>0</v>
      </c>
      <c r="L7852">
        <v>9738975</v>
      </c>
      <c r="M7852">
        <v>9738975</v>
      </c>
      <c r="N7852">
        <v>9738975</v>
      </c>
      <c r="O7852">
        <v>9738975</v>
      </c>
      <c r="P7852">
        <v>9738975</v>
      </c>
      <c r="Q7852">
        <v>9738975</v>
      </c>
      <c r="R7852" s="14">
        <f>_xlfn.XLOOKUP(Table2[[#This Row],[LoanID]],Table1[G-L ID],Table1[ManagerCode],-99)</f>
        <v>119</v>
      </c>
      <c r="T7852"/>
    </row>
    <row r="7853" spans="1:20" x14ac:dyDescent="0.25">
      <c r="A7853">
        <v>20181130</v>
      </c>
      <c r="B7853">
        <v>2018</v>
      </c>
      <c r="C7853">
        <v>11</v>
      </c>
      <c r="D7853">
        <v>1</v>
      </c>
      <c r="E7853">
        <v>12720</v>
      </c>
      <c r="F7853">
        <v>523357.02</v>
      </c>
      <c r="G7853">
        <v>0</v>
      </c>
      <c r="H7853">
        <v>0</v>
      </c>
      <c r="I7853">
        <v>0</v>
      </c>
      <c r="J7853">
        <v>-268599.18</v>
      </c>
      <c r="K7853">
        <v>0</v>
      </c>
      <c r="L7853">
        <v>192835176.59999999</v>
      </c>
      <c r="M7853">
        <v>193103775.80000001</v>
      </c>
      <c r="N7853">
        <v>90954176.599999994</v>
      </c>
      <c r="O7853">
        <v>91222775.799999997</v>
      </c>
      <c r="P7853">
        <v>192835176.59999999</v>
      </c>
      <c r="Q7853">
        <v>193103775.80000001</v>
      </c>
      <c r="R7853" s="14">
        <f>_xlfn.XLOOKUP(Table2[[#This Row],[LoanID]],Table1[G-L ID],Table1[ManagerCode],-99)</f>
        <v>183</v>
      </c>
      <c r="T7853"/>
    </row>
    <row r="7854" spans="1:20" x14ac:dyDescent="0.25">
      <c r="A7854">
        <v>20181130</v>
      </c>
      <c r="B7854">
        <v>2018</v>
      </c>
      <c r="C7854">
        <v>11</v>
      </c>
      <c r="D7854">
        <v>1</v>
      </c>
      <c r="E7854">
        <v>12730</v>
      </c>
      <c r="F7854">
        <v>80743.28</v>
      </c>
      <c r="G7854">
        <v>0</v>
      </c>
      <c r="H7854">
        <v>0</v>
      </c>
      <c r="I7854">
        <v>0</v>
      </c>
      <c r="J7854">
        <v>0</v>
      </c>
      <c r="K7854">
        <v>0</v>
      </c>
      <c r="L7854">
        <v>38460000</v>
      </c>
      <c r="M7854">
        <v>38460000</v>
      </c>
      <c r="N7854">
        <v>13460000</v>
      </c>
      <c r="O7854">
        <v>13460000</v>
      </c>
      <c r="P7854">
        <v>38460000</v>
      </c>
      <c r="Q7854">
        <v>38460000</v>
      </c>
      <c r="R7854" s="14">
        <f>_xlfn.XLOOKUP(Table2[[#This Row],[LoanID]],Table1[G-L ID],Table1[ManagerCode],-99)</f>
        <v>183</v>
      </c>
      <c r="T7854"/>
    </row>
    <row r="7855" spans="1:20" x14ac:dyDescent="0.25">
      <c r="A7855">
        <v>20181130</v>
      </c>
      <c r="B7855">
        <v>2018</v>
      </c>
      <c r="C7855">
        <v>11</v>
      </c>
      <c r="D7855">
        <v>1</v>
      </c>
      <c r="E7855">
        <v>12740</v>
      </c>
      <c r="F7855">
        <v>97129.37</v>
      </c>
      <c r="G7855">
        <v>65660.31</v>
      </c>
      <c r="H7855">
        <v>0</v>
      </c>
      <c r="I7855">
        <v>0</v>
      </c>
      <c r="J7855">
        <v>-857147.79</v>
      </c>
      <c r="K7855">
        <v>0</v>
      </c>
      <c r="L7855">
        <v>20243934.02</v>
      </c>
      <c r="M7855">
        <v>21166742.120000001</v>
      </c>
      <c r="N7855">
        <v>20243934.02</v>
      </c>
      <c r="O7855">
        <v>21166742.120000001</v>
      </c>
      <c r="P7855">
        <v>20243934.02</v>
      </c>
      <c r="Q7855">
        <v>21166742.120000001</v>
      </c>
      <c r="R7855" s="14">
        <f>_xlfn.XLOOKUP(Table2[[#This Row],[LoanID]],Table1[G-L ID],Table1[ManagerCode],-99)</f>
        <v>183</v>
      </c>
      <c r="T7855"/>
    </row>
    <row r="7856" spans="1:20" x14ac:dyDescent="0.25">
      <c r="A7856">
        <v>20181130</v>
      </c>
      <c r="B7856">
        <v>2018</v>
      </c>
      <c r="C7856">
        <v>11</v>
      </c>
      <c r="D7856">
        <v>1</v>
      </c>
      <c r="E7856">
        <v>12930</v>
      </c>
      <c r="F7856">
        <v>177010.86</v>
      </c>
      <c r="G7856">
        <v>0</v>
      </c>
      <c r="H7856">
        <v>0</v>
      </c>
      <c r="I7856">
        <v>0</v>
      </c>
      <c r="J7856">
        <v>0</v>
      </c>
      <c r="K7856">
        <v>0</v>
      </c>
      <c r="L7856">
        <v>19000000</v>
      </c>
      <c r="M7856">
        <v>19000000</v>
      </c>
      <c r="N7856">
        <v>19000000</v>
      </c>
      <c r="O7856">
        <v>19000000</v>
      </c>
      <c r="P7856">
        <v>19000000</v>
      </c>
      <c r="Q7856">
        <v>19000000</v>
      </c>
      <c r="R7856" s="14">
        <f>_xlfn.XLOOKUP(Table2[[#This Row],[LoanID]],Table1[G-L ID],Table1[ManagerCode],-99)</f>
        <v>119</v>
      </c>
      <c r="T7856"/>
    </row>
    <row r="7857" spans="1:20" x14ac:dyDescent="0.25">
      <c r="A7857">
        <v>20181130</v>
      </c>
      <c r="B7857">
        <v>2018</v>
      </c>
      <c r="C7857">
        <v>11</v>
      </c>
      <c r="D7857">
        <v>1</v>
      </c>
      <c r="E7857">
        <v>12940</v>
      </c>
      <c r="F7857">
        <v>177020.33</v>
      </c>
      <c r="G7857">
        <v>0</v>
      </c>
      <c r="H7857">
        <v>0</v>
      </c>
      <c r="I7857">
        <v>0</v>
      </c>
      <c r="J7857">
        <v>0</v>
      </c>
      <c r="K7857">
        <v>0</v>
      </c>
      <c r="L7857">
        <v>19370342.25</v>
      </c>
      <c r="M7857">
        <v>19370342.25</v>
      </c>
      <c r="N7857">
        <v>19370342.25</v>
      </c>
      <c r="O7857">
        <v>19370342.25</v>
      </c>
      <c r="P7857">
        <v>19370342.25</v>
      </c>
      <c r="Q7857">
        <v>19370342.25</v>
      </c>
      <c r="R7857" s="14">
        <f>_xlfn.XLOOKUP(Table2[[#This Row],[LoanID]],Table1[G-L ID],Table1[ManagerCode],-99)</f>
        <v>119</v>
      </c>
      <c r="T7857"/>
    </row>
    <row r="7858" spans="1:20" x14ac:dyDescent="0.25">
      <c r="A7858">
        <v>20181130</v>
      </c>
      <c r="B7858">
        <v>2018</v>
      </c>
      <c r="C7858">
        <v>11</v>
      </c>
      <c r="D7858">
        <v>1</v>
      </c>
      <c r="E7858">
        <v>12950</v>
      </c>
      <c r="F7858">
        <v>239641.86</v>
      </c>
      <c r="G7858">
        <v>0</v>
      </c>
      <c r="H7858">
        <v>0</v>
      </c>
      <c r="I7858">
        <v>0</v>
      </c>
      <c r="J7858">
        <v>0</v>
      </c>
      <c r="K7858">
        <v>0</v>
      </c>
      <c r="L7858">
        <v>26732750</v>
      </c>
      <c r="M7858">
        <v>26732750</v>
      </c>
      <c r="N7858">
        <v>26732750</v>
      </c>
      <c r="O7858">
        <v>26732750</v>
      </c>
      <c r="P7858">
        <v>26732750</v>
      </c>
      <c r="Q7858">
        <v>26732750</v>
      </c>
      <c r="R7858" s="14">
        <f>_xlfn.XLOOKUP(Table2[[#This Row],[LoanID]],Table1[G-L ID],Table1[ManagerCode],-99)</f>
        <v>119</v>
      </c>
      <c r="T7858"/>
    </row>
    <row r="7859" spans="1:20" x14ac:dyDescent="0.25">
      <c r="A7859">
        <v>20181130</v>
      </c>
      <c r="B7859">
        <v>2018</v>
      </c>
      <c r="C7859">
        <v>11</v>
      </c>
      <c r="D7859">
        <v>1</v>
      </c>
      <c r="E7859">
        <v>12960</v>
      </c>
      <c r="F7859">
        <v>72707.67</v>
      </c>
      <c r="G7859">
        <v>0</v>
      </c>
      <c r="H7859">
        <v>0</v>
      </c>
      <c r="I7859">
        <v>0</v>
      </c>
      <c r="J7859">
        <v>0</v>
      </c>
      <c r="K7859">
        <v>0</v>
      </c>
      <c r="L7859">
        <v>8850000</v>
      </c>
      <c r="M7859">
        <v>8850000</v>
      </c>
      <c r="N7859">
        <v>8850000</v>
      </c>
      <c r="O7859">
        <v>8850000</v>
      </c>
      <c r="P7859">
        <v>8850000</v>
      </c>
      <c r="Q7859">
        <v>8850000</v>
      </c>
      <c r="R7859" s="14">
        <f>_xlfn.XLOOKUP(Table2[[#This Row],[LoanID]],Table1[G-L ID],Table1[ManagerCode],-99)</f>
        <v>119</v>
      </c>
      <c r="T7859"/>
    </row>
    <row r="7860" spans="1:20" x14ac:dyDescent="0.25">
      <c r="A7860">
        <v>20181130</v>
      </c>
      <c r="B7860">
        <v>2018</v>
      </c>
      <c r="C7860">
        <v>11</v>
      </c>
      <c r="D7860">
        <v>1</v>
      </c>
      <c r="E7860">
        <v>12970</v>
      </c>
      <c r="F7860">
        <v>92689.43</v>
      </c>
      <c r="G7860">
        <v>0</v>
      </c>
      <c r="H7860">
        <v>0</v>
      </c>
      <c r="I7860">
        <v>0</v>
      </c>
      <c r="J7860">
        <v>0</v>
      </c>
      <c r="K7860">
        <v>0</v>
      </c>
      <c r="L7860">
        <v>10007439.51</v>
      </c>
      <c r="M7860">
        <v>10007439.51</v>
      </c>
      <c r="N7860">
        <v>10007439.51</v>
      </c>
      <c r="O7860">
        <v>10007439.51</v>
      </c>
      <c r="P7860">
        <v>10007439.51</v>
      </c>
      <c r="Q7860">
        <v>10007439.51</v>
      </c>
      <c r="R7860" s="14">
        <f>_xlfn.XLOOKUP(Table2[[#This Row],[LoanID]],Table1[G-L ID],Table1[ManagerCode],-99)</f>
        <v>119</v>
      </c>
      <c r="T7860"/>
    </row>
    <row r="7861" spans="1:20" x14ac:dyDescent="0.25">
      <c r="A7861">
        <v>20181130</v>
      </c>
      <c r="B7861">
        <v>2018</v>
      </c>
      <c r="C7861">
        <v>11</v>
      </c>
      <c r="D7861">
        <v>1</v>
      </c>
      <c r="E7861">
        <v>12980</v>
      </c>
      <c r="F7861">
        <v>118173.61</v>
      </c>
      <c r="G7861">
        <v>0</v>
      </c>
      <c r="H7861">
        <v>0</v>
      </c>
      <c r="I7861">
        <v>0</v>
      </c>
      <c r="J7861">
        <v>0</v>
      </c>
      <c r="K7861">
        <v>0</v>
      </c>
      <c r="L7861">
        <v>13750000</v>
      </c>
      <c r="M7861">
        <v>13750000</v>
      </c>
      <c r="N7861">
        <v>13750000</v>
      </c>
      <c r="O7861">
        <v>13750000</v>
      </c>
      <c r="P7861">
        <v>13750000</v>
      </c>
      <c r="Q7861">
        <v>13750000</v>
      </c>
      <c r="R7861" s="14">
        <f>_xlfn.XLOOKUP(Table2[[#This Row],[LoanID]],Table1[G-L ID],Table1[ManagerCode],-99)</f>
        <v>119</v>
      </c>
      <c r="T7861"/>
    </row>
    <row r="7862" spans="1:20" x14ac:dyDescent="0.25">
      <c r="A7862">
        <v>20181130</v>
      </c>
      <c r="B7862">
        <v>2018</v>
      </c>
      <c r="C7862">
        <v>11</v>
      </c>
      <c r="D7862">
        <v>1</v>
      </c>
      <c r="E7862">
        <v>12990</v>
      </c>
      <c r="F7862">
        <v>259212.08</v>
      </c>
      <c r="G7862">
        <v>0</v>
      </c>
      <c r="H7862">
        <v>0</v>
      </c>
      <c r="I7862">
        <v>0</v>
      </c>
      <c r="J7862">
        <v>0</v>
      </c>
      <c r="K7862">
        <v>0</v>
      </c>
      <c r="L7862">
        <v>29074613.27</v>
      </c>
      <c r="M7862">
        <v>29074613.27</v>
      </c>
      <c r="N7862">
        <v>29074613.27</v>
      </c>
      <c r="O7862">
        <v>29074613.27</v>
      </c>
      <c r="P7862">
        <v>29074613.27</v>
      </c>
      <c r="Q7862">
        <v>29074613.27</v>
      </c>
      <c r="R7862" s="14">
        <f>_xlfn.XLOOKUP(Table2[[#This Row],[LoanID]],Table1[G-L ID],Table1[ManagerCode],-99)</f>
        <v>119</v>
      </c>
      <c r="T7862"/>
    </row>
    <row r="7863" spans="1:20" x14ac:dyDescent="0.25">
      <c r="A7863">
        <v>20181130</v>
      </c>
      <c r="B7863">
        <v>2018</v>
      </c>
      <c r="C7863">
        <v>11</v>
      </c>
      <c r="D7863">
        <v>1</v>
      </c>
      <c r="E7863">
        <v>13000</v>
      </c>
      <c r="F7863">
        <v>133069.03</v>
      </c>
      <c r="G7863">
        <v>182969.93</v>
      </c>
      <c r="H7863">
        <v>0</v>
      </c>
      <c r="I7863">
        <v>0</v>
      </c>
      <c r="J7863">
        <v>-133069.03</v>
      </c>
      <c r="K7863">
        <v>0</v>
      </c>
      <c r="L7863">
        <v>36176574</v>
      </c>
      <c r="M7863">
        <v>36249253</v>
      </c>
      <c r="N7863">
        <v>36176574</v>
      </c>
      <c r="O7863">
        <v>36249253</v>
      </c>
      <c r="P7863">
        <v>39994779.119999997</v>
      </c>
      <c r="Q7863">
        <v>40310818.079999998</v>
      </c>
      <c r="R7863" s="14">
        <f>_xlfn.XLOOKUP(Table2[[#This Row],[LoanID]],Table1[G-L ID],Table1[ManagerCode],-99)</f>
        <v>103</v>
      </c>
      <c r="T7863"/>
    </row>
    <row r="7864" spans="1:20" x14ac:dyDescent="0.25">
      <c r="A7864">
        <v>20181130</v>
      </c>
      <c r="B7864">
        <v>2018</v>
      </c>
      <c r="C7864">
        <v>11</v>
      </c>
      <c r="D7864">
        <v>1</v>
      </c>
      <c r="E7864">
        <v>13010</v>
      </c>
      <c r="F7864">
        <v>1400000</v>
      </c>
      <c r="G7864">
        <v>0</v>
      </c>
      <c r="H7864">
        <v>0</v>
      </c>
      <c r="I7864">
        <v>0</v>
      </c>
      <c r="J7864">
        <v>0</v>
      </c>
      <c r="K7864">
        <v>0</v>
      </c>
      <c r="L7864">
        <v>198577038</v>
      </c>
      <c r="M7864">
        <v>197936895</v>
      </c>
      <c r="N7864">
        <v>198577038</v>
      </c>
      <c r="O7864">
        <v>197936895</v>
      </c>
      <c r="P7864">
        <v>210000000</v>
      </c>
      <c r="Q7864">
        <v>210000000</v>
      </c>
      <c r="R7864" s="14">
        <f>_xlfn.XLOOKUP(Table2[[#This Row],[LoanID]],Table1[G-L ID],Table1[ManagerCode],-99)</f>
        <v>103</v>
      </c>
      <c r="T7864"/>
    </row>
    <row r="7865" spans="1:20" x14ac:dyDescent="0.25">
      <c r="A7865">
        <v>20181130</v>
      </c>
      <c r="B7865">
        <v>2018</v>
      </c>
      <c r="C7865">
        <v>11</v>
      </c>
      <c r="D7865">
        <v>1</v>
      </c>
      <c r="E7865">
        <v>13020</v>
      </c>
      <c r="F7865">
        <v>205236.78</v>
      </c>
      <c r="G7865">
        <v>0</v>
      </c>
      <c r="H7865">
        <v>0</v>
      </c>
      <c r="I7865">
        <v>0</v>
      </c>
      <c r="J7865">
        <v>-205236.78</v>
      </c>
      <c r="K7865">
        <v>0</v>
      </c>
      <c r="L7865">
        <v>19861624.050000001</v>
      </c>
      <c r="M7865">
        <v>20066860.829999998</v>
      </c>
      <c r="N7865">
        <v>19861624.050000001</v>
      </c>
      <c r="O7865">
        <v>20066860.829999998</v>
      </c>
      <c r="P7865">
        <v>19861624.050000001</v>
      </c>
      <c r="Q7865">
        <v>20066860.829999998</v>
      </c>
      <c r="R7865" s="14">
        <f>_xlfn.XLOOKUP(Table2[[#This Row],[LoanID]],Table1[G-L ID],Table1[ManagerCode],-99)</f>
        <v>103</v>
      </c>
      <c r="T7865"/>
    </row>
    <row r="7866" spans="1:20" x14ac:dyDescent="0.25">
      <c r="A7866">
        <v>20181130</v>
      </c>
      <c r="B7866">
        <v>2018</v>
      </c>
      <c r="C7866">
        <v>11</v>
      </c>
      <c r="D7866">
        <v>1</v>
      </c>
      <c r="E7866">
        <v>13030</v>
      </c>
      <c r="F7866">
        <v>299343.35999999999</v>
      </c>
      <c r="G7866">
        <v>0</v>
      </c>
      <c r="H7866">
        <v>0</v>
      </c>
      <c r="I7866">
        <v>0</v>
      </c>
      <c r="J7866">
        <v>0</v>
      </c>
      <c r="K7866">
        <v>0</v>
      </c>
      <c r="L7866">
        <v>114000000</v>
      </c>
      <c r="M7866">
        <v>114000000</v>
      </c>
      <c r="N7866">
        <v>51276576</v>
      </c>
      <c r="O7866">
        <v>51276576</v>
      </c>
      <c r="P7866">
        <v>114000000</v>
      </c>
      <c r="Q7866">
        <v>114000000</v>
      </c>
      <c r="R7866" s="14">
        <f>_xlfn.XLOOKUP(Table2[[#This Row],[LoanID]],Table1[G-L ID],Table1[ManagerCode],-99)</f>
        <v>183</v>
      </c>
      <c r="T7866"/>
    </row>
    <row r="7867" spans="1:20" x14ac:dyDescent="0.25">
      <c r="A7867">
        <v>20181130</v>
      </c>
      <c r="B7867">
        <v>2018</v>
      </c>
      <c r="C7867">
        <v>11</v>
      </c>
      <c r="D7867">
        <v>1</v>
      </c>
      <c r="E7867">
        <v>13040</v>
      </c>
      <c r="F7867">
        <v>71856.570000000007</v>
      </c>
      <c r="G7867">
        <v>0</v>
      </c>
      <c r="H7867">
        <v>0</v>
      </c>
      <c r="I7867">
        <v>0</v>
      </c>
      <c r="J7867">
        <v>0</v>
      </c>
      <c r="K7867">
        <v>0</v>
      </c>
      <c r="L7867">
        <v>33862500</v>
      </c>
      <c r="M7867">
        <v>33862500</v>
      </c>
      <c r="N7867">
        <v>13690113</v>
      </c>
      <c r="O7867">
        <v>13690113</v>
      </c>
      <c r="P7867">
        <v>33862500</v>
      </c>
      <c r="Q7867">
        <v>33862500</v>
      </c>
      <c r="R7867" s="14">
        <f>_xlfn.XLOOKUP(Table2[[#This Row],[LoanID]],Table1[G-L ID],Table1[ManagerCode],-99)</f>
        <v>183</v>
      </c>
      <c r="T7867"/>
    </row>
    <row r="7868" spans="1:20" x14ac:dyDescent="0.25">
      <c r="A7868">
        <v>20181130</v>
      </c>
      <c r="B7868">
        <v>2018</v>
      </c>
      <c r="C7868">
        <v>11</v>
      </c>
      <c r="D7868">
        <v>1</v>
      </c>
      <c r="E7868">
        <v>13050</v>
      </c>
      <c r="F7868">
        <v>72370.070000000007</v>
      </c>
      <c r="G7868">
        <v>0</v>
      </c>
      <c r="H7868">
        <v>0</v>
      </c>
      <c r="I7868">
        <v>0</v>
      </c>
      <c r="J7868">
        <v>0</v>
      </c>
      <c r="K7868">
        <v>0</v>
      </c>
      <c r="L7868">
        <v>42575000</v>
      </c>
      <c r="M7868">
        <v>42575000</v>
      </c>
      <c r="N7868">
        <v>14901424</v>
      </c>
      <c r="O7868">
        <v>14901424</v>
      </c>
      <c r="P7868">
        <v>42575000</v>
      </c>
      <c r="Q7868">
        <v>42575000</v>
      </c>
      <c r="R7868" s="14">
        <f>_xlfn.XLOOKUP(Table2[[#This Row],[LoanID]],Table1[G-L ID],Table1[ManagerCode],-99)</f>
        <v>183</v>
      </c>
      <c r="T7868"/>
    </row>
    <row r="7869" spans="1:20" x14ac:dyDescent="0.25">
      <c r="A7869">
        <v>20181130</v>
      </c>
      <c r="B7869">
        <v>2018</v>
      </c>
      <c r="C7869">
        <v>11</v>
      </c>
      <c r="D7869">
        <v>1</v>
      </c>
      <c r="E7869">
        <v>13060</v>
      </c>
      <c r="F7869">
        <v>93364.11</v>
      </c>
      <c r="G7869">
        <v>0</v>
      </c>
      <c r="H7869">
        <v>0</v>
      </c>
      <c r="I7869">
        <v>0</v>
      </c>
      <c r="J7869">
        <v>0</v>
      </c>
      <c r="K7869">
        <v>0</v>
      </c>
      <c r="L7869">
        <v>42730506.350000001</v>
      </c>
      <c r="M7869">
        <v>42730506.350000001</v>
      </c>
      <c r="N7869">
        <v>17128944.350000001</v>
      </c>
      <c r="O7869">
        <v>17128944.350000001</v>
      </c>
      <c r="P7869">
        <v>42730506.350000001</v>
      </c>
      <c r="Q7869">
        <v>42730506.350000001</v>
      </c>
      <c r="R7869" s="14">
        <f>_xlfn.XLOOKUP(Table2[[#This Row],[LoanID]],Table1[G-L ID],Table1[ManagerCode],-99)</f>
        <v>183</v>
      </c>
      <c r="T7869"/>
    </row>
    <row r="7870" spans="1:20" x14ac:dyDescent="0.25">
      <c r="A7870">
        <v>20181130</v>
      </c>
      <c r="B7870">
        <v>2018</v>
      </c>
      <c r="C7870">
        <v>11</v>
      </c>
      <c r="D7870">
        <v>1</v>
      </c>
      <c r="E7870">
        <v>13070</v>
      </c>
      <c r="F7870">
        <v>313012.39</v>
      </c>
      <c r="G7870">
        <v>0</v>
      </c>
      <c r="H7870">
        <v>0</v>
      </c>
      <c r="I7870">
        <v>0</v>
      </c>
      <c r="J7870">
        <v>0</v>
      </c>
      <c r="K7870">
        <v>0</v>
      </c>
      <c r="L7870">
        <v>84000000</v>
      </c>
      <c r="M7870">
        <v>84000000</v>
      </c>
      <c r="N7870">
        <v>44000000</v>
      </c>
      <c r="O7870">
        <v>44000000</v>
      </c>
      <c r="P7870">
        <v>84000000</v>
      </c>
      <c r="Q7870">
        <v>84000000</v>
      </c>
      <c r="R7870" s="14">
        <f>_xlfn.XLOOKUP(Table2[[#This Row],[LoanID]],Table1[G-L ID],Table1[ManagerCode],-99)</f>
        <v>183</v>
      </c>
      <c r="T7870"/>
    </row>
    <row r="7871" spans="1:20" x14ac:dyDescent="0.25">
      <c r="A7871">
        <v>20181130</v>
      </c>
      <c r="B7871">
        <v>2018</v>
      </c>
      <c r="C7871">
        <v>11</v>
      </c>
      <c r="D7871">
        <v>1</v>
      </c>
      <c r="E7871">
        <v>13080</v>
      </c>
      <c r="F7871">
        <v>76041.08</v>
      </c>
      <c r="G7871">
        <v>0</v>
      </c>
      <c r="H7871">
        <v>0</v>
      </c>
      <c r="I7871">
        <v>0</v>
      </c>
      <c r="J7871">
        <v>0</v>
      </c>
      <c r="K7871">
        <v>0</v>
      </c>
      <c r="L7871">
        <v>36000000</v>
      </c>
      <c r="M7871">
        <v>36000000</v>
      </c>
      <c r="N7871">
        <v>14500000</v>
      </c>
      <c r="O7871">
        <v>14500000</v>
      </c>
      <c r="P7871">
        <v>36000000</v>
      </c>
      <c r="Q7871">
        <v>36000000</v>
      </c>
      <c r="R7871" s="14">
        <f>_xlfn.XLOOKUP(Table2[[#This Row],[LoanID]],Table1[G-L ID],Table1[ManagerCode],-99)</f>
        <v>183</v>
      </c>
      <c r="T7871"/>
    </row>
    <row r="7872" spans="1:20" x14ac:dyDescent="0.25">
      <c r="A7872">
        <v>20181130</v>
      </c>
      <c r="B7872">
        <v>2018</v>
      </c>
      <c r="C7872">
        <v>11</v>
      </c>
      <c r="D7872">
        <v>1</v>
      </c>
      <c r="E7872">
        <v>13090</v>
      </c>
      <c r="F7872">
        <v>110050</v>
      </c>
      <c r="G7872">
        <v>0</v>
      </c>
      <c r="H7872">
        <v>0</v>
      </c>
      <c r="I7872">
        <v>0</v>
      </c>
      <c r="J7872">
        <v>0</v>
      </c>
      <c r="K7872">
        <v>0</v>
      </c>
      <c r="L7872">
        <v>20000000</v>
      </c>
      <c r="M7872">
        <v>20000000</v>
      </c>
      <c r="N7872">
        <v>20000000</v>
      </c>
      <c r="O7872">
        <v>20000000</v>
      </c>
      <c r="P7872">
        <v>20000000</v>
      </c>
      <c r="Q7872">
        <v>20000000</v>
      </c>
      <c r="R7872" s="14">
        <f>_xlfn.XLOOKUP(Table2[[#This Row],[LoanID]],Table1[G-L ID],Table1[ManagerCode],-99)</f>
        <v>183</v>
      </c>
      <c r="T7872"/>
    </row>
    <row r="7873" spans="1:20" x14ac:dyDescent="0.25">
      <c r="A7873">
        <v>20181130</v>
      </c>
      <c r="B7873">
        <v>2018</v>
      </c>
      <c r="C7873">
        <v>11</v>
      </c>
      <c r="D7873">
        <v>1</v>
      </c>
      <c r="E7873">
        <v>13110</v>
      </c>
      <c r="F7873">
        <v>0</v>
      </c>
      <c r="G7873">
        <v>0</v>
      </c>
      <c r="H7873">
        <v>360000</v>
      </c>
      <c r="I7873">
        <v>0</v>
      </c>
      <c r="J7873">
        <v>-44000000</v>
      </c>
      <c r="K7873">
        <v>26276250</v>
      </c>
      <c r="L7873">
        <v>0</v>
      </c>
      <c r="M7873">
        <v>44000000</v>
      </c>
      <c r="N7873">
        <v>0</v>
      </c>
      <c r="O7873">
        <v>17723750</v>
      </c>
      <c r="P7873">
        <v>0</v>
      </c>
      <c r="Q7873">
        <v>44000000</v>
      </c>
      <c r="R7873" s="14">
        <f>_xlfn.XLOOKUP(Table2[[#This Row],[LoanID]],Table1[G-L ID],Table1[ManagerCode],-99)</f>
        <v>183</v>
      </c>
      <c r="T7873"/>
    </row>
    <row r="7874" spans="1:20" x14ac:dyDescent="0.25">
      <c r="A7874">
        <v>20181130</v>
      </c>
      <c r="B7874">
        <v>2018</v>
      </c>
      <c r="C7874">
        <v>11</v>
      </c>
      <c r="D7874">
        <v>1</v>
      </c>
      <c r="E7874">
        <v>13120</v>
      </c>
      <c r="F7874">
        <v>17355.36</v>
      </c>
      <c r="G7874">
        <v>0</v>
      </c>
      <c r="H7874">
        <v>205200</v>
      </c>
      <c r="I7874">
        <v>0</v>
      </c>
      <c r="J7874">
        <v>-27360000</v>
      </c>
      <c r="K7874">
        <v>17784000</v>
      </c>
      <c r="L7874">
        <v>0</v>
      </c>
      <c r="M7874">
        <v>27360000</v>
      </c>
      <c r="N7874">
        <v>0</v>
      </c>
      <c r="O7874">
        <v>9576000</v>
      </c>
      <c r="P7874">
        <v>0</v>
      </c>
      <c r="Q7874">
        <v>27360000</v>
      </c>
      <c r="R7874" s="14">
        <f>_xlfn.XLOOKUP(Table2[[#This Row],[LoanID]],Table1[G-L ID],Table1[ManagerCode],-99)</f>
        <v>183</v>
      </c>
      <c r="T7874"/>
    </row>
    <row r="7875" spans="1:20" x14ac:dyDescent="0.25">
      <c r="A7875">
        <v>20181130</v>
      </c>
      <c r="B7875">
        <v>2018</v>
      </c>
      <c r="C7875">
        <v>11</v>
      </c>
      <c r="D7875">
        <v>1</v>
      </c>
      <c r="E7875">
        <v>13130</v>
      </c>
      <c r="F7875">
        <v>-70476.31</v>
      </c>
      <c r="G7875">
        <v>0</v>
      </c>
      <c r="H7875">
        <v>1098000</v>
      </c>
      <c r="I7875">
        <v>0</v>
      </c>
      <c r="J7875">
        <v>-190400000</v>
      </c>
      <c r="K7875">
        <v>100000000</v>
      </c>
      <c r="L7875">
        <v>0</v>
      </c>
      <c r="M7875">
        <v>190400000</v>
      </c>
      <c r="N7875">
        <v>0</v>
      </c>
      <c r="O7875">
        <v>90400000</v>
      </c>
      <c r="P7875">
        <v>0</v>
      </c>
      <c r="Q7875">
        <v>190400000</v>
      </c>
      <c r="R7875" s="14">
        <f>_xlfn.XLOOKUP(Table2[[#This Row],[LoanID]],Table1[G-L ID],Table1[ManagerCode],-99)</f>
        <v>183</v>
      </c>
      <c r="T7875"/>
    </row>
    <row r="7876" spans="1:20" x14ac:dyDescent="0.25">
      <c r="A7876">
        <v>20181130</v>
      </c>
      <c r="B7876">
        <v>2018</v>
      </c>
      <c r="C7876">
        <v>11</v>
      </c>
      <c r="D7876">
        <v>1</v>
      </c>
      <c r="E7876">
        <v>13140</v>
      </c>
      <c r="F7876">
        <v>0</v>
      </c>
      <c r="G7876">
        <v>0</v>
      </c>
      <c r="H7876">
        <v>0</v>
      </c>
      <c r="I7876">
        <v>0</v>
      </c>
      <c r="J7876">
        <v>-20720000</v>
      </c>
      <c r="K7876">
        <v>0</v>
      </c>
      <c r="L7876">
        <v>0</v>
      </c>
      <c r="M7876">
        <v>20720000</v>
      </c>
      <c r="N7876">
        <v>0</v>
      </c>
      <c r="O7876">
        <v>20720000</v>
      </c>
      <c r="P7876">
        <v>0</v>
      </c>
      <c r="Q7876">
        <v>20720000</v>
      </c>
      <c r="R7876" s="14">
        <f>_xlfn.XLOOKUP(Table2[[#This Row],[LoanID]],Table1[G-L ID],Table1[ManagerCode],-99)</f>
        <v>183</v>
      </c>
      <c r="T7876"/>
    </row>
    <row r="7877" spans="1:20" x14ac:dyDescent="0.25">
      <c r="A7877">
        <v>20181130</v>
      </c>
      <c r="B7877">
        <v>2018</v>
      </c>
      <c r="C7877">
        <v>11</v>
      </c>
      <c r="D7877">
        <v>1</v>
      </c>
      <c r="E7877">
        <v>13180</v>
      </c>
      <c r="F7877">
        <v>0</v>
      </c>
      <c r="G7877">
        <v>0</v>
      </c>
      <c r="H7877">
        <v>298350</v>
      </c>
      <c r="I7877">
        <v>0</v>
      </c>
      <c r="J7877">
        <v>-39780000</v>
      </c>
      <c r="K7877">
        <v>23850000</v>
      </c>
      <c r="L7877">
        <v>0</v>
      </c>
      <c r="M7877">
        <v>39780000</v>
      </c>
      <c r="N7877">
        <v>0</v>
      </c>
      <c r="O7877">
        <v>15930000</v>
      </c>
      <c r="P7877">
        <v>0</v>
      </c>
      <c r="Q7877">
        <v>39780000</v>
      </c>
      <c r="R7877" s="14">
        <f>_xlfn.XLOOKUP(Table2[[#This Row],[LoanID]],Table1[G-L ID],Table1[ManagerCode],-99)</f>
        <v>183</v>
      </c>
      <c r="T7877"/>
    </row>
    <row r="7878" spans="1:20" x14ac:dyDescent="0.25">
      <c r="A7878">
        <v>20181130</v>
      </c>
      <c r="B7878">
        <v>2018</v>
      </c>
      <c r="C7878">
        <v>11</v>
      </c>
      <c r="D7878">
        <v>1</v>
      </c>
      <c r="E7878">
        <v>13190</v>
      </c>
      <c r="F7878">
        <v>0</v>
      </c>
      <c r="G7878">
        <v>0</v>
      </c>
      <c r="H7878">
        <v>279000</v>
      </c>
      <c r="I7878">
        <v>0</v>
      </c>
      <c r="J7878">
        <v>-8324418</v>
      </c>
      <c r="K7878">
        <v>0</v>
      </c>
      <c r="L7878">
        <v>0</v>
      </c>
      <c r="M7878">
        <v>8324418</v>
      </c>
      <c r="N7878">
        <v>0</v>
      </c>
      <c r="O7878">
        <v>8324418</v>
      </c>
      <c r="P7878">
        <v>0</v>
      </c>
      <c r="Q7878">
        <v>8324418</v>
      </c>
      <c r="R7878" s="14">
        <f>_xlfn.XLOOKUP(Table2[[#This Row],[LoanID]],Table1[G-L ID],Table1[ManagerCode],-99)</f>
        <v>183</v>
      </c>
      <c r="T7878"/>
    </row>
    <row r="7879" spans="1:20" x14ac:dyDescent="0.25">
      <c r="A7879">
        <v>20181130</v>
      </c>
      <c r="B7879">
        <v>2018</v>
      </c>
      <c r="C7879">
        <v>11</v>
      </c>
      <c r="D7879">
        <v>1</v>
      </c>
      <c r="E7879">
        <v>13210</v>
      </c>
      <c r="F7879">
        <v>0</v>
      </c>
      <c r="G7879">
        <v>25365.61</v>
      </c>
      <c r="H7879">
        <v>181591.29</v>
      </c>
      <c r="I7879">
        <v>0</v>
      </c>
      <c r="J7879">
        <v>-5853603</v>
      </c>
      <c r="K7879">
        <v>0</v>
      </c>
      <c r="L7879">
        <v>0</v>
      </c>
      <c r="M7879">
        <v>5878968.6100000003</v>
      </c>
      <c r="N7879">
        <v>0</v>
      </c>
      <c r="O7879">
        <v>5878968.6100000003</v>
      </c>
      <c r="P7879">
        <v>0</v>
      </c>
      <c r="Q7879">
        <v>5878968.6100000003</v>
      </c>
      <c r="R7879" s="14">
        <f>_xlfn.XLOOKUP(Table2[[#This Row],[LoanID]],Table1[G-L ID],Table1[ManagerCode],-99)</f>
        <v>183</v>
      </c>
      <c r="T7879"/>
    </row>
    <row r="7880" spans="1:20" x14ac:dyDescent="0.25">
      <c r="A7880">
        <v>20181130</v>
      </c>
      <c r="B7880">
        <v>2018</v>
      </c>
      <c r="C7880">
        <v>11</v>
      </c>
      <c r="D7880">
        <v>1</v>
      </c>
      <c r="E7880">
        <v>13220</v>
      </c>
      <c r="F7880">
        <v>71036.06</v>
      </c>
      <c r="G7880">
        <v>-37.54</v>
      </c>
      <c r="H7880">
        <v>0</v>
      </c>
      <c r="I7880">
        <v>0</v>
      </c>
      <c r="J7880">
        <v>0</v>
      </c>
      <c r="K7880">
        <v>4817.6899999999996</v>
      </c>
      <c r="L7880">
        <v>9344634.6199999992</v>
      </c>
      <c r="M7880">
        <v>9339779.3900000006</v>
      </c>
      <c r="N7880">
        <v>9344634.6199999992</v>
      </c>
      <c r="O7880">
        <v>9339779.3900000006</v>
      </c>
      <c r="P7880">
        <v>9252634.9100000001</v>
      </c>
      <c r="Q7880">
        <v>9247779.6799999997</v>
      </c>
      <c r="R7880" s="14">
        <f>_xlfn.XLOOKUP(Table2[[#This Row],[LoanID]],Table1[G-L ID],Table1[ManagerCode],-99)</f>
        <v>219</v>
      </c>
      <c r="T7880"/>
    </row>
    <row r="7881" spans="1:20" x14ac:dyDescent="0.25">
      <c r="A7881">
        <v>20181130</v>
      </c>
      <c r="B7881">
        <v>2018</v>
      </c>
      <c r="C7881">
        <v>11</v>
      </c>
      <c r="D7881">
        <v>1</v>
      </c>
      <c r="E7881">
        <v>13230</v>
      </c>
      <c r="F7881">
        <v>43180.75</v>
      </c>
      <c r="G7881">
        <v>0</v>
      </c>
      <c r="H7881">
        <v>0</v>
      </c>
      <c r="I7881">
        <v>0</v>
      </c>
      <c r="J7881">
        <v>0</v>
      </c>
      <c r="K7881">
        <v>0</v>
      </c>
      <c r="L7881">
        <v>6608875</v>
      </c>
      <c r="M7881">
        <v>6608875</v>
      </c>
      <c r="N7881">
        <v>6608875</v>
      </c>
      <c r="O7881">
        <v>6608875</v>
      </c>
      <c r="P7881">
        <v>6543875</v>
      </c>
      <c r="Q7881">
        <v>6543875</v>
      </c>
      <c r="R7881" s="14">
        <f>_xlfn.XLOOKUP(Table2[[#This Row],[LoanID]],Table1[G-L ID],Table1[ManagerCode],-99)</f>
        <v>219</v>
      </c>
      <c r="T7881"/>
    </row>
    <row r="7882" spans="1:20" x14ac:dyDescent="0.25">
      <c r="A7882">
        <v>20181130</v>
      </c>
      <c r="B7882">
        <v>2018</v>
      </c>
      <c r="C7882">
        <v>11</v>
      </c>
      <c r="D7882">
        <v>1</v>
      </c>
      <c r="E7882">
        <v>13240</v>
      </c>
      <c r="F7882">
        <v>76541</v>
      </c>
      <c r="G7882">
        <v>-6245.17</v>
      </c>
      <c r="H7882">
        <v>0</v>
      </c>
      <c r="I7882">
        <v>0</v>
      </c>
      <c r="J7882">
        <v>0</v>
      </c>
      <c r="K7882">
        <v>669768.30000000005</v>
      </c>
      <c r="L7882">
        <v>8576575.1300000008</v>
      </c>
      <c r="M7882">
        <v>7900561.6600000001</v>
      </c>
      <c r="N7882">
        <v>8576575.1300000008</v>
      </c>
      <c r="O7882">
        <v>7900561.6600000001</v>
      </c>
      <c r="P7882">
        <v>8576575.1300000008</v>
      </c>
      <c r="Q7882">
        <v>7900561.6600000001</v>
      </c>
      <c r="R7882" s="14">
        <f>_xlfn.XLOOKUP(Table2[[#This Row],[LoanID]],Table1[G-L ID],Table1[ManagerCode],-99)</f>
        <v>219</v>
      </c>
      <c r="T7882"/>
    </row>
    <row r="7883" spans="1:20" x14ac:dyDescent="0.25">
      <c r="A7883">
        <v>20181130</v>
      </c>
      <c r="B7883">
        <v>2018</v>
      </c>
      <c r="C7883">
        <v>11</v>
      </c>
      <c r="D7883">
        <v>1</v>
      </c>
      <c r="E7883">
        <v>13250</v>
      </c>
      <c r="F7883">
        <v>65805.66</v>
      </c>
      <c r="G7883">
        <v>-2138.5300000000002</v>
      </c>
      <c r="H7883">
        <v>0</v>
      </c>
      <c r="I7883">
        <v>0</v>
      </c>
      <c r="J7883">
        <v>0</v>
      </c>
      <c r="K7883">
        <v>0</v>
      </c>
      <c r="L7883">
        <v>7460831.6799999997</v>
      </c>
      <c r="M7883">
        <v>7461157.5999999996</v>
      </c>
      <c r="N7883">
        <v>7460831.6799999997</v>
      </c>
      <c r="O7883">
        <v>7461157.5999999996</v>
      </c>
      <c r="P7883">
        <v>7047055.5300000003</v>
      </c>
      <c r="Q7883">
        <v>7044917</v>
      </c>
      <c r="R7883" s="14">
        <f>_xlfn.XLOOKUP(Table2[[#This Row],[LoanID]],Table1[G-L ID],Table1[ManagerCode],-99)</f>
        <v>219</v>
      </c>
      <c r="T7883"/>
    </row>
    <row r="7884" spans="1:20" x14ac:dyDescent="0.25">
      <c r="A7884">
        <v>20181130</v>
      </c>
      <c r="B7884">
        <v>2018</v>
      </c>
      <c r="C7884">
        <v>11</v>
      </c>
      <c r="D7884">
        <v>1</v>
      </c>
      <c r="E7884">
        <v>13260</v>
      </c>
      <c r="F7884">
        <v>185155.56</v>
      </c>
      <c r="G7884">
        <v>-5749</v>
      </c>
      <c r="H7884">
        <v>0</v>
      </c>
      <c r="I7884">
        <v>0</v>
      </c>
      <c r="J7884">
        <v>0</v>
      </c>
      <c r="K7884">
        <v>0</v>
      </c>
      <c r="L7884">
        <v>20101811</v>
      </c>
      <c r="M7884">
        <v>20096062</v>
      </c>
      <c r="N7884">
        <v>20101811</v>
      </c>
      <c r="O7884">
        <v>20096062</v>
      </c>
      <c r="P7884">
        <v>20101811</v>
      </c>
      <c r="Q7884">
        <v>20096062</v>
      </c>
      <c r="R7884" s="14">
        <f>_xlfn.XLOOKUP(Table2[[#This Row],[LoanID]],Table1[G-L ID],Table1[ManagerCode],-99)</f>
        <v>219</v>
      </c>
      <c r="T7884"/>
    </row>
    <row r="7885" spans="1:20" x14ac:dyDescent="0.25">
      <c r="A7885">
        <v>20181130</v>
      </c>
      <c r="B7885">
        <v>2018</v>
      </c>
      <c r="C7885">
        <v>11</v>
      </c>
      <c r="D7885">
        <v>1</v>
      </c>
      <c r="E7885">
        <v>13270</v>
      </c>
      <c r="F7885">
        <v>147152.78</v>
      </c>
      <c r="G7885">
        <v>0</v>
      </c>
      <c r="H7885">
        <v>0</v>
      </c>
      <c r="I7885">
        <v>0</v>
      </c>
      <c r="J7885">
        <v>-25000000</v>
      </c>
      <c r="K7885">
        <v>0</v>
      </c>
      <c r="L7885">
        <v>0</v>
      </c>
      <c r="M7885">
        <v>25000000</v>
      </c>
      <c r="N7885">
        <v>0</v>
      </c>
      <c r="O7885">
        <v>25000000</v>
      </c>
      <c r="P7885">
        <v>0</v>
      </c>
      <c r="Q7885">
        <v>25000000</v>
      </c>
      <c r="R7885" s="14">
        <f>_xlfn.XLOOKUP(Table2[[#This Row],[LoanID]],Table1[G-L ID],Table1[ManagerCode],-99)</f>
        <v>219</v>
      </c>
      <c r="T7885"/>
    </row>
    <row r="7886" spans="1:20" x14ac:dyDescent="0.25">
      <c r="A7886">
        <v>20181130</v>
      </c>
      <c r="B7886">
        <v>2018</v>
      </c>
      <c r="C7886">
        <v>11</v>
      </c>
      <c r="D7886">
        <v>1</v>
      </c>
      <c r="E7886">
        <v>13280</v>
      </c>
      <c r="F7886">
        <v>167916.67</v>
      </c>
      <c r="G7886">
        <v>-5416.67</v>
      </c>
      <c r="H7886">
        <v>0</v>
      </c>
      <c r="I7886">
        <v>0</v>
      </c>
      <c r="J7886">
        <v>0</v>
      </c>
      <c r="K7886">
        <v>0</v>
      </c>
      <c r="L7886">
        <v>20317916.670000002</v>
      </c>
      <c r="M7886">
        <v>20312500</v>
      </c>
      <c r="N7886">
        <v>20317916.670000002</v>
      </c>
      <c r="O7886">
        <v>20312500</v>
      </c>
      <c r="P7886">
        <v>20167916.670000002</v>
      </c>
      <c r="Q7886">
        <v>20162500</v>
      </c>
      <c r="R7886" s="14">
        <f>_xlfn.XLOOKUP(Table2[[#This Row],[LoanID]],Table1[G-L ID],Table1[ManagerCode],-99)</f>
        <v>219</v>
      </c>
      <c r="T7886"/>
    </row>
    <row r="7887" spans="1:20" x14ac:dyDescent="0.25">
      <c r="A7887">
        <v>20181130</v>
      </c>
      <c r="B7887">
        <v>2018</v>
      </c>
      <c r="C7887">
        <v>11</v>
      </c>
      <c r="D7887">
        <v>1</v>
      </c>
      <c r="E7887">
        <v>13290</v>
      </c>
      <c r="F7887">
        <v>146875</v>
      </c>
      <c r="G7887">
        <v>0</v>
      </c>
      <c r="H7887">
        <v>0</v>
      </c>
      <c r="I7887">
        <v>0</v>
      </c>
      <c r="J7887">
        <v>0</v>
      </c>
      <c r="K7887">
        <v>0</v>
      </c>
      <c r="L7887">
        <v>20000000</v>
      </c>
      <c r="M7887">
        <v>20000000</v>
      </c>
      <c r="N7887">
        <v>20000000</v>
      </c>
      <c r="O7887">
        <v>20000000</v>
      </c>
      <c r="P7887">
        <v>20000000</v>
      </c>
      <c r="Q7887">
        <v>20000000</v>
      </c>
      <c r="R7887" s="14">
        <f>_xlfn.XLOOKUP(Table2[[#This Row],[LoanID]],Table1[G-L ID],Table1[ManagerCode],-99)</f>
        <v>219</v>
      </c>
      <c r="T7887"/>
    </row>
    <row r="7888" spans="1:20" x14ac:dyDescent="0.25">
      <c r="A7888">
        <v>20181130</v>
      </c>
      <c r="B7888">
        <v>2018</v>
      </c>
      <c r="C7888">
        <v>11</v>
      </c>
      <c r="D7888">
        <v>1</v>
      </c>
      <c r="E7888">
        <v>13300</v>
      </c>
      <c r="F7888">
        <v>215277.78</v>
      </c>
      <c r="G7888">
        <v>-6944.45</v>
      </c>
      <c r="H7888">
        <v>0</v>
      </c>
      <c r="I7888">
        <v>0</v>
      </c>
      <c r="J7888">
        <v>0</v>
      </c>
      <c r="K7888">
        <v>0</v>
      </c>
      <c r="L7888">
        <v>25215277.780000001</v>
      </c>
      <c r="M7888">
        <v>25208333.329999998</v>
      </c>
      <c r="N7888">
        <v>25215277.780000001</v>
      </c>
      <c r="O7888">
        <v>25208333.329999998</v>
      </c>
      <c r="P7888">
        <v>25215277.780000001</v>
      </c>
      <c r="Q7888">
        <v>25208333.329999998</v>
      </c>
      <c r="R7888" s="14">
        <f>_xlfn.XLOOKUP(Table2[[#This Row],[LoanID]],Table1[G-L ID],Table1[ManagerCode],-99)</f>
        <v>219</v>
      </c>
      <c r="T7888"/>
    </row>
    <row r="7889" spans="1:20" x14ac:dyDescent="0.25">
      <c r="A7889">
        <v>20181130</v>
      </c>
      <c r="B7889">
        <v>2018</v>
      </c>
      <c r="C7889">
        <v>11</v>
      </c>
      <c r="D7889">
        <v>1</v>
      </c>
      <c r="E7889">
        <v>13310</v>
      </c>
      <c r="F7889">
        <v>218929.07</v>
      </c>
      <c r="G7889">
        <v>0</v>
      </c>
      <c r="H7889">
        <v>0</v>
      </c>
      <c r="I7889">
        <v>0</v>
      </c>
      <c r="J7889">
        <v>0</v>
      </c>
      <c r="K7889">
        <v>0</v>
      </c>
      <c r="L7889">
        <v>15600000</v>
      </c>
      <c r="M7889">
        <v>15600000</v>
      </c>
      <c r="N7889">
        <v>15600000</v>
      </c>
      <c r="O7889">
        <v>15600000</v>
      </c>
      <c r="P7889">
        <v>15600000</v>
      </c>
      <c r="Q7889">
        <v>15600000</v>
      </c>
      <c r="R7889" s="14">
        <f>_xlfn.XLOOKUP(Table2[[#This Row],[LoanID]],Table1[G-L ID],Table1[ManagerCode],-99)</f>
        <v>119</v>
      </c>
      <c r="T7889"/>
    </row>
    <row r="7890" spans="1:20" x14ac:dyDescent="0.25">
      <c r="A7890">
        <v>20181130</v>
      </c>
      <c r="B7890">
        <v>2018</v>
      </c>
      <c r="C7890">
        <v>11</v>
      </c>
      <c r="D7890">
        <v>1</v>
      </c>
      <c r="E7890">
        <v>13320</v>
      </c>
      <c r="F7890">
        <v>107294.2</v>
      </c>
      <c r="G7890">
        <v>0</v>
      </c>
      <c r="H7890">
        <v>-717100</v>
      </c>
      <c r="I7890">
        <v>0</v>
      </c>
      <c r="J7890">
        <v>0</v>
      </c>
      <c r="K7890">
        <v>75400000</v>
      </c>
      <c r="L7890">
        <v>94000000</v>
      </c>
      <c r="M7890">
        <v>18600000</v>
      </c>
      <c r="N7890">
        <v>94000000</v>
      </c>
      <c r="O7890">
        <v>18600000</v>
      </c>
      <c r="P7890">
        <v>94000000</v>
      </c>
      <c r="Q7890">
        <v>18600000</v>
      </c>
      <c r="R7890" s="14">
        <f>_xlfn.XLOOKUP(Table2[[#This Row],[LoanID]],Table1[G-L ID],Table1[ManagerCode],-99)</f>
        <v>119</v>
      </c>
      <c r="T7890"/>
    </row>
    <row r="7891" spans="1:20" x14ac:dyDescent="0.25">
      <c r="A7891">
        <v>20181130</v>
      </c>
      <c r="B7891">
        <v>2018</v>
      </c>
      <c r="C7891">
        <v>11</v>
      </c>
      <c r="D7891">
        <v>1</v>
      </c>
      <c r="E7891">
        <v>13330</v>
      </c>
      <c r="F7891">
        <v>238402.14</v>
      </c>
      <c r="G7891">
        <v>0</v>
      </c>
      <c r="H7891">
        <v>0</v>
      </c>
      <c r="I7891">
        <v>0</v>
      </c>
      <c r="J7891">
        <v>-71000000</v>
      </c>
      <c r="K7891">
        <v>0</v>
      </c>
      <c r="L7891">
        <v>0</v>
      </c>
      <c r="M7891">
        <v>71000000</v>
      </c>
      <c r="N7891">
        <v>0</v>
      </c>
      <c r="O7891">
        <v>71000000</v>
      </c>
      <c r="P7891">
        <v>0</v>
      </c>
      <c r="Q7891">
        <v>71000000</v>
      </c>
      <c r="R7891" s="14">
        <f>_xlfn.XLOOKUP(Table2[[#This Row],[LoanID]],Table1[G-L ID],Table1[ManagerCode],-99)</f>
        <v>119</v>
      </c>
      <c r="T7891"/>
    </row>
    <row r="7892" spans="1:20" x14ac:dyDescent="0.25">
      <c r="A7892">
        <v>20181130</v>
      </c>
      <c r="B7892">
        <v>2018</v>
      </c>
      <c r="C7892">
        <v>11</v>
      </c>
      <c r="D7892">
        <v>1</v>
      </c>
      <c r="E7892">
        <v>13570</v>
      </c>
      <c r="F7892">
        <v>375852.61</v>
      </c>
      <c r="G7892">
        <v>0</v>
      </c>
      <c r="H7892">
        <v>0</v>
      </c>
      <c r="I7892">
        <v>0</v>
      </c>
      <c r="J7892">
        <v>0</v>
      </c>
      <c r="K7892">
        <v>0</v>
      </c>
      <c r="L7892">
        <v>45423356.479999997</v>
      </c>
      <c r="M7892">
        <v>45453568.530000001</v>
      </c>
      <c r="N7892">
        <v>45423356.479999997</v>
      </c>
      <c r="O7892">
        <v>45453568.530000001</v>
      </c>
      <c r="P7892">
        <v>45800000</v>
      </c>
      <c r="Q7892">
        <v>45800000</v>
      </c>
      <c r="R7892" s="14">
        <f>_xlfn.XLOOKUP(Table2[[#This Row],[LoanID]],Table1[G-L ID],Table1[ManagerCode],-99)</f>
        <v>298</v>
      </c>
      <c r="T7892"/>
    </row>
    <row r="7893" spans="1:20" x14ac:dyDescent="0.25">
      <c r="A7893">
        <v>20181130</v>
      </c>
      <c r="B7893">
        <v>2018</v>
      </c>
      <c r="C7893">
        <v>11</v>
      </c>
      <c r="D7893">
        <v>1</v>
      </c>
      <c r="E7893">
        <v>13580</v>
      </c>
      <c r="F7893">
        <v>429479.17</v>
      </c>
      <c r="G7893">
        <v>0</v>
      </c>
      <c r="H7893">
        <v>0</v>
      </c>
      <c r="I7893">
        <v>0</v>
      </c>
      <c r="J7893">
        <v>0</v>
      </c>
      <c r="K7893">
        <v>0</v>
      </c>
      <c r="L7893">
        <v>64115000.07</v>
      </c>
      <c r="M7893">
        <v>64185559.289999999</v>
      </c>
      <c r="N7893">
        <v>64115000.07</v>
      </c>
      <c r="O7893">
        <v>64185559.289999999</v>
      </c>
      <c r="P7893">
        <v>66500000</v>
      </c>
      <c r="Q7893">
        <v>66500000</v>
      </c>
      <c r="R7893" s="14">
        <f>_xlfn.XLOOKUP(Table2[[#This Row],[LoanID]],Table1[G-L ID],Table1[ManagerCode],-99)</f>
        <v>298</v>
      </c>
      <c r="T7893"/>
    </row>
    <row r="7894" spans="1:20" x14ac:dyDescent="0.25">
      <c r="A7894">
        <v>20181130</v>
      </c>
      <c r="B7894">
        <v>2018</v>
      </c>
      <c r="C7894">
        <v>11</v>
      </c>
      <c r="D7894">
        <v>1</v>
      </c>
      <c r="E7894">
        <v>13590</v>
      </c>
      <c r="F7894">
        <v>302422.21999999997</v>
      </c>
      <c r="G7894">
        <v>0</v>
      </c>
      <c r="H7894">
        <v>0</v>
      </c>
      <c r="I7894">
        <v>0</v>
      </c>
      <c r="J7894">
        <v>0</v>
      </c>
      <c r="K7894">
        <v>0</v>
      </c>
      <c r="L7894">
        <v>40000000</v>
      </c>
      <c r="M7894">
        <v>40000000</v>
      </c>
      <c r="N7894">
        <v>40000000</v>
      </c>
      <c r="O7894">
        <v>40000000</v>
      </c>
      <c r="P7894">
        <v>40000000</v>
      </c>
      <c r="Q7894">
        <v>40000000</v>
      </c>
      <c r="R7894" s="14">
        <f>_xlfn.XLOOKUP(Table2[[#This Row],[LoanID]],Table1[G-L ID],Table1[ManagerCode],-99)</f>
        <v>298</v>
      </c>
      <c r="T7894"/>
    </row>
    <row r="7895" spans="1:20" x14ac:dyDescent="0.25">
      <c r="A7895">
        <v>20181130</v>
      </c>
      <c r="B7895">
        <v>2018</v>
      </c>
      <c r="C7895">
        <v>11</v>
      </c>
      <c r="D7895">
        <v>1</v>
      </c>
      <c r="E7895">
        <v>13600</v>
      </c>
      <c r="F7895">
        <v>379029.03</v>
      </c>
      <c r="G7895">
        <v>0</v>
      </c>
      <c r="H7895">
        <v>0</v>
      </c>
      <c r="I7895">
        <v>0</v>
      </c>
      <c r="J7895">
        <v>0</v>
      </c>
      <c r="K7895">
        <v>0</v>
      </c>
      <c r="L7895">
        <v>45970000</v>
      </c>
      <c r="M7895">
        <v>45970000</v>
      </c>
      <c r="N7895">
        <v>45970000</v>
      </c>
      <c r="O7895">
        <v>45970000</v>
      </c>
      <c r="P7895">
        <v>45970000</v>
      </c>
      <c r="Q7895">
        <v>45970000</v>
      </c>
      <c r="R7895" s="14">
        <f>_xlfn.XLOOKUP(Table2[[#This Row],[LoanID]],Table1[G-L ID],Table1[ManagerCode],-99)</f>
        <v>298</v>
      </c>
      <c r="T7895"/>
    </row>
    <row r="7896" spans="1:20" x14ac:dyDescent="0.25">
      <c r="A7896">
        <v>20181130</v>
      </c>
      <c r="B7896">
        <v>2018</v>
      </c>
      <c r="C7896">
        <v>11</v>
      </c>
      <c r="D7896">
        <v>1</v>
      </c>
      <c r="E7896">
        <v>13610</v>
      </c>
      <c r="F7896">
        <v>63291.67</v>
      </c>
      <c r="G7896">
        <v>0</v>
      </c>
      <c r="H7896">
        <v>0</v>
      </c>
      <c r="I7896">
        <v>0</v>
      </c>
      <c r="J7896">
        <v>0</v>
      </c>
      <c r="K7896">
        <v>0</v>
      </c>
      <c r="L7896">
        <v>10549064</v>
      </c>
      <c r="M7896">
        <v>10549064</v>
      </c>
      <c r="N7896">
        <v>10549064</v>
      </c>
      <c r="O7896">
        <v>10549064</v>
      </c>
      <c r="P7896">
        <v>10500000</v>
      </c>
      <c r="Q7896">
        <v>10500000</v>
      </c>
      <c r="R7896" s="14">
        <f>_xlfn.XLOOKUP(Table2[[#This Row],[LoanID]],Table1[G-L ID],Table1[ManagerCode],-99)</f>
        <v>298</v>
      </c>
      <c r="T7896"/>
    </row>
    <row r="7897" spans="1:20" x14ac:dyDescent="0.25">
      <c r="A7897">
        <v>20181130</v>
      </c>
      <c r="B7897">
        <v>2018</v>
      </c>
      <c r="C7897">
        <v>11</v>
      </c>
      <c r="D7897">
        <v>1</v>
      </c>
      <c r="E7897">
        <v>13620</v>
      </c>
      <c r="F7897">
        <v>362958.33</v>
      </c>
      <c r="G7897">
        <v>0</v>
      </c>
      <c r="H7897">
        <v>0</v>
      </c>
      <c r="I7897">
        <v>0</v>
      </c>
      <c r="J7897">
        <v>0</v>
      </c>
      <c r="K7897">
        <v>0</v>
      </c>
      <c r="L7897">
        <v>49919787</v>
      </c>
      <c r="M7897">
        <v>49919787</v>
      </c>
      <c r="N7897">
        <v>49919787</v>
      </c>
      <c r="O7897">
        <v>49919787</v>
      </c>
      <c r="P7897">
        <v>50000000</v>
      </c>
      <c r="Q7897">
        <v>50000000</v>
      </c>
      <c r="R7897" s="14">
        <f>_xlfn.XLOOKUP(Table2[[#This Row],[LoanID]],Table1[G-L ID],Table1[ManagerCode],-99)</f>
        <v>298</v>
      </c>
      <c r="T7897"/>
    </row>
    <row r="7898" spans="1:20" x14ac:dyDescent="0.25">
      <c r="A7898">
        <v>20181130</v>
      </c>
      <c r="B7898">
        <v>2018</v>
      </c>
      <c r="C7898">
        <v>11</v>
      </c>
      <c r="D7898">
        <v>1</v>
      </c>
      <c r="E7898">
        <v>13630</v>
      </c>
      <c r="F7898">
        <v>218506.94</v>
      </c>
      <c r="G7898">
        <v>0</v>
      </c>
      <c r="H7898">
        <v>0</v>
      </c>
      <c r="I7898">
        <v>0</v>
      </c>
      <c r="J7898">
        <v>0</v>
      </c>
      <c r="K7898">
        <v>0</v>
      </c>
      <c r="L7898">
        <v>35537284.43</v>
      </c>
      <c r="M7898">
        <v>35537284.43</v>
      </c>
      <c r="N7898">
        <v>35537284.43</v>
      </c>
      <c r="O7898">
        <v>35537284.43</v>
      </c>
      <c r="P7898">
        <v>35000000</v>
      </c>
      <c r="Q7898">
        <v>35000000</v>
      </c>
      <c r="R7898" s="14">
        <f>_xlfn.XLOOKUP(Table2[[#This Row],[LoanID]],Table1[G-L ID],Table1[ManagerCode],-99)</f>
        <v>298</v>
      </c>
      <c r="T7898"/>
    </row>
    <row r="7899" spans="1:20" x14ac:dyDescent="0.25">
      <c r="A7899">
        <v>20181130</v>
      </c>
      <c r="B7899">
        <v>2018</v>
      </c>
      <c r="C7899">
        <v>11</v>
      </c>
      <c r="D7899">
        <v>1</v>
      </c>
      <c r="E7899">
        <v>13640</v>
      </c>
      <c r="F7899">
        <v>226983.51</v>
      </c>
      <c r="G7899">
        <v>0</v>
      </c>
      <c r="H7899">
        <v>0</v>
      </c>
      <c r="I7899">
        <v>0</v>
      </c>
      <c r="J7899">
        <v>0</v>
      </c>
      <c r="K7899">
        <v>0</v>
      </c>
      <c r="L7899">
        <v>30282941</v>
      </c>
      <c r="M7899">
        <v>30282941</v>
      </c>
      <c r="N7899">
        <v>30282941</v>
      </c>
      <c r="O7899">
        <v>30282941</v>
      </c>
      <c r="P7899">
        <v>30125000</v>
      </c>
      <c r="Q7899">
        <v>30125000</v>
      </c>
      <c r="R7899" s="14">
        <f>_xlfn.XLOOKUP(Table2[[#This Row],[LoanID]],Table1[G-L ID],Table1[ManagerCode],-99)</f>
        <v>298</v>
      </c>
      <c r="T7899"/>
    </row>
    <row r="7900" spans="1:20" x14ac:dyDescent="0.25">
      <c r="A7900">
        <v>20181130</v>
      </c>
      <c r="B7900">
        <v>2018</v>
      </c>
      <c r="C7900">
        <v>11</v>
      </c>
      <c r="D7900">
        <v>1</v>
      </c>
      <c r="E7900">
        <v>13650</v>
      </c>
      <c r="F7900">
        <v>223888.89</v>
      </c>
      <c r="G7900">
        <v>0</v>
      </c>
      <c r="H7900">
        <v>0</v>
      </c>
      <c r="I7900">
        <v>0</v>
      </c>
      <c r="J7900">
        <v>0</v>
      </c>
      <c r="K7900">
        <v>0</v>
      </c>
      <c r="L7900">
        <v>38811572</v>
      </c>
      <c r="M7900">
        <v>38811572</v>
      </c>
      <c r="N7900">
        <v>38811572</v>
      </c>
      <c r="O7900">
        <v>38811572</v>
      </c>
      <c r="P7900">
        <v>40000000</v>
      </c>
      <c r="Q7900">
        <v>40000000</v>
      </c>
      <c r="R7900" s="14">
        <f>_xlfn.XLOOKUP(Table2[[#This Row],[LoanID]],Table1[G-L ID],Table1[ManagerCode],-99)</f>
        <v>298</v>
      </c>
      <c r="T7900"/>
    </row>
    <row r="7901" spans="1:20" x14ac:dyDescent="0.25">
      <c r="A7901">
        <v>20181130</v>
      </c>
      <c r="B7901">
        <v>2018</v>
      </c>
      <c r="C7901">
        <v>11</v>
      </c>
      <c r="D7901">
        <v>1</v>
      </c>
      <c r="E7901">
        <v>13660</v>
      </c>
      <c r="F7901">
        <v>117972.22</v>
      </c>
      <c r="G7901">
        <v>0</v>
      </c>
      <c r="H7901">
        <v>0</v>
      </c>
      <c r="I7901">
        <v>0</v>
      </c>
      <c r="J7901">
        <v>0</v>
      </c>
      <c r="K7901">
        <v>0</v>
      </c>
      <c r="L7901">
        <v>18948845</v>
      </c>
      <c r="M7901">
        <v>18948845</v>
      </c>
      <c r="N7901">
        <v>18948845</v>
      </c>
      <c r="O7901">
        <v>18948845</v>
      </c>
      <c r="P7901">
        <v>20000000</v>
      </c>
      <c r="Q7901">
        <v>20000000</v>
      </c>
      <c r="R7901" s="14">
        <f>_xlfn.XLOOKUP(Table2[[#This Row],[LoanID]],Table1[G-L ID],Table1[ManagerCode],-99)</f>
        <v>298</v>
      </c>
      <c r="T7901"/>
    </row>
    <row r="7902" spans="1:20" x14ac:dyDescent="0.25">
      <c r="A7902">
        <v>20181130</v>
      </c>
      <c r="B7902">
        <v>2018</v>
      </c>
      <c r="C7902">
        <v>11</v>
      </c>
      <c r="D7902">
        <v>1</v>
      </c>
      <c r="E7902">
        <v>13670</v>
      </c>
      <c r="F7902">
        <v>356177.08</v>
      </c>
      <c r="G7902">
        <v>0</v>
      </c>
      <c r="H7902">
        <v>0</v>
      </c>
      <c r="I7902">
        <v>0</v>
      </c>
      <c r="J7902">
        <v>0</v>
      </c>
      <c r="K7902">
        <v>0</v>
      </c>
      <c r="L7902">
        <v>37539280.890000001</v>
      </c>
      <c r="M7902">
        <v>37539280.890000001</v>
      </c>
      <c r="N7902">
        <v>37539280.890000001</v>
      </c>
      <c r="O7902">
        <v>37539280.890000001</v>
      </c>
      <c r="P7902">
        <v>37500000</v>
      </c>
      <c r="Q7902">
        <v>37500000</v>
      </c>
      <c r="R7902" s="14">
        <f>_xlfn.XLOOKUP(Table2[[#This Row],[LoanID]],Table1[G-L ID],Table1[ManagerCode],-99)</f>
        <v>298</v>
      </c>
      <c r="T7902"/>
    </row>
    <row r="7903" spans="1:20" x14ac:dyDescent="0.25">
      <c r="A7903">
        <v>20181130</v>
      </c>
      <c r="B7903">
        <v>2018</v>
      </c>
      <c r="C7903">
        <v>11</v>
      </c>
      <c r="D7903">
        <v>1</v>
      </c>
      <c r="E7903">
        <v>13690</v>
      </c>
      <c r="F7903">
        <v>133472.22</v>
      </c>
      <c r="G7903">
        <v>0</v>
      </c>
      <c r="H7903">
        <v>0</v>
      </c>
      <c r="I7903">
        <v>0</v>
      </c>
      <c r="J7903">
        <v>0</v>
      </c>
      <c r="K7903">
        <v>0</v>
      </c>
      <c r="L7903">
        <v>19779539.27</v>
      </c>
      <c r="M7903">
        <v>19779539.27</v>
      </c>
      <c r="N7903">
        <v>19779539.27</v>
      </c>
      <c r="O7903">
        <v>19779539.27</v>
      </c>
      <c r="P7903">
        <v>20000000</v>
      </c>
      <c r="Q7903">
        <v>20000000</v>
      </c>
      <c r="R7903" s="14">
        <f>_xlfn.XLOOKUP(Table2[[#This Row],[LoanID]],Table1[G-L ID],Table1[ManagerCode],-99)</f>
        <v>298</v>
      </c>
      <c r="T7903"/>
    </row>
    <row r="7904" spans="1:20" x14ac:dyDescent="0.25">
      <c r="A7904">
        <v>20181130</v>
      </c>
      <c r="B7904">
        <v>2018</v>
      </c>
      <c r="C7904">
        <v>11</v>
      </c>
      <c r="D7904">
        <v>1</v>
      </c>
      <c r="E7904">
        <v>13700</v>
      </c>
      <c r="F7904">
        <v>335600.42</v>
      </c>
      <c r="G7904">
        <v>0</v>
      </c>
      <c r="H7904">
        <v>0</v>
      </c>
      <c r="I7904">
        <v>0</v>
      </c>
      <c r="J7904">
        <v>-96460000</v>
      </c>
      <c r="K7904">
        <v>0</v>
      </c>
      <c r="L7904">
        <v>0</v>
      </c>
      <c r="M7904">
        <v>96460000</v>
      </c>
      <c r="N7904">
        <v>0</v>
      </c>
      <c r="O7904">
        <v>96460000</v>
      </c>
      <c r="P7904">
        <v>0</v>
      </c>
      <c r="Q7904">
        <v>96460000</v>
      </c>
      <c r="R7904" s="14">
        <f>_xlfn.XLOOKUP(Table2[[#This Row],[LoanID]],Table1[G-L ID],Table1[ManagerCode],-99)</f>
        <v>119</v>
      </c>
      <c r="T7904"/>
    </row>
    <row r="7905" spans="1:20" x14ac:dyDescent="0.25">
      <c r="A7905">
        <v>20181130</v>
      </c>
      <c r="B7905">
        <v>2018</v>
      </c>
      <c r="C7905">
        <v>11</v>
      </c>
      <c r="D7905">
        <v>1</v>
      </c>
      <c r="E7905">
        <v>14000</v>
      </c>
      <c r="F7905">
        <v>221345.11</v>
      </c>
      <c r="G7905">
        <v>0</v>
      </c>
      <c r="H7905">
        <v>0</v>
      </c>
      <c r="I7905">
        <v>0</v>
      </c>
      <c r="J7905">
        <v>0</v>
      </c>
      <c r="K7905">
        <v>0</v>
      </c>
      <c r="L7905">
        <v>98000000</v>
      </c>
      <c r="M7905">
        <v>98000000</v>
      </c>
      <c r="N7905">
        <v>39200000</v>
      </c>
      <c r="O7905">
        <v>39200000</v>
      </c>
      <c r="P7905">
        <v>98000000</v>
      </c>
      <c r="Q7905">
        <v>98000000</v>
      </c>
      <c r="R7905" s="14">
        <f>_xlfn.XLOOKUP(Table2[[#This Row],[LoanID]],Table1[G-L ID],Table1[ManagerCode],-99)</f>
        <v>183</v>
      </c>
      <c r="T7905"/>
    </row>
    <row r="7906" spans="1:20" x14ac:dyDescent="0.25">
      <c r="A7906">
        <v>20181130</v>
      </c>
      <c r="B7906">
        <v>2018</v>
      </c>
      <c r="C7906">
        <v>11</v>
      </c>
      <c r="D7906">
        <v>1</v>
      </c>
      <c r="E7906">
        <v>14010</v>
      </c>
      <c r="F7906">
        <v>79340.160000000003</v>
      </c>
      <c r="G7906">
        <v>0</v>
      </c>
      <c r="H7906">
        <v>0</v>
      </c>
      <c r="I7906">
        <v>0</v>
      </c>
      <c r="J7906">
        <v>0</v>
      </c>
      <c r="K7906">
        <v>0</v>
      </c>
      <c r="L7906">
        <v>9920000</v>
      </c>
      <c r="M7906">
        <v>9920000</v>
      </c>
      <c r="N7906">
        <v>9920000</v>
      </c>
      <c r="O7906">
        <v>9920000</v>
      </c>
      <c r="P7906">
        <v>9920000</v>
      </c>
      <c r="Q7906">
        <v>9920000</v>
      </c>
      <c r="R7906" s="14">
        <f>_xlfn.XLOOKUP(Table2[[#This Row],[LoanID]],Table1[G-L ID],Table1[ManagerCode],-99)</f>
        <v>119</v>
      </c>
      <c r="T7906"/>
    </row>
    <row r="7907" spans="1:20" x14ac:dyDescent="0.25">
      <c r="A7907">
        <v>20181130</v>
      </c>
      <c r="B7907">
        <v>2018</v>
      </c>
      <c r="C7907">
        <v>11</v>
      </c>
      <c r="D7907">
        <v>1</v>
      </c>
      <c r="E7907">
        <v>14020</v>
      </c>
      <c r="F7907">
        <v>474280.27</v>
      </c>
      <c r="G7907">
        <v>0</v>
      </c>
      <c r="H7907">
        <v>0</v>
      </c>
      <c r="I7907">
        <v>0</v>
      </c>
      <c r="J7907">
        <v>-4811425.1500000004</v>
      </c>
      <c r="K7907">
        <v>0</v>
      </c>
      <c r="L7907">
        <v>31048384.52</v>
      </c>
      <c r="M7907">
        <v>35859809.670000002</v>
      </c>
      <c r="N7907">
        <v>31048384.52</v>
      </c>
      <c r="O7907">
        <v>35859809.670000002</v>
      </c>
      <c r="P7907">
        <v>31048384.52</v>
      </c>
      <c r="Q7907">
        <v>35859809.670000002</v>
      </c>
      <c r="R7907" s="14">
        <f>_xlfn.XLOOKUP(Table2[[#This Row],[LoanID]],Table1[G-L ID],Table1[ManagerCode],-99)</f>
        <v>119</v>
      </c>
      <c r="T7907"/>
    </row>
    <row r="7908" spans="1:20" x14ac:dyDescent="0.25">
      <c r="A7908">
        <v>20181130</v>
      </c>
      <c r="B7908">
        <v>2018</v>
      </c>
      <c r="C7908">
        <v>11</v>
      </c>
      <c r="D7908">
        <v>1</v>
      </c>
      <c r="E7908">
        <v>14670</v>
      </c>
      <c r="F7908">
        <v>83321.77</v>
      </c>
      <c r="G7908">
        <v>0</v>
      </c>
      <c r="H7908">
        <v>0</v>
      </c>
      <c r="I7908">
        <v>0</v>
      </c>
      <c r="J7908">
        <v>0</v>
      </c>
      <c r="K7908">
        <v>37568.839999999997</v>
      </c>
      <c r="L7908">
        <v>29921086</v>
      </c>
      <c r="M7908">
        <v>29921086</v>
      </c>
      <c r="N7908">
        <v>8872836</v>
      </c>
      <c r="O7908">
        <v>8872836</v>
      </c>
      <c r="P7908">
        <v>29705466.699999999</v>
      </c>
      <c r="Q7908">
        <v>29667897.859999999</v>
      </c>
      <c r="R7908" s="14">
        <f>_xlfn.XLOOKUP(Table2[[#This Row],[LoanID]],Table1[G-L ID],Table1[ManagerCode],-99)</f>
        <v>220</v>
      </c>
      <c r="T7908"/>
    </row>
    <row r="7909" spans="1:20" x14ac:dyDescent="0.25">
      <c r="A7909">
        <v>20181130</v>
      </c>
      <c r="B7909">
        <v>2018</v>
      </c>
      <c r="C7909">
        <v>11</v>
      </c>
      <c r="D7909">
        <v>1</v>
      </c>
      <c r="E7909">
        <v>14680</v>
      </c>
      <c r="F7909">
        <v>50733.7</v>
      </c>
      <c r="G7909">
        <v>0</v>
      </c>
      <c r="H7909">
        <v>0</v>
      </c>
      <c r="I7909">
        <v>0</v>
      </c>
      <c r="J7909">
        <v>0</v>
      </c>
      <c r="K7909">
        <v>0</v>
      </c>
      <c r="L7909">
        <v>27407629</v>
      </c>
      <c r="M7909">
        <v>27407629</v>
      </c>
      <c r="N7909">
        <v>7157629</v>
      </c>
      <c r="O7909">
        <v>7157629</v>
      </c>
      <c r="P7909">
        <v>27704364.23</v>
      </c>
      <c r="Q7909">
        <v>27704364.23</v>
      </c>
      <c r="R7909" s="14">
        <f>_xlfn.XLOOKUP(Table2[[#This Row],[LoanID]],Table1[G-L ID],Table1[ManagerCode],-99)</f>
        <v>220</v>
      </c>
      <c r="T7909"/>
    </row>
    <row r="7910" spans="1:20" x14ac:dyDescent="0.25">
      <c r="A7910">
        <v>20181130</v>
      </c>
      <c r="B7910">
        <v>2018</v>
      </c>
      <c r="C7910">
        <v>11</v>
      </c>
      <c r="D7910">
        <v>1</v>
      </c>
      <c r="E7910">
        <v>14720</v>
      </c>
      <c r="F7910">
        <v>30181.42</v>
      </c>
      <c r="G7910">
        <v>0</v>
      </c>
      <c r="H7910">
        <v>169130</v>
      </c>
      <c r="I7910">
        <v>0</v>
      </c>
      <c r="J7910">
        <v>-19610000</v>
      </c>
      <c r="K7910">
        <v>0</v>
      </c>
      <c r="L7910">
        <v>0</v>
      </c>
      <c r="M7910">
        <v>19673107</v>
      </c>
      <c r="N7910">
        <v>0</v>
      </c>
      <c r="O7910">
        <v>19673107</v>
      </c>
      <c r="P7910">
        <v>0</v>
      </c>
      <c r="Q7910">
        <v>19610000</v>
      </c>
      <c r="R7910" s="14">
        <f>_xlfn.XLOOKUP(Table2[[#This Row],[LoanID]],Table1[G-L ID],Table1[ManagerCode],-99)</f>
        <v>220</v>
      </c>
      <c r="T7910"/>
    </row>
    <row r="7911" spans="1:20" x14ac:dyDescent="0.25">
      <c r="A7911">
        <v>20181130</v>
      </c>
      <c r="B7911">
        <v>2018</v>
      </c>
      <c r="C7911">
        <v>11</v>
      </c>
      <c r="D7911">
        <v>1</v>
      </c>
      <c r="E7911">
        <v>14730</v>
      </c>
      <c r="F7911">
        <v>0</v>
      </c>
      <c r="G7911">
        <v>0</v>
      </c>
      <c r="H7911">
        <v>0</v>
      </c>
      <c r="I7911">
        <v>0</v>
      </c>
      <c r="J7911">
        <v>0</v>
      </c>
      <c r="K7911">
        <v>0</v>
      </c>
      <c r="L7911">
        <v>50412525</v>
      </c>
      <c r="M7911">
        <v>50412525</v>
      </c>
      <c r="N7911">
        <v>50412525</v>
      </c>
      <c r="O7911">
        <v>50412525</v>
      </c>
      <c r="P7911">
        <v>50260000</v>
      </c>
      <c r="Q7911">
        <v>50260000</v>
      </c>
      <c r="R7911" s="14">
        <f>_xlfn.XLOOKUP(Table2[[#This Row],[LoanID]],Table1[G-L ID],Table1[ManagerCode],-99)</f>
        <v>220</v>
      </c>
      <c r="T7911"/>
    </row>
    <row r="7912" spans="1:20" x14ac:dyDescent="0.25">
      <c r="A7912">
        <v>20181130</v>
      </c>
      <c r="B7912">
        <v>2018</v>
      </c>
      <c r="C7912">
        <v>11</v>
      </c>
      <c r="D7912">
        <v>1</v>
      </c>
      <c r="E7912">
        <v>14740</v>
      </c>
      <c r="F7912">
        <v>97125</v>
      </c>
      <c r="G7912">
        <v>0</v>
      </c>
      <c r="H7912">
        <v>350000</v>
      </c>
      <c r="I7912">
        <v>0</v>
      </c>
      <c r="J7912">
        <v>-35000000</v>
      </c>
      <c r="K7912">
        <v>0</v>
      </c>
      <c r="L7912">
        <v>0</v>
      </c>
      <c r="M7912">
        <v>35124268</v>
      </c>
      <c r="N7912">
        <v>0</v>
      </c>
      <c r="O7912">
        <v>35124268</v>
      </c>
      <c r="P7912">
        <v>0</v>
      </c>
      <c r="Q7912">
        <v>35000000</v>
      </c>
      <c r="R7912" s="14">
        <f>_xlfn.XLOOKUP(Table2[[#This Row],[LoanID]],Table1[G-L ID],Table1[ManagerCode],-99)</f>
        <v>220</v>
      </c>
      <c r="T7912"/>
    </row>
    <row r="7913" spans="1:20" x14ac:dyDescent="0.25">
      <c r="A7913">
        <v>20181130</v>
      </c>
      <c r="B7913">
        <v>2018</v>
      </c>
      <c r="C7913">
        <v>11</v>
      </c>
      <c r="D7913">
        <v>1</v>
      </c>
      <c r="E7913">
        <v>14790</v>
      </c>
      <c r="F7913">
        <v>224867.8</v>
      </c>
      <c r="G7913">
        <v>0</v>
      </c>
      <c r="H7913">
        <v>0</v>
      </c>
      <c r="I7913">
        <v>0</v>
      </c>
      <c r="J7913">
        <v>0</v>
      </c>
      <c r="K7913">
        <v>0</v>
      </c>
      <c r="L7913">
        <v>72872310</v>
      </c>
      <c r="M7913">
        <v>72872310</v>
      </c>
      <c r="N7913">
        <v>32872310</v>
      </c>
      <c r="O7913">
        <v>32872310</v>
      </c>
      <c r="P7913">
        <v>72200000</v>
      </c>
      <c r="Q7913">
        <v>72200000</v>
      </c>
      <c r="R7913" s="14">
        <f>_xlfn.XLOOKUP(Table2[[#This Row],[LoanID]],Table1[G-L ID],Table1[ManagerCode],-99)</f>
        <v>220</v>
      </c>
      <c r="T7913"/>
    </row>
    <row r="7914" spans="1:20" x14ac:dyDescent="0.25">
      <c r="A7914">
        <v>20181130</v>
      </c>
      <c r="B7914">
        <v>2018</v>
      </c>
      <c r="C7914">
        <v>11</v>
      </c>
      <c r="D7914">
        <v>1</v>
      </c>
      <c r="E7914">
        <v>14800</v>
      </c>
      <c r="F7914">
        <v>109593.69</v>
      </c>
      <c r="G7914">
        <v>0</v>
      </c>
      <c r="H7914">
        <v>0</v>
      </c>
      <c r="I7914">
        <v>0</v>
      </c>
      <c r="J7914">
        <v>0</v>
      </c>
      <c r="K7914">
        <v>0</v>
      </c>
      <c r="L7914">
        <v>51000000</v>
      </c>
      <c r="M7914">
        <v>51000000</v>
      </c>
      <c r="N7914">
        <v>17850000</v>
      </c>
      <c r="O7914">
        <v>17850000</v>
      </c>
      <c r="P7914">
        <v>51000000</v>
      </c>
      <c r="Q7914">
        <v>51000000</v>
      </c>
      <c r="R7914" s="14">
        <f>_xlfn.XLOOKUP(Table2[[#This Row],[LoanID]],Table1[G-L ID],Table1[ManagerCode],-99)</f>
        <v>220</v>
      </c>
      <c r="T7914"/>
    </row>
    <row r="7915" spans="1:20" x14ac:dyDescent="0.25">
      <c r="A7915">
        <v>20181130</v>
      </c>
      <c r="B7915">
        <v>2018</v>
      </c>
      <c r="C7915">
        <v>11</v>
      </c>
      <c r="D7915">
        <v>1</v>
      </c>
      <c r="E7915">
        <v>14810</v>
      </c>
      <c r="F7915">
        <v>101476.87</v>
      </c>
      <c r="G7915">
        <v>0</v>
      </c>
      <c r="H7915">
        <v>0</v>
      </c>
      <c r="I7915">
        <v>0</v>
      </c>
      <c r="J7915">
        <v>0</v>
      </c>
      <c r="K7915">
        <v>0</v>
      </c>
      <c r="L7915">
        <v>24999639</v>
      </c>
      <c r="M7915">
        <v>24999639</v>
      </c>
      <c r="N7915">
        <v>24999639</v>
      </c>
      <c r="O7915">
        <v>24999639</v>
      </c>
      <c r="P7915">
        <v>24930000</v>
      </c>
      <c r="Q7915">
        <v>24930000</v>
      </c>
      <c r="R7915" s="14">
        <f>_xlfn.XLOOKUP(Table2[[#This Row],[LoanID]],Table1[G-L ID],Table1[ManagerCode],-99)</f>
        <v>220</v>
      </c>
      <c r="T7915"/>
    </row>
    <row r="7916" spans="1:20" x14ac:dyDescent="0.25">
      <c r="A7916">
        <v>20181130</v>
      </c>
      <c r="B7916">
        <v>2018</v>
      </c>
      <c r="C7916">
        <v>11</v>
      </c>
      <c r="D7916">
        <v>1</v>
      </c>
      <c r="E7916">
        <v>14820</v>
      </c>
      <c r="F7916">
        <v>117411.48</v>
      </c>
      <c r="G7916">
        <v>0</v>
      </c>
      <c r="H7916">
        <v>0</v>
      </c>
      <c r="I7916">
        <v>0</v>
      </c>
      <c r="J7916">
        <v>0</v>
      </c>
      <c r="K7916">
        <v>0</v>
      </c>
      <c r="L7916">
        <v>22623000</v>
      </c>
      <c r="M7916">
        <v>22623000</v>
      </c>
      <c r="N7916">
        <v>22623000</v>
      </c>
      <c r="O7916">
        <v>22623000</v>
      </c>
      <c r="P7916">
        <v>22623000</v>
      </c>
      <c r="Q7916">
        <v>22623000</v>
      </c>
      <c r="R7916" s="14">
        <f>_xlfn.XLOOKUP(Table2[[#This Row],[LoanID]],Table1[G-L ID],Table1[ManagerCode],-99)</f>
        <v>220</v>
      </c>
      <c r="T7916"/>
    </row>
    <row r="7917" spans="1:20" x14ac:dyDescent="0.25">
      <c r="A7917">
        <v>20181130</v>
      </c>
      <c r="B7917">
        <v>2018</v>
      </c>
      <c r="C7917">
        <v>11</v>
      </c>
      <c r="D7917">
        <v>1</v>
      </c>
      <c r="E7917">
        <v>14830</v>
      </c>
      <c r="F7917">
        <v>86904.88</v>
      </c>
      <c r="G7917">
        <v>0</v>
      </c>
      <c r="H7917">
        <v>0</v>
      </c>
      <c r="I7917">
        <v>0</v>
      </c>
      <c r="J7917">
        <v>0</v>
      </c>
      <c r="K7917">
        <v>0</v>
      </c>
      <c r="L7917">
        <v>34429120</v>
      </c>
      <c r="M7917">
        <v>34429120</v>
      </c>
      <c r="N7917">
        <v>14475406.6</v>
      </c>
      <c r="O7917">
        <v>14475406.6</v>
      </c>
      <c r="P7917">
        <v>34396959.829999998</v>
      </c>
      <c r="Q7917">
        <v>34396959.829999998</v>
      </c>
      <c r="R7917" s="14">
        <f>_xlfn.XLOOKUP(Table2[[#This Row],[LoanID]],Table1[G-L ID],Table1[ManagerCode],-99)</f>
        <v>220</v>
      </c>
      <c r="T7917"/>
    </row>
    <row r="7918" spans="1:20" x14ac:dyDescent="0.25">
      <c r="A7918">
        <v>20181130</v>
      </c>
      <c r="B7918">
        <v>2018</v>
      </c>
      <c r="C7918">
        <v>11</v>
      </c>
      <c r="D7918">
        <v>1</v>
      </c>
      <c r="E7918">
        <v>14840</v>
      </c>
      <c r="F7918">
        <v>75452.13</v>
      </c>
      <c r="G7918">
        <v>0</v>
      </c>
      <c r="H7918">
        <v>0</v>
      </c>
      <c r="I7918">
        <v>0</v>
      </c>
      <c r="J7918">
        <v>0</v>
      </c>
      <c r="K7918">
        <v>0</v>
      </c>
      <c r="L7918">
        <v>31630119</v>
      </c>
      <c r="M7918">
        <v>31630119</v>
      </c>
      <c r="N7918">
        <v>13138119</v>
      </c>
      <c r="O7918">
        <v>13138119</v>
      </c>
      <c r="P7918">
        <v>31997555.059999999</v>
      </c>
      <c r="Q7918">
        <v>31997555.059999999</v>
      </c>
      <c r="R7918" s="14">
        <f>_xlfn.XLOOKUP(Table2[[#This Row],[LoanID]],Table1[G-L ID],Table1[ManagerCode],-99)</f>
        <v>220</v>
      </c>
      <c r="T7918"/>
    </row>
    <row r="7919" spans="1:20" x14ac:dyDescent="0.25">
      <c r="A7919">
        <v>20181130</v>
      </c>
      <c r="B7919">
        <v>2018</v>
      </c>
      <c r="C7919">
        <v>11</v>
      </c>
      <c r="D7919">
        <v>1</v>
      </c>
      <c r="E7919">
        <v>14850</v>
      </c>
      <c r="F7919">
        <v>180990.9</v>
      </c>
      <c r="G7919">
        <v>0</v>
      </c>
      <c r="H7919">
        <v>0</v>
      </c>
      <c r="I7919">
        <v>0</v>
      </c>
      <c r="J7919">
        <v>0</v>
      </c>
      <c r="K7919">
        <v>0</v>
      </c>
      <c r="L7919">
        <v>77806401</v>
      </c>
      <c r="M7919">
        <v>77806401</v>
      </c>
      <c r="N7919">
        <v>32535923.399999999</v>
      </c>
      <c r="O7919">
        <v>32535923.399999999</v>
      </c>
      <c r="P7919">
        <v>78327628.75</v>
      </c>
      <c r="Q7919">
        <v>78327628.75</v>
      </c>
      <c r="R7919" s="14">
        <f>_xlfn.XLOOKUP(Table2[[#This Row],[LoanID]],Table1[G-L ID],Table1[ManagerCode],-99)</f>
        <v>220</v>
      </c>
      <c r="T7919"/>
    </row>
    <row r="7920" spans="1:20" x14ac:dyDescent="0.25">
      <c r="A7920">
        <v>20181130</v>
      </c>
      <c r="B7920">
        <v>2018</v>
      </c>
      <c r="C7920">
        <v>11</v>
      </c>
      <c r="D7920">
        <v>1</v>
      </c>
      <c r="E7920">
        <v>14860</v>
      </c>
      <c r="F7920">
        <v>164073.42000000001</v>
      </c>
      <c r="G7920">
        <v>0</v>
      </c>
      <c r="H7920">
        <v>0</v>
      </c>
      <c r="I7920">
        <v>0</v>
      </c>
      <c r="J7920">
        <v>0</v>
      </c>
      <c r="K7920">
        <v>0</v>
      </c>
      <c r="L7920">
        <v>64964912</v>
      </c>
      <c r="M7920">
        <v>64964912</v>
      </c>
      <c r="N7920">
        <v>26105912</v>
      </c>
      <c r="O7920">
        <v>26105912</v>
      </c>
      <c r="P7920">
        <v>64765000</v>
      </c>
      <c r="Q7920">
        <v>64765000</v>
      </c>
      <c r="R7920" s="14">
        <f>_xlfn.XLOOKUP(Table2[[#This Row],[LoanID]],Table1[G-L ID],Table1[ManagerCode],-99)</f>
        <v>220</v>
      </c>
      <c r="T7920"/>
    </row>
    <row r="7921" spans="1:20" x14ac:dyDescent="0.25">
      <c r="A7921">
        <v>20181130</v>
      </c>
      <c r="B7921">
        <v>2018</v>
      </c>
      <c r="C7921">
        <v>11</v>
      </c>
      <c r="D7921">
        <v>1</v>
      </c>
      <c r="E7921">
        <v>14870</v>
      </c>
      <c r="F7921">
        <v>235583.97</v>
      </c>
      <c r="G7921">
        <v>0</v>
      </c>
      <c r="H7921">
        <v>0</v>
      </c>
      <c r="I7921">
        <v>0</v>
      </c>
      <c r="J7921">
        <v>0</v>
      </c>
      <c r="K7921">
        <v>0</v>
      </c>
      <c r="L7921">
        <v>47519674</v>
      </c>
      <c r="M7921">
        <v>47519674</v>
      </c>
      <c r="N7921">
        <v>47519674</v>
      </c>
      <c r="O7921">
        <v>47519674</v>
      </c>
      <c r="P7921">
        <v>47357000</v>
      </c>
      <c r="Q7921">
        <v>47357000</v>
      </c>
      <c r="R7921" s="14">
        <f>_xlfn.XLOOKUP(Table2[[#This Row],[LoanID]],Table1[G-L ID],Table1[ManagerCode],-99)</f>
        <v>220</v>
      </c>
      <c r="T7921"/>
    </row>
    <row r="7922" spans="1:20" x14ac:dyDescent="0.25">
      <c r="A7922">
        <v>20181130</v>
      </c>
      <c r="B7922">
        <v>2018</v>
      </c>
      <c r="C7922">
        <v>11</v>
      </c>
      <c r="D7922">
        <v>1</v>
      </c>
      <c r="E7922">
        <v>14880</v>
      </c>
      <c r="F7922">
        <v>131810.6</v>
      </c>
      <c r="G7922">
        <v>0</v>
      </c>
      <c r="H7922">
        <v>0</v>
      </c>
      <c r="I7922">
        <v>0</v>
      </c>
      <c r="J7922">
        <v>0</v>
      </c>
      <c r="K7922">
        <v>0</v>
      </c>
      <c r="L7922">
        <v>18043089</v>
      </c>
      <c r="M7922">
        <v>18043089</v>
      </c>
      <c r="N7922">
        <v>18043089</v>
      </c>
      <c r="O7922">
        <v>18043089</v>
      </c>
      <c r="P7922">
        <v>17951257</v>
      </c>
      <c r="Q7922">
        <v>17951257</v>
      </c>
      <c r="R7922" s="14">
        <f>_xlfn.XLOOKUP(Table2[[#This Row],[LoanID]],Table1[G-L ID],Table1[ManagerCode],-99)</f>
        <v>220</v>
      </c>
      <c r="T7922"/>
    </row>
    <row r="7923" spans="1:20" x14ac:dyDescent="0.25">
      <c r="A7923">
        <v>20181130</v>
      </c>
      <c r="B7923">
        <v>2018</v>
      </c>
      <c r="C7923">
        <v>11</v>
      </c>
      <c r="D7923">
        <v>1</v>
      </c>
      <c r="E7923">
        <v>14890</v>
      </c>
      <c r="F7923">
        <v>-50036.84</v>
      </c>
      <c r="G7923">
        <v>0</v>
      </c>
      <c r="H7923">
        <v>306000</v>
      </c>
      <c r="I7923">
        <v>0</v>
      </c>
      <c r="J7923">
        <v>-34000000</v>
      </c>
      <c r="K7923">
        <v>22100000</v>
      </c>
      <c r="L7923">
        <v>0</v>
      </c>
      <c r="M7923">
        <v>34000000</v>
      </c>
      <c r="N7923">
        <v>0</v>
      </c>
      <c r="O7923">
        <v>11900000</v>
      </c>
      <c r="P7923">
        <v>0</v>
      </c>
      <c r="Q7923">
        <v>34000000</v>
      </c>
      <c r="R7923" s="14">
        <f>_xlfn.XLOOKUP(Table2[[#This Row],[LoanID]],Table1[G-L ID],Table1[ManagerCode],-99)</f>
        <v>220</v>
      </c>
      <c r="T7923"/>
    </row>
    <row r="7924" spans="1:20" x14ac:dyDescent="0.25">
      <c r="A7924">
        <v>20181130</v>
      </c>
      <c r="B7924">
        <v>2018</v>
      </c>
      <c r="C7924">
        <v>11</v>
      </c>
      <c r="D7924">
        <v>1</v>
      </c>
      <c r="E7924">
        <v>14900</v>
      </c>
      <c r="F7924">
        <v>95976.56</v>
      </c>
      <c r="G7924">
        <v>0</v>
      </c>
      <c r="H7924">
        <v>0</v>
      </c>
      <c r="I7924">
        <v>0</v>
      </c>
      <c r="J7924">
        <v>0</v>
      </c>
      <c r="K7924">
        <v>0</v>
      </c>
      <c r="L7924">
        <v>64174866</v>
      </c>
      <c r="M7924">
        <v>64174866</v>
      </c>
      <c r="N7924">
        <v>22574866</v>
      </c>
      <c r="O7924">
        <v>22574866</v>
      </c>
      <c r="P7924">
        <v>64000000</v>
      </c>
      <c r="Q7924">
        <v>64000000</v>
      </c>
      <c r="R7924" s="14">
        <f>_xlfn.XLOOKUP(Table2[[#This Row],[LoanID]],Table1[G-L ID],Table1[ManagerCode],-99)</f>
        <v>220</v>
      </c>
      <c r="T7924"/>
    </row>
    <row r="7925" spans="1:20" x14ac:dyDescent="0.25">
      <c r="A7925">
        <v>20181130</v>
      </c>
      <c r="B7925">
        <v>2018</v>
      </c>
      <c r="C7925">
        <v>11</v>
      </c>
      <c r="D7925">
        <v>1</v>
      </c>
      <c r="E7925">
        <v>14930</v>
      </c>
      <c r="F7925">
        <v>126759.8</v>
      </c>
      <c r="G7925">
        <v>0</v>
      </c>
      <c r="H7925">
        <v>0</v>
      </c>
      <c r="I7925">
        <v>0</v>
      </c>
      <c r="J7925">
        <v>0</v>
      </c>
      <c r="K7925">
        <v>0</v>
      </c>
      <c r="L7925">
        <v>55000000</v>
      </c>
      <c r="M7925">
        <v>55000000</v>
      </c>
      <c r="N7925">
        <v>19250000</v>
      </c>
      <c r="O7925">
        <v>19250000</v>
      </c>
      <c r="P7925">
        <v>55000000</v>
      </c>
      <c r="Q7925">
        <v>55000000</v>
      </c>
      <c r="R7925" s="14">
        <f>_xlfn.XLOOKUP(Table2[[#This Row],[LoanID]],Table1[G-L ID],Table1[ManagerCode],-99)</f>
        <v>220</v>
      </c>
      <c r="T7925"/>
    </row>
    <row r="7926" spans="1:20" x14ac:dyDescent="0.25">
      <c r="A7926">
        <v>20181130</v>
      </c>
      <c r="B7926">
        <v>2018</v>
      </c>
      <c r="C7926">
        <v>11</v>
      </c>
      <c r="D7926">
        <v>1</v>
      </c>
      <c r="E7926">
        <v>14940</v>
      </c>
      <c r="F7926">
        <v>235134.44</v>
      </c>
      <c r="G7926">
        <v>0</v>
      </c>
      <c r="H7926">
        <v>0</v>
      </c>
      <c r="I7926">
        <v>0</v>
      </c>
      <c r="J7926">
        <v>-2286748.0499999998</v>
      </c>
      <c r="K7926">
        <v>0</v>
      </c>
      <c r="L7926">
        <v>60991589</v>
      </c>
      <c r="M7926">
        <v>60991589</v>
      </c>
      <c r="N7926">
        <v>60991589</v>
      </c>
      <c r="O7926">
        <v>60991589</v>
      </c>
      <c r="P7926">
        <v>60991589</v>
      </c>
      <c r="Q7926">
        <v>63278337.049999997</v>
      </c>
      <c r="R7926" s="14">
        <f>_xlfn.XLOOKUP(Table2[[#This Row],[LoanID]],Table1[G-L ID],Table1[ManagerCode],-99)</f>
        <v>220</v>
      </c>
      <c r="T7926"/>
    </row>
    <row r="7927" spans="1:20" x14ac:dyDescent="0.25">
      <c r="A7927">
        <v>20181130</v>
      </c>
      <c r="B7927">
        <v>2018</v>
      </c>
      <c r="C7927">
        <v>11</v>
      </c>
      <c r="D7927">
        <v>1</v>
      </c>
      <c r="E7927">
        <v>14950</v>
      </c>
      <c r="F7927">
        <v>219411.11</v>
      </c>
      <c r="G7927">
        <v>0</v>
      </c>
      <c r="H7927">
        <v>0</v>
      </c>
      <c r="I7927">
        <v>0</v>
      </c>
      <c r="J7927">
        <v>0</v>
      </c>
      <c r="K7927">
        <v>0</v>
      </c>
      <c r="L7927">
        <v>35000000</v>
      </c>
      <c r="M7927">
        <v>35000000</v>
      </c>
      <c r="N7927">
        <v>35000000</v>
      </c>
      <c r="O7927">
        <v>35000000</v>
      </c>
      <c r="P7927">
        <v>35000000</v>
      </c>
      <c r="Q7927">
        <v>35000000</v>
      </c>
      <c r="R7927" s="14">
        <f>_xlfn.XLOOKUP(Table2[[#This Row],[LoanID]],Table1[G-L ID],Table1[ManagerCode],-99)</f>
        <v>220</v>
      </c>
      <c r="T7927"/>
    </row>
    <row r="7928" spans="1:20" x14ac:dyDescent="0.25">
      <c r="A7928">
        <v>20181130</v>
      </c>
      <c r="B7928">
        <v>2018</v>
      </c>
      <c r="C7928">
        <v>11</v>
      </c>
      <c r="D7928">
        <v>1</v>
      </c>
      <c r="E7928">
        <v>14960</v>
      </c>
      <c r="F7928">
        <v>64126.21</v>
      </c>
      <c r="G7928">
        <v>0</v>
      </c>
      <c r="H7928">
        <v>0</v>
      </c>
      <c r="I7928">
        <v>0</v>
      </c>
      <c r="J7928">
        <v>0</v>
      </c>
      <c r="K7928">
        <v>0</v>
      </c>
      <c r="L7928">
        <v>14872008</v>
      </c>
      <c r="M7928">
        <v>14872008</v>
      </c>
      <c r="N7928">
        <v>14872008</v>
      </c>
      <c r="O7928">
        <v>14872008</v>
      </c>
      <c r="P7928">
        <v>14805000</v>
      </c>
      <c r="Q7928">
        <v>14805000</v>
      </c>
      <c r="R7928" s="14">
        <f>_xlfn.XLOOKUP(Table2[[#This Row],[LoanID]],Table1[G-L ID],Table1[ManagerCode],-99)</f>
        <v>220</v>
      </c>
      <c r="T7928"/>
    </row>
    <row r="7929" spans="1:20" x14ac:dyDescent="0.25">
      <c r="A7929">
        <v>20181130</v>
      </c>
      <c r="B7929">
        <v>2018</v>
      </c>
      <c r="C7929">
        <v>11</v>
      </c>
      <c r="D7929">
        <v>1</v>
      </c>
      <c r="E7929">
        <v>15030</v>
      </c>
      <c r="F7929">
        <v>89408.56</v>
      </c>
      <c r="G7929">
        <v>0</v>
      </c>
      <c r="H7929">
        <v>0</v>
      </c>
      <c r="I7929">
        <v>0</v>
      </c>
      <c r="J7929">
        <v>-366307.91</v>
      </c>
      <c r="K7929">
        <v>0</v>
      </c>
      <c r="L7929">
        <v>37672133</v>
      </c>
      <c r="M7929">
        <v>37672133</v>
      </c>
      <c r="N7929">
        <v>13842796.220000001</v>
      </c>
      <c r="O7929">
        <v>13842796.220000001</v>
      </c>
      <c r="P7929">
        <v>37817675.079999998</v>
      </c>
      <c r="Q7929">
        <v>38183982.990000002</v>
      </c>
      <c r="R7929" s="14">
        <f>_xlfn.XLOOKUP(Table2[[#This Row],[LoanID]],Table1[G-L ID],Table1[ManagerCode],-99)</f>
        <v>220</v>
      </c>
      <c r="T7929"/>
    </row>
    <row r="7930" spans="1:20" x14ac:dyDescent="0.25">
      <c r="A7930">
        <v>20181130</v>
      </c>
      <c r="B7930">
        <v>2018</v>
      </c>
      <c r="C7930">
        <v>11</v>
      </c>
      <c r="D7930">
        <v>1</v>
      </c>
      <c r="E7930">
        <v>15540</v>
      </c>
      <c r="F7930">
        <v>286168.75</v>
      </c>
      <c r="G7930">
        <v>3728.56</v>
      </c>
      <c r="H7930">
        <v>0</v>
      </c>
      <c r="I7930">
        <v>-2260.42</v>
      </c>
      <c r="J7930">
        <v>-2495246.7200000002</v>
      </c>
      <c r="K7930">
        <v>0</v>
      </c>
      <c r="L7930">
        <v>52786168.75</v>
      </c>
      <c r="M7930">
        <v>55285144.030000001</v>
      </c>
      <c r="N7930">
        <v>52786168.75</v>
      </c>
      <c r="O7930">
        <v>55285144.030000001</v>
      </c>
      <c r="P7930">
        <v>52786168.75</v>
      </c>
      <c r="Q7930">
        <v>55285144.030000001</v>
      </c>
      <c r="R7930" s="14">
        <f>_xlfn.XLOOKUP(Table2[[#This Row],[LoanID]],Table1[G-L ID],Table1[ManagerCode],-99)</f>
        <v>212</v>
      </c>
      <c r="T7930"/>
    </row>
    <row r="7931" spans="1:20" x14ac:dyDescent="0.25">
      <c r="A7931">
        <v>20181130</v>
      </c>
      <c r="B7931">
        <v>2018</v>
      </c>
      <c r="C7931">
        <v>11</v>
      </c>
      <c r="D7931">
        <v>1</v>
      </c>
      <c r="E7931">
        <v>15580</v>
      </c>
      <c r="F7931">
        <v>115573.07</v>
      </c>
      <c r="G7931">
        <v>-3788.5</v>
      </c>
      <c r="H7931">
        <v>0</v>
      </c>
      <c r="I7931">
        <v>0</v>
      </c>
      <c r="J7931">
        <v>0</v>
      </c>
      <c r="K7931">
        <v>7828.24</v>
      </c>
      <c r="L7931">
        <v>14625183.17</v>
      </c>
      <c r="M7931">
        <v>14613566.43</v>
      </c>
      <c r="N7931">
        <v>14625183.17</v>
      </c>
      <c r="O7931">
        <v>14613566.43</v>
      </c>
      <c r="P7931">
        <v>14625183.17</v>
      </c>
      <c r="Q7931">
        <v>14613566.43</v>
      </c>
      <c r="R7931" s="14">
        <f>_xlfn.XLOOKUP(Table2[[#This Row],[LoanID]],Table1[G-L ID],Table1[ManagerCode],-99)</f>
        <v>212</v>
      </c>
      <c r="T7931"/>
    </row>
    <row r="7932" spans="1:20" x14ac:dyDescent="0.25">
      <c r="A7932">
        <v>20181130</v>
      </c>
      <c r="B7932">
        <v>2018</v>
      </c>
      <c r="C7932">
        <v>11</v>
      </c>
      <c r="D7932">
        <v>1</v>
      </c>
      <c r="E7932">
        <v>15610</v>
      </c>
      <c r="F7932">
        <v>859347.56</v>
      </c>
      <c r="G7932">
        <v>-16259.19</v>
      </c>
      <c r="H7932">
        <v>0</v>
      </c>
      <c r="I7932">
        <v>-8542.2199999999993</v>
      </c>
      <c r="J7932">
        <v>-2594949.4700000002</v>
      </c>
      <c r="K7932">
        <v>0</v>
      </c>
      <c r="L7932">
        <v>199259347.59999999</v>
      </c>
      <c r="M7932">
        <v>201838037.80000001</v>
      </c>
      <c r="N7932">
        <v>199259347.59999999</v>
      </c>
      <c r="O7932">
        <v>201838037.80000001</v>
      </c>
      <c r="P7932">
        <v>199259347.59999999</v>
      </c>
      <c r="Q7932">
        <v>201838037.80000001</v>
      </c>
      <c r="R7932" s="14">
        <f>_xlfn.XLOOKUP(Table2[[#This Row],[LoanID]],Table1[G-L ID],Table1[ManagerCode],-99)</f>
        <v>212</v>
      </c>
      <c r="T7932"/>
    </row>
    <row r="7933" spans="1:20" x14ac:dyDescent="0.25">
      <c r="A7933">
        <v>20181130</v>
      </c>
      <c r="B7933">
        <v>2018</v>
      </c>
      <c r="C7933">
        <v>11</v>
      </c>
      <c r="D7933">
        <v>1</v>
      </c>
      <c r="E7933">
        <v>15620</v>
      </c>
      <c r="F7933">
        <v>346254.78</v>
      </c>
      <c r="G7933">
        <v>-8948.68</v>
      </c>
      <c r="H7933">
        <v>0</v>
      </c>
      <c r="I7933">
        <v>-3374.8</v>
      </c>
      <c r="J7933">
        <v>0</v>
      </c>
      <c r="K7933">
        <v>0</v>
      </c>
      <c r="L7933">
        <v>78728773.780000001</v>
      </c>
      <c r="M7933">
        <v>78719825.099999994</v>
      </c>
      <c r="N7933">
        <v>78728773.780000001</v>
      </c>
      <c r="O7933">
        <v>78719825.099999994</v>
      </c>
      <c r="P7933">
        <v>78728773.780000001</v>
      </c>
      <c r="Q7933">
        <v>78719825.099999994</v>
      </c>
      <c r="R7933" s="14">
        <f>_xlfn.XLOOKUP(Table2[[#This Row],[LoanID]],Table1[G-L ID],Table1[ManagerCode],-99)</f>
        <v>212</v>
      </c>
      <c r="T7933"/>
    </row>
    <row r="7934" spans="1:20" x14ac:dyDescent="0.25">
      <c r="A7934">
        <v>20181231</v>
      </c>
      <c r="B7934">
        <v>2018</v>
      </c>
      <c r="C7934">
        <v>12</v>
      </c>
      <c r="D7934">
        <v>1</v>
      </c>
      <c r="E7934">
        <v>10010</v>
      </c>
      <c r="F7934">
        <v>200314.82</v>
      </c>
      <c r="G7934">
        <v>0</v>
      </c>
      <c r="H7934">
        <v>0</v>
      </c>
      <c r="I7934">
        <v>0</v>
      </c>
      <c r="J7934">
        <v>0</v>
      </c>
      <c r="K7934">
        <v>31830.77</v>
      </c>
      <c r="L7934">
        <v>18389874.050000001</v>
      </c>
      <c r="M7934">
        <v>18358043.280000001</v>
      </c>
      <c r="N7934">
        <v>18389874.050000001</v>
      </c>
      <c r="O7934">
        <v>18358043.280000001</v>
      </c>
      <c r="P7934">
        <v>18389874.050000001</v>
      </c>
      <c r="Q7934">
        <v>18358043.280000001</v>
      </c>
      <c r="R7934" s="14">
        <f>_xlfn.XLOOKUP(Table2[[#This Row],[LoanID]],Table1[G-L ID],Table1[ManagerCode],-99)</f>
        <v>119</v>
      </c>
      <c r="T7934"/>
    </row>
    <row r="7935" spans="1:20" x14ac:dyDescent="0.25">
      <c r="A7935">
        <v>20181231</v>
      </c>
      <c r="B7935">
        <v>2018</v>
      </c>
      <c r="C7935">
        <v>12</v>
      </c>
      <c r="D7935">
        <v>1</v>
      </c>
      <c r="E7935">
        <v>10050</v>
      </c>
      <c r="F7935">
        <v>149013.89000000001</v>
      </c>
      <c r="G7935">
        <v>0</v>
      </c>
      <c r="H7935">
        <v>0</v>
      </c>
      <c r="I7935">
        <v>-69.45</v>
      </c>
      <c r="J7935">
        <v>0</v>
      </c>
      <c r="K7935">
        <v>0</v>
      </c>
      <c r="L7935">
        <v>35606556</v>
      </c>
      <c r="M7935">
        <v>36210744</v>
      </c>
      <c r="N7935">
        <v>35606556</v>
      </c>
      <c r="O7935">
        <v>36210744</v>
      </c>
      <c r="P7935">
        <v>33333334</v>
      </c>
      <c r="Q7935">
        <v>33333334</v>
      </c>
      <c r="R7935" s="14">
        <f>_xlfn.XLOOKUP(Table2[[#This Row],[LoanID]],Table1[G-L ID],Table1[ManagerCode],-99)</f>
        <v>103</v>
      </c>
      <c r="T7935"/>
    </row>
    <row r="7936" spans="1:20" x14ac:dyDescent="0.25">
      <c r="A7936">
        <v>20181231</v>
      </c>
      <c r="B7936">
        <v>2018</v>
      </c>
      <c r="C7936">
        <v>12</v>
      </c>
      <c r="D7936">
        <v>1</v>
      </c>
      <c r="E7936">
        <v>10070</v>
      </c>
      <c r="F7936">
        <v>219414.93</v>
      </c>
      <c r="G7936">
        <v>0</v>
      </c>
      <c r="H7936">
        <v>0</v>
      </c>
      <c r="I7936">
        <v>0</v>
      </c>
      <c r="J7936">
        <v>0</v>
      </c>
      <c r="K7936">
        <v>5875000</v>
      </c>
      <c r="L7936">
        <v>5875000</v>
      </c>
      <c r="M7936">
        <v>0</v>
      </c>
      <c r="N7936">
        <v>5875000</v>
      </c>
      <c r="O7936">
        <v>0</v>
      </c>
      <c r="P7936">
        <v>5875000</v>
      </c>
      <c r="Q7936">
        <v>0</v>
      </c>
      <c r="R7936" s="14">
        <f>_xlfn.XLOOKUP(Table2[[#This Row],[LoanID]],Table1[G-L ID],Table1[ManagerCode],-99)</f>
        <v>119</v>
      </c>
      <c r="T7936"/>
    </row>
    <row r="7937" spans="1:20" x14ac:dyDescent="0.25">
      <c r="A7937">
        <v>20181231</v>
      </c>
      <c r="B7937">
        <v>2018</v>
      </c>
      <c r="C7937">
        <v>12</v>
      </c>
      <c r="D7937">
        <v>1</v>
      </c>
      <c r="E7937">
        <v>10220</v>
      </c>
      <c r="F7937">
        <v>559722.22</v>
      </c>
      <c r="G7937">
        <v>0</v>
      </c>
      <c r="H7937">
        <v>0</v>
      </c>
      <c r="I7937">
        <v>0</v>
      </c>
      <c r="J7937">
        <v>0</v>
      </c>
      <c r="K7937">
        <v>0</v>
      </c>
      <c r="L7937">
        <v>108058854</v>
      </c>
      <c r="M7937">
        <v>109081855</v>
      </c>
      <c r="N7937">
        <v>108058854</v>
      </c>
      <c r="O7937">
        <v>109081855</v>
      </c>
      <c r="P7937">
        <v>100000000</v>
      </c>
      <c r="Q7937">
        <v>100000000</v>
      </c>
      <c r="R7937" s="14">
        <f>_xlfn.XLOOKUP(Table2[[#This Row],[LoanID]],Table1[G-L ID],Table1[ManagerCode],-99)</f>
        <v>103</v>
      </c>
      <c r="T7937"/>
    </row>
    <row r="7938" spans="1:20" x14ac:dyDescent="0.25">
      <c r="A7938">
        <v>20181231</v>
      </c>
      <c r="B7938">
        <v>2018</v>
      </c>
      <c r="C7938">
        <v>12</v>
      </c>
      <c r="D7938">
        <v>1</v>
      </c>
      <c r="E7938">
        <v>10250</v>
      </c>
      <c r="F7938">
        <v>58695.83</v>
      </c>
      <c r="G7938">
        <v>0</v>
      </c>
      <c r="H7938">
        <v>0</v>
      </c>
      <c r="I7938">
        <v>0</v>
      </c>
      <c r="J7938">
        <v>0</v>
      </c>
      <c r="K7938">
        <v>0</v>
      </c>
      <c r="L7938">
        <v>5000000</v>
      </c>
      <c r="M7938">
        <v>5000000</v>
      </c>
      <c r="N7938">
        <v>5000000</v>
      </c>
      <c r="O7938">
        <v>5000000</v>
      </c>
      <c r="P7938">
        <v>5000000</v>
      </c>
      <c r="Q7938">
        <v>5000000</v>
      </c>
      <c r="R7938" s="14">
        <f>_xlfn.XLOOKUP(Table2[[#This Row],[LoanID]],Table1[G-L ID],Table1[ManagerCode],-99)</f>
        <v>119</v>
      </c>
      <c r="T7938"/>
    </row>
    <row r="7939" spans="1:20" x14ac:dyDescent="0.25">
      <c r="A7939">
        <v>20181231</v>
      </c>
      <c r="B7939">
        <v>2018</v>
      </c>
      <c r="C7939">
        <v>12</v>
      </c>
      <c r="D7939">
        <v>1</v>
      </c>
      <c r="E7939">
        <v>10270</v>
      </c>
      <c r="F7939">
        <v>50355.38</v>
      </c>
      <c r="G7939">
        <v>0</v>
      </c>
      <c r="H7939">
        <v>0</v>
      </c>
      <c r="I7939">
        <v>0</v>
      </c>
      <c r="J7939">
        <v>0</v>
      </c>
      <c r="K7939">
        <v>0</v>
      </c>
      <c r="L7939">
        <v>4500000</v>
      </c>
      <c r="M7939">
        <v>4500000</v>
      </c>
      <c r="N7939">
        <v>4500000</v>
      </c>
      <c r="O7939">
        <v>4500000</v>
      </c>
      <c r="P7939">
        <v>4500000</v>
      </c>
      <c r="Q7939">
        <v>4500000</v>
      </c>
      <c r="R7939" s="14">
        <f>_xlfn.XLOOKUP(Table2[[#This Row],[LoanID]],Table1[G-L ID],Table1[ManagerCode],-99)</f>
        <v>119</v>
      </c>
      <c r="T7939"/>
    </row>
    <row r="7940" spans="1:20" x14ac:dyDescent="0.25">
      <c r="A7940">
        <v>20181231</v>
      </c>
      <c r="B7940">
        <v>2018</v>
      </c>
      <c r="C7940">
        <v>12</v>
      </c>
      <c r="D7940">
        <v>1</v>
      </c>
      <c r="E7940">
        <v>10330</v>
      </c>
      <c r="F7940">
        <v>96189.85</v>
      </c>
      <c r="G7940">
        <v>0</v>
      </c>
      <c r="H7940">
        <v>0</v>
      </c>
      <c r="I7940">
        <v>0</v>
      </c>
      <c r="J7940">
        <v>0</v>
      </c>
      <c r="K7940">
        <v>0</v>
      </c>
      <c r="L7940">
        <v>8652759.6999999993</v>
      </c>
      <c r="M7940">
        <v>8652759.6999999993</v>
      </c>
      <c r="N7940">
        <v>8652759.6999999993</v>
      </c>
      <c r="O7940">
        <v>8652759.6999999993</v>
      </c>
      <c r="P7940">
        <v>8652759.6999999993</v>
      </c>
      <c r="Q7940">
        <v>8652759.6999999993</v>
      </c>
      <c r="R7940" s="14">
        <f>_xlfn.XLOOKUP(Table2[[#This Row],[LoanID]],Table1[G-L ID],Table1[ManagerCode],-99)</f>
        <v>119</v>
      </c>
      <c r="T7940"/>
    </row>
    <row r="7941" spans="1:20" x14ac:dyDescent="0.25">
      <c r="A7941">
        <v>20181231</v>
      </c>
      <c r="B7941">
        <v>2018</v>
      </c>
      <c r="C7941">
        <v>12</v>
      </c>
      <c r="D7941">
        <v>1</v>
      </c>
      <c r="E7941">
        <v>10360</v>
      </c>
      <c r="F7941">
        <v>57858.96</v>
      </c>
      <c r="G7941">
        <v>0</v>
      </c>
      <c r="H7941">
        <v>0</v>
      </c>
      <c r="I7941">
        <v>0</v>
      </c>
      <c r="J7941">
        <v>0</v>
      </c>
      <c r="K7941">
        <v>0</v>
      </c>
      <c r="L7941">
        <v>5909000</v>
      </c>
      <c r="M7941">
        <v>5909000</v>
      </c>
      <c r="N7941">
        <v>5909000</v>
      </c>
      <c r="O7941">
        <v>5909000</v>
      </c>
      <c r="P7941">
        <v>5909000</v>
      </c>
      <c r="Q7941">
        <v>5909000</v>
      </c>
      <c r="R7941" s="14">
        <f>_xlfn.XLOOKUP(Table2[[#This Row],[LoanID]],Table1[G-L ID],Table1[ManagerCode],-99)</f>
        <v>183</v>
      </c>
      <c r="T7941"/>
    </row>
    <row r="7942" spans="1:20" x14ac:dyDescent="0.25">
      <c r="A7942">
        <v>20181231</v>
      </c>
      <c r="B7942">
        <v>2018</v>
      </c>
      <c r="C7942">
        <v>12</v>
      </c>
      <c r="D7942">
        <v>1</v>
      </c>
      <c r="E7942">
        <v>10730</v>
      </c>
      <c r="F7942">
        <v>111055.79</v>
      </c>
      <c r="G7942">
        <v>0</v>
      </c>
      <c r="H7942">
        <v>0</v>
      </c>
      <c r="I7942">
        <v>0</v>
      </c>
      <c r="J7942">
        <v>0</v>
      </c>
      <c r="K7942">
        <v>0</v>
      </c>
      <c r="L7942">
        <v>9500000</v>
      </c>
      <c r="M7942">
        <v>9500000</v>
      </c>
      <c r="N7942">
        <v>9500000</v>
      </c>
      <c r="O7942">
        <v>9500000</v>
      </c>
      <c r="P7942">
        <v>9500000</v>
      </c>
      <c r="Q7942">
        <v>9500000</v>
      </c>
      <c r="R7942" s="14">
        <f>_xlfn.XLOOKUP(Table2[[#This Row],[LoanID]],Table1[G-L ID],Table1[ManagerCode],-99)</f>
        <v>119</v>
      </c>
      <c r="T7942"/>
    </row>
    <row r="7943" spans="1:20" x14ac:dyDescent="0.25">
      <c r="A7943">
        <v>20181231</v>
      </c>
      <c r="B7943">
        <v>2018</v>
      </c>
      <c r="C7943">
        <v>12</v>
      </c>
      <c r="D7943">
        <v>1</v>
      </c>
      <c r="E7943">
        <v>10790</v>
      </c>
      <c r="F7943">
        <v>20990.98</v>
      </c>
      <c r="G7943">
        <v>0</v>
      </c>
      <c r="H7943">
        <v>0</v>
      </c>
      <c r="I7943">
        <v>0</v>
      </c>
      <c r="J7943">
        <v>0</v>
      </c>
      <c r="K7943">
        <v>48477.27</v>
      </c>
      <c r="L7943">
        <v>4566161</v>
      </c>
      <c r="M7943">
        <v>4518659</v>
      </c>
      <c r="N7943">
        <v>4566161</v>
      </c>
      <c r="O7943">
        <v>4518659</v>
      </c>
      <c r="P7943">
        <v>4482059.99</v>
      </c>
      <c r="Q7943">
        <v>4433582.72</v>
      </c>
      <c r="R7943" s="14">
        <f>_xlfn.XLOOKUP(Table2[[#This Row],[LoanID]],Table1[G-L ID],Table1[ManagerCode],-99)</f>
        <v>103</v>
      </c>
      <c r="T7943"/>
    </row>
    <row r="7944" spans="1:20" x14ac:dyDescent="0.25">
      <c r="A7944">
        <v>20181231</v>
      </c>
      <c r="B7944">
        <v>2018</v>
      </c>
      <c r="C7944">
        <v>12</v>
      </c>
      <c r="D7944">
        <v>1</v>
      </c>
      <c r="E7944">
        <v>10810</v>
      </c>
      <c r="F7944">
        <v>94813.39</v>
      </c>
      <c r="G7944">
        <v>0</v>
      </c>
      <c r="H7944">
        <v>0</v>
      </c>
      <c r="I7944">
        <v>0</v>
      </c>
      <c r="J7944">
        <v>0</v>
      </c>
      <c r="K7944">
        <v>0</v>
      </c>
      <c r="L7944">
        <v>8046792.8399999999</v>
      </c>
      <c r="M7944">
        <v>8046792.8399999999</v>
      </c>
      <c r="N7944">
        <v>8046792.8399999999</v>
      </c>
      <c r="O7944">
        <v>8046792.8399999999</v>
      </c>
      <c r="P7944">
        <v>8046792.8399999999</v>
      </c>
      <c r="Q7944">
        <v>8046792.8399999999</v>
      </c>
      <c r="R7944" s="14">
        <f>_xlfn.XLOOKUP(Table2[[#This Row],[LoanID]],Table1[G-L ID],Table1[ManagerCode],-99)</f>
        <v>119</v>
      </c>
      <c r="T7944"/>
    </row>
    <row r="7945" spans="1:20" x14ac:dyDescent="0.25">
      <c r="A7945">
        <v>20181231</v>
      </c>
      <c r="B7945">
        <v>2018</v>
      </c>
      <c r="C7945">
        <v>12</v>
      </c>
      <c r="D7945">
        <v>1</v>
      </c>
      <c r="E7945">
        <v>10820</v>
      </c>
      <c r="F7945">
        <v>201306.51</v>
      </c>
      <c r="G7945">
        <v>0</v>
      </c>
      <c r="H7945">
        <v>0</v>
      </c>
      <c r="I7945">
        <v>0</v>
      </c>
      <c r="J7945">
        <v>0</v>
      </c>
      <c r="K7945">
        <v>0</v>
      </c>
      <c r="L7945">
        <v>25428191.27</v>
      </c>
      <c r="M7945">
        <v>25428191.27</v>
      </c>
      <c r="N7945">
        <v>25428191.27</v>
      </c>
      <c r="O7945">
        <v>25428191.27</v>
      </c>
      <c r="P7945">
        <v>25428191.27</v>
      </c>
      <c r="Q7945">
        <v>25428191.27</v>
      </c>
      <c r="R7945" s="14">
        <f>_xlfn.XLOOKUP(Table2[[#This Row],[LoanID]],Table1[G-L ID],Table1[ManagerCode],-99)</f>
        <v>220</v>
      </c>
      <c r="T7945"/>
    </row>
    <row r="7946" spans="1:20" x14ac:dyDescent="0.25">
      <c r="A7946">
        <v>20181231</v>
      </c>
      <c r="B7946">
        <v>2018</v>
      </c>
      <c r="C7946">
        <v>12</v>
      </c>
      <c r="D7946">
        <v>1</v>
      </c>
      <c r="E7946">
        <v>10830</v>
      </c>
      <c r="F7946">
        <v>61797.84</v>
      </c>
      <c r="G7946">
        <v>0</v>
      </c>
      <c r="H7946">
        <v>0</v>
      </c>
      <c r="I7946">
        <v>0</v>
      </c>
      <c r="J7946">
        <v>0</v>
      </c>
      <c r="K7946">
        <v>0</v>
      </c>
      <c r="L7946">
        <v>7806043.1399999997</v>
      </c>
      <c r="M7946">
        <v>7806043.1399999997</v>
      </c>
      <c r="N7946">
        <v>7806043.1399999997</v>
      </c>
      <c r="O7946">
        <v>7806043.1399999997</v>
      </c>
      <c r="P7946">
        <v>7806043.1399999997</v>
      </c>
      <c r="Q7946">
        <v>7806043.1399999997</v>
      </c>
      <c r="R7946" s="14">
        <f>_xlfn.XLOOKUP(Table2[[#This Row],[LoanID]],Table1[G-L ID],Table1[ManagerCode],-99)</f>
        <v>220</v>
      </c>
      <c r="T7946"/>
    </row>
    <row r="7947" spans="1:20" x14ac:dyDescent="0.25">
      <c r="A7947">
        <v>20181231</v>
      </c>
      <c r="B7947">
        <v>2018</v>
      </c>
      <c r="C7947">
        <v>12</v>
      </c>
      <c r="D7947">
        <v>1</v>
      </c>
      <c r="E7947">
        <v>10840</v>
      </c>
      <c r="F7947">
        <v>100614.41</v>
      </c>
      <c r="G7947">
        <v>0</v>
      </c>
      <c r="H7947">
        <v>0</v>
      </c>
      <c r="I7947">
        <v>0</v>
      </c>
      <c r="J7947">
        <v>0</v>
      </c>
      <c r="K7947">
        <v>0</v>
      </c>
      <c r="L7947">
        <v>12709189</v>
      </c>
      <c r="M7947">
        <v>12709189</v>
      </c>
      <c r="N7947">
        <v>12709189</v>
      </c>
      <c r="O7947">
        <v>12709189</v>
      </c>
      <c r="P7947">
        <v>12709189</v>
      </c>
      <c r="Q7947">
        <v>12709189</v>
      </c>
      <c r="R7947" s="14">
        <f>_xlfn.XLOOKUP(Table2[[#This Row],[LoanID]],Table1[G-L ID],Table1[ManagerCode],-99)</f>
        <v>220</v>
      </c>
      <c r="T7947"/>
    </row>
    <row r="7948" spans="1:20" x14ac:dyDescent="0.25">
      <c r="A7948">
        <v>20181231</v>
      </c>
      <c r="B7948">
        <v>2018</v>
      </c>
      <c r="C7948">
        <v>12</v>
      </c>
      <c r="D7948">
        <v>1</v>
      </c>
      <c r="E7948">
        <v>10910</v>
      </c>
      <c r="F7948">
        <v>149734.87</v>
      </c>
      <c r="G7948">
        <v>0</v>
      </c>
      <c r="H7948">
        <v>0</v>
      </c>
      <c r="I7948">
        <v>0</v>
      </c>
      <c r="J7948">
        <v>0</v>
      </c>
      <c r="K7948">
        <v>8868921.3699999992</v>
      </c>
      <c r="L7948">
        <v>19368921.370000001</v>
      </c>
      <c r="M7948">
        <v>10500000</v>
      </c>
      <c r="N7948">
        <v>19368921.370000001</v>
      </c>
      <c r="O7948">
        <v>10500000</v>
      </c>
      <c r="P7948">
        <v>19368921.370000001</v>
      </c>
      <c r="Q7948">
        <v>10500000</v>
      </c>
      <c r="R7948" s="14">
        <f>_xlfn.XLOOKUP(Table2[[#This Row],[LoanID]],Table1[G-L ID],Table1[ManagerCode],-99)</f>
        <v>119</v>
      </c>
      <c r="T7948"/>
    </row>
    <row r="7949" spans="1:20" x14ac:dyDescent="0.25">
      <c r="A7949">
        <v>20181231</v>
      </c>
      <c r="B7949">
        <v>2018</v>
      </c>
      <c r="C7949">
        <v>12</v>
      </c>
      <c r="D7949">
        <v>1</v>
      </c>
      <c r="E7949">
        <v>10930</v>
      </c>
      <c r="F7949">
        <v>114338.4</v>
      </c>
      <c r="G7949">
        <v>0</v>
      </c>
      <c r="H7949">
        <v>0</v>
      </c>
      <c r="I7949">
        <v>0</v>
      </c>
      <c r="J7949">
        <v>0</v>
      </c>
      <c r="K7949">
        <v>16051352.51</v>
      </c>
      <c r="L7949">
        <v>16051352.51</v>
      </c>
      <c r="M7949">
        <v>0</v>
      </c>
      <c r="N7949">
        <v>16051352.51</v>
      </c>
      <c r="O7949">
        <v>0</v>
      </c>
      <c r="P7949">
        <v>16051352.51</v>
      </c>
      <c r="Q7949">
        <v>0</v>
      </c>
      <c r="R7949" s="14">
        <f>_xlfn.XLOOKUP(Table2[[#This Row],[LoanID]],Table1[G-L ID],Table1[ManagerCode],-99)</f>
        <v>183</v>
      </c>
      <c r="T7949"/>
    </row>
    <row r="7950" spans="1:20" x14ac:dyDescent="0.25">
      <c r="A7950">
        <v>20181231</v>
      </c>
      <c r="B7950">
        <v>2018</v>
      </c>
      <c r="C7950">
        <v>12</v>
      </c>
      <c r="D7950">
        <v>1</v>
      </c>
      <c r="E7950">
        <v>10970</v>
      </c>
      <c r="F7950">
        <v>27458.12</v>
      </c>
      <c r="G7950">
        <v>29746.29</v>
      </c>
      <c r="H7950">
        <v>0</v>
      </c>
      <c r="I7950">
        <v>0</v>
      </c>
      <c r="J7950">
        <v>0</v>
      </c>
      <c r="K7950">
        <v>0</v>
      </c>
      <c r="L7950">
        <v>5500488.6500000004</v>
      </c>
      <c r="M7950">
        <v>5530234.9400000004</v>
      </c>
      <c r="N7950">
        <v>5500488.6500000004</v>
      </c>
      <c r="O7950">
        <v>5530234.9400000004</v>
      </c>
      <c r="P7950">
        <v>5500488.6500000004</v>
      </c>
      <c r="Q7950">
        <v>5530234.9400000004</v>
      </c>
      <c r="R7950" s="14">
        <f>_xlfn.XLOOKUP(Table2[[#This Row],[LoanID]],Table1[G-L ID],Table1[ManagerCode],-99)</f>
        <v>183</v>
      </c>
      <c r="T7950"/>
    </row>
    <row r="7951" spans="1:20" x14ac:dyDescent="0.25">
      <c r="A7951">
        <v>20181231</v>
      </c>
      <c r="B7951">
        <v>2018</v>
      </c>
      <c r="C7951">
        <v>12</v>
      </c>
      <c r="D7951">
        <v>1</v>
      </c>
      <c r="E7951">
        <v>11060</v>
      </c>
      <c r="F7951">
        <v>213152.5</v>
      </c>
      <c r="G7951">
        <v>0</v>
      </c>
      <c r="H7951">
        <v>0</v>
      </c>
      <c r="I7951">
        <v>0</v>
      </c>
      <c r="J7951">
        <v>0</v>
      </c>
      <c r="K7951">
        <v>0</v>
      </c>
      <c r="L7951">
        <v>22000000</v>
      </c>
      <c r="M7951">
        <v>22000000</v>
      </c>
      <c r="N7951">
        <v>22000000</v>
      </c>
      <c r="O7951">
        <v>22000000</v>
      </c>
      <c r="P7951">
        <v>22000000</v>
      </c>
      <c r="Q7951">
        <v>22000000</v>
      </c>
      <c r="R7951" s="14">
        <f>_xlfn.XLOOKUP(Table2[[#This Row],[LoanID]],Table1[G-L ID],Table1[ManagerCode],-99)</f>
        <v>119</v>
      </c>
      <c r="T7951"/>
    </row>
    <row r="7952" spans="1:20" x14ac:dyDescent="0.25">
      <c r="A7952">
        <v>20181231</v>
      </c>
      <c r="B7952">
        <v>2018</v>
      </c>
      <c r="C7952">
        <v>12</v>
      </c>
      <c r="D7952">
        <v>1</v>
      </c>
      <c r="E7952">
        <v>11080</v>
      </c>
      <c r="F7952">
        <v>375485.36</v>
      </c>
      <c r="G7952">
        <v>0</v>
      </c>
      <c r="H7952">
        <v>0</v>
      </c>
      <c r="I7952">
        <v>0</v>
      </c>
      <c r="J7952">
        <v>0</v>
      </c>
      <c r="K7952">
        <v>61919.27</v>
      </c>
      <c r="L7952">
        <v>38513787.82</v>
      </c>
      <c r="M7952">
        <v>38451868.549999997</v>
      </c>
      <c r="N7952">
        <v>38513787.82</v>
      </c>
      <c r="O7952">
        <v>38451868.549999997</v>
      </c>
      <c r="P7952">
        <v>38513787.82</v>
      </c>
      <c r="Q7952">
        <v>38451868.549999997</v>
      </c>
      <c r="R7952" s="14">
        <f>_xlfn.XLOOKUP(Table2[[#This Row],[LoanID]],Table1[G-L ID],Table1[ManagerCode],-99)</f>
        <v>119</v>
      </c>
      <c r="T7952"/>
    </row>
    <row r="7953" spans="1:20" x14ac:dyDescent="0.25">
      <c r="A7953">
        <v>20181231</v>
      </c>
      <c r="B7953">
        <v>2018</v>
      </c>
      <c r="C7953">
        <v>12</v>
      </c>
      <c r="D7953">
        <v>1</v>
      </c>
      <c r="E7953">
        <v>11150</v>
      </c>
      <c r="F7953">
        <v>125141.87</v>
      </c>
      <c r="G7953">
        <v>0</v>
      </c>
      <c r="H7953">
        <v>0</v>
      </c>
      <c r="I7953">
        <v>0</v>
      </c>
      <c r="J7953">
        <v>0</v>
      </c>
      <c r="K7953">
        <v>0</v>
      </c>
      <c r="L7953">
        <v>9762841.5600000005</v>
      </c>
      <c r="M7953">
        <v>9762841.5600000005</v>
      </c>
      <c r="N7953">
        <v>9762841.5600000005</v>
      </c>
      <c r="O7953">
        <v>9762841.5600000005</v>
      </c>
      <c r="P7953">
        <v>9762841.5600000005</v>
      </c>
      <c r="Q7953">
        <v>9762841.5600000005</v>
      </c>
      <c r="R7953" s="14">
        <f>_xlfn.XLOOKUP(Table2[[#This Row],[LoanID]],Table1[G-L ID],Table1[ManagerCode],-99)</f>
        <v>119</v>
      </c>
      <c r="T7953"/>
    </row>
    <row r="7954" spans="1:20" x14ac:dyDescent="0.25">
      <c r="A7954">
        <v>20181231</v>
      </c>
      <c r="B7954">
        <v>2018</v>
      </c>
      <c r="C7954">
        <v>12</v>
      </c>
      <c r="D7954">
        <v>1</v>
      </c>
      <c r="E7954">
        <v>11210</v>
      </c>
      <c r="F7954">
        <v>75503.33</v>
      </c>
      <c r="G7954">
        <v>0</v>
      </c>
      <c r="H7954">
        <v>0</v>
      </c>
      <c r="I7954">
        <v>0</v>
      </c>
      <c r="J7954">
        <v>0</v>
      </c>
      <c r="K7954">
        <v>0</v>
      </c>
      <c r="L7954">
        <v>9500000</v>
      </c>
      <c r="M7954">
        <v>9500000</v>
      </c>
      <c r="N7954">
        <v>9500000</v>
      </c>
      <c r="O7954">
        <v>9500000</v>
      </c>
      <c r="P7954">
        <v>9500000</v>
      </c>
      <c r="Q7954">
        <v>9500000</v>
      </c>
      <c r="R7954" s="14">
        <f>_xlfn.XLOOKUP(Table2[[#This Row],[LoanID]],Table1[G-L ID],Table1[ManagerCode],-99)</f>
        <v>119</v>
      </c>
      <c r="T7954"/>
    </row>
    <row r="7955" spans="1:20" x14ac:dyDescent="0.25">
      <c r="A7955">
        <v>20181231</v>
      </c>
      <c r="B7955">
        <v>2018</v>
      </c>
      <c r="C7955">
        <v>12</v>
      </c>
      <c r="D7955">
        <v>1</v>
      </c>
      <c r="E7955">
        <v>11340</v>
      </c>
      <c r="F7955">
        <v>277683.07</v>
      </c>
      <c r="G7955">
        <v>0</v>
      </c>
      <c r="H7955">
        <v>0</v>
      </c>
      <c r="I7955">
        <v>0</v>
      </c>
      <c r="J7955">
        <v>0</v>
      </c>
      <c r="K7955">
        <v>75836.81</v>
      </c>
      <c r="L7955">
        <v>51340910</v>
      </c>
      <c r="M7955">
        <v>51817081</v>
      </c>
      <c r="N7955">
        <v>51340910</v>
      </c>
      <c r="O7955">
        <v>51817081</v>
      </c>
      <c r="P7955">
        <v>47602812.5</v>
      </c>
      <c r="Q7955">
        <v>47526975.689999998</v>
      </c>
      <c r="R7955" s="14">
        <f>_xlfn.XLOOKUP(Table2[[#This Row],[LoanID]],Table1[G-L ID],Table1[ManagerCode],-99)</f>
        <v>103</v>
      </c>
      <c r="T7955"/>
    </row>
    <row r="7956" spans="1:20" x14ac:dyDescent="0.25">
      <c r="A7956">
        <v>20181231</v>
      </c>
      <c r="B7956">
        <v>2018</v>
      </c>
      <c r="C7956">
        <v>12</v>
      </c>
      <c r="D7956">
        <v>1</v>
      </c>
      <c r="E7956">
        <v>11360</v>
      </c>
      <c r="F7956">
        <v>78423.8</v>
      </c>
      <c r="G7956">
        <v>0</v>
      </c>
      <c r="H7956">
        <v>0</v>
      </c>
      <c r="I7956">
        <v>0</v>
      </c>
      <c r="J7956">
        <v>0</v>
      </c>
      <c r="K7956">
        <v>0</v>
      </c>
      <c r="L7956">
        <v>9355036</v>
      </c>
      <c r="M7956">
        <v>9355036</v>
      </c>
      <c r="N7956">
        <v>9355036</v>
      </c>
      <c r="O7956">
        <v>9355036</v>
      </c>
      <c r="P7956">
        <v>9355036</v>
      </c>
      <c r="Q7956">
        <v>9355036</v>
      </c>
      <c r="R7956" s="14">
        <f>_xlfn.XLOOKUP(Table2[[#This Row],[LoanID]],Table1[G-L ID],Table1[ManagerCode],-99)</f>
        <v>119</v>
      </c>
      <c r="T7956"/>
    </row>
    <row r="7957" spans="1:20" x14ac:dyDescent="0.25">
      <c r="A7957">
        <v>20181231</v>
      </c>
      <c r="B7957">
        <v>2018</v>
      </c>
      <c r="C7957">
        <v>12</v>
      </c>
      <c r="D7957">
        <v>1</v>
      </c>
      <c r="E7957">
        <v>11410</v>
      </c>
      <c r="F7957">
        <v>124070</v>
      </c>
      <c r="G7957">
        <v>0</v>
      </c>
      <c r="H7957">
        <v>0</v>
      </c>
      <c r="I7957">
        <v>0</v>
      </c>
      <c r="J7957">
        <v>0</v>
      </c>
      <c r="K7957">
        <v>12000000</v>
      </c>
      <c r="L7957">
        <v>12000000</v>
      </c>
      <c r="M7957">
        <v>0</v>
      </c>
      <c r="N7957">
        <v>12000000</v>
      </c>
      <c r="O7957">
        <v>0</v>
      </c>
      <c r="P7957">
        <v>12000000</v>
      </c>
      <c r="Q7957">
        <v>0</v>
      </c>
      <c r="R7957" s="14">
        <f>_xlfn.XLOOKUP(Table2[[#This Row],[LoanID]],Table1[G-L ID],Table1[ManagerCode],-99)</f>
        <v>119</v>
      </c>
      <c r="T7957"/>
    </row>
    <row r="7958" spans="1:20" x14ac:dyDescent="0.25">
      <c r="A7958">
        <v>20181231</v>
      </c>
      <c r="B7958">
        <v>2018</v>
      </c>
      <c r="C7958">
        <v>12</v>
      </c>
      <c r="D7958">
        <v>1</v>
      </c>
      <c r="E7958">
        <v>11450</v>
      </c>
      <c r="F7958">
        <v>158841.56</v>
      </c>
      <c r="G7958">
        <v>0</v>
      </c>
      <c r="H7958">
        <v>0</v>
      </c>
      <c r="I7958">
        <v>0</v>
      </c>
      <c r="J7958">
        <v>-28425.61</v>
      </c>
      <c r="K7958">
        <v>0</v>
      </c>
      <c r="L7958">
        <v>16844279.710000001</v>
      </c>
      <c r="M7958">
        <v>16872705.32</v>
      </c>
      <c r="N7958">
        <v>16844279.710000001</v>
      </c>
      <c r="O7958">
        <v>16872705.32</v>
      </c>
      <c r="P7958">
        <v>16844279.710000001</v>
      </c>
      <c r="Q7958">
        <v>16872705.32</v>
      </c>
      <c r="R7958" s="14">
        <f>_xlfn.XLOOKUP(Table2[[#This Row],[LoanID]],Table1[G-L ID],Table1[ManagerCode],-99)</f>
        <v>119</v>
      </c>
      <c r="T7958"/>
    </row>
    <row r="7959" spans="1:20" x14ac:dyDescent="0.25">
      <c r="A7959">
        <v>20181231</v>
      </c>
      <c r="B7959">
        <v>2018</v>
      </c>
      <c r="C7959">
        <v>12</v>
      </c>
      <c r="D7959">
        <v>1</v>
      </c>
      <c r="E7959">
        <v>11520</v>
      </c>
      <c r="F7959">
        <v>64981.96</v>
      </c>
      <c r="G7959">
        <v>0</v>
      </c>
      <c r="H7959">
        <v>0</v>
      </c>
      <c r="I7959">
        <v>0</v>
      </c>
      <c r="J7959">
        <v>-512213.86</v>
      </c>
      <c r="K7959">
        <v>0</v>
      </c>
      <c r="L7959">
        <v>6121205.29</v>
      </c>
      <c r="M7959">
        <v>6633419.1500000004</v>
      </c>
      <c r="N7959">
        <v>6121205.29</v>
      </c>
      <c r="O7959">
        <v>6633419.1500000004</v>
      </c>
      <c r="P7959">
        <v>6121205.29</v>
      </c>
      <c r="Q7959">
        <v>6633419.1500000004</v>
      </c>
      <c r="R7959" s="14">
        <f>_xlfn.XLOOKUP(Table2[[#This Row],[LoanID]],Table1[G-L ID],Table1[ManagerCode],-99)</f>
        <v>119</v>
      </c>
      <c r="T7959"/>
    </row>
    <row r="7960" spans="1:20" x14ac:dyDescent="0.25">
      <c r="A7960">
        <v>20181231</v>
      </c>
      <c r="B7960">
        <v>2018</v>
      </c>
      <c r="C7960">
        <v>12</v>
      </c>
      <c r="D7960">
        <v>1</v>
      </c>
      <c r="E7960">
        <v>11530</v>
      </c>
      <c r="F7960">
        <v>132845.82999999999</v>
      </c>
      <c r="G7960">
        <v>0</v>
      </c>
      <c r="H7960">
        <v>0</v>
      </c>
      <c r="I7960">
        <v>0</v>
      </c>
      <c r="J7960">
        <v>0</v>
      </c>
      <c r="K7960">
        <v>0</v>
      </c>
      <c r="L7960">
        <v>15000000</v>
      </c>
      <c r="M7960">
        <v>15000000</v>
      </c>
      <c r="N7960">
        <v>15000000</v>
      </c>
      <c r="O7960">
        <v>15000000</v>
      </c>
      <c r="P7960">
        <v>15000000</v>
      </c>
      <c r="Q7960">
        <v>15000000</v>
      </c>
      <c r="R7960" s="14">
        <f>_xlfn.XLOOKUP(Table2[[#This Row],[LoanID]],Table1[G-L ID],Table1[ManagerCode],-99)</f>
        <v>119</v>
      </c>
      <c r="T7960"/>
    </row>
    <row r="7961" spans="1:20" x14ac:dyDescent="0.25">
      <c r="A7961">
        <v>20181231</v>
      </c>
      <c r="B7961">
        <v>2018</v>
      </c>
      <c r="C7961">
        <v>12</v>
      </c>
      <c r="D7961">
        <v>1</v>
      </c>
      <c r="E7961">
        <v>11590</v>
      </c>
      <c r="F7961">
        <v>16205.21</v>
      </c>
      <c r="G7961">
        <v>0</v>
      </c>
      <c r="H7961">
        <v>0</v>
      </c>
      <c r="I7961">
        <v>0</v>
      </c>
      <c r="J7961">
        <v>0</v>
      </c>
      <c r="K7961">
        <v>0</v>
      </c>
      <c r="L7961">
        <v>1982289.13</v>
      </c>
      <c r="M7961">
        <v>1982289.13</v>
      </c>
      <c r="N7961">
        <v>1982289.13</v>
      </c>
      <c r="O7961">
        <v>1982289.13</v>
      </c>
      <c r="P7961">
        <v>1982289.13</v>
      </c>
      <c r="Q7961">
        <v>1982289.13</v>
      </c>
      <c r="R7961" s="14">
        <f>_xlfn.XLOOKUP(Table2[[#This Row],[LoanID]],Table1[G-L ID],Table1[ManagerCode],-99)</f>
        <v>119</v>
      </c>
      <c r="T7961"/>
    </row>
    <row r="7962" spans="1:20" x14ac:dyDescent="0.25">
      <c r="A7962">
        <v>20181231</v>
      </c>
      <c r="B7962">
        <v>2018</v>
      </c>
      <c r="C7962">
        <v>12</v>
      </c>
      <c r="D7962">
        <v>1</v>
      </c>
      <c r="E7962">
        <v>11680</v>
      </c>
      <c r="F7962">
        <v>50325.78</v>
      </c>
      <c r="G7962">
        <v>0</v>
      </c>
      <c r="H7962">
        <v>0</v>
      </c>
      <c r="I7962">
        <v>0</v>
      </c>
      <c r="J7962">
        <v>0</v>
      </c>
      <c r="K7962">
        <v>0</v>
      </c>
      <c r="L7962">
        <v>6600000</v>
      </c>
      <c r="M7962">
        <v>6600000</v>
      </c>
      <c r="N7962">
        <v>6600000</v>
      </c>
      <c r="O7962">
        <v>6600000</v>
      </c>
      <c r="P7962">
        <v>6600000</v>
      </c>
      <c r="Q7962">
        <v>6600000</v>
      </c>
      <c r="R7962" s="14">
        <f>_xlfn.XLOOKUP(Table2[[#This Row],[LoanID]],Table1[G-L ID],Table1[ManagerCode],-99)</f>
        <v>183</v>
      </c>
      <c r="T7962"/>
    </row>
    <row r="7963" spans="1:20" x14ac:dyDescent="0.25">
      <c r="A7963">
        <v>20181231</v>
      </c>
      <c r="B7963">
        <v>2018</v>
      </c>
      <c r="C7963">
        <v>12</v>
      </c>
      <c r="D7963">
        <v>1</v>
      </c>
      <c r="E7963">
        <v>11830</v>
      </c>
      <c r="F7963">
        <v>113162.87</v>
      </c>
      <c r="G7963">
        <v>0</v>
      </c>
      <c r="H7963">
        <v>0</v>
      </c>
      <c r="I7963">
        <v>0</v>
      </c>
      <c r="J7963">
        <v>-730353.7</v>
      </c>
      <c r="K7963">
        <v>0</v>
      </c>
      <c r="L7963">
        <v>11023716.41</v>
      </c>
      <c r="M7963">
        <v>11754070.109999999</v>
      </c>
      <c r="N7963">
        <v>11023716.41</v>
      </c>
      <c r="O7963">
        <v>11754070.109999999</v>
      </c>
      <c r="P7963">
        <v>11023716.41</v>
      </c>
      <c r="Q7963">
        <v>11754070.109999999</v>
      </c>
      <c r="R7963" s="14">
        <f>_xlfn.XLOOKUP(Table2[[#This Row],[LoanID]],Table1[G-L ID],Table1[ManagerCode],-99)</f>
        <v>119</v>
      </c>
      <c r="T7963"/>
    </row>
    <row r="7964" spans="1:20" x14ac:dyDescent="0.25">
      <c r="A7964">
        <v>20181231</v>
      </c>
      <c r="B7964">
        <v>2018</v>
      </c>
      <c r="C7964">
        <v>12</v>
      </c>
      <c r="D7964">
        <v>1</v>
      </c>
      <c r="E7964">
        <v>12180</v>
      </c>
      <c r="F7964">
        <v>248388.52</v>
      </c>
      <c r="G7964">
        <v>0</v>
      </c>
      <c r="H7964">
        <v>0</v>
      </c>
      <c r="I7964">
        <v>0</v>
      </c>
      <c r="J7964">
        <v>0</v>
      </c>
      <c r="K7964">
        <v>0</v>
      </c>
      <c r="L7964">
        <v>30400000</v>
      </c>
      <c r="M7964">
        <v>30400000</v>
      </c>
      <c r="N7964">
        <v>30400000</v>
      </c>
      <c r="O7964">
        <v>30400000</v>
      </c>
      <c r="P7964">
        <v>30393210.870000001</v>
      </c>
      <c r="Q7964">
        <v>30393210.870000001</v>
      </c>
      <c r="R7964" s="14">
        <f>_xlfn.XLOOKUP(Table2[[#This Row],[LoanID]],Table1[G-L ID],Table1[ManagerCode],-99)</f>
        <v>220</v>
      </c>
      <c r="T7964"/>
    </row>
    <row r="7965" spans="1:20" x14ac:dyDescent="0.25">
      <c r="A7965">
        <v>20181231</v>
      </c>
      <c r="B7965">
        <v>2018</v>
      </c>
      <c r="C7965">
        <v>12</v>
      </c>
      <c r="D7965">
        <v>1</v>
      </c>
      <c r="E7965">
        <v>12220</v>
      </c>
      <c r="F7965">
        <v>235594.1</v>
      </c>
      <c r="G7965">
        <v>0</v>
      </c>
      <c r="H7965">
        <v>0</v>
      </c>
      <c r="I7965">
        <v>0</v>
      </c>
      <c r="J7965">
        <v>0</v>
      </c>
      <c r="K7965">
        <v>0</v>
      </c>
      <c r="L7965">
        <v>54500000</v>
      </c>
      <c r="M7965">
        <v>54500000</v>
      </c>
      <c r="N7965">
        <v>27250000</v>
      </c>
      <c r="O7965">
        <v>27250000</v>
      </c>
      <c r="P7965">
        <v>54500000</v>
      </c>
      <c r="Q7965">
        <v>54500000</v>
      </c>
      <c r="R7965" s="14">
        <f>_xlfn.XLOOKUP(Table2[[#This Row],[LoanID]],Table1[G-L ID],Table1[ManagerCode],-99)</f>
        <v>183</v>
      </c>
      <c r="T7965"/>
    </row>
    <row r="7966" spans="1:20" x14ac:dyDescent="0.25">
      <c r="A7966">
        <v>20181231</v>
      </c>
      <c r="B7966">
        <v>2018</v>
      </c>
      <c r="C7966">
        <v>12</v>
      </c>
      <c r="D7966">
        <v>1</v>
      </c>
      <c r="E7966">
        <v>12250</v>
      </c>
      <c r="F7966">
        <v>117701.51</v>
      </c>
      <c r="G7966">
        <v>0</v>
      </c>
      <c r="H7966">
        <v>0</v>
      </c>
      <c r="I7966">
        <v>0</v>
      </c>
      <c r="J7966">
        <v>0</v>
      </c>
      <c r="K7966">
        <v>0</v>
      </c>
      <c r="L7966">
        <v>11335294.34</v>
      </c>
      <c r="M7966">
        <v>11335294.34</v>
      </c>
      <c r="N7966">
        <v>11335294.34</v>
      </c>
      <c r="O7966">
        <v>11335294.34</v>
      </c>
      <c r="P7966">
        <v>11335294.34</v>
      </c>
      <c r="Q7966">
        <v>11335294.34</v>
      </c>
      <c r="R7966" s="14">
        <f>_xlfn.XLOOKUP(Table2[[#This Row],[LoanID]],Table1[G-L ID],Table1[ManagerCode],-99)</f>
        <v>119</v>
      </c>
      <c r="T7966"/>
    </row>
    <row r="7967" spans="1:20" x14ac:dyDescent="0.25">
      <c r="A7967">
        <v>20181231</v>
      </c>
      <c r="B7967">
        <v>2018</v>
      </c>
      <c r="C7967">
        <v>12</v>
      </c>
      <c r="D7967">
        <v>1</v>
      </c>
      <c r="E7967">
        <v>12260</v>
      </c>
      <c r="F7967">
        <v>164352.85999999999</v>
      </c>
      <c r="G7967">
        <v>0</v>
      </c>
      <c r="H7967">
        <v>0</v>
      </c>
      <c r="I7967">
        <v>0</v>
      </c>
      <c r="J7967">
        <v>0</v>
      </c>
      <c r="K7967">
        <v>0</v>
      </c>
      <c r="L7967">
        <v>17826854.199999999</v>
      </c>
      <c r="M7967">
        <v>17826854.199999999</v>
      </c>
      <c r="N7967">
        <v>17826854.199999999</v>
      </c>
      <c r="O7967">
        <v>17826854.199999999</v>
      </c>
      <c r="P7967">
        <v>17826854.199999999</v>
      </c>
      <c r="Q7967">
        <v>17826854.199999999</v>
      </c>
      <c r="R7967" s="14">
        <f>_xlfn.XLOOKUP(Table2[[#This Row],[LoanID]],Table1[G-L ID],Table1[ManagerCode],-99)</f>
        <v>119</v>
      </c>
      <c r="T7967"/>
    </row>
    <row r="7968" spans="1:20" x14ac:dyDescent="0.25">
      <c r="A7968">
        <v>20181231</v>
      </c>
      <c r="B7968">
        <v>2018</v>
      </c>
      <c r="C7968">
        <v>12</v>
      </c>
      <c r="D7968">
        <v>1</v>
      </c>
      <c r="E7968">
        <v>12270</v>
      </c>
      <c r="F7968">
        <v>7597.05</v>
      </c>
      <c r="G7968">
        <v>0</v>
      </c>
      <c r="H7968">
        <v>0</v>
      </c>
      <c r="I7968">
        <v>0</v>
      </c>
      <c r="J7968">
        <v>0</v>
      </c>
      <c r="K7968">
        <v>0</v>
      </c>
      <c r="L7968">
        <v>740032.81</v>
      </c>
      <c r="M7968">
        <v>740032.81</v>
      </c>
      <c r="N7968">
        <v>740032.81</v>
      </c>
      <c r="O7968">
        <v>740032.81</v>
      </c>
      <c r="P7968">
        <v>740032.81</v>
      </c>
      <c r="Q7968">
        <v>740032.81</v>
      </c>
      <c r="R7968" s="14">
        <f>_xlfn.XLOOKUP(Table2[[#This Row],[LoanID]],Table1[G-L ID],Table1[ManagerCode],-99)</f>
        <v>119</v>
      </c>
      <c r="T7968"/>
    </row>
    <row r="7969" spans="1:20" x14ac:dyDescent="0.25">
      <c r="A7969">
        <v>20181231</v>
      </c>
      <c r="B7969">
        <v>2018</v>
      </c>
      <c r="C7969">
        <v>12</v>
      </c>
      <c r="D7969">
        <v>1</v>
      </c>
      <c r="E7969">
        <v>12280</v>
      </c>
      <c r="F7969">
        <v>200505.62</v>
      </c>
      <c r="G7969">
        <v>0</v>
      </c>
      <c r="H7969">
        <v>0</v>
      </c>
      <c r="I7969">
        <v>0</v>
      </c>
      <c r="J7969">
        <v>-783854.75</v>
      </c>
      <c r="K7969">
        <v>0</v>
      </c>
      <c r="L7969">
        <v>22158045.41</v>
      </c>
      <c r="M7969">
        <v>22941900.16</v>
      </c>
      <c r="N7969">
        <v>22158045.41</v>
      </c>
      <c r="O7969">
        <v>22941900.16</v>
      </c>
      <c r="P7969">
        <v>22158045.41</v>
      </c>
      <c r="Q7969">
        <v>22941900.16</v>
      </c>
      <c r="R7969" s="14">
        <f>_xlfn.XLOOKUP(Table2[[#This Row],[LoanID]],Table1[G-L ID],Table1[ManagerCode],-99)</f>
        <v>119</v>
      </c>
      <c r="T7969"/>
    </row>
    <row r="7970" spans="1:20" x14ac:dyDescent="0.25">
      <c r="A7970">
        <v>20181231</v>
      </c>
      <c r="B7970">
        <v>2018</v>
      </c>
      <c r="C7970">
        <v>12</v>
      </c>
      <c r="D7970">
        <v>1</v>
      </c>
      <c r="E7970">
        <v>12290</v>
      </c>
      <c r="F7970">
        <v>234855.84</v>
      </c>
      <c r="G7970">
        <v>0</v>
      </c>
      <c r="H7970">
        <v>0</v>
      </c>
      <c r="I7970">
        <v>0</v>
      </c>
      <c r="J7970">
        <v>0</v>
      </c>
      <c r="K7970">
        <v>0</v>
      </c>
      <c r="L7970">
        <v>22750000</v>
      </c>
      <c r="M7970">
        <v>22750000</v>
      </c>
      <c r="N7970">
        <v>22750000</v>
      </c>
      <c r="O7970">
        <v>22750000</v>
      </c>
      <c r="P7970">
        <v>22750000</v>
      </c>
      <c r="Q7970">
        <v>22750000</v>
      </c>
      <c r="R7970" s="14">
        <f>_xlfn.XLOOKUP(Table2[[#This Row],[LoanID]],Table1[G-L ID],Table1[ManagerCode],-99)</f>
        <v>119</v>
      </c>
      <c r="T7970"/>
    </row>
    <row r="7971" spans="1:20" x14ac:dyDescent="0.25">
      <c r="A7971">
        <v>20181231</v>
      </c>
      <c r="B7971">
        <v>2018</v>
      </c>
      <c r="C7971">
        <v>12</v>
      </c>
      <c r="D7971">
        <v>1</v>
      </c>
      <c r="E7971">
        <v>12310</v>
      </c>
      <c r="F7971">
        <v>150487.60999999999</v>
      </c>
      <c r="G7971">
        <v>0</v>
      </c>
      <c r="H7971">
        <v>0</v>
      </c>
      <c r="I7971">
        <v>0</v>
      </c>
      <c r="J7971">
        <v>0</v>
      </c>
      <c r="K7971">
        <v>3275000</v>
      </c>
      <c r="L7971">
        <v>16375000</v>
      </c>
      <c r="M7971">
        <v>13100000</v>
      </c>
      <c r="N7971">
        <v>16375000</v>
      </c>
      <c r="O7971">
        <v>13100000</v>
      </c>
      <c r="P7971">
        <v>16375000</v>
      </c>
      <c r="Q7971">
        <v>13100000</v>
      </c>
      <c r="R7971" s="14">
        <f>_xlfn.XLOOKUP(Table2[[#This Row],[LoanID]],Table1[G-L ID],Table1[ManagerCode],-99)</f>
        <v>119</v>
      </c>
      <c r="T7971"/>
    </row>
    <row r="7972" spans="1:20" x14ac:dyDescent="0.25">
      <c r="A7972">
        <v>20181231</v>
      </c>
      <c r="B7972">
        <v>2018</v>
      </c>
      <c r="C7972">
        <v>12</v>
      </c>
      <c r="D7972">
        <v>1</v>
      </c>
      <c r="E7972">
        <v>12330</v>
      </c>
      <c r="F7972">
        <v>217560.73</v>
      </c>
      <c r="G7972">
        <v>0</v>
      </c>
      <c r="H7972">
        <v>0</v>
      </c>
      <c r="I7972">
        <v>0</v>
      </c>
      <c r="J7972">
        <v>0</v>
      </c>
      <c r="K7972">
        <v>0</v>
      </c>
      <c r="L7972">
        <v>19976500</v>
      </c>
      <c r="M7972">
        <v>19976500</v>
      </c>
      <c r="N7972">
        <v>19976500</v>
      </c>
      <c r="O7972">
        <v>19976500</v>
      </c>
      <c r="P7972">
        <v>19976500</v>
      </c>
      <c r="Q7972">
        <v>19976500</v>
      </c>
      <c r="R7972" s="14">
        <f>_xlfn.XLOOKUP(Table2[[#This Row],[LoanID]],Table1[G-L ID],Table1[ManagerCode],-99)</f>
        <v>119</v>
      </c>
      <c r="T7972"/>
    </row>
    <row r="7973" spans="1:20" x14ac:dyDescent="0.25">
      <c r="A7973">
        <v>20181231</v>
      </c>
      <c r="B7973">
        <v>2018</v>
      </c>
      <c r="C7973">
        <v>12</v>
      </c>
      <c r="D7973">
        <v>1</v>
      </c>
      <c r="E7973">
        <v>12340</v>
      </c>
      <c r="F7973">
        <v>61420.59</v>
      </c>
      <c r="G7973">
        <v>0</v>
      </c>
      <c r="H7973">
        <v>0</v>
      </c>
      <c r="I7973">
        <v>0</v>
      </c>
      <c r="J7973">
        <v>0</v>
      </c>
      <c r="K7973">
        <v>0</v>
      </c>
      <c r="L7973">
        <v>24180000</v>
      </c>
      <c r="M7973">
        <v>24180000</v>
      </c>
      <c r="N7973">
        <v>12180000</v>
      </c>
      <c r="O7973">
        <v>12180000</v>
      </c>
      <c r="P7973">
        <v>24180000</v>
      </c>
      <c r="Q7973">
        <v>24180000</v>
      </c>
      <c r="R7973" s="14">
        <f>_xlfn.XLOOKUP(Table2[[#This Row],[LoanID]],Table1[G-L ID],Table1[ManagerCode],-99)</f>
        <v>183</v>
      </c>
      <c r="T7973"/>
    </row>
    <row r="7974" spans="1:20" x14ac:dyDescent="0.25">
      <c r="A7974">
        <v>20181231</v>
      </c>
      <c r="B7974">
        <v>2018</v>
      </c>
      <c r="C7974">
        <v>12</v>
      </c>
      <c r="D7974">
        <v>1</v>
      </c>
      <c r="E7974">
        <v>12350</v>
      </c>
      <c r="F7974">
        <v>194060.49</v>
      </c>
      <c r="G7974">
        <v>0</v>
      </c>
      <c r="H7974">
        <v>0</v>
      </c>
      <c r="I7974">
        <v>0</v>
      </c>
      <c r="J7974">
        <v>-6769260.2699999996</v>
      </c>
      <c r="K7974">
        <v>0</v>
      </c>
      <c r="L7974">
        <v>65113224.079999998</v>
      </c>
      <c r="M7974">
        <v>71882484.349999994</v>
      </c>
      <c r="N7974">
        <v>27613224.079999998</v>
      </c>
      <c r="O7974">
        <v>34382484.350000001</v>
      </c>
      <c r="P7974">
        <v>65113224.079999998</v>
      </c>
      <c r="Q7974">
        <v>71882484.349999994</v>
      </c>
      <c r="R7974" s="14">
        <f>_xlfn.XLOOKUP(Table2[[#This Row],[LoanID]],Table1[G-L ID],Table1[ManagerCode],-99)</f>
        <v>183</v>
      </c>
      <c r="T7974"/>
    </row>
    <row r="7975" spans="1:20" x14ac:dyDescent="0.25">
      <c r="A7975">
        <v>20181231</v>
      </c>
      <c r="B7975">
        <v>2018</v>
      </c>
      <c r="C7975">
        <v>12</v>
      </c>
      <c r="D7975">
        <v>1</v>
      </c>
      <c r="E7975">
        <v>12360</v>
      </c>
      <c r="F7975">
        <v>126018.6</v>
      </c>
      <c r="G7975">
        <v>0</v>
      </c>
      <c r="H7975">
        <v>0</v>
      </c>
      <c r="I7975">
        <v>0</v>
      </c>
      <c r="J7975">
        <v>0</v>
      </c>
      <c r="K7975">
        <v>0</v>
      </c>
      <c r="L7975">
        <v>60000000</v>
      </c>
      <c r="M7975">
        <v>60000000</v>
      </c>
      <c r="N7975">
        <v>19000000</v>
      </c>
      <c r="O7975">
        <v>19000000</v>
      </c>
      <c r="P7975">
        <v>60000000</v>
      </c>
      <c r="Q7975">
        <v>60000000</v>
      </c>
      <c r="R7975" s="14">
        <f>_xlfn.XLOOKUP(Table2[[#This Row],[LoanID]],Table1[G-L ID],Table1[ManagerCode],-99)</f>
        <v>183</v>
      </c>
      <c r="T7975"/>
    </row>
    <row r="7976" spans="1:20" x14ac:dyDescent="0.25">
      <c r="A7976">
        <v>20181231</v>
      </c>
      <c r="B7976">
        <v>2018</v>
      </c>
      <c r="C7976">
        <v>12</v>
      </c>
      <c r="D7976">
        <v>1</v>
      </c>
      <c r="E7976">
        <v>12370</v>
      </c>
      <c r="F7976">
        <v>371468.75</v>
      </c>
      <c r="G7976">
        <v>0</v>
      </c>
      <c r="H7976">
        <v>0</v>
      </c>
      <c r="I7976">
        <v>0</v>
      </c>
      <c r="J7976">
        <v>0</v>
      </c>
      <c r="K7976">
        <v>0</v>
      </c>
      <c r="L7976">
        <v>104000000</v>
      </c>
      <c r="M7976">
        <v>104000000</v>
      </c>
      <c r="N7976">
        <v>44000000</v>
      </c>
      <c r="O7976">
        <v>44000000</v>
      </c>
      <c r="P7976">
        <v>104000000</v>
      </c>
      <c r="Q7976">
        <v>104000000</v>
      </c>
      <c r="R7976" s="14">
        <f>_xlfn.XLOOKUP(Table2[[#This Row],[LoanID]],Table1[G-L ID],Table1[ManagerCode],-99)</f>
        <v>183</v>
      </c>
      <c r="T7976"/>
    </row>
    <row r="7977" spans="1:20" x14ac:dyDescent="0.25">
      <c r="A7977">
        <v>20181231</v>
      </c>
      <c r="B7977">
        <v>2018</v>
      </c>
      <c r="C7977">
        <v>12</v>
      </c>
      <c r="D7977">
        <v>1</v>
      </c>
      <c r="E7977">
        <v>12380</v>
      </c>
      <c r="F7977">
        <v>85622.720000000001</v>
      </c>
      <c r="G7977">
        <v>0</v>
      </c>
      <c r="H7977">
        <v>0</v>
      </c>
      <c r="I7977">
        <v>0</v>
      </c>
      <c r="J7977">
        <v>0</v>
      </c>
      <c r="K7977">
        <v>0</v>
      </c>
      <c r="L7977">
        <v>32500000</v>
      </c>
      <c r="M7977">
        <v>32500000</v>
      </c>
      <c r="N7977">
        <v>12350000</v>
      </c>
      <c r="O7977">
        <v>12350000</v>
      </c>
      <c r="P7977">
        <v>32500000</v>
      </c>
      <c r="Q7977">
        <v>32500000</v>
      </c>
      <c r="R7977" s="14">
        <f>_xlfn.XLOOKUP(Table2[[#This Row],[LoanID]],Table1[G-L ID],Table1[ManagerCode],-99)</f>
        <v>183</v>
      </c>
      <c r="T7977"/>
    </row>
    <row r="7978" spans="1:20" x14ac:dyDescent="0.25">
      <c r="A7978">
        <v>20181231</v>
      </c>
      <c r="B7978">
        <v>2018</v>
      </c>
      <c r="C7978">
        <v>12</v>
      </c>
      <c r="D7978">
        <v>1</v>
      </c>
      <c r="E7978">
        <v>12390</v>
      </c>
      <c r="F7978">
        <v>749023.35</v>
      </c>
      <c r="G7978">
        <v>518590.98</v>
      </c>
      <c r="H7978">
        <v>0</v>
      </c>
      <c r="I7978">
        <v>0</v>
      </c>
      <c r="J7978">
        <v>-7107342.4100000001</v>
      </c>
      <c r="K7978">
        <v>0</v>
      </c>
      <c r="L7978">
        <v>102929779.3</v>
      </c>
      <c r="M7978">
        <v>110555712.7</v>
      </c>
      <c r="N7978">
        <v>102929779.3</v>
      </c>
      <c r="O7978">
        <v>110555712.7</v>
      </c>
      <c r="P7978">
        <v>102929779.3</v>
      </c>
      <c r="Q7978">
        <v>110555712.7</v>
      </c>
      <c r="R7978" s="14">
        <f>_xlfn.XLOOKUP(Table2[[#This Row],[LoanID]],Table1[G-L ID],Table1[ManagerCode],-99)</f>
        <v>183</v>
      </c>
      <c r="T7978"/>
    </row>
    <row r="7979" spans="1:20" x14ac:dyDescent="0.25">
      <c r="A7979">
        <v>20181231</v>
      </c>
      <c r="B7979">
        <v>2018</v>
      </c>
      <c r="C7979">
        <v>12</v>
      </c>
      <c r="D7979">
        <v>1</v>
      </c>
      <c r="E7979">
        <v>12400</v>
      </c>
      <c r="F7979">
        <v>130824.11</v>
      </c>
      <c r="G7979">
        <v>122516.15</v>
      </c>
      <c r="H7979">
        <v>0</v>
      </c>
      <c r="I7979">
        <v>0</v>
      </c>
      <c r="J7979">
        <v>-2560205.4900000002</v>
      </c>
      <c r="K7979">
        <v>0</v>
      </c>
      <c r="L7979">
        <v>27042319.280000001</v>
      </c>
      <c r="M7979">
        <v>29725040.93</v>
      </c>
      <c r="N7979">
        <v>27042319.280000001</v>
      </c>
      <c r="O7979">
        <v>29725040.93</v>
      </c>
      <c r="P7979">
        <v>27042319.280000001</v>
      </c>
      <c r="Q7979">
        <v>29725040.93</v>
      </c>
      <c r="R7979" s="14">
        <f>_xlfn.XLOOKUP(Table2[[#This Row],[LoanID]],Table1[G-L ID],Table1[ManagerCode],-99)</f>
        <v>183</v>
      </c>
      <c r="T7979"/>
    </row>
    <row r="7980" spans="1:20" x14ac:dyDescent="0.25">
      <c r="A7980">
        <v>20181231</v>
      </c>
      <c r="B7980">
        <v>2018</v>
      </c>
      <c r="C7980">
        <v>12</v>
      </c>
      <c r="D7980">
        <v>1</v>
      </c>
      <c r="E7980">
        <v>12410</v>
      </c>
      <c r="F7980">
        <v>326554.56</v>
      </c>
      <c r="G7980">
        <v>261243.65</v>
      </c>
      <c r="H7980">
        <v>0</v>
      </c>
      <c r="I7980">
        <v>0</v>
      </c>
      <c r="J7980">
        <v>0</v>
      </c>
      <c r="K7980">
        <v>0</v>
      </c>
      <c r="L7980">
        <v>74454440</v>
      </c>
      <c r="M7980">
        <v>74702623</v>
      </c>
      <c r="N7980">
        <v>74454440</v>
      </c>
      <c r="O7980">
        <v>74702623</v>
      </c>
      <c r="P7980">
        <v>79340676.549999997</v>
      </c>
      <c r="Q7980">
        <v>79601920.200000003</v>
      </c>
      <c r="R7980" s="14">
        <f>_xlfn.XLOOKUP(Table2[[#This Row],[LoanID]],Table1[G-L ID],Table1[ManagerCode],-99)</f>
        <v>103</v>
      </c>
      <c r="T7980"/>
    </row>
    <row r="7981" spans="1:20" x14ac:dyDescent="0.25">
      <c r="A7981">
        <v>20181231</v>
      </c>
      <c r="B7981">
        <v>2018</v>
      </c>
      <c r="C7981">
        <v>12</v>
      </c>
      <c r="D7981">
        <v>1</v>
      </c>
      <c r="E7981">
        <v>12430</v>
      </c>
      <c r="F7981">
        <v>83665.149999999994</v>
      </c>
      <c r="G7981">
        <v>0</v>
      </c>
      <c r="H7981">
        <v>0</v>
      </c>
      <c r="I7981">
        <v>0</v>
      </c>
      <c r="J7981">
        <v>-83665.149999999994</v>
      </c>
      <c r="K7981">
        <v>0</v>
      </c>
      <c r="L7981">
        <v>22985072</v>
      </c>
      <c r="M7981">
        <v>22928927</v>
      </c>
      <c r="N7981">
        <v>22985072</v>
      </c>
      <c r="O7981">
        <v>22928927</v>
      </c>
      <c r="P7981">
        <v>25099545.84</v>
      </c>
      <c r="Q7981">
        <v>25183210.989999998</v>
      </c>
      <c r="R7981" s="14">
        <f>_xlfn.XLOOKUP(Table2[[#This Row],[LoanID]],Table1[G-L ID],Table1[ManagerCode],-99)</f>
        <v>103</v>
      </c>
      <c r="T7981"/>
    </row>
    <row r="7982" spans="1:20" x14ac:dyDescent="0.25">
      <c r="A7982">
        <v>20181231</v>
      </c>
      <c r="B7982">
        <v>2018</v>
      </c>
      <c r="C7982">
        <v>12</v>
      </c>
      <c r="D7982">
        <v>1</v>
      </c>
      <c r="E7982">
        <v>12440</v>
      </c>
      <c r="F7982">
        <v>30110.38</v>
      </c>
      <c r="G7982">
        <v>0</v>
      </c>
      <c r="H7982">
        <v>0</v>
      </c>
      <c r="I7982">
        <v>0</v>
      </c>
      <c r="J7982">
        <v>0</v>
      </c>
      <c r="K7982">
        <v>53255.89</v>
      </c>
      <c r="L7982">
        <v>4033804</v>
      </c>
      <c r="M7982">
        <v>3996499</v>
      </c>
      <c r="N7982">
        <v>4033804</v>
      </c>
      <c r="O7982">
        <v>3996499</v>
      </c>
      <c r="P7982">
        <v>3613245.41</v>
      </c>
      <c r="Q7982">
        <v>3559989.52</v>
      </c>
      <c r="R7982" s="14">
        <f>_xlfn.XLOOKUP(Table2[[#This Row],[LoanID]],Table1[G-L ID],Table1[ManagerCode],-99)</f>
        <v>103</v>
      </c>
      <c r="T7982"/>
    </row>
    <row r="7983" spans="1:20" x14ac:dyDescent="0.25">
      <c r="A7983">
        <v>20181231</v>
      </c>
      <c r="B7983">
        <v>2018</v>
      </c>
      <c r="C7983">
        <v>12</v>
      </c>
      <c r="D7983">
        <v>1</v>
      </c>
      <c r="E7983">
        <v>12450</v>
      </c>
      <c r="F7983">
        <v>46534.54</v>
      </c>
      <c r="G7983">
        <v>35839.31</v>
      </c>
      <c r="H7983">
        <v>0</v>
      </c>
      <c r="I7983">
        <v>0</v>
      </c>
      <c r="J7983">
        <v>-216964.35</v>
      </c>
      <c r="K7983">
        <v>0</v>
      </c>
      <c r="L7983">
        <v>9000845.3800000008</v>
      </c>
      <c r="M7983">
        <v>9253649.0399999991</v>
      </c>
      <c r="N7983">
        <v>9000845.3800000008</v>
      </c>
      <c r="O7983">
        <v>9253649.0399999991</v>
      </c>
      <c r="P7983">
        <v>9000845.3800000008</v>
      </c>
      <c r="Q7983">
        <v>9253649.0399999991</v>
      </c>
      <c r="R7983" s="14">
        <f>_xlfn.XLOOKUP(Table2[[#This Row],[LoanID]],Table1[G-L ID],Table1[ManagerCode],-99)</f>
        <v>183</v>
      </c>
      <c r="T7983"/>
    </row>
    <row r="7984" spans="1:20" x14ac:dyDescent="0.25">
      <c r="A7984">
        <v>20181231</v>
      </c>
      <c r="B7984">
        <v>2018</v>
      </c>
      <c r="C7984">
        <v>12</v>
      </c>
      <c r="D7984">
        <v>1</v>
      </c>
      <c r="E7984">
        <v>12460</v>
      </c>
      <c r="F7984">
        <v>42250</v>
      </c>
      <c r="G7984">
        <v>47658.47</v>
      </c>
      <c r="H7984">
        <v>0</v>
      </c>
      <c r="I7984">
        <v>0</v>
      </c>
      <c r="J7984">
        <v>0</v>
      </c>
      <c r="K7984">
        <v>0</v>
      </c>
      <c r="L7984">
        <v>8990847.3900000006</v>
      </c>
      <c r="M7984">
        <v>9038505.8599999994</v>
      </c>
      <c r="N7984">
        <v>8990847.3900000006</v>
      </c>
      <c r="O7984">
        <v>9038505.8599999994</v>
      </c>
      <c r="P7984">
        <v>8990847.3900000006</v>
      </c>
      <c r="Q7984">
        <v>9038505.8599999994</v>
      </c>
      <c r="R7984" s="14">
        <f>_xlfn.XLOOKUP(Table2[[#This Row],[LoanID]],Table1[G-L ID],Table1[ManagerCode],-99)</f>
        <v>183</v>
      </c>
      <c r="T7984"/>
    </row>
    <row r="7985" spans="1:20" x14ac:dyDescent="0.25">
      <c r="A7985">
        <v>20181231</v>
      </c>
      <c r="B7985">
        <v>2018</v>
      </c>
      <c r="C7985">
        <v>12</v>
      </c>
      <c r="D7985">
        <v>1</v>
      </c>
      <c r="E7985">
        <v>12470</v>
      </c>
      <c r="F7985">
        <v>335109.90000000002</v>
      </c>
      <c r="G7985">
        <v>0</v>
      </c>
      <c r="H7985">
        <v>0</v>
      </c>
      <c r="I7985">
        <v>0</v>
      </c>
      <c r="J7985">
        <v>0</v>
      </c>
      <c r="K7985">
        <v>0</v>
      </c>
      <c r="L7985">
        <v>115000000</v>
      </c>
      <c r="M7985">
        <v>115000000</v>
      </c>
      <c r="N7985">
        <v>46000000</v>
      </c>
      <c r="O7985">
        <v>46000000</v>
      </c>
      <c r="P7985">
        <v>115000000</v>
      </c>
      <c r="Q7985">
        <v>115000000</v>
      </c>
      <c r="R7985" s="14">
        <f>_xlfn.XLOOKUP(Table2[[#This Row],[LoanID]],Table1[G-L ID],Table1[ManagerCode],-99)</f>
        <v>183</v>
      </c>
      <c r="T7985"/>
    </row>
    <row r="7986" spans="1:20" x14ac:dyDescent="0.25">
      <c r="A7986">
        <v>20181231</v>
      </c>
      <c r="B7986">
        <v>2018</v>
      </c>
      <c r="C7986">
        <v>12</v>
      </c>
      <c r="D7986">
        <v>1</v>
      </c>
      <c r="E7986">
        <v>12480</v>
      </c>
      <c r="F7986">
        <v>78436.37</v>
      </c>
      <c r="G7986">
        <v>0</v>
      </c>
      <c r="H7986">
        <v>0</v>
      </c>
      <c r="I7986">
        <v>0</v>
      </c>
      <c r="J7986">
        <v>0</v>
      </c>
      <c r="K7986">
        <v>0</v>
      </c>
      <c r="L7986">
        <v>19880000</v>
      </c>
      <c r="M7986">
        <v>19880000</v>
      </c>
      <c r="N7986">
        <v>9380000</v>
      </c>
      <c r="O7986">
        <v>9380000</v>
      </c>
      <c r="P7986">
        <v>19880000</v>
      </c>
      <c r="Q7986">
        <v>19880000</v>
      </c>
      <c r="R7986" s="14">
        <f>_xlfn.XLOOKUP(Table2[[#This Row],[LoanID]],Table1[G-L ID],Table1[ManagerCode],-99)</f>
        <v>183</v>
      </c>
      <c r="T7986"/>
    </row>
    <row r="7987" spans="1:20" x14ac:dyDescent="0.25">
      <c r="A7987">
        <v>20181231</v>
      </c>
      <c r="B7987">
        <v>2018</v>
      </c>
      <c r="C7987">
        <v>12</v>
      </c>
      <c r="D7987">
        <v>1</v>
      </c>
      <c r="E7987">
        <v>12490</v>
      </c>
      <c r="F7987">
        <v>133385.66</v>
      </c>
      <c r="G7987">
        <v>0</v>
      </c>
      <c r="H7987">
        <v>0</v>
      </c>
      <c r="I7987">
        <v>0</v>
      </c>
      <c r="J7987">
        <v>0</v>
      </c>
      <c r="K7987">
        <v>0</v>
      </c>
      <c r="L7987">
        <v>50200000</v>
      </c>
      <c r="M7987">
        <v>50200000</v>
      </c>
      <c r="N7987">
        <v>19600000</v>
      </c>
      <c r="O7987">
        <v>19600000</v>
      </c>
      <c r="P7987">
        <v>50200000</v>
      </c>
      <c r="Q7987">
        <v>50200000</v>
      </c>
      <c r="R7987" s="14">
        <f>_xlfn.XLOOKUP(Table2[[#This Row],[LoanID]],Table1[G-L ID],Table1[ManagerCode],-99)</f>
        <v>183</v>
      </c>
      <c r="T7987"/>
    </row>
    <row r="7988" spans="1:20" x14ac:dyDescent="0.25">
      <c r="A7988">
        <v>20181231</v>
      </c>
      <c r="B7988">
        <v>2018</v>
      </c>
      <c r="C7988">
        <v>12</v>
      </c>
      <c r="D7988">
        <v>1</v>
      </c>
      <c r="E7988">
        <v>12510</v>
      </c>
      <c r="F7988">
        <v>328599.69</v>
      </c>
      <c r="G7988">
        <v>0</v>
      </c>
      <c r="H7988">
        <v>0</v>
      </c>
      <c r="I7988">
        <v>0</v>
      </c>
      <c r="J7988">
        <v>0</v>
      </c>
      <c r="K7988">
        <v>0</v>
      </c>
      <c r="L7988">
        <v>131500000</v>
      </c>
      <c r="M7988">
        <v>131500000</v>
      </c>
      <c r="N7988">
        <v>46025000</v>
      </c>
      <c r="O7988">
        <v>46025000</v>
      </c>
      <c r="P7988">
        <v>131500000</v>
      </c>
      <c r="Q7988">
        <v>131500000</v>
      </c>
      <c r="R7988" s="14">
        <f>_xlfn.XLOOKUP(Table2[[#This Row],[LoanID]],Table1[G-L ID],Table1[ManagerCode],-99)</f>
        <v>183</v>
      </c>
      <c r="T7988"/>
    </row>
    <row r="7989" spans="1:20" x14ac:dyDescent="0.25">
      <c r="A7989">
        <v>20181231</v>
      </c>
      <c r="B7989">
        <v>2018</v>
      </c>
      <c r="C7989">
        <v>12</v>
      </c>
      <c r="D7989">
        <v>1</v>
      </c>
      <c r="E7989">
        <v>12520</v>
      </c>
      <c r="F7989">
        <v>176924.4</v>
      </c>
      <c r="G7989">
        <v>0</v>
      </c>
      <c r="H7989">
        <v>0</v>
      </c>
      <c r="I7989">
        <v>0</v>
      </c>
      <c r="J7989">
        <v>-694214.22</v>
      </c>
      <c r="K7989">
        <v>0</v>
      </c>
      <c r="L7989">
        <v>44965366.109999999</v>
      </c>
      <c r="M7989">
        <v>45659580.329999998</v>
      </c>
      <c r="N7989">
        <v>20215366.109999999</v>
      </c>
      <c r="O7989">
        <v>20909580.329999998</v>
      </c>
      <c r="P7989">
        <v>44965366.109999999</v>
      </c>
      <c r="Q7989">
        <v>45659580.329999998</v>
      </c>
      <c r="R7989" s="14">
        <f>_xlfn.XLOOKUP(Table2[[#This Row],[LoanID]],Table1[G-L ID],Table1[ManagerCode],-99)</f>
        <v>183</v>
      </c>
      <c r="T7989"/>
    </row>
    <row r="7990" spans="1:20" x14ac:dyDescent="0.25">
      <c r="A7990">
        <v>20181231</v>
      </c>
      <c r="B7990">
        <v>2018</v>
      </c>
      <c r="C7990">
        <v>12</v>
      </c>
      <c r="D7990">
        <v>1</v>
      </c>
      <c r="E7990">
        <v>12530</v>
      </c>
      <c r="F7990">
        <v>186579.81</v>
      </c>
      <c r="G7990">
        <v>0</v>
      </c>
      <c r="H7990">
        <v>0</v>
      </c>
      <c r="I7990">
        <v>0</v>
      </c>
      <c r="J7990">
        <v>0</v>
      </c>
      <c r="K7990">
        <v>0</v>
      </c>
      <c r="L7990">
        <v>19875000</v>
      </c>
      <c r="M7990">
        <v>19875000</v>
      </c>
      <c r="N7990">
        <v>19875000</v>
      </c>
      <c r="O7990">
        <v>19875000</v>
      </c>
      <c r="P7990">
        <v>19875000</v>
      </c>
      <c r="Q7990">
        <v>19875000</v>
      </c>
      <c r="R7990" s="14">
        <f>_xlfn.XLOOKUP(Table2[[#This Row],[LoanID]],Table1[G-L ID],Table1[ManagerCode],-99)</f>
        <v>119</v>
      </c>
      <c r="T7990"/>
    </row>
    <row r="7991" spans="1:20" x14ac:dyDescent="0.25">
      <c r="A7991">
        <v>20181231</v>
      </c>
      <c r="B7991">
        <v>2018</v>
      </c>
      <c r="C7991">
        <v>12</v>
      </c>
      <c r="D7991">
        <v>1</v>
      </c>
      <c r="E7991">
        <v>12540</v>
      </c>
      <c r="F7991">
        <v>0</v>
      </c>
      <c r="G7991">
        <v>0</v>
      </c>
      <c r="H7991">
        <v>0</v>
      </c>
      <c r="I7991">
        <v>0</v>
      </c>
      <c r="J7991">
        <v>-38790.660000000003</v>
      </c>
      <c r="K7991">
        <v>0</v>
      </c>
      <c r="L7991">
        <v>15746480.99</v>
      </c>
      <c r="M7991">
        <v>15785271.65</v>
      </c>
      <c r="N7991">
        <v>15746480.99</v>
      </c>
      <c r="O7991">
        <v>15785271.65</v>
      </c>
      <c r="P7991">
        <v>15746480.99</v>
      </c>
      <c r="Q7991">
        <v>15785271.65</v>
      </c>
      <c r="R7991" s="14">
        <f>_xlfn.XLOOKUP(Table2[[#This Row],[LoanID]],Table1[G-L ID],Table1[ManagerCode],-99)</f>
        <v>119</v>
      </c>
      <c r="T7991"/>
    </row>
    <row r="7992" spans="1:20" x14ac:dyDescent="0.25">
      <c r="A7992">
        <v>20181231</v>
      </c>
      <c r="B7992">
        <v>2018</v>
      </c>
      <c r="C7992">
        <v>12</v>
      </c>
      <c r="D7992">
        <v>1</v>
      </c>
      <c r="E7992">
        <v>12550</v>
      </c>
      <c r="F7992">
        <v>76132.44</v>
      </c>
      <c r="G7992">
        <v>0</v>
      </c>
      <c r="H7992">
        <v>0</v>
      </c>
      <c r="I7992">
        <v>0</v>
      </c>
      <c r="J7992">
        <v>0</v>
      </c>
      <c r="K7992">
        <v>0</v>
      </c>
      <c r="L7992">
        <v>7416099.1500000004</v>
      </c>
      <c r="M7992">
        <v>7416099.1500000004</v>
      </c>
      <c r="N7992">
        <v>7416099.1500000004</v>
      </c>
      <c r="O7992">
        <v>7416099.1500000004</v>
      </c>
      <c r="P7992">
        <v>7416099.1500000004</v>
      </c>
      <c r="Q7992">
        <v>7416099.1500000004</v>
      </c>
      <c r="R7992" s="14">
        <f>_xlfn.XLOOKUP(Table2[[#This Row],[LoanID]],Table1[G-L ID],Table1[ManagerCode],-99)</f>
        <v>119</v>
      </c>
      <c r="T7992"/>
    </row>
    <row r="7993" spans="1:20" x14ac:dyDescent="0.25">
      <c r="A7993">
        <v>20181231</v>
      </c>
      <c r="B7993">
        <v>2018</v>
      </c>
      <c r="C7993">
        <v>12</v>
      </c>
      <c r="D7993">
        <v>1</v>
      </c>
      <c r="E7993">
        <v>12560</v>
      </c>
      <c r="F7993">
        <v>163282.23000000001</v>
      </c>
      <c r="G7993">
        <v>0</v>
      </c>
      <c r="H7993">
        <v>0</v>
      </c>
      <c r="I7993">
        <v>0</v>
      </c>
      <c r="J7993">
        <v>-870015.73</v>
      </c>
      <c r="K7993">
        <v>0</v>
      </c>
      <c r="L7993">
        <v>19509751.960000001</v>
      </c>
      <c r="M7993">
        <v>20379767.690000001</v>
      </c>
      <c r="N7993">
        <v>19509751.960000001</v>
      </c>
      <c r="O7993">
        <v>20379767.690000001</v>
      </c>
      <c r="P7993">
        <v>19509751.960000001</v>
      </c>
      <c r="Q7993">
        <v>20379767.690000001</v>
      </c>
      <c r="R7993" s="14">
        <f>_xlfn.XLOOKUP(Table2[[#This Row],[LoanID]],Table1[G-L ID],Table1[ManagerCode],-99)</f>
        <v>119</v>
      </c>
      <c r="T7993"/>
    </row>
    <row r="7994" spans="1:20" x14ac:dyDescent="0.25">
      <c r="A7994">
        <v>20181231</v>
      </c>
      <c r="B7994">
        <v>2018</v>
      </c>
      <c r="C7994">
        <v>12</v>
      </c>
      <c r="D7994">
        <v>1</v>
      </c>
      <c r="E7994">
        <v>12570</v>
      </c>
      <c r="F7994">
        <v>93535.63</v>
      </c>
      <c r="G7994">
        <v>0</v>
      </c>
      <c r="H7994">
        <v>0</v>
      </c>
      <c r="I7994">
        <v>0</v>
      </c>
      <c r="J7994">
        <v>-202565.45</v>
      </c>
      <c r="K7994">
        <v>0</v>
      </c>
      <c r="L7994">
        <v>10805503.43</v>
      </c>
      <c r="M7994">
        <v>11008068.880000001</v>
      </c>
      <c r="N7994">
        <v>10805503.43</v>
      </c>
      <c r="O7994">
        <v>11008068.880000001</v>
      </c>
      <c r="P7994">
        <v>10805503.43</v>
      </c>
      <c r="Q7994">
        <v>11008068.880000001</v>
      </c>
      <c r="R7994" s="14">
        <f>_xlfn.XLOOKUP(Table2[[#This Row],[LoanID]],Table1[G-L ID],Table1[ManagerCode],-99)</f>
        <v>119</v>
      </c>
      <c r="T7994"/>
    </row>
    <row r="7995" spans="1:20" x14ac:dyDescent="0.25">
      <c r="A7995">
        <v>20181231</v>
      </c>
      <c r="B7995">
        <v>2018</v>
      </c>
      <c r="C7995">
        <v>12</v>
      </c>
      <c r="D7995">
        <v>1</v>
      </c>
      <c r="E7995">
        <v>12580</v>
      </c>
      <c r="F7995">
        <v>190082</v>
      </c>
      <c r="G7995">
        <v>0</v>
      </c>
      <c r="H7995">
        <v>-227500</v>
      </c>
      <c r="I7995">
        <v>0</v>
      </c>
      <c r="J7995">
        <v>0</v>
      </c>
      <c r="K7995">
        <v>0</v>
      </c>
      <c r="L7995">
        <v>18000000</v>
      </c>
      <c r="M7995">
        <v>18000000</v>
      </c>
      <c r="N7995">
        <v>18000000</v>
      </c>
      <c r="O7995">
        <v>18000000</v>
      </c>
      <c r="P7995">
        <v>18000000</v>
      </c>
      <c r="Q7995">
        <v>18000000</v>
      </c>
      <c r="R7995" s="14">
        <f>_xlfn.XLOOKUP(Table2[[#This Row],[LoanID]],Table1[G-L ID],Table1[ManagerCode],-99)</f>
        <v>119</v>
      </c>
      <c r="T7995"/>
    </row>
    <row r="7996" spans="1:20" x14ac:dyDescent="0.25">
      <c r="A7996">
        <v>20181231</v>
      </c>
      <c r="B7996">
        <v>2018</v>
      </c>
      <c r="C7996">
        <v>12</v>
      </c>
      <c r="D7996">
        <v>1</v>
      </c>
      <c r="E7996">
        <v>12590</v>
      </c>
      <c r="F7996">
        <v>68713.33</v>
      </c>
      <c r="G7996">
        <v>0</v>
      </c>
      <c r="H7996">
        <v>0</v>
      </c>
      <c r="I7996">
        <v>0</v>
      </c>
      <c r="J7996">
        <v>0</v>
      </c>
      <c r="K7996">
        <v>0</v>
      </c>
      <c r="L7996">
        <v>8000000</v>
      </c>
      <c r="M7996">
        <v>8000000</v>
      </c>
      <c r="N7996">
        <v>8000000</v>
      </c>
      <c r="O7996">
        <v>8000000</v>
      </c>
      <c r="P7996">
        <v>8000000</v>
      </c>
      <c r="Q7996">
        <v>8000000</v>
      </c>
      <c r="R7996" s="14">
        <f>_xlfn.XLOOKUP(Table2[[#This Row],[LoanID]],Table1[G-L ID],Table1[ManagerCode],-99)</f>
        <v>119</v>
      </c>
      <c r="T7996"/>
    </row>
    <row r="7997" spans="1:20" x14ac:dyDescent="0.25">
      <c r="A7997">
        <v>20181231</v>
      </c>
      <c r="B7997">
        <v>2018</v>
      </c>
      <c r="C7997">
        <v>12</v>
      </c>
      <c r="D7997">
        <v>1</v>
      </c>
      <c r="E7997">
        <v>12600</v>
      </c>
      <c r="F7997">
        <v>245286.88</v>
      </c>
      <c r="G7997">
        <v>0</v>
      </c>
      <c r="H7997">
        <v>0</v>
      </c>
      <c r="I7997">
        <v>0</v>
      </c>
      <c r="J7997">
        <v>0</v>
      </c>
      <c r="K7997">
        <v>0</v>
      </c>
      <c r="L7997">
        <v>27750000</v>
      </c>
      <c r="M7997">
        <v>27750000</v>
      </c>
      <c r="N7997">
        <v>27750000</v>
      </c>
      <c r="O7997">
        <v>27750000</v>
      </c>
      <c r="P7997">
        <v>27750000</v>
      </c>
      <c r="Q7997">
        <v>27750000</v>
      </c>
      <c r="R7997" s="14">
        <f>_xlfn.XLOOKUP(Table2[[#This Row],[LoanID]],Table1[G-L ID],Table1[ManagerCode],-99)</f>
        <v>119</v>
      </c>
      <c r="T7997"/>
    </row>
    <row r="7998" spans="1:20" x14ac:dyDescent="0.25">
      <c r="A7998">
        <v>20181231</v>
      </c>
      <c r="B7998">
        <v>2018</v>
      </c>
      <c r="C7998">
        <v>12</v>
      </c>
      <c r="D7998">
        <v>1</v>
      </c>
      <c r="E7998">
        <v>12610</v>
      </c>
      <c r="F7998">
        <v>86633.22</v>
      </c>
      <c r="G7998">
        <v>0</v>
      </c>
      <c r="H7998">
        <v>0</v>
      </c>
      <c r="I7998">
        <v>0</v>
      </c>
      <c r="J7998">
        <v>0</v>
      </c>
      <c r="K7998">
        <v>0</v>
      </c>
      <c r="L7998">
        <v>9058517.5</v>
      </c>
      <c r="M7998">
        <v>9058517.5</v>
      </c>
      <c r="N7998">
        <v>9058517.5</v>
      </c>
      <c r="O7998">
        <v>9058517.5</v>
      </c>
      <c r="P7998">
        <v>9058517.5</v>
      </c>
      <c r="Q7998">
        <v>9058517.5</v>
      </c>
      <c r="R7998" s="14">
        <f>_xlfn.XLOOKUP(Table2[[#This Row],[LoanID]],Table1[G-L ID],Table1[ManagerCode],-99)</f>
        <v>119</v>
      </c>
      <c r="T7998"/>
    </row>
    <row r="7999" spans="1:20" x14ac:dyDescent="0.25">
      <c r="A7999">
        <v>20181231</v>
      </c>
      <c r="B7999">
        <v>2018</v>
      </c>
      <c r="C7999">
        <v>12</v>
      </c>
      <c r="D7999">
        <v>1</v>
      </c>
      <c r="E7999">
        <v>12620</v>
      </c>
      <c r="F7999">
        <v>12832.44</v>
      </c>
      <c r="G7999">
        <v>0</v>
      </c>
      <c r="H7999">
        <v>0</v>
      </c>
      <c r="I7999">
        <v>0</v>
      </c>
      <c r="J7999">
        <v>-151428.95000000001</v>
      </c>
      <c r="K7999">
        <v>0</v>
      </c>
      <c r="L7999">
        <v>1338222.6100000001</v>
      </c>
      <c r="M7999">
        <v>1489651.56</v>
      </c>
      <c r="N7999">
        <v>1338222.6100000001</v>
      </c>
      <c r="O7999">
        <v>1489651.56</v>
      </c>
      <c r="P7999">
        <v>1338222.6100000001</v>
      </c>
      <c r="Q7999">
        <v>1489651.56</v>
      </c>
      <c r="R7999" s="14">
        <f>_xlfn.XLOOKUP(Table2[[#This Row],[LoanID]],Table1[G-L ID],Table1[ManagerCode],-99)</f>
        <v>119</v>
      </c>
      <c r="T7999"/>
    </row>
    <row r="8000" spans="1:20" x14ac:dyDescent="0.25">
      <c r="A8000">
        <v>20181231</v>
      </c>
      <c r="B8000">
        <v>2018</v>
      </c>
      <c r="C8000">
        <v>12</v>
      </c>
      <c r="D8000">
        <v>1</v>
      </c>
      <c r="E8000">
        <v>12630</v>
      </c>
      <c r="F8000">
        <v>119076.95</v>
      </c>
      <c r="G8000">
        <v>0</v>
      </c>
      <c r="H8000">
        <v>0</v>
      </c>
      <c r="I8000">
        <v>0</v>
      </c>
      <c r="J8000">
        <v>0</v>
      </c>
      <c r="K8000">
        <v>0</v>
      </c>
      <c r="L8000">
        <v>13211200.35</v>
      </c>
      <c r="M8000">
        <v>13211200.35</v>
      </c>
      <c r="N8000">
        <v>13211200.35</v>
      </c>
      <c r="O8000">
        <v>13211200.35</v>
      </c>
      <c r="P8000">
        <v>13211200.35</v>
      </c>
      <c r="Q8000">
        <v>13211200.35</v>
      </c>
      <c r="R8000" s="14">
        <f>_xlfn.XLOOKUP(Table2[[#This Row],[LoanID]],Table1[G-L ID],Table1[ManagerCode],-99)</f>
        <v>119</v>
      </c>
      <c r="T8000"/>
    </row>
    <row r="8001" spans="1:20" x14ac:dyDescent="0.25">
      <c r="A8001">
        <v>20181231</v>
      </c>
      <c r="B8001">
        <v>2018</v>
      </c>
      <c r="C8001">
        <v>12</v>
      </c>
      <c r="D8001">
        <v>1</v>
      </c>
      <c r="E8001">
        <v>12640</v>
      </c>
      <c r="F8001">
        <v>99585.29</v>
      </c>
      <c r="G8001">
        <v>0</v>
      </c>
      <c r="H8001">
        <v>0</v>
      </c>
      <c r="I8001">
        <v>0</v>
      </c>
      <c r="J8001">
        <v>0</v>
      </c>
      <c r="K8001">
        <v>0</v>
      </c>
      <c r="L8001">
        <v>10945677.359999999</v>
      </c>
      <c r="M8001">
        <v>10945677.359999999</v>
      </c>
      <c r="N8001">
        <v>10945677.359999999</v>
      </c>
      <c r="O8001">
        <v>10945677.359999999</v>
      </c>
      <c r="P8001">
        <v>10945677.359999999</v>
      </c>
      <c r="Q8001">
        <v>10945677.359999999</v>
      </c>
      <c r="R8001" s="14">
        <f>_xlfn.XLOOKUP(Table2[[#This Row],[LoanID]],Table1[G-L ID],Table1[ManagerCode],-99)</f>
        <v>119</v>
      </c>
      <c r="T8001"/>
    </row>
    <row r="8002" spans="1:20" x14ac:dyDescent="0.25">
      <c r="A8002">
        <v>20181231</v>
      </c>
      <c r="B8002">
        <v>2018</v>
      </c>
      <c r="C8002">
        <v>12</v>
      </c>
      <c r="D8002">
        <v>1</v>
      </c>
      <c r="E8002">
        <v>12650</v>
      </c>
      <c r="F8002">
        <v>412334.38</v>
      </c>
      <c r="G8002">
        <v>0</v>
      </c>
      <c r="H8002">
        <v>0</v>
      </c>
      <c r="I8002">
        <v>0</v>
      </c>
      <c r="J8002">
        <v>0</v>
      </c>
      <c r="K8002">
        <v>7200000</v>
      </c>
      <c r="L8002">
        <v>123200000</v>
      </c>
      <c r="M8002">
        <v>123200000</v>
      </c>
      <c r="N8002">
        <v>56480000</v>
      </c>
      <c r="O8002">
        <v>49280000</v>
      </c>
      <c r="P8002">
        <v>123200000</v>
      </c>
      <c r="Q8002">
        <v>123200000</v>
      </c>
      <c r="R8002" s="14">
        <f>_xlfn.XLOOKUP(Table2[[#This Row],[LoanID]],Table1[G-L ID],Table1[ManagerCode],-99)</f>
        <v>183</v>
      </c>
      <c r="T8002"/>
    </row>
    <row r="8003" spans="1:20" x14ac:dyDescent="0.25">
      <c r="A8003">
        <v>20181231</v>
      </c>
      <c r="B8003">
        <v>2018</v>
      </c>
      <c r="C8003">
        <v>12</v>
      </c>
      <c r="D8003">
        <v>1</v>
      </c>
      <c r="E8003">
        <v>12660</v>
      </c>
      <c r="F8003">
        <v>121674.25</v>
      </c>
      <c r="G8003">
        <v>0</v>
      </c>
      <c r="H8003">
        <v>0</v>
      </c>
      <c r="I8003">
        <v>0</v>
      </c>
      <c r="J8003">
        <v>0</v>
      </c>
      <c r="K8003">
        <v>0</v>
      </c>
      <c r="L8003">
        <v>47000000</v>
      </c>
      <c r="M8003">
        <v>47000000</v>
      </c>
      <c r="N8003">
        <v>19000000</v>
      </c>
      <c r="O8003">
        <v>19000000</v>
      </c>
      <c r="P8003">
        <v>47000000</v>
      </c>
      <c r="Q8003">
        <v>47000000</v>
      </c>
      <c r="R8003" s="14">
        <f>_xlfn.XLOOKUP(Table2[[#This Row],[LoanID]],Table1[G-L ID],Table1[ManagerCode],-99)</f>
        <v>183</v>
      </c>
      <c r="T8003"/>
    </row>
    <row r="8004" spans="1:20" x14ac:dyDescent="0.25">
      <c r="A8004">
        <v>20181231</v>
      </c>
      <c r="B8004">
        <v>2018</v>
      </c>
      <c r="C8004">
        <v>12</v>
      </c>
      <c r="D8004">
        <v>1</v>
      </c>
      <c r="E8004">
        <v>12670</v>
      </c>
      <c r="F8004">
        <v>60917.74</v>
      </c>
      <c r="G8004">
        <v>0</v>
      </c>
      <c r="H8004">
        <v>0</v>
      </c>
      <c r="I8004">
        <v>0</v>
      </c>
      <c r="J8004">
        <v>0</v>
      </c>
      <c r="K8004">
        <v>0</v>
      </c>
      <c r="L8004">
        <v>15500000</v>
      </c>
      <c r="M8004">
        <v>15500000</v>
      </c>
      <c r="N8004">
        <v>7250000</v>
      </c>
      <c r="O8004">
        <v>7250000</v>
      </c>
      <c r="P8004">
        <v>15500000</v>
      </c>
      <c r="Q8004">
        <v>15500000</v>
      </c>
      <c r="R8004" s="14">
        <f>_xlfn.XLOOKUP(Table2[[#This Row],[LoanID]],Table1[G-L ID],Table1[ManagerCode],-99)</f>
        <v>183</v>
      </c>
      <c r="T8004"/>
    </row>
    <row r="8005" spans="1:20" x14ac:dyDescent="0.25">
      <c r="A8005">
        <v>20181231</v>
      </c>
      <c r="B8005">
        <v>2018</v>
      </c>
      <c r="C8005">
        <v>12</v>
      </c>
      <c r="D8005">
        <v>1</v>
      </c>
      <c r="E8005">
        <v>12680</v>
      </c>
      <c r="F8005">
        <v>149689.60000000001</v>
      </c>
      <c r="G8005">
        <v>0</v>
      </c>
      <c r="H8005">
        <v>0</v>
      </c>
      <c r="I8005">
        <v>0</v>
      </c>
      <c r="J8005">
        <v>0</v>
      </c>
      <c r="K8005">
        <v>0</v>
      </c>
      <c r="L8005">
        <v>16126000</v>
      </c>
      <c r="M8005">
        <v>16126000</v>
      </c>
      <c r="N8005">
        <v>16126000</v>
      </c>
      <c r="O8005">
        <v>16126000</v>
      </c>
      <c r="P8005">
        <v>16126000</v>
      </c>
      <c r="Q8005">
        <v>16126000</v>
      </c>
      <c r="R8005" s="14">
        <f>_xlfn.XLOOKUP(Table2[[#This Row],[LoanID]],Table1[G-L ID],Table1[ManagerCode],-99)</f>
        <v>119</v>
      </c>
      <c r="T8005"/>
    </row>
    <row r="8006" spans="1:20" x14ac:dyDescent="0.25">
      <c r="A8006">
        <v>20181231</v>
      </c>
      <c r="B8006">
        <v>2018</v>
      </c>
      <c r="C8006">
        <v>12</v>
      </c>
      <c r="D8006">
        <v>1</v>
      </c>
      <c r="E8006">
        <v>12690</v>
      </c>
      <c r="F8006">
        <v>94853.47</v>
      </c>
      <c r="G8006">
        <v>0</v>
      </c>
      <c r="H8006">
        <v>0</v>
      </c>
      <c r="I8006">
        <v>0</v>
      </c>
      <c r="J8006">
        <v>0</v>
      </c>
      <c r="K8006">
        <v>0</v>
      </c>
      <c r="L8006">
        <v>10175500</v>
      </c>
      <c r="M8006">
        <v>10175500</v>
      </c>
      <c r="N8006">
        <v>10175500</v>
      </c>
      <c r="O8006">
        <v>10175500</v>
      </c>
      <c r="P8006">
        <v>10175500</v>
      </c>
      <c r="Q8006">
        <v>10175500</v>
      </c>
      <c r="R8006" s="14">
        <f>_xlfn.XLOOKUP(Table2[[#This Row],[LoanID]],Table1[G-L ID],Table1[ManagerCode],-99)</f>
        <v>119</v>
      </c>
      <c r="T8006"/>
    </row>
    <row r="8007" spans="1:20" x14ac:dyDescent="0.25">
      <c r="A8007">
        <v>20181231</v>
      </c>
      <c r="B8007">
        <v>2018</v>
      </c>
      <c r="C8007">
        <v>12</v>
      </c>
      <c r="D8007">
        <v>1</v>
      </c>
      <c r="E8007">
        <v>12700</v>
      </c>
      <c r="F8007">
        <v>157971.18</v>
      </c>
      <c r="G8007">
        <v>0</v>
      </c>
      <c r="H8007">
        <v>0</v>
      </c>
      <c r="I8007">
        <v>0</v>
      </c>
      <c r="J8007">
        <v>0</v>
      </c>
      <c r="K8007">
        <v>0</v>
      </c>
      <c r="L8007">
        <v>11477272.73</v>
      </c>
      <c r="M8007">
        <v>11477272.73</v>
      </c>
      <c r="N8007">
        <v>11477272.73</v>
      </c>
      <c r="O8007">
        <v>11477272.73</v>
      </c>
      <c r="P8007">
        <v>11477272.73</v>
      </c>
      <c r="Q8007">
        <v>11477272.73</v>
      </c>
      <c r="R8007" s="14">
        <f>_xlfn.XLOOKUP(Table2[[#This Row],[LoanID]],Table1[G-L ID],Table1[ManagerCode],-99)</f>
        <v>119</v>
      </c>
      <c r="T8007"/>
    </row>
    <row r="8008" spans="1:20" x14ac:dyDescent="0.25">
      <c r="A8008">
        <v>20181231</v>
      </c>
      <c r="B8008">
        <v>2018</v>
      </c>
      <c r="C8008">
        <v>12</v>
      </c>
      <c r="D8008">
        <v>1</v>
      </c>
      <c r="E8008">
        <v>12710</v>
      </c>
      <c r="F8008">
        <v>98664.07</v>
      </c>
      <c r="G8008">
        <v>0</v>
      </c>
      <c r="H8008">
        <v>0</v>
      </c>
      <c r="I8008">
        <v>0</v>
      </c>
      <c r="J8008">
        <v>0</v>
      </c>
      <c r="K8008">
        <v>0</v>
      </c>
      <c r="L8008">
        <v>9738975</v>
      </c>
      <c r="M8008">
        <v>9738975</v>
      </c>
      <c r="N8008">
        <v>9738975</v>
      </c>
      <c r="O8008">
        <v>9738975</v>
      </c>
      <c r="P8008">
        <v>9738975</v>
      </c>
      <c r="Q8008">
        <v>9738975</v>
      </c>
      <c r="R8008" s="14">
        <f>_xlfn.XLOOKUP(Table2[[#This Row],[LoanID]],Table1[G-L ID],Table1[ManagerCode],-99)</f>
        <v>119</v>
      </c>
      <c r="T8008"/>
    </row>
    <row r="8009" spans="1:20" x14ac:dyDescent="0.25">
      <c r="A8009">
        <v>20181231</v>
      </c>
      <c r="B8009">
        <v>2018</v>
      </c>
      <c r="C8009">
        <v>12</v>
      </c>
      <c r="D8009">
        <v>1</v>
      </c>
      <c r="E8009">
        <v>12720</v>
      </c>
      <c r="F8009">
        <v>540119.94999999995</v>
      </c>
      <c r="G8009">
        <v>0</v>
      </c>
      <c r="H8009">
        <v>0</v>
      </c>
      <c r="I8009">
        <v>0</v>
      </c>
      <c r="J8009">
        <v>-235181.92</v>
      </c>
      <c r="K8009">
        <v>0</v>
      </c>
      <c r="L8009">
        <v>193103775.80000001</v>
      </c>
      <c r="M8009">
        <v>193338957.69999999</v>
      </c>
      <c r="N8009">
        <v>91222775.799999997</v>
      </c>
      <c r="O8009">
        <v>91457957.700000003</v>
      </c>
      <c r="P8009">
        <v>193103775.80000001</v>
      </c>
      <c r="Q8009">
        <v>193338957.69999999</v>
      </c>
      <c r="R8009" s="14">
        <f>_xlfn.XLOOKUP(Table2[[#This Row],[LoanID]],Table1[G-L ID],Table1[ManagerCode],-99)</f>
        <v>183</v>
      </c>
      <c r="T8009"/>
    </row>
    <row r="8010" spans="1:20" x14ac:dyDescent="0.25">
      <c r="A8010">
        <v>20181231</v>
      </c>
      <c r="B8010">
        <v>2018</v>
      </c>
      <c r="C8010">
        <v>12</v>
      </c>
      <c r="D8010">
        <v>1</v>
      </c>
      <c r="E8010">
        <v>12730</v>
      </c>
      <c r="F8010">
        <v>84513.83</v>
      </c>
      <c r="G8010">
        <v>0</v>
      </c>
      <c r="H8010">
        <v>0</v>
      </c>
      <c r="I8010">
        <v>0</v>
      </c>
      <c r="J8010">
        <v>0</v>
      </c>
      <c r="K8010">
        <v>0</v>
      </c>
      <c r="L8010">
        <v>38460000</v>
      </c>
      <c r="M8010">
        <v>38460000</v>
      </c>
      <c r="N8010">
        <v>13460000</v>
      </c>
      <c r="O8010">
        <v>13460000</v>
      </c>
      <c r="P8010">
        <v>38460000</v>
      </c>
      <c r="Q8010">
        <v>38460000</v>
      </c>
      <c r="R8010" s="14">
        <f>_xlfn.XLOOKUP(Table2[[#This Row],[LoanID]],Table1[G-L ID],Table1[ManagerCode],-99)</f>
        <v>183</v>
      </c>
      <c r="T8010"/>
    </row>
    <row r="8011" spans="1:20" x14ac:dyDescent="0.25">
      <c r="A8011">
        <v>20181231</v>
      </c>
      <c r="B8011">
        <v>2018</v>
      </c>
      <c r="C8011">
        <v>12</v>
      </c>
      <c r="D8011">
        <v>1</v>
      </c>
      <c r="E8011">
        <v>12740</v>
      </c>
      <c r="F8011">
        <v>104704.76</v>
      </c>
      <c r="G8011">
        <v>68557.05</v>
      </c>
      <c r="H8011">
        <v>0</v>
      </c>
      <c r="I8011">
        <v>0</v>
      </c>
      <c r="J8011">
        <v>-503530.11</v>
      </c>
      <c r="K8011">
        <v>0</v>
      </c>
      <c r="L8011">
        <v>21166742.120000001</v>
      </c>
      <c r="M8011">
        <v>21738829.280000001</v>
      </c>
      <c r="N8011">
        <v>21166742.120000001</v>
      </c>
      <c r="O8011">
        <v>21738829.280000001</v>
      </c>
      <c r="P8011">
        <v>21166742.120000001</v>
      </c>
      <c r="Q8011">
        <v>21738829.280000001</v>
      </c>
      <c r="R8011" s="14">
        <f>_xlfn.XLOOKUP(Table2[[#This Row],[LoanID]],Table1[G-L ID],Table1[ManagerCode],-99)</f>
        <v>183</v>
      </c>
      <c r="T8011"/>
    </row>
    <row r="8012" spans="1:20" x14ac:dyDescent="0.25">
      <c r="A8012">
        <v>20181231</v>
      </c>
      <c r="B8012">
        <v>2018</v>
      </c>
      <c r="C8012">
        <v>12</v>
      </c>
      <c r="D8012">
        <v>1</v>
      </c>
      <c r="E8012">
        <v>12930</v>
      </c>
      <c r="F8012">
        <v>171728.33</v>
      </c>
      <c r="G8012">
        <v>0</v>
      </c>
      <c r="H8012">
        <v>0</v>
      </c>
      <c r="I8012">
        <v>0</v>
      </c>
      <c r="J8012">
        <v>0</v>
      </c>
      <c r="K8012">
        <v>0</v>
      </c>
      <c r="L8012">
        <v>19000000</v>
      </c>
      <c r="M8012">
        <v>19000000</v>
      </c>
      <c r="N8012">
        <v>19000000</v>
      </c>
      <c r="O8012">
        <v>19000000</v>
      </c>
      <c r="P8012">
        <v>19000000</v>
      </c>
      <c r="Q8012">
        <v>19000000</v>
      </c>
      <c r="R8012" s="14">
        <f>_xlfn.XLOOKUP(Table2[[#This Row],[LoanID]],Table1[G-L ID],Table1[ManagerCode],-99)</f>
        <v>119</v>
      </c>
      <c r="T8012"/>
    </row>
    <row r="8013" spans="1:20" x14ac:dyDescent="0.25">
      <c r="A8013">
        <v>20181231</v>
      </c>
      <c r="B8013">
        <v>2018</v>
      </c>
      <c r="C8013">
        <v>12</v>
      </c>
      <c r="D8013">
        <v>1</v>
      </c>
      <c r="E8013">
        <v>12940</v>
      </c>
      <c r="F8013">
        <v>172244.94</v>
      </c>
      <c r="G8013">
        <v>0</v>
      </c>
      <c r="H8013">
        <v>0</v>
      </c>
      <c r="I8013">
        <v>0</v>
      </c>
      <c r="J8013">
        <v>0</v>
      </c>
      <c r="K8013">
        <v>0</v>
      </c>
      <c r="L8013">
        <v>19370342.25</v>
      </c>
      <c r="M8013">
        <v>19370342.25</v>
      </c>
      <c r="N8013">
        <v>19370342.25</v>
      </c>
      <c r="O8013">
        <v>19370342.25</v>
      </c>
      <c r="P8013">
        <v>19370342.25</v>
      </c>
      <c r="Q8013">
        <v>19370342.25</v>
      </c>
      <c r="R8013" s="14">
        <f>_xlfn.XLOOKUP(Table2[[#This Row],[LoanID]],Table1[G-L ID],Table1[ManagerCode],-99)</f>
        <v>119</v>
      </c>
      <c r="T8013"/>
    </row>
    <row r="8014" spans="1:20" x14ac:dyDescent="0.25">
      <c r="A8014">
        <v>20181231</v>
      </c>
      <c r="B8014">
        <v>2018</v>
      </c>
      <c r="C8014">
        <v>12</v>
      </c>
      <c r="D8014">
        <v>1</v>
      </c>
      <c r="E8014">
        <v>12950</v>
      </c>
      <c r="F8014">
        <v>232239.21</v>
      </c>
      <c r="G8014">
        <v>0</v>
      </c>
      <c r="H8014">
        <v>0</v>
      </c>
      <c r="I8014">
        <v>0</v>
      </c>
      <c r="J8014">
        <v>0</v>
      </c>
      <c r="K8014">
        <v>0</v>
      </c>
      <c r="L8014">
        <v>26732750</v>
      </c>
      <c r="M8014">
        <v>26732750</v>
      </c>
      <c r="N8014">
        <v>26732750</v>
      </c>
      <c r="O8014">
        <v>26732750</v>
      </c>
      <c r="P8014">
        <v>26732750</v>
      </c>
      <c r="Q8014">
        <v>26732750</v>
      </c>
      <c r="R8014" s="14">
        <f>_xlfn.XLOOKUP(Table2[[#This Row],[LoanID]],Table1[G-L ID],Table1[ManagerCode],-99)</f>
        <v>119</v>
      </c>
      <c r="T8014"/>
    </row>
    <row r="8015" spans="1:20" x14ac:dyDescent="0.25">
      <c r="A8015">
        <v>20181231</v>
      </c>
      <c r="B8015">
        <v>2018</v>
      </c>
      <c r="C8015">
        <v>12</v>
      </c>
      <c r="D8015">
        <v>1</v>
      </c>
      <c r="E8015">
        <v>12960</v>
      </c>
      <c r="F8015">
        <v>83426</v>
      </c>
      <c r="G8015">
        <v>0</v>
      </c>
      <c r="H8015">
        <v>0</v>
      </c>
      <c r="I8015">
        <v>0</v>
      </c>
      <c r="J8015">
        <v>0</v>
      </c>
      <c r="K8015">
        <v>0</v>
      </c>
      <c r="L8015">
        <v>8850000</v>
      </c>
      <c r="M8015">
        <v>8850000</v>
      </c>
      <c r="N8015">
        <v>8850000</v>
      </c>
      <c r="O8015">
        <v>8850000</v>
      </c>
      <c r="P8015">
        <v>8850000</v>
      </c>
      <c r="Q8015">
        <v>8850000</v>
      </c>
      <c r="R8015" s="14">
        <f>_xlfn.XLOOKUP(Table2[[#This Row],[LoanID]],Table1[G-L ID],Table1[ManagerCode],-99)</f>
        <v>119</v>
      </c>
      <c r="T8015"/>
    </row>
    <row r="8016" spans="1:20" x14ac:dyDescent="0.25">
      <c r="A8016">
        <v>20181231</v>
      </c>
      <c r="B8016">
        <v>2018</v>
      </c>
      <c r="C8016">
        <v>12</v>
      </c>
      <c r="D8016">
        <v>1</v>
      </c>
      <c r="E8016">
        <v>12970</v>
      </c>
      <c r="F8016">
        <v>102829.53</v>
      </c>
      <c r="G8016">
        <v>0</v>
      </c>
      <c r="H8016">
        <v>0</v>
      </c>
      <c r="I8016">
        <v>0</v>
      </c>
      <c r="J8016">
        <v>0</v>
      </c>
      <c r="K8016">
        <v>0</v>
      </c>
      <c r="L8016">
        <v>10007439.51</v>
      </c>
      <c r="M8016">
        <v>10007439.51</v>
      </c>
      <c r="N8016">
        <v>10007439.51</v>
      </c>
      <c r="O8016">
        <v>10007439.51</v>
      </c>
      <c r="P8016">
        <v>10007439.51</v>
      </c>
      <c r="Q8016">
        <v>10007439.51</v>
      </c>
      <c r="R8016" s="14">
        <f>_xlfn.XLOOKUP(Table2[[#This Row],[LoanID]],Table1[G-L ID],Table1[ManagerCode],-99)</f>
        <v>119</v>
      </c>
      <c r="T8016"/>
    </row>
    <row r="8017" spans="1:20" x14ac:dyDescent="0.25">
      <c r="A8017">
        <v>20181231</v>
      </c>
      <c r="B8017">
        <v>2018</v>
      </c>
      <c r="C8017">
        <v>12</v>
      </c>
      <c r="D8017">
        <v>1</v>
      </c>
      <c r="E8017">
        <v>12980</v>
      </c>
      <c r="F8017">
        <v>134795.82999999999</v>
      </c>
      <c r="G8017">
        <v>0</v>
      </c>
      <c r="H8017">
        <v>0</v>
      </c>
      <c r="I8017">
        <v>0</v>
      </c>
      <c r="J8017">
        <v>0</v>
      </c>
      <c r="K8017">
        <v>0</v>
      </c>
      <c r="L8017">
        <v>13750000</v>
      </c>
      <c r="M8017">
        <v>13750000</v>
      </c>
      <c r="N8017">
        <v>13750000</v>
      </c>
      <c r="O8017">
        <v>13750000</v>
      </c>
      <c r="P8017">
        <v>13750000</v>
      </c>
      <c r="Q8017">
        <v>13750000</v>
      </c>
      <c r="R8017" s="14">
        <f>_xlfn.XLOOKUP(Table2[[#This Row],[LoanID]],Table1[G-L ID],Table1[ManagerCode],-99)</f>
        <v>119</v>
      </c>
      <c r="T8017"/>
    </row>
    <row r="8018" spans="1:20" x14ac:dyDescent="0.25">
      <c r="A8018">
        <v>20181231</v>
      </c>
      <c r="B8018">
        <v>2018</v>
      </c>
      <c r="C8018">
        <v>12</v>
      </c>
      <c r="D8018">
        <v>1</v>
      </c>
      <c r="E8018">
        <v>12990</v>
      </c>
      <c r="F8018">
        <v>251495.4</v>
      </c>
      <c r="G8018">
        <v>0</v>
      </c>
      <c r="H8018">
        <v>0</v>
      </c>
      <c r="I8018">
        <v>0</v>
      </c>
      <c r="J8018">
        <v>0</v>
      </c>
      <c r="K8018">
        <v>0</v>
      </c>
      <c r="L8018">
        <v>29074613.27</v>
      </c>
      <c r="M8018">
        <v>29074613.27</v>
      </c>
      <c r="N8018">
        <v>29074613.27</v>
      </c>
      <c r="O8018">
        <v>29074613.27</v>
      </c>
      <c r="P8018">
        <v>29074613.27</v>
      </c>
      <c r="Q8018">
        <v>29074613.27</v>
      </c>
      <c r="R8018" s="14">
        <f>_xlfn.XLOOKUP(Table2[[#This Row],[LoanID]],Table1[G-L ID],Table1[ManagerCode],-99)</f>
        <v>119</v>
      </c>
      <c r="T8018"/>
    </row>
    <row r="8019" spans="1:20" x14ac:dyDescent="0.25">
      <c r="A8019">
        <v>20181231</v>
      </c>
      <c r="B8019">
        <v>2018</v>
      </c>
      <c r="C8019">
        <v>12</v>
      </c>
      <c r="D8019">
        <v>1</v>
      </c>
      <c r="E8019">
        <v>13000</v>
      </c>
      <c r="F8019">
        <v>133695.09</v>
      </c>
      <c r="G8019">
        <v>-182969.93</v>
      </c>
      <c r="H8019">
        <v>0</v>
      </c>
      <c r="I8019">
        <v>0</v>
      </c>
      <c r="J8019">
        <v>-133695.09</v>
      </c>
      <c r="K8019">
        <v>0</v>
      </c>
      <c r="L8019">
        <v>36249253</v>
      </c>
      <c r="M8019">
        <v>36235462</v>
      </c>
      <c r="N8019">
        <v>36249253</v>
      </c>
      <c r="O8019">
        <v>36235462</v>
      </c>
      <c r="P8019">
        <v>40310818.079999998</v>
      </c>
      <c r="Q8019">
        <v>40261543.240000002</v>
      </c>
      <c r="R8019" s="14">
        <f>_xlfn.XLOOKUP(Table2[[#This Row],[LoanID]],Table1[G-L ID],Table1[ManagerCode],-99)</f>
        <v>103</v>
      </c>
      <c r="T8019"/>
    </row>
    <row r="8020" spans="1:20" x14ac:dyDescent="0.25">
      <c r="A8020">
        <v>20181231</v>
      </c>
      <c r="B8020">
        <v>2018</v>
      </c>
      <c r="C8020">
        <v>12</v>
      </c>
      <c r="D8020">
        <v>1</v>
      </c>
      <c r="E8020">
        <v>13010</v>
      </c>
      <c r="F8020">
        <v>1400000</v>
      </c>
      <c r="G8020">
        <v>0</v>
      </c>
      <c r="H8020">
        <v>0</v>
      </c>
      <c r="I8020">
        <v>0</v>
      </c>
      <c r="J8020">
        <v>0</v>
      </c>
      <c r="K8020">
        <v>0</v>
      </c>
      <c r="L8020">
        <v>197936895</v>
      </c>
      <c r="M8020">
        <v>195664552</v>
      </c>
      <c r="N8020">
        <v>197936895</v>
      </c>
      <c r="O8020">
        <v>195664552</v>
      </c>
      <c r="P8020">
        <v>210000000</v>
      </c>
      <c r="Q8020">
        <v>210000000</v>
      </c>
      <c r="R8020" s="14">
        <f>_xlfn.XLOOKUP(Table2[[#This Row],[LoanID]],Table1[G-L ID],Table1[ManagerCode],-99)</f>
        <v>103</v>
      </c>
      <c r="T8020"/>
    </row>
    <row r="8021" spans="1:20" x14ac:dyDescent="0.25">
      <c r="A8021">
        <v>20181231</v>
      </c>
      <c r="B8021">
        <v>2018</v>
      </c>
      <c r="C8021">
        <v>12</v>
      </c>
      <c r="D8021">
        <v>1</v>
      </c>
      <c r="E8021">
        <v>13020</v>
      </c>
      <c r="F8021">
        <v>200668.61</v>
      </c>
      <c r="G8021">
        <v>0</v>
      </c>
      <c r="H8021">
        <v>0</v>
      </c>
      <c r="I8021">
        <v>0</v>
      </c>
      <c r="J8021">
        <v>-200668.61</v>
      </c>
      <c r="K8021">
        <v>0</v>
      </c>
      <c r="L8021">
        <v>20066860.829999998</v>
      </c>
      <c r="M8021">
        <v>20267529.440000001</v>
      </c>
      <c r="N8021">
        <v>20066860.829999998</v>
      </c>
      <c r="O8021">
        <v>20267529.440000001</v>
      </c>
      <c r="P8021">
        <v>20066860.829999998</v>
      </c>
      <c r="Q8021">
        <v>20267529.440000001</v>
      </c>
      <c r="R8021" s="14">
        <f>_xlfn.XLOOKUP(Table2[[#This Row],[LoanID]],Table1[G-L ID],Table1[ManagerCode],-99)</f>
        <v>103</v>
      </c>
      <c r="T8021"/>
    </row>
    <row r="8022" spans="1:20" x14ac:dyDescent="0.25">
      <c r="A8022">
        <v>20181231</v>
      </c>
      <c r="B8022">
        <v>2018</v>
      </c>
      <c r="C8022">
        <v>12</v>
      </c>
      <c r="D8022">
        <v>1</v>
      </c>
      <c r="E8022">
        <v>13030</v>
      </c>
      <c r="F8022">
        <v>296726.11</v>
      </c>
      <c r="G8022">
        <v>0</v>
      </c>
      <c r="H8022">
        <v>0</v>
      </c>
      <c r="I8022">
        <v>0</v>
      </c>
      <c r="J8022">
        <v>0</v>
      </c>
      <c r="K8022">
        <v>0</v>
      </c>
      <c r="L8022">
        <v>114000000</v>
      </c>
      <c r="M8022">
        <v>114000000</v>
      </c>
      <c r="N8022">
        <v>51276576</v>
      </c>
      <c r="O8022">
        <v>51276576</v>
      </c>
      <c r="P8022">
        <v>114000000</v>
      </c>
      <c r="Q8022">
        <v>114000000</v>
      </c>
      <c r="R8022" s="14">
        <f>_xlfn.XLOOKUP(Table2[[#This Row],[LoanID]],Table1[G-L ID],Table1[ManagerCode],-99)</f>
        <v>183</v>
      </c>
      <c r="T8022"/>
    </row>
    <row r="8023" spans="1:20" x14ac:dyDescent="0.25">
      <c r="A8023">
        <v>20181231</v>
      </c>
      <c r="B8023">
        <v>2018</v>
      </c>
      <c r="C8023">
        <v>12</v>
      </c>
      <c r="D8023">
        <v>1</v>
      </c>
      <c r="E8023">
        <v>13040</v>
      </c>
      <c r="F8023">
        <v>73731.91</v>
      </c>
      <c r="G8023">
        <v>0</v>
      </c>
      <c r="H8023">
        <v>0</v>
      </c>
      <c r="I8023">
        <v>0</v>
      </c>
      <c r="J8023">
        <v>0</v>
      </c>
      <c r="K8023">
        <v>0</v>
      </c>
      <c r="L8023">
        <v>33862500</v>
      </c>
      <c r="M8023">
        <v>33862500</v>
      </c>
      <c r="N8023">
        <v>13690113</v>
      </c>
      <c r="O8023">
        <v>13690113</v>
      </c>
      <c r="P8023">
        <v>33862500</v>
      </c>
      <c r="Q8023">
        <v>33862500</v>
      </c>
      <c r="R8023" s="14">
        <f>_xlfn.XLOOKUP(Table2[[#This Row],[LoanID]],Table1[G-L ID],Table1[ManagerCode],-99)</f>
        <v>183</v>
      </c>
      <c r="T8023"/>
    </row>
    <row r="8024" spans="1:20" x14ac:dyDescent="0.25">
      <c r="A8024">
        <v>20181231</v>
      </c>
      <c r="B8024">
        <v>2018</v>
      </c>
      <c r="C8024">
        <v>12</v>
      </c>
      <c r="D8024">
        <v>1</v>
      </c>
      <c r="E8024">
        <v>13050</v>
      </c>
      <c r="F8024">
        <v>73852.08</v>
      </c>
      <c r="G8024">
        <v>0</v>
      </c>
      <c r="H8024">
        <v>0</v>
      </c>
      <c r="I8024">
        <v>0</v>
      </c>
      <c r="J8024">
        <v>0</v>
      </c>
      <c r="K8024">
        <v>0</v>
      </c>
      <c r="L8024">
        <v>42575000</v>
      </c>
      <c r="M8024">
        <v>42575000</v>
      </c>
      <c r="N8024">
        <v>14901424</v>
      </c>
      <c r="O8024">
        <v>14901424</v>
      </c>
      <c r="P8024">
        <v>42575000</v>
      </c>
      <c r="Q8024">
        <v>42575000</v>
      </c>
      <c r="R8024" s="14">
        <f>_xlfn.XLOOKUP(Table2[[#This Row],[LoanID]],Table1[G-L ID],Table1[ManagerCode],-99)</f>
        <v>183</v>
      </c>
      <c r="T8024"/>
    </row>
    <row r="8025" spans="1:20" x14ac:dyDescent="0.25">
      <c r="A8025">
        <v>20181231</v>
      </c>
      <c r="B8025">
        <v>2018</v>
      </c>
      <c r="C8025">
        <v>12</v>
      </c>
      <c r="D8025">
        <v>1</v>
      </c>
      <c r="E8025">
        <v>13060</v>
      </c>
      <c r="F8025">
        <v>91122.66</v>
      </c>
      <c r="G8025">
        <v>0</v>
      </c>
      <c r="H8025">
        <v>0</v>
      </c>
      <c r="I8025">
        <v>0</v>
      </c>
      <c r="J8025">
        <v>0</v>
      </c>
      <c r="K8025">
        <v>0</v>
      </c>
      <c r="L8025">
        <v>42730506.350000001</v>
      </c>
      <c r="M8025">
        <v>42730506.350000001</v>
      </c>
      <c r="N8025">
        <v>17128944.350000001</v>
      </c>
      <c r="O8025">
        <v>17128944.350000001</v>
      </c>
      <c r="P8025">
        <v>42730506.350000001</v>
      </c>
      <c r="Q8025">
        <v>42730506.350000001</v>
      </c>
      <c r="R8025" s="14">
        <f>_xlfn.XLOOKUP(Table2[[#This Row],[LoanID]],Table1[G-L ID],Table1[ManagerCode],-99)</f>
        <v>183</v>
      </c>
      <c r="T8025"/>
    </row>
    <row r="8026" spans="1:20" x14ac:dyDescent="0.25">
      <c r="A8026">
        <v>20181231</v>
      </c>
      <c r="B8026">
        <v>2018</v>
      </c>
      <c r="C8026">
        <v>12</v>
      </c>
      <c r="D8026">
        <v>1</v>
      </c>
      <c r="E8026">
        <v>13070</v>
      </c>
      <c r="F8026">
        <v>341389.97</v>
      </c>
      <c r="G8026">
        <v>0</v>
      </c>
      <c r="H8026">
        <v>0</v>
      </c>
      <c r="I8026">
        <v>0</v>
      </c>
      <c r="J8026">
        <v>-578370</v>
      </c>
      <c r="K8026">
        <v>0</v>
      </c>
      <c r="L8026">
        <v>84000000</v>
      </c>
      <c r="M8026">
        <v>84578370</v>
      </c>
      <c r="N8026">
        <v>44000000</v>
      </c>
      <c r="O8026">
        <v>44578370</v>
      </c>
      <c r="P8026">
        <v>84000000</v>
      </c>
      <c r="Q8026">
        <v>84578370</v>
      </c>
      <c r="R8026" s="14">
        <f>_xlfn.XLOOKUP(Table2[[#This Row],[LoanID]],Table1[G-L ID],Table1[ManagerCode],-99)</f>
        <v>183</v>
      </c>
      <c r="T8026"/>
    </row>
    <row r="8027" spans="1:20" x14ac:dyDescent="0.25">
      <c r="A8027">
        <v>20181231</v>
      </c>
      <c r="B8027">
        <v>2018</v>
      </c>
      <c r="C8027">
        <v>12</v>
      </c>
      <c r="D8027">
        <v>1</v>
      </c>
      <c r="E8027">
        <v>13080</v>
      </c>
      <c r="F8027">
        <v>74209.66</v>
      </c>
      <c r="G8027">
        <v>0</v>
      </c>
      <c r="H8027">
        <v>0</v>
      </c>
      <c r="I8027">
        <v>0</v>
      </c>
      <c r="J8027">
        <v>0</v>
      </c>
      <c r="K8027">
        <v>0</v>
      </c>
      <c r="L8027">
        <v>36000000</v>
      </c>
      <c r="M8027">
        <v>36000000</v>
      </c>
      <c r="N8027">
        <v>14500000</v>
      </c>
      <c r="O8027">
        <v>14500000</v>
      </c>
      <c r="P8027">
        <v>36000000</v>
      </c>
      <c r="Q8027">
        <v>36000000</v>
      </c>
      <c r="R8027" s="14">
        <f>_xlfn.XLOOKUP(Table2[[#This Row],[LoanID]],Table1[G-L ID],Table1[ManagerCode],-99)</f>
        <v>183</v>
      </c>
      <c r="T8027"/>
    </row>
    <row r="8028" spans="1:20" x14ac:dyDescent="0.25">
      <c r="A8028">
        <v>20181231</v>
      </c>
      <c r="B8028">
        <v>2018</v>
      </c>
      <c r="C8028">
        <v>12</v>
      </c>
      <c r="D8028">
        <v>1</v>
      </c>
      <c r="E8028">
        <v>13090</v>
      </c>
      <c r="F8028">
        <v>116594.44</v>
      </c>
      <c r="G8028">
        <v>0</v>
      </c>
      <c r="H8028">
        <v>0</v>
      </c>
      <c r="I8028">
        <v>0</v>
      </c>
      <c r="J8028">
        <v>0</v>
      </c>
      <c r="K8028">
        <v>0</v>
      </c>
      <c r="L8028">
        <v>20000000</v>
      </c>
      <c r="M8028">
        <v>20000000</v>
      </c>
      <c r="N8028">
        <v>20000000</v>
      </c>
      <c r="O8028">
        <v>20000000</v>
      </c>
      <c r="P8028">
        <v>20000000</v>
      </c>
      <c r="Q8028">
        <v>20000000</v>
      </c>
      <c r="R8028" s="14">
        <f>_xlfn.XLOOKUP(Table2[[#This Row],[LoanID]],Table1[G-L ID],Table1[ManagerCode],-99)</f>
        <v>183</v>
      </c>
      <c r="T8028"/>
    </row>
    <row r="8029" spans="1:20" x14ac:dyDescent="0.25">
      <c r="A8029">
        <v>20181231</v>
      </c>
      <c r="B8029">
        <v>2018</v>
      </c>
      <c r="C8029">
        <v>12</v>
      </c>
      <c r="D8029">
        <v>1</v>
      </c>
      <c r="E8029">
        <v>13100</v>
      </c>
      <c r="F8029">
        <v>73364.66</v>
      </c>
      <c r="G8029">
        <v>0</v>
      </c>
      <c r="H8029">
        <v>229500</v>
      </c>
      <c r="I8029">
        <v>0</v>
      </c>
      <c r="J8029">
        <v>-31600000</v>
      </c>
      <c r="K8029">
        <v>17348400</v>
      </c>
      <c r="L8029">
        <v>0</v>
      </c>
      <c r="M8029">
        <v>31600000</v>
      </c>
      <c r="N8029">
        <v>0</v>
      </c>
      <c r="O8029">
        <v>14251600</v>
      </c>
      <c r="P8029">
        <v>0</v>
      </c>
      <c r="Q8029">
        <v>31600000</v>
      </c>
      <c r="R8029" s="14">
        <f>_xlfn.XLOOKUP(Table2[[#This Row],[LoanID]],Table1[G-L ID],Table1[ManagerCode],-99)</f>
        <v>183</v>
      </c>
      <c r="T8029"/>
    </row>
    <row r="8030" spans="1:20" x14ac:dyDescent="0.25">
      <c r="A8030">
        <v>20181231</v>
      </c>
      <c r="B8030">
        <v>2018</v>
      </c>
      <c r="C8030">
        <v>12</v>
      </c>
      <c r="D8030">
        <v>1</v>
      </c>
      <c r="E8030">
        <v>13110</v>
      </c>
      <c r="F8030">
        <v>47720</v>
      </c>
      <c r="G8030">
        <v>0</v>
      </c>
      <c r="H8030">
        <v>0</v>
      </c>
      <c r="I8030">
        <v>0</v>
      </c>
      <c r="J8030">
        <v>0</v>
      </c>
      <c r="K8030">
        <v>0</v>
      </c>
      <c r="L8030">
        <v>44000000</v>
      </c>
      <c r="M8030">
        <v>44000000</v>
      </c>
      <c r="N8030">
        <v>17723750</v>
      </c>
      <c r="O8030">
        <v>17723750</v>
      </c>
      <c r="P8030">
        <v>44000000</v>
      </c>
      <c r="Q8030">
        <v>44000000</v>
      </c>
      <c r="R8030" s="14">
        <f>_xlfn.XLOOKUP(Table2[[#This Row],[LoanID]],Table1[G-L ID],Table1[ManagerCode],-99)</f>
        <v>183</v>
      </c>
      <c r="T8030"/>
    </row>
    <row r="8031" spans="1:20" x14ac:dyDescent="0.25">
      <c r="A8031">
        <v>20181231</v>
      </c>
      <c r="B8031">
        <v>2018</v>
      </c>
      <c r="C8031">
        <v>12</v>
      </c>
      <c r="D8031">
        <v>1</v>
      </c>
      <c r="E8031">
        <v>13120</v>
      </c>
      <c r="F8031">
        <v>55071.5</v>
      </c>
      <c r="G8031">
        <v>0</v>
      </c>
      <c r="H8031">
        <v>0</v>
      </c>
      <c r="I8031">
        <v>0</v>
      </c>
      <c r="J8031">
        <v>0</v>
      </c>
      <c r="K8031">
        <v>0</v>
      </c>
      <c r="L8031">
        <v>27360000</v>
      </c>
      <c r="M8031">
        <v>27360000</v>
      </c>
      <c r="N8031">
        <v>9576000</v>
      </c>
      <c r="O8031">
        <v>9576000</v>
      </c>
      <c r="P8031">
        <v>27360000</v>
      </c>
      <c r="Q8031">
        <v>27360000</v>
      </c>
      <c r="R8031" s="14">
        <f>_xlfn.XLOOKUP(Table2[[#This Row],[LoanID]],Table1[G-L ID],Table1[ManagerCode],-99)</f>
        <v>183</v>
      </c>
      <c r="T8031"/>
    </row>
    <row r="8032" spans="1:20" x14ac:dyDescent="0.25">
      <c r="A8032">
        <v>20181231</v>
      </c>
      <c r="B8032">
        <v>2018</v>
      </c>
      <c r="C8032">
        <v>12</v>
      </c>
      <c r="D8032">
        <v>1</v>
      </c>
      <c r="E8032">
        <v>13130</v>
      </c>
      <c r="F8032">
        <v>419418.38</v>
      </c>
      <c r="G8032">
        <v>0</v>
      </c>
      <c r="H8032">
        <v>0</v>
      </c>
      <c r="I8032">
        <v>0</v>
      </c>
      <c r="J8032">
        <v>0</v>
      </c>
      <c r="K8032">
        <v>0</v>
      </c>
      <c r="L8032">
        <v>190400000</v>
      </c>
      <c r="M8032">
        <v>190400000</v>
      </c>
      <c r="N8032">
        <v>90400000</v>
      </c>
      <c r="O8032">
        <v>90400000</v>
      </c>
      <c r="P8032">
        <v>190400000</v>
      </c>
      <c r="Q8032">
        <v>190400000</v>
      </c>
      <c r="R8032" s="14">
        <f>_xlfn.XLOOKUP(Table2[[#This Row],[LoanID]],Table1[G-L ID],Table1[ManagerCode],-99)</f>
        <v>183</v>
      </c>
      <c r="T8032"/>
    </row>
    <row r="8033" spans="1:20" x14ac:dyDescent="0.25">
      <c r="A8033">
        <v>20181231</v>
      </c>
      <c r="B8033">
        <v>2018</v>
      </c>
      <c r="C8033">
        <v>12</v>
      </c>
      <c r="D8033">
        <v>1</v>
      </c>
      <c r="E8033">
        <v>13140</v>
      </c>
      <c r="F8033">
        <v>98045.19</v>
      </c>
      <c r="G8033">
        <v>0</v>
      </c>
      <c r="H8033">
        <v>0</v>
      </c>
      <c r="I8033">
        <v>0</v>
      </c>
      <c r="J8033">
        <v>-7500000</v>
      </c>
      <c r="K8033">
        <v>0</v>
      </c>
      <c r="L8033">
        <v>20720000</v>
      </c>
      <c r="M8033">
        <v>28220000</v>
      </c>
      <c r="N8033">
        <v>20720000</v>
      </c>
      <c r="O8033">
        <v>28220000</v>
      </c>
      <c r="P8033">
        <v>20720000</v>
      </c>
      <c r="Q8033">
        <v>28220000</v>
      </c>
      <c r="R8033" s="14">
        <f>_xlfn.XLOOKUP(Table2[[#This Row],[LoanID]],Table1[G-L ID],Table1[ManagerCode],-99)</f>
        <v>183</v>
      </c>
      <c r="T8033"/>
    </row>
    <row r="8034" spans="1:20" x14ac:dyDescent="0.25">
      <c r="A8034">
        <v>20181231</v>
      </c>
      <c r="B8034">
        <v>2018</v>
      </c>
      <c r="C8034">
        <v>12</v>
      </c>
      <c r="D8034">
        <v>1</v>
      </c>
      <c r="E8034">
        <v>13150</v>
      </c>
      <c r="F8034">
        <v>0</v>
      </c>
      <c r="G8034">
        <v>0</v>
      </c>
      <c r="H8034">
        <v>704100</v>
      </c>
      <c r="I8034">
        <v>0</v>
      </c>
      <c r="J8034">
        <v>-85580000</v>
      </c>
      <c r="K8034">
        <v>55627000</v>
      </c>
      <c r="L8034">
        <v>0</v>
      </c>
      <c r="M8034">
        <v>85580000</v>
      </c>
      <c r="N8034">
        <v>0</v>
      </c>
      <c r="O8034">
        <v>29953000</v>
      </c>
      <c r="P8034">
        <v>0</v>
      </c>
      <c r="Q8034">
        <v>85580000</v>
      </c>
      <c r="R8034" s="14">
        <f>_xlfn.XLOOKUP(Table2[[#This Row],[LoanID]],Table1[G-L ID],Table1[ManagerCode],-99)</f>
        <v>183</v>
      </c>
      <c r="T8034"/>
    </row>
    <row r="8035" spans="1:20" x14ac:dyDescent="0.25">
      <c r="A8035">
        <v>20181231</v>
      </c>
      <c r="B8035">
        <v>2018</v>
      </c>
      <c r="C8035">
        <v>12</v>
      </c>
      <c r="D8035">
        <v>1</v>
      </c>
      <c r="E8035">
        <v>13160</v>
      </c>
      <c r="F8035">
        <v>85582.86</v>
      </c>
      <c r="G8035">
        <v>0</v>
      </c>
      <c r="H8035">
        <v>314250</v>
      </c>
      <c r="I8035">
        <v>0</v>
      </c>
      <c r="J8035">
        <v>-33400000</v>
      </c>
      <c r="K8035">
        <v>20045142</v>
      </c>
      <c r="L8035">
        <v>0</v>
      </c>
      <c r="M8035">
        <v>33400000</v>
      </c>
      <c r="N8035">
        <v>0</v>
      </c>
      <c r="O8035">
        <v>13354858</v>
      </c>
      <c r="P8035">
        <v>0</v>
      </c>
      <c r="Q8035">
        <v>33400000</v>
      </c>
      <c r="R8035" s="14">
        <f>_xlfn.XLOOKUP(Table2[[#This Row],[LoanID]],Table1[G-L ID],Table1[ManagerCode],-99)</f>
        <v>183</v>
      </c>
      <c r="T8035"/>
    </row>
    <row r="8036" spans="1:20" x14ac:dyDescent="0.25">
      <c r="A8036">
        <v>20181231</v>
      </c>
      <c r="B8036">
        <v>2018</v>
      </c>
      <c r="C8036">
        <v>12</v>
      </c>
      <c r="D8036">
        <v>1</v>
      </c>
      <c r="E8036">
        <v>13170</v>
      </c>
      <c r="F8036">
        <v>76322.399999999994</v>
      </c>
      <c r="G8036">
        <v>0</v>
      </c>
      <c r="H8036">
        <v>378000</v>
      </c>
      <c r="I8036">
        <v>0</v>
      </c>
      <c r="J8036">
        <v>-50400000</v>
      </c>
      <c r="K8036">
        <v>32800000</v>
      </c>
      <c r="L8036">
        <v>0</v>
      </c>
      <c r="M8036">
        <v>50400000</v>
      </c>
      <c r="N8036">
        <v>0</v>
      </c>
      <c r="O8036">
        <v>17600000</v>
      </c>
      <c r="P8036">
        <v>0</v>
      </c>
      <c r="Q8036">
        <v>50400000</v>
      </c>
      <c r="R8036" s="14">
        <f>_xlfn.XLOOKUP(Table2[[#This Row],[LoanID]],Table1[G-L ID],Table1[ManagerCode],-99)</f>
        <v>183</v>
      </c>
      <c r="T8036"/>
    </row>
    <row r="8037" spans="1:20" x14ac:dyDescent="0.25">
      <c r="A8037">
        <v>20181231</v>
      </c>
      <c r="B8037">
        <v>2018</v>
      </c>
      <c r="C8037">
        <v>12</v>
      </c>
      <c r="D8037">
        <v>1</v>
      </c>
      <c r="E8037">
        <v>13180</v>
      </c>
      <c r="F8037">
        <v>101273.60000000001</v>
      </c>
      <c r="G8037">
        <v>0</v>
      </c>
      <c r="H8037">
        <v>0</v>
      </c>
      <c r="I8037">
        <v>0</v>
      </c>
      <c r="J8037">
        <v>0</v>
      </c>
      <c r="K8037">
        <v>0</v>
      </c>
      <c r="L8037">
        <v>39780000</v>
      </c>
      <c r="M8037">
        <v>39780000</v>
      </c>
      <c r="N8037">
        <v>15930000</v>
      </c>
      <c r="O8037">
        <v>15930000</v>
      </c>
      <c r="P8037">
        <v>39780000</v>
      </c>
      <c r="Q8037">
        <v>39780000</v>
      </c>
      <c r="R8037" s="14">
        <f>_xlfn.XLOOKUP(Table2[[#This Row],[LoanID]],Table1[G-L ID],Table1[ManagerCode],-99)</f>
        <v>183</v>
      </c>
      <c r="T8037"/>
    </row>
    <row r="8038" spans="1:20" x14ac:dyDescent="0.25">
      <c r="A8038">
        <v>20181231</v>
      </c>
      <c r="B8038">
        <v>2018</v>
      </c>
      <c r="C8038">
        <v>12</v>
      </c>
      <c r="D8038">
        <v>1</v>
      </c>
      <c r="E8038">
        <v>13190</v>
      </c>
      <c r="F8038">
        <v>45182.5</v>
      </c>
      <c r="G8038">
        <v>52712.92</v>
      </c>
      <c r="H8038">
        <v>0</v>
      </c>
      <c r="I8038">
        <v>0</v>
      </c>
      <c r="J8038">
        <v>0</v>
      </c>
      <c r="K8038">
        <v>0</v>
      </c>
      <c r="L8038">
        <v>8324418</v>
      </c>
      <c r="M8038">
        <v>8377130.9199999999</v>
      </c>
      <c r="N8038">
        <v>8324418</v>
      </c>
      <c r="O8038">
        <v>8377130.9199999999</v>
      </c>
      <c r="P8038">
        <v>8324418</v>
      </c>
      <c r="Q8038">
        <v>8377130.9199999999</v>
      </c>
      <c r="R8038" s="14">
        <f>_xlfn.XLOOKUP(Table2[[#This Row],[LoanID]],Table1[G-L ID],Table1[ManagerCode],-99)</f>
        <v>183</v>
      </c>
      <c r="T8038"/>
    </row>
    <row r="8039" spans="1:20" x14ac:dyDescent="0.25">
      <c r="A8039">
        <v>20181231</v>
      </c>
      <c r="B8039">
        <v>2018</v>
      </c>
      <c r="C8039">
        <v>12</v>
      </c>
      <c r="D8039">
        <v>1</v>
      </c>
      <c r="E8039">
        <v>13200</v>
      </c>
      <c r="F8039">
        <v>0</v>
      </c>
      <c r="G8039">
        <v>2042.08</v>
      </c>
      <c r="H8039">
        <v>443000</v>
      </c>
      <c r="I8039">
        <v>0</v>
      </c>
      <c r="J8039">
        <v>-409538.64</v>
      </c>
      <c r="K8039">
        <v>0</v>
      </c>
      <c r="L8039">
        <v>0</v>
      </c>
      <c r="M8039">
        <v>411580.72</v>
      </c>
      <c r="N8039">
        <v>0</v>
      </c>
      <c r="O8039">
        <v>411580.72</v>
      </c>
      <c r="P8039">
        <v>0</v>
      </c>
      <c r="Q8039">
        <v>411580.72</v>
      </c>
      <c r="R8039" s="14">
        <f>_xlfn.XLOOKUP(Table2[[#This Row],[LoanID]],Table1[G-L ID],Table1[ManagerCode],-99)</f>
        <v>183</v>
      </c>
      <c r="T8039"/>
    </row>
    <row r="8040" spans="1:20" x14ac:dyDescent="0.25">
      <c r="A8040">
        <v>20181231</v>
      </c>
      <c r="B8040">
        <v>2018</v>
      </c>
      <c r="C8040">
        <v>12</v>
      </c>
      <c r="D8040">
        <v>1</v>
      </c>
      <c r="E8040">
        <v>13210</v>
      </c>
      <c r="F8040">
        <v>0</v>
      </c>
      <c r="G8040">
        <v>58536.03</v>
      </c>
      <c r="H8040">
        <v>0</v>
      </c>
      <c r="I8040">
        <v>0</v>
      </c>
      <c r="J8040">
        <v>0</v>
      </c>
      <c r="K8040">
        <v>0</v>
      </c>
      <c r="L8040">
        <v>5878968.6100000003</v>
      </c>
      <c r="M8040">
        <v>5937504.6399999997</v>
      </c>
      <c r="N8040">
        <v>5878968.6100000003</v>
      </c>
      <c r="O8040">
        <v>5937504.6399999997</v>
      </c>
      <c r="P8040">
        <v>5878968.6100000003</v>
      </c>
      <c r="Q8040">
        <v>5937504.6399999997</v>
      </c>
      <c r="R8040" s="14">
        <f>_xlfn.XLOOKUP(Table2[[#This Row],[LoanID]],Table1[G-L ID],Table1[ManagerCode],-99)</f>
        <v>183</v>
      </c>
      <c r="T8040"/>
    </row>
    <row r="8041" spans="1:20" x14ac:dyDescent="0.25">
      <c r="A8041">
        <v>20181231</v>
      </c>
      <c r="B8041">
        <v>2018</v>
      </c>
      <c r="C8041">
        <v>12</v>
      </c>
      <c r="D8041">
        <v>1</v>
      </c>
      <c r="E8041">
        <v>13220</v>
      </c>
      <c r="F8041">
        <v>70998.52</v>
      </c>
      <c r="G8041">
        <v>-37.83</v>
      </c>
      <c r="H8041">
        <v>0</v>
      </c>
      <c r="I8041">
        <v>0</v>
      </c>
      <c r="J8041">
        <v>0</v>
      </c>
      <c r="K8041">
        <v>4855.2299999999996</v>
      </c>
      <c r="L8041">
        <v>9339779.3900000006</v>
      </c>
      <c r="M8041">
        <v>9334886.3300000001</v>
      </c>
      <c r="N8041">
        <v>9339779.3900000006</v>
      </c>
      <c r="O8041">
        <v>9334886.3300000001</v>
      </c>
      <c r="P8041">
        <v>9247779.6799999997</v>
      </c>
      <c r="Q8041">
        <v>9242886.6199999992</v>
      </c>
      <c r="R8041" s="14">
        <f>_xlfn.XLOOKUP(Table2[[#This Row],[LoanID]],Table1[G-L ID],Table1[ManagerCode],-99)</f>
        <v>219</v>
      </c>
      <c r="T8041"/>
    </row>
    <row r="8042" spans="1:20" x14ac:dyDescent="0.25">
      <c r="A8042">
        <v>20181231</v>
      </c>
      <c r="B8042">
        <v>2018</v>
      </c>
      <c r="C8042">
        <v>12</v>
      </c>
      <c r="D8042">
        <v>1</v>
      </c>
      <c r="E8042">
        <v>13230</v>
      </c>
      <c r="F8042">
        <v>43155.75</v>
      </c>
      <c r="G8042">
        <v>0</v>
      </c>
      <c r="H8042">
        <v>0</v>
      </c>
      <c r="I8042">
        <v>0</v>
      </c>
      <c r="J8042">
        <v>0</v>
      </c>
      <c r="K8042">
        <v>0</v>
      </c>
      <c r="L8042">
        <v>6608875</v>
      </c>
      <c r="M8042">
        <v>6608875</v>
      </c>
      <c r="N8042">
        <v>6608875</v>
      </c>
      <c r="O8042">
        <v>6608875</v>
      </c>
      <c r="P8042">
        <v>6543875</v>
      </c>
      <c r="Q8042">
        <v>6543875</v>
      </c>
      <c r="R8042" s="14">
        <f>_xlfn.XLOOKUP(Table2[[#This Row],[LoanID]],Table1[G-L ID],Table1[ManagerCode],-99)</f>
        <v>219</v>
      </c>
      <c r="T8042"/>
    </row>
    <row r="8043" spans="1:20" x14ac:dyDescent="0.25">
      <c r="A8043">
        <v>20181231</v>
      </c>
      <c r="B8043">
        <v>2018</v>
      </c>
      <c r="C8043">
        <v>12</v>
      </c>
      <c r="D8043">
        <v>1</v>
      </c>
      <c r="E8043">
        <v>13240</v>
      </c>
      <c r="F8043">
        <v>77446</v>
      </c>
      <c r="G8043">
        <v>905.31</v>
      </c>
      <c r="H8043">
        <v>0</v>
      </c>
      <c r="I8043">
        <v>0</v>
      </c>
      <c r="J8043">
        <v>-68138</v>
      </c>
      <c r="K8043">
        <v>0</v>
      </c>
      <c r="L8043">
        <v>7900561.6600000001</v>
      </c>
      <c r="M8043">
        <v>7969604.9699999997</v>
      </c>
      <c r="N8043">
        <v>7900561.6600000001</v>
      </c>
      <c r="O8043">
        <v>7969604.9699999997</v>
      </c>
      <c r="P8043">
        <v>7900561.6600000001</v>
      </c>
      <c r="Q8043">
        <v>7969604.9699999997</v>
      </c>
      <c r="R8043" s="14">
        <f>_xlfn.XLOOKUP(Table2[[#This Row],[LoanID]],Table1[G-L ID],Table1[ManagerCode],-99)</f>
        <v>219</v>
      </c>
      <c r="T8043"/>
    </row>
    <row r="8044" spans="1:20" x14ac:dyDescent="0.25">
      <c r="A8044">
        <v>20181231</v>
      </c>
      <c r="B8044">
        <v>2018</v>
      </c>
      <c r="C8044">
        <v>12</v>
      </c>
      <c r="D8044">
        <v>1</v>
      </c>
      <c r="E8044">
        <v>13250</v>
      </c>
      <c r="F8044">
        <v>65805.66</v>
      </c>
      <c r="G8044">
        <v>4277</v>
      </c>
      <c r="H8044">
        <v>0</v>
      </c>
      <c r="I8044">
        <v>0</v>
      </c>
      <c r="J8044">
        <v>0</v>
      </c>
      <c r="K8044">
        <v>0</v>
      </c>
      <c r="L8044">
        <v>7461157.5999999996</v>
      </c>
      <c r="M8044">
        <v>7468000.0199999996</v>
      </c>
      <c r="N8044">
        <v>7461157.5999999996</v>
      </c>
      <c r="O8044">
        <v>7468000.0199999996</v>
      </c>
      <c r="P8044">
        <v>7044917</v>
      </c>
      <c r="Q8044">
        <v>7049194</v>
      </c>
      <c r="R8044" s="14">
        <f>_xlfn.XLOOKUP(Table2[[#This Row],[LoanID]],Table1[G-L ID],Table1[ManagerCode],-99)</f>
        <v>219</v>
      </c>
      <c r="T8044"/>
    </row>
    <row r="8045" spans="1:20" x14ac:dyDescent="0.25">
      <c r="A8045">
        <v>20181231</v>
      </c>
      <c r="B8045">
        <v>2018</v>
      </c>
      <c r="C8045">
        <v>12</v>
      </c>
      <c r="D8045">
        <v>1</v>
      </c>
      <c r="E8045">
        <v>13260</v>
      </c>
      <c r="F8045">
        <v>179491.67</v>
      </c>
      <c r="G8045">
        <v>7411</v>
      </c>
      <c r="H8045">
        <v>0</v>
      </c>
      <c r="I8045">
        <v>0</v>
      </c>
      <c r="J8045">
        <v>0</v>
      </c>
      <c r="K8045">
        <v>0</v>
      </c>
      <c r="L8045">
        <v>20096062</v>
      </c>
      <c r="M8045">
        <v>20103473</v>
      </c>
      <c r="N8045">
        <v>20096062</v>
      </c>
      <c r="O8045">
        <v>20103473</v>
      </c>
      <c r="P8045">
        <v>20096062</v>
      </c>
      <c r="Q8045">
        <v>20103473</v>
      </c>
      <c r="R8045" s="14">
        <f>_xlfn.XLOOKUP(Table2[[#This Row],[LoanID]],Table1[G-L ID],Table1[ManagerCode],-99)</f>
        <v>219</v>
      </c>
      <c r="T8045"/>
    </row>
    <row r="8046" spans="1:20" x14ac:dyDescent="0.25">
      <c r="A8046">
        <v>20181231</v>
      </c>
      <c r="B8046">
        <v>2018</v>
      </c>
      <c r="C8046">
        <v>12</v>
      </c>
      <c r="D8046">
        <v>1</v>
      </c>
      <c r="E8046">
        <v>13270</v>
      </c>
      <c r="F8046">
        <v>50730.14</v>
      </c>
      <c r="G8046">
        <v>108028</v>
      </c>
      <c r="H8046">
        <v>0</v>
      </c>
      <c r="I8046">
        <v>0</v>
      </c>
      <c r="J8046">
        <v>0</v>
      </c>
      <c r="K8046">
        <v>0</v>
      </c>
      <c r="L8046">
        <v>25000000</v>
      </c>
      <c r="M8046">
        <v>25108028</v>
      </c>
      <c r="N8046">
        <v>25000000</v>
      </c>
      <c r="O8046">
        <v>25108028</v>
      </c>
      <c r="P8046">
        <v>25000000</v>
      </c>
      <c r="Q8046">
        <v>25108028</v>
      </c>
      <c r="R8046" s="14">
        <f>_xlfn.XLOOKUP(Table2[[#This Row],[LoanID]],Table1[G-L ID],Table1[ManagerCode],-99)</f>
        <v>219</v>
      </c>
      <c r="T8046"/>
    </row>
    <row r="8047" spans="1:20" x14ac:dyDescent="0.25">
      <c r="A8047">
        <v>20181231</v>
      </c>
      <c r="B8047">
        <v>2018</v>
      </c>
      <c r="C8047">
        <v>12</v>
      </c>
      <c r="D8047">
        <v>1</v>
      </c>
      <c r="E8047">
        <v>13280</v>
      </c>
      <c r="F8047">
        <v>162500</v>
      </c>
      <c r="G8047">
        <v>5416.67</v>
      </c>
      <c r="H8047">
        <v>0</v>
      </c>
      <c r="I8047">
        <v>0</v>
      </c>
      <c r="J8047">
        <v>0</v>
      </c>
      <c r="K8047">
        <v>0</v>
      </c>
      <c r="L8047">
        <v>20312500</v>
      </c>
      <c r="M8047">
        <v>20317916.670000002</v>
      </c>
      <c r="N8047">
        <v>20312500</v>
      </c>
      <c r="O8047">
        <v>20317916.670000002</v>
      </c>
      <c r="P8047">
        <v>20162500</v>
      </c>
      <c r="Q8047">
        <v>20167916.670000002</v>
      </c>
      <c r="R8047" s="14">
        <f>_xlfn.XLOOKUP(Table2[[#This Row],[LoanID]],Table1[G-L ID],Table1[ManagerCode],-99)</f>
        <v>219</v>
      </c>
      <c r="T8047"/>
    </row>
    <row r="8048" spans="1:20" x14ac:dyDescent="0.25">
      <c r="A8048">
        <v>20181231</v>
      </c>
      <c r="B8048">
        <v>2018</v>
      </c>
      <c r="C8048">
        <v>12</v>
      </c>
      <c r="D8048">
        <v>1</v>
      </c>
      <c r="E8048">
        <v>13290</v>
      </c>
      <c r="F8048">
        <v>152847.22</v>
      </c>
      <c r="G8048">
        <v>0</v>
      </c>
      <c r="H8048">
        <v>0</v>
      </c>
      <c r="I8048">
        <v>0</v>
      </c>
      <c r="J8048">
        <v>0</v>
      </c>
      <c r="K8048">
        <v>0</v>
      </c>
      <c r="L8048">
        <v>20000000</v>
      </c>
      <c r="M8048">
        <v>20000000</v>
      </c>
      <c r="N8048">
        <v>20000000</v>
      </c>
      <c r="O8048">
        <v>20000000</v>
      </c>
      <c r="P8048">
        <v>20000000</v>
      </c>
      <c r="Q8048">
        <v>20000000</v>
      </c>
      <c r="R8048" s="14">
        <f>_xlfn.XLOOKUP(Table2[[#This Row],[LoanID]],Table1[G-L ID],Table1[ManagerCode],-99)</f>
        <v>219</v>
      </c>
      <c r="T8048"/>
    </row>
    <row r="8049" spans="1:20" x14ac:dyDescent="0.25">
      <c r="A8049">
        <v>20181231</v>
      </c>
      <c r="B8049">
        <v>2018</v>
      </c>
      <c r="C8049">
        <v>12</v>
      </c>
      <c r="D8049">
        <v>1</v>
      </c>
      <c r="E8049">
        <v>13300</v>
      </c>
      <c r="F8049">
        <v>208333.33</v>
      </c>
      <c r="G8049">
        <v>6894.45</v>
      </c>
      <c r="H8049">
        <v>0</v>
      </c>
      <c r="I8049">
        <v>0</v>
      </c>
      <c r="J8049">
        <v>0</v>
      </c>
      <c r="K8049">
        <v>0</v>
      </c>
      <c r="L8049">
        <v>25208333.329999998</v>
      </c>
      <c r="M8049">
        <v>25215227.780000001</v>
      </c>
      <c r="N8049">
        <v>25208333.329999998</v>
      </c>
      <c r="O8049">
        <v>25215227.780000001</v>
      </c>
      <c r="P8049">
        <v>25208333.329999998</v>
      </c>
      <c r="Q8049">
        <v>25215227.780000001</v>
      </c>
      <c r="R8049" s="14">
        <f>_xlfn.XLOOKUP(Table2[[#This Row],[LoanID]],Table1[G-L ID],Table1[ManagerCode],-99)</f>
        <v>219</v>
      </c>
      <c r="T8049"/>
    </row>
    <row r="8050" spans="1:20" x14ac:dyDescent="0.25">
      <c r="A8050">
        <v>20181231</v>
      </c>
      <c r="B8050">
        <v>2018</v>
      </c>
      <c r="C8050">
        <v>12</v>
      </c>
      <c r="D8050">
        <v>1</v>
      </c>
      <c r="E8050">
        <v>13310</v>
      </c>
      <c r="F8050">
        <v>169482.22</v>
      </c>
      <c r="G8050">
        <v>0</v>
      </c>
      <c r="H8050">
        <v>0</v>
      </c>
      <c r="I8050">
        <v>0</v>
      </c>
      <c r="J8050">
        <v>0</v>
      </c>
      <c r="K8050">
        <v>0</v>
      </c>
      <c r="L8050">
        <v>15600000</v>
      </c>
      <c r="M8050">
        <v>15600000</v>
      </c>
      <c r="N8050">
        <v>15600000</v>
      </c>
      <c r="O8050">
        <v>15600000</v>
      </c>
      <c r="P8050">
        <v>15600000</v>
      </c>
      <c r="Q8050">
        <v>15600000</v>
      </c>
      <c r="R8050" s="14">
        <f>_xlfn.XLOOKUP(Table2[[#This Row],[LoanID]],Table1[G-L ID],Table1[ManagerCode],-99)</f>
        <v>119</v>
      </c>
      <c r="T8050"/>
    </row>
    <row r="8051" spans="1:20" x14ac:dyDescent="0.25">
      <c r="A8051">
        <v>20181231</v>
      </c>
      <c r="B8051">
        <v>2018</v>
      </c>
      <c r="C8051">
        <v>12</v>
      </c>
      <c r="D8051">
        <v>1</v>
      </c>
      <c r="E8051">
        <v>13320</v>
      </c>
      <c r="F8051">
        <v>136694.5</v>
      </c>
      <c r="G8051">
        <v>0</v>
      </c>
      <c r="H8051">
        <v>0</v>
      </c>
      <c r="I8051">
        <v>0</v>
      </c>
      <c r="J8051">
        <v>0</v>
      </c>
      <c r="K8051">
        <v>0</v>
      </c>
      <c r="L8051">
        <v>18600000</v>
      </c>
      <c r="M8051">
        <v>18600000</v>
      </c>
      <c r="N8051">
        <v>18600000</v>
      </c>
      <c r="O8051">
        <v>18600000</v>
      </c>
      <c r="P8051">
        <v>18600000</v>
      </c>
      <c r="Q8051">
        <v>18600000</v>
      </c>
      <c r="R8051" s="14">
        <f>_xlfn.XLOOKUP(Table2[[#This Row],[LoanID]],Table1[G-L ID],Table1[ManagerCode],-99)</f>
        <v>119</v>
      </c>
      <c r="T8051"/>
    </row>
    <row r="8052" spans="1:20" x14ac:dyDescent="0.25">
      <c r="A8052">
        <v>20181231</v>
      </c>
      <c r="B8052">
        <v>2018</v>
      </c>
      <c r="C8052">
        <v>12</v>
      </c>
      <c r="D8052">
        <v>1</v>
      </c>
      <c r="E8052">
        <v>13330</v>
      </c>
      <c r="F8052">
        <v>0</v>
      </c>
      <c r="G8052">
        <v>0</v>
      </c>
      <c r="H8052">
        <v>0</v>
      </c>
      <c r="I8052">
        <v>0</v>
      </c>
      <c r="J8052">
        <v>0</v>
      </c>
      <c r="K8052">
        <v>56800000</v>
      </c>
      <c r="L8052">
        <v>71000000</v>
      </c>
      <c r="M8052">
        <v>14200000</v>
      </c>
      <c r="N8052">
        <v>71000000</v>
      </c>
      <c r="O8052">
        <v>14200000</v>
      </c>
      <c r="P8052">
        <v>71000000</v>
      </c>
      <c r="Q8052">
        <v>14200000</v>
      </c>
      <c r="R8052" s="14">
        <f>_xlfn.XLOOKUP(Table2[[#This Row],[LoanID]],Table1[G-L ID],Table1[ManagerCode],-99)</f>
        <v>119</v>
      </c>
      <c r="T8052"/>
    </row>
    <row r="8053" spans="1:20" x14ac:dyDescent="0.25">
      <c r="A8053">
        <v>20181231</v>
      </c>
      <c r="B8053">
        <v>2018</v>
      </c>
      <c r="C8053">
        <v>12</v>
      </c>
      <c r="D8053">
        <v>1</v>
      </c>
      <c r="E8053">
        <v>13340</v>
      </c>
      <c r="F8053">
        <v>142576.25</v>
      </c>
      <c r="G8053">
        <v>0</v>
      </c>
      <c r="H8053">
        <v>180000</v>
      </c>
      <c r="I8053">
        <v>0</v>
      </c>
      <c r="J8053">
        <v>-25000000</v>
      </c>
      <c r="K8053">
        <v>0</v>
      </c>
      <c r="L8053">
        <v>0</v>
      </c>
      <c r="M8053">
        <v>25000000</v>
      </c>
      <c r="N8053">
        <v>0</v>
      </c>
      <c r="O8053">
        <v>25000000</v>
      </c>
      <c r="P8053">
        <v>0</v>
      </c>
      <c r="Q8053">
        <v>25000000</v>
      </c>
      <c r="R8053" s="14">
        <f>_xlfn.XLOOKUP(Table2[[#This Row],[LoanID]],Table1[G-L ID],Table1[ManagerCode],-99)</f>
        <v>119</v>
      </c>
      <c r="T8053"/>
    </row>
    <row r="8054" spans="1:20" x14ac:dyDescent="0.25">
      <c r="A8054">
        <v>20181231</v>
      </c>
      <c r="B8054">
        <v>2018</v>
      </c>
      <c r="C8054">
        <v>12</v>
      </c>
      <c r="D8054">
        <v>1</v>
      </c>
      <c r="E8054">
        <v>13350</v>
      </c>
      <c r="F8054">
        <v>95089.44</v>
      </c>
      <c r="G8054">
        <v>0</v>
      </c>
      <c r="H8054">
        <v>373150</v>
      </c>
      <c r="I8054">
        <v>0</v>
      </c>
      <c r="J8054">
        <v>-27520500</v>
      </c>
      <c r="K8054">
        <v>0</v>
      </c>
      <c r="L8054">
        <v>0</v>
      </c>
      <c r="M8054">
        <v>27520500</v>
      </c>
      <c r="N8054">
        <v>0</v>
      </c>
      <c r="O8054">
        <v>27520500</v>
      </c>
      <c r="P8054">
        <v>0</v>
      </c>
      <c r="Q8054">
        <v>27520500</v>
      </c>
      <c r="R8054" s="14">
        <f>_xlfn.XLOOKUP(Table2[[#This Row],[LoanID]],Table1[G-L ID],Table1[ManagerCode],-99)</f>
        <v>119</v>
      </c>
      <c r="T8054"/>
    </row>
    <row r="8055" spans="1:20" x14ac:dyDescent="0.25">
      <c r="A8055">
        <v>20181231</v>
      </c>
      <c r="B8055">
        <v>2018</v>
      </c>
      <c r="C8055">
        <v>12</v>
      </c>
      <c r="D8055">
        <v>1</v>
      </c>
      <c r="E8055">
        <v>13360</v>
      </c>
      <c r="F8055">
        <v>317618</v>
      </c>
      <c r="G8055">
        <v>0</v>
      </c>
      <c r="H8055">
        <v>0</v>
      </c>
      <c r="I8055">
        <v>0</v>
      </c>
      <c r="J8055">
        <v>-147000000</v>
      </c>
      <c r="K8055">
        <v>0</v>
      </c>
      <c r="L8055">
        <v>0</v>
      </c>
      <c r="M8055">
        <v>147000000</v>
      </c>
      <c r="N8055">
        <v>0</v>
      </c>
      <c r="O8055">
        <v>147000000</v>
      </c>
      <c r="P8055">
        <v>0</v>
      </c>
      <c r="Q8055">
        <v>147000000</v>
      </c>
      <c r="R8055" s="14">
        <f>_xlfn.XLOOKUP(Table2[[#This Row],[LoanID]],Table1[G-L ID],Table1[ManagerCode],-99)</f>
        <v>119</v>
      </c>
      <c r="T8055"/>
    </row>
    <row r="8056" spans="1:20" x14ac:dyDescent="0.25">
      <c r="A8056">
        <v>20181231</v>
      </c>
      <c r="B8056">
        <v>2018</v>
      </c>
      <c r="C8056">
        <v>12</v>
      </c>
      <c r="D8056">
        <v>1</v>
      </c>
      <c r="E8056">
        <v>13450</v>
      </c>
      <c r="F8056">
        <v>0</v>
      </c>
      <c r="G8056">
        <v>13249.81</v>
      </c>
      <c r="H8056">
        <v>126854.27</v>
      </c>
      <c r="I8056">
        <v>0</v>
      </c>
      <c r="J8056">
        <v>-2206163.5499999998</v>
      </c>
      <c r="K8056">
        <v>0</v>
      </c>
      <c r="L8056">
        <v>0</v>
      </c>
      <c r="M8056">
        <v>2219413.36</v>
      </c>
      <c r="N8056">
        <v>0</v>
      </c>
      <c r="O8056">
        <v>2219413.36</v>
      </c>
      <c r="P8056">
        <v>0</v>
      </c>
      <c r="Q8056">
        <v>2219413.36</v>
      </c>
      <c r="R8056" s="14">
        <f>_xlfn.XLOOKUP(Table2[[#This Row],[LoanID]],Table1[G-L ID],Table1[ManagerCode],-99)</f>
        <v>183</v>
      </c>
      <c r="T8056"/>
    </row>
    <row r="8057" spans="1:20" x14ac:dyDescent="0.25">
      <c r="A8057">
        <v>20181231</v>
      </c>
      <c r="B8057">
        <v>2018</v>
      </c>
      <c r="C8057">
        <v>12</v>
      </c>
      <c r="D8057">
        <v>1</v>
      </c>
      <c r="E8057">
        <v>13470</v>
      </c>
      <c r="F8057">
        <v>356553.82</v>
      </c>
      <c r="G8057">
        <v>0</v>
      </c>
      <c r="H8057">
        <v>0</v>
      </c>
      <c r="I8057">
        <v>0</v>
      </c>
      <c r="J8057">
        <v>0</v>
      </c>
      <c r="K8057">
        <v>0</v>
      </c>
      <c r="L8057">
        <v>62500000</v>
      </c>
      <c r="M8057">
        <v>62500000</v>
      </c>
      <c r="N8057">
        <v>62500000</v>
      </c>
      <c r="O8057">
        <v>62500000</v>
      </c>
      <c r="P8057">
        <v>62500000</v>
      </c>
      <c r="Q8057">
        <v>62500000</v>
      </c>
      <c r="R8057" s="14">
        <f>_xlfn.XLOOKUP(Table2[[#This Row],[LoanID]],Table1[G-L ID],Table1[ManagerCode],-99)</f>
        <v>165</v>
      </c>
      <c r="T8057"/>
    </row>
    <row r="8058" spans="1:20" x14ac:dyDescent="0.25">
      <c r="A8058">
        <v>20181231</v>
      </c>
      <c r="B8058">
        <v>2018</v>
      </c>
      <c r="C8058">
        <v>12</v>
      </c>
      <c r="D8058">
        <v>1</v>
      </c>
      <c r="E8058">
        <v>13490</v>
      </c>
      <c r="F8058">
        <v>303800</v>
      </c>
      <c r="G8058">
        <v>0</v>
      </c>
      <c r="H8058">
        <v>0</v>
      </c>
      <c r="I8058">
        <v>0</v>
      </c>
      <c r="J8058">
        <v>0</v>
      </c>
      <c r="K8058">
        <v>0</v>
      </c>
      <c r="L8058">
        <v>40000000</v>
      </c>
      <c r="M8058">
        <v>40000000</v>
      </c>
      <c r="N8058">
        <v>40000000</v>
      </c>
      <c r="O8058">
        <v>40000000</v>
      </c>
      <c r="P8058">
        <v>40000000</v>
      </c>
      <c r="Q8058">
        <v>40000000</v>
      </c>
      <c r="R8058" s="14">
        <f>_xlfn.XLOOKUP(Table2[[#This Row],[LoanID]],Table1[G-L ID],Table1[ManagerCode],-99)</f>
        <v>165</v>
      </c>
      <c r="T8058"/>
    </row>
    <row r="8059" spans="1:20" x14ac:dyDescent="0.25">
      <c r="A8059">
        <v>20181231</v>
      </c>
      <c r="B8059">
        <v>2018</v>
      </c>
      <c r="C8059">
        <v>12</v>
      </c>
      <c r="D8059">
        <v>1</v>
      </c>
      <c r="E8059">
        <v>13570</v>
      </c>
      <c r="F8059">
        <v>267964.81</v>
      </c>
      <c r="G8059">
        <v>0</v>
      </c>
      <c r="H8059">
        <v>0</v>
      </c>
      <c r="I8059">
        <v>0</v>
      </c>
      <c r="J8059">
        <v>0</v>
      </c>
      <c r="K8059">
        <v>45800000</v>
      </c>
      <c r="L8059">
        <v>45453568.530000001</v>
      </c>
      <c r="M8059">
        <v>0</v>
      </c>
      <c r="N8059">
        <v>45453568.530000001</v>
      </c>
      <c r="O8059">
        <v>0</v>
      </c>
      <c r="P8059">
        <v>45800000</v>
      </c>
      <c r="Q8059">
        <v>0</v>
      </c>
      <c r="R8059" s="14">
        <f>_xlfn.XLOOKUP(Table2[[#This Row],[LoanID]],Table1[G-L ID],Table1[ManagerCode],-99)</f>
        <v>298</v>
      </c>
      <c r="T8059"/>
    </row>
    <row r="8060" spans="1:20" x14ac:dyDescent="0.25">
      <c r="A8060">
        <v>20181231</v>
      </c>
      <c r="B8060">
        <v>2018</v>
      </c>
      <c r="C8060">
        <v>12</v>
      </c>
      <c r="D8060">
        <v>1</v>
      </c>
      <c r="E8060">
        <v>13580</v>
      </c>
      <c r="F8060">
        <v>415625</v>
      </c>
      <c r="G8060">
        <v>0</v>
      </c>
      <c r="H8060">
        <v>0</v>
      </c>
      <c r="I8060">
        <v>0</v>
      </c>
      <c r="J8060">
        <v>0</v>
      </c>
      <c r="K8060">
        <v>0</v>
      </c>
      <c r="L8060">
        <v>64185559.289999999</v>
      </c>
      <c r="M8060">
        <v>63408139</v>
      </c>
      <c r="N8060">
        <v>64185559.289999999</v>
      </c>
      <c r="O8060">
        <v>63408139</v>
      </c>
      <c r="P8060">
        <v>66500000</v>
      </c>
      <c r="Q8060">
        <v>66500000</v>
      </c>
      <c r="R8060" s="14">
        <f>_xlfn.XLOOKUP(Table2[[#This Row],[LoanID]],Table1[G-L ID],Table1[ManagerCode],-99)</f>
        <v>298</v>
      </c>
      <c r="T8060"/>
    </row>
    <row r="8061" spans="1:20" x14ac:dyDescent="0.25">
      <c r="A8061">
        <v>20181231</v>
      </c>
      <c r="B8061">
        <v>2018</v>
      </c>
      <c r="C8061">
        <v>12</v>
      </c>
      <c r="D8061">
        <v>1</v>
      </c>
      <c r="E8061">
        <v>13590</v>
      </c>
      <c r="F8061">
        <v>293566.67</v>
      </c>
      <c r="G8061">
        <v>0</v>
      </c>
      <c r="H8061">
        <v>0</v>
      </c>
      <c r="I8061">
        <v>0</v>
      </c>
      <c r="J8061">
        <v>0</v>
      </c>
      <c r="K8061">
        <v>0</v>
      </c>
      <c r="L8061">
        <v>40000000</v>
      </c>
      <c r="M8061">
        <v>40000000</v>
      </c>
      <c r="N8061">
        <v>40000000</v>
      </c>
      <c r="O8061">
        <v>40000000</v>
      </c>
      <c r="P8061">
        <v>40000000</v>
      </c>
      <c r="Q8061">
        <v>40000000</v>
      </c>
      <c r="R8061" s="14">
        <f>_xlfn.XLOOKUP(Table2[[#This Row],[LoanID]],Table1[G-L ID],Table1[ManagerCode],-99)</f>
        <v>298</v>
      </c>
      <c r="T8061"/>
    </row>
    <row r="8062" spans="1:20" x14ac:dyDescent="0.25">
      <c r="A8062">
        <v>20181231</v>
      </c>
      <c r="B8062">
        <v>2018</v>
      </c>
      <c r="C8062">
        <v>12</v>
      </c>
      <c r="D8062">
        <v>1</v>
      </c>
      <c r="E8062">
        <v>13600</v>
      </c>
      <c r="F8062">
        <v>366802.29</v>
      </c>
      <c r="G8062">
        <v>0</v>
      </c>
      <c r="H8062">
        <v>0</v>
      </c>
      <c r="I8062">
        <v>0</v>
      </c>
      <c r="J8062">
        <v>0</v>
      </c>
      <c r="K8062">
        <v>0</v>
      </c>
      <c r="L8062">
        <v>45970000</v>
      </c>
      <c r="M8062">
        <v>45970000</v>
      </c>
      <c r="N8062">
        <v>45970000</v>
      </c>
      <c r="O8062">
        <v>45970000</v>
      </c>
      <c r="P8062">
        <v>45970000</v>
      </c>
      <c r="Q8062">
        <v>45970000</v>
      </c>
      <c r="R8062" s="14">
        <f>_xlfn.XLOOKUP(Table2[[#This Row],[LoanID]],Table1[G-L ID],Table1[ManagerCode],-99)</f>
        <v>298</v>
      </c>
      <c r="T8062"/>
    </row>
    <row r="8063" spans="1:20" x14ac:dyDescent="0.25">
      <c r="A8063">
        <v>20181231</v>
      </c>
      <c r="B8063">
        <v>2018</v>
      </c>
      <c r="C8063">
        <v>12</v>
      </c>
      <c r="D8063">
        <v>1</v>
      </c>
      <c r="E8063">
        <v>13610</v>
      </c>
      <c r="F8063">
        <v>61250</v>
      </c>
      <c r="G8063">
        <v>0</v>
      </c>
      <c r="H8063">
        <v>0</v>
      </c>
      <c r="I8063">
        <v>0</v>
      </c>
      <c r="J8063">
        <v>0</v>
      </c>
      <c r="K8063">
        <v>0</v>
      </c>
      <c r="L8063">
        <v>10549064</v>
      </c>
      <c r="M8063">
        <v>10542185</v>
      </c>
      <c r="N8063">
        <v>10549064</v>
      </c>
      <c r="O8063">
        <v>10542185</v>
      </c>
      <c r="P8063">
        <v>10500000</v>
      </c>
      <c r="Q8063">
        <v>10500000</v>
      </c>
      <c r="R8063" s="14">
        <f>_xlfn.XLOOKUP(Table2[[#This Row],[LoanID]],Table1[G-L ID],Table1[ManagerCode],-99)</f>
        <v>298</v>
      </c>
      <c r="T8063"/>
    </row>
    <row r="8064" spans="1:20" x14ac:dyDescent="0.25">
      <c r="A8064">
        <v>20181231</v>
      </c>
      <c r="B8064">
        <v>2018</v>
      </c>
      <c r="C8064">
        <v>12</v>
      </c>
      <c r="D8064">
        <v>1</v>
      </c>
      <c r="E8064">
        <v>13620</v>
      </c>
      <c r="F8064">
        <v>352375</v>
      </c>
      <c r="G8064">
        <v>0</v>
      </c>
      <c r="H8064">
        <v>0</v>
      </c>
      <c r="I8064">
        <v>0</v>
      </c>
      <c r="J8064">
        <v>0</v>
      </c>
      <c r="K8064">
        <v>0</v>
      </c>
      <c r="L8064">
        <v>49919787</v>
      </c>
      <c r="M8064">
        <v>49842286</v>
      </c>
      <c r="N8064">
        <v>49919787</v>
      </c>
      <c r="O8064">
        <v>49842286</v>
      </c>
      <c r="P8064">
        <v>50000000</v>
      </c>
      <c r="Q8064">
        <v>50000000</v>
      </c>
      <c r="R8064" s="14">
        <f>_xlfn.XLOOKUP(Table2[[#This Row],[LoanID]],Table1[G-L ID],Table1[ManagerCode],-99)</f>
        <v>298</v>
      </c>
      <c r="T8064"/>
    </row>
    <row r="8065" spans="1:20" x14ac:dyDescent="0.25">
      <c r="A8065">
        <v>20181231</v>
      </c>
      <c r="B8065">
        <v>2018</v>
      </c>
      <c r="C8065">
        <v>12</v>
      </c>
      <c r="D8065">
        <v>1</v>
      </c>
      <c r="E8065">
        <v>13630</v>
      </c>
      <c r="F8065">
        <v>211458.33</v>
      </c>
      <c r="G8065">
        <v>0</v>
      </c>
      <c r="H8065">
        <v>0</v>
      </c>
      <c r="I8065">
        <v>0</v>
      </c>
      <c r="J8065">
        <v>0</v>
      </c>
      <c r="K8065">
        <v>0</v>
      </c>
      <c r="L8065">
        <v>35537284.43</v>
      </c>
      <c r="M8065">
        <v>35449769.57</v>
      </c>
      <c r="N8065">
        <v>35537284.43</v>
      </c>
      <c r="O8065">
        <v>35449769.57</v>
      </c>
      <c r="P8065">
        <v>35000000</v>
      </c>
      <c r="Q8065">
        <v>35000000</v>
      </c>
      <c r="R8065" s="14">
        <f>_xlfn.XLOOKUP(Table2[[#This Row],[LoanID]],Table1[G-L ID],Table1[ManagerCode],-99)</f>
        <v>298</v>
      </c>
      <c r="T8065"/>
    </row>
    <row r="8066" spans="1:20" x14ac:dyDescent="0.25">
      <c r="A8066">
        <v>20181231</v>
      </c>
      <c r="B8066">
        <v>2018</v>
      </c>
      <c r="C8066">
        <v>12</v>
      </c>
      <c r="D8066">
        <v>1</v>
      </c>
      <c r="E8066">
        <v>13640</v>
      </c>
      <c r="F8066">
        <v>219661.46</v>
      </c>
      <c r="G8066">
        <v>0</v>
      </c>
      <c r="H8066">
        <v>0</v>
      </c>
      <c r="I8066">
        <v>0</v>
      </c>
      <c r="J8066">
        <v>0</v>
      </c>
      <c r="K8066">
        <v>0</v>
      </c>
      <c r="L8066">
        <v>30282941</v>
      </c>
      <c r="M8066">
        <v>30714705</v>
      </c>
      <c r="N8066">
        <v>30282941</v>
      </c>
      <c r="O8066">
        <v>30714705</v>
      </c>
      <c r="P8066">
        <v>30125000</v>
      </c>
      <c r="Q8066">
        <v>30125000</v>
      </c>
      <c r="R8066" s="14">
        <f>_xlfn.XLOOKUP(Table2[[#This Row],[LoanID]],Table1[G-L ID],Table1[ManagerCode],-99)</f>
        <v>298</v>
      </c>
      <c r="T8066"/>
    </row>
    <row r="8067" spans="1:20" x14ac:dyDescent="0.25">
      <c r="A8067">
        <v>20181231</v>
      </c>
      <c r="B8067">
        <v>2018</v>
      </c>
      <c r="C8067">
        <v>12</v>
      </c>
      <c r="D8067">
        <v>1</v>
      </c>
      <c r="E8067">
        <v>13650</v>
      </c>
      <c r="F8067">
        <v>216666.67</v>
      </c>
      <c r="G8067">
        <v>0</v>
      </c>
      <c r="H8067">
        <v>0</v>
      </c>
      <c r="I8067">
        <v>0</v>
      </c>
      <c r="J8067">
        <v>0</v>
      </c>
      <c r="K8067">
        <v>0</v>
      </c>
      <c r="L8067">
        <v>38811572</v>
      </c>
      <c r="M8067">
        <v>38895325</v>
      </c>
      <c r="N8067">
        <v>38811572</v>
      </c>
      <c r="O8067">
        <v>38895325</v>
      </c>
      <c r="P8067">
        <v>40000000</v>
      </c>
      <c r="Q8067">
        <v>40000000</v>
      </c>
      <c r="R8067" s="14">
        <f>_xlfn.XLOOKUP(Table2[[#This Row],[LoanID]],Table1[G-L ID],Table1[ManagerCode],-99)</f>
        <v>298</v>
      </c>
      <c r="T8067"/>
    </row>
    <row r="8068" spans="1:20" x14ac:dyDescent="0.25">
      <c r="A8068">
        <v>20181231</v>
      </c>
      <c r="B8068">
        <v>2018</v>
      </c>
      <c r="C8068">
        <v>12</v>
      </c>
      <c r="D8068">
        <v>1</v>
      </c>
      <c r="E8068">
        <v>13660</v>
      </c>
      <c r="F8068">
        <v>114166.67</v>
      </c>
      <c r="G8068">
        <v>0</v>
      </c>
      <c r="H8068">
        <v>0</v>
      </c>
      <c r="I8068">
        <v>0</v>
      </c>
      <c r="J8068">
        <v>0</v>
      </c>
      <c r="K8068">
        <v>0</v>
      </c>
      <c r="L8068">
        <v>18948845</v>
      </c>
      <c r="M8068">
        <v>19313433</v>
      </c>
      <c r="N8068">
        <v>18948845</v>
      </c>
      <c r="O8068">
        <v>19313433</v>
      </c>
      <c r="P8068">
        <v>20000000</v>
      </c>
      <c r="Q8068">
        <v>20000000</v>
      </c>
      <c r="R8068" s="14">
        <f>_xlfn.XLOOKUP(Table2[[#This Row],[LoanID]],Table1[G-L ID],Table1[ManagerCode],-99)</f>
        <v>298</v>
      </c>
      <c r="T8068"/>
    </row>
    <row r="8069" spans="1:20" x14ac:dyDescent="0.25">
      <c r="A8069">
        <v>20181231</v>
      </c>
      <c r="B8069">
        <v>2018</v>
      </c>
      <c r="C8069">
        <v>12</v>
      </c>
      <c r="D8069">
        <v>1</v>
      </c>
      <c r="E8069">
        <v>13670</v>
      </c>
      <c r="F8069">
        <v>345531.25</v>
      </c>
      <c r="G8069">
        <v>0</v>
      </c>
      <c r="H8069">
        <v>0</v>
      </c>
      <c r="I8069">
        <v>0</v>
      </c>
      <c r="J8069">
        <v>0</v>
      </c>
      <c r="K8069">
        <v>0</v>
      </c>
      <c r="L8069">
        <v>37539280.890000001</v>
      </c>
      <c r="M8069">
        <v>37652328.590000004</v>
      </c>
      <c r="N8069">
        <v>37539280.890000001</v>
      </c>
      <c r="O8069">
        <v>37652328.590000004</v>
      </c>
      <c r="P8069">
        <v>37500000</v>
      </c>
      <c r="Q8069">
        <v>37500000</v>
      </c>
      <c r="R8069" s="14">
        <f>_xlfn.XLOOKUP(Table2[[#This Row],[LoanID]],Table1[G-L ID],Table1[ManagerCode],-99)</f>
        <v>298</v>
      </c>
      <c r="T8069"/>
    </row>
    <row r="8070" spans="1:20" x14ac:dyDescent="0.25">
      <c r="A8070">
        <v>20181231</v>
      </c>
      <c r="B8070">
        <v>2018</v>
      </c>
      <c r="C8070">
        <v>12</v>
      </c>
      <c r="D8070">
        <v>1</v>
      </c>
      <c r="E8070">
        <v>13690</v>
      </c>
      <c r="F8070">
        <v>129166.67</v>
      </c>
      <c r="G8070">
        <v>0</v>
      </c>
      <c r="H8070">
        <v>0</v>
      </c>
      <c r="I8070">
        <v>0</v>
      </c>
      <c r="J8070">
        <v>0</v>
      </c>
      <c r="K8070">
        <v>0</v>
      </c>
      <c r="L8070">
        <v>19779539.27</v>
      </c>
      <c r="M8070">
        <v>19791063.850000001</v>
      </c>
      <c r="N8070">
        <v>19779539.27</v>
      </c>
      <c r="O8070">
        <v>19791063.850000001</v>
      </c>
      <c r="P8070">
        <v>20000000</v>
      </c>
      <c r="Q8070">
        <v>20000000</v>
      </c>
      <c r="R8070" s="14">
        <f>_xlfn.XLOOKUP(Table2[[#This Row],[LoanID]],Table1[G-L ID],Table1[ManagerCode],-99)</f>
        <v>298</v>
      </c>
      <c r="T8070"/>
    </row>
    <row r="8071" spans="1:20" x14ac:dyDescent="0.25">
      <c r="A8071">
        <v>20181231</v>
      </c>
      <c r="B8071">
        <v>2018</v>
      </c>
      <c r="C8071">
        <v>12</v>
      </c>
      <c r="D8071">
        <v>1</v>
      </c>
      <c r="E8071">
        <v>13700</v>
      </c>
      <c r="F8071">
        <v>90709.5</v>
      </c>
      <c r="G8071">
        <v>0</v>
      </c>
      <c r="H8071">
        <v>0</v>
      </c>
      <c r="I8071">
        <v>0</v>
      </c>
      <c r="J8071">
        <v>74200000</v>
      </c>
      <c r="K8071">
        <v>0</v>
      </c>
      <c r="L8071">
        <v>96460000</v>
      </c>
      <c r="M8071">
        <v>22260000</v>
      </c>
      <c r="N8071">
        <v>96460000</v>
      </c>
      <c r="O8071">
        <v>22260000</v>
      </c>
      <c r="P8071">
        <v>96460000</v>
      </c>
      <c r="Q8071">
        <v>22260000</v>
      </c>
      <c r="R8071" s="14">
        <f>_xlfn.XLOOKUP(Table2[[#This Row],[LoanID]],Table1[G-L ID],Table1[ManagerCode],-99)</f>
        <v>119</v>
      </c>
      <c r="T8071"/>
    </row>
    <row r="8072" spans="1:20" x14ac:dyDescent="0.25">
      <c r="A8072">
        <v>20181231</v>
      </c>
      <c r="B8072">
        <v>2018</v>
      </c>
      <c r="C8072">
        <v>12</v>
      </c>
      <c r="D8072">
        <v>1</v>
      </c>
      <c r="E8072">
        <v>13710</v>
      </c>
      <c r="F8072">
        <v>0</v>
      </c>
      <c r="G8072">
        <v>0</v>
      </c>
      <c r="H8072">
        <v>0</v>
      </c>
      <c r="I8072">
        <v>0</v>
      </c>
      <c r="J8072">
        <v>-24500000</v>
      </c>
      <c r="K8072">
        <v>0</v>
      </c>
      <c r="L8072">
        <v>0</v>
      </c>
      <c r="M8072">
        <v>24500000</v>
      </c>
      <c r="N8072">
        <v>0</v>
      </c>
      <c r="O8072">
        <v>24500000</v>
      </c>
      <c r="P8072">
        <v>0</v>
      </c>
      <c r="Q8072">
        <v>24500000</v>
      </c>
      <c r="R8072" s="14">
        <f>_xlfn.XLOOKUP(Table2[[#This Row],[LoanID]],Table1[G-L ID],Table1[ManagerCode],-99)</f>
        <v>119</v>
      </c>
      <c r="T8072"/>
    </row>
    <row r="8073" spans="1:20" x14ac:dyDescent="0.25">
      <c r="A8073">
        <v>20181231</v>
      </c>
      <c r="B8073">
        <v>2018</v>
      </c>
      <c r="C8073">
        <v>12</v>
      </c>
      <c r="D8073">
        <v>1</v>
      </c>
      <c r="E8073">
        <v>14000</v>
      </c>
      <c r="F8073">
        <v>232776.16</v>
      </c>
      <c r="G8073">
        <v>0</v>
      </c>
      <c r="H8073">
        <v>0</v>
      </c>
      <c r="I8073">
        <v>0</v>
      </c>
      <c r="J8073">
        <v>0</v>
      </c>
      <c r="K8073">
        <v>0</v>
      </c>
      <c r="L8073">
        <v>98000000</v>
      </c>
      <c r="M8073">
        <v>98000000</v>
      </c>
      <c r="N8073">
        <v>39200000</v>
      </c>
      <c r="O8073">
        <v>39200000</v>
      </c>
      <c r="P8073">
        <v>98000000</v>
      </c>
      <c r="Q8073">
        <v>98000000</v>
      </c>
      <c r="R8073" s="14">
        <f>_xlfn.XLOOKUP(Table2[[#This Row],[LoanID]],Table1[G-L ID],Table1[ManagerCode],-99)</f>
        <v>183</v>
      </c>
      <c r="T8073"/>
    </row>
    <row r="8074" spans="1:20" x14ac:dyDescent="0.25">
      <c r="A8074">
        <v>20181231</v>
      </c>
      <c r="B8074">
        <v>2018</v>
      </c>
      <c r="C8074">
        <v>12</v>
      </c>
      <c r="D8074">
        <v>1</v>
      </c>
      <c r="E8074">
        <v>14010</v>
      </c>
      <c r="F8074">
        <v>77037.070000000007</v>
      </c>
      <c r="G8074">
        <v>0</v>
      </c>
      <c r="H8074">
        <v>0</v>
      </c>
      <c r="I8074">
        <v>0</v>
      </c>
      <c r="J8074">
        <v>0</v>
      </c>
      <c r="K8074">
        <v>0</v>
      </c>
      <c r="L8074">
        <v>9920000</v>
      </c>
      <c r="M8074">
        <v>9920000</v>
      </c>
      <c r="N8074">
        <v>9920000</v>
      </c>
      <c r="O8074">
        <v>9920000</v>
      </c>
      <c r="P8074">
        <v>9920000</v>
      </c>
      <c r="Q8074">
        <v>9920000</v>
      </c>
      <c r="R8074" s="14">
        <f>_xlfn.XLOOKUP(Table2[[#This Row],[LoanID]],Table1[G-L ID],Table1[ManagerCode],-99)</f>
        <v>119</v>
      </c>
      <c r="T8074"/>
    </row>
    <row r="8075" spans="1:20" x14ac:dyDescent="0.25">
      <c r="A8075">
        <v>20181231</v>
      </c>
      <c r="B8075">
        <v>2018</v>
      </c>
      <c r="C8075">
        <v>12</v>
      </c>
      <c r="D8075">
        <v>1</v>
      </c>
      <c r="E8075">
        <v>14020</v>
      </c>
      <c r="F8075">
        <v>473742.76</v>
      </c>
      <c r="G8075">
        <v>0</v>
      </c>
      <c r="H8075">
        <v>0</v>
      </c>
      <c r="I8075">
        <v>0</v>
      </c>
      <c r="J8075">
        <v>-475492.76</v>
      </c>
      <c r="K8075">
        <v>0</v>
      </c>
      <c r="L8075">
        <v>35859809.670000002</v>
      </c>
      <c r="M8075">
        <v>36335302.43</v>
      </c>
      <c r="N8075">
        <v>35859809.670000002</v>
      </c>
      <c r="O8075">
        <v>36335302.43</v>
      </c>
      <c r="P8075">
        <v>35859809.670000002</v>
      </c>
      <c r="Q8075">
        <v>36335302.43</v>
      </c>
      <c r="R8075" s="14">
        <f>_xlfn.XLOOKUP(Table2[[#This Row],[LoanID]],Table1[G-L ID],Table1[ManagerCode],-99)</f>
        <v>119</v>
      </c>
      <c r="T8075"/>
    </row>
    <row r="8076" spans="1:20" x14ac:dyDescent="0.25">
      <c r="A8076">
        <v>20181231</v>
      </c>
      <c r="B8076">
        <v>2018</v>
      </c>
      <c r="C8076">
        <v>12</v>
      </c>
      <c r="D8076">
        <v>1</v>
      </c>
      <c r="E8076">
        <v>14670</v>
      </c>
      <c r="F8076">
        <v>76135.990000000005</v>
      </c>
      <c r="G8076">
        <v>0</v>
      </c>
      <c r="H8076">
        <v>0</v>
      </c>
      <c r="I8076">
        <v>0</v>
      </c>
      <c r="J8076">
        <v>0</v>
      </c>
      <c r="K8076">
        <v>37717.550000000003</v>
      </c>
      <c r="L8076">
        <v>29921086</v>
      </c>
      <c r="M8076">
        <v>29832020</v>
      </c>
      <c r="N8076">
        <v>8872836</v>
      </c>
      <c r="O8076">
        <v>8783770</v>
      </c>
      <c r="P8076">
        <v>29667897.859999999</v>
      </c>
      <c r="Q8076">
        <v>29630180.309999999</v>
      </c>
      <c r="R8076" s="14">
        <f>_xlfn.XLOOKUP(Table2[[#This Row],[LoanID]],Table1[G-L ID],Table1[ManagerCode],-99)</f>
        <v>220</v>
      </c>
      <c r="T8076"/>
    </row>
    <row r="8077" spans="1:20" x14ac:dyDescent="0.25">
      <c r="A8077">
        <v>20181231</v>
      </c>
      <c r="B8077">
        <v>2018</v>
      </c>
      <c r="C8077">
        <v>12</v>
      </c>
      <c r="D8077">
        <v>1</v>
      </c>
      <c r="E8077">
        <v>14680</v>
      </c>
      <c r="F8077">
        <v>39187.43</v>
      </c>
      <c r="G8077">
        <v>0</v>
      </c>
      <c r="H8077">
        <v>0</v>
      </c>
      <c r="I8077">
        <v>0</v>
      </c>
      <c r="J8077">
        <v>0</v>
      </c>
      <c r="K8077">
        <v>0</v>
      </c>
      <c r="L8077">
        <v>27407629</v>
      </c>
      <c r="M8077">
        <v>27816131</v>
      </c>
      <c r="N8077">
        <v>7157629</v>
      </c>
      <c r="O8077">
        <v>7566131</v>
      </c>
      <c r="P8077">
        <v>27704364.23</v>
      </c>
      <c r="Q8077">
        <v>27704364.23</v>
      </c>
      <c r="R8077" s="14">
        <f>_xlfn.XLOOKUP(Table2[[#This Row],[LoanID]],Table1[G-L ID],Table1[ManagerCode],-99)</f>
        <v>220</v>
      </c>
      <c r="T8077"/>
    </row>
    <row r="8078" spans="1:20" x14ac:dyDescent="0.25">
      <c r="A8078">
        <v>20181231</v>
      </c>
      <c r="B8078">
        <v>2018</v>
      </c>
      <c r="C8078">
        <v>12</v>
      </c>
      <c r="D8078">
        <v>1</v>
      </c>
      <c r="E8078">
        <v>14720</v>
      </c>
      <c r="F8078">
        <v>-39273.33</v>
      </c>
      <c r="G8078">
        <v>0</v>
      </c>
      <c r="H8078">
        <v>0</v>
      </c>
      <c r="I8078">
        <v>0</v>
      </c>
      <c r="J8078">
        <v>0</v>
      </c>
      <c r="K8078">
        <v>13727000</v>
      </c>
      <c r="L8078">
        <v>19673107</v>
      </c>
      <c r="M8078">
        <v>19673107</v>
      </c>
      <c r="N8078">
        <v>19673107</v>
      </c>
      <c r="O8078">
        <v>5946107</v>
      </c>
      <c r="P8078">
        <v>19610000</v>
      </c>
      <c r="Q8078">
        <v>19610000</v>
      </c>
      <c r="R8078" s="14">
        <f>_xlfn.XLOOKUP(Table2[[#This Row],[LoanID]],Table1[G-L ID],Table1[ManagerCode],-99)</f>
        <v>220</v>
      </c>
      <c r="T8078"/>
    </row>
    <row r="8079" spans="1:20" x14ac:dyDescent="0.25">
      <c r="A8079">
        <v>20181231</v>
      </c>
      <c r="B8079">
        <v>2018</v>
      </c>
      <c r="C8079">
        <v>12</v>
      </c>
      <c r="D8079">
        <v>1</v>
      </c>
      <c r="E8079">
        <v>14730</v>
      </c>
      <c r="F8079">
        <v>198945.83</v>
      </c>
      <c r="G8079">
        <v>0</v>
      </c>
      <c r="H8079">
        <v>0</v>
      </c>
      <c r="I8079">
        <v>0</v>
      </c>
      <c r="J8079">
        <v>0</v>
      </c>
      <c r="K8079">
        <v>0</v>
      </c>
      <c r="L8079">
        <v>50412525</v>
      </c>
      <c r="M8079">
        <v>50412525</v>
      </c>
      <c r="N8079">
        <v>50412525</v>
      </c>
      <c r="O8079">
        <v>50412525</v>
      </c>
      <c r="P8079">
        <v>50260000</v>
      </c>
      <c r="Q8079">
        <v>50260000</v>
      </c>
      <c r="R8079" s="14">
        <f>_xlfn.XLOOKUP(Table2[[#This Row],[LoanID]],Table1[G-L ID],Table1[ManagerCode],-99)</f>
        <v>220</v>
      </c>
      <c r="T8079"/>
    </row>
    <row r="8080" spans="1:20" x14ac:dyDescent="0.25">
      <c r="A8080">
        <v>20181231</v>
      </c>
      <c r="B8080">
        <v>2018</v>
      </c>
      <c r="C8080">
        <v>12</v>
      </c>
      <c r="D8080">
        <v>1</v>
      </c>
      <c r="E8080">
        <v>14740</v>
      </c>
      <c r="F8080">
        <v>0</v>
      </c>
      <c r="G8080">
        <v>0</v>
      </c>
      <c r="H8080">
        <v>0</v>
      </c>
      <c r="I8080">
        <v>0</v>
      </c>
      <c r="J8080">
        <v>0</v>
      </c>
      <c r="K8080">
        <v>0</v>
      </c>
      <c r="L8080">
        <v>35124268</v>
      </c>
      <c r="M8080">
        <v>35124268</v>
      </c>
      <c r="N8080">
        <v>35124268</v>
      </c>
      <c r="O8080">
        <v>35124268</v>
      </c>
      <c r="P8080">
        <v>35000000</v>
      </c>
      <c r="Q8080">
        <v>35000000</v>
      </c>
      <c r="R8080" s="14">
        <f>_xlfn.XLOOKUP(Table2[[#This Row],[LoanID]],Table1[G-L ID],Table1[ManagerCode],-99)</f>
        <v>220</v>
      </c>
      <c r="T8080"/>
    </row>
    <row r="8081" spans="1:20" x14ac:dyDescent="0.25">
      <c r="A8081">
        <v>20181231</v>
      </c>
      <c r="B8081">
        <v>2018</v>
      </c>
      <c r="C8081">
        <v>12</v>
      </c>
      <c r="D8081">
        <v>1</v>
      </c>
      <c r="E8081">
        <v>14750</v>
      </c>
      <c r="F8081">
        <v>134023.39000000001</v>
      </c>
      <c r="G8081">
        <v>0</v>
      </c>
      <c r="H8081">
        <v>549100</v>
      </c>
      <c r="I8081">
        <v>0</v>
      </c>
      <c r="J8081">
        <v>-55000000</v>
      </c>
      <c r="K8081">
        <v>35750000</v>
      </c>
      <c r="L8081">
        <v>0</v>
      </c>
      <c r="M8081">
        <v>55000000</v>
      </c>
      <c r="N8081">
        <v>0</v>
      </c>
      <c r="O8081">
        <v>19250000</v>
      </c>
      <c r="P8081">
        <v>0</v>
      </c>
      <c r="Q8081">
        <v>55000000</v>
      </c>
      <c r="R8081" s="14">
        <f>_xlfn.XLOOKUP(Table2[[#This Row],[LoanID]],Table1[G-L ID],Table1[ManagerCode],-99)</f>
        <v>220</v>
      </c>
      <c r="T8081"/>
    </row>
    <row r="8082" spans="1:20" x14ac:dyDescent="0.25">
      <c r="A8082">
        <v>20181231</v>
      </c>
      <c r="B8082">
        <v>2018</v>
      </c>
      <c r="C8082">
        <v>12</v>
      </c>
      <c r="D8082">
        <v>1</v>
      </c>
      <c r="E8082">
        <v>14790</v>
      </c>
      <c r="F8082">
        <v>195281.07</v>
      </c>
      <c r="G8082">
        <v>0</v>
      </c>
      <c r="H8082">
        <v>0</v>
      </c>
      <c r="I8082">
        <v>0</v>
      </c>
      <c r="J8082">
        <v>0</v>
      </c>
      <c r="K8082">
        <v>0</v>
      </c>
      <c r="L8082">
        <v>72872310</v>
      </c>
      <c r="M8082">
        <v>72887956</v>
      </c>
      <c r="N8082">
        <v>32872310</v>
      </c>
      <c r="O8082">
        <v>32887956</v>
      </c>
      <c r="P8082">
        <v>72200000</v>
      </c>
      <c r="Q8082">
        <v>72200000</v>
      </c>
      <c r="R8082" s="14">
        <f>_xlfn.XLOOKUP(Table2[[#This Row],[LoanID]],Table1[G-L ID],Table1[ManagerCode],-99)</f>
        <v>220</v>
      </c>
      <c r="T8082"/>
    </row>
    <row r="8083" spans="1:20" x14ac:dyDescent="0.25">
      <c r="A8083">
        <v>20181231</v>
      </c>
      <c r="B8083">
        <v>2018</v>
      </c>
      <c r="C8083">
        <v>12</v>
      </c>
      <c r="D8083">
        <v>1</v>
      </c>
      <c r="E8083">
        <v>14800</v>
      </c>
      <c r="F8083">
        <v>96757.1</v>
      </c>
      <c r="G8083">
        <v>0</v>
      </c>
      <c r="H8083">
        <v>0</v>
      </c>
      <c r="I8083">
        <v>0</v>
      </c>
      <c r="J8083">
        <v>0</v>
      </c>
      <c r="K8083">
        <v>0</v>
      </c>
      <c r="L8083">
        <v>51000000</v>
      </c>
      <c r="M8083">
        <v>51000000</v>
      </c>
      <c r="N8083">
        <v>17850000</v>
      </c>
      <c r="O8083">
        <v>17850000</v>
      </c>
      <c r="P8083">
        <v>51000000</v>
      </c>
      <c r="Q8083">
        <v>51000000</v>
      </c>
      <c r="R8083" s="14">
        <f>_xlfn.XLOOKUP(Table2[[#This Row],[LoanID]],Table1[G-L ID],Table1[ManagerCode],-99)</f>
        <v>220</v>
      </c>
      <c r="T8083"/>
    </row>
    <row r="8084" spans="1:20" x14ac:dyDescent="0.25">
      <c r="A8084">
        <v>20181231</v>
      </c>
      <c r="B8084">
        <v>2018</v>
      </c>
      <c r="C8084">
        <v>12</v>
      </c>
      <c r="D8084">
        <v>1</v>
      </c>
      <c r="E8084">
        <v>14810</v>
      </c>
      <c r="F8084">
        <v>99013.65</v>
      </c>
      <c r="G8084">
        <v>0</v>
      </c>
      <c r="H8084">
        <v>0</v>
      </c>
      <c r="I8084">
        <v>0</v>
      </c>
      <c r="J8084">
        <v>0</v>
      </c>
      <c r="K8084">
        <v>0</v>
      </c>
      <c r="L8084">
        <v>24999639</v>
      </c>
      <c r="M8084">
        <v>25006994</v>
      </c>
      <c r="N8084">
        <v>24999639</v>
      </c>
      <c r="O8084">
        <v>25006994</v>
      </c>
      <c r="P8084">
        <v>24930000</v>
      </c>
      <c r="Q8084">
        <v>24930000</v>
      </c>
      <c r="R8084" s="14">
        <f>_xlfn.XLOOKUP(Table2[[#This Row],[LoanID]],Table1[G-L ID],Table1[ManagerCode],-99)</f>
        <v>220</v>
      </c>
      <c r="T8084"/>
    </row>
    <row r="8085" spans="1:20" x14ac:dyDescent="0.25">
      <c r="A8085">
        <v>20181231</v>
      </c>
      <c r="B8085">
        <v>2018</v>
      </c>
      <c r="C8085">
        <v>12</v>
      </c>
      <c r="D8085">
        <v>1</v>
      </c>
      <c r="E8085">
        <v>14820</v>
      </c>
      <c r="F8085">
        <v>114359.27</v>
      </c>
      <c r="G8085">
        <v>0</v>
      </c>
      <c r="H8085">
        <v>0</v>
      </c>
      <c r="I8085">
        <v>0</v>
      </c>
      <c r="J8085">
        <v>0</v>
      </c>
      <c r="K8085">
        <v>0</v>
      </c>
      <c r="L8085">
        <v>22623000</v>
      </c>
      <c r="M8085">
        <v>22623000</v>
      </c>
      <c r="N8085">
        <v>22623000</v>
      </c>
      <c r="O8085">
        <v>22623000</v>
      </c>
      <c r="P8085">
        <v>22623000</v>
      </c>
      <c r="Q8085">
        <v>22623000</v>
      </c>
      <c r="R8085" s="14">
        <f>_xlfn.XLOOKUP(Table2[[#This Row],[LoanID]],Table1[G-L ID],Table1[ManagerCode],-99)</f>
        <v>220</v>
      </c>
      <c r="T8085"/>
    </row>
    <row r="8086" spans="1:20" x14ac:dyDescent="0.25">
      <c r="A8086">
        <v>20181231</v>
      </c>
      <c r="B8086">
        <v>2018</v>
      </c>
      <c r="C8086">
        <v>12</v>
      </c>
      <c r="D8086">
        <v>1</v>
      </c>
      <c r="E8086">
        <v>14830</v>
      </c>
      <c r="F8086">
        <v>80433.570000000007</v>
      </c>
      <c r="G8086">
        <v>0</v>
      </c>
      <c r="H8086">
        <v>0</v>
      </c>
      <c r="I8086">
        <v>0</v>
      </c>
      <c r="J8086">
        <v>-1378133</v>
      </c>
      <c r="K8086">
        <v>0</v>
      </c>
      <c r="L8086">
        <v>34429120</v>
      </c>
      <c r="M8086">
        <v>36102541</v>
      </c>
      <c r="N8086">
        <v>14475406.6</v>
      </c>
      <c r="O8086">
        <v>16148827.6</v>
      </c>
      <c r="P8086">
        <v>34396959.829999998</v>
      </c>
      <c r="Q8086">
        <v>35775092.829999998</v>
      </c>
      <c r="R8086" s="14">
        <f>_xlfn.XLOOKUP(Table2[[#This Row],[LoanID]],Table1[G-L ID],Table1[ManagerCode],-99)</f>
        <v>220</v>
      </c>
      <c r="T8086"/>
    </row>
    <row r="8087" spans="1:20" x14ac:dyDescent="0.25">
      <c r="A8087">
        <v>20181231</v>
      </c>
      <c r="B8087">
        <v>2018</v>
      </c>
      <c r="C8087">
        <v>12</v>
      </c>
      <c r="D8087">
        <v>1</v>
      </c>
      <c r="E8087">
        <v>14840</v>
      </c>
      <c r="F8087">
        <v>65503.4</v>
      </c>
      <c r="G8087">
        <v>0</v>
      </c>
      <c r="H8087">
        <v>0</v>
      </c>
      <c r="I8087">
        <v>0</v>
      </c>
      <c r="J8087">
        <v>0</v>
      </c>
      <c r="K8087">
        <v>0</v>
      </c>
      <c r="L8087">
        <v>31630119</v>
      </c>
      <c r="M8087">
        <v>32122028</v>
      </c>
      <c r="N8087">
        <v>13138119</v>
      </c>
      <c r="O8087">
        <v>13630028</v>
      </c>
      <c r="P8087">
        <v>31997555.059999999</v>
      </c>
      <c r="Q8087">
        <v>31997555.059999999</v>
      </c>
      <c r="R8087" s="14">
        <f>_xlfn.XLOOKUP(Table2[[#This Row],[LoanID]],Table1[G-L ID],Table1[ManagerCode],-99)</f>
        <v>220</v>
      </c>
      <c r="T8087"/>
    </row>
    <row r="8088" spans="1:20" x14ac:dyDescent="0.25">
      <c r="A8088">
        <v>20181231</v>
      </c>
      <c r="B8088">
        <v>2018</v>
      </c>
      <c r="C8088">
        <v>12</v>
      </c>
      <c r="D8088">
        <v>1</v>
      </c>
      <c r="E8088">
        <v>14850</v>
      </c>
      <c r="F8088">
        <v>154525.9</v>
      </c>
      <c r="G8088">
        <v>0</v>
      </c>
      <c r="H8088">
        <v>0</v>
      </c>
      <c r="I8088">
        <v>0</v>
      </c>
      <c r="J8088">
        <v>-3337887.5</v>
      </c>
      <c r="K8088">
        <v>0</v>
      </c>
      <c r="L8088">
        <v>77806401</v>
      </c>
      <c r="M8088">
        <v>81958345</v>
      </c>
      <c r="N8088">
        <v>32535923.399999999</v>
      </c>
      <c r="O8088">
        <v>36687867.399999999</v>
      </c>
      <c r="P8088">
        <v>78327628.75</v>
      </c>
      <c r="Q8088">
        <v>81665516.25</v>
      </c>
      <c r="R8088" s="14">
        <f>_xlfn.XLOOKUP(Table2[[#This Row],[LoanID]],Table1[G-L ID],Table1[ManagerCode],-99)</f>
        <v>220</v>
      </c>
      <c r="T8088"/>
    </row>
    <row r="8089" spans="1:20" x14ac:dyDescent="0.25">
      <c r="A8089">
        <v>20181231</v>
      </c>
      <c r="B8089">
        <v>2018</v>
      </c>
      <c r="C8089">
        <v>12</v>
      </c>
      <c r="D8089">
        <v>1</v>
      </c>
      <c r="E8089">
        <v>14860</v>
      </c>
      <c r="F8089">
        <v>138149.91</v>
      </c>
      <c r="G8089">
        <v>0</v>
      </c>
      <c r="H8089">
        <v>0</v>
      </c>
      <c r="I8089">
        <v>0</v>
      </c>
      <c r="J8089">
        <v>0</v>
      </c>
      <c r="K8089">
        <v>0</v>
      </c>
      <c r="L8089">
        <v>64964912</v>
      </c>
      <c r="M8089">
        <v>64964912</v>
      </c>
      <c r="N8089">
        <v>26105912</v>
      </c>
      <c r="O8089">
        <v>26105912</v>
      </c>
      <c r="P8089">
        <v>64765000</v>
      </c>
      <c r="Q8089">
        <v>64765000</v>
      </c>
      <c r="R8089" s="14">
        <f>_xlfn.XLOOKUP(Table2[[#This Row],[LoanID]],Table1[G-L ID],Table1[ManagerCode],-99)</f>
        <v>220</v>
      </c>
      <c r="T8089"/>
    </row>
    <row r="8090" spans="1:20" x14ac:dyDescent="0.25">
      <c r="A8090">
        <v>20181231</v>
      </c>
      <c r="B8090">
        <v>2018</v>
      </c>
      <c r="C8090">
        <v>12</v>
      </c>
      <c r="D8090">
        <v>1</v>
      </c>
      <c r="E8090">
        <v>14870</v>
      </c>
      <c r="F8090">
        <v>229523.59</v>
      </c>
      <c r="G8090">
        <v>0</v>
      </c>
      <c r="H8090">
        <v>0</v>
      </c>
      <c r="I8090">
        <v>0</v>
      </c>
      <c r="J8090">
        <v>0</v>
      </c>
      <c r="K8090">
        <v>0</v>
      </c>
      <c r="L8090">
        <v>47519674</v>
      </c>
      <c r="M8090">
        <v>47568024</v>
      </c>
      <c r="N8090">
        <v>47519674</v>
      </c>
      <c r="O8090">
        <v>47568024</v>
      </c>
      <c r="P8090">
        <v>47357000</v>
      </c>
      <c r="Q8090">
        <v>47357000</v>
      </c>
      <c r="R8090" s="14">
        <f>_xlfn.XLOOKUP(Table2[[#This Row],[LoanID]],Table1[G-L ID],Table1[ManagerCode],-99)</f>
        <v>220</v>
      </c>
      <c r="T8090"/>
    </row>
    <row r="8091" spans="1:20" x14ac:dyDescent="0.25">
      <c r="A8091">
        <v>20181231</v>
      </c>
      <c r="B8091">
        <v>2018</v>
      </c>
      <c r="C8091">
        <v>12</v>
      </c>
      <c r="D8091">
        <v>1</v>
      </c>
      <c r="E8091">
        <v>14880</v>
      </c>
      <c r="F8091">
        <v>128142.06</v>
      </c>
      <c r="G8091">
        <v>0</v>
      </c>
      <c r="H8091">
        <v>0</v>
      </c>
      <c r="I8091">
        <v>0</v>
      </c>
      <c r="J8091">
        <v>0</v>
      </c>
      <c r="K8091">
        <v>0</v>
      </c>
      <c r="L8091">
        <v>18043089</v>
      </c>
      <c r="M8091">
        <v>18099022</v>
      </c>
      <c r="N8091">
        <v>18043089</v>
      </c>
      <c r="O8091">
        <v>18099022</v>
      </c>
      <c r="P8091">
        <v>17951257</v>
      </c>
      <c r="Q8091">
        <v>17951257</v>
      </c>
      <c r="R8091" s="14">
        <f>_xlfn.XLOOKUP(Table2[[#This Row],[LoanID]],Table1[G-L ID],Table1[ManagerCode],-99)</f>
        <v>220</v>
      </c>
      <c r="T8091"/>
    </row>
    <row r="8092" spans="1:20" x14ac:dyDescent="0.25">
      <c r="A8092">
        <v>20181231</v>
      </c>
      <c r="B8092">
        <v>2018</v>
      </c>
      <c r="C8092">
        <v>12</v>
      </c>
      <c r="D8092">
        <v>1</v>
      </c>
      <c r="E8092">
        <v>14890</v>
      </c>
      <c r="F8092">
        <v>48970.11</v>
      </c>
      <c r="G8092">
        <v>0</v>
      </c>
      <c r="H8092">
        <v>0</v>
      </c>
      <c r="I8092">
        <v>0</v>
      </c>
      <c r="J8092">
        <v>0</v>
      </c>
      <c r="K8092">
        <v>0</v>
      </c>
      <c r="L8092">
        <v>34000000</v>
      </c>
      <c r="M8092">
        <v>34000000</v>
      </c>
      <c r="N8092">
        <v>11900000</v>
      </c>
      <c r="O8092">
        <v>11900000</v>
      </c>
      <c r="P8092">
        <v>34000000</v>
      </c>
      <c r="Q8092">
        <v>34000000</v>
      </c>
      <c r="R8092" s="14">
        <f>_xlfn.XLOOKUP(Table2[[#This Row],[LoanID]],Table1[G-L ID],Table1[ManagerCode],-99)</f>
        <v>220</v>
      </c>
      <c r="T8092"/>
    </row>
    <row r="8093" spans="1:20" x14ac:dyDescent="0.25">
      <c r="A8093">
        <v>20181231</v>
      </c>
      <c r="B8093">
        <v>2018</v>
      </c>
      <c r="C8093">
        <v>12</v>
      </c>
      <c r="D8093">
        <v>1</v>
      </c>
      <c r="E8093">
        <v>14900</v>
      </c>
      <c r="F8093">
        <v>121918</v>
      </c>
      <c r="G8093">
        <v>0</v>
      </c>
      <c r="H8093">
        <v>0</v>
      </c>
      <c r="I8093">
        <v>0</v>
      </c>
      <c r="J8093">
        <v>0</v>
      </c>
      <c r="K8093">
        <v>0</v>
      </c>
      <c r="L8093">
        <v>64174866</v>
      </c>
      <c r="M8093">
        <v>64193568</v>
      </c>
      <c r="N8093">
        <v>22574866</v>
      </c>
      <c r="O8093">
        <v>22593568</v>
      </c>
      <c r="P8093">
        <v>64000000</v>
      </c>
      <c r="Q8093">
        <v>64000000</v>
      </c>
      <c r="R8093" s="14">
        <f>_xlfn.XLOOKUP(Table2[[#This Row],[LoanID]],Table1[G-L ID],Table1[ManagerCode],-99)</f>
        <v>220</v>
      </c>
      <c r="T8093"/>
    </row>
    <row r="8094" spans="1:20" x14ac:dyDescent="0.25">
      <c r="A8094">
        <v>20181231</v>
      </c>
      <c r="B8094">
        <v>2018</v>
      </c>
      <c r="C8094">
        <v>12</v>
      </c>
      <c r="D8094">
        <v>1</v>
      </c>
      <c r="E8094">
        <v>14930</v>
      </c>
      <c r="F8094">
        <v>91977.19</v>
      </c>
      <c r="G8094">
        <v>0</v>
      </c>
      <c r="H8094">
        <v>0</v>
      </c>
      <c r="I8094">
        <v>0</v>
      </c>
      <c r="J8094">
        <v>0</v>
      </c>
      <c r="K8094">
        <v>0</v>
      </c>
      <c r="L8094">
        <v>55000000</v>
      </c>
      <c r="M8094">
        <v>55000000</v>
      </c>
      <c r="N8094">
        <v>19250000</v>
      </c>
      <c r="O8094">
        <v>19250000</v>
      </c>
      <c r="P8094">
        <v>55000000</v>
      </c>
      <c r="Q8094">
        <v>55000000</v>
      </c>
      <c r="R8094" s="14">
        <f>_xlfn.XLOOKUP(Table2[[#This Row],[LoanID]],Table1[G-L ID],Table1[ManagerCode],-99)</f>
        <v>220</v>
      </c>
      <c r="T8094"/>
    </row>
    <row r="8095" spans="1:20" x14ac:dyDescent="0.25">
      <c r="A8095">
        <v>20181231</v>
      </c>
      <c r="B8095">
        <v>2018</v>
      </c>
      <c r="C8095">
        <v>12</v>
      </c>
      <c r="D8095">
        <v>1</v>
      </c>
      <c r="E8095">
        <v>14940</v>
      </c>
      <c r="F8095">
        <v>236268.83</v>
      </c>
      <c r="G8095">
        <v>0</v>
      </c>
      <c r="H8095">
        <v>0</v>
      </c>
      <c r="I8095">
        <v>0</v>
      </c>
      <c r="J8095">
        <v>-1492516.23</v>
      </c>
      <c r="K8095">
        <v>0</v>
      </c>
      <c r="L8095">
        <v>60991589</v>
      </c>
      <c r="M8095">
        <v>64958842</v>
      </c>
      <c r="N8095">
        <v>60991589</v>
      </c>
      <c r="O8095">
        <v>64958842</v>
      </c>
      <c r="P8095">
        <v>63278337.049999997</v>
      </c>
      <c r="Q8095">
        <v>64770853.280000001</v>
      </c>
      <c r="R8095" s="14">
        <f>_xlfn.XLOOKUP(Table2[[#This Row],[LoanID]],Table1[G-L ID],Table1[ManagerCode],-99)</f>
        <v>220</v>
      </c>
      <c r="T8095"/>
    </row>
    <row r="8096" spans="1:20" x14ac:dyDescent="0.25">
      <c r="A8096">
        <v>20181231</v>
      </c>
      <c r="B8096">
        <v>2018</v>
      </c>
      <c r="C8096">
        <v>12</v>
      </c>
      <c r="D8096">
        <v>1</v>
      </c>
      <c r="E8096">
        <v>14950</v>
      </c>
      <c r="F8096">
        <v>220616.67</v>
      </c>
      <c r="G8096">
        <v>0</v>
      </c>
      <c r="H8096">
        <v>0</v>
      </c>
      <c r="I8096">
        <v>0</v>
      </c>
      <c r="J8096">
        <v>0</v>
      </c>
      <c r="K8096">
        <v>0</v>
      </c>
      <c r="L8096">
        <v>35000000</v>
      </c>
      <c r="M8096">
        <v>35000000</v>
      </c>
      <c r="N8096">
        <v>35000000</v>
      </c>
      <c r="O8096">
        <v>35000000</v>
      </c>
      <c r="P8096">
        <v>35000000</v>
      </c>
      <c r="Q8096">
        <v>35000000</v>
      </c>
      <c r="R8096" s="14">
        <f>_xlfn.XLOOKUP(Table2[[#This Row],[LoanID]],Table1[G-L ID],Table1[ManagerCode],-99)</f>
        <v>220</v>
      </c>
      <c r="T8096"/>
    </row>
    <row r="8097" spans="1:20" x14ac:dyDescent="0.25">
      <c r="A8097">
        <v>20181231</v>
      </c>
      <c r="B8097">
        <v>2018</v>
      </c>
      <c r="C8097">
        <v>12</v>
      </c>
      <c r="D8097">
        <v>1</v>
      </c>
      <c r="E8097">
        <v>14960</v>
      </c>
      <c r="F8097">
        <v>62477.1</v>
      </c>
      <c r="G8097">
        <v>0</v>
      </c>
      <c r="H8097">
        <v>0</v>
      </c>
      <c r="I8097">
        <v>0</v>
      </c>
      <c r="J8097">
        <v>0</v>
      </c>
      <c r="K8097">
        <v>0</v>
      </c>
      <c r="L8097">
        <v>14872008</v>
      </c>
      <c r="M8097">
        <v>14876952</v>
      </c>
      <c r="N8097">
        <v>14872008</v>
      </c>
      <c r="O8097">
        <v>14876952</v>
      </c>
      <c r="P8097">
        <v>14805000</v>
      </c>
      <c r="Q8097">
        <v>14805000</v>
      </c>
      <c r="R8097" s="14">
        <f>_xlfn.XLOOKUP(Table2[[#This Row],[LoanID]],Table1[G-L ID],Table1[ManagerCode],-99)</f>
        <v>220</v>
      </c>
      <c r="T8097"/>
    </row>
    <row r="8098" spans="1:20" x14ac:dyDescent="0.25">
      <c r="A8098">
        <v>20181231</v>
      </c>
      <c r="B8098">
        <v>2018</v>
      </c>
      <c r="C8098">
        <v>12</v>
      </c>
      <c r="D8098">
        <v>1</v>
      </c>
      <c r="E8098">
        <v>15030</v>
      </c>
      <c r="F8098">
        <v>85309.94</v>
      </c>
      <c r="G8098">
        <v>0</v>
      </c>
      <c r="H8098">
        <v>0</v>
      </c>
      <c r="I8098">
        <v>0</v>
      </c>
      <c r="J8098">
        <v>-220763.2</v>
      </c>
      <c r="K8098">
        <v>0</v>
      </c>
      <c r="L8098">
        <v>37672133</v>
      </c>
      <c r="M8098">
        <v>38661073</v>
      </c>
      <c r="N8098">
        <v>13842796.220000001</v>
      </c>
      <c r="O8098">
        <v>14831736.220000001</v>
      </c>
      <c r="P8098">
        <v>38183982.990000002</v>
      </c>
      <c r="Q8098">
        <v>38404746.189999998</v>
      </c>
      <c r="R8098" s="14">
        <f>_xlfn.XLOOKUP(Table2[[#This Row],[LoanID]],Table1[G-L ID],Table1[ManagerCode],-99)</f>
        <v>220</v>
      </c>
      <c r="T8098"/>
    </row>
    <row r="8099" spans="1:20" x14ac:dyDescent="0.25">
      <c r="A8099">
        <v>20181231</v>
      </c>
      <c r="B8099">
        <v>2018</v>
      </c>
      <c r="C8099">
        <v>12</v>
      </c>
      <c r="D8099">
        <v>1</v>
      </c>
      <c r="E8099">
        <v>15540</v>
      </c>
      <c r="F8099">
        <v>289897.31</v>
      </c>
      <c r="G8099">
        <v>15401.34</v>
      </c>
      <c r="H8099">
        <v>0</v>
      </c>
      <c r="I8099">
        <v>-2277.61</v>
      </c>
      <c r="J8099">
        <v>-441358.18</v>
      </c>
      <c r="K8099">
        <v>0</v>
      </c>
      <c r="L8099">
        <v>55285144.030000001</v>
      </c>
      <c r="M8099">
        <v>55741903.549999997</v>
      </c>
      <c r="N8099">
        <v>55285144.030000001</v>
      </c>
      <c r="O8099">
        <v>55741903.549999997</v>
      </c>
      <c r="P8099">
        <v>55285144.030000001</v>
      </c>
      <c r="Q8099">
        <v>55741903.549999997</v>
      </c>
      <c r="R8099" s="14">
        <f>_xlfn.XLOOKUP(Table2[[#This Row],[LoanID]],Table1[G-L ID],Table1[ManagerCode],-99)</f>
        <v>212</v>
      </c>
      <c r="T8099"/>
    </row>
    <row r="8100" spans="1:20" x14ac:dyDescent="0.25">
      <c r="A8100">
        <v>20181231</v>
      </c>
      <c r="B8100">
        <v>2018</v>
      </c>
      <c r="C8100">
        <v>12</v>
      </c>
      <c r="D8100">
        <v>1</v>
      </c>
      <c r="E8100">
        <v>15580</v>
      </c>
      <c r="F8100">
        <v>111784.57</v>
      </c>
      <c r="G8100">
        <v>3633.62</v>
      </c>
      <c r="H8100">
        <v>0</v>
      </c>
      <c r="I8100">
        <v>0</v>
      </c>
      <c r="J8100">
        <v>0</v>
      </c>
      <c r="K8100">
        <v>11616.74</v>
      </c>
      <c r="L8100">
        <v>14613566.43</v>
      </c>
      <c r="M8100">
        <v>14605583.310000001</v>
      </c>
      <c r="N8100">
        <v>14613566.43</v>
      </c>
      <c r="O8100">
        <v>14605583.310000001</v>
      </c>
      <c r="P8100">
        <v>14613566.43</v>
      </c>
      <c r="Q8100">
        <v>14605583.310000001</v>
      </c>
      <c r="R8100" s="14">
        <f>_xlfn.XLOOKUP(Table2[[#This Row],[LoanID]],Table1[G-L ID],Table1[ManagerCode],-99)</f>
        <v>212</v>
      </c>
      <c r="T8100"/>
    </row>
    <row r="8101" spans="1:20" x14ac:dyDescent="0.25">
      <c r="A8101">
        <v>20181231</v>
      </c>
      <c r="B8101">
        <v>2018</v>
      </c>
      <c r="C8101">
        <v>12</v>
      </c>
      <c r="D8101">
        <v>1</v>
      </c>
      <c r="E8101">
        <v>15610</v>
      </c>
      <c r="F8101">
        <v>843088.37</v>
      </c>
      <c r="G8101">
        <v>44633.74</v>
      </c>
      <c r="H8101">
        <v>0</v>
      </c>
      <c r="I8101">
        <v>-8324.33</v>
      </c>
      <c r="J8101">
        <v>0</v>
      </c>
      <c r="K8101">
        <v>0</v>
      </c>
      <c r="L8101">
        <v>201838037.80000001</v>
      </c>
      <c r="M8101">
        <v>201882671.59999999</v>
      </c>
      <c r="N8101">
        <v>201838037.80000001</v>
      </c>
      <c r="O8101">
        <v>201882671.59999999</v>
      </c>
      <c r="P8101">
        <v>201838037.80000001</v>
      </c>
      <c r="Q8101">
        <v>201882671.59999999</v>
      </c>
      <c r="R8101" s="14">
        <f>_xlfn.XLOOKUP(Table2[[#This Row],[LoanID]],Table1[G-L ID],Table1[ManagerCode],-99)</f>
        <v>212</v>
      </c>
      <c r="T8101"/>
    </row>
    <row r="8102" spans="1:20" x14ac:dyDescent="0.25">
      <c r="A8102">
        <v>20181231</v>
      </c>
      <c r="B8102">
        <v>2018</v>
      </c>
      <c r="C8102">
        <v>12</v>
      </c>
      <c r="D8102">
        <v>1</v>
      </c>
      <c r="E8102">
        <v>15620</v>
      </c>
      <c r="F8102">
        <v>337306.1</v>
      </c>
      <c r="G8102">
        <v>15630.79</v>
      </c>
      <c r="H8102">
        <v>0</v>
      </c>
      <c r="I8102">
        <v>-3265.94</v>
      </c>
      <c r="J8102">
        <v>0</v>
      </c>
      <c r="K8102">
        <v>0</v>
      </c>
      <c r="L8102">
        <v>78719825.099999994</v>
      </c>
      <c r="M8102">
        <v>78735455.890000001</v>
      </c>
      <c r="N8102">
        <v>78719825.099999994</v>
      </c>
      <c r="O8102">
        <v>78735455.890000001</v>
      </c>
      <c r="P8102">
        <v>78719825.099999994</v>
      </c>
      <c r="Q8102">
        <v>78735455.890000001</v>
      </c>
      <c r="R8102" s="14">
        <f>_xlfn.XLOOKUP(Table2[[#This Row],[LoanID]],Table1[G-L ID],Table1[ManagerCode],-99)</f>
        <v>212</v>
      </c>
      <c r="T8102"/>
    </row>
    <row r="8103" spans="1:20" x14ac:dyDescent="0.25">
      <c r="A8103">
        <v>20190131</v>
      </c>
      <c r="B8103">
        <v>2019</v>
      </c>
      <c r="C8103">
        <v>1</v>
      </c>
      <c r="D8103">
        <v>1</v>
      </c>
      <c r="E8103">
        <v>10010</v>
      </c>
      <c r="F8103">
        <v>205608.29</v>
      </c>
      <c r="G8103">
        <v>0</v>
      </c>
      <c r="H8103">
        <v>0</v>
      </c>
      <c r="I8103">
        <v>0</v>
      </c>
      <c r="J8103">
        <v>0</v>
      </c>
      <c r="K8103">
        <v>29570.42</v>
      </c>
      <c r="L8103">
        <v>18358043.280000001</v>
      </c>
      <c r="M8103">
        <v>18328472.859999999</v>
      </c>
      <c r="N8103">
        <v>18358043.280000001</v>
      </c>
      <c r="O8103">
        <v>18328472.859999999</v>
      </c>
      <c r="P8103">
        <v>18358043.280000001</v>
      </c>
      <c r="Q8103">
        <v>18328472.859999999</v>
      </c>
      <c r="R8103" s="14">
        <f>_xlfn.XLOOKUP(Table2[[#This Row],[LoanID]],Table1[G-L ID],Table1[ManagerCode],-99)</f>
        <v>119</v>
      </c>
      <c r="T8103"/>
    </row>
    <row r="8104" spans="1:20" x14ac:dyDescent="0.25">
      <c r="A8104">
        <v>20190131</v>
      </c>
      <c r="B8104">
        <v>2019</v>
      </c>
      <c r="C8104">
        <v>1</v>
      </c>
      <c r="D8104">
        <v>1</v>
      </c>
      <c r="E8104">
        <v>10050</v>
      </c>
      <c r="F8104">
        <v>153981.01999999999</v>
      </c>
      <c r="G8104">
        <v>0</v>
      </c>
      <c r="H8104">
        <v>0</v>
      </c>
      <c r="I8104">
        <v>-69.44</v>
      </c>
      <c r="J8104">
        <v>0</v>
      </c>
      <c r="K8104">
        <v>0</v>
      </c>
      <c r="L8104">
        <v>36210744</v>
      </c>
      <c r="M8104">
        <v>36231030</v>
      </c>
      <c r="N8104">
        <v>36210744</v>
      </c>
      <c r="O8104">
        <v>36231030</v>
      </c>
      <c r="P8104">
        <v>33333334</v>
      </c>
      <c r="Q8104">
        <v>33333334</v>
      </c>
      <c r="R8104" s="14">
        <f>_xlfn.XLOOKUP(Table2[[#This Row],[LoanID]],Table1[G-L ID],Table1[ManagerCode],-99)</f>
        <v>103</v>
      </c>
      <c r="T8104"/>
    </row>
    <row r="8105" spans="1:20" x14ac:dyDescent="0.25">
      <c r="A8105">
        <v>20190131</v>
      </c>
      <c r="B8105">
        <v>2019</v>
      </c>
      <c r="C8105">
        <v>1</v>
      </c>
      <c r="D8105">
        <v>1</v>
      </c>
      <c r="E8105">
        <v>10220</v>
      </c>
      <c r="F8105">
        <v>0</v>
      </c>
      <c r="G8105">
        <v>0</v>
      </c>
      <c r="H8105">
        <v>0</v>
      </c>
      <c r="I8105">
        <v>0</v>
      </c>
      <c r="J8105">
        <v>0</v>
      </c>
      <c r="K8105">
        <v>0</v>
      </c>
      <c r="L8105">
        <v>109081855</v>
      </c>
      <c r="M8105">
        <v>108848478</v>
      </c>
      <c r="N8105">
        <v>109081855</v>
      </c>
      <c r="O8105">
        <v>108848478</v>
      </c>
      <c r="P8105">
        <v>100000000</v>
      </c>
      <c r="Q8105">
        <v>100000000</v>
      </c>
      <c r="R8105" s="14">
        <f>_xlfn.XLOOKUP(Table2[[#This Row],[LoanID]],Table1[G-L ID],Table1[ManagerCode],-99)</f>
        <v>103</v>
      </c>
      <c r="T8105"/>
    </row>
    <row r="8106" spans="1:20" x14ac:dyDescent="0.25">
      <c r="A8106">
        <v>20190131</v>
      </c>
      <c r="B8106">
        <v>2019</v>
      </c>
      <c r="C8106">
        <v>1</v>
      </c>
      <c r="D8106">
        <v>1</v>
      </c>
      <c r="E8106">
        <v>10250</v>
      </c>
      <c r="F8106">
        <v>61293.89</v>
      </c>
      <c r="G8106">
        <v>0</v>
      </c>
      <c r="H8106">
        <v>0</v>
      </c>
      <c r="I8106">
        <v>0</v>
      </c>
      <c r="J8106">
        <v>0</v>
      </c>
      <c r="K8106">
        <v>0</v>
      </c>
      <c r="L8106">
        <v>5000000</v>
      </c>
      <c r="M8106">
        <v>5000000</v>
      </c>
      <c r="N8106">
        <v>5000000</v>
      </c>
      <c r="O8106">
        <v>5000000</v>
      </c>
      <c r="P8106">
        <v>5000000</v>
      </c>
      <c r="Q8106">
        <v>5000000</v>
      </c>
      <c r="R8106" s="14">
        <f>_xlfn.XLOOKUP(Table2[[#This Row],[LoanID]],Table1[G-L ID],Table1[ManagerCode],-99)</f>
        <v>119</v>
      </c>
      <c r="T8106"/>
    </row>
    <row r="8107" spans="1:20" x14ac:dyDescent="0.25">
      <c r="A8107">
        <v>20190131</v>
      </c>
      <c r="B8107">
        <v>2019</v>
      </c>
      <c r="C8107">
        <v>1</v>
      </c>
      <c r="D8107">
        <v>1</v>
      </c>
      <c r="E8107">
        <v>10270</v>
      </c>
      <c r="F8107">
        <v>52816.38</v>
      </c>
      <c r="G8107">
        <v>0</v>
      </c>
      <c r="H8107">
        <v>0</v>
      </c>
      <c r="I8107">
        <v>0</v>
      </c>
      <c r="J8107">
        <v>0</v>
      </c>
      <c r="K8107">
        <v>0</v>
      </c>
      <c r="L8107">
        <v>4500000</v>
      </c>
      <c r="M8107">
        <v>4500000</v>
      </c>
      <c r="N8107">
        <v>4500000</v>
      </c>
      <c r="O8107">
        <v>4500000</v>
      </c>
      <c r="P8107">
        <v>4500000</v>
      </c>
      <c r="Q8107">
        <v>4500000</v>
      </c>
      <c r="R8107" s="14">
        <f>_xlfn.XLOOKUP(Table2[[#This Row],[LoanID]],Table1[G-L ID],Table1[ManagerCode],-99)</f>
        <v>119</v>
      </c>
      <c r="T8107"/>
    </row>
    <row r="8108" spans="1:20" x14ac:dyDescent="0.25">
      <c r="A8108">
        <v>20190131</v>
      </c>
      <c r="B8108">
        <v>2019</v>
      </c>
      <c r="C8108">
        <v>1</v>
      </c>
      <c r="D8108">
        <v>1</v>
      </c>
      <c r="E8108">
        <v>10330</v>
      </c>
      <c r="F8108">
        <v>93092.64</v>
      </c>
      <c r="G8108">
        <v>0</v>
      </c>
      <c r="H8108">
        <v>0</v>
      </c>
      <c r="I8108">
        <v>0</v>
      </c>
      <c r="J8108">
        <v>0</v>
      </c>
      <c r="K8108">
        <v>0</v>
      </c>
      <c r="L8108">
        <v>8652759.6999999993</v>
      </c>
      <c r="M8108">
        <v>8652759.6999999993</v>
      </c>
      <c r="N8108">
        <v>8652759.6999999993</v>
      </c>
      <c r="O8108">
        <v>8652759.6999999993</v>
      </c>
      <c r="P8108">
        <v>8652759.6999999993</v>
      </c>
      <c r="Q8108">
        <v>8652759.6999999993</v>
      </c>
      <c r="R8108" s="14">
        <f>_xlfn.XLOOKUP(Table2[[#This Row],[LoanID]],Table1[G-L ID],Table1[ManagerCode],-99)</f>
        <v>119</v>
      </c>
      <c r="T8108"/>
    </row>
    <row r="8109" spans="1:20" x14ac:dyDescent="0.25">
      <c r="A8109">
        <v>20190131</v>
      </c>
      <c r="B8109">
        <v>2019</v>
      </c>
      <c r="C8109">
        <v>1</v>
      </c>
      <c r="D8109">
        <v>1</v>
      </c>
      <c r="E8109">
        <v>10360</v>
      </c>
      <c r="F8109">
        <v>57858.96</v>
      </c>
      <c r="G8109">
        <v>0</v>
      </c>
      <c r="H8109">
        <v>0</v>
      </c>
      <c r="I8109">
        <v>0</v>
      </c>
      <c r="J8109">
        <v>0</v>
      </c>
      <c r="K8109">
        <v>0</v>
      </c>
      <c r="L8109">
        <v>5909000</v>
      </c>
      <c r="M8109">
        <v>5909000</v>
      </c>
      <c r="N8109">
        <v>5909000</v>
      </c>
      <c r="O8109">
        <v>5909000</v>
      </c>
      <c r="P8109">
        <v>5909000</v>
      </c>
      <c r="Q8109">
        <v>5909000</v>
      </c>
      <c r="R8109" s="14">
        <f>_xlfn.XLOOKUP(Table2[[#This Row],[LoanID]],Table1[G-L ID],Table1[ManagerCode],-99)</f>
        <v>183</v>
      </c>
      <c r="T8109"/>
    </row>
    <row r="8110" spans="1:20" x14ac:dyDescent="0.25">
      <c r="A8110">
        <v>20190131</v>
      </c>
      <c r="B8110">
        <v>2019</v>
      </c>
      <c r="C8110">
        <v>1</v>
      </c>
      <c r="D8110">
        <v>1</v>
      </c>
      <c r="E8110">
        <v>10730</v>
      </c>
      <c r="F8110">
        <v>116409.57</v>
      </c>
      <c r="G8110">
        <v>0</v>
      </c>
      <c r="H8110">
        <v>0</v>
      </c>
      <c r="I8110">
        <v>0</v>
      </c>
      <c r="J8110">
        <v>0</v>
      </c>
      <c r="K8110">
        <v>0</v>
      </c>
      <c r="L8110">
        <v>9500000</v>
      </c>
      <c r="M8110">
        <v>9500000</v>
      </c>
      <c r="N8110">
        <v>9500000</v>
      </c>
      <c r="O8110">
        <v>9500000</v>
      </c>
      <c r="P8110">
        <v>9500000</v>
      </c>
      <c r="Q8110">
        <v>9500000</v>
      </c>
      <c r="R8110" s="14">
        <f>_xlfn.XLOOKUP(Table2[[#This Row],[LoanID]],Table1[G-L ID],Table1[ManagerCode],-99)</f>
        <v>119</v>
      </c>
      <c r="T8110"/>
    </row>
    <row r="8111" spans="1:20" x14ac:dyDescent="0.25">
      <c r="A8111">
        <v>20190131</v>
      </c>
      <c r="B8111">
        <v>2019</v>
      </c>
      <c r="C8111">
        <v>1</v>
      </c>
      <c r="D8111">
        <v>1</v>
      </c>
      <c r="E8111">
        <v>10790</v>
      </c>
      <c r="F8111">
        <v>20763.95</v>
      </c>
      <c r="G8111">
        <v>0</v>
      </c>
      <c r="H8111">
        <v>0</v>
      </c>
      <c r="I8111">
        <v>0</v>
      </c>
      <c r="J8111">
        <v>0</v>
      </c>
      <c r="K8111">
        <v>48704.3</v>
      </c>
      <c r="L8111">
        <v>4518659</v>
      </c>
      <c r="M8111">
        <v>4463412</v>
      </c>
      <c r="N8111">
        <v>4518659</v>
      </c>
      <c r="O8111">
        <v>4463412</v>
      </c>
      <c r="P8111">
        <v>4433582.72</v>
      </c>
      <c r="Q8111">
        <v>4384878.42</v>
      </c>
      <c r="R8111" s="14">
        <f>_xlfn.XLOOKUP(Table2[[#This Row],[LoanID]],Table1[G-L ID],Table1[ManagerCode],-99)</f>
        <v>103</v>
      </c>
      <c r="T8111"/>
    </row>
    <row r="8112" spans="1:20" x14ac:dyDescent="0.25">
      <c r="A8112">
        <v>20190131</v>
      </c>
      <c r="B8112">
        <v>2019</v>
      </c>
      <c r="C8112">
        <v>1</v>
      </c>
      <c r="D8112">
        <v>1</v>
      </c>
      <c r="E8112">
        <v>10810</v>
      </c>
      <c r="F8112">
        <v>99349.69</v>
      </c>
      <c r="G8112">
        <v>0</v>
      </c>
      <c r="H8112">
        <v>0</v>
      </c>
      <c r="I8112">
        <v>0</v>
      </c>
      <c r="J8112">
        <v>0</v>
      </c>
      <c r="K8112">
        <v>0</v>
      </c>
      <c r="L8112">
        <v>8046792.8399999999</v>
      </c>
      <c r="M8112">
        <v>8046792.8399999999</v>
      </c>
      <c r="N8112">
        <v>8046792.8399999999</v>
      </c>
      <c r="O8112">
        <v>8046792.8399999999</v>
      </c>
      <c r="P8112">
        <v>8046792.8399999999</v>
      </c>
      <c r="Q8112">
        <v>8046792.8399999999</v>
      </c>
      <c r="R8112" s="14">
        <f>_xlfn.XLOOKUP(Table2[[#This Row],[LoanID]],Table1[G-L ID],Table1[ManagerCode],-99)</f>
        <v>119</v>
      </c>
      <c r="T8112"/>
    </row>
    <row r="8113" spans="1:20" x14ac:dyDescent="0.25">
      <c r="A8113">
        <v>20190131</v>
      </c>
      <c r="B8113">
        <v>2019</v>
      </c>
      <c r="C8113">
        <v>1</v>
      </c>
      <c r="D8113">
        <v>1</v>
      </c>
      <c r="E8113">
        <v>10820</v>
      </c>
      <c r="F8113">
        <v>208016.73</v>
      </c>
      <c r="G8113">
        <v>0</v>
      </c>
      <c r="H8113">
        <v>0</v>
      </c>
      <c r="I8113">
        <v>0</v>
      </c>
      <c r="J8113">
        <v>0</v>
      </c>
      <c r="K8113">
        <v>0</v>
      </c>
      <c r="L8113">
        <v>25428191.27</v>
      </c>
      <c r="M8113">
        <v>25428191.27</v>
      </c>
      <c r="N8113">
        <v>25428191.27</v>
      </c>
      <c r="O8113">
        <v>25428191.27</v>
      </c>
      <c r="P8113">
        <v>25428191.27</v>
      </c>
      <c r="Q8113">
        <v>25428191.27</v>
      </c>
      <c r="R8113" s="14">
        <f>_xlfn.XLOOKUP(Table2[[#This Row],[LoanID]],Table1[G-L ID],Table1[ManagerCode],-99)</f>
        <v>220</v>
      </c>
      <c r="T8113"/>
    </row>
    <row r="8114" spans="1:20" x14ac:dyDescent="0.25">
      <c r="A8114">
        <v>20190131</v>
      </c>
      <c r="B8114">
        <v>2019</v>
      </c>
      <c r="C8114">
        <v>1</v>
      </c>
      <c r="D8114">
        <v>1</v>
      </c>
      <c r="E8114">
        <v>10830</v>
      </c>
      <c r="F8114">
        <v>63857.77</v>
      </c>
      <c r="G8114">
        <v>0</v>
      </c>
      <c r="H8114">
        <v>0</v>
      </c>
      <c r="I8114">
        <v>0</v>
      </c>
      <c r="J8114">
        <v>0</v>
      </c>
      <c r="K8114">
        <v>0</v>
      </c>
      <c r="L8114">
        <v>7806043.1399999997</v>
      </c>
      <c r="M8114">
        <v>7806043.1399999997</v>
      </c>
      <c r="N8114">
        <v>7806043.1399999997</v>
      </c>
      <c r="O8114">
        <v>7806043.1399999997</v>
      </c>
      <c r="P8114">
        <v>7806043.1399999997</v>
      </c>
      <c r="Q8114">
        <v>7806043.1399999997</v>
      </c>
      <c r="R8114" s="14">
        <f>_xlfn.XLOOKUP(Table2[[#This Row],[LoanID]],Table1[G-L ID],Table1[ManagerCode],-99)</f>
        <v>220</v>
      </c>
      <c r="T8114"/>
    </row>
    <row r="8115" spans="1:20" x14ac:dyDescent="0.25">
      <c r="A8115">
        <v>20190131</v>
      </c>
      <c r="B8115">
        <v>2019</v>
      </c>
      <c r="C8115">
        <v>1</v>
      </c>
      <c r="D8115">
        <v>1</v>
      </c>
      <c r="E8115">
        <v>10840</v>
      </c>
      <c r="F8115">
        <v>103968.23</v>
      </c>
      <c r="G8115">
        <v>0</v>
      </c>
      <c r="H8115">
        <v>0</v>
      </c>
      <c r="I8115">
        <v>0</v>
      </c>
      <c r="J8115">
        <v>0</v>
      </c>
      <c r="K8115">
        <v>0</v>
      </c>
      <c r="L8115">
        <v>12709189</v>
      </c>
      <c r="M8115">
        <v>12709189</v>
      </c>
      <c r="N8115">
        <v>12709189</v>
      </c>
      <c r="O8115">
        <v>12709189</v>
      </c>
      <c r="P8115">
        <v>12709189</v>
      </c>
      <c r="Q8115">
        <v>12709189</v>
      </c>
      <c r="R8115" s="14">
        <f>_xlfn.XLOOKUP(Table2[[#This Row],[LoanID]],Table1[G-L ID],Table1[ManagerCode],-99)</f>
        <v>220</v>
      </c>
      <c r="T8115"/>
    </row>
    <row r="8116" spans="1:20" x14ac:dyDescent="0.25">
      <c r="A8116">
        <v>20190131</v>
      </c>
      <c r="B8116">
        <v>2019</v>
      </c>
      <c r="C8116">
        <v>1</v>
      </c>
      <c r="D8116">
        <v>1</v>
      </c>
      <c r="E8116">
        <v>10910</v>
      </c>
      <c r="F8116">
        <v>234061.37</v>
      </c>
      <c r="G8116">
        <v>0</v>
      </c>
      <c r="H8116">
        <v>0</v>
      </c>
      <c r="I8116">
        <v>0</v>
      </c>
      <c r="J8116">
        <v>0</v>
      </c>
      <c r="K8116">
        <v>7425000</v>
      </c>
      <c r="L8116">
        <v>10500000</v>
      </c>
      <c r="M8116">
        <v>3075000</v>
      </c>
      <c r="N8116">
        <v>10500000</v>
      </c>
      <c r="O8116">
        <v>3075000</v>
      </c>
      <c r="P8116">
        <v>10500000</v>
      </c>
      <c r="Q8116">
        <v>3075000</v>
      </c>
      <c r="R8116" s="14">
        <f>_xlfn.XLOOKUP(Table2[[#This Row],[LoanID]],Table1[G-L ID],Table1[ManagerCode],-99)</f>
        <v>119</v>
      </c>
      <c r="T8116"/>
    </row>
    <row r="8117" spans="1:20" x14ac:dyDescent="0.25">
      <c r="A8117">
        <v>20190131</v>
      </c>
      <c r="B8117">
        <v>2019</v>
      </c>
      <c r="C8117">
        <v>1</v>
      </c>
      <c r="D8117">
        <v>1</v>
      </c>
      <c r="E8117">
        <v>10970</v>
      </c>
      <c r="F8117">
        <v>27606.560000000001</v>
      </c>
      <c r="G8117">
        <v>29907.1</v>
      </c>
      <c r="H8117">
        <v>0</v>
      </c>
      <c r="I8117">
        <v>0</v>
      </c>
      <c r="J8117">
        <v>0</v>
      </c>
      <c r="K8117">
        <v>0</v>
      </c>
      <c r="L8117">
        <v>5530234.9400000004</v>
      </c>
      <c r="M8117">
        <v>5560142.04</v>
      </c>
      <c r="N8117">
        <v>5530234.9400000004</v>
      </c>
      <c r="O8117">
        <v>5560142.04</v>
      </c>
      <c r="P8117">
        <v>5530234.9400000004</v>
      </c>
      <c r="Q8117">
        <v>5560142.04</v>
      </c>
      <c r="R8117" s="14">
        <f>_xlfn.XLOOKUP(Table2[[#This Row],[LoanID]],Table1[G-L ID],Table1[ManagerCode],-99)</f>
        <v>183</v>
      </c>
      <c r="T8117"/>
    </row>
    <row r="8118" spans="1:20" x14ac:dyDescent="0.25">
      <c r="A8118">
        <v>20190131</v>
      </c>
      <c r="B8118">
        <v>2019</v>
      </c>
      <c r="C8118">
        <v>1</v>
      </c>
      <c r="D8118">
        <v>1</v>
      </c>
      <c r="E8118">
        <v>11060</v>
      </c>
      <c r="F8118">
        <v>223073.3</v>
      </c>
      <c r="G8118">
        <v>0</v>
      </c>
      <c r="H8118">
        <v>0</v>
      </c>
      <c r="I8118">
        <v>0</v>
      </c>
      <c r="J8118">
        <v>0</v>
      </c>
      <c r="K8118">
        <v>0</v>
      </c>
      <c r="L8118">
        <v>22000000</v>
      </c>
      <c r="M8118">
        <v>22000000</v>
      </c>
      <c r="N8118">
        <v>22000000</v>
      </c>
      <c r="O8118">
        <v>22000000</v>
      </c>
      <c r="P8118">
        <v>22000000</v>
      </c>
      <c r="Q8118">
        <v>22000000</v>
      </c>
      <c r="R8118" s="14">
        <f>_xlfn.XLOOKUP(Table2[[#This Row],[LoanID]],Table1[G-L ID],Table1[ManagerCode],-99)</f>
        <v>119</v>
      </c>
      <c r="T8118"/>
    </row>
    <row r="8119" spans="1:20" x14ac:dyDescent="0.25">
      <c r="A8119">
        <v>20190131</v>
      </c>
      <c r="B8119">
        <v>2019</v>
      </c>
      <c r="C8119">
        <v>1</v>
      </c>
      <c r="D8119">
        <v>1</v>
      </c>
      <c r="E8119">
        <v>11080</v>
      </c>
      <c r="F8119">
        <v>-9211.4699999999993</v>
      </c>
      <c r="G8119">
        <v>0</v>
      </c>
      <c r="H8119">
        <v>0</v>
      </c>
      <c r="I8119">
        <v>0</v>
      </c>
      <c r="J8119">
        <v>0</v>
      </c>
      <c r="K8119">
        <v>61919.27</v>
      </c>
      <c r="L8119">
        <v>38451868.549999997</v>
      </c>
      <c r="M8119">
        <v>38389949.280000001</v>
      </c>
      <c r="N8119">
        <v>38451868.549999997</v>
      </c>
      <c r="O8119">
        <v>38389949.280000001</v>
      </c>
      <c r="P8119">
        <v>38451868.549999997</v>
      </c>
      <c r="Q8119">
        <v>38389949.280000001</v>
      </c>
      <c r="R8119" s="14">
        <f>_xlfn.XLOOKUP(Table2[[#This Row],[LoanID]],Table1[G-L ID],Table1[ManagerCode],-99)</f>
        <v>119</v>
      </c>
      <c r="T8119"/>
    </row>
    <row r="8120" spans="1:20" x14ac:dyDescent="0.25">
      <c r="A8120">
        <v>20190131</v>
      </c>
      <c r="B8120">
        <v>2019</v>
      </c>
      <c r="C8120">
        <v>1</v>
      </c>
      <c r="D8120">
        <v>1</v>
      </c>
      <c r="E8120">
        <v>11150</v>
      </c>
      <c r="F8120">
        <v>122626.02</v>
      </c>
      <c r="G8120">
        <v>0</v>
      </c>
      <c r="H8120">
        <v>0</v>
      </c>
      <c r="I8120">
        <v>0</v>
      </c>
      <c r="J8120">
        <v>0</v>
      </c>
      <c r="K8120">
        <v>0</v>
      </c>
      <c r="L8120">
        <v>9762841.5600000005</v>
      </c>
      <c r="M8120">
        <v>9762841.5600000005</v>
      </c>
      <c r="N8120">
        <v>9762841.5600000005</v>
      </c>
      <c r="O8120">
        <v>9762841.5600000005</v>
      </c>
      <c r="P8120">
        <v>9762841.5600000005</v>
      </c>
      <c r="Q8120">
        <v>9762841.5600000005</v>
      </c>
      <c r="R8120" s="14">
        <f>_xlfn.XLOOKUP(Table2[[#This Row],[LoanID]],Table1[G-L ID],Table1[ManagerCode],-99)</f>
        <v>119</v>
      </c>
      <c r="T8120"/>
    </row>
    <row r="8121" spans="1:20" x14ac:dyDescent="0.25">
      <c r="A8121">
        <v>20190131</v>
      </c>
      <c r="B8121">
        <v>2019</v>
      </c>
      <c r="C8121">
        <v>1</v>
      </c>
      <c r="D8121">
        <v>1</v>
      </c>
      <c r="E8121">
        <v>11210</v>
      </c>
      <c r="F8121">
        <v>79503.8</v>
      </c>
      <c r="G8121">
        <v>0</v>
      </c>
      <c r="H8121">
        <v>0</v>
      </c>
      <c r="I8121">
        <v>0</v>
      </c>
      <c r="J8121">
        <v>0</v>
      </c>
      <c r="K8121">
        <v>0</v>
      </c>
      <c r="L8121">
        <v>9500000</v>
      </c>
      <c r="M8121">
        <v>9500000</v>
      </c>
      <c r="N8121">
        <v>9500000</v>
      </c>
      <c r="O8121">
        <v>9500000</v>
      </c>
      <c r="P8121">
        <v>9500000</v>
      </c>
      <c r="Q8121">
        <v>9500000</v>
      </c>
      <c r="R8121" s="14">
        <f>_xlfn.XLOOKUP(Table2[[#This Row],[LoanID]],Table1[G-L ID],Table1[ManagerCode],-99)</f>
        <v>119</v>
      </c>
      <c r="T8121"/>
    </row>
    <row r="8122" spans="1:20" x14ac:dyDescent="0.25">
      <c r="A8122">
        <v>20190131</v>
      </c>
      <c r="B8122">
        <v>2019</v>
      </c>
      <c r="C8122">
        <v>1</v>
      </c>
      <c r="D8122">
        <v>1</v>
      </c>
      <c r="E8122">
        <v>11340</v>
      </c>
      <c r="F8122">
        <v>286482.05</v>
      </c>
      <c r="G8122">
        <v>0</v>
      </c>
      <c r="H8122">
        <v>0</v>
      </c>
      <c r="I8122">
        <v>0</v>
      </c>
      <c r="J8122">
        <v>0</v>
      </c>
      <c r="K8122">
        <v>70306.02</v>
      </c>
      <c r="L8122">
        <v>51817081</v>
      </c>
      <c r="M8122">
        <v>51653700</v>
      </c>
      <c r="N8122">
        <v>51817081</v>
      </c>
      <c r="O8122">
        <v>51653700</v>
      </c>
      <c r="P8122">
        <v>47526975.689999998</v>
      </c>
      <c r="Q8122">
        <v>47456669.670000002</v>
      </c>
      <c r="R8122" s="14">
        <f>_xlfn.XLOOKUP(Table2[[#This Row],[LoanID]],Table1[G-L ID],Table1[ManagerCode],-99)</f>
        <v>103</v>
      </c>
      <c r="T8122"/>
    </row>
    <row r="8123" spans="1:20" x14ac:dyDescent="0.25">
      <c r="A8123">
        <v>20190131</v>
      </c>
      <c r="B8123">
        <v>2019</v>
      </c>
      <c r="C8123">
        <v>1</v>
      </c>
      <c r="D8123">
        <v>1</v>
      </c>
      <c r="E8123">
        <v>11360</v>
      </c>
      <c r="F8123">
        <v>82477.83</v>
      </c>
      <c r="G8123">
        <v>0</v>
      </c>
      <c r="H8123">
        <v>0</v>
      </c>
      <c r="I8123">
        <v>0</v>
      </c>
      <c r="J8123">
        <v>0</v>
      </c>
      <c r="K8123">
        <v>0</v>
      </c>
      <c r="L8123">
        <v>9355036</v>
      </c>
      <c r="M8123">
        <v>9355036</v>
      </c>
      <c r="N8123">
        <v>9355036</v>
      </c>
      <c r="O8123">
        <v>9355036</v>
      </c>
      <c r="P8123">
        <v>9355036</v>
      </c>
      <c r="Q8123">
        <v>9355036</v>
      </c>
      <c r="R8123" s="14">
        <f>_xlfn.XLOOKUP(Table2[[#This Row],[LoanID]],Table1[G-L ID],Table1[ManagerCode],-99)</f>
        <v>119</v>
      </c>
      <c r="T8123"/>
    </row>
    <row r="8124" spans="1:20" x14ac:dyDescent="0.25">
      <c r="A8124">
        <v>20190131</v>
      </c>
      <c r="B8124">
        <v>2019</v>
      </c>
      <c r="C8124">
        <v>1</v>
      </c>
      <c r="D8124">
        <v>1</v>
      </c>
      <c r="E8124">
        <v>11450</v>
      </c>
      <c r="F8124">
        <v>165399.89000000001</v>
      </c>
      <c r="G8124">
        <v>0</v>
      </c>
      <c r="H8124">
        <v>0</v>
      </c>
      <c r="I8124">
        <v>0</v>
      </c>
      <c r="J8124">
        <v>-286270.31</v>
      </c>
      <c r="K8124">
        <v>0</v>
      </c>
      <c r="L8124">
        <v>16872705.32</v>
      </c>
      <c r="M8124">
        <v>17158975.629999999</v>
      </c>
      <c r="N8124">
        <v>16872705.32</v>
      </c>
      <c r="O8124">
        <v>17158975.629999999</v>
      </c>
      <c r="P8124">
        <v>16872705.32</v>
      </c>
      <c r="Q8124">
        <v>17158975.629999999</v>
      </c>
      <c r="R8124" s="14">
        <f>_xlfn.XLOOKUP(Table2[[#This Row],[LoanID]],Table1[G-L ID],Table1[ManagerCode],-99)</f>
        <v>119</v>
      </c>
      <c r="T8124"/>
    </row>
    <row r="8125" spans="1:20" x14ac:dyDescent="0.25">
      <c r="A8125">
        <v>20190131</v>
      </c>
      <c r="B8125">
        <v>2019</v>
      </c>
      <c r="C8125">
        <v>1</v>
      </c>
      <c r="D8125">
        <v>1</v>
      </c>
      <c r="E8125">
        <v>11520</v>
      </c>
      <c r="F8125">
        <v>63547.37</v>
      </c>
      <c r="G8125">
        <v>0</v>
      </c>
      <c r="H8125">
        <v>0</v>
      </c>
      <c r="I8125">
        <v>0</v>
      </c>
      <c r="J8125">
        <v>0</v>
      </c>
      <c r="K8125">
        <v>0</v>
      </c>
      <c r="L8125">
        <v>6633419.1500000004</v>
      </c>
      <c r="M8125">
        <v>6633419.1500000004</v>
      </c>
      <c r="N8125">
        <v>6633419.1500000004</v>
      </c>
      <c r="O8125">
        <v>6633419.1500000004</v>
      </c>
      <c r="P8125">
        <v>6633419.1500000004</v>
      </c>
      <c r="Q8125">
        <v>6633419.1500000004</v>
      </c>
      <c r="R8125" s="14">
        <f>_xlfn.XLOOKUP(Table2[[#This Row],[LoanID]],Table1[G-L ID],Table1[ManagerCode],-99)</f>
        <v>119</v>
      </c>
      <c r="T8125"/>
    </row>
    <row r="8126" spans="1:20" x14ac:dyDescent="0.25">
      <c r="A8126">
        <v>20190131</v>
      </c>
      <c r="B8126">
        <v>2019</v>
      </c>
      <c r="C8126">
        <v>1</v>
      </c>
      <c r="D8126">
        <v>1</v>
      </c>
      <c r="E8126">
        <v>11530</v>
      </c>
      <c r="F8126">
        <v>125162.5</v>
      </c>
      <c r="G8126">
        <v>0</v>
      </c>
      <c r="H8126">
        <v>0</v>
      </c>
      <c r="I8126">
        <v>0</v>
      </c>
      <c r="J8126">
        <v>0</v>
      </c>
      <c r="K8126">
        <v>0</v>
      </c>
      <c r="L8126">
        <v>15000000</v>
      </c>
      <c r="M8126">
        <v>15000000</v>
      </c>
      <c r="N8126">
        <v>15000000</v>
      </c>
      <c r="O8126">
        <v>15000000</v>
      </c>
      <c r="P8126">
        <v>15000000</v>
      </c>
      <c r="Q8126">
        <v>15000000</v>
      </c>
      <c r="R8126" s="14">
        <f>_xlfn.XLOOKUP(Table2[[#This Row],[LoanID]],Table1[G-L ID],Table1[ManagerCode],-99)</f>
        <v>119</v>
      </c>
      <c r="T8126"/>
    </row>
    <row r="8127" spans="1:20" x14ac:dyDescent="0.25">
      <c r="A8127">
        <v>20190131</v>
      </c>
      <c r="B8127">
        <v>2019</v>
      </c>
      <c r="C8127">
        <v>1</v>
      </c>
      <c r="D8127">
        <v>1</v>
      </c>
      <c r="E8127">
        <v>11590</v>
      </c>
      <c r="F8127">
        <v>17001.43</v>
      </c>
      <c r="G8127">
        <v>0</v>
      </c>
      <c r="H8127">
        <v>0</v>
      </c>
      <c r="I8127">
        <v>0</v>
      </c>
      <c r="J8127">
        <v>0</v>
      </c>
      <c r="K8127">
        <v>0</v>
      </c>
      <c r="L8127">
        <v>1982289.13</v>
      </c>
      <c r="M8127">
        <v>1982289.13</v>
      </c>
      <c r="N8127">
        <v>1982289.13</v>
      </c>
      <c r="O8127">
        <v>1982289.13</v>
      </c>
      <c r="P8127">
        <v>1982289.13</v>
      </c>
      <c r="Q8127">
        <v>1982289.13</v>
      </c>
      <c r="R8127" s="14">
        <f>_xlfn.XLOOKUP(Table2[[#This Row],[LoanID]],Table1[G-L ID],Table1[ManagerCode],-99)</f>
        <v>119</v>
      </c>
      <c r="T8127"/>
    </row>
    <row r="8128" spans="1:20" x14ac:dyDescent="0.25">
      <c r="A8128">
        <v>20190131</v>
      </c>
      <c r="B8128">
        <v>2019</v>
      </c>
      <c r="C8128">
        <v>1</v>
      </c>
      <c r="D8128">
        <v>1</v>
      </c>
      <c r="E8128">
        <v>11680</v>
      </c>
      <c r="F8128">
        <v>50325.78</v>
      </c>
      <c r="G8128">
        <v>0</v>
      </c>
      <c r="H8128">
        <v>0</v>
      </c>
      <c r="I8128">
        <v>0</v>
      </c>
      <c r="J8128">
        <v>0</v>
      </c>
      <c r="K8128">
        <v>0</v>
      </c>
      <c r="L8128">
        <v>6600000</v>
      </c>
      <c r="M8128">
        <v>6600000</v>
      </c>
      <c r="N8128">
        <v>6600000</v>
      </c>
      <c r="O8128">
        <v>6600000</v>
      </c>
      <c r="P8128">
        <v>6600000</v>
      </c>
      <c r="Q8128">
        <v>6600000</v>
      </c>
      <c r="R8128" s="14">
        <f>_xlfn.XLOOKUP(Table2[[#This Row],[LoanID]],Table1[G-L ID],Table1[ManagerCode],-99)</f>
        <v>183</v>
      </c>
      <c r="T8128"/>
    </row>
    <row r="8129" spans="1:20" x14ac:dyDescent="0.25">
      <c r="A8129">
        <v>20190131</v>
      </c>
      <c r="B8129">
        <v>2019</v>
      </c>
      <c r="C8129">
        <v>1</v>
      </c>
      <c r="D8129">
        <v>1</v>
      </c>
      <c r="E8129">
        <v>11830</v>
      </c>
      <c r="F8129">
        <v>119049.31</v>
      </c>
      <c r="G8129">
        <v>0</v>
      </c>
      <c r="H8129">
        <v>0</v>
      </c>
      <c r="I8129">
        <v>0</v>
      </c>
      <c r="J8129">
        <v>0</v>
      </c>
      <c r="K8129">
        <v>0</v>
      </c>
      <c r="L8129">
        <v>11754070.109999999</v>
      </c>
      <c r="M8129">
        <v>11754070.109999999</v>
      </c>
      <c r="N8129">
        <v>11754070.109999999</v>
      </c>
      <c r="O8129">
        <v>11754070.109999999</v>
      </c>
      <c r="P8129">
        <v>11754070.109999999</v>
      </c>
      <c r="Q8129">
        <v>11754070.109999999</v>
      </c>
      <c r="R8129" s="14">
        <f>_xlfn.XLOOKUP(Table2[[#This Row],[LoanID]],Table1[G-L ID],Table1[ManagerCode],-99)</f>
        <v>119</v>
      </c>
      <c r="T8129"/>
    </row>
    <row r="8130" spans="1:20" x14ac:dyDescent="0.25">
      <c r="A8130">
        <v>20190131</v>
      </c>
      <c r="B8130">
        <v>2019</v>
      </c>
      <c r="C8130">
        <v>1</v>
      </c>
      <c r="D8130">
        <v>1</v>
      </c>
      <c r="E8130">
        <v>12180</v>
      </c>
      <c r="F8130">
        <v>260567.75</v>
      </c>
      <c r="G8130">
        <v>0</v>
      </c>
      <c r="H8130">
        <v>0</v>
      </c>
      <c r="I8130">
        <v>0</v>
      </c>
      <c r="J8130">
        <v>0</v>
      </c>
      <c r="K8130">
        <v>0</v>
      </c>
      <c r="L8130">
        <v>30400000</v>
      </c>
      <c r="M8130">
        <v>30400000</v>
      </c>
      <c r="N8130">
        <v>30400000</v>
      </c>
      <c r="O8130">
        <v>30400000</v>
      </c>
      <c r="P8130">
        <v>30393210.870000001</v>
      </c>
      <c r="Q8130">
        <v>30393210.870000001</v>
      </c>
      <c r="R8130" s="14">
        <f>_xlfn.XLOOKUP(Table2[[#This Row],[LoanID]],Table1[G-L ID],Table1[ManagerCode],-99)</f>
        <v>220</v>
      </c>
      <c r="T8130"/>
    </row>
    <row r="8131" spans="1:20" x14ac:dyDescent="0.25">
      <c r="A8131">
        <v>20190131</v>
      </c>
      <c r="B8131">
        <v>2019</v>
      </c>
      <c r="C8131">
        <v>1</v>
      </c>
      <c r="D8131">
        <v>1</v>
      </c>
      <c r="E8131">
        <v>12220</v>
      </c>
      <c r="F8131">
        <v>209278.64</v>
      </c>
      <c r="G8131">
        <v>0</v>
      </c>
      <c r="H8131">
        <v>0</v>
      </c>
      <c r="I8131">
        <v>0</v>
      </c>
      <c r="J8131">
        <v>0</v>
      </c>
      <c r="K8131">
        <v>0</v>
      </c>
      <c r="L8131">
        <v>54500000</v>
      </c>
      <c r="M8131">
        <v>54500000</v>
      </c>
      <c r="N8131">
        <v>27250000</v>
      </c>
      <c r="O8131">
        <v>27250000</v>
      </c>
      <c r="P8131">
        <v>54500000</v>
      </c>
      <c r="Q8131">
        <v>54500000</v>
      </c>
      <c r="R8131" s="14">
        <f>_xlfn.XLOOKUP(Table2[[#This Row],[LoanID]],Table1[G-L ID],Table1[ManagerCode],-99)</f>
        <v>183</v>
      </c>
      <c r="T8131"/>
    </row>
    <row r="8132" spans="1:20" x14ac:dyDescent="0.25">
      <c r="A8132">
        <v>20190131</v>
      </c>
      <c r="B8132">
        <v>2019</v>
      </c>
      <c r="C8132">
        <v>1</v>
      </c>
      <c r="D8132">
        <v>1</v>
      </c>
      <c r="E8132">
        <v>12250</v>
      </c>
      <c r="F8132">
        <v>110532.98</v>
      </c>
      <c r="G8132">
        <v>0</v>
      </c>
      <c r="H8132">
        <v>0</v>
      </c>
      <c r="I8132">
        <v>0</v>
      </c>
      <c r="J8132">
        <v>-1235459.17</v>
      </c>
      <c r="K8132">
        <v>0</v>
      </c>
      <c r="L8132">
        <v>11335294.34</v>
      </c>
      <c r="M8132">
        <v>12570753.51</v>
      </c>
      <c r="N8132">
        <v>11335294.34</v>
      </c>
      <c r="O8132">
        <v>12570753.51</v>
      </c>
      <c r="P8132">
        <v>11335294.34</v>
      </c>
      <c r="Q8132">
        <v>12570753.51</v>
      </c>
      <c r="R8132" s="14">
        <f>_xlfn.XLOOKUP(Table2[[#This Row],[LoanID]],Table1[G-L ID],Table1[ManagerCode],-99)</f>
        <v>119</v>
      </c>
      <c r="T8132"/>
    </row>
    <row r="8133" spans="1:20" x14ac:dyDescent="0.25">
      <c r="A8133">
        <v>20190131</v>
      </c>
      <c r="B8133">
        <v>2019</v>
      </c>
      <c r="C8133">
        <v>1</v>
      </c>
      <c r="D8133">
        <v>1</v>
      </c>
      <c r="E8133">
        <v>12260</v>
      </c>
      <c r="F8133">
        <v>161938.39000000001</v>
      </c>
      <c r="G8133">
        <v>0</v>
      </c>
      <c r="H8133">
        <v>0</v>
      </c>
      <c r="I8133">
        <v>0</v>
      </c>
      <c r="J8133">
        <v>0</v>
      </c>
      <c r="K8133">
        <v>0</v>
      </c>
      <c r="L8133">
        <v>17826854.199999999</v>
      </c>
      <c r="M8133">
        <v>17826854.199999999</v>
      </c>
      <c r="N8133">
        <v>17826854.199999999</v>
      </c>
      <c r="O8133">
        <v>17826854.199999999</v>
      </c>
      <c r="P8133">
        <v>17826854.199999999</v>
      </c>
      <c r="Q8133">
        <v>17826854.199999999</v>
      </c>
      <c r="R8133" s="14">
        <f>_xlfn.XLOOKUP(Table2[[#This Row],[LoanID]],Table1[G-L ID],Table1[ManagerCode],-99)</f>
        <v>119</v>
      </c>
      <c r="T8133"/>
    </row>
    <row r="8134" spans="1:20" x14ac:dyDescent="0.25">
      <c r="A8134">
        <v>20190131</v>
      </c>
      <c r="B8134">
        <v>2019</v>
      </c>
      <c r="C8134">
        <v>1</v>
      </c>
      <c r="D8134">
        <v>1</v>
      </c>
      <c r="E8134">
        <v>12270</v>
      </c>
      <c r="F8134">
        <v>7902.54</v>
      </c>
      <c r="G8134">
        <v>0</v>
      </c>
      <c r="H8134">
        <v>0</v>
      </c>
      <c r="I8134">
        <v>0</v>
      </c>
      <c r="J8134">
        <v>0</v>
      </c>
      <c r="K8134">
        <v>0</v>
      </c>
      <c r="L8134">
        <v>740032.81</v>
      </c>
      <c r="M8134">
        <v>740032.81</v>
      </c>
      <c r="N8134">
        <v>740032.81</v>
      </c>
      <c r="O8134">
        <v>740032.81</v>
      </c>
      <c r="P8134">
        <v>740032.81</v>
      </c>
      <c r="Q8134">
        <v>740032.81</v>
      </c>
      <c r="R8134" s="14">
        <f>_xlfn.XLOOKUP(Table2[[#This Row],[LoanID]],Table1[G-L ID],Table1[ManagerCode],-99)</f>
        <v>119</v>
      </c>
      <c r="T8134"/>
    </row>
    <row r="8135" spans="1:20" x14ac:dyDescent="0.25">
      <c r="A8135">
        <v>20190131</v>
      </c>
      <c r="B8135">
        <v>2019</v>
      </c>
      <c r="C8135">
        <v>1</v>
      </c>
      <c r="D8135">
        <v>1</v>
      </c>
      <c r="E8135">
        <v>12280</v>
      </c>
      <c r="F8135">
        <v>215063.47</v>
      </c>
      <c r="G8135">
        <v>0</v>
      </c>
      <c r="H8135">
        <v>0</v>
      </c>
      <c r="I8135">
        <v>0</v>
      </c>
      <c r="J8135">
        <v>-572919.46</v>
      </c>
      <c r="K8135">
        <v>0</v>
      </c>
      <c r="L8135">
        <v>22941900.16</v>
      </c>
      <c r="M8135">
        <v>23514819.620000001</v>
      </c>
      <c r="N8135">
        <v>22941900.16</v>
      </c>
      <c r="O8135">
        <v>23514819.620000001</v>
      </c>
      <c r="P8135">
        <v>22941900.16</v>
      </c>
      <c r="Q8135">
        <v>23514819.620000001</v>
      </c>
      <c r="R8135" s="14">
        <f>_xlfn.XLOOKUP(Table2[[#This Row],[LoanID]],Table1[G-L ID],Table1[ManagerCode],-99)</f>
        <v>119</v>
      </c>
      <c r="T8135"/>
    </row>
    <row r="8136" spans="1:20" x14ac:dyDescent="0.25">
      <c r="A8136">
        <v>20190131</v>
      </c>
      <c r="B8136">
        <v>2019</v>
      </c>
      <c r="C8136">
        <v>1</v>
      </c>
      <c r="D8136">
        <v>1</v>
      </c>
      <c r="E8136">
        <v>12290</v>
      </c>
      <c r="F8136">
        <v>220860.79</v>
      </c>
      <c r="G8136">
        <v>0</v>
      </c>
      <c r="H8136">
        <v>0</v>
      </c>
      <c r="I8136">
        <v>0</v>
      </c>
      <c r="J8136">
        <v>0</v>
      </c>
      <c r="K8136">
        <v>0</v>
      </c>
      <c r="L8136">
        <v>22750000</v>
      </c>
      <c r="M8136">
        <v>22750000</v>
      </c>
      <c r="N8136">
        <v>22750000</v>
      </c>
      <c r="O8136">
        <v>22750000</v>
      </c>
      <c r="P8136">
        <v>22750000</v>
      </c>
      <c r="Q8136">
        <v>22750000</v>
      </c>
      <c r="R8136" s="14">
        <f>_xlfn.XLOOKUP(Table2[[#This Row],[LoanID]],Table1[G-L ID],Table1[ManagerCode],-99)</f>
        <v>119</v>
      </c>
      <c r="T8136"/>
    </row>
    <row r="8137" spans="1:20" x14ac:dyDescent="0.25">
      <c r="A8137">
        <v>20190131</v>
      </c>
      <c r="B8137">
        <v>2019</v>
      </c>
      <c r="C8137">
        <v>1</v>
      </c>
      <c r="D8137">
        <v>1</v>
      </c>
      <c r="E8137">
        <v>12310</v>
      </c>
      <c r="F8137">
        <v>93973.4</v>
      </c>
      <c r="G8137">
        <v>0</v>
      </c>
      <c r="H8137">
        <v>0</v>
      </c>
      <c r="I8137">
        <v>0</v>
      </c>
      <c r="J8137">
        <v>0</v>
      </c>
      <c r="K8137">
        <v>0</v>
      </c>
      <c r="L8137">
        <v>13100000</v>
      </c>
      <c r="M8137">
        <v>13100000</v>
      </c>
      <c r="N8137">
        <v>13100000</v>
      </c>
      <c r="O8137">
        <v>13100000</v>
      </c>
      <c r="P8137">
        <v>13100000</v>
      </c>
      <c r="Q8137">
        <v>13100000</v>
      </c>
      <c r="R8137" s="14">
        <f>_xlfn.XLOOKUP(Table2[[#This Row],[LoanID]],Table1[G-L ID],Table1[ManagerCode],-99)</f>
        <v>119</v>
      </c>
      <c r="T8137"/>
    </row>
    <row r="8138" spans="1:20" x14ac:dyDescent="0.25">
      <c r="A8138">
        <v>20190131</v>
      </c>
      <c r="B8138">
        <v>2019</v>
      </c>
      <c r="C8138">
        <v>1</v>
      </c>
      <c r="D8138">
        <v>1</v>
      </c>
      <c r="E8138">
        <v>12330</v>
      </c>
      <c r="F8138">
        <v>226223.32</v>
      </c>
      <c r="G8138">
        <v>0</v>
      </c>
      <c r="H8138">
        <v>0</v>
      </c>
      <c r="I8138">
        <v>0</v>
      </c>
      <c r="J8138">
        <v>0</v>
      </c>
      <c r="K8138">
        <v>0</v>
      </c>
      <c r="L8138">
        <v>19976500</v>
      </c>
      <c r="M8138">
        <v>19976500</v>
      </c>
      <c r="N8138">
        <v>19976500</v>
      </c>
      <c r="O8138">
        <v>19976500</v>
      </c>
      <c r="P8138">
        <v>19976500</v>
      </c>
      <c r="Q8138">
        <v>19976500</v>
      </c>
      <c r="R8138" s="14">
        <f>_xlfn.XLOOKUP(Table2[[#This Row],[LoanID]],Table1[G-L ID],Table1[ManagerCode],-99)</f>
        <v>119</v>
      </c>
      <c r="T8138"/>
    </row>
    <row r="8139" spans="1:20" x14ac:dyDescent="0.25">
      <c r="A8139">
        <v>20190131</v>
      </c>
      <c r="B8139">
        <v>2019</v>
      </c>
      <c r="C8139">
        <v>1</v>
      </c>
      <c r="D8139">
        <v>1</v>
      </c>
      <c r="E8139">
        <v>12340</v>
      </c>
      <c r="F8139">
        <v>57761.05</v>
      </c>
      <c r="G8139">
        <v>0</v>
      </c>
      <c r="H8139">
        <v>0</v>
      </c>
      <c r="I8139">
        <v>0</v>
      </c>
      <c r="J8139">
        <v>0</v>
      </c>
      <c r="K8139">
        <v>0</v>
      </c>
      <c r="L8139">
        <v>24180000</v>
      </c>
      <c r="M8139">
        <v>24180000</v>
      </c>
      <c r="N8139">
        <v>12180000</v>
      </c>
      <c r="O8139">
        <v>12180000</v>
      </c>
      <c r="P8139">
        <v>24180000</v>
      </c>
      <c r="Q8139">
        <v>24180000</v>
      </c>
      <c r="R8139" s="14">
        <f>_xlfn.XLOOKUP(Table2[[#This Row],[LoanID]],Table1[G-L ID],Table1[ManagerCode],-99)</f>
        <v>183</v>
      </c>
      <c r="T8139"/>
    </row>
    <row r="8140" spans="1:20" x14ac:dyDescent="0.25">
      <c r="A8140">
        <v>20190131</v>
      </c>
      <c r="B8140">
        <v>2019</v>
      </c>
      <c r="C8140">
        <v>1</v>
      </c>
      <c r="D8140">
        <v>1</v>
      </c>
      <c r="E8140">
        <v>12350</v>
      </c>
      <c r="F8140">
        <v>223046.54</v>
      </c>
      <c r="G8140">
        <v>0</v>
      </c>
      <c r="H8140">
        <v>0</v>
      </c>
      <c r="I8140">
        <v>0</v>
      </c>
      <c r="J8140">
        <v>0</v>
      </c>
      <c r="K8140">
        <v>0</v>
      </c>
      <c r="L8140">
        <v>71882484.349999994</v>
      </c>
      <c r="M8140">
        <v>71882484.349999994</v>
      </c>
      <c r="N8140">
        <v>34382484.350000001</v>
      </c>
      <c r="O8140">
        <v>34382484.350000001</v>
      </c>
      <c r="P8140">
        <v>71882484.349999994</v>
      </c>
      <c r="Q8140">
        <v>71882484.349999994</v>
      </c>
      <c r="R8140" s="14">
        <f>_xlfn.XLOOKUP(Table2[[#This Row],[LoanID]],Table1[G-L ID],Table1[ManagerCode],-99)</f>
        <v>183</v>
      </c>
      <c r="T8140"/>
    </row>
    <row r="8141" spans="1:20" x14ac:dyDescent="0.25">
      <c r="A8141">
        <v>20190131</v>
      </c>
      <c r="B8141">
        <v>2019</v>
      </c>
      <c r="C8141">
        <v>1</v>
      </c>
      <c r="D8141">
        <v>1</v>
      </c>
      <c r="E8141">
        <v>12360</v>
      </c>
      <c r="F8141">
        <v>129083.82</v>
      </c>
      <c r="G8141">
        <v>0</v>
      </c>
      <c r="H8141">
        <v>0</v>
      </c>
      <c r="I8141">
        <v>0</v>
      </c>
      <c r="J8141">
        <v>0</v>
      </c>
      <c r="K8141">
        <v>0</v>
      </c>
      <c r="L8141">
        <v>60000000</v>
      </c>
      <c r="M8141">
        <v>60000000</v>
      </c>
      <c r="N8141">
        <v>19000000</v>
      </c>
      <c r="O8141">
        <v>19000000</v>
      </c>
      <c r="P8141">
        <v>60000000</v>
      </c>
      <c r="Q8141">
        <v>60000000</v>
      </c>
      <c r="R8141" s="14">
        <f>_xlfn.XLOOKUP(Table2[[#This Row],[LoanID]],Table1[G-L ID],Table1[ManagerCode],-99)</f>
        <v>183</v>
      </c>
      <c r="T8141"/>
    </row>
    <row r="8142" spans="1:20" x14ac:dyDescent="0.25">
      <c r="A8142">
        <v>20190131</v>
      </c>
      <c r="B8142">
        <v>2019</v>
      </c>
      <c r="C8142">
        <v>1</v>
      </c>
      <c r="D8142">
        <v>1</v>
      </c>
      <c r="E8142">
        <v>12370</v>
      </c>
      <c r="F8142">
        <v>373746.19</v>
      </c>
      <c r="G8142">
        <v>0</v>
      </c>
      <c r="H8142">
        <v>0</v>
      </c>
      <c r="I8142">
        <v>0</v>
      </c>
      <c r="J8142">
        <v>0</v>
      </c>
      <c r="K8142">
        <v>0</v>
      </c>
      <c r="L8142">
        <v>104000000</v>
      </c>
      <c r="M8142">
        <v>104000000</v>
      </c>
      <c r="N8142">
        <v>44000000</v>
      </c>
      <c r="O8142">
        <v>44000000</v>
      </c>
      <c r="P8142">
        <v>104000000</v>
      </c>
      <c r="Q8142">
        <v>104000000</v>
      </c>
      <c r="R8142" s="14">
        <f>_xlfn.XLOOKUP(Table2[[#This Row],[LoanID]],Table1[G-L ID],Table1[ManagerCode],-99)</f>
        <v>183</v>
      </c>
      <c r="T8142"/>
    </row>
    <row r="8143" spans="1:20" x14ac:dyDescent="0.25">
      <c r="A8143">
        <v>20190131</v>
      </c>
      <c r="B8143">
        <v>2019</v>
      </c>
      <c r="C8143">
        <v>1</v>
      </c>
      <c r="D8143">
        <v>1</v>
      </c>
      <c r="E8143">
        <v>12380</v>
      </c>
      <c r="F8143">
        <v>86403.73</v>
      </c>
      <c r="G8143">
        <v>0</v>
      </c>
      <c r="H8143">
        <v>0</v>
      </c>
      <c r="I8143">
        <v>0</v>
      </c>
      <c r="J8143">
        <v>0</v>
      </c>
      <c r="K8143">
        <v>0</v>
      </c>
      <c r="L8143">
        <v>32500000</v>
      </c>
      <c r="M8143">
        <v>32500000</v>
      </c>
      <c r="N8143">
        <v>12350000</v>
      </c>
      <c r="O8143">
        <v>12350000</v>
      </c>
      <c r="P8143">
        <v>32500000</v>
      </c>
      <c r="Q8143">
        <v>32500000</v>
      </c>
      <c r="R8143" s="14">
        <f>_xlfn.XLOOKUP(Table2[[#This Row],[LoanID]],Table1[G-L ID],Table1[ManagerCode],-99)</f>
        <v>183</v>
      </c>
      <c r="T8143"/>
    </row>
    <row r="8144" spans="1:20" x14ac:dyDescent="0.25">
      <c r="A8144">
        <v>20190131</v>
      </c>
      <c r="B8144">
        <v>2019</v>
      </c>
      <c r="C8144">
        <v>1</v>
      </c>
      <c r="D8144">
        <v>1</v>
      </c>
      <c r="E8144">
        <v>12390</v>
      </c>
      <c r="F8144">
        <v>806386.36</v>
      </c>
      <c r="G8144">
        <v>526100.56999999995</v>
      </c>
      <c r="H8144">
        <v>0</v>
      </c>
      <c r="I8144">
        <v>0</v>
      </c>
      <c r="J8144">
        <v>-5977071.5700000003</v>
      </c>
      <c r="K8144">
        <v>0</v>
      </c>
      <c r="L8144">
        <v>110555712.7</v>
      </c>
      <c r="M8144">
        <v>117058884.90000001</v>
      </c>
      <c r="N8144">
        <v>110555712.7</v>
      </c>
      <c r="O8144">
        <v>117058884.90000001</v>
      </c>
      <c r="P8144">
        <v>110555712.7</v>
      </c>
      <c r="Q8144">
        <v>117058884.90000001</v>
      </c>
      <c r="R8144" s="14">
        <f>_xlfn.XLOOKUP(Table2[[#This Row],[LoanID]],Table1[G-L ID],Table1[ManagerCode],-99)</f>
        <v>183</v>
      </c>
      <c r="T8144"/>
    </row>
    <row r="8145" spans="1:20" x14ac:dyDescent="0.25">
      <c r="A8145">
        <v>20190131</v>
      </c>
      <c r="B8145">
        <v>2019</v>
      </c>
      <c r="C8145">
        <v>1</v>
      </c>
      <c r="D8145">
        <v>1</v>
      </c>
      <c r="E8145">
        <v>12400</v>
      </c>
      <c r="F8145">
        <v>145440.19</v>
      </c>
      <c r="G8145">
        <v>123788.56</v>
      </c>
      <c r="H8145">
        <v>0</v>
      </c>
      <c r="I8145">
        <v>0</v>
      </c>
      <c r="J8145">
        <v>-2261984.04</v>
      </c>
      <c r="K8145">
        <v>0</v>
      </c>
      <c r="L8145">
        <v>29725040.93</v>
      </c>
      <c r="M8145">
        <v>32110813.530000001</v>
      </c>
      <c r="N8145">
        <v>29725040.93</v>
      </c>
      <c r="O8145">
        <v>32110813.530000001</v>
      </c>
      <c r="P8145">
        <v>29725040.93</v>
      </c>
      <c r="Q8145">
        <v>32110813.530000001</v>
      </c>
      <c r="R8145" s="14">
        <f>_xlfn.XLOOKUP(Table2[[#This Row],[LoanID]],Table1[G-L ID],Table1[ManagerCode],-99)</f>
        <v>183</v>
      </c>
      <c r="T8145"/>
    </row>
    <row r="8146" spans="1:20" x14ac:dyDescent="0.25">
      <c r="A8146">
        <v>20190131</v>
      </c>
      <c r="B8146">
        <v>2019</v>
      </c>
      <c r="C8146">
        <v>1</v>
      </c>
      <c r="D8146">
        <v>1</v>
      </c>
      <c r="E8146">
        <v>12410</v>
      </c>
      <c r="F8146">
        <v>327643.08</v>
      </c>
      <c r="G8146">
        <v>262114.46</v>
      </c>
      <c r="H8146">
        <v>0</v>
      </c>
      <c r="I8146">
        <v>0</v>
      </c>
      <c r="J8146">
        <v>0</v>
      </c>
      <c r="K8146">
        <v>0</v>
      </c>
      <c r="L8146">
        <v>74702623</v>
      </c>
      <c r="M8146">
        <v>74951632</v>
      </c>
      <c r="N8146">
        <v>74702623</v>
      </c>
      <c r="O8146">
        <v>74951632</v>
      </c>
      <c r="P8146">
        <v>79601920.200000003</v>
      </c>
      <c r="Q8146">
        <v>79864034.659999996</v>
      </c>
      <c r="R8146" s="14">
        <f>_xlfn.XLOOKUP(Table2[[#This Row],[LoanID]],Table1[G-L ID],Table1[ManagerCode],-99)</f>
        <v>103</v>
      </c>
      <c r="T8146"/>
    </row>
    <row r="8147" spans="1:20" x14ac:dyDescent="0.25">
      <c r="A8147">
        <v>20190131</v>
      </c>
      <c r="B8147">
        <v>2019</v>
      </c>
      <c r="C8147">
        <v>1</v>
      </c>
      <c r="D8147">
        <v>1</v>
      </c>
      <c r="E8147">
        <v>12430</v>
      </c>
      <c r="F8147">
        <v>83944.04</v>
      </c>
      <c r="G8147">
        <v>376494.57</v>
      </c>
      <c r="H8147">
        <v>0</v>
      </c>
      <c r="I8147">
        <v>0</v>
      </c>
      <c r="J8147">
        <v>-83944.04</v>
      </c>
      <c r="K8147">
        <v>0</v>
      </c>
      <c r="L8147">
        <v>22928927</v>
      </c>
      <c r="M8147">
        <v>23412816</v>
      </c>
      <c r="N8147">
        <v>22928927</v>
      </c>
      <c r="O8147">
        <v>23412816</v>
      </c>
      <c r="P8147">
        <v>25183210.989999998</v>
      </c>
      <c r="Q8147">
        <v>25643649.600000001</v>
      </c>
      <c r="R8147" s="14">
        <f>_xlfn.XLOOKUP(Table2[[#This Row],[LoanID]],Table1[G-L ID],Table1[ManagerCode],-99)</f>
        <v>103</v>
      </c>
      <c r="T8147"/>
    </row>
    <row r="8148" spans="1:20" x14ac:dyDescent="0.25">
      <c r="A8148">
        <v>20190131</v>
      </c>
      <c r="B8148">
        <v>2019</v>
      </c>
      <c r="C8148">
        <v>1</v>
      </c>
      <c r="D8148">
        <v>1</v>
      </c>
      <c r="E8148">
        <v>12440</v>
      </c>
      <c r="F8148">
        <v>29666.58</v>
      </c>
      <c r="G8148">
        <v>0</v>
      </c>
      <c r="H8148">
        <v>0</v>
      </c>
      <c r="I8148">
        <v>0</v>
      </c>
      <c r="J8148">
        <v>0</v>
      </c>
      <c r="K8148">
        <v>53699.69</v>
      </c>
      <c r="L8148">
        <v>3996499</v>
      </c>
      <c r="M8148">
        <v>3929379</v>
      </c>
      <c r="N8148">
        <v>3996499</v>
      </c>
      <c r="O8148">
        <v>3929379</v>
      </c>
      <c r="P8148">
        <v>3559989.52</v>
      </c>
      <c r="Q8148">
        <v>3506289.83</v>
      </c>
      <c r="R8148" s="14">
        <f>_xlfn.XLOOKUP(Table2[[#This Row],[LoanID]],Table1[G-L ID],Table1[ManagerCode],-99)</f>
        <v>103</v>
      </c>
      <c r="T8148"/>
    </row>
    <row r="8149" spans="1:20" x14ac:dyDescent="0.25">
      <c r="A8149">
        <v>20190131</v>
      </c>
      <c r="B8149">
        <v>2019</v>
      </c>
      <c r="C8149">
        <v>1</v>
      </c>
      <c r="D8149">
        <v>1</v>
      </c>
      <c r="E8149">
        <v>12450</v>
      </c>
      <c r="F8149">
        <v>49009.95</v>
      </c>
      <c r="G8149">
        <v>36226.370000000003</v>
      </c>
      <c r="H8149">
        <v>0</v>
      </c>
      <c r="I8149">
        <v>0</v>
      </c>
      <c r="J8149">
        <v>-868743.36</v>
      </c>
      <c r="K8149">
        <v>0</v>
      </c>
      <c r="L8149">
        <v>9253649.0399999991</v>
      </c>
      <c r="M8149">
        <v>10158618.77</v>
      </c>
      <c r="N8149">
        <v>9253649.0399999991</v>
      </c>
      <c r="O8149">
        <v>10158618.77</v>
      </c>
      <c r="P8149">
        <v>9253649.0399999991</v>
      </c>
      <c r="Q8149">
        <v>10158618.77</v>
      </c>
      <c r="R8149" s="14">
        <f>_xlfn.XLOOKUP(Table2[[#This Row],[LoanID]],Table1[G-L ID],Table1[ManagerCode],-99)</f>
        <v>183</v>
      </c>
      <c r="T8149"/>
    </row>
    <row r="8150" spans="1:20" x14ac:dyDescent="0.25">
      <c r="A8150">
        <v>20190131</v>
      </c>
      <c r="B8150">
        <v>2019</v>
      </c>
      <c r="C8150">
        <v>1</v>
      </c>
      <c r="D8150">
        <v>1</v>
      </c>
      <c r="E8150">
        <v>12460</v>
      </c>
      <c r="F8150">
        <v>42250</v>
      </c>
      <c r="G8150">
        <v>48135.06</v>
      </c>
      <c r="H8150">
        <v>0</v>
      </c>
      <c r="I8150">
        <v>0</v>
      </c>
      <c r="J8150">
        <v>0</v>
      </c>
      <c r="K8150">
        <v>0</v>
      </c>
      <c r="L8150">
        <v>9038505.8599999994</v>
      </c>
      <c r="M8150">
        <v>9086640.9199999999</v>
      </c>
      <c r="N8150">
        <v>9038505.8599999994</v>
      </c>
      <c r="O8150">
        <v>9086640.9199999999</v>
      </c>
      <c r="P8150">
        <v>9038505.8599999994</v>
      </c>
      <c r="Q8150">
        <v>9086640.9199999999</v>
      </c>
      <c r="R8150" s="14">
        <f>_xlfn.XLOOKUP(Table2[[#This Row],[LoanID]],Table1[G-L ID],Table1[ManagerCode],-99)</f>
        <v>183</v>
      </c>
      <c r="T8150"/>
    </row>
    <row r="8151" spans="1:20" x14ac:dyDescent="0.25">
      <c r="A8151">
        <v>20190131</v>
      </c>
      <c r="B8151">
        <v>2019</v>
      </c>
      <c r="C8151">
        <v>1</v>
      </c>
      <c r="D8151">
        <v>1</v>
      </c>
      <c r="E8151">
        <v>12470</v>
      </c>
      <c r="F8151">
        <v>340840.8</v>
      </c>
      <c r="G8151">
        <v>0</v>
      </c>
      <c r="H8151">
        <v>0</v>
      </c>
      <c r="I8151">
        <v>0</v>
      </c>
      <c r="J8151">
        <v>0</v>
      </c>
      <c r="K8151">
        <v>0</v>
      </c>
      <c r="L8151">
        <v>115000000</v>
      </c>
      <c r="M8151">
        <v>115000000</v>
      </c>
      <c r="N8151">
        <v>46000000</v>
      </c>
      <c r="O8151">
        <v>46000000</v>
      </c>
      <c r="P8151">
        <v>115000000</v>
      </c>
      <c r="Q8151">
        <v>115000000</v>
      </c>
      <c r="R8151" s="14">
        <f>_xlfn.XLOOKUP(Table2[[#This Row],[LoanID]],Table1[G-L ID],Table1[ManagerCode],-99)</f>
        <v>183</v>
      </c>
      <c r="T8151"/>
    </row>
    <row r="8152" spans="1:20" x14ac:dyDescent="0.25">
      <c r="A8152">
        <v>20190131</v>
      </c>
      <c r="B8152">
        <v>2019</v>
      </c>
      <c r="C8152">
        <v>1</v>
      </c>
      <c r="D8152">
        <v>1</v>
      </c>
      <c r="E8152">
        <v>12480</v>
      </c>
      <c r="F8152">
        <v>53541.63</v>
      </c>
      <c r="G8152">
        <v>0</v>
      </c>
      <c r="H8152">
        <v>0</v>
      </c>
      <c r="I8152">
        <v>0</v>
      </c>
      <c r="J8152">
        <v>0</v>
      </c>
      <c r="K8152">
        <v>9380000</v>
      </c>
      <c r="L8152">
        <v>19880000</v>
      </c>
      <c r="M8152">
        <v>0</v>
      </c>
      <c r="N8152">
        <v>9380000</v>
      </c>
      <c r="O8152">
        <v>0</v>
      </c>
      <c r="P8152">
        <v>19880000</v>
      </c>
      <c r="Q8152">
        <v>0</v>
      </c>
      <c r="R8152" s="14">
        <f>_xlfn.XLOOKUP(Table2[[#This Row],[LoanID]],Table1[G-L ID],Table1[ManagerCode],-99)</f>
        <v>183</v>
      </c>
      <c r="T8152"/>
    </row>
    <row r="8153" spans="1:20" x14ac:dyDescent="0.25">
      <c r="A8153">
        <v>20190131</v>
      </c>
      <c r="B8153">
        <v>2019</v>
      </c>
      <c r="C8153">
        <v>1</v>
      </c>
      <c r="D8153">
        <v>1</v>
      </c>
      <c r="E8153">
        <v>12490</v>
      </c>
      <c r="F8153">
        <v>137069.76000000001</v>
      </c>
      <c r="G8153">
        <v>0</v>
      </c>
      <c r="H8153">
        <v>0</v>
      </c>
      <c r="I8153">
        <v>0</v>
      </c>
      <c r="J8153">
        <v>0</v>
      </c>
      <c r="K8153">
        <v>0</v>
      </c>
      <c r="L8153">
        <v>50200000</v>
      </c>
      <c r="M8153">
        <v>50200000</v>
      </c>
      <c r="N8153">
        <v>19600000</v>
      </c>
      <c r="O8153">
        <v>19600000</v>
      </c>
      <c r="P8153">
        <v>50200000</v>
      </c>
      <c r="Q8153">
        <v>50200000</v>
      </c>
      <c r="R8153" s="14">
        <f>_xlfn.XLOOKUP(Table2[[#This Row],[LoanID]],Table1[G-L ID],Table1[ManagerCode],-99)</f>
        <v>183</v>
      </c>
      <c r="T8153"/>
    </row>
    <row r="8154" spans="1:20" x14ac:dyDescent="0.25">
      <c r="A8154">
        <v>20190131</v>
      </c>
      <c r="B8154">
        <v>2019</v>
      </c>
      <c r="C8154">
        <v>1</v>
      </c>
      <c r="D8154">
        <v>1</v>
      </c>
      <c r="E8154">
        <v>12510</v>
      </c>
      <c r="F8154">
        <v>338427.51</v>
      </c>
      <c r="G8154">
        <v>0</v>
      </c>
      <c r="H8154">
        <v>0</v>
      </c>
      <c r="I8154">
        <v>0</v>
      </c>
      <c r="J8154">
        <v>0</v>
      </c>
      <c r="K8154">
        <v>0</v>
      </c>
      <c r="L8154">
        <v>131500000</v>
      </c>
      <c r="M8154">
        <v>131500000</v>
      </c>
      <c r="N8154">
        <v>46025000</v>
      </c>
      <c r="O8154">
        <v>46025000</v>
      </c>
      <c r="P8154">
        <v>131500000</v>
      </c>
      <c r="Q8154">
        <v>131500000</v>
      </c>
      <c r="R8154" s="14">
        <f>_xlfn.XLOOKUP(Table2[[#This Row],[LoanID]],Table1[G-L ID],Table1[ManagerCode],-99)</f>
        <v>183</v>
      </c>
      <c r="T8154"/>
    </row>
    <row r="8155" spans="1:20" x14ac:dyDescent="0.25">
      <c r="A8155">
        <v>20190131</v>
      </c>
      <c r="B8155">
        <v>2019</v>
      </c>
      <c r="C8155">
        <v>1</v>
      </c>
      <c r="D8155">
        <v>1</v>
      </c>
      <c r="E8155">
        <v>12520</v>
      </c>
      <c r="F8155">
        <v>181925.06</v>
      </c>
      <c r="G8155">
        <v>0</v>
      </c>
      <c r="H8155">
        <v>0</v>
      </c>
      <c r="I8155">
        <v>0</v>
      </c>
      <c r="J8155">
        <v>0</v>
      </c>
      <c r="K8155">
        <v>0</v>
      </c>
      <c r="L8155">
        <v>45659580.329999998</v>
      </c>
      <c r="M8155">
        <v>45659580.329999998</v>
      </c>
      <c r="N8155">
        <v>20909580.329999998</v>
      </c>
      <c r="O8155">
        <v>20909580.329999998</v>
      </c>
      <c r="P8155">
        <v>45659580.329999998</v>
      </c>
      <c r="Q8155">
        <v>45659580.329999998</v>
      </c>
      <c r="R8155" s="14">
        <f>_xlfn.XLOOKUP(Table2[[#This Row],[LoanID]],Table1[G-L ID],Table1[ManagerCode],-99)</f>
        <v>183</v>
      </c>
      <c r="T8155"/>
    </row>
    <row r="8156" spans="1:20" x14ac:dyDescent="0.25">
      <c r="A8156">
        <v>20190131</v>
      </c>
      <c r="B8156">
        <v>2019</v>
      </c>
      <c r="C8156">
        <v>1</v>
      </c>
      <c r="D8156">
        <v>1</v>
      </c>
      <c r="E8156">
        <v>12530</v>
      </c>
      <c r="F8156">
        <v>165737.62</v>
      </c>
      <c r="G8156">
        <v>0</v>
      </c>
      <c r="H8156">
        <v>0</v>
      </c>
      <c r="I8156">
        <v>0</v>
      </c>
      <c r="J8156">
        <v>0</v>
      </c>
      <c r="K8156">
        <v>0</v>
      </c>
      <c r="L8156">
        <v>19875000</v>
      </c>
      <c r="M8156">
        <v>19875000</v>
      </c>
      <c r="N8156">
        <v>19875000</v>
      </c>
      <c r="O8156">
        <v>19875000</v>
      </c>
      <c r="P8156">
        <v>19875000</v>
      </c>
      <c r="Q8156">
        <v>19875000</v>
      </c>
      <c r="R8156" s="14">
        <f>_xlfn.XLOOKUP(Table2[[#This Row],[LoanID]],Table1[G-L ID],Table1[ManagerCode],-99)</f>
        <v>119</v>
      </c>
      <c r="T8156"/>
    </row>
    <row r="8157" spans="1:20" x14ac:dyDescent="0.25">
      <c r="A8157">
        <v>20190131</v>
      </c>
      <c r="B8157">
        <v>2019</v>
      </c>
      <c r="C8157">
        <v>1</v>
      </c>
      <c r="D8157">
        <v>1</v>
      </c>
      <c r="E8157">
        <v>12540</v>
      </c>
      <c r="F8157">
        <v>149622.1</v>
      </c>
      <c r="G8157">
        <v>0</v>
      </c>
      <c r="H8157">
        <v>0</v>
      </c>
      <c r="I8157">
        <v>0</v>
      </c>
      <c r="J8157">
        <v>0</v>
      </c>
      <c r="K8157">
        <v>0</v>
      </c>
      <c r="L8157">
        <v>15785271.65</v>
      </c>
      <c r="M8157">
        <v>15785271.65</v>
      </c>
      <c r="N8157">
        <v>15785271.65</v>
      </c>
      <c r="O8157">
        <v>15785271.65</v>
      </c>
      <c r="P8157">
        <v>15785271.65</v>
      </c>
      <c r="Q8157">
        <v>15785271.65</v>
      </c>
      <c r="R8157" s="14">
        <f>_xlfn.XLOOKUP(Table2[[#This Row],[LoanID]],Table1[G-L ID],Table1[ManagerCode],-99)</f>
        <v>119</v>
      </c>
      <c r="T8157"/>
    </row>
    <row r="8158" spans="1:20" x14ac:dyDescent="0.25">
      <c r="A8158">
        <v>20190131</v>
      </c>
      <c r="B8158">
        <v>2019</v>
      </c>
      <c r="C8158">
        <v>1</v>
      </c>
      <c r="D8158">
        <v>1</v>
      </c>
      <c r="E8158">
        <v>12550</v>
      </c>
      <c r="F8158">
        <v>79193.84</v>
      </c>
      <c r="G8158">
        <v>0</v>
      </c>
      <c r="H8158">
        <v>0</v>
      </c>
      <c r="I8158">
        <v>0</v>
      </c>
      <c r="J8158">
        <v>0</v>
      </c>
      <c r="K8158">
        <v>0</v>
      </c>
      <c r="L8158">
        <v>7416099.1500000004</v>
      </c>
      <c r="M8158">
        <v>7416099.1500000004</v>
      </c>
      <c r="N8158">
        <v>7416099.1500000004</v>
      </c>
      <c r="O8158">
        <v>7416099.1500000004</v>
      </c>
      <c r="P8158">
        <v>7416099.1500000004</v>
      </c>
      <c r="Q8158">
        <v>7416099.1500000004</v>
      </c>
      <c r="R8158" s="14">
        <f>_xlfn.XLOOKUP(Table2[[#This Row],[LoanID]],Table1[G-L ID],Table1[ManagerCode],-99)</f>
        <v>119</v>
      </c>
      <c r="T8158"/>
    </row>
    <row r="8159" spans="1:20" x14ac:dyDescent="0.25">
      <c r="A8159">
        <v>20190131</v>
      </c>
      <c r="B8159">
        <v>2019</v>
      </c>
      <c r="C8159">
        <v>1</v>
      </c>
      <c r="D8159">
        <v>1</v>
      </c>
      <c r="E8159">
        <v>12560</v>
      </c>
      <c r="F8159">
        <v>166507.65</v>
      </c>
      <c r="G8159">
        <v>0</v>
      </c>
      <c r="H8159">
        <v>0</v>
      </c>
      <c r="I8159">
        <v>0</v>
      </c>
      <c r="J8159">
        <v>-524103.71</v>
      </c>
      <c r="K8159">
        <v>0</v>
      </c>
      <c r="L8159">
        <v>20379767.690000001</v>
      </c>
      <c r="M8159">
        <v>20903871.399999999</v>
      </c>
      <c r="N8159">
        <v>20379767.690000001</v>
      </c>
      <c r="O8159">
        <v>20903871.399999999</v>
      </c>
      <c r="P8159">
        <v>20379767.690000001</v>
      </c>
      <c r="Q8159">
        <v>20903871.399999999</v>
      </c>
      <c r="R8159" s="14">
        <f>_xlfn.XLOOKUP(Table2[[#This Row],[LoanID]],Table1[G-L ID],Table1[ManagerCode],-99)</f>
        <v>119</v>
      </c>
      <c r="T8159"/>
    </row>
    <row r="8160" spans="1:20" x14ac:dyDescent="0.25">
      <c r="A8160">
        <v>20190131</v>
      </c>
      <c r="B8160">
        <v>2019</v>
      </c>
      <c r="C8160">
        <v>1</v>
      </c>
      <c r="D8160">
        <v>1</v>
      </c>
      <c r="E8160">
        <v>12570</v>
      </c>
      <c r="F8160">
        <v>99635.31</v>
      </c>
      <c r="G8160">
        <v>0</v>
      </c>
      <c r="H8160">
        <v>0</v>
      </c>
      <c r="I8160">
        <v>0</v>
      </c>
      <c r="J8160">
        <v>-232712.43</v>
      </c>
      <c r="K8160">
        <v>0</v>
      </c>
      <c r="L8160">
        <v>11008068.880000001</v>
      </c>
      <c r="M8160">
        <v>11240781.310000001</v>
      </c>
      <c r="N8160">
        <v>11008068.880000001</v>
      </c>
      <c r="O8160">
        <v>11240781.310000001</v>
      </c>
      <c r="P8160">
        <v>11008068.880000001</v>
      </c>
      <c r="Q8160">
        <v>11240781.310000001</v>
      </c>
      <c r="R8160" s="14">
        <f>_xlfn.XLOOKUP(Table2[[#This Row],[LoanID]],Table1[G-L ID],Table1[ManagerCode],-99)</f>
        <v>119</v>
      </c>
      <c r="T8160"/>
    </row>
    <row r="8161" spans="1:20" x14ac:dyDescent="0.25">
      <c r="A8161">
        <v>20190131</v>
      </c>
      <c r="B8161">
        <v>2019</v>
      </c>
      <c r="C8161">
        <v>1</v>
      </c>
      <c r="D8161">
        <v>1</v>
      </c>
      <c r="E8161">
        <v>12580</v>
      </c>
      <c r="F8161">
        <v>184026.33</v>
      </c>
      <c r="G8161">
        <v>0</v>
      </c>
      <c r="H8161">
        <v>0</v>
      </c>
      <c r="I8161">
        <v>0</v>
      </c>
      <c r="J8161">
        <v>0</v>
      </c>
      <c r="K8161">
        <v>0</v>
      </c>
      <c r="L8161">
        <v>18000000</v>
      </c>
      <c r="M8161">
        <v>18000000</v>
      </c>
      <c r="N8161">
        <v>18000000</v>
      </c>
      <c r="O8161">
        <v>18000000</v>
      </c>
      <c r="P8161">
        <v>18000000</v>
      </c>
      <c r="Q8161">
        <v>18000000</v>
      </c>
      <c r="R8161" s="14">
        <f>_xlfn.XLOOKUP(Table2[[#This Row],[LoanID]],Table1[G-L ID],Table1[ManagerCode],-99)</f>
        <v>119</v>
      </c>
      <c r="T8161"/>
    </row>
    <row r="8162" spans="1:20" x14ac:dyDescent="0.25">
      <c r="A8162">
        <v>20190131</v>
      </c>
      <c r="B8162">
        <v>2019</v>
      </c>
      <c r="C8162">
        <v>1</v>
      </c>
      <c r="D8162">
        <v>1</v>
      </c>
      <c r="E8162">
        <v>12590</v>
      </c>
      <c r="F8162">
        <v>72030.22</v>
      </c>
      <c r="G8162">
        <v>0</v>
      </c>
      <c r="H8162">
        <v>0</v>
      </c>
      <c r="I8162">
        <v>0</v>
      </c>
      <c r="J8162">
        <v>0</v>
      </c>
      <c r="K8162">
        <v>0</v>
      </c>
      <c r="L8162">
        <v>8000000</v>
      </c>
      <c r="M8162">
        <v>8000000</v>
      </c>
      <c r="N8162">
        <v>8000000</v>
      </c>
      <c r="O8162">
        <v>8000000</v>
      </c>
      <c r="P8162">
        <v>8000000</v>
      </c>
      <c r="Q8162">
        <v>8000000</v>
      </c>
      <c r="R8162" s="14">
        <f>_xlfn.XLOOKUP(Table2[[#This Row],[LoanID]],Table1[G-L ID],Table1[ManagerCode],-99)</f>
        <v>119</v>
      </c>
      <c r="T8162"/>
    </row>
    <row r="8163" spans="1:20" x14ac:dyDescent="0.25">
      <c r="A8163">
        <v>20190131</v>
      </c>
      <c r="B8163">
        <v>2019</v>
      </c>
      <c r="C8163">
        <v>1</v>
      </c>
      <c r="D8163">
        <v>1</v>
      </c>
      <c r="E8163">
        <v>12600</v>
      </c>
      <c r="F8163">
        <v>257023.58</v>
      </c>
      <c r="G8163">
        <v>0</v>
      </c>
      <c r="H8163">
        <v>0</v>
      </c>
      <c r="I8163">
        <v>0</v>
      </c>
      <c r="J8163">
        <v>0</v>
      </c>
      <c r="K8163">
        <v>0</v>
      </c>
      <c r="L8163">
        <v>27750000</v>
      </c>
      <c r="M8163">
        <v>27750000</v>
      </c>
      <c r="N8163">
        <v>27750000</v>
      </c>
      <c r="O8163">
        <v>27750000</v>
      </c>
      <c r="P8163">
        <v>27750000</v>
      </c>
      <c r="Q8163">
        <v>27750000</v>
      </c>
      <c r="R8163" s="14">
        <f>_xlfn.XLOOKUP(Table2[[#This Row],[LoanID]],Table1[G-L ID],Table1[ManagerCode],-99)</f>
        <v>119</v>
      </c>
      <c r="T8163"/>
    </row>
    <row r="8164" spans="1:20" x14ac:dyDescent="0.25">
      <c r="A8164">
        <v>20190131</v>
      </c>
      <c r="B8164">
        <v>2019</v>
      </c>
      <c r="C8164">
        <v>1</v>
      </c>
      <c r="D8164">
        <v>1</v>
      </c>
      <c r="E8164">
        <v>12610</v>
      </c>
      <c r="F8164">
        <v>83390.23</v>
      </c>
      <c r="G8164">
        <v>0</v>
      </c>
      <c r="H8164">
        <v>0</v>
      </c>
      <c r="I8164">
        <v>0</v>
      </c>
      <c r="J8164">
        <v>0</v>
      </c>
      <c r="K8164">
        <v>0</v>
      </c>
      <c r="L8164">
        <v>9058517.5</v>
      </c>
      <c r="M8164">
        <v>9058517.5</v>
      </c>
      <c r="N8164">
        <v>9058517.5</v>
      </c>
      <c r="O8164">
        <v>9058517.5</v>
      </c>
      <c r="P8164">
        <v>9058517.5</v>
      </c>
      <c r="Q8164">
        <v>9058517.5</v>
      </c>
      <c r="R8164" s="14">
        <f>_xlfn.XLOOKUP(Table2[[#This Row],[LoanID]],Table1[G-L ID],Table1[ManagerCode],-99)</f>
        <v>119</v>
      </c>
      <c r="T8164"/>
    </row>
    <row r="8165" spans="1:20" x14ac:dyDescent="0.25">
      <c r="A8165">
        <v>20190131</v>
      </c>
      <c r="B8165">
        <v>2019</v>
      </c>
      <c r="C8165">
        <v>1</v>
      </c>
      <c r="D8165">
        <v>1</v>
      </c>
      <c r="E8165">
        <v>12620</v>
      </c>
      <c r="F8165">
        <v>15435.83</v>
      </c>
      <c r="G8165">
        <v>0</v>
      </c>
      <c r="H8165">
        <v>0</v>
      </c>
      <c r="I8165">
        <v>0</v>
      </c>
      <c r="J8165">
        <v>0</v>
      </c>
      <c r="K8165">
        <v>0</v>
      </c>
      <c r="L8165">
        <v>1489651.56</v>
      </c>
      <c r="M8165">
        <v>1489651.56</v>
      </c>
      <c r="N8165">
        <v>1489651.56</v>
      </c>
      <c r="O8165">
        <v>1489651.56</v>
      </c>
      <c r="P8165">
        <v>1489651.56</v>
      </c>
      <c r="Q8165">
        <v>1489651.56</v>
      </c>
      <c r="R8165" s="14">
        <f>_xlfn.XLOOKUP(Table2[[#This Row],[LoanID]],Table1[G-L ID],Table1[ManagerCode],-99)</f>
        <v>119</v>
      </c>
      <c r="T8165"/>
    </row>
    <row r="8166" spans="1:20" x14ac:dyDescent="0.25">
      <c r="A8166">
        <v>20190131</v>
      </c>
      <c r="B8166">
        <v>2019</v>
      </c>
      <c r="C8166">
        <v>1</v>
      </c>
      <c r="D8166">
        <v>1</v>
      </c>
      <c r="E8166">
        <v>12630</v>
      </c>
      <c r="F8166">
        <v>123853.9</v>
      </c>
      <c r="G8166">
        <v>0</v>
      </c>
      <c r="H8166">
        <v>0</v>
      </c>
      <c r="I8166">
        <v>0</v>
      </c>
      <c r="J8166">
        <v>-79775.839999999997</v>
      </c>
      <c r="K8166">
        <v>0</v>
      </c>
      <c r="L8166">
        <v>13211200.35</v>
      </c>
      <c r="M8166">
        <v>13290976.189999999</v>
      </c>
      <c r="N8166">
        <v>13211200.35</v>
      </c>
      <c r="O8166">
        <v>13290976.189999999</v>
      </c>
      <c r="P8166">
        <v>13211200.35</v>
      </c>
      <c r="Q8166">
        <v>13290976.189999999</v>
      </c>
      <c r="R8166" s="14">
        <f>_xlfn.XLOOKUP(Table2[[#This Row],[LoanID]],Table1[G-L ID],Table1[ManagerCode],-99)</f>
        <v>119</v>
      </c>
      <c r="T8166"/>
    </row>
    <row r="8167" spans="1:20" x14ac:dyDescent="0.25">
      <c r="A8167">
        <v>20190131</v>
      </c>
      <c r="B8167">
        <v>2019</v>
      </c>
      <c r="C8167">
        <v>1</v>
      </c>
      <c r="D8167">
        <v>1</v>
      </c>
      <c r="E8167">
        <v>12640</v>
      </c>
      <c r="F8167">
        <v>104567.48</v>
      </c>
      <c r="G8167">
        <v>0</v>
      </c>
      <c r="H8167">
        <v>0</v>
      </c>
      <c r="I8167">
        <v>0</v>
      </c>
      <c r="J8167">
        <v>0</v>
      </c>
      <c r="K8167">
        <v>0</v>
      </c>
      <c r="L8167">
        <v>10945677.359999999</v>
      </c>
      <c r="M8167">
        <v>10945677.359999999</v>
      </c>
      <c r="N8167">
        <v>10945677.359999999</v>
      </c>
      <c r="O8167">
        <v>10945677.359999999</v>
      </c>
      <c r="P8167">
        <v>10945677.359999999</v>
      </c>
      <c r="Q8167">
        <v>10945677.359999999</v>
      </c>
      <c r="R8167" s="14">
        <f>_xlfn.XLOOKUP(Table2[[#This Row],[LoanID]],Table1[G-L ID],Table1[ManagerCode],-99)</f>
        <v>119</v>
      </c>
      <c r="T8167"/>
    </row>
    <row r="8168" spans="1:20" x14ac:dyDescent="0.25">
      <c r="A8168">
        <v>20190131</v>
      </c>
      <c r="B8168">
        <v>2019</v>
      </c>
      <c r="C8168">
        <v>1</v>
      </c>
      <c r="D8168">
        <v>1</v>
      </c>
      <c r="E8168">
        <v>12650</v>
      </c>
      <c r="F8168">
        <v>395066.75</v>
      </c>
      <c r="G8168">
        <v>0</v>
      </c>
      <c r="H8168">
        <v>0</v>
      </c>
      <c r="I8168">
        <v>0</v>
      </c>
      <c r="J8168">
        <v>0</v>
      </c>
      <c r="K8168">
        <v>0</v>
      </c>
      <c r="L8168">
        <v>123200000</v>
      </c>
      <c r="M8168">
        <v>123200000</v>
      </c>
      <c r="N8168">
        <v>49280000</v>
      </c>
      <c r="O8168">
        <v>49280000</v>
      </c>
      <c r="P8168">
        <v>123200000</v>
      </c>
      <c r="Q8168">
        <v>123200000</v>
      </c>
      <c r="R8168" s="14">
        <f>_xlfn.XLOOKUP(Table2[[#This Row],[LoanID]],Table1[G-L ID],Table1[ManagerCode],-99)</f>
        <v>183</v>
      </c>
      <c r="T8168"/>
    </row>
    <row r="8169" spans="1:20" x14ac:dyDescent="0.25">
      <c r="A8169">
        <v>20190131</v>
      </c>
      <c r="B8169">
        <v>2019</v>
      </c>
      <c r="C8169">
        <v>1</v>
      </c>
      <c r="D8169">
        <v>1</v>
      </c>
      <c r="E8169">
        <v>12660</v>
      </c>
      <c r="F8169">
        <v>120803.72</v>
      </c>
      <c r="G8169">
        <v>0</v>
      </c>
      <c r="H8169">
        <v>0</v>
      </c>
      <c r="I8169">
        <v>0</v>
      </c>
      <c r="J8169">
        <v>0</v>
      </c>
      <c r="K8169">
        <v>0</v>
      </c>
      <c r="L8169">
        <v>47000000</v>
      </c>
      <c r="M8169">
        <v>47000000</v>
      </c>
      <c r="N8169">
        <v>19000000</v>
      </c>
      <c r="O8169">
        <v>19000000</v>
      </c>
      <c r="P8169">
        <v>47000000</v>
      </c>
      <c r="Q8169">
        <v>47000000</v>
      </c>
      <c r="R8169" s="14">
        <f>_xlfn.XLOOKUP(Table2[[#This Row],[LoanID]],Table1[G-L ID],Table1[ManagerCode],-99)</f>
        <v>183</v>
      </c>
      <c r="T8169"/>
    </row>
    <row r="8170" spans="1:20" x14ac:dyDescent="0.25">
      <c r="A8170">
        <v>20190131</v>
      </c>
      <c r="B8170">
        <v>2019</v>
      </c>
      <c r="C8170">
        <v>1</v>
      </c>
      <c r="D8170">
        <v>1</v>
      </c>
      <c r="E8170">
        <v>12670</v>
      </c>
      <c r="F8170">
        <v>61414.01</v>
      </c>
      <c r="G8170">
        <v>0</v>
      </c>
      <c r="H8170">
        <v>0</v>
      </c>
      <c r="I8170">
        <v>0</v>
      </c>
      <c r="J8170">
        <v>0</v>
      </c>
      <c r="K8170">
        <v>0</v>
      </c>
      <c r="L8170">
        <v>15500000</v>
      </c>
      <c r="M8170">
        <v>15500000</v>
      </c>
      <c r="N8170">
        <v>7250000</v>
      </c>
      <c r="O8170">
        <v>7250000</v>
      </c>
      <c r="P8170">
        <v>15500000</v>
      </c>
      <c r="Q8170">
        <v>15500000</v>
      </c>
      <c r="R8170" s="14">
        <f>_xlfn.XLOOKUP(Table2[[#This Row],[LoanID]],Table1[G-L ID],Table1[ManagerCode],-99)</f>
        <v>183</v>
      </c>
      <c r="T8170"/>
    </row>
    <row r="8171" spans="1:20" x14ac:dyDescent="0.25">
      <c r="A8171">
        <v>20190131</v>
      </c>
      <c r="B8171">
        <v>2019</v>
      </c>
      <c r="C8171">
        <v>1</v>
      </c>
      <c r="D8171">
        <v>1</v>
      </c>
      <c r="E8171">
        <v>12680</v>
      </c>
      <c r="F8171">
        <v>156743.17000000001</v>
      </c>
      <c r="G8171">
        <v>0</v>
      </c>
      <c r="H8171">
        <v>0</v>
      </c>
      <c r="I8171">
        <v>0</v>
      </c>
      <c r="J8171">
        <v>0</v>
      </c>
      <c r="K8171">
        <v>0</v>
      </c>
      <c r="L8171">
        <v>16126000</v>
      </c>
      <c r="M8171">
        <v>16126000</v>
      </c>
      <c r="N8171">
        <v>16126000</v>
      </c>
      <c r="O8171">
        <v>16126000</v>
      </c>
      <c r="P8171">
        <v>16126000</v>
      </c>
      <c r="Q8171">
        <v>16126000</v>
      </c>
      <c r="R8171" s="14">
        <f>_xlfn.XLOOKUP(Table2[[#This Row],[LoanID]],Table1[G-L ID],Table1[ManagerCode],-99)</f>
        <v>119</v>
      </c>
      <c r="T8171"/>
    </row>
    <row r="8172" spans="1:20" x14ac:dyDescent="0.25">
      <c r="A8172">
        <v>20190131</v>
      </c>
      <c r="B8172">
        <v>2019</v>
      </c>
      <c r="C8172">
        <v>1</v>
      </c>
      <c r="D8172">
        <v>1</v>
      </c>
      <c r="E8172">
        <v>12690</v>
      </c>
      <c r="F8172">
        <v>99771.65</v>
      </c>
      <c r="G8172">
        <v>0</v>
      </c>
      <c r="H8172">
        <v>0</v>
      </c>
      <c r="I8172">
        <v>0</v>
      </c>
      <c r="J8172">
        <v>0</v>
      </c>
      <c r="K8172">
        <v>0</v>
      </c>
      <c r="L8172">
        <v>10175500</v>
      </c>
      <c r="M8172">
        <v>10175500</v>
      </c>
      <c r="N8172">
        <v>10175500</v>
      </c>
      <c r="O8172">
        <v>10175500</v>
      </c>
      <c r="P8172">
        <v>10175500</v>
      </c>
      <c r="Q8172">
        <v>10175500</v>
      </c>
      <c r="R8172" s="14">
        <f>_xlfn.XLOOKUP(Table2[[#This Row],[LoanID]],Table1[G-L ID],Table1[ManagerCode],-99)</f>
        <v>119</v>
      </c>
      <c r="T8172"/>
    </row>
    <row r="8173" spans="1:20" x14ac:dyDescent="0.25">
      <c r="A8173">
        <v>20190131</v>
      </c>
      <c r="B8173">
        <v>2019</v>
      </c>
      <c r="C8173">
        <v>1</v>
      </c>
      <c r="D8173">
        <v>1</v>
      </c>
      <c r="E8173">
        <v>12700</v>
      </c>
      <c r="F8173">
        <v>88836.39</v>
      </c>
      <c r="G8173">
        <v>0</v>
      </c>
      <c r="H8173">
        <v>0</v>
      </c>
      <c r="I8173">
        <v>0</v>
      </c>
      <c r="J8173">
        <v>0</v>
      </c>
      <c r="K8173">
        <v>11477272.73</v>
      </c>
      <c r="L8173">
        <v>11477272.73</v>
      </c>
      <c r="M8173">
        <v>0</v>
      </c>
      <c r="N8173">
        <v>11477272.73</v>
      </c>
      <c r="O8173">
        <v>0</v>
      </c>
      <c r="P8173">
        <v>11477272.73</v>
      </c>
      <c r="Q8173">
        <v>0</v>
      </c>
      <c r="R8173" s="14">
        <f>_xlfn.XLOOKUP(Table2[[#This Row],[LoanID]],Table1[G-L ID],Table1[ManagerCode],-99)</f>
        <v>119</v>
      </c>
      <c r="T8173"/>
    </row>
    <row r="8174" spans="1:20" x14ac:dyDescent="0.25">
      <c r="A8174">
        <v>20190131</v>
      </c>
      <c r="B8174">
        <v>2019</v>
      </c>
      <c r="C8174">
        <v>1</v>
      </c>
      <c r="D8174">
        <v>1</v>
      </c>
      <c r="E8174">
        <v>12710</v>
      </c>
      <c r="F8174">
        <v>95097.2</v>
      </c>
      <c r="G8174">
        <v>0</v>
      </c>
      <c r="H8174">
        <v>0</v>
      </c>
      <c r="I8174">
        <v>0</v>
      </c>
      <c r="J8174">
        <v>0</v>
      </c>
      <c r="K8174">
        <v>0</v>
      </c>
      <c r="L8174">
        <v>9738975</v>
      </c>
      <c r="M8174">
        <v>9738975</v>
      </c>
      <c r="N8174">
        <v>9738975</v>
      </c>
      <c r="O8174">
        <v>9738975</v>
      </c>
      <c r="P8174">
        <v>9738975</v>
      </c>
      <c r="Q8174">
        <v>9738975</v>
      </c>
      <c r="R8174" s="14">
        <f>_xlfn.XLOOKUP(Table2[[#This Row],[LoanID]],Table1[G-L ID],Table1[ManagerCode],-99)</f>
        <v>119</v>
      </c>
      <c r="T8174"/>
    </row>
    <row r="8175" spans="1:20" x14ac:dyDescent="0.25">
      <c r="A8175">
        <v>20190131</v>
      </c>
      <c r="B8175">
        <v>2019</v>
      </c>
      <c r="C8175">
        <v>1</v>
      </c>
      <c r="D8175">
        <v>1</v>
      </c>
      <c r="E8175">
        <v>12720</v>
      </c>
      <c r="F8175">
        <v>556808.11</v>
      </c>
      <c r="G8175">
        <v>0</v>
      </c>
      <c r="H8175">
        <v>0</v>
      </c>
      <c r="I8175">
        <v>0</v>
      </c>
      <c r="J8175">
        <v>0</v>
      </c>
      <c r="K8175">
        <v>0</v>
      </c>
      <c r="L8175">
        <v>193338957.69999999</v>
      </c>
      <c r="M8175">
        <v>193338957.69999999</v>
      </c>
      <c r="N8175">
        <v>91457957.700000003</v>
      </c>
      <c r="O8175">
        <v>91457957.700000003</v>
      </c>
      <c r="P8175">
        <v>193338957.69999999</v>
      </c>
      <c r="Q8175">
        <v>193338957.69999999</v>
      </c>
      <c r="R8175" s="14">
        <f>_xlfn.XLOOKUP(Table2[[#This Row],[LoanID]],Table1[G-L ID],Table1[ManagerCode],-99)</f>
        <v>183</v>
      </c>
      <c r="T8175"/>
    </row>
    <row r="8176" spans="1:20" x14ac:dyDescent="0.25">
      <c r="A8176">
        <v>20190131</v>
      </c>
      <c r="B8176">
        <v>2019</v>
      </c>
      <c r="C8176">
        <v>1</v>
      </c>
      <c r="D8176">
        <v>1</v>
      </c>
      <c r="E8176">
        <v>12730</v>
      </c>
      <c r="F8176">
        <v>85079.69</v>
      </c>
      <c r="G8176">
        <v>0</v>
      </c>
      <c r="H8176">
        <v>0</v>
      </c>
      <c r="I8176">
        <v>0</v>
      </c>
      <c r="J8176">
        <v>0</v>
      </c>
      <c r="K8176">
        <v>0</v>
      </c>
      <c r="L8176">
        <v>38460000</v>
      </c>
      <c r="M8176">
        <v>38460000</v>
      </c>
      <c r="N8176">
        <v>13460000</v>
      </c>
      <c r="O8176">
        <v>13460000</v>
      </c>
      <c r="P8176">
        <v>38460000</v>
      </c>
      <c r="Q8176">
        <v>38460000</v>
      </c>
      <c r="R8176" s="14">
        <f>_xlfn.XLOOKUP(Table2[[#This Row],[LoanID]],Table1[G-L ID],Table1[ManagerCode],-99)</f>
        <v>183</v>
      </c>
      <c r="T8176"/>
    </row>
    <row r="8177" spans="1:20" x14ac:dyDescent="0.25">
      <c r="A8177">
        <v>20190131</v>
      </c>
      <c r="B8177">
        <v>2019</v>
      </c>
      <c r="C8177">
        <v>1</v>
      </c>
      <c r="D8177">
        <v>1</v>
      </c>
      <c r="E8177">
        <v>12740</v>
      </c>
      <c r="F8177">
        <v>108869.79</v>
      </c>
      <c r="G8177">
        <v>69300.52</v>
      </c>
      <c r="H8177">
        <v>0</v>
      </c>
      <c r="I8177">
        <v>0</v>
      </c>
      <c r="J8177">
        <v>-747764.2</v>
      </c>
      <c r="K8177">
        <v>0</v>
      </c>
      <c r="L8177">
        <v>21738829.280000001</v>
      </c>
      <c r="M8177">
        <v>22555894</v>
      </c>
      <c r="N8177">
        <v>21738829.280000001</v>
      </c>
      <c r="O8177">
        <v>22555894</v>
      </c>
      <c r="P8177">
        <v>21738829.280000001</v>
      </c>
      <c r="Q8177">
        <v>22555894</v>
      </c>
      <c r="R8177" s="14">
        <f>_xlfn.XLOOKUP(Table2[[#This Row],[LoanID]],Table1[G-L ID],Table1[ManagerCode],-99)</f>
        <v>183</v>
      </c>
      <c r="T8177"/>
    </row>
    <row r="8178" spans="1:20" x14ac:dyDescent="0.25">
      <c r="A8178">
        <v>20190131</v>
      </c>
      <c r="B8178">
        <v>2019</v>
      </c>
      <c r="C8178">
        <v>1</v>
      </c>
      <c r="D8178">
        <v>1</v>
      </c>
      <c r="E8178">
        <v>12930</v>
      </c>
      <c r="F8178">
        <v>179884.36</v>
      </c>
      <c r="G8178">
        <v>0</v>
      </c>
      <c r="H8178">
        <v>0</v>
      </c>
      <c r="I8178">
        <v>0</v>
      </c>
      <c r="J8178">
        <v>0</v>
      </c>
      <c r="K8178">
        <v>0</v>
      </c>
      <c r="L8178">
        <v>19000000</v>
      </c>
      <c r="M8178">
        <v>19000000</v>
      </c>
      <c r="N8178">
        <v>19000000</v>
      </c>
      <c r="O8178">
        <v>19000000</v>
      </c>
      <c r="P8178">
        <v>19000000</v>
      </c>
      <c r="Q8178">
        <v>19000000</v>
      </c>
      <c r="R8178" s="14">
        <f>_xlfn.XLOOKUP(Table2[[#This Row],[LoanID]],Table1[G-L ID],Table1[ManagerCode],-99)</f>
        <v>119</v>
      </c>
      <c r="T8178"/>
    </row>
    <row r="8179" spans="1:20" x14ac:dyDescent="0.25">
      <c r="A8179">
        <v>20190131</v>
      </c>
      <c r="B8179">
        <v>2019</v>
      </c>
      <c r="C8179">
        <v>1</v>
      </c>
      <c r="D8179">
        <v>1</v>
      </c>
      <c r="E8179">
        <v>12940</v>
      </c>
      <c r="F8179">
        <v>180488.44</v>
      </c>
      <c r="G8179">
        <v>0</v>
      </c>
      <c r="H8179">
        <v>0</v>
      </c>
      <c r="I8179">
        <v>0</v>
      </c>
      <c r="J8179">
        <v>0</v>
      </c>
      <c r="K8179">
        <v>0</v>
      </c>
      <c r="L8179">
        <v>19370342.25</v>
      </c>
      <c r="M8179">
        <v>19370342.25</v>
      </c>
      <c r="N8179">
        <v>19370342.25</v>
      </c>
      <c r="O8179">
        <v>19370342.25</v>
      </c>
      <c r="P8179">
        <v>19370342.25</v>
      </c>
      <c r="Q8179">
        <v>19370342.25</v>
      </c>
      <c r="R8179" s="14">
        <f>_xlfn.XLOOKUP(Table2[[#This Row],[LoanID]],Table1[G-L ID],Table1[ManagerCode],-99)</f>
        <v>119</v>
      </c>
      <c r="T8179"/>
    </row>
    <row r="8180" spans="1:20" x14ac:dyDescent="0.25">
      <c r="A8180">
        <v>20190131</v>
      </c>
      <c r="B8180">
        <v>2019</v>
      </c>
      <c r="C8180">
        <v>1</v>
      </c>
      <c r="D8180">
        <v>1</v>
      </c>
      <c r="E8180">
        <v>12950</v>
      </c>
      <c r="F8180">
        <v>244594.38</v>
      </c>
      <c r="G8180">
        <v>0</v>
      </c>
      <c r="H8180">
        <v>0</v>
      </c>
      <c r="I8180">
        <v>0</v>
      </c>
      <c r="J8180">
        <v>0</v>
      </c>
      <c r="K8180">
        <v>0</v>
      </c>
      <c r="L8180">
        <v>26732750</v>
      </c>
      <c r="M8180">
        <v>26732750</v>
      </c>
      <c r="N8180">
        <v>26732750</v>
      </c>
      <c r="O8180">
        <v>26732750</v>
      </c>
      <c r="P8180">
        <v>26732750</v>
      </c>
      <c r="Q8180">
        <v>26732750</v>
      </c>
      <c r="R8180" s="14">
        <f>_xlfn.XLOOKUP(Table2[[#This Row],[LoanID]],Table1[G-L ID],Table1[ManagerCode],-99)</f>
        <v>119</v>
      </c>
      <c r="T8180"/>
    </row>
    <row r="8181" spans="1:20" x14ac:dyDescent="0.25">
      <c r="A8181">
        <v>20190131</v>
      </c>
      <c r="B8181">
        <v>2019</v>
      </c>
      <c r="C8181">
        <v>1</v>
      </c>
      <c r="D8181">
        <v>1</v>
      </c>
      <c r="E8181">
        <v>12960</v>
      </c>
      <c r="F8181">
        <v>80735.11</v>
      </c>
      <c r="G8181">
        <v>0</v>
      </c>
      <c r="H8181">
        <v>0</v>
      </c>
      <c r="I8181">
        <v>0</v>
      </c>
      <c r="J8181">
        <v>0</v>
      </c>
      <c r="K8181">
        <v>0</v>
      </c>
      <c r="L8181">
        <v>8850000</v>
      </c>
      <c r="M8181">
        <v>8850000</v>
      </c>
      <c r="N8181">
        <v>8850000</v>
      </c>
      <c r="O8181">
        <v>8850000</v>
      </c>
      <c r="P8181">
        <v>8850000</v>
      </c>
      <c r="Q8181">
        <v>8850000</v>
      </c>
      <c r="R8181" s="14">
        <f>_xlfn.XLOOKUP(Table2[[#This Row],[LoanID]],Table1[G-L ID],Table1[ManagerCode],-99)</f>
        <v>119</v>
      </c>
      <c r="T8181"/>
    </row>
    <row r="8182" spans="1:20" x14ac:dyDescent="0.25">
      <c r="A8182">
        <v>20190131</v>
      </c>
      <c r="B8182">
        <v>2019</v>
      </c>
      <c r="C8182">
        <v>1</v>
      </c>
      <c r="D8182">
        <v>1</v>
      </c>
      <c r="E8182">
        <v>12970</v>
      </c>
      <c r="F8182">
        <v>102535.2</v>
      </c>
      <c r="G8182">
        <v>0</v>
      </c>
      <c r="H8182">
        <v>0</v>
      </c>
      <c r="I8182">
        <v>0</v>
      </c>
      <c r="J8182">
        <v>0</v>
      </c>
      <c r="K8182">
        <v>0</v>
      </c>
      <c r="L8182">
        <v>10007439.51</v>
      </c>
      <c r="M8182">
        <v>10007439.51</v>
      </c>
      <c r="N8182">
        <v>10007439.51</v>
      </c>
      <c r="O8182">
        <v>10007439.51</v>
      </c>
      <c r="P8182">
        <v>10007439.51</v>
      </c>
      <c r="Q8182">
        <v>10007439.51</v>
      </c>
      <c r="R8182" s="14">
        <f>_xlfn.XLOOKUP(Table2[[#This Row],[LoanID]],Table1[G-L ID],Table1[ManagerCode],-99)</f>
        <v>119</v>
      </c>
      <c r="T8182"/>
    </row>
    <row r="8183" spans="1:20" x14ac:dyDescent="0.25">
      <c r="A8183">
        <v>20190131</v>
      </c>
      <c r="B8183">
        <v>2019</v>
      </c>
      <c r="C8183">
        <v>1</v>
      </c>
      <c r="D8183">
        <v>1</v>
      </c>
      <c r="E8183">
        <v>12980</v>
      </c>
      <c r="F8183">
        <v>127993.4</v>
      </c>
      <c r="G8183">
        <v>0</v>
      </c>
      <c r="H8183">
        <v>0</v>
      </c>
      <c r="I8183">
        <v>0</v>
      </c>
      <c r="J8183">
        <v>0</v>
      </c>
      <c r="K8183">
        <v>0</v>
      </c>
      <c r="L8183">
        <v>13750000</v>
      </c>
      <c r="M8183">
        <v>13750000</v>
      </c>
      <c r="N8183">
        <v>13750000</v>
      </c>
      <c r="O8183">
        <v>13750000</v>
      </c>
      <c r="P8183">
        <v>13750000</v>
      </c>
      <c r="Q8183">
        <v>13750000</v>
      </c>
      <c r="R8183" s="14">
        <f>_xlfn.XLOOKUP(Table2[[#This Row],[LoanID]],Table1[G-L ID],Table1[ManagerCode],-99)</f>
        <v>119</v>
      </c>
      <c r="T8183"/>
    </row>
    <row r="8184" spans="1:20" x14ac:dyDescent="0.25">
      <c r="A8184">
        <v>20190131</v>
      </c>
      <c r="B8184">
        <v>2019</v>
      </c>
      <c r="C8184">
        <v>1</v>
      </c>
      <c r="D8184">
        <v>1</v>
      </c>
      <c r="E8184">
        <v>12990</v>
      </c>
      <c r="F8184">
        <v>263634.06</v>
      </c>
      <c r="G8184">
        <v>0</v>
      </c>
      <c r="H8184">
        <v>0</v>
      </c>
      <c r="I8184">
        <v>0</v>
      </c>
      <c r="J8184">
        <v>0</v>
      </c>
      <c r="K8184">
        <v>0</v>
      </c>
      <c r="L8184">
        <v>29074613.27</v>
      </c>
      <c r="M8184">
        <v>29074613.27</v>
      </c>
      <c r="N8184">
        <v>29074613.27</v>
      </c>
      <c r="O8184">
        <v>29074613.27</v>
      </c>
      <c r="P8184">
        <v>29074613.27</v>
      </c>
      <c r="Q8184">
        <v>29074613.27</v>
      </c>
      <c r="R8184" s="14">
        <f>_xlfn.XLOOKUP(Table2[[#This Row],[LoanID]],Table1[G-L ID],Table1[ManagerCode],-99)</f>
        <v>119</v>
      </c>
      <c r="T8184"/>
    </row>
    <row r="8185" spans="1:20" x14ac:dyDescent="0.25">
      <c r="A8185">
        <v>20190131</v>
      </c>
      <c r="B8185">
        <v>2019</v>
      </c>
      <c r="C8185">
        <v>1</v>
      </c>
      <c r="D8185">
        <v>1</v>
      </c>
      <c r="E8185">
        <v>13000</v>
      </c>
      <c r="F8185">
        <v>134155.07999999999</v>
      </c>
      <c r="G8185">
        <v>551263.91</v>
      </c>
      <c r="H8185">
        <v>0</v>
      </c>
      <c r="I8185">
        <v>0</v>
      </c>
      <c r="J8185">
        <v>-134155.07999999999</v>
      </c>
      <c r="K8185">
        <v>0</v>
      </c>
      <c r="L8185">
        <v>36235462</v>
      </c>
      <c r="M8185">
        <v>36852306</v>
      </c>
      <c r="N8185">
        <v>36235462</v>
      </c>
      <c r="O8185">
        <v>36852306</v>
      </c>
      <c r="P8185">
        <v>40261543.240000002</v>
      </c>
      <c r="Q8185">
        <v>40946962.229999997</v>
      </c>
      <c r="R8185" s="14">
        <f>_xlfn.XLOOKUP(Table2[[#This Row],[LoanID]],Table1[G-L ID],Table1[ManagerCode],-99)</f>
        <v>103</v>
      </c>
      <c r="T8185"/>
    </row>
    <row r="8186" spans="1:20" x14ac:dyDescent="0.25">
      <c r="A8186">
        <v>20190131</v>
      </c>
      <c r="B8186">
        <v>2019</v>
      </c>
      <c r="C8186">
        <v>1</v>
      </c>
      <c r="D8186">
        <v>1</v>
      </c>
      <c r="E8186">
        <v>13010</v>
      </c>
      <c r="F8186">
        <v>1400000</v>
      </c>
      <c r="G8186">
        <v>0</v>
      </c>
      <c r="H8186">
        <v>0</v>
      </c>
      <c r="I8186">
        <v>0</v>
      </c>
      <c r="J8186">
        <v>0</v>
      </c>
      <c r="K8186">
        <v>0</v>
      </c>
      <c r="L8186">
        <v>195664552</v>
      </c>
      <c r="M8186">
        <v>196235010</v>
      </c>
      <c r="N8186">
        <v>195664552</v>
      </c>
      <c r="O8186">
        <v>196235010</v>
      </c>
      <c r="P8186">
        <v>210000000</v>
      </c>
      <c r="Q8186">
        <v>210000000</v>
      </c>
      <c r="R8186" s="14">
        <f>_xlfn.XLOOKUP(Table2[[#This Row],[LoanID]],Table1[G-L ID],Table1[ManagerCode],-99)</f>
        <v>103</v>
      </c>
      <c r="T8186"/>
    </row>
    <row r="8187" spans="1:20" x14ac:dyDescent="0.25">
      <c r="A8187">
        <v>20190131</v>
      </c>
      <c r="B8187">
        <v>2019</v>
      </c>
      <c r="C8187">
        <v>1</v>
      </c>
      <c r="D8187">
        <v>1</v>
      </c>
      <c r="E8187">
        <v>13020</v>
      </c>
      <c r="F8187">
        <v>209431.14</v>
      </c>
      <c r="G8187">
        <v>0</v>
      </c>
      <c r="H8187">
        <v>0</v>
      </c>
      <c r="I8187">
        <v>0</v>
      </c>
      <c r="J8187">
        <v>-209431.14</v>
      </c>
      <c r="K8187">
        <v>0</v>
      </c>
      <c r="L8187">
        <v>20267529.440000001</v>
      </c>
      <c r="M8187">
        <v>20476960.579999998</v>
      </c>
      <c r="N8187">
        <v>20267529.440000001</v>
      </c>
      <c r="O8187">
        <v>20476960.579999998</v>
      </c>
      <c r="P8187">
        <v>20267529.440000001</v>
      </c>
      <c r="Q8187">
        <v>20476960.579999998</v>
      </c>
      <c r="R8187" s="14">
        <f>_xlfn.XLOOKUP(Table2[[#This Row],[LoanID]],Table1[G-L ID],Table1[ManagerCode],-99)</f>
        <v>103</v>
      </c>
      <c r="T8187"/>
    </row>
    <row r="8188" spans="1:20" x14ac:dyDescent="0.25">
      <c r="A8188">
        <v>20190131</v>
      </c>
      <c r="B8188">
        <v>2019</v>
      </c>
      <c r="C8188">
        <v>1</v>
      </c>
      <c r="D8188">
        <v>1</v>
      </c>
      <c r="E8188">
        <v>13030</v>
      </c>
      <c r="F8188">
        <v>303349.98</v>
      </c>
      <c r="G8188">
        <v>0</v>
      </c>
      <c r="H8188">
        <v>0</v>
      </c>
      <c r="I8188">
        <v>0</v>
      </c>
      <c r="J8188">
        <v>0</v>
      </c>
      <c r="K8188">
        <v>0</v>
      </c>
      <c r="L8188">
        <v>114000000</v>
      </c>
      <c r="M8188">
        <v>114000000</v>
      </c>
      <c r="N8188">
        <v>51276576</v>
      </c>
      <c r="O8188">
        <v>51276576</v>
      </c>
      <c r="P8188">
        <v>114000000</v>
      </c>
      <c r="Q8188">
        <v>114000000</v>
      </c>
      <c r="R8188" s="14">
        <f>_xlfn.XLOOKUP(Table2[[#This Row],[LoanID]],Table1[G-L ID],Table1[ManagerCode],-99)</f>
        <v>183</v>
      </c>
      <c r="T8188"/>
    </row>
    <row r="8189" spans="1:20" x14ac:dyDescent="0.25">
      <c r="A8189">
        <v>20190131</v>
      </c>
      <c r="B8189">
        <v>2019</v>
      </c>
      <c r="C8189">
        <v>1</v>
      </c>
      <c r="D8189">
        <v>1</v>
      </c>
      <c r="E8189">
        <v>13040</v>
      </c>
      <c r="F8189">
        <v>76363.03</v>
      </c>
      <c r="G8189">
        <v>0</v>
      </c>
      <c r="H8189">
        <v>0</v>
      </c>
      <c r="I8189">
        <v>0</v>
      </c>
      <c r="J8189">
        <v>0</v>
      </c>
      <c r="K8189">
        <v>0</v>
      </c>
      <c r="L8189">
        <v>33862500</v>
      </c>
      <c r="M8189">
        <v>33862500</v>
      </c>
      <c r="N8189">
        <v>13690113</v>
      </c>
      <c r="O8189">
        <v>13690113</v>
      </c>
      <c r="P8189">
        <v>33862500</v>
      </c>
      <c r="Q8189">
        <v>33862500</v>
      </c>
      <c r="R8189" s="14">
        <f>_xlfn.XLOOKUP(Table2[[#This Row],[LoanID]],Table1[G-L ID],Table1[ManagerCode],-99)</f>
        <v>183</v>
      </c>
      <c r="T8189"/>
    </row>
    <row r="8190" spans="1:20" x14ac:dyDescent="0.25">
      <c r="A8190">
        <v>20190131</v>
      </c>
      <c r="B8190">
        <v>2019</v>
      </c>
      <c r="C8190">
        <v>1</v>
      </c>
      <c r="D8190">
        <v>1</v>
      </c>
      <c r="E8190">
        <v>13050</v>
      </c>
      <c r="F8190">
        <v>77033.98</v>
      </c>
      <c r="G8190">
        <v>0</v>
      </c>
      <c r="H8190">
        <v>0</v>
      </c>
      <c r="I8190">
        <v>0</v>
      </c>
      <c r="J8190">
        <v>0</v>
      </c>
      <c r="K8190">
        <v>0</v>
      </c>
      <c r="L8190">
        <v>42575000</v>
      </c>
      <c r="M8190">
        <v>42575000</v>
      </c>
      <c r="N8190">
        <v>14901424</v>
      </c>
      <c r="O8190">
        <v>14901424</v>
      </c>
      <c r="P8190">
        <v>42575000</v>
      </c>
      <c r="Q8190">
        <v>42575000</v>
      </c>
      <c r="R8190" s="14">
        <f>_xlfn.XLOOKUP(Table2[[#This Row],[LoanID]],Table1[G-L ID],Table1[ManagerCode],-99)</f>
        <v>183</v>
      </c>
      <c r="T8190"/>
    </row>
    <row r="8191" spans="1:20" x14ac:dyDescent="0.25">
      <c r="A8191">
        <v>20190131</v>
      </c>
      <c r="B8191">
        <v>2019</v>
      </c>
      <c r="C8191">
        <v>1</v>
      </c>
      <c r="D8191">
        <v>1</v>
      </c>
      <c r="E8191">
        <v>13060</v>
      </c>
      <c r="F8191">
        <v>93407.38</v>
      </c>
      <c r="G8191">
        <v>0</v>
      </c>
      <c r="H8191">
        <v>0</v>
      </c>
      <c r="I8191">
        <v>0</v>
      </c>
      <c r="J8191">
        <v>0</v>
      </c>
      <c r="K8191">
        <v>0</v>
      </c>
      <c r="L8191">
        <v>42730506.350000001</v>
      </c>
      <c r="M8191">
        <v>42730506.350000001</v>
      </c>
      <c r="N8191">
        <v>17128944.350000001</v>
      </c>
      <c r="O8191">
        <v>17128944.350000001</v>
      </c>
      <c r="P8191">
        <v>42730506.350000001</v>
      </c>
      <c r="Q8191">
        <v>42730506.350000001</v>
      </c>
      <c r="R8191" s="14">
        <f>_xlfn.XLOOKUP(Table2[[#This Row],[LoanID]],Table1[G-L ID],Table1[ManagerCode],-99)</f>
        <v>183</v>
      </c>
      <c r="T8191"/>
    </row>
    <row r="8192" spans="1:20" x14ac:dyDescent="0.25">
      <c r="A8192">
        <v>20190131</v>
      </c>
      <c r="B8192">
        <v>2019</v>
      </c>
      <c r="C8192">
        <v>1</v>
      </c>
      <c r="D8192">
        <v>1</v>
      </c>
      <c r="E8192">
        <v>13070</v>
      </c>
      <c r="F8192">
        <v>349854.84</v>
      </c>
      <c r="G8192">
        <v>0</v>
      </c>
      <c r="H8192">
        <v>0</v>
      </c>
      <c r="I8192">
        <v>0</v>
      </c>
      <c r="J8192">
        <v>0</v>
      </c>
      <c r="K8192">
        <v>0</v>
      </c>
      <c r="L8192">
        <v>84578370</v>
      </c>
      <c r="M8192">
        <v>84578370</v>
      </c>
      <c r="N8192">
        <v>44578370</v>
      </c>
      <c r="O8192">
        <v>44578370</v>
      </c>
      <c r="P8192">
        <v>84578370</v>
      </c>
      <c r="Q8192">
        <v>84578370</v>
      </c>
      <c r="R8192" s="14">
        <f>_xlfn.XLOOKUP(Table2[[#This Row],[LoanID]],Table1[G-L ID],Table1[ManagerCode],-99)</f>
        <v>183</v>
      </c>
      <c r="T8192"/>
    </row>
    <row r="8193" spans="1:20" x14ac:dyDescent="0.25">
      <c r="A8193">
        <v>20190131</v>
      </c>
      <c r="B8193">
        <v>2019</v>
      </c>
      <c r="C8193">
        <v>1</v>
      </c>
      <c r="D8193">
        <v>1</v>
      </c>
      <c r="E8193">
        <v>13080</v>
      </c>
      <c r="F8193">
        <v>76141.27</v>
      </c>
      <c r="G8193">
        <v>0</v>
      </c>
      <c r="H8193">
        <v>0</v>
      </c>
      <c r="I8193">
        <v>0</v>
      </c>
      <c r="J8193">
        <v>0</v>
      </c>
      <c r="K8193">
        <v>0</v>
      </c>
      <c r="L8193">
        <v>36000000</v>
      </c>
      <c r="M8193">
        <v>36000000</v>
      </c>
      <c r="N8193">
        <v>14500000</v>
      </c>
      <c r="O8193">
        <v>14500000</v>
      </c>
      <c r="P8193">
        <v>36000000</v>
      </c>
      <c r="Q8193">
        <v>36000000</v>
      </c>
      <c r="R8193" s="14">
        <f>_xlfn.XLOOKUP(Table2[[#This Row],[LoanID]],Table1[G-L ID],Table1[ManagerCode],-99)</f>
        <v>183</v>
      </c>
      <c r="T8193"/>
    </row>
    <row r="8194" spans="1:20" x14ac:dyDescent="0.25">
      <c r="A8194">
        <v>20190131</v>
      </c>
      <c r="B8194">
        <v>2019</v>
      </c>
      <c r="C8194">
        <v>1</v>
      </c>
      <c r="D8194">
        <v>1</v>
      </c>
      <c r="E8194">
        <v>13090</v>
      </c>
      <c r="F8194">
        <v>117248.98</v>
      </c>
      <c r="G8194">
        <v>0</v>
      </c>
      <c r="H8194">
        <v>0</v>
      </c>
      <c r="I8194">
        <v>0</v>
      </c>
      <c r="J8194">
        <v>0</v>
      </c>
      <c r="K8194">
        <v>0</v>
      </c>
      <c r="L8194">
        <v>20000000</v>
      </c>
      <c r="M8194">
        <v>20000000</v>
      </c>
      <c r="N8194">
        <v>20000000</v>
      </c>
      <c r="O8194">
        <v>20000000</v>
      </c>
      <c r="P8194">
        <v>20000000</v>
      </c>
      <c r="Q8194">
        <v>20000000</v>
      </c>
      <c r="R8194" s="14">
        <f>_xlfn.XLOOKUP(Table2[[#This Row],[LoanID]],Table1[G-L ID],Table1[ManagerCode],-99)</f>
        <v>183</v>
      </c>
      <c r="T8194"/>
    </row>
    <row r="8195" spans="1:20" x14ac:dyDescent="0.25">
      <c r="A8195">
        <v>20190131</v>
      </c>
      <c r="B8195">
        <v>2019</v>
      </c>
      <c r="C8195">
        <v>1</v>
      </c>
      <c r="D8195">
        <v>1</v>
      </c>
      <c r="E8195">
        <v>13100</v>
      </c>
      <c r="F8195">
        <v>99647.56</v>
      </c>
      <c r="G8195">
        <v>0</v>
      </c>
      <c r="H8195">
        <v>0</v>
      </c>
      <c r="I8195">
        <v>0</v>
      </c>
      <c r="J8195">
        <v>0</v>
      </c>
      <c r="K8195">
        <v>0</v>
      </c>
      <c r="L8195">
        <v>31600000</v>
      </c>
      <c r="M8195">
        <v>31600000</v>
      </c>
      <c r="N8195">
        <v>14251600</v>
      </c>
      <c r="O8195">
        <v>14251600</v>
      </c>
      <c r="P8195">
        <v>31600000</v>
      </c>
      <c r="Q8195">
        <v>31600000</v>
      </c>
      <c r="R8195" s="14">
        <f>_xlfn.XLOOKUP(Table2[[#This Row],[LoanID]],Table1[G-L ID],Table1[ManagerCode],-99)</f>
        <v>183</v>
      </c>
      <c r="T8195"/>
    </row>
    <row r="8196" spans="1:20" x14ac:dyDescent="0.25">
      <c r="A8196">
        <v>20190131</v>
      </c>
      <c r="B8196">
        <v>2019</v>
      </c>
      <c r="C8196">
        <v>1</v>
      </c>
      <c r="D8196">
        <v>1</v>
      </c>
      <c r="E8196">
        <v>13110</v>
      </c>
      <c r="F8196">
        <v>95606.29</v>
      </c>
      <c r="G8196">
        <v>0</v>
      </c>
      <c r="H8196">
        <v>0</v>
      </c>
      <c r="I8196">
        <v>0</v>
      </c>
      <c r="J8196">
        <v>0</v>
      </c>
      <c r="K8196">
        <v>0</v>
      </c>
      <c r="L8196">
        <v>44000000</v>
      </c>
      <c r="M8196">
        <v>44000000</v>
      </c>
      <c r="N8196">
        <v>17723750</v>
      </c>
      <c r="O8196">
        <v>17723750</v>
      </c>
      <c r="P8196">
        <v>44000000</v>
      </c>
      <c r="Q8196">
        <v>44000000</v>
      </c>
      <c r="R8196" s="14">
        <f>_xlfn.XLOOKUP(Table2[[#This Row],[LoanID]],Table1[G-L ID],Table1[ManagerCode],-99)</f>
        <v>183</v>
      </c>
      <c r="T8196"/>
    </row>
    <row r="8197" spans="1:20" x14ac:dyDescent="0.25">
      <c r="A8197">
        <v>20190131</v>
      </c>
      <c r="B8197">
        <v>2019</v>
      </c>
      <c r="C8197">
        <v>1</v>
      </c>
      <c r="D8197">
        <v>1</v>
      </c>
      <c r="E8197">
        <v>13120</v>
      </c>
      <c r="F8197">
        <v>56402.64</v>
      </c>
      <c r="G8197">
        <v>0</v>
      </c>
      <c r="H8197">
        <v>0</v>
      </c>
      <c r="I8197">
        <v>0</v>
      </c>
      <c r="J8197">
        <v>0</v>
      </c>
      <c r="K8197">
        <v>0</v>
      </c>
      <c r="L8197">
        <v>27360000</v>
      </c>
      <c r="M8197">
        <v>27360000</v>
      </c>
      <c r="N8197">
        <v>9576000</v>
      </c>
      <c r="O8197">
        <v>9576000</v>
      </c>
      <c r="P8197">
        <v>27360000</v>
      </c>
      <c r="Q8197">
        <v>27360000</v>
      </c>
      <c r="R8197" s="14">
        <f>_xlfn.XLOOKUP(Table2[[#This Row],[LoanID]],Table1[G-L ID],Table1[ManagerCode],-99)</f>
        <v>183</v>
      </c>
      <c r="T8197"/>
    </row>
    <row r="8198" spans="1:20" x14ac:dyDescent="0.25">
      <c r="A8198">
        <v>20190131</v>
      </c>
      <c r="B8198">
        <v>2019</v>
      </c>
      <c r="C8198">
        <v>1</v>
      </c>
      <c r="D8198">
        <v>1</v>
      </c>
      <c r="E8198">
        <v>13130</v>
      </c>
      <c r="F8198">
        <v>424426.94</v>
      </c>
      <c r="G8198">
        <v>0</v>
      </c>
      <c r="H8198">
        <v>0</v>
      </c>
      <c r="I8198">
        <v>0</v>
      </c>
      <c r="J8198">
        <v>0</v>
      </c>
      <c r="K8198">
        <v>0</v>
      </c>
      <c r="L8198">
        <v>190400000</v>
      </c>
      <c r="M8198">
        <v>190400000</v>
      </c>
      <c r="N8198">
        <v>90400000</v>
      </c>
      <c r="O8198">
        <v>90400000</v>
      </c>
      <c r="P8198">
        <v>190400000</v>
      </c>
      <c r="Q8198">
        <v>190400000</v>
      </c>
      <c r="R8198" s="14">
        <f>_xlfn.XLOOKUP(Table2[[#This Row],[LoanID]],Table1[G-L ID],Table1[ManagerCode],-99)</f>
        <v>183</v>
      </c>
      <c r="T8198"/>
    </row>
    <row r="8199" spans="1:20" x14ac:dyDescent="0.25">
      <c r="A8199">
        <v>20190131</v>
      </c>
      <c r="B8199">
        <v>2019</v>
      </c>
      <c r="C8199">
        <v>1</v>
      </c>
      <c r="D8199">
        <v>1</v>
      </c>
      <c r="E8199">
        <v>13140</v>
      </c>
      <c r="F8199">
        <v>152647.97</v>
      </c>
      <c r="G8199">
        <v>0</v>
      </c>
      <c r="H8199">
        <v>0</v>
      </c>
      <c r="I8199">
        <v>0</v>
      </c>
      <c r="J8199">
        <v>-33990000</v>
      </c>
      <c r="K8199">
        <v>0</v>
      </c>
      <c r="L8199">
        <v>28220000</v>
      </c>
      <c r="M8199">
        <v>62210000</v>
      </c>
      <c r="N8199">
        <v>28220000</v>
      </c>
      <c r="O8199">
        <v>62210000</v>
      </c>
      <c r="P8199">
        <v>28220000</v>
      </c>
      <c r="Q8199">
        <v>62210000</v>
      </c>
      <c r="R8199" s="14">
        <f>_xlfn.XLOOKUP(Table2[[#This Row],[LoanID]],Table1[G-L ID],Table1[ManagerCode],-99)</f>
        <v>183</v>
      </c>
      <c r="T8199"/>
    </row>
    <row r="8200" spans="1:20" x14ac:dyDescent="0.25">
      <c r="A8200">
        <v>20190131</v>
      </c>
      <c r="B8200">
        <v>2019</v>
      </c>
      <c r="C8200">
        <v>1</v>
      </c>
      <c r="D8200">
        <v>1</v>
      </c>
      <c r="E8200">
        <v>13150</v>
      </c>
      <c r="F8200">
        <v>174825.62</v>
      </c>
      <c r="G8200">
        <v>0</v>
      </c>
      <c r="H8200">
        <v>0</v>
      </c>
      <c r="I8200">
        <v>0</v>
      </c>
      <c r="J8200">
        <v>0</v>
      </c>
      <c r="K8200">
        <v>0</v>
      </c>
      <c r="L8200">
        <v>85580000</v>
      </c>
      <c r="M8200">
        <v>85580000</v>
      </c>
      <c r="N8200">
        <v>29953000</v>
      </c>
      <c r="O8200">
        <v>29953000</v>
      </c>
      <c r="P8200">
        <v>85580000</v>
      </c>
      <c r="Q8200">
        <v>85580000</v>
      </c>
      <c r="R8200" s="14">
        <f>_xlfn.XLOOKUP(Table2[[#This Row],[LoanID]],Table1[G-L ID],Table1[ManagerCode],-99)</f>
        <v>183</v>
      </c>
      <c r="T8200"/>
    </row>
    <row r="8201" spans="1:20" x14ac:dyDescent="0.25">
      <c r="A8201">
        <v>20190131</v>
      </c>
      <c r="B8201">
        <v>2019</v>
      </c>
      <c r="C8201">
        <v>1</v>
      </c>
      <c r="D8201">
        <v>1</v>
      </c>
      <c r="E8201">
        <v>13160</v>
      </c>
      <c r="F8201">
        <v>71779.37</v>
      </c>
      <c r="G8201">
        <v>0</v>
      </c>
      <c r="H8201">
        <v>0</v>
      </c>
      <c r="I8201">
        <v>0</v>
      </c>
      <c r="J8201">
        <v>0</v>
      </c>
      <c r="K8201">
        <v>0</v>
      </c>
      <c r="L8201">
        <v>33400000</v>
      </c>
      <c r="M8201">
        <v>33400000</v>
      </c>
      <c r="N8201">
        <v>13354858</v>
      </c>
      <c r="O8201">
        <v>13354858</v>
      </c>
      <c r="P8201">
        <v>33400000</v>
      </c>
      <c r="Q8201">
        <v>33400000</v>
      </c>
      <c r="R8201" s="14">
        <f>_xlfn.XLOOKUP(Table2[[#This Row],[LoanID]],Table1[G-L ID],Table1[ManagerCode],-99)</f>
        <v>183</v>
      </c>
      <c r="T8201"/>
    </row>
    <row r="8202" spans="1:20" x14ac:dyDescent="0.25">
      <c r="A8202">
        <v>20190131</v>
      </c>
      <c r="B8202">
        <v>2019</v>
      </c>
      <c r="C8202">
        <v>1</v>
      </c>
      <c r="D8202">
        <v>1</v>
      </c>
      <c r="E8202">
        <v>13170</v>
      </c>
      <c r="F8202">
        <v>215133.8</v>
      </c>
      <c r="G8202">
        <v>0</v>
      </c>
      <c r="H8202">
        <v>0</v>
      </c>
      <c r="I8202">
        <v>0</v>
      </c>
      <c r="J8202">
        <v>0</v>
      </c>
      <c r="K8202">
        <v>0</v>
      </c>
      <c r="L8202">
        <v>50400000</v>
      </c>
      <c r="M8202">
        <v>50400000</v>
      </c>
      <c r="N8202">
        <v>17600000</v>
      </c>
      <c r="O8202">
        <v>17600000</v>
      </c>
      <c r="P8202">
        <v>50400000</v>
      </c>
      <c r="Q8202">
        <v>50400000</v>
      </c>
      <c r="R8202" s="14">
        <f>_xlfn.XLOOKUP(Table2[[#This Row],[LoanID]],Table1[G-L ID],Table1[ManagerCode],-99)</f>
        <v>183</v>
      </c>
      <c r="T8202"/>
    </row>
    <row r="8203" spans="1:20" x14ac:dyDescent="0.25">
      <c r="A8203">
        <v>20190131</v>
      </c>
      <c r="B8203">
        <v>2019</v>
      </c>
      <c r="C8203">
        <v>1</v>
      </c>
      <c r="D8203">
        <v>1</v>
      </c>
      <c r="E8203">
        <v>13180</v>
      </c>
      <c r="F8203">
        <v>84042.93</v>
      </c>
      <c r="G8203">
        <v>0</v>
      </c>
      <c r="H8203">
        <v>0</v>
      </c>
      <c r="I8203">
        <v>0</v>
      </c>
      <c r="J8203">
        <v>0</v>
      </c>
      <c r="K8203">
        <v>0</v>
      </c>
      <c r="L8203">
        <v>39780000</v>
      </c>
      <c r="M8203">
        <v>39780000</v>
      </c>
      <c r="N8203">
        <v>15930000</v>
      </c>
      <c r="O8203">
        <v>15930000</v>
      </c>
      <c r="P8203">
        <v>39780000</v>
      </c>
      <c r="Q8203">
        <v>39780000</v>
      </c>
      <c r="R8203" s="14">
        <f>_xlfn.XLOOKUP(Table2[[#This Row],[LoanID]],Table1[G-L ID],Table1[ManagerCode],-99)</f>
        <v>183</v>
      </c>
      <c r="T8203"/>
    </row>
    <row r="8204" spans="1:20" x14ac:dyDescent="0.25">
      <c r="A8204">
        <v>20190131</v>
      </c>
      <c r="B8204">
        <v>2019</v>
      </c>
      <c r="C8204">
        <v>1</v>
      </c>
      <c r="D8204">
        <v>1</v>
      </c>
      <c r="E8204">
        <v>13190</v>
      </c>
      <c r="F8204">
        <v>43371.27</v>
      </c>
      <c r="G8204">
        <v>49936.97</v>
      </c>
      <c r="H8204">
        <v>0</v>
      </c>
      <c r="I8204">
        <v>0</v>
      </c>
      <c r="J8204">
        <v>-45771.98</v>
      </c>
      <c r="K8204">
        <v>0</v>
      </c>
      <c r="L8204">
        <v>8377130.9199999999</v>
      </c>
      <c r="M8204">
        <v>8472839.8699999992</v>
      </c>
      <c r="N8204">
        <v>8377130.9199999999</v>
      </c>
      <c r="O8204">
        <v>8472839.8699999992</v>
      </c>
      <c r="P8204">
        <v>8377130.9199999999</v>
      </c>
      <c r="Q8204">
        <v>8472839.8699999992</v>
      </c>
      <c r="R8204" s="14">
        <f>_xlfn.XLOOKUP(Table2[[#This Row],[LoanID]],Table1[G-L ID],Table1[ManagerCode],-99)</f>
        <v>183</v>
      </c>
      <c r="T8204"/>
    </row>
    <row r="8205" spans="1:20" x14ac:dyDescent="0.25">
      <c r="A8205">
        <v>20190131</v>
      </c>
      <c r="B8205">
        <v>2019</v>
      </c>
      <c r="C8205">
        <v>1</v>
      </c>
      <c r="D8205">
        <v>1</v>
      </c>
      <c r="E8205">
        <v>13200</v>
      </c>
      <c r="F8205">
        <v>3522.42</v>
      </c>
      <c r="G8205">
        <v>4109.49</v>
      </c>
      <c r="H8205">
        <v>0</v>
      </c>
      <c r="I8205">
        <v>0</v>
      </c>
      <c r="J8205">
        <v>-866640.02</v>
      </c>
      <c r="K8205">
        <v>0</v>
      </c>
      <c r="L8205">
        <v>411580.72</v>
      </c>
      <c r="M8205">
        <v>1282330.23</v>
      </c>
      <c r="N8205">
        <v>411580.72</v>
      </c>
      <c r="O8205">
        <v>1282330.23</v>
      </c>
      <c r="P8205">
        <v>411580.72</v>
      </c>
      <c r="Q8205">
        <v>1282330.23</v>
      </c>
      <c r="R8205" s="14">
        <f>_xlfn.XLOOKUP(Table2[[#This Row],[LoanID]],Table1[G-L ID],Table1[ManagerCode],-99)</f>
        <v>183</v>
      </c>
      <c r="T8205"/>
    </row>
    <row r="8206" spans="1:20" x14ac:dyDescent="0.25">
      <c r="A8206">
        <v>20190131</v>
      </c>
      <c r="B8206">
        <v>2019</v>
      </c>
      <c r="C8206">
        <v>1</v>
      </c>
      <c r="D8206">
        <v>1</v>
      </c>
      <c r="E8206">
        <v>13210</v>
      </c>
      <c r="F8206">
        <v>0</v>
      </c>
      <c r="G8206">
        <v>62348.85</v>
      </c>
      <c r="H8206">
        <v>0</v>
      </c>
      <c r="I8206">
        <v>0</v>
      </c>
      <c r="J8206">
        <v>-449914.98</v>
      </c>
      <c r="K8206">
        <v>0</v>
      </c>
      <c r="L8206">
        <v>5937504.6399999997</v>
      </c>
      <c r="M8206">
        <v>6449768.4699999997</v>
      </c>
      <c r="N8206">
        <v>5937504.6399999997</v>
      </c>
      <c r="O8206">
        <v>6449768.4699999997</v>
      </c>
      <c r="P8206">
        <v>5937504.6399999997</v>
      </c>
      <c r="Q8206">
        <v>6449768.4699999997</v>
      </c>
      <c r="R8206" s="14">
        <f>_xlfn.XLOOKUP(Table2[[#This Row],[LoanID]],Table1[G-L ID],Table1[ManagerCode],-99)</f>
        <v>183</v>
      </c>
      <c r="T8206"/>
    </row>
    <row r="8207" spans="1:20" x14ac:dyDescent="0.25">
      <c r="A8207">
        <v>20190131</v>
      </c>
      <c r="B8207">
        <v>2019</v>
      </c>
      <c r="C8207">
        <v>1</v>
      </c>
      <c r="D8207">
        <v>1</v>
      </c>
      <c r="E8207">
        <v>13220</v>
      </c>
      <c r="F8207">
        <v>70922.47</v>
      </c>
      <c r="G8207">
        <v>-76.64</v>
      </c>
      <c r="H8207">
        <v>0</v>
      </c>
      <c r="I8207">
        <v>0</v>
      </c>
      <c r="J8207">
        <v>0</v>
      </c>
      <c r="K8207">
        <v>4931.28</v>
      </c>
      <c r="L8207">
        <v>9334886.3300000001</v>
      </c>
      <c r="M8207">
        <v>9329592.7699999996</v>
      </c>
      <c r="N8207">
        <v>9334886.3300000001</v>
      </c>
      <c r="O8207">
        <v>9329592.7699999996</v>
      </c>
      <c r="P8207">
        <v>9242886.6199999992</v>
      </c>
      <c r="Q8207">
        <v>9237878.6999999993</v>
      </c>
      <c r="R8207" s="14">
        <f>_xlfn.XLOOKUP(Table2[[#This Row],[LoanID]],Table1[G-L ID],Table1[ManagerCode],-99)</f>
        <v>219</v>
      </c>
      <c r="T8207"/>
    </row>
    <row r="8208" spans="1:20" x14ac:dyDescent="0.25">
      <c r="A8208">
        <v>20190131</v>
      </c>
      <c r="B8208">
        <v>2019</v>
      </c>
      <c r="C8208">
        <v>1</v>
      </c>
      <c r="D8208">
        <v>1</v>
      </c>
      <c r="E8208">
        <v>13230</v>
      </c>
      <c r="F8208">
        <v>43180.75</v>
      </c>
      <c r="G8208">
        <v>0</v>
      </c>
      <c r="H8208">
        <v>0</v>
      </c>
      <c r="I8208">
        <v>0</v>
      </c>
      <c r="J8208">
        <v>0</v>
      </c>
      <c r="K8208">
        <v>0</v>
      </c>
      <c r="L8208">
        <v>6608875</v>
      </c>
      <c r="M8208">
        <v>6543875</v>
      </c>
      <c r="N8208">
        <v>6608875</v>
      </c>
      <c r="O8208">
        <v>6543875</v>
      </c>
      <c r="P8208">
        <v>6543875</v>
      </c>
      <c r="Q8208">
        <v>6543875</v>
      </c>
      <c r="R8208" s="14">
        <f>_xlfn.XLOOKUP(Table2[[#This Row],[LoanID]],Table1[G-L ID],Table1[ManagerCode],-99)</f>
        <v>219</v>
      </c>
      <c r="T8208"/>
    </row>
    <row r="8209" spans="1:20" x14ac:dyDescent="0.25">
      <c r="A8209">
        <v>20190131</v>
      </c>
      <c r="B8209">
        <v>2019</v>
      </c>
      <c r="C8209">
        <v>1</v>
      </c>
      <c r="D8209">
        <v>1</v>
      </c>
      <c r="E8209">
        <v>13240</v>
      </c>
      <c r="F8209">
        <v>76946.27</v>
      </c>
      <c r="G8209">
        <v>798.91</v>
      </c>
      <c r="H8209">
        <v>0</v>
      </c>
      <c r="I8209">
        <v>0</v>
      </c>
      <c r="J8209">
        <v>-92665.37</v>
      </c>
      <c r="K8209">
        <v>0</v>
      </c>
      <c r="L8209">
        <v>7969604.9699999997</v>
      </c>
      <c r="M8209">
        <v>8063069.25</v>
      </c>
      <c r="N8209">
        <v>7969604.9699999997</v>
      </c>
      <c r="O8209">
        <v>8063069.25</v>
      </c>
      <c r="P8209">
        <v>7969604.9699999997</v>
      </c>
      <c r="Q8209">
        <v>8063069.25</v>
      </c>
      <c r="R8209" s="14">
        <f>_xlfn.XLOOKUP(Table2[[#This Row],[LoanID]],Table1[G-L ID],Table1[ManagerCode],-99)</f>
        <v>219</v>
      </c>
      <c r="T8209"/>
    </row>
    <row r="8210" spans="1:20" x14ac:dyDescent="0.25">
      <c r="A8210">
        <v>20190131</v>
      </c>
      <c r="B8210">
        <v>2019</v>
      </c>
      <c r="C8210">
        <v>1</v>
      </c>
      <c r="D8210">
        <v>1</v>
      </c>
      <c r="E8210">
        <v>13250</v>
      </c>
      <c r="F8210">
        <v>66680.55</v>
      </c>
      <c r="G8210">
        <v>-5471.45</v>
      </c>
      <c r="H8210">
        <v>0</v>
      </c>
      <c r="I8210">
        <v>0</v>
      </c>
      <c r="J8210">
        <v>0</v>
      </c>
      <c r="K8210">
        <v>0</v>
      </c>
      <c r="L8210">
        <v>7468000.0199999996</v>
      </c>
      <c r="M8210">
        <v>7462528.5700000003</v>
      </c>
      <c r="N8210">
        <v>7468000.0199999996</v>
      </c>
      <c r="O8210">
        <v>7462528.5700000003</v>
      </c>
      <c r="P8210">
        <v>7049194</v>
      </c>
      <c r="Q8210">
        <v>7043722.5499999998</v>
      </c>
      <c r="R8210" s="14">
        <f>_xlfn.XLOOKUP(Table2[[#This Row],[LoanID]],Table1[G-L ID],Table1[ManagerCode],-99)</f>
        <v>219</v>
      </c>
      <c r="T8210"/>
    </row>
    <row r="8211" spans="1:20" x14ac:dyDescent="0.25">
      <c r="A8211">
        <v>20190131</v>
      </c>
      <c r="B8211">
        <v>2019</v>
      </c>
      <c r="C8211">
        <v>1</v>
      </c>
      <c r="D8211">
        <v>1</v>
      </c>
      <c r="E8211">
        <v>13260</v>
      </c>
      <c r="F8211">
        <v>188186.67</v>
      </c>
      <c r="G8211">
        <v>-5023.1499999999996</v>
      </c>
      <c r="H8211">
        <v>0</v>
      </c>
      <c r="I8211">
        <v>0</v>
      </c>
      <c r="J8211">
        <v>0</v>
      </c>
      <c r="K8211">
        <v>0</v>
      </c>
      <c r="L8211">
        <v>20103473</v>
      </c>
      <c r="M8211">
        <v>20098449.850000001</v>
      </c>
      <c r="N8211">
        <v>20103473</v>
      </c>
      <c r="O8211">
        <v>20098449.850000001</v>
      </c>
      <c r="P8211">
        <v>20103473</v>
      </c>
      <c r="Q8211">
        <v>20098449.850000001</v>
      </c>
      <c r="R8211" s="14">
        <f>_xlfn.XLOOKUP(Table2[[#This Row],[LoanID]],Table1[G-L ID],Table1[ManagerCode],-99)</f>
        <v>219</v>
      </c>
      <c r="T8211"/>
    </row>
    <row r="8212" spans="1:20" x14ac:dyDescent="0.25">
      <c r="A8212">
        <v>20190131</v>
      </c>
      <c r="B8212">
        <v>2019</v>
      </c>
      <c r="C8212">
        <v>1</v>
      </c>
      <c r="D8212">
        <v>1</v>
      </c>
      <c r="E8212">
        <v>13270</v>
      </c>
      <c r="F8212">
        <v>159423.32999999999</v>
      </c>
      <c r="G8212">
        <v>-3189.99</v>
      </c>
      <c r="H8212">
        <v>0</v>
      </c>
      <c r="I8212">
        <v>0</v>
      </c>
      <c r="J8212">
        <v>0</v>
      </c>
      <c r="K8212">
        <v>0</v>
      </c>
      <c r="L8212">
        <v>25108028</v>
      </c>
      <c r="M8212">
        <v>25104838.010000002</v>
      </c>
      <c r="N8212">
        <v>25108028</v>
      </c>
      <c r="O8212">
        <v>25104838.010000002</v>
      </c>
      <c r="P8212">
        <v>25108028</v>
      </c>
      <c r="Q8212">
        <v>25104838.010000002</v>
      </c>
      <c r="R8212" s="14">
        <f>_xlfn.XLOOKUP(Table2[[#This Row],[LoanID]],Table1[G-L ID],Table1[ManagerCode],-99)</f>
        <v>219</v>
      </c>
      <c r="T8212"/>
    </row>
    <row r="8213" spans="1:20" x14ac:dyDescent="0.25">
      <c r="A8213">
        <v>20190131</v>
      </c>
      <c r="B8213">
        <v>2019</v>
      </c>
      <c r="C8213">
        <v>1</v>
      </c>
      <c r="D8213">
        <v>1</v>
      </c>
      <c r="E8213">
        <v>13280</v>
      </c>
      <c r="F8213">
        <v>167916.67</v>
      </c>
      <c r="G8213">
        <v>0.4</v>
      </c>
      <c r="H8213">
        <v>0</v>
      </c>
      <c r="I8213">
        <v>0</v>
      </c>
      <c r="J8213">
        <v>0</v>
      </c>
      <c r="K8213">
        <v>0</v>
      </c>
      <c r="L8213">
        <v>20317916.670000002</v>
      </c>
      <c r="M8213">
        <v>20317917.27</v>
      </c>
      <c r="N8213">
        <v>20317916.670000002</v>
      </c>
      <c r="O8213">
        <v>20317917.27</v>
      </c>
      <c r="P8213">
        <v>20167916.670000002</v>
      </c>
      <c r="Q8213">
        <v>20167917.07</v>
      </c>
      <c r="R8213" s="14">
        <f>_xlfn.XLOOKUP(Table2[[#This Row],[LoanID]],Table1[G-L ID],Table1[ManagerCode],-99)</f>
        <v>219</v>
      </c>
      <c r="T8213"/>
    </row>
    <row r="8214" spans="1:20" x14ac:dyDescent="0.25">
      <c r="A8214">
        <v>20190131</v>
      </c>
      <c r="B8214">
        <v>2019</v>
      </c>
      <c r="C8214">
        <v>1</v>
      </c>
      <c r="D8214">
        <v>1</v>
      </c>
      <c r="E8214">
        <v>13290</v>
      </c>
      <c r="F8214">
        <v>156076.39000000001</v>
      </c>
      <c r="G8214">
        <v>0</v>
      </c>
      <c r="H8214">
        <v>0</v>
      </c>
      <c r="I8214">
        <v>0</v>
      </c>
      <c r="J8214">
        <v>0</v>
      </c>
      <c r="K8214">
        <v>0</v>
      </c>
      <c r="L8214">
        <v>20000000</v>
      </c>
      <c r="M8214">
        <v>20000000</v>
      </c>
      <c r="N8214">
        <v>20000000</v>
      </c>
      <c r="O8214">
        <v>20000000</v>
      </c>
      <c r="P8214">
        <v>20000000</v>
      </c>
      <c r="Q8214">
        <v>20000000</v>
      </c>
      <c r="R8214" s="14">
        <f>_xlfn.XLOOKUP(Table2[[#This Row],[LoanID]],Table1[G-L ID],Table1[ManagerCode],-99)</f>
        <v>219</v>
      </c>
      <c r="T8214"/>
    </row>
    <row r="8215" spans="1:20" x14ac:dyDescent="0.25">
      <c r="A8215">
        <v>20190131</v>
      </c>
      <c r="B8215">
        <v>2019</v>
      </c>
      <c r="C8215">
        <v>1</v>
      </c>
      <c r="D8215">
        <v>1</v>
      </c>
      <c r="E8215">
        <v>13300</v>
      </c>
      <c r="F8215">
        <v>215277.78</v>
      </c>
      <c r="G8215">
        <v>50</v>
      </c>
      <c r="H8215">
        <v>0</v>
      </c>
      <c r="I8215">
        <v>0</v>
      </c>
      <c r="J8215">
        <v>0</v>
      </c>
      <c r="K8215">
        <v>0</v>
      </c>
      <c r="L8215">
        <v>25215227.780000001</v>
      </c>
      <c r="M8215">
        <v>25215277.780000001</v>
      </c>
      <c r="N8215">
        <v>25215227.780000001</v>
      </c>
      <c r="O8215">
        <v>25215277.780000001</v>
      </c>
      <c r="P8215">
        <v>25215227.780000001</v>
      </c>
      <c r="Q8215">
        <v>25215277.780000001</v>
      </c>
      <c r="R8215" s="14">
        <f>_xlfn.XLOOKUP(Table2[[#This Row],[LoanID]],Table1[G-L ID],Table1[ManagerCode],-99)</f>
        <v>219</v>
      </c>
      <c r="T8215"/>
    </row>
    <row r="8216" spans="1:20" x14ac:dyDescent="0.25">
      <c r="A8216">
        <v>20190131</v>
      </c>
      <c r="B8216">
        <v>2019</v>
      </c>
      <c r="C8216">
        <v>1</v>
      </c>
      <c r="D8216">
        <v>1</v>
      </c>
      <c r="E8216">
        <v>13310</v>
      </c>
      <c r="F8216">
        <v>41476.910000000003</v>
      </c>
      <c r="G8216">
        <v>0</v>
      </c>
      <c r="H8216">
        <v>0</v>
      </c>
      <c r="I8216">
        <v>0</v>
      </c>
      <c r="J8216">
        <v>0</v>
      </c>
      <c r="K8216">
        <v>0</v>
      </c>
      <c r="L8216">
        <v>15600000</v>
      </c>
      <c r="M8216">
        <v>15600000</v>
      </c>
      <c r="N8216">
        <v>15600000</v>
      </c>
      <c r="O8216">
        <v>15600000</v>
      </c>
      <c r="P8216">
        <v>15600000</v>
      </c>
      <c r="Q8216">
        <v>15600000</v>
      </c>
      <c r="R8216" s="14">
        <f>_xlfn.XLOOKUP(Table2[[#This Row],[LoanID]],Table1[G-L ID],Table1[ManagerCode],-99)</f>
        <v>119</v>
      </c>
      <c r="T8216"/>
    </row>
    <row r="8217" spans="1:20" x14ac:dyDescent="0.25">
      <c r="A8217">
        <v>20190131</v>
      </c>
      <c r="B8217">
        <v>2019</v>
      </c>
      <c r="C8217">
        <v>1</v>
      </c>
      <c r="D8217">
        <v>1</v>
      </c>
      <c r="E8217">
        <v>13320</v>
      </c>
      <c r="F8217">
        <v>147627.68</v>
      </c>
      <c r="G8217">
        <v>0</v>
      </c>
      <c r="H8217">
        <v>0</v>
      </c>
      <c r="I8217">
        <v>0</v>
      </c>
      <c r="J8217">
        <v>0</v>
      </c>
      <c r="K8217">
        <v>0</v>
      </c>
      <c r="L8217">
        <v>18600000</v>
      </c>
      <c r="M8217">
        <v>18600000</v>
      </c>
      <c r="N8217">
        <v>18600000</v>
      </c>
      <c r="O8217">
        <v>18600000</v>
      </c>
      <c r="P8217">
        <v>18600000</v>
      </c>
      <c r="Q8217">
        <v>18600000</v>
      </c>
      <c r="R8217" s="14">
        <f>_xlfn.XLOOKUP(Table2[[#This Row],[LoanID]],Table1[G-L ID],Table1[ManagerCode],-99)</f>
        <v>119</v>
      </c>
      <c r="T8217"/>
    </row>
    <row r="8218" spans="1:20" x14ac:dyDescent="0.25">
      <c r="A8218">
        <v>20190131</v>
      </c>
      <c r="B8218">
        <v>2019</v>
      </c>
      <c r="C8218">
        <v>1</v>
      </c>
      <c r="D8218">
        <v>1</v>
      </c>
      <c r="E8218">
        <v>13330</v>
      </c>
      <c r="F8218">
        <v>40296.800000000003</v>
      </c>
      <c r="G8218">
        <v>0</v>
      </c>
      <c r="H8218">
        <v>0</v>
      </c>
      <c r="I8218">
        <v>0</v>
      </c>
      <c r="J8218">
        <v>0</v>
      </c>
      <c r="K8218">
        <v>0</v>
      </c>
      <c r="L8218">
        <v>14200000</v>
      </c>
      <c r="M8218">
        <v>14200000</v>
      </c>
      <c r="N8218">
        <v>14200000</v>
      </c>
      <c r="O8218">
        <v>14200000</v>
      </c>
      <c r="P8218">
        <v>14200000</v>
      </c>
      <c r="Q8218">
        <v>14200000</v>
      </c>
      <c r="R8218" s="14">
        <f>_xlfn.XLOOKUP(Table2[[#This Row],[LoanID]],Table1[G-L ID],Table1[ManagerCode],-99)</f>
        <v>119</v>
      </c>
      <c r="T8218"/>
    </row>
    <row r="8219" spans="1:20" x14ac:dyDescent="0.25">
      <c r="A8219">
        <v>20190131</v>
      </c>
      <c r="B8219">
        <v>2019</v>
      </c>
      <c r="C8219">
        <v>1</v>
      </c>
      <c r="D8219">
        <v>1</v>
      </c>
      <c r="E8219">
        <v>13340</v>
      </c>
      <c r="F8219">
        <v>192479.86</v>
      </c>
      <c r="G8219">
        <v>0</v>
      </c>
      <c r="H8219">
        <v>0</v>
      </c>
      <c r="I8219">
        <v>0</v>
      </c>
      <c r="J8219">
        <v>0</v>
      </c>
      <c r="K8219">
        <v>0</v>
      </c>
      <c r="L8219">
        <v>25000000</v>
      </c>
      <c r="M8219">
        <v>25000000</v>
      </c>
      <c r="N8219">
        <v>25000000</v>
      </c>
      <c r="O8219">
        <v>25000000</v>
      </c>
      <c r="P8219">
        <v>25000000</v>
      </c>
      <c r="Q8219">
        <v>25000000</v>
      </c>
      <c r="R8219" s="14">
        <f>_xlfn.XLOOKUP(Table2[[#This Row],[LoanID]],Table1[G-L ID],Table1[ManagerCode],-99)</f>
        <v>119</v>
      </c>
      <c r="T8219"/>
    </row>
    <row r="8220" spans="1:20" x14ac:dyDescent="0.25">
      <c r="A8220">
        <v>20190131</v>
      </c>
      <c r="B8220">
        <v>2019</v>
      </c>
      <c r="C8220">
        <v>1</v>
      </c>
      <c r="D8220">
        <v>1</v>
      </c>
      <c r="E8220">
        <v>13350</v>
      </c>
      <c r="F8220">
        <v>0</v>
      </c>
      <c r="G8220">
        <v>0</v>
      </c>
      <c r="H8220">
        <v>-275775.5</v>
      </c>
      <c r="I8220">
        <v>0</v>
      </c>
      <c r="J8220">
        <v>0</v>
      </c>
      <c r="K8220">
        <v>21190785</v>
      </c>
      <c r="L8220">
        <v>27520500</v>
      </c>
      <c r="M8220">
        <v>6329715</v>
      </c>
      <c r="N8220">
        <v>27520500</v>
      </c>
      <c r="O8220">
        <v>6329715</v>
      </c>
      <c r="P8220">
        <v>27520500</v>
      </c>
      <c r="Q8220">
        <v>6329715</v>
      </c>
      <c r="R8220" s="14">
        <f>_xlfn.XLOOKUP(Table2[[#This Row],[LoanID]],Table1[G-L ID],Table1[ManagerCode],-99)</f>
        <v>119</v>
      </c>
      <c r="T8220"/>
    </row>
    <row r="8221" spans="1:20" x14ac:dyDescent="0.25">
      <c r="A8221">
        <v>20190131</v>
      </c>
      <c r="B8221">
        <v>2019</v>
      </c>
      <c r="C8221">
        <v>1</v>
      </c>
      <c r="D8221">
        <v>1</v>
      </c>
      <c r="E8221">
        <v>13360</v>
      </c>
      <c r="F8221">
        <v>-133182</v>
      </c>
      <c r="G8221">
        <v>0</v>
      </c>
      <c r="H8221">
        <v>-1345010.8</v>
      </c>
      <c r="I8221">
        <v>0</v>
      </c>
      <c r="J8221">
        <v>0</v>
      </c>
      <c r="K8221">
        <v>117600000</v>
      </c>
      <c r="L8221">
        <v>147000000</v>
      </c>
      <c r="M8221">
        <v>29400000</v>
      </c>
      <c r="N8221">
        <v>147000000</v>
      </c>
      <c r="O8221">
        <v>29400000</v>
      </c>
      <c r="P8221">
        <v>147000000</v>
      </c>
      <c r="Q8221">
        <v>29400000</v>
      </c>
      <c r="R8221" s="14">
        <f>_xlfn.XLOOKUP(Table2[[#This Row],[LoanID]],Table1[G-L ID],Table1[ManagerCode],-99)</f>
        <v>119</v>
      </c>
      <c r="T8221"/>
    </row>
    <row r="8222" spans="1:20" x14ac:dyDescent="0.25">
      <c r="A8222">
        <v>20190131</v>
      </c>
      <c r="B8222">
        <v>2019</v>
      </c>
      <c r="C8222">
        <v>1</v>
      </c>
      <c r="D8222">
        <v>1</v>
      </c>
      <c r="E8222">
        <v>13370</v>
      </c>
      <c r="F8222">
        <v>180735.81</v>
      </c>
      <c r="G8222">
        <v>0</v>
      </c>
      <c r="H8222">
        <v>0</v>
      </c>
      <c r="I8222">
        <v>0</v>
      </c>
      <c r="J8222">
        <v>-42630000</v>
      </c>
      <c r="K8222">
        <v>0</v>
      </c>
      <c r="L8222">
        <v>0</v>
      </c>
      <c r="M8222">
        <v>42630000</v>
      </c>
      <c r="N8222">
        <v>0</v>
      </c>
      <c r="O8222">
        <v>42630000</v>
      </c>
      <c r="P8222">
        <v>0</v>
      </c>
      <c r="Q8222">
        <v>42630000</v>
      </c>
      <c r="R8222" s="14">
        <f>_xlfn.XLOOKUP(Table2[[#This Row],[LoanID]],Table1[G-L ID],Table1[ManagerCode],-99)</f>
        <v>183</v>
      </c>
      <c r="T8222"/>
    </row>
    <row r="8223" spans="1:20" x14ac:dyDescent="0.25">
      <c r="A8223">
        <v>20190131</v>
      </c>
      <c r="B8223">
        <v>2019</v>
      </c>
      <c r="C8223">
        <v>1</v>
      </c>
      <c r="D8223">
        <v>1</v>
      </c>
      <c r="E8223">
        <v>13380</v>
      </c>
      <c r="F8223">
        <v>53139.13</v>
      </c>
      <c r="G8223">
        <v>0</v>
      </c>
      <c r="H8223">
        <v>0</v>
      </c>
      <c r="I8223">
        <v>0</v>
      </c>
      <c r="J8223">
        <v>-32000000</v>
      </c>
      <c r="K8223">
        <v>20800000</v>
      </c>
      <c r="L8223">
        <v>0</v>
      </c>
      <c r="M8223">
        <v>32000000</v>
      </c>
      <c r="N8223">
        <v>0</v>
      </c>
      <c r="O8223">
        <v>11200000</v>
      </c>
      <c r="P8223">
        <v>0</v>
      </c>
      <c r="Q8223">
        <v>32000000</v>
      </c>
      <c r="R8223" s="14">
        <f>_xlfn.XLOOKUP(Table2[[#This Row],[LoanID]],Table1[G-L ID],Table1[ManagerCode],-99)</f>
        <v>183</v>
      </c>
      <c r="T8223"/>
    </row>
    <row r="8224" spans="1:20" x14ac:dyDescent="0.25">
      <c r="A8224">
        <v>20190131</v>
      </c>
      <c r="B8224">
        <v>2019</v>
      </c>
      <c r="C8224">
        <v>1</v>
      </c>
      <c r="D8224">
        <v>1</v>
      </c>
      <c r="E8224">
        <v>13390</v>
      </c>
      <c r="F8224">
        <v>82881.61</v>
      </c>
      <c r="G8224">
        <v>0</v>
      </c>
      <c r="H8224">
        <v>0</v>
      </c>
      <c r="I8224">
        <v>0</v>
      </c>
      <c r="J8224">
        <v>-48193461.420000002</v>
      </c>
      <c r="K8224">
        <v>0</v>
      </c>
      <c r="L8224">
        <v>0</v>
      </c>
      <c r="M8224">
        <v>48193461.420000002</v>
      </c>
      <c r="N8224">
        <v>0</v>
      </c>
      <c r="O8224">
        <v>48193461.420000002</v>
      </c>
      <c r="P8224">
        <v>0</v>
      </c>
      <c r="Q8224">
        <v>48193461.420000002</v>
      </c>
      <c r="R8224" s="14">
        <f>_xlfn.XLOOKUP(Table2[[#This Row],[LoanID]],Table1[G-L ID],Table1[ManagerCode],-99)</f>
        <v>183</v>
      </c>
      <c r="T8224"/>
    </row>
    <row r="8225" spans="1:20" x14ac:dyDescent="0.25">
      <c r="A8225">
        <v>20190131</v>
      </c>
      <c r="B8225">
        <v>2019</v>
      </c>
      <c r="C8225">
        <v>1</v>
      </c>
      <c r="D8225">
        <v>1</v>
      </c>
      <c r="E8225">
        <v>13400</v>
      </c>
      <c r="F8225">
        <v>4422.07</v>
      </c>
      <c r="G8225">
        <v>0</v>
      </c>
      <c r="H8225">
        <v>253125</v>
      </c>
      <c r="I8225">
        <v>0</v>
      </c>
      <c r="J8225">
        <v>-31750000</v>
      </c>
      <c r="K8225">
        <v>0</v>
      </c>
      <c r="L8225">
        <v>0</v>
      </c>
      <c r="M8225">
        <v>31750000</v>
      </c>
      <c r="N8225">
        <v>0</v>
      </c>
      <c r="O8225">
        <v>31750000</v>
      </c>
      <c r="P8225">
        <v>0</v>
      </c>
      <c r="Q8225">
        <v>31750000</v>
      </c>
      <c r="R8225" s="14">
        <f>_xlfn.XLOOKUP(Table2[[#This Row],[LoanID]],Table1[G-L ID],Table1[ManagerCode],-99)</f>
        <v>183</v>
      </c>
      <c r="T8225"/>
    </row>
    <row r="8226" spans="1:20" x14ac:dyDescent="0.25">
      <c r="A8226">
        <v>20190131</v>
      </c>
      <c r="B8226">
        <v>2019</v>
      </c>
      <c r="C8226">
        <v>1</v>
      </c>
      <c r="D8226">
        <v>1</v>
      </c>
      <c r="E8226">
        <v>13410</v>
      </c>
      <c r="F8226">
        <v>4685.42</v>
      </c>
      <c r="G8226">
        <v>0</v>
      </c>
      <c r="H8226">
        <v>238550</v>
      </c>
      <c r="I8226">
        <v>0</v>
      </c>
      <c r="J8226">
        <v>-32983000</v>
      </c>
      <c r="K8226">
        <v>0</v>
      </c>
      <c r="L8226">
        <v>0</v>
      </c>
      <c r="M8226">
        <v>32983000</v>
      </c>
      <c r="N8226">
        <v>0</v>
      </c>
      <c r="O8226">
        <v>32983000</v>
      </c>
      <c r="P8226">
        <v>0</v>
      </c>
      <c r="Q8226">
        <v>32983000</v>
      </c>
      <c r="R8226" s="14">
        <f>_xlfn.XLOOKUP(Table2[[#This Row],[LoanID]],Table1[G-L ID],Table1[ManagerCode],-99)</f>
        <v>183</v>
      </c>
      <c r="T8226"/>
    </row>
    <row r="8227" spans="1:20" x14ac:dyDescent="0.25">
      <c r="A8227">
        <v>20190131</v>
      </c>
      <c r="B8227">
        <v>2019</v>
      </c>
      <c r="C8227">
        <v>1</v>
      </c>
      <c r="D8227">
        <v>1</v>
      </c>
      <c r="E8227">
        <v>13450</v>
      </c>
      <c r="F8227">
        <v>0</v>
      </c>
      <c r="G8227">
        <v>23834.1</v>
      </c>
      <c r="H8227">
        <v>0</v>
      </c>
      <c r="I8227">
        <v>0</v>
      </c>
      <c r="J8227">
        <v>-872981.42</v>
      </c>
      <c r="K8227">
        <v>0</v>
      </c>
      <c r="L8227">
        <v>2219413.36</v>
      </c>
      <c r="M8227">
        <v>3116228.88</v>
      </c>
      <c r="N8227">
        <v>2219413.36</v>
      </c>
      <c r="O8227">
        <v>3116228.88</v>
      </c>
      <c r="P8227">
        <v>2219413.36</v>
      </c>
      <c r="Q8227">
        <v>3116228.88</v>
      </c>
      <c r="R8227" s="14">
        <f>_xlfn.XLOOKUP(Table2[[#This Row],[LoanID]],Table1[G-L ID],Table1[ManagerCode],-99)</f>
        <v>183</v>
      </c>
      <c r="T8227"/>
    </row>
    <row r="8228" spans="1:20" x14ac:dyDescent="0.25">
      <c r="A8228">
        <v>20190131</v>
      </c>
      <c r="B8228">
        <v>2019</v>
      </c>
      <c r="C8228">
        <v>1</v>
      </c>
      <c r="D8228">
        <v>1</v>
      </c>
      <c r="E8228">
        <v>13460</v>
      </c>
      <c r="F8228">
        <v>146.94</v>
      </c>
      <c r="G8228">
        <v>227.76</v>
      </c>
      <c r="H8228">
        <v>130500</v>
      </c>
      <c r="I8228">
        <v>0</v>
      </c>
      <c r="J8228">
        <v>-132248.81</v>
      </c>
      <c r="K8228">
        <v>0</v>
      </c>
      <c r="L8228">
        <v>0</v>
      </c>
      <c r="M8228">
        <v>132476.57</v>
      </c>
      <c r="N8228">
        <v>0</v>
      </c>
      <c r="O8228">
        <v>132476.57</v>
      </c>
      <c r="P8228">
        <v>0</v>
      </c>
      <c r="Q8228">
        <v>132476.57</v>
      </c>
      <c r="R8228" s="14">
        <f>_xlfn.XLOOKUP(Table2[[#This Row],[LoanID]],Table1[G-L ID],Table1[ManagerCode],-99)</f>
        <v>183</v>
      </c>
      <c r="T8228"/>
    </row>
    <row r="8229" spans="1:20" x14ac:dyDescent="0.25">
      <c r="A8229">
        <v>20190131</v>
      </c>
      <c r="B8229">
        <v>2019</v>
      </c>
      <c r="C8229">
        <v>1</v>
      </c>
      <c r="D8229">
        <v>1</v>
      </c>
      <c r="E8229">
        <v>13470</v>
      </c>
      <c r="F8229">
        <v>0</v>
      </c>
      <c r="G8229">
        <v>0</v>
      </c>
      <c r="H8229">
        <v>0</v>
      </c>
      <c r="I8229">
        <v>0</v>
      </c>
      <c r="J8229">
        <v>0</v>
      </c>
      <c r="K8229">
        <v>0</v>
      </c>
      <c r="L8229">
        <v>62500000</v>
      </c>
      <c r="M8229">
        <v>62500000</v>
      </c>
      <c r="N8229">
        <v>62500000</v>
      </c>
      <c r="O8229">
        <v>62500000</v>
      </c>
      <c r="P8229">
        <v>62500000</v>
      </c>
      <c r="Q8229">
        <v>62500000</v>
      </c>
      <c r="R8229" s="14">
        <f>_xlfn.XLOOKUP(Table2[[#This Row],[LoanID]],Table1[G-L ID],Table1[ManagerCode],-99)</f>
        <v>165</v>
      </c>
      <c r="T8229"/>
    </row>
    <row r="8230" spans="1:20" x14ac:dyDescent="0.25">
      <c r="A8230">
        <v>20190131</v>
      </c>
      <c r="B8230">
        <v>2019</v>
      </c>
      <c r="C8230">
        <v>1</v>
      </c>
      <c r="D8230">
        <v>1</v>
      </c>
      <c r="E8230">
        <v>13480</v>
      </c>
      <c r="F8230">
        <v>250531.67</v>
      </c>
      <c r="G8230">
        <v>0</v>
      </c>
      <c r="H8230">
        <v>0</v>
      </c>
      <c r="I8230">
        <v>0</v>
      </c>
      <c r="J8230">
        <v>0</v>
      </c>
      <c r="K8230">
        <v>0</v>
      </c>
      <c r="L8230">
        <v>39000000</v>
      </c>
      <c r="M8230">
        <v>39000000</v>
      </c>
      <c r="N8230">
        <v>39000000</v>
      </c>
      <c r="O8230">
        <v>39000000</v>
      </c>
      <c r="P8230">
        <v>39000000</v>
      </c>
      <c r="Q8230">
        <v>39000000</v>
      </c>
      <c r="R8230" s="14">
        <f>_xlfn.XLOOKUP(Table2[[#This Row],[LoanID]],Table1[G-L ID],Table1[ManagerCode],-99)</f>
        <v>165</v>
      </c>
      <c r="T8230"/>
    </row>
    <row r="8231" spans="1:20" x14ac:dyDescent="0.25">
      <c r="A8231">
        <v>20190131</v>
      </c>
      <c r="B8231">
        <v>2019</v>
      </c>
      <c r="C8231">
        <v>1</v>
      </c>
      <c r="D8231">
        <v>1</v>
      </c>
      <c r="E8231">
        <v>13490</v>
      </c>
      <c r="F8231">
        <v>0</v>
      </c>
      <c r="G8231">
        <v>0</v>
      </c>
      <c r="H8231">
        <v>0</v>
      </c>
      <c r="I8231">
        <v>0</v>
      </c>
      <c r="J8231">
        <v>0</v>
      </c>
      <c r="K8231">
        <v>0</v>
      </c>
      <c r="L8231">
        <v>40000000</v>
      </c>
      <c r="M8231">
        <v>40000000</v>
      </c>
      <c r="N8231">
        <v>40000000</v>
      </c>
      <c r="O8231">
        <v>40000000</v>
      </c>
      <c r="P8231">
        <v>40000000</v>
      </c>
      <c r="Q8231">
        <v>40000000</v>
      </c>
      <c r="R8231" s="14">
        <f>_xlfn.XLOOKUP(Table2[[#This Row],[LoanID]],Table1[G-L ID],Table1[ManagerCode],-99)</f>
        <v>165</v>
      </c>
      <c r="T8231"/>
    </row>
    <row r="8232" spans="1:20" x14ac:dyDescent="0.25">
      <c r="A8232">
        <v>20190131</v>
      </c>
      <c r="B8232">
        <v>2019</v>
      </c>
      <c r="C8232">
        <v>1</v>
      </c>
      <c r="D8232">
        <v>1</v>
      </c>
      <c r="E8232">
        <v>13500</v>
      </c>
      <c r="F8232">
        <v>283628.46999999997</v>
      </c>
      <c r="G8232">
        <v>0</v>
      </c>
      <c r="H8232">
        <v>0</v>
      </c>
      <c r="I8232">
        <v>0</v>
      </c>
      <c r="J8232">
        <v>0</v>
      </c>
      <c r="K8232">
        <v>0</v>
      </c>
      <c r="L8232">
        <v>42500000</v>
      </c>
      <c r="M8232">
        <v>42500000</v>
      </c>
      <c r="N8232">
        <v>42500000</v>
      </c>
      <c r="O8232">
        <v>42500000</v>
      </c>
      <c r="P8232">
        <v>42500000</v>
      </c>
      <c r="Q8232">
        <v>42500000</v>
      </c>
      <c r="R8232" s="14">
        <f>_xlfn.XLOOKUP(Table2[[#This Row],[LoanID]],Table1[G-L ID],Table1[ManagerCode],-99)</f>
        <v>165</v>
      </c>
      <c r="T8232"/>
    </row>
    <row r="8233" spans="1:20" x14ac:dyDescent="0.25">
      <c r="A8233">
        <v>20190131</v>
      </c>
      <c r="B8233">
        <v>2019</v>
      </c>
      <c r="C8233">
        <v>1</v>
      </c>
      <c r="D8233">
        <v>1</v>
      </c>
      <c r="E8233">
        <v>13510</v>
      </c>
      <c r="F8233">
        <v>310000</v>
      </c>
      <c r="G8233">
        <v>0</v>
      </c>
      <c r="H8233">
        <v>0</v>
      </c>
      <c r="I8233">
        <v>0</v>
      </c>
      <c r="J8233">
        <v>0</v>
      </c>
      <c r="K8233">
        <v>0</v>
      </c>
      <c r="L8233">
        <v>90000000</v>
      </c>
      <c r="M8233">
        <v>90000000</v>
      </c>
      <c r="N8233">
        <v>90000000</v>
      </c>
      <c r="O8233">
        <v>90000000</v>
      </c>
      <c r="P8233">
        <v>90000000</v>
      </c>
      <c r="Q8233">
        <v>90000000</v>
      </c>
      <c r="R8233" s="14">
        <f>_xlfn.XLOOKUP(Table2[[#This Row],[LoanID]],Table1[G-L ID],Table1[ManagerCode],-99)</f>
        <v>165</v>
      </c>
      <c r="T8233"/>
    </row>
    <row r="8234" spans="1:20" x14ac:dyDescent="0.25">
      <c r="A8234">
        <v>20190131</v>
      </c>
      <c r="B8234">
        <v>2019</v>
      </c>
      <c r="C8234">
        <v>1</v>
      </c>
      <c r="D8234">
        <v>1</v>
      </c>
      <c r="E8234">
        <v>13520</v>
      </c>
      <c r="F8234">
        <v>860572.92</v>
      </c>
      <c r="G8234">
        <v>0</v>
      </c>
      <c r="H8234">
        <v>0</v>
      </c>
      <c r="I8234">
        <v>0</v>
      </c>
      <c r="J8234">
        <v>0</v>
      </c>
      <c r="K8234">
        <v>0</v>
      </c>
      <c r="L8234">
        <v>195000000</v>
      </c>
      <c r="M8234">
        <v>195000000</v>
      </c>
      <c r="N8234">
        <v>195000000</v>
      </c>
      <c r="O8234">
        <v>195000000</v>
      </c>
      <c r="P8234">
        <v>195000000</v>
      </c>
      <c r="Q8234">
        <v>195000000</v>
      </c>
      <c r="R8234" s="14">
        <f>_xlfn.XLOOKUP(Table2[[#This Row],[LoanID]],Table1[G-L ID],Table1[ManagerCode],-99)</f>
        <v>165</v>
      </c>
      <c r="T8234"/>
    </row>
    <row r="8235" spans="1:20" x14ac:dyDescent="0.25">
      <c r="A8235">
        <v>20190131</v>
      </c>
      <c r="B8235">
        <v>2019</v>
      </c>
      <c r="C8235">
        <v>1</v>
      </c>
      <c r="D8235">
        <v>1</v>
      </c>
      <c r="E8235">
        <v>13530</v>
      </c>
      <c r="F8235">
        <v>403645.83</v>
      </c>
      <c r="G8235">
        <v>0</v>
      </c>
      <c r="H8235">
        <v>0</v>
      </c>
      <c r="I8235">
        <v>0</v>
      </c>
      <c r="J8235">
        <v>0</v>
      </c>
      <c r="K8235">
        <v>0</v>
      </c>
      <c r="L8235">
        <v>75000000</v>
      </c>
      <c r="M8235">
        <v>75000000</v>
      </c>
      <c r="N8235">
        <v>75000000</v>
      </c>
      <c r="O8235">
        <v>75000000</v>
      </c>
      <c r="P8235">
        <v>75000000</v>
      </c>
      <c r="Q8235">
        <v>75000000</v>
      </c>
      <c r="R8235" s="14">
        <f>_xlfn.XLOOKUP(Table2[[#This Row],[LoanID]],Table1[G-L ID],Table1[ManagerCode],-99)</f>
        <v>165</v>
      </c>
      <c r="T8235"/>
    </row>
    <row r="8236" spans="1:20" x14ac:dyDescent="0.25">
      <c r="A8236">
        <v>20190131</v>
      </c>
      <c r="B8236">
        <v>2019</v>
      </c>
      <c r="C8236">
        <v>1</v>
      </c>
      <c r="D8236">
        <v>1</v>
      </c>
      <c r="E8236">
        <v>13540</v>
      </c>
      <c r="F8236">
        <v>263428.45</v>
      </c>
      <c r="G8236">
        <v>0</v>
      </c>
      <c r="H8236">
        <v>0</v>
      </c>
      <c r="I8236">
        <v>0</v>
      </c>
      <c r="J8236">
        <v>0</v>
      </c>
      <c r="K8236">
        <v>0</v>
      </c>
      <c r="L8236">
        <v>42195436.229999997</v>
      </c>
      <c r="M8236">
        <v>42195436.229999997</v>
      </c>
      <c r="N8236">
        <v>42195436.229999997</v>
      </c>
      <c r="O8236">
        <v>42195436.229999997</v>
      </c>
      <c r="P8236">
        <v>42195436.229999997</v>
      </c>
      <c r="Q8236">
        <v>42195436.229999997</v>
      </c>
      <c r="R8236" s="14">
        <f>_xlfn.XLOOKUP(Table2[[#This Row],[LoanID]],Table1[G-L ID],Table1[ManagerCode],-99)</f>
        <v>165</v>
      </c>
      <c r="T8236"/>
    </row>
    <row r="8237" spans="1:20" x14ac:dyDescent="0.25">
      <c r="A8237">
        <v>20190131</v>
      </c>
      <c r="B8237">
        <v>2019</v>
      </c>
      <c r="C8237">
        <v>1</v>
      </c>
      <c r="D8237">
        <v>1</v>
      </c>
      <c r="E8237">
        <v>13550</v>
      </c>
      <c r="F8237">
        <v>1682872.91</v>
      </c>
      <c r="G8237">
        <v>0</v>
      </c>
      <c r="H8237">
        <v>0</v>
      </c>
      <c r="I8237">
        <v>0</v>
      </c>
      <c r="J8237">
        <v>0</v>
      </c>
      <c r="K8237">
        <v>0</v>
      </c>
      <c r="L8237">
        <v>355328004.80000001</v>
      </c>
      <c r="M8237">
        <v>355328004.80000001</v>
      </c>
      <c r="N8237">
        <v>355328004.80000001</v>
      </c>
      <c r="O8237">
        <v>355328004.80000001</v>
      </c>
      <c r="P8237">
        <v>355328004.80000001</v>
      </c>
      <c r="Q8237">
        <v>355328004.80000001</v>
      </c>
      <c r="R8237" s="14">
        <f>_xlfn.XLOOKUP(Table2[[#This Row],[LoanID]],Table1[G-L ID],Table1[ManagerCode],-99)</f>
        <v>165</v>
      </c>
      <c r="T8237"/>
    </row>
    <row r="8238" spans="1:20" x14ac:dyDescent="0.25">
      <c r="A8238">
        <v>20190131</v>
      </c>
      <c r="B8238">
        <v>2019</v>
      </c>
      <c r="C8238">
        <v>1</v>
      </c>
      <c r="D8238">
        <v>1</v>
      </c>
      <c r="E8238">
        <v>13580</v>
      </c>
      <c r="F8238">
        <v>429479.17</v>
      </c>
      <c r="G8238">
        <v>0</v>
      </c>
      <c r="H8238">
        <v>0</v>
      </c>
      <c r="I8238">
        <v>0</v>
      </c>
      <c r="J8238">
        <v>0</v>
      </c>
      <c r="K8238">
        <v>0</v>
      </c>
      <c r="L8238">
        <v>63408139</v>
      </c>
      <c r="M8238">
        <v>63481050.189999998</v>
      </c>
      <c r="N8238">
        <v>63408139</v>
      </c>
      <c r="O8238">
        <v>63481050.189999998</v>
      </c>
      <c r="P8238">
        <v>66500000</v>
      </c>
      <c r="Q8238">
        <v>66500000</v>
      </c>
      <c r="R8238" s="14">
        <f>_xlfn.XLOOKUP(Table2[[#This Row],[LoanID]],Table1[G-L ID],Table1[ManagerCode],-99)</f>
        <v>298</v>
      </c>
      <c r="T8238"/>
    </row>
    <row r="8239" spans="1:20" x14ac:dyDescent="0.25">
      <c r="A8239">
        <v>20190131</v>
      </c>
      <c r="B8239">
        <v>2019</v>
      </c>
      <c r="C8239">
        <v>1</v>
      </c>
      <c r="D8239">
        <v>1</v>
      </c>
      <c r="E8239">
        <v>13590</v>
      </c>
      <c r="F8239">
        <v>308484.44</v>
      </c>
      <c r="G8239">
        <v>0</v>
      </c>
      <c r="H8239">
        <v>0</v>
      </c>
      <c r="I8239">
        <v>0</v>
      </c>
      <c r="J8239">
        <v>0</v>
      </c>
      <c r="K8239">
        <v>0</v>
      </c>
      <c r="L8239">
        <v>40000000</v>
      </c>
      <c r="M8239">
        <v>40000000</v>
      </c>
      <c r="N8239">
        <v>40000000</v>
      </c>
      <c r="O8239">
        <v>40000000</v>
      </c>
      <c r="P8239">
        <v>40000000</v>
      </c>
      <c r="Q8239">
        <v>40000000</v>
      </c>
      <c r="R8239" s="14">
        <f>_xlfn.XLOOKUP(Table2[[#This Row],[LoanID]],Table1[G-L ID],Table1[ManagerCode],-99)</f>
        <v>298</v>
      </c>
      <c r="T8239"/>
    </row>
    <row r="8240" spans="1:20" x14ac:dyDescent="0.25">
      <c r="A8240">
        <v>20190131</v>
      </c>
      <c r="B8240">
        <v>2019</v>
      </c>
      <c r="C8240">
        <v>1</v>
      </c>
      <c r="D8240">
        <v>1</v>
      </c>
      <c r="E8240">
        <v>13600</v>
      </c>
      <c r="F8240">
        <v>379029.03</v>
      </c>
      <c r="G8240">
        <v>0</v>
      </c>
      <c r="H8240">
        <v>0</v>
      </c>
      <c r="I8240">
        <v>0</v>
      </c>
      <c r="J8240">
        <v>0</v>
      </c>
      <c r="K8240">
        <v>0</v>
      </c>
      <c r="L8240">
        <v>45970000</v>
      </c>
      <c r="M8240">
        <v>45970000</v>
      </c>
      <c r="N8240">
        <v>45970000</v>
      </c>
      <c r="O8240">
        <v>45970000</v>
      </c>
      <c r="P8240">
        <v>45970000</v>
      </c>
      <c r="Q8240">
        <v>45970000</v>
      </c>
      <c r="R8240" s="14">
        <f>_xlfn.XLOOKUP(Table2[[#This Row],[LoanID]],Table1[G-L ID],Table1[ManagerCode],-99)</f>
        <v>298</v>
      </c>
      <c r="T8240"/>
    </row>
    <row r="8241" spans="1:20" x14ac:dyDescent="0.25">
      <c r="A8241">
        <v>20190131</v>
      </c>
      <c r="B8241">
        <v>2019</v>
      </c>
      <c r="C8241">
        <v>1</v>
      </c>
      <c r="D8241">
        <v>1</v>
      </c>
      <c r="E8241">
        <v>13610</v>
      </c>
      <c r="F8241">
        <v>63291.67</v>
      </c>
      <c r="G8241">
        <v>0</v>
      </c>
      <c r="H8241">
        <v>0</v>
      </c>
      <c r="I8241">
        <v>0</v>
      </c>
      <c r="J8241">
        <v>0</v>
      </c>
      <c r="K8241">
        <v>0</v>
      </c>
      <c r="L8241">
        <v>10542185</v>
      </c>
      <c r="M8241">
        <v>10542185</v>
      </c>
      <c r="N8241">
        <v>10542185</v>
      </c>
      <c r="O8241">
        <v>10542185</v>
      </c>
      <c r="P8241">
        <v>10500000</v>
      </c>
      <c r="Q8241">
        <v>10500000</v>
      </c>
      <c r="R8241" s="14">
        <f>_xlfn.XLOOKUP(Table2[[#This Row],[LoanID]],Table1[G-L ID],Table1[ManagerCode],-99)</f>
        <v>298</v>
      </c>
      <c r="T8241"/>
    </row>
    <row r="8242" spans="1:20" x14ac:dyDescent="0.25">
      <c r="A8242">
        <v>20190131</v>
      </c>
      <c r="B8242">
        <v>2019</v>
      </c>
      <c r="C8242">
        <v>1</v>
      </c>
      <c r="D8242">
        <v>1</v>
      </c>
      <c r="E8242">
        <v>13620</v>
      </c>
      <c r="F8242">
        <v>370536.11</v>
      </c>
      <c r="G8242">
        <v>0</v>
      </c>
      <c r="H8242">
        <v>0</v>
      </c>
      <c r="I8242">
        <v>0</v>
      </c>
      <c r="J8242">
        <v>0</v>
      </c>
      <c r="K8242">
        <v>0</v>
      </c>
      <c r="L8242">
        <v>49842286</v>
      </c>
      <c r="M8242">
        <v>49842286</v>
      </c>
      <c r="N8242">
        <v>49842286</v>
      </c>
      <c r="O8242">
        <v>49842286</v>
      </c>
      <c r="P8242">
        <v>50000000</v>
      </c>
      <c r="Q8242">
        <v>50000000</v>
      </c>
      <c r="R8242" s="14">
        <f>_xlfn.XLOOKUP(Table2[[#This Row],[LoanID]],Table1[G-L ID],Table1[ManagerCode],-99)</f>
        <v>298</v>
      </c>
      <c r="T8242"/>
    </row>
    <row r="8243" spans="1:20" x14ac:dyDescent="0.25">
      <c r="A8243">
        <v>20190131</v>
      </c>
      <c r="B8243">
        <v>2019</v>
      </c>
      <c r="C8243">
        <v>1</v>
      </c>
      <c r="D8243">
        <v>1</v>
      </c>
      <c r="E8243">
        <v>13630</v>
      </c>
      <c r="F8243">
        <v>218506.94</v>
      </c>
      <c r="G8243">
        <v>0</v>
      </c>
      <c r="H8243">
        <v>0</v>
      </c>
      <c r="I8243">
        <v>0</v>
      </c>
      <c r="J8243">
        <v>0</v>
      </c>
      <c r="K8243">
        <v>0</v>
      </c>
      <c r="L8243">
        <v>35449769.57</v>
      </c>
      <c r="M8243">
        <v>35449769.57</v>
      </c>
      <c r="N8243">
        <v>35449769.57</v>
      </c>
      <c r="O8243">
        <v>35449769.57</v>
      </c>
      <c r="P8243">
        <v>35000000</v>
      </c>
      <c r="Q8243">
        <v>35000000</v>
      </c>
      <c r="R8243" s="14">
        <f>_xlfn.XLOOKUP(Table2[[#This Row],[LoanID]],Table1[G-L ID],Table1[ManagerCode],-99)</f>
        <v>298</v>
      </c>
      <c r="T8243"/>
    </row>
    <row r="8244" spans="1:20" x14ac:dyDescent="0.25">
      <c r="A8244">
        <v>20190131</v>
      </c>
      <c r="B8244">
        <v>2019</v>
      </c>
      <c r="C8244">
        <v>1</v>
      </c>
      <c r="D8244">
        <v>1</v>
      </c>
      <c r="E8244">
        <v>13640</v>
      </c>
      <c r="F8244">
        <v>226983.51</v>
      </c>
      <c r="G8244">
        <v>0</v>
      </c>
      <c r="H8244">
        <v>0</v>
      </c>
      <c r="I8244">
        <v>0</v>
      </c>
      <c r="J8244">
        <v>0</v>
      </c>
      <c r="K8244">
        <v>0</v>
      </c>
      <c r="L8244">
        <v>30714705</v>
      </c>
      <c r="M8244">
        <v>30714705</v>
      </c>
      <c r="N8244">
        <v>30714705</v>
      </c>
      <c r="O8244">
        <v>30714705</v>
      </c>
      <c r="P8244">
        <v>30125000</v>
      </c>
      <c r="Q8244">
        <v>30125000</v>
      </c>
      <c r="R8244" s="14">
        <f>_xlfn.XLOOKUP(Table2[[#This Row],[LoanID]],Table1[G-L ID],Table1[ManagerCode],-99)</f>
        <v>298</v>
      </c>
      <c r="T8244"/>
    </row>
    <row r="8245" spans="1:20" x14ac:dyDescent="0.25">
      <c r="A8245">
        <v>20190131</v>
      </c>
      <c r="B8245">
        <v>2019</v>
      </c>
      <c r="C8245">
        <v>1</v>
      </c>
      <c r="D8245">
        <v>1</v>
      </c>
      <c r="E8245">
        <v>13650</v>
      </c>
      <c r="F8245">
        <v>223888.89</v>
      </c>
      <c r="G8245">
        <v>0</v>
      </c>
      <c r="H8245">
        <v>0</v>
      </c>
      <c r="I8245">
        <v>0</v>
      </c>
      <c r="J8245">
        <v>0</v>
      </c>
      <c r="K8245">
        <v>0</v>
      </c>
      <c r="L8245">
        <v>38895325</v>
      </c>
      <c r="M8245">
        <v>38895325</v>
      </c>
      <c r="N8245">
        <v>38895325</v>
      </c>
      <c r="O8245">
        <v>38895325</v>
      </c>
      <c r="P8245">
        <v>40000000</v>
      </c>
      <c r="Q8245">
        <v>40000000</v>
      </c>
      <c r="R8245" s="14">
        <f>_xlfn.XLOOKUP(Table2[[#This Row],[LoanID]],Table1[G-L ID],Table1[ManagerCode],-99)</f>
        <v>298</v>
      </c>
      <c r="T8245"/>
    </row>
    <row r="8246" spans="1:20" x14ac:dyDescent="0.25">
      <c r="A8246">
        <v>20190131</v>
      </c>
      <c r="B8246">
        <v>2019</v>
      </c>
      <c r="C8246">
        <v>1</v>
      </c>
      <c r="D8246">
        <v>1</v>
      </c>
      <c r="E8246">
        <v>13660</v>
      </c>
      <c r="F8246">
        <v>117972.22</v>
      </c>
      <c r="G8246">
        <v>0</v>
      </c>
      <c r="H8246">
        <v>0</v>
      </c>
      <c r="I8246">
        <v>0</v>
      </c>
      <c r="J8246">
        <v>0</v>
      </c>
      <c r="K8246">
        <v>0</v>
      </c>
      <c r="L8246">
        <v>19313433</v>
      </c>
      <c r="M8246">
        <v>19313433</v>
      </c>
      <c r="N8246">
        <v>19313433</v>
      </c>
      <c r="O8246">
        <v>19313433</v>
      </c>
      <c r="P8246">
        <v>20000000</v>
      </c>
      <c r="Q8246">
        <v>20000000</v>
      </c>
      <c r="R8246" s="14">
        <f>_xlfn.XLOOKUP(Table2[[#This Row],[LoanID]],Table1[G-L ID],Table1[ManagerCode],-99)</f>
        <v>298</v>
      </c>
      <c r="T8246"/>
    </row>
    <row r="8247" spans="1:20" x14ac:dyDescent="0.25">
      <c r="A8247">
        <v>20190131</v>
      </c>
      <c r="B8247">
        <v>2019</v>
      </c>
      <c r="C8247">
        <v>1</v>
      </c>
      <c r="D8247">
        <v>1</v>
      </c>
      <c r="E8247">
        <v>13670</v>
      </c>
      <c r="F8247">
        <v>361860.42</v>
      </c>
      <c r="G8247">
        <v>0</v>
      </c>
      <c r="H8247">
        <v>0</v>
      </c>
      <c r="I8247">
        <v>0</v>
      </c>
      <c r="J8247">
        <v>0</v>
      </c>
      <c r="K8247">
        <v>0</v>
      </c>
      <c r="L8247">
        <v>37652328.590000004</v>
      </c>
      <c r="M8247">
        <v>37652328.590000004</v>
      </c>
      <c r="N8247">
        <v>37652328.590000004</v>
      </c>
      <c r="O8247">
        <v>37652328.590000004</v>
      </c>
      <c r="P8247">
        <v>37500000</v>
      </c>
      <c r="Q8247">
        <v>37500000</v>
      </c>
      <c r="R8247" s="14">
        <f>_xlfn.XLOOKUP(Table2[[#This Row],[LoanID]],Table1[G-L ID],Table1[ManagerCode],-99)</f>
        <v>298</v>
      </c>
      <c r="T8247"/>
    </row>
    <row r="8248" spans="1:20" x14ac:dyDescent="0.25">
      <c r="A8248">
        <v>20190131</v>
      </c>
      <c r="B8248">
        <v>2019</v>
      </c>
      <c r="C8248">
        <v>1</v>
      </c>
      <c r="D8248">
        <v>1</v>
      </c>
      <c r="E8248">
        <v>13690</v>
      </c>
      <c r="F8248">
        <v>133472.22</v>
      </c>
      <c r="G8248">
        <v>0</v>
      </c>
      <c r="H8248">
        <v>0</v>
      </c>
      <c r="I8248">
        <v>0</v>
      </c>
      <c r="J8248">
        <v>0</v>
      </c>
      <c r="K8248">
        <v>0</v>
      </c>
      <c r="L8248">
        <v>19791063.850000001</v>
      </c>
      <c r="M8248">
        <v>19791063.850000001</v>
      </c>
      <c r="N8248">
        <v>19791063.850000001</v>
      </c>
      <c r="O8248">
        <v>19791063.850000001</v>
      </c>
      <c r="P8248">
        <v>20000000</v>
      </c>
      <c r="Q8248">
        <v>20000000</v>
      </c>
      <c r="R8248" s="14">
        <f>_xlfn.XLOOKUP(Table2[[#This Row],[LoanID]],Table1[G-L ID],Table1[ManagerCode],-99)</f>
        <v>298</v>
      </c>
      <c r="T8248"/>
    </row>
    <row r="8249" spans="1:20" x14ac:dyDescent="0.25">
      <c r="A8249">
        <v>20190131</v>
      </c>
      <c r="B8249">
        <v>2019</v>
      </c>
      <c r="C8249">
        <v>1</v>
      </c>
      <c r="D8249">
        <v>1</v>
      </c>
      <c r="E8249">
        <v>13700</v>
      </c>
      <c r="F8249">
        <v>142497.39000000001</v>
      </c>
      <c r="G8249">
        <v>0</v>
      </c>
      <c r="H8249">
        <v>0</v>
      </c>
      <c r="I8249">
        <v>0</v>
      </c>
      <c r="J8249">
        <v>-199959.38</v>
      </c>
      <c r="K8249">
        <v>0</v>
      </c>
      <c r="L8249">
        <v>22260000</v>
      </c>
      <c r="M8249">
        <v>22459959.379999999</v>
      </c>
      <c r="N8249">
        <v>22260000</v>
      </c>
      <c r="O8249">
        <v>22459959.379999999</v>
      </c>
      <c r="P8249">
        <v>22260000</v>
      </c>
      <c r="Q8249">
        <v>22459959.379999999</v>
      </c>
      <c r="R8249" s="14">
        <f>_xlfn.XLOOKUP(Table2[[#This Row],[LoanID]],Table1[G-L ID],Table1[ManagerCode],-99)</f>
        <v>119</v>
      </c>
      <c r="T8249"/>
    </row>
    <row r="8250" spans="1:20" x14ac:dyDescent="0.25">
      <c r="A8250">
        <v>20190131</v>
      </c>
      <c r="B8250">
        <v>2019</v>
      </c>
      <c r="C8250">
        <v>1</v>
      </c>
      <c r="D8250">
        <v>1</v>
      </c>
      <c r="E8250">
        <v>13710</v>
      </c>
      <c r="F8250">
        <v>339604.97</v>
      </c>
      <c r="G8250">
        <v>0</v>
      </c>
      <c r="H8250">
        <v>0</v>
      </c>
      <c r="I8250">
        <v>0</v>
      </c>
      <c r="J8250">
        <v>0</v>
      </c>
      <c r="K8250">
        <v>0</v>
      </c>
      <c r="L8250">
        <v>24500000</v>
      </c>
      <c r="M8250">
        <v>24500000</v>
      </c>
      <c r="N8250">
        <v>24500000</v>
      </c>
      <c r="O8250">
        <v>24500000</v>
      </c>
      <c r="P8250">
        <v>24500000</v>
      </c>
      <c r="Q8250">
        <v>24500000</v>
      </c>
      <c r="R8250" s="14">
        <f>_xlfn.XLOOKUP(Table2[[#This Row],[LoanID]],Table1[G-L ID],Table1[ManagerCode],-99)</f>
        <v>119</v>
      </c>
      <c r="T8250"/>
    </row>
    <row r="8251" spans="1:20" x14ac:dyDescent="0.25">
      <c r="A8251">
        <v>20190131</v>
      </c>
      <c r="B8251">
        <v>2019</v>
      </c>
      <c r="C8251">
        <v>1</v>
      </c>
      <c r="D8251">
        <v>1</v>
      </c>
      <c r="E8251">
        <v>13720</v>
      </c>
      <c r="F8251">
        <v>71385.84</v>
      </c>
      <c r="G8251">
        <v>0</v>
      </c>
      <c r="H8251">
        <v>409500</v>
      </c>
      <c r="I8251">
        <v>0</v>
      </c>
      <c r="J8251">
        <v>-16242512.48</v>
      </c>
      <c r="K8251">
        <v>0</v>
      </c>
      <c r="L8251">
        <v>0</v>
      </c>
      <c r="M8251">
        <v>16242512.48</v>
      </c>
      <c r="N8251">
        <v>0</v>
      </c>
      <c r="O8251">
        <v>16242512.48</v>
      </c>
      <c r="P8251">
        <v>0</v>
      </c>
      <c r="Q8251">
        <v>16242512.48</v>
      </c>
      <c r="R8251" s="14">
        <f>_xlfn.XLOOKUP(Table2[[#This Row],[LoanID]],Table1[G-L ID],Table1[ManagerCode],-99)</f>
        <v>119</v>
      </c>
      <c r="T8251"/>
    </row>
    <row r="8252" spans="1:20" x14ac:dyDescent="0.25">
      <c r="A8252">
        <v>20190131</v>
      </c>
      <c r="B8252">
        <v>2019</v>
      </c>
      <c r="C8252">
        <v>1</v>
      </c>
      <c r="D8252">
        <v>1</v>
      </c>
      <c r="E8252">
        <v>14000</v>
      </c>
      <c r="F8252">
        <v>215456.09</v>
      </c>
      <c r="G8252">
        <v>0</v>
      </c>
      <c r="H8252">
        <v>0</v>
      </c>
      <c r="I8252">
        <v>0</v>
      </c>
      <c r="J8252">
        <v>0</v>
      </c>
      <c r="K8252">
        <v>0</v>
      </c>
      <c r="L8252">
        <v>98000000</v>
      </c>
      <c r="M8252">
        <v>98000000</v>
      </c>
      <c r="N8252">
        <v>39200000</v>
      </c>
      <c r="O8252">
        <v>39200000</v>
      </c>
      <c r="P8252">
        <v>98000000</v>
      </c>
      <c r="Q8252">
        <v>98000000</v>
      </c>
      <c r="R8252" s="14">
        <f>_xlfn.XLOOKUP(Table2[[#This Row],[LoanID]],Table1[G-L ID],Table1[ManagerCode],-99)</f>
        <v>183</v>
      </c>
      <c r="T8252"/>
    </row>
    <row r="8253" spans="1:20" x14ac:dyDescent="0.25">
      <c r="A8253">
        <v>20190131</v>
      </c>
      <c r="B8253">
        <v>2019</v>
      </c>
      <c r="C8253">
        <v>1</v>
      </c>
      <c r="D8253">
        <v>1</v>
      </c>
      <c r="E8253">
        <v>14010</v>
      </c>
      <c r="F8253">
        <v>80305.429999999993</v>
      </c>
      <c r="G8253">
        <v>0</v>
      </c>
      <c r="H8253">
        <v>0</v>
      </c>
      <c r="I8253">
        <v>0</v>
      </c>
      <c r="J8253">
        <v>0</v>
      </c>
      <c r="K8253">
        <v>0</v>
      </c>
      <c r="L8253">
        <v>9920000</v>
      </c>
      <c r="M8253">
        <v>9920000</v>
      </c>
      <c r="N8253">
        <v>9920000</v>
      </c>
      <c r="O8253">
        <v>9920000</v>
      </c>
      <c r="P8253">
        <v>9920000</v>
      </c>
      <c r="Q8253">
        <v>9920000</v>
      </c>
      <c r="R8253" s="14">
        <f>_xlfn.XLOOKUP(Table2[[#This Row],[LoanID]],Table1[G-L ID],Table1[ManagerCode],-99)</f>
        <v>119</v>
      </c>
      <c r="T8253"/>
    </row>
    <row r="8254" spans="1:20" x14ac:dyDescent="0.25">
      <c r="A8254">
        <v>20190131</v>
      </c>
      <c r="B8254">
        <v>2019</v>
      </c>
      <c r="C8254">
        <v>1</v>
      </c>
      <c r="D8254">
        <v>1</v>
      </c>
      <c r="E8254">
        <v>14020</v>
      </c>
      <c r="F8254">
        <v>285104</v>
      </c>
      <c r="G8254">
        <v>0</v>
      </c>
      <c r="H8254">
        <v>0</v>
      </c>
      <c r="I8254">
        <v>0</v>
      </c>
      <c r="J8254">
        <v>-3344886.6</v>
      </c>
      <c r="K8254">
        <v>0</v>
      </c>
      <c r="L8254">
        <v>36335302.43</v>
      </c>
      <c r="M8254">
        <v>39680189.030000001</v>
      </c>
      <c r="N8254">
        <v>36335302.43</v>
      </c>
      <c r="O8254">
        <v>39680189.030000001</v>
      </c>
      <c r="P8254">
        <v>36335302.43</v>
      </c>
      <c r="Q8254">
        <v>39680189.030000001</v>
      </c>
      <c r="R8254" s="14">
        <f>_xlfn.XLOOKUP(Table2[[#This Row],[LoanID]],Table1[G-L ID],Table1[ManagerCode],-99)</f>
        <v>119</v>
      </c>
      <c r="T8254"/>
    </row>
    <row r="8255" spans="1:20" x14ac:dyDescent="0.25">
      <c r="A8255">
        <v>20190131</v>
      </c>
      <c r="B8255">
        <v>2019</v>
      </c>
      <c r="C8255">
        <v>1</v>
      </c>
      <c r="D8255">
        <v>1</v>
      </c>
      <c r="E8255">
        <v>14670</v>
      </c>
      <c r="F8255">
        <v>71296.149999999994</v>
      </c>
      <c r="G8255">
        <v>0</v>
      </c>
      <c r="H8255">
        <v>0</v>
      </c>
      <c r="I8255">
        <v>0</v>
      </c>
      <c r="J8255">
        <v>0</v>
      </c>
      <c r="K8255">
        <v>37866.85</v>
      </c>
      <c r="L8255">
        <v>29832020</v>
      </c>
      <c r="M8255">
        <v>29832020</v>
      </c>
      <c r="N8255">
        <v>8783770</v>
      </c>
      <c r="O8255">
        <v>8783770</v>
      </c>
      <c r="P8255">
        <v>29630180.309999999</v>
      </c>
      <c r="Q8255">
        <v>29592313.460000001</v>
      </c>
      <c r="R8255" s="14">
        <f>_xlfn.XLOOKUP(Table2[[#This Row],[LoanID]],Table1[G-L ID],Table1[ManagerCode],-99)</f>
        <v>220</v>
      </c>
      <c r="T8255"/>
    </row>
    <row r="8256" spans="1:20" x14ac:dyDescent="0.25">
      <c r="A8256">
        <v>20190131</v>
      </c>
      <c r="B8256">
        <v>2019</v>
      </c>
      <c r="C8256">
        <v>1</v>
      </c>
      <c r="D8256">
        <v>1</v>
      </c>
      <c r="E8256">
        <v>14680</v>
      </c>
      <c r="F8256">
        <v>54053.5</v>
      </c>
      <c r="G8256">
        <v>0</v>
      </c>
      <c r="H8256">
        <v>0</v>
      </c>
      <c r="I8256">
        <v>0</v>
      </c>
      <c r="J8256">
        <v>-337981.04</v>
      </c>
      <c r="K8256">
        <v>0</v>
      </c>
      <c r="L8256">
        <v>27816131</v>
      </c>
      <c r="M8256">
        <v>27816131</v>
      </c>
      <c r="N8256">
        <v>7566131</v>
      </c>
      <c r="O8256">
        <v>7566131</v>
      </c>
      <c r="P8256">
        <v>27704364.23</v>
      </c>
      <c r="Q8256">
        <v>28042345.27</v>
      </c>
      <c r="R8256" s="14">
        <f>_xlfn.XLOOKUP(Table2[[#This Row],[LoanID]],Table1[G-L ID],Table1[ManagerCode],-99)</f>
        <v>220</v>
      </c>
      <c r="T8256"/>
    </row>
    <row r="8257" spans="1:20" x14ac:dyDescent="0.25">
      <c r="A8257">
        <v>20190131</v>
      </c>
      <c r="B8257">
        <v>2019</v>
      </c>
      <c r="C8257">
        <v>1</v>
      </c>
      <c r="D8257">
        <v>1</v>
      </c>
      <c r="E8257">
        <v>14690</v>
      </c>
      <c r="F8257">
        <v>-2538.63</v>
      </c>
      <c r="G8257">
        <v>0</v>
      </c>
      <c r="H8257">
        <v>507640</v>
      </c>
      <c r="I8257">
        <v>0</v>
      </c>
      <c r="J8257">
        <v>-42335000</v>
      </c>
      <c r="K8257">
        <v>27517750</v>
      </c>
      <c r="L8257">
        <v>0</v>
      </c>
      <c r="M8257">
        <v>42335000</v>
      </c>
      <c r="N8257">
        <v>0</v>
      </c>
      <c r="O8257">
        <v>14817250</v>
      </c>
      <c r="P8257">
        <v>0</v>
      </c>
      <c r="Q8257">
        <v>42335000</v>
      </c>
      <c r="R8257" s="14">
        <f>_xlfn.XLOOKUP(Table2[[#This Row],[LoanID]],Table1[G-L ID],Table1[ManagerCode],-99)</f>
        <v>220</v>
      </c>
      <c r="T8257"/>
    </row>
    <row r="8258" spans="1:20" x14ac:dyDescent="0.25">
      <c r="A8258">
        <v>20190131</v>
      </c>
      <c r="B8258">
        <v>2019</v>
      </c>
      <c r="C8258">
        <v>1</v>
      </c>
      <c r="D8258">
        <v>1</v>
      </c>
      <c r="E8258">
        <v>14720</v>
      </c>
      <c r="F8258">
        <v>39686.339999999997</v>
      </c>
      <c r="G8258">
        <v>0</v>
      </c>
      <c r="H8258">
        <v>0</v>
      </c>
      <c r="I8258">
        <v>0</v>
      </c>
      <c r="J8258">
        <v>0</v>
      </c>
      <c r="K8258">
        <v>0</v>
      </c>
      <c r="L8258">
        <v>19673107</v>
      </c>
      <c r="M8258">
        <v>19673107</v>
      </c>
      <c r="N8258">
        <v>5946107</v>
      </c>
      <c r="O8258">
        <v>5946107</v>
      </c>
      <c r="P8258">
        <v>19610000</v>
      </c>
      <c r="Q8258">
        <v>19610000</v>
      </c>
      <c r="R8258" s="14">
        <f>_xlfn.XLOOKUP(Table2[[#This Row],[LoanID]],Table1[G-L ID],Table1[ManagerCode],-99)</f>
        <v>220</v>
      </c>
      <c r="T8258"/>
    </row>
    <row r="8259" spans="1:20" x14ac:dyDescent="0.25">
      <c r="A8259">
        <v>20190131</v>
      </c>
      <c r="B8259">
        <v>2019</v>
      </c>
      <c r="C8259">
        <v>1</v>
      </c>
      <c r="D8259">
        <v>1</v>
      </c>
      <c r="E8259">
        <v>14730</v>
      </c>
      <c r="F8259">
        <v>205577.36</v>
      </c>
      <c r="G8259">
        <v>0</v>
      </c>
      <c r="H8259">
        <v>0</v>
      </c>
      <c r="I8259">
        <v>0</v>
      </c>
      <c r="J8259">
        <v>0</v>
      </c>
      <c r="K8259">
        <v>0</v>
      </c>
      <c r="L8259">
        <v>50412525</v>
      </c>
      <c r="M8259">
        <v>50412525</v>
      </c>
      <c r="N8259">
        <v>50412525</v>
      </c>
      <c r="O8259">
        <v>50412525</v>
      </c>
      <c r="P8259">
        <v>50260000</v>
      </c>
      <c r="Q8259">
        <v>50260000</v>
      </c>
      <c r="R8259" s="14">
        <f>_xlfn.XLOOKUP(Table2[[#This Row],[LoanID]],Table1[G-L ID],Table1[ManagerCode],-99)</f>
        <v>220</v>
      </c>
      <c r="T8259"/>
    </row>
    <row r="8260" spans="1:20" x14ac:dyDescent="0.25">
      <c r="A8260">
        <v>20190131</v>
      </c>
      <c r="B8260">
        <v>2019</v>
      </c>
      <c r="C8260">
        <v>1</v>
      </c>
      <c r="D8260">
        <v>1</v>
      </c>
      <c r="E8260">
        <v>14740</v>
      </c>
      <c r="F8260">
        <v>131332.54999999999</v>
      </c>
      <c r="G8260">
        <v>0</v>
      </c>
      <c r="H8260">
        <v>0</v>
      </c>
      <c r="I8260">
        <v>0</v>
      </c>
      <c r="J8260">
        <v>0</v>
      </c>
      <c r="K8260">
        <v>21000000</v>
      </c>
      <c r="L8260">
        <v>35124268</v>
      </c>
      <c r="M8260">
        <v>35128398</v>
      </c>
      <c r="N8260">
        <v>35124268</v>
      </c>
      <c r="O8260">
        <v>14128398</v>
      </c>
      <c r="P8260">
        <v>35000000</v>
      </c>
      <c r="Q8260">
        <v>35000000</v>
      </c>
      <c r="R8260" s="14">
        <f>_xlfn.XLOOKUP(Table2[[#This Row],[LoanID]],Table1[G-L ID],Table1[ManagerCode],-99)</f>
        <v>220</v>
      </c>
      <c r="T8260"/>
    </row>
    <row r="8261" spans="1:20" x14ac:dyDescent="0.25">
      <c r="A8261">
        <v>20190131</v>
      </c>
      <c r="B8261">
        <v>2019</v>
      </c>
      <c r="C8261">
        <v>1</v>
      </c>
      <c r="D8261">
        <v>1</v>
      </c>
      <c r="E8261">
        <v>14750</v>
      </c>
      <c r="F8261">
        <v>-118160.7</v>
      </c>
      <c r="G8261">
        <v>0</v>
      </c>
      <c r="H8261">
        <v>0</v>
      </c>
      <c r="I8261">
        <v>0</v>
      </c>
      <c r="J8261">
        <v>0</v>
      </c>
      <c r="K8261">
        <v>0</v>
      </c>
      <c r="L8261">
        <v>55000000</v>
      </c>
      <c r="M8261">
        <v>55000000</v>
      </c>
      <c r="N8261">
        <v>19250000</v>
      </c>
      <c r="O8261">
        <v>19250000</v>
      </c>
      <c r="P8261">
        <v>55000000</v>
      </c>
      <c r="Q8261">
        <v>55000000</v>
      </c>
      <c r="R8261" s="14">
        <f>_xlfn.XLOOKUP(Table2[[#This Row],[LoanID]],Table1[G-L ID],Table1[ManagerCode],-99)</f>
        <v>220</v>
      </c>
      <c r="T8261"/>
    </row>
    <row r="8262" spans="1:20" x14ac:dyDescent="0.25">
      <c r="A8262">
        <v>20190131</v>
      </c>
      <c r="B8262">
        <v>2019</v>
      </c>
      <c r="C8262">
        <v>1</v>
      </c>
      <c r="D8262">
        <v>1</v>
      </c>
      <c r="E8262">
        <v>14790</v>
      </c>
      <c r="F8262">
        <v>181512.41</v>
      </c>
      <c r="G8262">
        <v>0</v>
      </c>
      <c r="H8262">
        <v>0</v>
      </c>
      <c r="I8262">
        <v>0</v>
      </c>
      <c r="J8262">
        <v>0</v>
      </c>
      <c r="K8262">
        <v>9331342</v>
      </c>
      <c r="L8262">
        <v>72887956</v>
      </c>
      <c r="M8262">
        <v>72887956</v>
      </c>
      <c r="N8262">
        <v>32887956</v>
      </c>
      <c r="O8262">
        <v>23556614</v>
      </c>
      <c r="P8262">
        <v>72200000</v>
      </c>
      <c r="Q8262">
        <v>72200000</v>
      </c>
      <c r="R8262" s="14">
        <f>_xlfn.XLOOKUP(Table2[[#This Row],[LoanID]],Table1[G-L ID],Table1[ManagerCode],-99)</f>
        <v>220</v>
      </c>
      <c r="T8262"/>
    </row>
    <row r="8263" spans="1:20" x14ac:dyDescent="0.25">
      <c r="A8263">
        <v>20190131</v>
      </c>
      <c r="B8263">
        <v>2019</v>
      </c>
      <c r="C8263">
        <v>1</v>
      </c>
      <c r="D8263">
        <v>1</v>
      </c>
      <c r="E8263">
        <v>14800</v>
      </c>
      <c r="F8263">
        <v>105263.28</v>
      </c>
      <c r="G8263">
        <v>0</v>
      </c>
      <c r="H8263">
        <v>0</v>
      </c>
      <c r="I8263">
        <v>0</v>
      </c>
      <c r="J8263">
        <v>0</v>
      </c>
      <c r="K8263">
        <v>0</v>
      </c>
      <c r="L8263">
        <v>51000000</v>
      </c>
      <c r="M8263">
        <v>51000000</v>
      </c>
      <c r="N8263">
        <v>17850000</v>
      </c>
      <c r="O8263">
        <v>17850000</v>
      </c>
      <c r="P8263">
        <v>51000000</v>
      </c>
      <c r="Q8263">
        <v>51000000</v>
      </c>
      <c r="R8263" s="14">
        <f>_xlfn.XLOOKUP(Table2[[#This Row],[LoanID]],Table1[G-L ID],Table1[ManagerCode],-99)</f>
        <v>220</v>
      </c>
      <c r="T8263"/>
    </row>
    <row r="8264" spans="1:20" x14ac:dyDescent="0.25">
      <c r="A8264">
        <v>20190131</v>
      </c>
      <c r="B8264">
        <v>2019</v>
      </c>
      <c r="C8264">
        <v>1</v>
      </c>
      <c r="D8264">
        <v>1</v>
      </c>
      <c r="E8264">
        <v>14810</v>
      </c>
      <c r="F8264">
        <v>103868.08</v>
      </c>
      <c r="G8264">
        <v>0</v>
      </c>
      <c r="H8264">
        <v>0</v>
      </c>
      <c r="I8264">
        <v>0</v>
      </c>
      <c r="J8264">
        <v>0</v>
      </c>
      <c r="K8264">
        <v>0</v>
      </c>
      <c r="L8264">
        <v>25006994</v>
      </c>
      <c r="M8264">
        <v>25006994</v>
      </c>
      <c r="N8264">
        <v>25006994</v>
      </c>
      <c r="O8264">
        <v>25006994</v>
      </c>
      <c r="P8264">
        <v>24930000</v>
      </c>
      <c r="Q8264">
        <v>24930000</v>
      </c>
      <c r="R8264" s="14">
        <f>_xlfn.XLOOKUP(Table2[[#This Row],[LoanID]],Table1[G-L ID],Table1[ManagerCode],-99)</f>
        <v>220</v>
      </c>
      <c r="T8264"/>
    </row>
    <row r="8265" spans="1:20" x14ac:dyDescent="0.25">
      <c r="A8265">
        <v>20190131</v>
      </c>
      <c r="B8265">
        <v>2019</v>
      </c>
      <c r="C8265">
        <v>1</v>
      </c>
      <c r="D8265">
        <v>1</v>
      </c>
      <c r="E8265">
        <v>14820</v>
      </c>
      <c r="F8265">
        <v>119495.94</v>
      </c>
      <c r="G8265">
        <v>0</v>
      </c>
      <c r="H8265">
        <v>0</v>
      </c>
      <c r="I8265">
        <v>0</v>
      </c>
      <c r="J8265">
        <v>0</v>
      </c>
      <c r="K8265">
        <v>0</v>
      </c>
      <c r="L8265">
        <v>22623000</v>
      </c>
      <c r="M8265">
        <v>22623000</v>
      </c>
      <c r="N8265">
        <v>22623000</v>
      </c>
      <c r="O8265">
        <v>22623000</v>
      </c>
      <c r="P8265">
        <v>22623000</v>
      </c>
      <c r="Q8265">
        <v>22623000</v>
      </c>
      <c r="R8265" s="14">
        <f>_xlfn.XLOOKUP(Table2[[#This Row],[LoanID]],Table1[G-L ID],Table1[ManagerCode],-99)</f>
        <v>220</v>
      </c>
      <c r="T8265"/>
    </row>
    <row r="8266" spans="1:20" x14ac:dyDescent="0.25">
      <c r="A8266">
        <v>20190131</v>
      </c>
      <c r="B8266">
        <v>2019</v>
      </c>
      <c r="C8266">
        <v>1</v>
      </c>
      <c r="D8266">
        <v>1</v>
      </c>
      <c r="E8266">
        <v>14830</v>
      </c>
      <c r="F8266">
        <v>77514.67</v>
      </c>
      <c r="G8266">
        <v>0</v>
      </c>
      <c r="H8266">
        <v>0</v>
      </c>
      <c r="I8266">
        <v>0</v>
      </c>
      <c r="J8266">
        <v>0</v>
      </c>
      <c r="K8266">
        <v>0</v>
      </c>
      <c r="L8266">
        <v>36102541</v>
      </c>
      <c r="M8266">
        <v>36102541</v>
      </c>
      <c r="N8266">
        <v>16148827.6</v>
      </c>
      <c r="O8266">
        <v>16148827.6</v>
      </c>
      <c r="P8266">
        <v>35775092.829999998</v>
      </c>
      <c r="Q8266">
        <v>35775092.829999998</v>
      </c>
      <c r="R8266" s="14">
        <f>_xlfn.XLOOKUP(Table2[[#This Row],[LoanID]],Table1[G-L ID],Table1[ManagerCode],-99)</f>
        <v>220</v>
      </c>
      <c r="T8266"/>
    </row>
    <row r="8267" spans="1:20" x14ac:dyDescent="0.25">
      <c r="A8267">
        <v>20190131</v>
      </c>
      <c r="B8267">
        <v>2019</v>
      </c>
      <c r="C8267">
        <v>1</v>
      </c>
      <c r="D8267">
        <v>1</v>
      </c>
      <c r="E8267">
        <v>14840</v>
      </c>
      <c r="F8267">
        <v>79345.210000000006</v>
      </c>
      <c r="G8267">
        <v>0</v>
      </c>
      <c r="H8267">
        <v>0</v>
      </c>
      <c r="I8267">
        <v>0</v>
      </c>
      <c r="J8267">
        <v>0</v>
      </c>
      <c r="K8267">
        <v>0</v>
      </c>
      <c r="L8267">
        <v>32122028</v>
      </c>
      <c r="M8267">
        <v>32122028</v>
      </c>
      <c r="N8267">
        <v>13630028</v>
      </c>
      <c r="O8267">
        <v>13630028</v>
      </c>
      <c r="P8267">
        <v>31997555.059999999</v>
      </c>
      <c r="Q8267">
        <v>31997555.059999999</v>
      </c>
      <c r="R8267" s="14">
        <f>_xlfn.XLOOKUP(Table2[[#This Row],[LoanID]],Table1[G-L ID],Table1[ManagerCode],-99)</f>
        <v>220</v>
      </c>
      <c r="T8267"/>
    </row>
    <row r="8268" spans="1:20" x14ac:dyDescent="0.25">
      <c r="A8268">
        <v>20190131</v>
      </c>
      <c r="B8268">
        <v>2019</v>
      </c>
      <c r="C8268">
        <v>1</v>
      </c>
      <c r="D8268">
        <v>1</v>
      </c>
      <c r="E8268">
        <v>14850</v>
      </c>
      <c r="F8268">
        <v>201568.37</v>
      </c>
      <c r="G8268">
        <v>0</v>
      </c>
      <c r="H8268">
        <v>0</v>
      </c>
      <c r="I8268">
        <v>0</v>
      </c>
      <c r="J8268">
        <v>-1224087.53</v>
      </c>
      <c r="K8268">
        <v>0</v>
      </c>
      <c r="L8268">
        <v>81958345</v>
      </c>
      <c r="M8268">
        <v>81958345</v>
      </c>
      <c r="N8268">
        <v>36687867.399999999</v>
      </c>
      <c r="O8268">
        <v>36687867.399999999</v>
      </c>
      <c r="P8268">
        <v>81665516.25</v>
      </c>
      <c r="Q8268">
        <v>82889603.780000001</v>
      </c>
      <c r="R8268" s="14">
        <f>_xlfn.XLOOKUP(Table2[[#This Row],[LoanID]],Table1[G-L ID],Table1[ManagerCode],-99)</f>
        <v>220</v>
      </c>
      <c r="T8268"/>
    </row>
    <row r="8269" spans="1:20" x14ac:dyDescent="0.25">
      <c r="A8269">
        <v>20190131</v>
      </c>
      <c r="B8269">
        <v>2019</v>
      </c>
      <c r="C8269">
        <v>1</v>
      </c>
      <c r="D8269">
        <v>1</v>
      </c>
      <c r="E8269">
        <v>14860</v>
      </c>
      <c r="F8269">
        <v>168169.15</v>
      </c>
      <c r="G8269">
        <v>0</v>
      </c>
      <c r="H8269">
        <v>0</v>
      </c>
      <c r="I8269">
        <v>0</v>
      </c>
      <c r="J8269">
        <v>-235000</v>
      </c>
      <c r="K8269">
        <v>0</v>
      </c>
      <c r="L8269">
        <v>64964912</v>
      </c>
      <c r="M8269">
        <v>65419881</v>
      </c>
      <c r="N8269">
        <v>26105912</v>
      </c>
      <c r="O8269">
        <v>26560881</v>
      </c>
      <c r="P8269">
        <v>64765000</v>
      </c>
      <c r="Q8269">
        <v>65000000</v>
      </c>
      <c r="R8269" s="14">
        <f>_xlfn.XLOOKUP(Table2[[#This Row],[LoanID]],Table1[G-L ID],Table1[ManagerCode],-99)</f>
        <v>220</v>
      </c>
      <c r="T8269"/>
    </row>
    <row r="8270" spans="1:20" x14ac:dyDescent="0.25">
      <c r="A8270">
        <v>20190131</v>
      </c>
      <c r="B8270">
        <v>2019</v>
      </c>
      <c r="C8270">
        <v>1</v>
      </c>
      <c r="D8270">
        <v>1</v>
      </c>
      <c r="E8270">
        <v>14870</v>
      </c>
      <c r="F8270">
        <v>240126.3</v>
      </c>
      <c r="G8270">
        <v>0</v>
      </c>
      <c r="H8270">
        <v>0</v>
      </c>
      <c r="I8270">
        <v>0</v>
      </c>
      <c r="J8270">
        <v>0</v>
      </c>
      <c r="K8270">
        <v>0</v>
      </c>
      <c r="L8270">
        <v>47568024</v>
      </c>
      <c r="M8270">
        <v>47568024</v>
      </c>
      <c r="N8270">
        <v>47568024</v>
      </c>
      <c r="O8270">
        <v>47568024</v>
      </c>
      <c r="P8270">
        <v>47357000</v>
      </c>
      <c r="Q8270">
        <v>47357000</v>
      </c>
      <c r="R8270" s="14">
        <f>_xlfn.XLOOKUP(Table2[[#This Row],[LoanID]],Table1[G-L ID],Table1[ManagerCode],-99)</f>
        <v>220</v>
      </c>
      <c r="T8270"/>
    </row>
    <row r="8271" spans="1:20" x14ac:dyDescent="0.25">
      <c r="A8271">
        <v>20190131</v>
      </c>
      <c r="B8271">
        <v>2019</v>
      </c>
      <c r="C8271">
        <v>1</v>
      </c>
      <c r="D8271">
        <v>1</v>
      </c>
      <c r="E8271">
        <v>14880</v>
      </c>
      <c r="F8271">
        <v>133532.41</v>
      </c>
      <c r="G8271">
        <v>0</v>
      </c>
      <c r="H8271">
        <v>0</v>
      </c>
      <c r="I8271">
        <v>0</v>
      </c>
      <c r="J8271">
        <v>0</v>
      </c>
      <c r="K8271">
        <v>0</v>
      </c>
      <c r="L8271">
        <v>18099022</v>
      </c>
      <c r="M8271">
        <v>18099022</v>
      </c>
      <c r="N8271">
        <v>18099022</v>
      </c>
      <c r="O8271">
        <v>18099022</v>
      </c>
      <c r="P8271">
        <v>17951257</v>
      </c>
      <c r="Q8271">
        <v>17951257</v>
      </c>
      <c r="R8271" s="14">
        <f>_xlfn.XLOOKUP(Table2[[#This Row],[LoanID]],Table1[G-L ID],Table1[ManagerCode],-99)</f>
        <v>220</v>
      </c>
      <c r="T8271"/>
    </row>
    <row r="8272" spans="1:20" x14ac:dyDescent="0.25">
      <c r="A8272">
        <v>20190131</v>
      </c>
      <c r="B8272">
        <v>2019</v>
      </c>
      <c r="C8272">
        <v>1</v>
      </c>
      <c r="D8272">
        <v>1</v>
      </c>
      <c r="E8272">
        <v>14890</v>
      </c>
      <c r="F8272">
        <v>64535.25</v>
      </c>
      <c r="G8272">
        <v>0</v>
      </c>
      <c r="H8272">
        <v>0</v>
      </c>
      <c r="I8272">
        <v>0</v>
      </c>
      <c r="J8272">
        <v>0</v>
      </c>
      <c r="K8272">
        <v>0</v>
      </c>
      <c r="L8272">
        <v>34000000</v>
      </c>
      <c r="M8272">
        <v>34000000</v>
      </c>
      <c r="N8272">
        <v>11900000</v>
      </c>
      <c r="O8272">
        <v>11900000</v>
      </c>
      <c r="P8272">
        <v>34000000</v>
      </c>
      <c r="Q8272">
        <v>34000000</v>
      </c>
      <c r="R8272" s="14">
        <f>_xlfn.XLOOKUP(Table2[[#This Row],[LoanID]],Table1[G-L ID],Table1[ManagerCode],-99)</f>
        <v>220</v>
      </c>
      <c r="T8272"/>
    </row>
    <row r="8273" spans="1:20" x14ac:dyDescent="0.25">
      <c r="A8273">
        <v>20190131</v>
      </c>
      <c r="B8273">
        <v>2019</v>
      </c>
      <c r="C8273">
        <v>1</v>
      </c>
      <c r="D8273">
        <v>1</v>
      </c>
      <c r="E8273">
        <v>14900</v>
      </c>
      <c r="F8273">
        <v>112943.4</v>
      </c>
      <c r="G8273">
        <v>0</v>
      </c>
      <c r="H8273">
        <v>0</v>
      </c>
      <c r="I8273">
        <v>0</v>
      </c>
      <c r="J8273">
        <v>0</v>
      </c>
      <c r="K8273">
        <v>0</v>
      </c>
      <c r="L8273">
        <v>64193568</v>
      </c>
      <c r="M8273">
        <v>64193568</v>
      </c>
      <c r="N8273">
        <v>22593568</v>
      </c>
      <c r="O8273">
        <v>22593568</v>
      </c>
      <c r="P8273">
        <v>64000000</v>
      </c>
      <c r="Q8273">
        <v>64000000</v>
      </c>
      <c r="R8273" s="14">
        <f>_xlfn.XLOOKUP(Table2[[#This Row],[LoanID]],Table1[G-L ID],Table1[ManagerCode],-99)</f>
        <v>220</v>
      </c>
      <c r="T8273"/>
    </row>
    <row r="8274" spans="1:20" x14ac:dyDescent="0.25">
      <c r="A8274">
        <v>20190131</v>
      </c>
      <c r="B8274">
        <v>2019</v>
      </c>
      <c r="C8274">
        <v>1</v>
      </c>
      <c r="D8274">
        <v>1</v>
      </c>
      <c r="E8274">
        <v>14910</v>
      </c>
      <c r="F8274">
        <v>46094</v>
      </c>
      <c r="G8274">
        <v>0</v>
      </c>
      <c r="H8274">
        <v>300000</v>
      </c>
      <c r="I8274">
        <v>0</v>
      </c>
      <c r="J8274">
        <v>-38000000</v>
      </c>
      <c r="K8274">
        <v>26600000</v>
      </c>
      <c r="L8274">
        <v>0</v>
      </c>
      <c r="M8274">
        <v>38117796</v>
      </c>
      <c r="N8274">
        <v>0</v>
      </c>
      <c r="O8274">
        <v>11517796</v>
      </c>
      <c r="P8274">
        <v>0</v>
      </c>
      <c r="Q8274">
        <v>38000000</v>
      </c>
      <c r="R8274" s="14">
        <f>_xlfn.XLOOKUP(Table2[[#This Row],[LoanID]],Table1[G-L ID],Table1[ManagerCode],-99)</f>
        <v>220</v>
      </c>
      <c r="T8274"/>
    </row>
    <row r="8275" spans="1:20" x14ac:dyDescent="0.25">
      <c r="A8275">
        <v>20190131</v>
      </c>
      <c r="B8275">
        <v>2019</v>
      </c>
      <c r="C8275">
        <v>1</v>
      </c>
      <c r="D8275">
        <v>1</v>
      </c>
      <c r="E8275">
        <v>14930</v>
      </c>
      <c r="F8275">
        <v>93895.88</v>
      </c>
      <c r="G8275">
        <v>0</v>
      </c>
      <c r="H8275">
        <v>0</v>
      </c>
      <c r="I8275">
        <v>0</v>
      </c>
      <c r="J8275">
        <v>0</v>
      </c>
      <c r="K8275">
        <v>0</v>
      </c>
      <c r="L8275">
        <v>55000000</v>
      </c>
      <c r="M8275">
        <v>55000000</v>
      </c>
      <c r="N8275">
        <v>19250000</v>
      </c>
      <c r="O8275">
        <v>19250000</v>
      </c>
      <c r="P8275">
        <v>55000000</v>
      </c>
      <c r="Q8275">
        <v>55000000</v>
      </c>
      <c r="R8275" s="14">
        <f>_xlfn.XLOOKUP(Table2[[#This Row],[LoanID]],Table1[G-L ID],Table1[ManagerCode],-99)</f>
        <v>220</v>
      </c>
      <c r="T8275"/>
    </row>
    <row r="8276" spans="1:20" x14ac:dyDescent="0.25">
      <c r="A8276">
        <v>20190131</v>
      </c>
      <c r="B8276">
        <v>2019</v>
      </c>
      <c r="C8276">
        <v>1</v>
      </c>
      <c r="D8276">
        <v>1</v>
      </c>
      <c r="E8276">
        <v>14940</v>
      </c>
      <c r="F8276">
        <v>254211.78</v>
      </c>
      <c r="G8276">
        <v>0</v>
      </c>
      <c r="H8276">
        <v>0</v>
      </c>
      <c r="I8276">
        <v>0</v>
      </c>
      <c r="J8276">
        <v>-254211.78</v>
      </c>
      <c r="K8276">
        <v>0</v>
      </c>
      <c r="L8276">
        <v>64958842</v>
      </c>
      <c r="M8276">
        <v>64958842</v>
      </c>
      <c r="N8276">
        <v>64958842</v>
      </c>
      <c r="O8276">
        <v>64958842</v>
      </c>
      <c r="P8276">
        <v>64770853.280000001</v>
      </c>
      <c r="Q8276">
        <v>65025065.060000002</v>
      </c>
      <c r="R8276" s="14">
        <f>_xlfn.XLOOKUP(Table2[[#This Row],[LoanID]],Table1[G-L ID],Table1[ManagerCode],-99)</f>
        <v>220</v>
      </c>
      <c r="T8276"/>
    </row>
    <row r="8277" spans="1:20" x14ac:dyDescent="0.25">
      <c r="A8277">
        <v>20190131</v>
      </c>
      <c r="B8277">
        <v>2019</v>
      </c>
      <c r="C8277">
        <v>1</v>
      </c>
      <c r="D8277">
        <v>1</v>
      </c>
      <c r="E8277">
        <v>14950</v>
      </c>
      <c r="F8277">
        <v>222726.39</v>
      </c>
      <c r="G8277">
        <v>0</v>
      </c>
      <c r="H8277">
        <v>0</v>
      </c>
      <c r="I8277">
        <v>0</v>
      </c>
      <c r="J8277">
        <v>0</v>
      </c>
      <c r="K8277">
        <v>0</v>
      </c>
      <c r="L8277">
        <v>35000000</v>
      </c>
      <c r="M8277">
        <v>35000000</v>
      </c>
      <c r="N8277">
        <v>35000000</v>
      </c>
      <c r="O8277">
        <v>35000000</v>
      </c>
      <c r="P8277">
        <v>35000000</v>
      </c>
      <c r="Q8277">
        <v>35000000</v>
      </c>
      <c r="R8277" s="14">
        <f>_xlfn.XLOOKUP(Table2[[#This Row],[LoanID]],Table1[G-L ID],Table1[ManagerCode],-99)</f>
        <v>220</v>
      </c>
      <c r="T8277"/>
    </row>
    <row r="8278" spans="1:20" x14ac:dyDescent="0.25">
      <c r="A8278">
        <v>20190131</v>
      </c>
      <c r="B8278">
        <v>2019</v>
      </c>
      <c r="C8278">
        <v>1</v>
      </c>
      <c r="D8278">
        <v>1</v>
      </c>
      <c r="E8278">
        <v>14960</v>
      </c>
      <c r="F8278">
        <v>65388.34</v>
      </c>
      <c r="G8278">
        <v>0</v>
      </c>
      <c r="H8278">
        <v>0</v>
      </c>
      <c r="I8278">
        <v>0</v>
      </c>
      <c r="J8278">
        <v>0</v>
      </c>
      <c r="K8278">
        <v>0</v>
      </c>
      <c r="L8278">
        <v>14876952</v>
      </c>
      <c r="M8278">
        <v>14876952</v>
      </c>
      <c r="N8278">
        <v>14876952</v>
      </c>
      <c r="O8278">
        <v>14876952</v>
      </c>
      <c r="P8278">
        <v>14805000</v>
      </c>
      <c r="Q8278">
        <v>14805000</v>
      </c>
      <c r="R8278" s="14">
        <f>_xlfn.XLOOKUP(Table2[[#This Row],[LoanID]],Table1[G-L ID],Table1[ManagerCode],-99)</f>
        <v>220</v>
      </c>
      <c r="T8278"/>
    </row>
    <row r="8279" spans="1:20" x14ac:dyDescent="0.25">
      <c r="A8279">
        <v>20190131</v>
      </c>
      <c r="B8279">
        <v>2019</v>
      </c>
      <c r="C8279">
        <v>1</v>
      </c>
      <c r="D8279">
        <v>1</v>
      </c>
      <c r="E8279">
        <v>14970</v>
      </c>
      <c r="F8279">
        <v>39616.5</v>
      </c>
      <c r="G8279">
        <v>0</v>
      </c>
      <c r="H8279">
        <v>276250</v>
      </c>
      <c r="I8279">
        <v>0</v>
      </c>
      <c r="J8279">
        <v>-29700000</v>
      </c>
      <c r="K8279">
        <v>19305000</v>
      </c>
      <c r="L8279">
        <v>0</v>
      </c>
      <c r="M8279">
        <v>29791118</v>
      </c>
      <c r="N8279">
        <v>0</v>
      </c>
      <c r="O8279">
        <v>10486118</v>
      </c>
      <c r="P8279">
        <v>0</v>
      </c>
      <c r="Q8279">
        <v>29700000</v>
      </c>
      <c r="R8279" s="14">
        <f>_xlfn.XLOOKUP(Table2[[#This Row],[LoanID]],Table1[G-L ID],Table1[ManagerCode],-99)</f>
        <v>220</v>
      </c>
      <c r="T8279"/>
    </row>
    <row r="8280" spans="1:20" x14ac:dyDescent="0.25">
      <c r="A8280">
        <v>20190131</v>
      </c>
      <c r="B8280">
        <v>2019</v>
      </c>
      <c r="C8280">
        <v>1</v>
      </c>
      <c r="D8280">
        <v>1</v>
      </c>
      <c r="E8280">
        <v>15030</v>
      </c>
      <c r="F8280">
        <v>81878.960000000006</v>
      </c>
      <c r="G8280">
        <v>0</v>
      </c>
      <c r="H8280">
        <v>0</v>
      </c>
      <c r="I8280">
        <v>0</v>
      </c>
      <c r="J8280">
        <v>-324824.13</v>
      </c>
      <c r="K8280">
        <v>0</v>
      </c>
      <c r="L8280">
        <v>38661073</v>
      </c>
      <c r="M8280">
        <v>38661073</v>
      </c>
      <c r="N8280">
        <v>14831736.220000001</v>
      </c>
      <c r="O8280">
        <v>14831736.220000001</v>
      </c>
      <c r="P8280">
        <v>38404746.189999998</v>
      </c>
      <c r="Q8280">
        <v>38729570.32</v>
      </c>
      <c r="R8280" s="14">
        <f>_xlfn.XLOOKUP(Table2[[#This Row],[LoanID]],Table1[G-L ID],Table1[ManagerCode],-99)</f>
        <v>220</v>
      </c>
      <c r="T8280"/>
    </row>
    <row r="8281" spans="1:20" x14ac:dyDescent="0.25">
      <c r="A8281">
        <v>20190131</v>
      </c>
      <c r="B8281">
        <v>2019</v>
      </c>
      <c r="C8281">
        <v>1</v>
      </c>
      <c r="D8281">
        <v>1</v>
      </c>
      <c r="E8281">
        <v>15540</v>
      </c>
      <c r="F8281">
        <v>305298.65000000002</v>
      </c>
      <c r="G8281">
        <v>831.55</v>
      </c>
      <c r="H8281">
        <v>0</v>
      </c>
      <c r="I8281">
        <v>-2374.39</v>
      </c>
      <c r="J8281">
        <v>0</v>
      </c>
      <c r="K8281">
        <v>0</v>
      </c>
      <c r="L8281">
        <v>55741903.549999997</v>
      </c>
      <c r="M8281">
        <v>55742735.100000001</v>
      </c>
      <c r="N8281">
        <v>55741903.549999997</v>
      </c>
      <c r="O8281">
        <v>55742735.100000001</v>
      </c>
      <c r="P8281">
        <v>55741903.549999997</v>
      </c>
      <c r="Q8281">
        <v>55742735.100000001</v>
      </c>
      <c r="R8281" s="14">
        <f>_xlfn.XLOOKUP(Table2[[#This Row],[LoanID]],Table1[G-L ID],Table1[ManagerCode],-99)</f>
        <v>212</v>
      </c>
      <c r="T8281"/>
    </row>
    <row r="8282" spans="1:20" x14ac:dyDescent="0.25">
      <c r="A8282">
        <v>20190131</v>
      </c>
      <c r="B8282">
        <v>2019</v>
      </c>
      <c r="C8282">
        <v>1</v>
      </c>
      <c r="D8282">
        <v>1</v>
      </c>
      <c r="E8282">
        <v>15580</v>
      </c>
      <c r="F8282">
        <v>115418.19</v>
      </c>
      <c r="G8282">
        <v>-63.59</v>
      </c>
      <c r="H8282">
        <v>0</v>
      </c>
      <c r="I8282">
        <v>0</v>
      </c>
      <c r="J8282">
        <v>0</v>
      </c>
      <c r="K8282">
        <v>7983.12</v>
      </c>
      <c r="L8282">
        <v>14605583.310000001</v>
      </c>
      <c r="M8282">
        <v>14597536.6</v>
      </c>
      <c r="N8282">
        <v>14605583.310000001</v>
      </c>
      <c r="O8282">
        <v>14597536.6</v>
      </c>
      <c r="P8282">
        <v>14605583.310000001</v>
      </c>
      <c r="Q8282">
        <v>14597536.6</v>
      </c>
      <c r="R8282" s="14">
        <f>_xlfn.XLOOKUP(Table2[[#This Row],[LoanID]],Table1[G-L ID],Table1[ManagerCode],-99)</f>
        <v>212</v>
      </c>
      <c r="T8282"/>
    </row>
    <row r="8283" spans="1:20" x14ac:dyDescent="0.25">
      <c r="A8283">
        <v>20190131</v>
      </c>
      <c r="B8283">
        <v>2019</v>
      </c>
      <c r="C8283">
        <v>1</v>
      </c>
      <c r="D8283">
        <v>1</v>
      </c>
      <c r="E8283">
        <v>15610</v>
      </c>
      <c r="F8283">
        <v>887722.11</v>
      </c>
      <c r="G8283">
        <v>40272.89</v>
      </c>
      <c r="H8283">
        <v>0</v>
      </c>
      <c r="I8283">
        <v>-8653.9500000000007</v>
      </c>
      <c r="J8283">
        <v>-4673313.09</v>
      </c>
      <c r="K8283">
        <v>0</v>
      </c>
      <c r="L8283">
        <v>201882671.59999999</v>
      </c>
      <c r="M8283">
        <v>206596257.59999999</v>
      </c>
      <c r="N8283">
        <v>201882671.59999999</v>
      </c>
      <c r="O8283">
        <v>206596257.59999999</v>
      </c>
      <c r="P8283">
        <v>201882671.59999999</v>
      </c>
      <c r="Q8283">
        <v>206596257.59999999</v>
      </c>
      <c r="R8283" s="14">
        <f>_xlfn.XLOOKUP(Table2[[#This Row],[LoanID]],Table1[G-L ID],Table1[ManagerCode],-99)</f>
        <v>212</v>
      </c>
      <c r="T8283"/>
    </row>
    <row r="8284" spans="1:20" x14ac:dyDescent="0.25">
      <c r="A8284">
        <v>20190131</v>
      </c>
      <c r="B8284">
        <v>2019</v>
      </c>
      <c r="C8284">
        <v>1</v>
      </c>
      <c r="D8284">
        <v>1</v>
      </c>
      <c r="E8284">
        <v>15620</v>
      </c>
      <c r="F8284">
        <v>352936.88</v>
      </c>
      <c r="G8284">
        <v>9044.48</v>
      </c>
      <c r="H8284">
        <v>0</v>
      </c>
      <c r="I8284">
        <v>-3374.8</v>
      </c>
      <c r="J8284">
        <v>0</v>
      </c>
      <c r="K8284">
        <v>0</v>
      </c>
      <c r="L8284">
        <v>78735455.890000001</v>
      </c>
      <c r="M8284">
        <v>78744500.370000005</v>
      </c>
      <c r="N8284">
        <v>78735455.890000001</v>
      </c>
      <c r="O8284">
        <v>78744500.370000005</v>
      </c>
      <c r="P8284">
        <v>78735455.890000001</v>
      </c>
      <c r="Q8284">
        <v>78744500.370000005</v>
      </c>
      <c r="R8284" s="14">
        <f>_xlfn.XLOOKUP(Table2[[#This Row],[LoanID]],Table1[G-L ID],Table1[ManagerCode],-99)</f>
        <v>212</v>
      </c>
      <c r="T8284"/>
    </row>
    <row r="8285" spans="1:20" x14ac:dyDescent="0.25">
      <c r="A8285">
        <v>20190228</v>
      </c>
      <c r="B8285">
        <v>2019</v>
      </c>
      <c r="C8285">
        <v>2</v>
      </c>
      <c r="D8285">
        <v>1</v>
      </c>
      <c r="E8285">
        <v>10010</v>
      </c>
      <c r="F8285">
        <v>209495.33</v>
      </c>
      <c r="G8285">
        <v>0</v>
      </c>
      <c r="H8285">
        <v>0</v>
      </c>
      <c r="I8285">
        <v>0</v>
      </c>
      <c r="J8285">
        <v>0</v>
      </c>
      <c r="K8285">
        <v>29697.74</v>
      </c>
      <c r="L8285">
        <v>18328472.859999999</v>
      </c>
      <c r="M8285">
        <v>18298775.120000001</v>
      </c>
      <c r="N8285">
        <v>18328472.859999999</v>
      </c>
      <c r="O8285">
        <v>18298775.120000001</v>
      </c>
      <c r="P8285">
        <v>18328472.859999999</v>
      </c>
      <c r="Q8285">
        <v>18298775.120000001</v>
      </c>
      <c r="R8285" s="14">
        <f>_xlfn.XLOOKUP(Table2[[#This Row],[LoanID]],Table1[G-L ID],Table1[ManagerCode],-99)</f>
        <v>119</v>
      </c>
      <c r="T8285"/>
    </row>
    <row r="8286" spans="1:20" x14ac:dyDescent="0.25">
      <c r="A8286">
        <v>20190228</v>
      </c>
      <c r="B8286">
        <v>2019</v>
      </c>
      <c r="C8286">
        <v>2</v>
      </c>
      <c r="D8286">
        <v>1</v>
      </c>
      <c r="E8286">
        <v>10050</v>
      </c>
      <c r="F8286">
        <v>153981.01999999999</v>
      </c>
      <c r="G8286">
        <v>0</v>
      </c>
      <c r="H8286">
        <v>0</v>
      </c>
      <c r="I8286">
        <v>-69.44</v>
      </c>
      <c r="J8286">
        <v>0</v>
      </c>
      <c r="K8286">
        <v>0</v>
      </c>
      <c r="L8286">
        <v>36231030</v>
      </c>
      <c r="M8286">
        <v>36043120</v>
      </c>
      <c r="N8286">
        <v>36231030</v>
      </c>
      <c r="O8286">
        <v>36043120</v>
      </c>
      <c r="P8286">
        <v>33333334</v>
      </c>
      <c r="Q8286">
        <v>33333334</v>
      </c>
      <c r="R8286" s="14">
        <f>_xlfn.XLOOKUP(Table2[[#This Row],[LoanID]],Table1[G-L ID],Table1[ManagerCode],-99)</f>
        <v>103</v>
      </c>
      <c r="T8286"/>
    </row>
    <row r="8287" spans="1:20" x14ac:dyDescent="0.25">
      <c r="A8287">
        <v>20190228</v>
      </c>
      <c r="B8287">
        <v>2019</v>
      </c>
      <c r="C8287">
        <v>2</v>
      </c>
      <c r="D8287">
        <v>1</v>
      </c>
      <c r="E8287">
        <v>10220</v>
      </c>
      <c r="F8287">
        <v>559722.22</v>
      </c>
      <c r="G8287">
        <v>0</v>
      </c>
      <c r="H8287">
        <v>0</v>
      </c>
      <c r="I8287">
        <v>0</v>
      </c>
      <c r="J8287">
        <v>0</v>
      </c>
      <c r="K8287">
        <v>0</v>
      </c>
      <c r="L8287">
        <v>108848478</v>
      </c>
      <c r="M8287">
        <v>108429222</v>
      </c>
      <c r="N8287">
        <v>108848478</v>
      </c>
      <c r="O8287">
        <v>108429222</v>
      </c>
      <c r="P8287">
        <v>100000000</v>
      </c>
      <c r="Q8287">
        <v>100000000</v>
      </c>
      <c r="R8287" s="14">
        <f>_xlfn.XLOOKUP(Table2[[#This Row],[LoanID]],Table1[G-L ID],Table1[ManagerCode],-99)</f>
        <v>103</v>
      </c>
      <c r="T8287"/>
    </row>
    <row r="8288" spans="1:20" x14ac:dyDescent="0.25">
      <c r="A8288">
        <v>20190228</v>
      </c>
      <c r="B8288">
        <v>2019</v>
      </c>
      <c r="C8288">
        <v>2</v>
      </c>
      <c r="D8288">
        <v>1</v>
      </c>
      <c r="E8288">
        <v>10250</v>
      </c>
      <c r="F8288">
        <v>61522.080000000002</v>
      </c>
      <c r="G8288">
        <v>0</v>
      </c>
      <c r="H8288">
        <v>0</v>
      </c>
      <c r="I8288">
        <v>0</v>
      </c>
      <c r="J8288">
        <v>0</v>
      </c>
      <c r="K8288">
        <v>0</v>
      </c>
      <c r="L8288">
        <v>5000000</v>
      </c>
      <c r="M8288">
        <v>5000000</v>
      </c>
      <c r="N8288">
        <v>5000000</v>
      </c>
      <c r="O8288">
        <v>5000000</v>
      </c>
      <c r="P8288">
        <v>5000000</v>
      </c>
      <c r="Q8288">
        <v>5000000</v>
      </c>
      <c r="R8288" s="14">
        <f>_xlfn.XLOOKUP(Table2[[#This Row],[LoanID]],Table1[G-L ID],Table1[ManagerCode],-99)</f>
        <v>119</v>
      </c>
      <c r="T8288"/>
    </row>
    <row r="8289" spans="1:20" x14ac:dyDescent="0.25">
      <c r="A8289">
        <v>20190228</v>
      </c>
      <c r="B8289">
        <v>2019</v>
      </c>
      <c r="C8289">
        <v>2</v>
      </c>
      <c r="D8289">
        <v>1</v>
      </c>
      <c r="E8289">
        <v>10270</v>
      </c>
      <c r="F8289">
        <v>52844</v>
      </c>
      <c r="G8289">
        <v>0</v>
      </c>
      <c r="H8289">
        <v>0</v>
      </c>
      <c r="I8289">
        <v>0</v>
      </c>
      <c r="J8289">
        <v>0</v>
      </c>
      <c r="K8289">
        <v>0</v>
      </c>
      <c r="L8289">
        <v>4500000</v>
      </c>
      <c r="M8289">
        <v>4500000</v>
      </c>
      <c r="N8289">
        <v>4500000</v>
      </c>
      <c r="O8289">
        <v>4500000</v>
      </c>
      <c r="P8289">
        <v>4500000</v>
      </c>
      <c r="Q8289">
        <v>4500000</v>
      </c>
      <c r="R8289" s="14">
        <f>_xlfn.XLOOKUP(Table2[[#This Row],[LoanID]],Table1[G-L ID],Table1[ManagerCode],-99)</f>
        <v>119</v>
      </c>
      <c r="T8289"/>
    </row>
    <row r="8290" spans="1:20" x14ac:dyDescent="0.25">
      <c r="A8290">
        <v>20190228</v>
      </c>
      <c r="B8290">
        <v>2019</v>
      </c>
      <c r="C8290">
        <v>2</v>
      </c>
      <c r="D8290">
        <v>1</v>
      </c>
      <c r="E8290">
        <v>10330</v>
      </c>
      <c r="F8290">
        <v>86113.23</v>
      </c>
      <c r="G8290">
        <v>0</v>
      </c>
      <c r="H8290">
        <v>0</v>
      </c>
      <c r="I8290">
        <v>0</v>
      </c>
      <c r="J8290">
        <v>0</v>
      </c>
      <c r="K8290">
        <v>0</v>
      </c>
      <c r="L8290">
        <v>8652759.6999999993</v>
      </c>
      <c r="M8290">
        <v>8652759.6999999993</v>
      </c>
      <c r="N8290">
        <v>8652759.6999999993</v>
      </c>
      <c r="O8290">
        <v>8652759.6999999993</v>
      </c>
      <c r="P8290">
        <v>8652759.6999999993</v>
      </c>
      <c r="Q8290">
        <v>8652759.6999999993</v>
      </c>
      <c r="R8290" s="14">
        <f>_xlfn.XLOOKUP(Table2[[#This Row],[LoanID]],Table1[G-L ID],Table1[ManagerCode],-99)</f>
        <v>119</v>
      </c>
      <c r="T8290"/>
    </row>
    <row r="8291" spans="1:20" x14ac:dyDescent="0.25">
      <c r="A8291">
        <v>20190228</v>
      </c>
      <c r="B8291">
        <v>2019</v>
      </c>
      <c r="C8291">
        <v>2</v>
      </c>
      <c r="D8291">
        <v>1</v>
      </c>
      <c r="E8291">
        <v>10360</v>
      </c>
      <c r="F8291">
        <v>57858.96</v>
      </c>
      <c r="G8291">
        <v>0</v>
      </c>
      <c r="H8291">
        <v>0</v>
      </c>
      <c r="I8291">
        <v>0</v>
      </c>
      <c r="J8291">
        <v>0</v>
      </c>
      <c r="K8291">
        <v>0</v>
      </c>
      <c r="L8291">
        <v>5909000</v>
      </c>
      <c r="M8291">
        <v>5909000</v>
      </c>
      <c r="N8291">
        <v>5909000</v>
      </c>
      <c r="O8291">
        <v>5909000</v>
      </c>
      <c r="P8291">
        <v>5909000</v>
      </c>
      <c r="Q8291">
        <v>5909000</v>
      </c>
      <c r="R8291" s="14">
        <f>_xlfn.XLOOKUP(Table2[[#This Row],[LoanID]],Table1[G-L ID],Table1[ManagerCode],-99)</f>
        <v>183</v>
      </c>
      <c r="T8291"/>
    </row>
    <row r="8292" spans="1:20" x14ac:dyDescent="0.25">
      <c r="A8292">
        <v>20190228</v>
      </c>
      <c r="B8292">
        <v>2019</v>
      </c>
      <c r="C8292">
        <v>2</v>
      </c>
      <c r="D8292">
        <v>1</v>
      </c>
      <c r="E8292">
        <v>10730</v>
      </c>
      <c r="F8292">
        <v>116467.88</v>
      </c>
      <c r="G8292">
        <v>0</v>
      </c>
      <c r="H8292">
        <v>0</v>
      </c>
      <c r="I8292">
        <v>0</v>
      </c>
      <c r="J8292">
        <v>0</v>
      </c>
      <c r="K8292">
        <v>0</v>
      </c>
      <c r="L8292">
        <v>9500000</v>
      </c>
      <c r="M8292">
        <v>9500000</v>
      </c>
      <c r="N8292">
        <v>9500000</v>
      </c>
      <c r="O8292">
        <v>9500000</v>
      </c>
      <c r="P8292">
        <v>9500000</v>
      </c>
      <c r="Q8292">
        <v>9500000</v>
      </c>
      <c r="R8292" s="14">
        <f>_xlfn.XLOOKUP(Table2[[#This Row],[LoanID]],Table1[G-L ID],Table1[ManagerCode],-99)</f>
        <v>119</v>
      </c>
      <c r="T8292"/>
    </row>
    <row r="8293" spans="1:20" x14ac:dyDescent="0.25">
      <c r="A8293">
        <v>20190228</v>
      </c>
      <c r="B8293">
        <v>2019</v>
      </c>
      <c r="C8293">
        <v>2</v>
      </c>
      <c r="D8293">
        <v>1</v>
      </c>
      <c r="E8293">
        <v>10790</v>
      </c>
      <c r="F8293">
        <v>20535.849999999999</v>
      </c>
      <c r="G8293">
        <v>0</v>
      </c>
      <c r="H8293">
        <v>0</v>
      </c>
      <c r="I8293">
        <v>0</v>
      </c>
      <c r="J8293">
        <v>0</v>
      </c>
      <c r="K8293">
        <v>48932.4</v>
      </c>
      <c r="L8293">
        <v>4463412</v>
      </c>
      <c r="M8293">
        <v>4408641</v>
      </c>
      <c r="N8293">
        <v>4463412</v>
      </c>
      <c r="O8293">
        <v>4408641</v>
      </c>
      <c r="P8293">
        <v>4384878.42</v>
      </c>
      <c r="Q8293">
        <v>4335946.0199999996</v>
      </c>
      <c r="R8293" s="14">
        <f>_xlfn.XLOOKUP(Table2[[#This Row],[LoanID]],Table1[G-L ID],Table1[ManagerCode],-99)</f>
        <v>103</v>
      </c>
      <c r="T8293"/>
    </row>
    <row r="8294" spans="1:20" x14ac:dyDescent="0.25">
      <c r="A8294">
        <v>20190228</v>
      </c>
      <c r="B8294">
        <v>2019</v>
      </c>
      <c r="C8294">
        <v>2</v>
      </c>
      <c r="D8294">
        <v>1</v>
      </c>
      <c r="E8294">
        <v>10810</v>
      </c>
      <c r="F8294">
        <v>99173.23</v>
      </c>
      <c r="G8294">
        <v>0</v>
      </c>
      <c r="H8294">
        <v>29137.5</v>
      </c>
      <c r="I8294">
        <v>0</v>
      </c>
      <c r="J8294">
        <v>0</v>
      </c>
      <c r="K8294">
        <v>384556.87</v>
      </c>
      <c r="L8294">
        <v>8046792.8399999999</v>
      </c>
      <c r="M8294">
        <v>7662235.9699999997</v>
      </c>
      <c r="N8294">
        <v>8046792.8399999999</v>
      </c>
      <c r="O8294">
        <v>7662235.9699999997</v>
      </c>
      <c r="P8294">
        <v>8046792.8399999999</v>
      </c>
      <c r="Q8294">
        <v>7662235.9699999997</v>
      </c>
      <c r="R8294" s="14">
        <f>_xlfn.XLOOKUP(Table2[[#This Row],[LoanID]],Table1[G-L ID],Table1[ManagerCode],-99)</f>
        <v>119</v>
      </c>
      <c r="T8294"/>
    </row>
    <row r="8295" spans="1:20" x14ac:dyDescent="0.25">
      <c r="A8295">
        <v>20190228</v>
      </c>
      <c r="B8295">
        <v>2019</v>
      </c>
      <c r="C8295">
        <v>2</v>
      </c>
      <c r="D8295">
        <v>1</v>
      </c>
      <c r="E8295">
        <v>10820</v>
      </c>
      <c r="F8295">
        <v>208016.73</v>
      </c>
      <c r="G8295">
        <v>0</v>
      </c>
      <c r="H8295">
        <v>254281.91</v>
      </c>
      <c r="I8295">
        <v>0</v>
      </c>
      <c r="J8295">
        <v>0</v>
      </c>
      <c r="K8295">
        <v>25428191.27</v>
      </c>
      <c r="L8295">
        <v>25428191.27</v>
      </c>
      <c r="M8295">
        <v>0</v>
      </c>
      <c r="N8295">
        <v>25428191.27</v>
      </c>
      <c r="O8295">
        <v>0</v>
      </c>
      <c r="P8295">
        <v>25428191.27</v>
      </c>
      <c r="Q8295">
        <v>0</v>
      </c>
      <c r="R8295" s="14">
        <f>_xlfn.XLOOKUP(Table2[[#This Row],[LoanID]],Table1[G-L ID],Table1[ManagerCode],-99)</f>
        <v>220</v>
      </c>
      <c r="T8295"/>
    </row>
    <row r="8296" spans="1:20" x14ac:dyDescent="0.25">
      <c r="A8296">
        <v>20190228</v>
      </c>
      <c r="B8296">
        <v>2019</v>
      </c>
      <c r="C8296">
        <v>2</v>
      </c>
      <c r="D8296">
        <v>1</v>
      </c>
      <c r="E8296">
        <v>10830</v>
      </c>
      <c r="F8296">
        <v>63857.77</v>
      </c>
      <c r="G8296">
        <v>0</v>
      </c>
      <c r="H8296">
        <v>0</v>
      </c>
      <c r="I8296">
        <v>0</v>
      </c>
      <c r="J8296">
        <v>0</v>
      </c>
      <c r="K8296">
        <v>0</v>
      </c>
      <c r="L8296">
        <v>7806043.1399999997</v>
      </c>
      <c r="M8296">
        <v>7806043.1399999997</v>
      </c>
      <c r="N8296">
        <v>7806043.1399999997</v>
      </c>
      <c r="O8296">
        <v>7806043.1399999997</v>
      </c>
      <c r="P8296">
        <v>7806043.1399999997</v>
      </c>
      <c r="Q8296">
        <v>7806043.1399999997</v>
      </c>
      <c r="R8296" s="14">
        <f>_xlfn.XLOOKUP(Table2[[#This Row],[LoanID]],Table1[G-L ID],Table1[ManagerCode],-99)</f>
        <v>220</v>
      </c>
      <c r="T8296"/>
    </row>
    <row r="8297" spans="1:20" x14ac:dyDescent="0.25">
      <c r="A8297">
        <v>20190228</v>
      </c>
      <c r="B8297">
        <v>2019</v>
      </c>
      <c r="C8297">
        <v>2</v>
      </c>
      <c r="D8297">
        <v>1</v>
      </c>
      <c r="E8297">
        <v>10840</v>
      </c>
      <c r="F8297">
        <v>103968.23</v>
      </c>
      <c r="G8297">
        <v>0</v>
      </c>
      <c r="H8297">
        <v>0</v>
      </c>
      <c r="I8297">
        <v>0</v>
      </c>
      <c r="J8297">
        <v>0</v>
      </c>
      <c r="K8297">
        <v>0</v>
      </c>
      <c r="L8297">
        <v>12709189</v>
      </c>
      <c r="M8297">
        <v>12709189</v>
      </c>
      <c r="N8297">
        <v>12709189</v>
      </c>
      <c r="O8297">
        <v>12709189</v>
      </c>
      <c r="P8297">
        <v>12709189</v>
      </c>
      <c r="Q8297">
        <v>12709189</v>
      </c>
      <c r="R8297" s="14">
        <f>_xlfn.XLOOKUP(Table2[[#This Row],[LoanID]],Table1[G-L ID],Table1[ManagerCode],-99)</f>
        <v>220</v>
      </c>
      <c r="T8297"/>
    </row>
    <row r="8298" spans="1:20" x14ac:dyDescent="0.25">
      <c r="A8298">
        <v>20190228</v>
      </c>
      <c r="B8298">
        <v>2019</v>
      </c>
      <c r="C8298">
        <v>2</v>
      </c>
      <c r="D8298">
        <v>1</v>
      </c>
      <c r="E8298">
        <v>10910</v>
      </c>
      <c r="F8298">
        <v>-42365.81</v>
      </c>
      <c r="G8298">
        <v>0</v>
      </c>
      <c r="H8298">
        <v>0</v>
      </c>
      <c r="I8298">
        <v>0</v>
      </c>
      <c r="J8298">
        <v>0</v>
      </c>
      <c r="K8298">
        <v>0</v>
      </c>
      <c r="L8298">
        <v>3075000</v>
      </c>
      <c r="M8298">
        <v>3075000</v>
      </c>
      <c r="N8298">
        <v>3075000</v>
      </c>
      <c r="O8298">
        <v>3075000</v>
      </c>
      <c r="P8298">
        <v>3075000</v>
      </c>
      <c r="Q8298">
        <v>3075000</v>
      </c>
      <c r="R8298" s="14">
        <f>_xlfn.XLOOKUP(Table2[[#This Row],[LoanID]],Table1[G-L ID],Table1[ManagerCode],-99)</f>
        <v>119</v>
      </c>
      <c r="T8298"/>
    </row>
    <row r="8299" spans="1:20" x14ac:dyDescent="0.25">
      <c r="A8299">
        <v>20190228</v>
      </c>
      <c r="B8299">
        <v>2019</v>
      </c>
      <c r="C8299">
        <v>2</v>
      </c>
      <c r="D8299">
        <v>1</v>
      </c>
      <c r="E8299">
        <v>10970</v>
      </c>
      <c r="F8299">
        <v>27755.85</v>
      </c>
      <c r="G8299">
        <v>30068.83</v>
      </c>
      <c r="H8299">
        <v>0</v>
      </c>
      <c r="I8299">
        <v>0</v>
      </c>
      <c r="J8299">
        <v>0</v>
      </c>
      <c r="K8299">
        <v>0</v>
      </c>
      <c r="L8299">
        <v>5560142.04</v>
      </c>
      <c r="M8299">
        <v>5590210.8700000001</v>
      </c>
      <c r="N8299">
        <v>5560142.04</v>
      </c>
      <c r="O8299">
        <v>5590210.8700000001</v>
      </c>
      <c r="P8299">
        <v>5560142.04</v>
      </c>
      <c r="Q8299">
        <v>5590210.8700000001</v>
      </c>
      <c r="R8299" s="14">
        <f>_xlfn.XLOOKUP(Table2[[#This Row],[LoanID]],Table1[G-L ID],Table1[ManagerCode],-99)</f>
        <v>183</v>
      </c>
      <c r="T8299"/>
    </row>
    <row r="8300" spans="1:20" x14ac:dyDescent="0.25">
      <c r="A8300">
        <v>20190228</v>
      </c>
      <c r="B8300">
        <v>2019</v>
      </c>
      <c r="C8300">
        <v>2</v>
      </c>
      <c r="D8300">
        <v>1</v>
      </c>
      <c r="E8300">
        <v>11060</v>
      </c>
      <c r="F8300">
        <v>224092.7</v>
      </c>
      <c r="G8300">
        <v>0</v>
      </c>
      <c r="H8300">
        <v>0</v>
      </c>
      <c r="I8300">
        <v>0</v>
      </c>
      <c r="J8300">
        <v>0</v>
      </c>
      <c r="K8300">
        <v>0</v>
      </c>
      <c r="L8300">
        <v>22000000</v>
      </c>
      <c r="M8300">
        <v>22000000</v>
      </c>
      <c r="N8300">
        <v>22000000</v>
      </c>
      <c r="O8300">
        <v>22000000</v>
      </c>
      <c r="P8300">
        <v>22000000</v>
      </c>
      <c r="Q8300">
        <v>22000000</v>
      </c>
      <c r="R8300" s="14">
        <f>_xlfn.XLOOKUP(Table2[[#This Row],[LoanID]],Table1[G-L ID],Table1[ManagerCode],-99)</f>
        <v>119</v>
      </c>
      <c r="T8300"/>
    </row>
    <row r="8301" spans="1:20" x14ac:dyDescent="0.25">
      <c r="A8301">
        <v>20190228</v>
      </c>
      <c r="B8301">
        <v>2019</v>
      </c>
      <c r="C8301">
        <v>2</v>
      </c>
      <c r="D8301">
        <v>1</v>
      </c>
      <c r="E8301">
        <v>11080</v>
      </c>
      <c r="F8301">
        <v>354099.98</v>
      </c>
      <c r="G8301">
        <v>0</v>
      </c>
      <c r="H8301">
        <v>0</v>
      </c>
      <c r="I8301">
        <v>0</v>
      </c>
      <c r="J8301">
        <v>0</v>
      </c>
      <c r="K8301">
        <v>61919.27</v>
      </c>
      <c r="L8301">
        <v>38389949.280000001</v>
      </c>
      <c r="M8301">
        <v>38328030.009999998</v>
      </c>
      <c r="N8301">
        <v>38389949.280000001</v>
      </c>
      <c r="O8301">
        <v>38328030.009999998</v>
      </c>
      <c r="P8301">
        <v>38389949.280000001</v>
      </c>
      <c r="Q8301">
        <v>38328030.009999998</v>
      </c>
      <c r="R8301" s="14">
        <f>_xlfn.XLOOKUP(Table2[[#This Row],[LoanID]],Table1[G-L ID],Table1[ManagerCode],-99)</f>
        <v>119</v>
      </c>
      <c r="T8301"/>
    </row>
    <row r="8302" spans="1:20" x14ac:dyDescent="0.25">
      <c r="A8302">
        <v>20190228</v>
      </c>
      <c r="B8302">
        <v>2019</v>
      </c>
      <c r="C8302">
        <v>2</v>
      </c>
      <c r="D8302">
        <v>1</v>
      </c>
      <c r="E8302">
        <v>11150</v>
      </c>
      <c r="F8302">
        <v>115512.3</v>
      </c>
      <c r="G8302">
        <v>0</v>
      </c>
      <c r="H8302">
        <v>0</v>
      </c>
      <c r="I8302">
        <v>0</v>
      </c>
      <c r="J8302">
        <v>-203469.23</v>
      </c>
      <c r="K8302">
        <v>0</v>
      </c>
      <c r="L8302">
        <v>9762841.5600000005</v>
      </c>
      <c r="M8302">
        <v>9966310.7899999991</v>
      </c>
      <c r="N8302">
        <v>9762841.5600000005</v>
      </c>
      <c r="O8302">
        <v>9966310.7899999991</v>
      </c>
      <c r="P8302">
        <v>9762841.5600000005</v>
      </c>
      <c r="Q8302">
        <v>9966310.7899999991</v>
      </c>
      <c r="R8302" s="14">
        <f>_xlfn.XLOOKUP(Table2[[#This Row],[LoanID]],Table1[G-L ID],Table1[ManagerCode],-99)</f>
        <v>119</v>
      </c>
      <c r="T8302"/>
    </row>
    <row r="8303" spans="1:20" x14ac:dyDescent="0.25">
      <c r="A8303">
        <v>20190228</v>
      </c>
      <c r="B8303">
        <v>2019</v>
      </c>
      <c r="C8303">
        <v>2</v>
      </c>
      <c r="D8303">
        <v>1</v>
      </c>
      <c r="E8303">
        <v>11210</v>
      </c>
      <c r="F8303">
        <v>79566.67</v>
      </c>
      <c r="G8303">
        <v>0</v>
      </c>
      <c r="H8303">
        <v>0</v>
      </c>
      <c r="I8303">
        <v>0</v>
      </c>
      <c r="J8303">
        <v>0</v>
      </c>
      <c r="K8303">
        <v>0</v>
      </c>
      <c r="L8303">
        <v>9500000</v>
      </c>
      <c r="M8303">
        <v>9500000</v>
      </c>
      <c r="N8303">
        <v>9500000</v>
      </c>
      <c r="O8303">
        <v>9500000</v>
      </c>
      <c r="P8303">
        <v>9500000</v>
      </c>
      <c r="Q8303">
        <v>9500000</v>
      </c>
      <c r="R8303" s="14">
        <f>_xlfn.XLOOKUP(Table2[[#This Row],[LoanID]],Table1[G-L ID],Table1[ManagerCode],-99)</f>
        <v>119</v>
      </c>
      <c r="T8303"/>
    </row>
    <row r="8304" spans="1:20" x14ac:dyDescent="0.25">
      <c r="A8304">
        <v>20190228</v>
      </c>
      <c r="B8304">
        <v>2019</v>
      </c>
      <c r="C8304">
        <v>2</v>
      </c>
      <c r="D8304">
        <v>1</v>
      </c>
      <c r="E8304">
        <v>11340</v>
      </c>
      <c r="F8304">
        <v>286058.26</v>
      </c>
      <c r="G8304">
        <v>0</v>
      </c>
      <c r="H8304">
        <v>0</v>
      </c>
      <c r="I8304">
        <v>0</v>
      </c>
      <c r="J8304">
        <v>0</v>
      </c>
      <c r="K8304">
        <v>70572.41</v>
      </c>
      <c r="L8304">
        <v>51653700</v>
      </c>
      <c r="M8304">
        <v>51378982</v>
      </c>
      <c r="N8304">
        <v>51653700</v>
      </c>
      <c r="O8304">
        <v>51378982</v>
      </c>
      <c r="P8304">
        <v>47456669.670000002</v>
      </c>
      <c r="Q8304">
        <v>47386097.259999998</v>
      </c>
      <c r="R8304" s="14">
        <f>_xlfn.XLOOKUP(Table2[[#This Row],[LoanID]],Table1[G-L ID],Table1[ManagerCode],-99)</f>
        <v>103</v>
      </c>
      <c r="T8304"/>
    </row>
    <row r="8305" spans="1:20" x14ac:dyDescent="0.25">
      <c r="A8305">
        <v>20190228</v>
      </c>
      <c r="B8305">
        <v>2019</v>
      </c>
      <c r="C8305">
        <v>2</v>
      </c>
      <c r="D8305">
        <v>1</v>
      </c>
      <c r="E8305">
        <v>11360</v>
      </c>
      <c r="F8305">
        <v>82697.149999999994</v>
      </c>
      <c r="G8305">
        <v>0</v>
      </c>
      <c r="H8305">
        <v>0</v>
      </c>
      <c r="I8305">
        <v>0</v>
      </c>
      <c r="J8305">
        <v>0</v>
      </c>
      <c r="K8305">
        <v>0</v>
      </c>
      <c r="L8305">
        <v>9355036</v>
      </c>
      <c r="M8305">
        <v>9355036</v>
      </c>
      <c r="N8305">
        <v>9355036</v>
      </c>
      <c r="O8305">
        <v>9355036</v>
      </c>
      <c r="P8305">
        <v>9355036</v>
      </c>
      <c r="Q8305">
        <v>9355036</v>
      </c>
      <c r="R8305" s="14">
        <f>_xlfn.XLOOKUP(Table2[[#This Row],[LoanID]],Table1[G-L ID],Table1[ManagerCode],-99)</f>
        <v>119</v>
      </c>
      <c r="T8305"/>
    </row>
    <row r="8306" spans="1:20" x14ac:dyDescent="0.25">
      <c r="A8306">
        <v>20190228</v>
      </c>
      <c r="B8306">
        <v>2019</v>
      </c>
      <c r="C8306">
        <v>2</v>
      </c>
      <c r="D8306">
        <v>1</v>
      </c>
      <c r="E8306">
        <v>11450</v>
      </c>
      <c r="F8306">
        <v>167261</v>
      </c>
      <c r="G8306">
        <v>0</v>
      </c>
      <c r="H8306">
        <v>0</v>
      </c>
      <c r="I8306">
        <v>0</v>
      </c>
      <c r="J8306">
        <v>0</v>
      </c>
      <c r="K8306">
        <v>0</v>
      </c>
      <c r="L8306">
        <v>17158975.629999999</v>
      </c>
      <c r="M8306">
        <v>17158975.629999999</v>
      </c>
      <c r="N8306">
        <v>17158975.629999999</v>
      </c>
      <c r="O8306">
        <v>17158975.629999999</v>
      </c>
      <c r="P8306">
        <v>17158975.629999999</v>
      </c>
      <c r="Q8306">
        <v>17158975.629999999</v>
      </c>
      <c r="R8306" s="14">
        <f>_xlfn.XLOOKUP(Table2[[#This Row],[LoanID]],Table1[G-L ID],Table1[ManagerCode],-99)</f>
        <v>119</v>
      </c>
      <c r="T8306"/>
    </row>
    <row r="8307" spans="1:20" x14ac:dyDescent="0.25">
      <c r="A8307">
        <v>20190228</v>
      </c>
      <c r="B8307">
        <v>2019</v>
      </c>
      <c r="C8307">
        <v>2</v>
      </c>
      <c r="D8307">
        <v>1</v>
      </c>
      <c r="E8307">
        <v>11520</v>
      </c>
      <c r="F8307">
        <v>58157.67</v>
      </c>
      <c r="G8307">
        <v>0</v>
      </c>
      <c r="H8307">
        <v>0</v>
      </c>
      <c r="I8307">
        <v>0</v>
      </c>
      <c r="J8307">
        <v>0</v>
      </c>
      <c r="K8307">
        <v>0</v>
      </c>
      <c r="L8307">
        <v>6633419.1500000004</v>
      </c>
      <c r="M8307">
        <v>6633419.1500000004</v>
      </c>
      <c r="N8307">
        <v>6633419.1500000004</v>
      </c>
      <c r="O8307">
        <v>6633419.1500000004</v>
      </c>
      <c r="P8307">
        <v>6633419.1500000004</v>
      </c>
      <c r="Q8307">
        <v>6633419.1500000004</v>
      </c>
      <c r="R8307" s="14">
        <f>_xlfn.XLOOKUP(Table2[[#This Row],[LoanID]],Table1[G-L ID],Table1[ManagerCode],-99)</f>
        <v>119</v>
      </c>
      <c r="T8307"/>
    </row>
    <row r="8308" spans="1:20" x14ac:dyDescent="0.25">
      <c r="A8308">
        <v>20190228</v>
      </c>
      <c r="B8308">
        <v>2019</v>
      </c>
      <c r="C8308">
        <v>2</v>
      </c>
      <c r="D8308">
        <v>1</v>
      </c>
      <c r="E8308">
        <v>11530</v>
      </c>
      <c r="F8308">
        <v>111802.08</v>
      </c>
      <c r="G8308">
        <v>0</v>
      </c>
      <c r="H8308">
        <v>0</v>
      </c>
      <c r="I8308">
        <v>0</v>
      </c>
      <c r="J8308">
        <v>0</v>
      </c>
      <c r="K8308">
        <v>0</v>
      </c>
      <c r="L8308">
        <v>15000000</v>
      </c>
      <c r="M8308">
        <v>15000000</v>
      </c>
      <c r="N8308">
        <v>15000000</v>
      </c>
      <c r="O8308">
        <v>15000000</v>
      </c>
      <c r="P8308">
        <v>15000000</v>
      </c>
      <c r="Q8308">
        <v>15000000</v>
      </c>
      <c r="R8308" s="14">
        <f>_xlfn.XLOOKUP(Table2[[#This Row],[LoanID]],Table1[G-L ID],Table1[ManagerCode],-99)</f>
        <v>119</v>
      </c>
      <c r="T8308"/>
    </row>
    <row r="8309" spans="1:20" x14ac:dyDescent="0.25">
      <c r="A8309">
        <v>20190228</v>
      </c>
      <c r="B8309">
        <v>2019</v>
      </c>
      <c r="C8309">
        <v>2</v>
      </c>
      <c r="D8309">
        <v>1</v>
      </c>
      <c r="E8309">
        <v>11590</v>
      </c>
      <c r="F8309">
        <v>13779.66</v>
      </c>
      <c r="G8309">
        <v>0</v>
      </c>
      <c r="H8309">
        <v>0</v>
      </c>
      <c r="I8309">
        <v>0</v>
      </c>
      <c r="J8309">
        <v>0</v>
      </c>
      <c r="K8309">
        <v>1982289.13</v>
      </c>
      <c r="L8309">
        <v>1982289.13</v>
      </c>
      <c r="M8309">
        <v>0</v>
      </c>
      <c r="N8309">
        <v>1982289.13</v>
      </c>
      <c r="O8309">
        <v>0</v>
      </c>
      <c r="P8309">
        <v>1982289.13</v>
      </c>
      <c r="Q8309">
        <v>0</v>
      </c>
      <c r="R8309" s="14">
        <f>_xlfn.XLOOKUP(Table2[[#This Row],[LoanID]],Table1[G-L ID],Table1[ManagerCode],-99)</f>
        <v>119</v>
      </c>
      <c r="T8309"/>
    </row>
    <row r="8310" spans="1:20" x14ac:dyDescent="0.25">
      <c r="A8310">
        <v>20190228</v>
      </c>
      <c r="B8310">
        <v>2019</v>
      </c>
      <c r="C8310">
        <v>2</v>
      </c>
      <c r="D8310">
        <v>1</v>
      </c>
      <c r="E8310">
        <v>11680</v>
      </c>
      <c r="F8310">
        <v>50325.78</v>
      </c>
      <c r="G8310">
        <v>0</v>
      </c>
      <c r="H8310">
        <v>0</v>
      </c>
      <c r="I8310">
        <v>0</v>
      </c>
      <c r="J8310">
        <v>0</v>
      </c>
      <c r="K8310">
        <v>0</v>
      </c>
      <c r="L8310">
        <v>6600000</v>
      </c>
      <c r="M8310">
        <v>6600000</v>
      </c>
      <c r="N8310">
        <v>6600000</v>
      </c>
      <c r="O8310">
        <v>6600000</v>
      </c>
      <c r="P8310">
        <v>6600000</v>
      </c>
      <c r="Q8310">
        <v>6600000</v>
      </c>
      <c r="R8310" s="14">
        <f>_xlfn.XLOOKUP(Table2[[#This Row],[LoanID]],Table1[G-L ID],Table1[ManagerCode],-99)</f>
        <v>183</v>
      </c>
      <c r="T8310"/>
    </row>
    <row r="8311" spans="1:20" x14ac:dyDescent="0.25">
      <c r="A8311">
        <v>20190228</v>
      </c>
      <c r="B8311">
        <v>2019</v>
      </c>
      <c r="C8311">
        <v>2</v>
      </c>
      <c r="D8311">
        <v>1</v>
      </c>
      <c r="E8311">
        <v>11830</v>
      </c>
      <c r="F8311">
        <v>120467.81</v>
      </c>
      <c r="G8311">
        <v>0</v>
      </c>
      <c r="H8311">
        <v>0</v>
      </c>
      <c r="I8311">
        <v>0</v>
      </c>
      <c r="J8311">
        <v>0</v>
      </c>
      <c r="K8311">
        <v>1494165.7</v>
      </c>
      <c r="L8311">
        <v>11754070.109999999</v>
      </c>
      <c r="M8311">
        <v>10259904.41</v>
      </c>
      <c r="N8311">
        <v>11754070.109999999</v>
      </c>
      <c r="O8311">
        <v>10259904.41</v>
      </c>
      <c r="P8311">
        <v>11754070.109999999</v>
      </c>
      <c r="Q8311">
        <v>10259904.41</v>
      </c>
      <c r="R8311" s="14">
        <f>_xlfn.XLOOKUP(Table2[[#This Row],[LoanID]],Table1[G-L ID],Table1[ManagerCode],-99)</f>
        <v>119</v>
      </c>
      <c r="T8311"/>
    </row>
    <row r="8312" spans="1:20" x14ac:dyDescent="0.25">
      <c r="A8312">
        <v>20190228</v>
      </c>
      <c r="B8312">
        <v>2019</v>
      </c>
      <c r="C8312">
        <v>2</v>
      </c>
      <c r="D8312">
        <v>1</v>
      </c>
      <c r="E8312">
        <v>12180</v>
      </c>
      <c r="F8312">
        <v>261954.86</v>
      </c>
      <c r="G8312">
        <v>0</v>
      </c>
      <c r="H8312">
        <v>0</v>
      </c>
      <c r="I8312">
        <v>0</v>
      </c>
      <c r="J8312">
        <v>0</v>
      </c>
      <c r="K8312">
        <v>0</v>
      </c>
      <c r="L8312">
        <v>30400000</v>
      </c>
      <c r="M8312">
        <v>30400000</v>
      </c>
      <c r="N8312">
        <v>30400000</v>
      </c>
      <c r="O8312">
        <v>30400000</v>
      </c>
      <c r="P8312">
        <v>30393210.870000001</v>
      </c>
      <c r="Q8312">
        <v>30393210.870000001</v>
      </c>
      <c r="R8312" s="14">
        <f>_xlfn.XLOOKUP(Table2[[#This Row],[LoanID]],Table1[G-L ID],Table1[ManagerCode],-99)</f>
        <v>220</v>
      </c>
      <c r="T8312"/>
    </row>
    <row r="8313" spans="1:20" x14ac:dyDescent="0.25">
      <c r="A8313">
        <v>20190228</v>
      </c>
      <c r="B8313">
        <v>2019</v>
      </c>
      <c r="C8313">
        <v>2</v>
      </c>
      <c r="D8313">
        <v>1</v>
      </c>
      <c r="E8313">
        <v>12220</v>
      </c>
      <c r="F8313">
        <v>203096.78</v>
      </c>
      <c r="G8313">
        <v>0</v>
      </c>
      <c r="H8313">
        <v>0</v>
      </c>
      <c r="I8313">
        <v>0</v>
      </c>
      <c r="J8313">
        <v>0</v>
      </c>
      <c r="K8313">
        <v>0</v>
      </c>
      <c r="L8313">
        <v>54500000</v>
      </c>
      <c r="M8313">
        <v>54500000</v>
      </c>
      <c r="N8313">
        <v>27250000</v>
      </c>
      <c r="O8313">
        <v>27250000</v>
      </c>
      <c r="P8313">
        <v>54500000</v>
      </c>
      <c r="Q8313">
        <v>54500000</v>
      </c>
      <c r="R8313" s="14">
        <f>_xlfn.XLOOKUP(Table2[[#This Row],[LoanID]],Table1[G-L ID],Table1[ManagerCode],-99)</f>
        <v>183</v>
      </c>
      <c r="T8313"/>
    </row>
    <row r="8314" spans="1:20" x14ac:dyDescent="0.25">
      <c r="A8314">
        <v>20190228</v>
      </c>
      <c r="B8314">
        <v>2019</v>
      </c>
      <c r="C8314">
        <v>2</v>
      </c>
      <c r="D8314">
        <v>1</v>
      </c>
      <c r="E8314">
        <v>12250</v>
      </c>
      <c r="F8314">
        <v>112729.85</v>
      </c>
      <c r="G8314">
        <v>0</v>
      </c>
      <c r="H8314">
        <v>0</v>
      </c>
      <c r="I8314">
        <v>0</v>
      </c>
      <c r="J8314">
        <v>-325607.65000000002</v>
      </c>
      <c r="K8314">
        <v>0</v>
      </c>
      <c r="L8314">
        <v>12570753.51</v>
      </c>
      <c r="M8314">
        <v>12896361.16</v>
      </c>
      <c r="N8314">
        <v>12570753.51</v>
      </c>
      <c r="O8314">
        <v>12896361.16</v>
      </c>
      <c r="P8314">
        <v>12570753.51</v>
      </c>
      <c r="Q8314">
        <v>12896361.16</v>
      </c>
      <c r="R8314" s="14">
        <f>_xlfn.XLOOKUP(Table2[[#This Row],[LoanID]],Table1[G-L ID],Table1[ManagerCode],-99)</f>
        <v>119</v>
      </c>
      <c r="T8314"/>
    </row>
    <row r="8315" spans="1:20" x14ac:dyDescent="0.25">
      <c r="A8315">
        <v>20190228</v>
      </c>
      <c r="B8315">
        <v>2019</v>
      </c>
      <c r="C8315">
        <v>2</v>
      </c>
      <c r="D8315">
        <v>1</v>
      </c>
      <c r="E8315">
        <v>12260</v>
      </c>
      <c r="F8315">
        <v>152894.65</v>
      </c>
      <c r="G8315">
        <v>0</v>
      </c>
      <c r="H8315">
        <v>246250</v>
      </c>
      <c r="I8315">
        <v>0</v>
      </c>
      <c r="J8315">
        <v>0</v>
      </c>
      <c r="K8315">
        <v>2313106.37</v>
      </c>
      <c r="L8315">
        <v>17826854.199999999</v>
      </c>
      <c r="M8315">
        <v>15513747.83</v>
      </c>
      <c r="N8315">
        <v>17826854.199999999</v>
      </c>
      <c r="O8315">
        <v>15513747.83</v>
      </c>
      <c r="P8315">
        <v>17826854.199999999</v>
      </c>
      <c r="Q8315">
        <v>15513747.83</v>
      </c>
      <c r="R8315" s="14">
        <f>_xlfn.XLOOKUP(Table2[[#This Row],[LoanID]],Table1[G-L ID],Table1[ManagerCode],-99)</f>
        <v>119</v>
      </c>
      <c r="T8315"/>
    </row>
    <row r="8316" spans="1:20" x14ac:dyDescent="0.25">
      <c r="A8316">
        <v>20190228</v>
      </c>
      <c r="B8316">
        <v>2019</v>
      </c>
      <c r="C8316">
        <v>2</v>
      </c>
      <c r="D8316">
        <v>1</v>
      </c>
      <c r="E8316">
        <v>12270</v>
      </c>
      <c r="F8316">
        <v>7977.74</v>
      </c>
      <c r="G8316">
        <v>0</v>
      </c>
      <c r="H8316">
        <v>0</v>
      </c>
      <c r="I8316">
        <v>0</v>
      </c>
      <c r="J8316">
        <v>0</v>
      </c>
      <c r="K8316">
        <v>0</v>
      </c>
      <c r="L8316">
        <v>740032.81</v>
      </c>
      <c r="M8316">
        <v>740032.81</v>
      </c>
      <c r="N8316">
        <v>740032.81</v>
      </c>
      <c r="O8316">
        <v>740032.81</v>
      </c>
      <c r="P8316">
        <v>740032.81</v>
      </c>
      <c r="Q8316">
        <v>740032.81</v>
      </c>
      <c r="R8316" s="14">
        <f>_xlfn.XLOOKUP(Table2[[#This Row],[LoanID]],Table1[G-L ID],Table1[ManagerCode],-99)</f>
        <v>119</v>
      </c>
      <c r="T8316"/>
    </row>
    <row r="8317" spans="1:20" x14ac:dyDescent="0.25">
      <c r="A8317">
        <v>20190228</v>
      </c>
      <c r="B8317">
        <v>2019</v>
      </c>
      <c r="C8317">
        <v>2</v>
      </c>
      <c r="D8317">
        <v>1</v>
      </c>
      <c r="E8317">
        <v>12280</v>
      </c>
      <c r="F8317">
        <v>211652.3</v>
      </c>
      <c r="G8317">
        <v>0</v>
      </c>
      <c r="H8317">
        <v>0</v>
      </c>
      <c r="I8317">
        <v>0</v>
      </c>
      <c r="J8317">
        <v>0</v>
      </c>
      <c r="K8317">
        <v>5806425.1200000001</v>
      </c>
      <c r="L8317">
        <v>23514819.620000001</v>
      </c>
      <c r="M8317">
        <v>17708394.5</v>
      </c>
      <c r="N8317">
        <v>23514819.620000001</v>
      </c>
      <c r="O8317">
        <v>17708394.5</v>
      </c>
      <c r="P8317">
        <v>23514819.620000001</v>
      </c>
      <c r="Q8317">
        <v>17708394.5</v>
      </c>
      <c r="R8317" s="14">
        <f>_xlfn.XLOOKUP(Table2[[#This Row],[LoanID]],Table1[G-L ID],Table1[ManagerCode],-99)</f>
        <v>119</v>
      </c>
      <c r="T8317"/>
    </row>
    <row r="8318" spans="1:20" x14ac:dyDescent="0.25">
      <c r="A8318">
        <v>20190228</v>
      </c>
      <c r="B8318">
        <v>2019</v>
      </c>
      <c r="C8318">
        <v>2</v>
      </c>
      <c r="D8318">
        <v>1</v>
      </c>
      <c r="E8318">
        <v>12290</v>
      </c>
      <c r="F8318">
        <v>207603.86</v>
      </c>
      <c r="G8318">
        <v>0</v>
      </c>
      <c r="H8318">
        <v>0</v>
      </c>
      <c r="I8318">
        <v>0</v>
      </c>
      <c r="J8318">
        <v>0</v>
      </c>
      <c r="K8318">
        <v>0</v>
      </c>
      <c r="L8318">
        <v>22750000</v>
      </c>
      <c r="M8318">
        <v>22750000</v>
      </c>
      <c r="N8318">
        <v>22750000</v>
      </c>
      <c r="O8318">
        <v>22750000</v>
      </c>
      <c r="P8318">
        <v>22750000</v>
      </c>
      <c r="Q8318">
        <v>22750000</v>
      </c>
      <c r="R8318" s="14">
        <f>_xlfn.XLOOKUP(Table2[[#This Row],[LoanID]],Table1[G-L ID],Table1[ManagerCode],-99)</f>
        <v>119</v>
      </c>
      <c r="T8318"/>
    </row>
    <row r="8319" spans="1:20" x14ac:dyDescent="0.25">
      <c r="A8319">
        <v>20190228</v>
      </c>
      <c r="B8319">
        <v>2019</v>
      </c>
      <c r="C8319">
        <v>2</v>
      </c>
      <c r="D8319">
        <v>1</v>
      </c>
      <c r="E8319">
        <v>12310</v>
      </c>
      <c r="F8319">
        <v>99237.23</v>
      </c>
      <c r="G8319">
        <v>0</v>
      </c>
      <c r="H8319">
        <v>0</v>
      </c>
      <c r="I8319">
        <v>0</v>
      </c>
      <c r="J8319">
        <v>0</v>
      </c>
      <c r="K8319">
        <v>0</v>
      </c>
      <c r="L8319">
        <v>13100000</v>
      </c>
      <c r="M8319">
        <v>13100000</v>
      </c>
      <c r="N8319">
        <v>13100000</v>
      </c>
      <c r="O8319">
        <v>13100000</v>
      </c>
      <c r="P8319">
        <v>13100000</v>
      </c>
      <c r="Q8319">
        <v>13100000</v>
      </c>
      <c r="R8319" s="14">
        <f>_xlfn.XLOOKUP(Table2[[#This Row],[LoanID]],Table1[G-L ID],Table1[ManagerCode],-99)</f>
        <v>119</v>
      </c>
      <c r="T8319"/>
    </row>
    <row r="8320" spans="1:20" x14ac:dyDescent="0.25">
      <c r="A8320">
        <v>20190228</v>
      </c>
      <c r="B8320">
        <v>2019</v>
      </c>
      <c r="C8320">
        <v>2</v>
      </c>
      <c r="D8320">
        <v>1</v>
      </c>
      <c r="E8320">
        <v>12330</v>
      </c>
      <c r="F8320">
        <v>228253.15</v>
      </c>
      <c r="G8320">
        <v>0</v>
      </c>
      <c r="H8320">
        <v>0</v>
      </c>
      <c r="I8320">
        <v>0</v>
      </c>
      <c r="J8320">
        <v>0</v>
      </c>
      <c r="K8320">
        <v>0</v>
      </c>
      <c r="L8320">
        <v>19976500</v>
      </c>
      <c r="M8320">
        <v>19976500</v>
      </c>
      <c r="N8320">
        <v>19976500</v>
      </c>
      <c r="O8320">
        <v>19976500</v>
      </c>
      <c r="P8320">
        <v>19976500</v>
      </c>
      <c r="Q8320">
        <v>19976500</v>
      </c>
      <c r="R8320" s="14">
        <f>_xlfn.XLOOKUP(Table2[[#This Row],[LoanID]],Table1[G-L ID],Table1[ManagerCode],-99)</f>
        <v>119</v>
      </c>
      <c r="T8320"/>
    </row>
    <row r="8321" spans="1:20" x14ac:dyDescent="0.25">
      <c r="A8321">
        <v>20190228</v>
      </c>
      <c r="B8321">
        <v>2019</v>
      </c>
      <c r="C8321">
        <v>2</v>
      </c>
      <c r="D8321">
        <v>1</v>
      </c>
      <c r="E8321">
        <v>12340</v>
      </c>
      <c r="F8321">
        <v>64589.599999999999</v>
      </c>
      <c r="G8321">
        <v>0</v>
      </c>
      <c r="H8321">
        <v>0</v>
      </c>
      <c r="I8321">
        <v>0</v>
      </c>
      <c r="J8321">
        <v>0</v>
      </c>
      <c r="K8321">
        <v>0</v>
      </c>
      <c r="L8321">
        <v>24180000</v>
      </c>
      <c r="M8321">
        <v>24180000</v>
      </c>
      <c r="N8321">
        <v>12180000</v>
      </c>
      <c r="O8321">
        <v>12180000</v>
      </c>
      <c r="P8321">
        <v>24180000</v>
      </c>
      <c r="Q8321">
        <v>24180000</v>
      </c>
      <c r="R8321" s="14">
        <f>_xlfn.XLOOKUP(Table2[[#This Row],[LoanID]],Table1[G-L ID],Table1[ManagerCode],-99)</f>
        <v>183</v>
      </c>
      <c r="T8321"/>
    </row>
    <row r="8322" spans="1:20" x14ac:dyDescent="0.25">
      <c r="A8322">
        <v>20190228</v>
      </c>
      <c r="B8322">
        <v>2019</v>
      </c>
      <c r="C8322">
        <v>2</v>
      </c>
      <c r="D8322">
        <v>1</v>
      </c>
      <c r="E8322">
        <v>12350</v>
      </c>
      <c r="F8322">
        <v>248581.3</v>
      </c>
      <c r="G8322">
        <v>0</v>
      </c>
      <c r="H8322">
        <v>0</v>
      </c>
      <c r="I8322">
        <v>0</v>
      </c>
      <c r="J8322">
        <v>-2562922.96</v>
      </c>
      <c r="K8322">
        <v>0</v>
      </c>
      <c r="L8322">
        <v>71882484.349999994</v>
      </c>
      <c r="M8322">
        <v>74445407.310000002</v>
      </c>
      <c r="N8322">
        <v>34382484.350000001</v>
      </c>
      <c r="O8322">
        <v>36945407.310000002</v>
      </c>
      <c r="P8322">
        <v>71882484.349999994</v>
      </c>
      <c r="Q8322">
        <v>74445407.310000002</v>
      </c>
      <c r="R8322" s="14">
        <f>_xlfn.XLOOKUP(Table2[[#This Row],[LoanID]],Table1[G-L ID],Table1[ManagerCode],-99)</f>
        <v>183</v>
      </c>
      <c r="T8322"/>
    </row>
    <row r="8323" spans="1:20" x14ac:dyDescent="0.25">
      <c r="A8323">
        <v>20190228</v>
      </c>
      <c r="B8323">
        <v>2019</v>
      </c>
      <c r="C8323">
        <v>2</v>
      </c>
      <c r="D8323">
        <v>1</v>
      </c>
      <c r="E8323">
        <v>12360</v>
      </c>
      <c r="F8323">
        <v>146309.85999999999</v>
      </c>
      <c r="G8323">
        <v>0</v>
      </c>
      <c r="H8323">
        <v>0</v>
      </c>
      <c r="I8323">
        <v>0</v>
      </c>
      <c r="J8323">
        <v>0</v>
      </c>
      <c r="K8323">
        <v>0</v>
      </c>
      <c r="L8323">
        <v>60000000</v>
      </c>
      <c r="M8323">
        <v>60000000</v>
      </c>
      <c r="N8323">
        <v>19000000</v>
      </c>
      <c r="O8323">
        <v>19000000</v>
      </c>
      <c r="P8323">
        <v>60000000</v>
      </c>
      <c r="Q8323">
        <v>60000000</v>
      </c>
      <c r="R8323" s="14">
        <f>_xlfn.XLOOKUP(Table2[[#This Row],[LoanID]],Table1[G-L ID],Table1[ManagerCode],-99)</f>
        <v>183</v>
      </c>
      <c r="T8323"/>
    </row>
    <row r="8324" spans="1:20" x14ac:dyDescent="0.25">
      <c r="A8324">
        <v>20190228</v>
      </c>
      <c r="B8324">
        <v>2019</v>
      </c>
      <c r="C8324">
        <v>2</v>
      </c>
      <c r="D8324">
        <v>1</v>
      </c>
      <c r="E8324">
        <v>12370</v>
      </c>
      <c r="F8324">
        <v>397453.94</v>
      </c>
      <c r="G8324">
        <v>0</v>
      </c>
      <c r="H8324">
        <v>0</v>
      </c>
      <c r="I8324">
        <v>0</v>
      </c>
      <c r="J8324">
        <v>0</v>
      </c>
      <c r="K8324">
        <v>0</v>
      </c>
      <c r="L8324">
        <v>104000000</v>
      </c>
      <c r="M8324">
        <v>104000000</v>
      </c>
      <c r="N8324">
        <v>44000000</v>
      </c>
      <c r="O8324">
        <v>44000000</v>
      </c>
      <c r="P8324">
        <v>104000000</v>
      </c>
      <c r="Q8324">
        <v>104000000</v>
      </c>
      <c r="R8324" s="14">
        <f>_xlfn.XLOOKUP(Table2[[#This Row],[LoanID]],Table1[G-L ID],Table1[ManagerCode],-99)</f>
        <v>183</v>
      </c>
      <c r="T8324"/>
    </row>
    <row r="8325" spans="1:20" x14ac:dyDescent="0.25">
      <c r="A8325">
        <v>20190228</v>
      </c>
      <c r="B8325">
        <v>2019</v>
      </c>
      <c r="C8325">
        <v>2</v>
      </c>
      <c r="D8325">
        <v>1</v>
      </c>
      <c r="E8325">
        <v>12380</v>
      </c>
      <c r="F8325">
        <v>94445.85</v>
      </c>
      <c r="G8325">
        <v>0</v>
      </c>
      <c r="H8325">
        <v>0</v>
      </c>
      <c r="I8325">
        <v>0</v>
      </c>
      <c r="J8325">
        <v>0</v>
      </c>
      <c r="K8325">
        <v>0</v>
      </c>
      <c r="L8325">
        <v>32500000</v>
      </c>
      <c r="M8325">
        <v>32500000</v>
      </c>
      <c r="N8325">
        <v>12350000</v>
      </c>
      <c r="O8325">
        <v>12350000</v>
      </c>
      <c r="P8325">
        <v>32500000</v>
      </c>
      <c r="Q8325">
        <v>32500000</v>
      </c>
      <c r="R8325" s="14">
        <f>_xlfn.XLOOKUP(Table2[[#This Row],[LoanID]],Table1[G-L ID],Table1[ManagerCode],-99)</f>
        <v>183</v>
      </c>
      <c r="T8325"/>
    </row>
    <row r="8326" spans="1:20" x14ac:dyDescent="0.25">
      <c r="A8326">
        <v>20190228</v>
      </c>
      <c r="B8326">
        <v>2019</v>
      </c>
      <c r="C8326">
        <v>2</v>
      </c>
      <c r="D8326">
        <v>1</v>
      </c>
      <c r="E8326">
        <v>12390</v>
      </c>
      <c r="F8326">
        <v>836494.27</v>
      </c>
      <c r="G8326">
        <v>533722.93999999994</v>
      </c>
      <c r="H8326">
        <v>0</v>
      </c>
      <c r="I8326">
        <v>0</v>
      </c>
      <c r="J8326">
        <v>-7100771.9800000004</v>
      </c>
      <c r="K8326">
        <v>0</v>
      </c>
      <c r="L8326">
        <v>117058884.90000001</v>
      </c>
      <c r="M8326">
        <v>124693379.8</v>
      </c>
      <c r="N8326">
        <v>117058884.90000001</v>
      </c>
      <c r="O8326">
        <v>124693379.8</v>
      </c>
      <c r="P8326">
        <v>117058884.90000001</v>
      </c>
      <c r="Q8326">
        <v>124693379.8</v>
      </c>
      <c r="R8326" s="14">
        <f>_xlfn.XLOOKUP(Table2[[#This Row],[LoanID]],Table1[G-L ID],Table1[ManagerCode],-99)</f>
        <v>183</v>
      </c>
      <c r="T8326"/>
    </row>
    <row r="8327" spans="1:20" x14ac:dyDescent="0.25">
      <c r="A8327">
        <v>20190228</v>
      </c>
      <c r="B8327">
        <v>2019</v>
      </c>
      <c r="C8327">
        <v>2</v>
      </c>
      <c r="D8327">
        <v>1</v>
      </c>
      <c r="E8327">
        <v>12400</v>
      </c>
      <c r="F8327">
        <v>159285.4</v>
      </c>
      <c r="G8327">
        <v>125031.09</v>
      </c>
      <c r="H8327">
        <v>0</v>
      </c>
      <c r="I8327">
        <v>0</v>
      </c>
      <c r="J8327">
        <v>-3829211.82</v>
      </c>
      <c r="K8327">
        <v>0</v>
      </c>
      <c r="L8327">
        <v>32110813.530000001</v>
      </c>
      <c r="M8327">
        <v>36065056.439999998</v>
      </c>
      <c r="N8327">
        <v>32110813.530000001</v>
      </c>
      <c r="O8327">
        <v>36065056.439999998</v>
      </c>
      <c r="P8327">
        <v>32110813.530000001</v>
      </c>
      <c r="Q8327">
        <v>36065056.439999998</v>
      </c>
      <c r="R8327" s="14">
        <f>_xlfn.XLOOKUP(Table2[[#This Row],[LoanID]],Table1[G-L ID],Table1[ManagerCode],-99)</f>
        <v>183</v>
      </c>
      <c r="T8327"/>
    </row>
    <row r="8328" spans="1:20" x14ac:dyDescent="0.25">
      <c r="A8328">
        <v>20190228</v>
      </c>
      <c r="B8328">
        <v>2019</v>
      </c>
      <c r="C8328">
        <v>2</v>
      </c>
      <c r="D8328">
        <v>1</v>
      </c>
      <c r="E8328">
        <v>12410</v>
      </c>
      <c r="F8328">
        <v>328735.21999999997</v>
      </c>
      <c r="G8328">
        <v>262988.18</v>
      </c>
      <c r="H8328">
        <v>0</v>
      </c>
      <c r="I8328">
        <v>0</v>
      </c>
      <c r="J8328">
        <v>0</v>
      </c>
      <c r="K8328">
        <v>0</v>
      </c>
      <c r="L8328">
        <v>74951632</v>
      </c>
      <c r="M8328">
        <v>75417266</v>
      </c>
      <c r="N8328">
        <v>74951632</v>
      </c>
      <c r="O8328">
        <v>75417266</v>
      </c>
      <c r="P8328">
        <v>79864034.659999996</v>
      </c>
      <c r="Q8328">
        <v>80127022.840000004</v>
      </c>
      <c r="R8328" s="14">
        <f>_xlfn.XLOOKUP(Table2[[#This Row],[LoanID]],Table1[G-L ID],Table1[ManagerCode],-99)</f>
        <v>103</v>
      </c>
      <c r="T8328"/>
    </row>
    <row r="8329" spans="1:20" x14ac:dyDescent="0.25">
      <c r="A8329">
        <v>20190228</v>
      </c>
      <c r="B8329">
        <v>2019</v>
      </c>
      <c r="C8329">
        <v>2</v>
      </c>
      <c r="D8329">
        <v>1</v>
      </c>
      <c r="E8329">
        <v>12430</v>
      </c>
      <c r="F8329">
        <v>85478.33</v>
      </c>
      <c r="G8329">
        <v>0</v>
      </c>
      <c r="H8329">
        <v>0</v>
      </c>
      <c r="I8329">
        <v>0</v>
      </c>
      <c r="J8329">
        <v>-85478.83</v>
      </c>
      <c r="K8329">
        <v>0</v>
      </c>
      <c r="L8329">
        <v>23412816</v>
      </c>
      <c r="M8329">
        <v>23776912</v>
      </c>
      <c r="N8329">
        <v>23412816</v>
      </c>
      <c r="O8329">
        <v>23776912</v>
      </c>
      <c r="P8329">
        <v>25643649.600000001</v>
      </c>
      <c r="Q8329">
        <v>25729128.43</v>
      </c>
      <c r="R8329" s="14">
        <f>_xlfn.XLOOKUP(Table2[[#This Row],[LoanID]],Table1[G-L ID],Table1[ManagerCode],-99)</f>
        <v>103</v>
      </c>
      <c r="T8329"/>
    </row>
    <row r="8330" spans="1:20" x14ac:dyDescent="0.25">
      <c r="A8330">
        <v>20190228</v>
      </c>
      <c r="B8330">
        <v>2019</v>
      </c>
      <c r="C8330">
        <v>2</v>
      </c>
      <c r="D8330">
        <v>1</v>
      </c>
      <c r="E8330">
        <v>12440</v>
      </c>
      <c r="F8330">
        <v>29219.08</v>
      </c>
      <c r="G8330">
        <v>0</v>
      </c>
      <c r="H8330">
        <v>0</v>
      </c>
      <c r="I8330">
        <v>0</v>
      </c>
      <c r="J8330">
        <v>0</v>
      </c>
      <c r="K8330">
        <v>54147.19</v>
      </c>
      <c r="L8330">
        <v>3929379</v>
      </c>
      <c r="M8330">
        <v>3855067</v>
      </c>
      <c r="N8330">
        <v>3929379</v>
      </c>
      <c r="O8330">
        <v>3855067</v>
      </c>
      <c r="P8330">
        <v>3506289.83</v>
      </c>
      <c r="Q8330">
        <v>3452142.64</v>
      </c>
      <c r="R8330" s="14">
        <f>_xlfn.XLOOKUP(Table2[[#This Row],[LoanID]],Table1[G-L ID],Table1[ManagerCode],-99)</f>
        <v>103</v>
      </c>
      <c r="T8330"/>
    </row>
    <row r="8331" spans="1:20" x14ac:dyDescent="0.25">
      <c r="A8331">
        <v>20190228</v>
      </c>
      <c r="B8331">
        <v>2019</v>
      </c>
      <c r="C8331">
        <v>2</v>
      </c>
      <c r="D8331">
        <v>1</v>
      </c>
      <c r="E8331">
        <v>12450</v>
      </c>
      <c r="F8331">
        <v>55799.24</v>
      </c>
      <c r="G8331">
        <v>36604.47</v>
      </c>
      <c r="H8331">
        <v>0</v>
      </c>
      <c r="I8331">
        <v>0</v>
      </c>
      <c r="J8331">
        <v>-1099341.49</v>
      </c>
      <c r="K8331">
        <v>0</v>
      </c>
      <c r="L8331">
        <v>10158618.77</v>
      </c>
      <c r="M8331">
        <v>11294564.73</v>
      </c>
      <c r="N8331">
        <v>10158618.77</v>
      </c>
      <c r="O8331">
        <v>11294564.73</v>
      </c>
      <c r="P8331">
        <v>10158618.77</v>
      </c>
      <c r="Q8331">
        <v>11294564.73</v>
      </c>
      <c r="R8331" s="14">
        <f>_xlfn.XLOOKUP(Table2[[#This Row],[LoanID]],Table1[G-L ID],Table1[ManagerCode],-99)</f>
        <v>183</v>
      </c>
      <c r="T8331"/>
    </row>
    <row r="8332" spans="1:20" x14ac:dyDescent="0.25">
      <c r="A8332">
        <v>20190228</v>
      </c>
      <c r="B8332">
        <v>2019</v>
      </c>
      <c r="C8332">
        <v>2</v>
      </c>
      <c r="D8332">
        <v>1</v>
      </c>
      <c r="E8332">
        <v>12460</v>
      </c>
      <c r="F8332">
        <v>42250</v>
      </c>
      <c r="G8332">
        <v>48616.41</v>
      </c>
      <c r="H8332">
        <v>0</v>
      </c>
      <c r="I8332">
        <v>0</v>
      </c>
      <c r="J8332">
        <v>0</v>
      </c>
      <c r="K8332">
        <v>0</v>
      </c>
      <c r="L8332">
        <v>9080796.2799999993</v>
      </c>
      <c r="M8332">
        <v>9135257.3300000001</v>
      </c>
      <c r="N8332">
        <v>9080796.2799999993</v>
      </c>
      <c r="O8332">
        <v>9135257.3300000001</v>
      </c>
      <c r="P8332">
        <v>9080796.2799999993</v>
      </c>
      <c r="Q8332">
        <v>9135257.3300000001</v>
      </c>
      <c r="R8332" s="14">
        <f>_xlfn.XLOOKUP(Table2[[#This Row],[LoanID]],Table1[G-L ID],Table1[ManagerCode],-99)</f>
        <v>183</v>
      </c>
      <c r="T8332"/>
    </row>
    <row r="8333" spans="1:20" x14ac:dyDescent="0.25">
      <c r="A8333">
        <v>20190228</v>
      </c>
      <c r="B8333">
        <v>2019</v>
      </c>
      <c r="C8333">
        <v>2</v>
      </c>
      <c r="D8333">
        <v>1</v>
      </c>
      <c r="E8333">
        <v>12470</v>
      </c>
      <c r="F8333">
        <v>369801.67</v>
      </c>
      <c r="G8333">
        <v>0</v>
      </c>
      <c r="H8333">
        <v>0</v>
      </c>
      <c r="I8333">
        <v>0</v>
      </c>
      <c r="J8333">
        <v>0</v>
      </c>
      <c r="K8333">
        <v>0</v>
      </c>
      <c r="L8333">
        <v>115000000</v>
      </c>
      <c r="M8333">
        <v>115000000</v>
      </c>
      <c r="N8333">
        <v>46000000</v>
      </c>
      <c r="O8333">
        <v>46000000</v>
      </c>
      <c r="P8333">
        <v>115000000</v>
      </c>
      <c r="Q8333">
        <v>115000000</v>
      </c>
      <c r="R8333" s="14">
        <f>_xlfn.XLOOKUP(Table2[[#This Row],[LoanID]],Table1[G-L ID],Table1[ManagerCode],-99)</f>
        <v>183</v>
      </c>
      <c r="T8333"/>
    </row>
    <row r="8334" spans="1:20" x14ac:dyDescent="0.25">
      <c r="A8334">
        <v>20190228</v>
      </c>
      <c r="B8334">
        <v>2019</v>
      </c>
      <c r="C8334">
        <v>2</v>
      </c>
      <c r="D8334">
        <v>1</v>
      </c>
      <c r="E8334">
        <v>12490</v>
      </c>
      <c r="F8334">
        <v>148703.42000000001</v>
      </c>
      <c r="G8334">
        <v>0</v>
      </c>
      <c r="H8334">
        <v>0</v>
      </c>
      <c r="I8334">
        <v>0</v>
      </c>
      <c r="J8334">
        <v>0</v>
      </c>
      <c r="K8334">
        <v>0</v>
      </c>
      <c r="L8334">
        <v>50200000</v>
      </c>
      <c r="M8334">
        <v>50200000</v>
      </c>
      <c r="N8334">
        <v>19600000</v>
      </c>
      <c r="O8334">
        <v>19600000</v>
      </c>
      <c r="P8334">
        <v>50200000</v>
      </c>
      <c r="Q8334">
        <v>50200000</v>
      </c>
      <c r="R8334" s="14">
        <f>_xlfn.XLOOKUP(Table2[[#This Row],[LoanID]],Table1[G-L ID],Table1[ManagerCode],-99)</f>
        <v>183</v>
      </c>
      <c r="T8334"/>
    </row>
    <row r="8335" spans="1:20" x14ac:dyDescent="0.25">
      <c r="A8335">
        <v>20190228</v>
      </c>
      <c r="B8335">
        <v>2019</v>
      </c>
      <c r="C8335">
        <v>2</v>
      </c>
      <c r="D8335">
        <v>1</v>
      </c>
      <c r="E8335">
        <v>12510</v>
      </c>
      <c r="F8335">
        <v>307734.65999999997</v>
      </c>
      <c r="G8335">
        <v>0</v>
      </c>
      <c r="H8335">
        <v>0</v>
      </c>
      <c r="I8335">
        <v>0</v>
      </c>
      <c r="J8335">
        <v>0</v>
      </c>
      <c r="K8335">
        <v>0</v>
      </c>
      <c r="L8335">
        <v>131500000</v>
      </c>
      <c r="M8335">
        <v>131500000</v>
      </c>
      <c r="N8335">
        <v>46025000</v>
      </c>
      <c r="O8335">
        <v>46025000</v>
      </c>
      <c r="P8335">
        <v>131500000</v>
      </c>
      <c r="Q8335">
        <v>131500000</v>
      </c>
      <c r="R8335" s="14">
        <f>_xlfn.XLOOKUP(Table2[[#This Row],[LoanID]],Table1[G-L ID],Table1[ManagerCode],-99)</f>
        <v>183</v>
      </c>
      <c r="T8335"/>
    </row>
    <row r="8336" spans="1:20" x14ac:dyDescent="0.25">
      <c r="A8336">
        <v>20190228</v>
      </c>
      <c r="B8336">
        <v>2019</v>
      </c>
      <c r="C8336">
        <v>2</v>
      </c>
      <c r="D8336">
        <v>1</v>
      </c>
      <c r="E8336">
        <v>12520</v>
      </c>
      <c r="F8336">
        <v>193705.66</v>
      </c>
      <c r="G8336">
        <v>0</v>
      </c>
      <c r="H8336">
        <v>0</v>
      </c>
      <c r="I8336">
        <v>0</v>
      </c>
      <c r="J8336">
        <v>-742772.71</v>
      </c>
      <c r="K8336">
        <v>0</v>
      </c>
      <c r="L8336">
        <v>45659580.329999998</v>
      </c>
      <c r="M8336">
        <v>46402353.039999999</v>
      </c>
      <c r="N8336">
        <v>20909580.329999998</v>
      </c>
      <c r="O8336">
        <v>21652353.039999999</v>
      </c>
      <c r="P8336">
        <v>45659580.329999998</v>
      </c>
      <c r="Q8336">
        <v>46402353.039999999</v>
      </c>
      <c r="R8336" s="14">
        <f>_xlfn.XLOOKUP(Table2[[#This Row],[LoanID]],Table1[G-L ID],Table1[ManagerCode],-99)</f>
        <v>183</v>
      </c>
      <c r="T8336"/>
    </row>
    <row r="8337" spans="1:20" x14ac:dyDescent="0.25">
      <c r="A8337">
        <v>20190228</v>
      </c>
      <c r="B8337">
        <v>2019</v>
      </c>
      <c r="C8337">
        <v>2</v>
      </c>
      <c r="D8337">
        <v>1</v>
      </c>
      <c r="E8337">
        <v>12530</v>
      </c>
      <c r="F8337">
        <v>167757.15</v>
      </c>
      <c r="G8337">
        <v>0</v>
      </c>
      <c r="H8337">
        <v>0</v>
      </c>
      <c r="I8337">
        <v>0</v>
      </c>
      <c r="J8337">
        <v>0</v>
      </c>
      <c r="K8337">
        <v>0</v>
      </c>
      <c r="L8337">
        <v>19875000</v>
      </c>
      <c r="M8337">
        <v>19875000</v>
      </c>
      <c r="N8337">
        <v>19875000</v>
      </c>
      <c r="O8337">
        <v>19875000</v>
      </c>
      <c r="P8337">
        <v>19875000</v>
      </c>
      <c r="Q8337">
        <v>19875000</v>
      </c>
      <c r="R8337" s="14">
        <f>_xlfn.XLOOKUP(Table2[[#This Row],[LoanID]],Table1[G-L ID],Table1[ManagerCode],-99)</f>
        <v>119</v>
      </c>
      <c r="T8337"/>
    </row>
    <row r="8338" spans="1:20" x14ac:dyDescent="0.25">
      <c r="A8338">
        <v>20190228</v>
      </c>
      <c r="B8338">
        <v>2019</v>
      </c>
      <c r="C8338">
        <v>2</v>
      </c>
      <c r="D8338">
        <v>1</v>
      </c>
      <c r="E8338">
        <v>12540</v>
      </c>
      <c r="F8338">
        <v>152063.47</v>
      </c>
      <c r="G8338">
        <v>0</v>
      </c>
      <c r="H8338">
        <v>0</v>
      </c>
      <c r="I8338">
        <v>0</v>
      </c>
      <c r="J8338">
        <v>0</v>
      </c>
      <c r="K8338">
        <v>0</v>
      </c>
      <c r="L8338">
        <v>15785271.65</v>
      </c>
      <c r="M8338">
        <v>15785271.65</v>
      </c>
      <c r="N8338">
        <v>15785271.65</v>
      </c>
      <c r="O8338">
        <v>15785271.65</v>
      </c>
      <c r="P8338">
        <v>15785271.65</v>
      </c>
      <c r="Q8338">
        <v>15785271.65</v>
      </c>
      <c r="R8338" s="14">
        <f>_xlfn.XLOOKUP(Table2[[#This Row],[LoanID]],Table1[G-L ID],Table1[ManagerCode],-99)</f>
        <v>119</v>
      </c>
      <c r="T8338"/>
    </row>
    <row r="8339" spans="1:20" x14ac:dyDescent="0.25">
      <c r="A8339">
        <v>20190228</v>
      </c>
      <c r="B8339">
        <v>2019</v>
      </c>
      <c r="C8339">
        <v>2</v>
      </c>
      <c r="D8339">
        <v>1</v>
      </c>
      <c r="E8339">
        <v>12550</v>
      </c>
      <c r="F8339">
        <v>79947.399999999994</v>
      </c>
      <c r="G8339">
        <v>0</v>
      </c>
      <c r="H8339">
        <v>0</v>
      </c>
      <c r="I8339">
        <v>0</v>
      </c>
      <c r="J8339">
        <v>0</v>
      </c>
      <c r="K8339">
        <v>0</v>
      </c>
      <c r="L8339">
        <v>7416099.1500000004</v>
      </c>
      <c r="M8339">
        <v>7416099.1500000004</v>
      </c>
      <c r="N8339">
        <v>7416099.1500000004</v>
      </c>
      <c r="O8339">
        <v>7416099.1500000004</v>
      </c>
      <c r="P8339">
        <v>7416099.1500000004</v>
      </c>
      <c r="Q8339">
        <v>7416099.1500000004</v>
      </c>
      <c r="R8339" s="14">
        <f>_xlfn.XLOOKUP(Table2[[#This Row],[LoanID]],Table1[G-L ID],Table1[ManagerCode],-99)</f>
        <v>119</v>
      </c>
      <c r="T8339"/>
    </row>
    <row r="8340" spans="1:20" x14ac:dyDescent="0.25">
      <c r="A8340">
        <v>20190228</v>
      </c>
      <c r="B8340">
        <v>2019</v>
      </c>
      <c r="C8340">
        <v>2</v>
      </c>
      <c r="D8340">
        <v>1</v>
      </c>
      <c r="E8340">
        <v>12560</v>
      </c>
      <c r="F8340">
        <v>164665.44</v>
      </c>
      <c r="G8340">
        <v>0</v>
      </c>
      <c r="H8340">
        <v>0</v>
      </c>
      <c r="I8340">
        <v>0</v>
      </c>
      <c r="J8340">
        <v>-838972.76</v>
      </c>
      <c r="K8340">
        <v>0</v>
      </c>
      <c r="L8340">
        <v>20903871.399999999</v>
      </c>
      <c r="M8340">
        <v>21742844.16</v>
      </c>
      <c r="N8340">
        <v>20903871.399999999</v>
      </c>
      <c r="O8340">
        <v>21742844.16</v>
      </c>
      <c r="P8340">
        <v>20903871.399999999</v>
      </c>
      <c r="Q8340">
        <v>21742844.16</v>
      </c>
      <c r="R8340" s="14">
        <f>_xlfn.XLOOKUP(Table2[[#This Row],[LoanID]],Table1[G-L ID],Table1[ManagerCode],-99)</f>
        <v>119</v>
      </c>
      <c r="T8340"/>
    </row>
    <row r="8341" spans="1:20" x14ac:dyDescent="0.25">
      <c r="A8341">
        <v>20190228</v>
      </c>
      <c r="B8341">
        <v>2019</v>
      </c>
      <c r="C8341">
        <v>2</v>
      </c>
      <c r="D8341">
        <v>1</v>
      </c>
      <c r="E8341">
        <v>12570</v>
      </c>
      <c r="F8341">
        <v>101260.45</v>
      </c>
      <c r="G8341">
        <v>0</v>
      </c>
      <c r="H8341">
        <v>0</v>
      </c>
      <c r="I8341">
        <v>0</v>
      </c>
      <c r="J8341">
        <v>-65923.27</v>
      </c>
      <c r="K8341">
        <v>0</v>
      </c>
      <c r="L8341">
        <v>11240781.310000001</v>
      </c>
      <c r="M8341">
        <v>11306704.58</v>
      </c>
      <c r="N8341">
        <v>11240781.310000001</v>
      </c>
      <c r="O8341">
        <v>11306704.58</v>
      </c>
      <c r="P8341">
        <v>11240781.310000001</v>
      </c>
      <c r="Q8341">
        <v>11306704.58</v>
      </c>
      <c r="R8341" s="14">
        <f>_xlfn.XLOOKUP(Table2[[#This Row],[LoanID]],Table1[G-L ID],Table1[ManagerCode],-99)</f>
        <v>119</v>
      </c>
      <c r="T8341"/>
    </row>
    <row r="8342" spans="1:20" x14ac:dyDescent="0.25">
      <c r="A8342">
        <v>20190228</v>
      </c>
      <c r="B8342">
        <v>2019</v>
      </c>
      <c r="C8342">
        <v>2</v>
      </c>
      <c r="D8342">
        <v>1</v>
      </c>
      <c r="E8342">
        <v>12580</v>
      </c>
      <c r="F8342">
        <v>184683.67</v>
      </c>
      <c r="G8342">
        <v>0</v>
      </c>
      <c r="H8342">
        <v>0</v>
      </c>
      <c r="I8342">
        <v>0</v>
      </c>
      <c r="J8342">
        <v>0</v>
      </c>
      <c r="K8342">
        <v>0</v>
      </c>
      <c r="L8342">
        <v>18000000</v>
      </c>
      <c r="M8342">
        <v>18000000</v>
      </c>
      <c r="N8342">
        <v>18000000</v>
      </c>
      <c r="O8342">
        <v>18000000</v>
      </c>
      <c r="P8342">
        <v>18000000</v>
      </c>
      <c r="Q8342">
        <v>18000000</v>
      </c>
      <c r="R8342" s="14">
        <f>_xlfn.XLOOKUP(Table2[[#This Row],[LoanID]],Table1[G-L ID],Table1[ManagerCode],-99)</f>
        <v>119</v>
      </c>
      <c r="T8342"/>
    </row>
    <row r="8343" spans="1:20" x14ac:dyDescent="0.25">
      <c r="A8343">
        <v>20190228</v>
      </c>
      <c r="B8343">
        <v>2019</v>
      </c>
      <c r="C8343">
        <v>2</v>
      </c>
      <c r="D8343">
        <v>1</v>
      </c>
      <c r="E8343">
        <v>12590</v>
      </c>
      <c r="F8343">
        <v>72395.33</v>
      </c>
      <c r="G8343">
        <v>0</v>
      </c>
      <c r="H8343">
        <v>0</v>
      </c>
      <c r="I8343">
        <v>0</v>
      </c>
      <c r="J8343">
        <v>0</v>
      </c>
      <c r="K8343">
        <v>0</v>
      </c>
      <c r="L8343">
        <v>8000000</v>
      </c>
      <c r="M8343">
        <v>8000000</v>
      </c>
      <c r="N8343">
        <v>8000000</v>
      </c>
      <c r="O8343">
        <v>8000000</v>
      </c>
      <c r="P8343">
        <v>8000000</v>
      </c>
      <c r="Q8343">
        <v>8000000</v>
      </c>
      <c r="R8343" s="14">
        <f>_xlfn.XLOOKUP(Table2[[#This Row],[LoanID]],Table1[G-L ID],Table1[ManagerCode],-99)</f>
        <v>119</v>
      </c>
      <c r="T8343"/>
    </row>
    <row r="8344" spans="1:20" x14ac:dyDescent="0.25">
      <c r="A8344">
        <v>20190228</v>
      </c>
      <c r="B8344">
        <v>2019</v>
      </c>
      <c r="C8344">
        <v>2</v>
      </c>
      <c r="D8344">
        <v>1</v>
      </c>
      <c r="E8344">
        <v>12600</v>
      </c>
      <c r="F8344">
        <v>258290.06</v>
      </c>
      <c r="G8344">
        <v>0</v>
      </c>
      <c r="H8344">
        <v>0</v>
      </c>
      <c r="I8344">
        <v>0</v>
      </c>
      <c r="J8344">
        <v>0</v>
      </c>
      <c r="K8344">
        <v>0</v>
      </c>
      <c r="L8344">
        <v>27750000</v>
      </c>
      <c r="M8344">
        <v>27750000</v>
      </c>
      <c r="N8344">
        <v>27750000</v>
      </c>
      <c r="O8344">
        <v>27750000</v>
      </c>
      <c r="P8344">
        <v>27750000</v>
      </c>
      <c r="Q8344">
        <v>27750000</v>
      </c>
      <c r="R8344" s="14">
        <f>_xlfn.XLOOKUP(Table2[[#This Row],[LoanID]],Table1[G-L ID],Table1[ManagerCode],-99)</f>
        <v>119</v>
      </c>
      <c r="T8344"/>
    </row>
    <row r="8345" spans="1:20" x14ac:dyDescent="0.25">
      <c r="A8345">
        <v>20190228</v>
      </c>
      <c r="B8345">
        <v>2019</v>
      </c>
      <c r="C8345">
        <v>2</v>
      </c>
      <c r="D8345">
        <v>1</v>
      </c>
      <c r="E8345">
        <v>12610</v>
      </c>
      <c r="F8345">
        <v>76712.7</v>
      </c>
      <c r="G8345">
        <v>0</v>
      </c>
      <c r="H8345">
        <v>0</v>
      </c>
      <c r="I8345">
        <v>0</v>
      </c>
      <c r="J8345">
        <v>-986831.16</v>
      </c>
      <c r="K8345">
        <v>0</v>
      </c>
      <c r="L8345">
        <v>9058517.5</v>
      </c>
      <c r="M8345">
        <v>10045348.66</v>
      </c>
      <c r="N8345">
        <v>9058517.5</v>
      </c>
      <c r="O8345">
        <v>10045348.66</v>
      </c>
      <c r="P8345">
        <v>9058517.5</v>
      </c>
      <c r="Q8345">
        <v>10045348.66</v>
      </c>
      <c r="R8345" s="14">
        <f>_xlfn.XLOOKUP(Table2[[#This Row],[LoanID]],Table1[G-L ID],Table1[ManagerCode],-99)</f>
        <v>119</v>
      </c>
      <c r="T8345"/>
    </row>
    <row r="8346" spans="1:20" x14ac:dyDescent="0.25">
      <c r="A8346">
        <v>20190228</v>
      </c>
      <c r="B8346">
        <v>2019</v>
      </c>
      <c r="C8346">
        <v>2</v>
      </c>
      <c r="D8346">
        <v>1</v>
      </c>
      <c r="E8346">
        <v>12620</v>
      </c>
      <c r="F8346">
        <v>15019.78</v>
      </c>
      <c r="G8346">
        <v>0</v>
      </c>
      <c r="H8346">
        <v>0</v>
      </c>
      <c r="I8346">
        <v>0</v>
      </c>
      <c r="J8346">
        <v>-171442.73</v>
      </c>
      <c r="K8346">
        <v>0</v>
      </c>
      <c r="L8346">
        <v>1489651.56</v>
      </c>
      <c r="M8346">
        <v>1661094.29</v>
      </c>
      <c r="N8346">
        <v>1489651.56</v>
      </c>
      <c r="O8346">
        <v>1661094.29</v>
      </c>
      <c r="P8346">
        <v>1489651.56</v>
      </c>
      <c r="Q8346">
        <v>1661094.29</v>
      </c>
      <c r="R8346" s="14">
        <f>_xlfn.XLOOKUP(Table2[[#This Row],[LoanID]],Table1[G-L ID],Table1[ManagerCode],-99)</f>
        <v>119</v>
      </c>
      <c r="T8346"/>
    </row>
    <row r="8347" spans="1:20" x14ac:dyDescent="0.25">
      <c r="A8347">
        <v>20190228</v>
      </c>
      <c r="B8347">
        <v>2019</v>
      </c>
      <c r="C8347">
        <v>2</v>
      </c>
      <c r="D8347">
        <v>1</v>
      </c>
      <c r="E8347">
        <v>12630</v>
      </c>
      <c r="F8347">
        <v>126008.02</v>
      </c>
      <c r="G8347">
        <v>0</v>
      </c>
      <c r="H8347">
        <v>0</v>
      </c>
      <c r="I8347">
        <v>0</v>
      </c>
      <c r="J8347">
        <v>0</v>
      </c>
      <c r="K8347">
        <v>0</v>
      </c>
      <c r="L8347">
        <v>13290976.189999999</v>
      </c>
      <c r="M8347">
        <v>13290976.189999999</v>
      </c>
      <c r="N8347">
        <v>13290976.189999999</v>
      </c>
      <c r="O8347">
        <v>13290976.189999999</v>
      </c>
      <c r="P8347">
        <v>13290976.189999999</v>
      </c>
      <c r="Q8347">
        <v>13290976.189999999</v>
      </c>
      <c r="R8347" s="14">
        <f>_xlfn.XLOOKUP(Table2[[#This Row],[LoanID]],Table1[G-L ID],Table1[ManagerCode],-99)</f>
        <v>119</v>
      </c>
      <c r="T8347"/>
    </row>
    <row r="8348" spans="1:20" x14ac:dyDescent="0.25">
      <c r="A8348">
        <v>20190228</v>
      </c>
      <c r="B8348">
        <v>2019</v>
      </c>
      <c r="C8348">
        <v>2</v>
      </c>
      <c r="D8348">
        <v>1</v>
      </c>
      <c r="E8348">
        <v>12640</v>
      </c>
      <c r="F8348">
        <v>104843.19</v>
      </c>
      <c r="G8348">
        <v>0</v>
      </c>
      <c r="H8348">
        <v>0</v>
      </c>
      <c r="I8348">
        <v>0</v>
      </c>
      <c r="J8348">
        <v>0</v>
      </c>
      <c r="K8348">
        <v>0</v>
      </c>
      <c r="L8348">
        <v>10945677.359999999</v>
      </c>
      <c r="M8348">
        <v>10945677.359999999</v>
      </c>
      <c r="N8348">
        <v>10945677.359999999</v>
      </c>
      <c r="O8348">
        <v>10945677.359999999</v>
      </c>
      <c r="P8348">
        <v>10945677.359999999</v>
      </c>
      <c r="Q8348">
        <v>10945677.359999999</v>
      </c>
      <c r="R8348" s="14">
        <f>_xlfn.XLOOKUP(Table2[[#This Row],[LoanID]],Table1[G-L ID],Table1[ManagerCode],-99)</f>
        <v>119</v>
      </c>
      <c r="T8348"/>
    </row>
    <row r="8349" spans="1:20" x14ac:dyDescent="0.25">
      <c r="A8349">
        <v>20190228</v>
      </c>
      <c r="B8349">
        <v>2019</v>
      </c>
      <c r="C8349">
        <v>2</v>
      </c>
      <c r="D8349">
        <v>1</v>
      </c>
      <c r="E8349">
        <v>12650</v>
      </c>
      <c r="F8349">
        <v>326020.45</v>
      </c>
      <c r="G8349">
        <v>0</v>
      </c>
      <c r="H8349">
        <v>0</v>
      </c>
      <c r="I8349">
        <v>0</v>
      </c>
      <c r="J8349">
        <v>0</v>
      </c>
      <c r="K8349">
        <v>0</v>
      </c>
      <c r="L8349">
        <v>123200000</v>
      </c>
      <c r="M8349">
        <v>123200000</v>
      </c>
      <c r="N8349">
        <v>49280000</v>
      </c>
      <c r="O8349">
        <v>49280000</v>
      </c>
      <c r="P8349">
        <v>123200000</v>
      </c>
      <c r="Q8349">
        <v>123200000</v>
      </c>
      <c r="R8349" s="14">
        <f>_xlfn.XLOOKUP(Table2[[#This Row],[LoanID]],Table1[G-L ID],Table1[ManagerCode],-99)</f>
        <v>183</v>
      </c>
      <c r="T8349"/>
    </row>
    <row r="8350" spans="1:20" x14ac:dyDescent="0.25">
      <c r="A8350">
        <v>20190228</v>
      </c>
      <c r="B8350">
        <v>2019</v>
      </c>
      <c r="C8350">
        <v>2</v>
      </c>
      <c r="D8350">
        <v>1</v>
      </c>
      <c r="E8350">
        <v>12660</v>
      </c>
      <c r="F8350">
        <v>131455.10999999999</v>
      </c>
      <c r="G8350">
        <v>0</v>
      </c>
      <c r="H8350">
        <v>0</v>
      </c>
      <c r="I8350">
        <v>0</v>
      </c>
      <c r="J8350">
        <v>0</v>
      </c>
      <c r="K8350">
        <v>0</v>
      </c>
      <c r="L8350">
        <v>47000000</v>
      </c>
      <c r="M8350">
        <v>47000000</v>
      </c>
      <c r="N8350">
        <v>19000000</v>
      </c>
      <c r="O8350">
        <v>19000000</v>
      </c>
      <c r="P8350">
        <v>47000000</v>
      </c>
      <c r="Q8350">
        <v>47000000</v>
      </c>
      <c r="R8350" s="14">
        <f>_xlfn.XLOOKUP(Table2[[#This Row],[LoanID]],Table1[G-L ID],Table1[ManagerCode],-99)</f>
        <v>183</v>
      </c>
      <c r="T8350"/>
    </row>
    <row r="8351" spans="1:20" x14ac:dyDescent="0.25">
      <c r="A8351">
        <v>20190228</v>
      </c>
      <c r="B8351">
        <v>2019</v>
      </c>
      <c r="C8351">
        <v>2</v>
      </c>
      <c r="D8351">
        <v>1</v>
      </c>
      <c r="E8351">
        <v>12670</v>
      </c>
      <c r="F8351">
        <v>55644.09</v>
      </c>
      <c r="G8351">
        <v>0</v>
      </c>
      <c r="H8351">
        <v>0</v>
      </c>
      <c r="I8351">
        <v>0</v>
      </c>
      <c r="J8351">
        <v>0</v>
      </c>
      <c r="K8351">
        <v>0</v>
      </c>
      <c r="L8351">
        <v>15500000</v>
      </c>
      <c r="M8351">
        <v>15500000</v>
      </c>
      <c r="N8351">
        <v>7250000</v>
      </c>
      <c r="O8351">
        <v>7250000</v>
      </c>
      <c r="P8351">
        <v>15500000</v>
      </c>
      <c r="Q8351">
        <v>15500000</v>
      </c>
      <c r="R8351" s="14">
        <f>_xlfn.XLOOKUP(Table2[[#This Row],[LoanID]],Table1[G-L ID],Table1[ManagerCode],-99)</f>
        <v>183</v>
      </c>
      <c r="T8351"/>
    </row>
    <row r="8352" spans="1:20" x14ac:dyDescent="0.25">
      <c r="A8352">
        <v>20190228</v>
      </c>
      <c r="B8352">
        <v>2019</v>
      </c>
      <c r="C8352">
        <v>2</v>
      </c>
      <c r="D8352">
        <v>1</v>
      </c>
      <c r="E8352">
        <v>12680</v>
      </c>
      <c r="F8352">
        <v>157490.39000000001</v>
      </c>
      <c r="G8352">
        <v>0</v>
      </c>
      <c r="H8352">
        <v>0</v>
      </c>
      <c r="I8352">
        <v>0</v>
      </c>
      <c r="J8352">
        <v>0</v>
      </c>
      <c r="K8352">
        <v>0</v>
      </c>
      <c r="L8352">
        <v>16126000</v>
      </c>
      <c r="M8352">
        <v>16126000</v>
      </c>
      <c r="N8352">
        <v>16126000</v>
      </c>
      <c r="O8352">
        <v>16126000</v>
      </c>
      <c r="P8352">
        <v>16126000</v>
      </c>
      <c r="Q8352">
        <v>16126000</v>
      </c>
      <c r="R8352" s="14">
        <f>_xlfn.XLOOKUP(Table2[[#This Row],[LoanID]],Table1[G-L ID],Table1[ManagerCode],-99)</f>
        <v>119</v>
      </c>
      <c r="T8352"/>
    </row>
    <row r="8353" spans="1:20" x14ac:dyDescent="0.25">
      <c r="A8353">
        <v>20190228</v>
      </c>
      <c r="B8353">
        <v>2019</v>
      </c>
      <c r="C8353">
        <v>2</v>
      </c>
      <c r="D8353">
        <v>1</v>
      </c>
      <c r="E8353">
        <v>12690</v>
      </c>
      <c r="F8353">
        <v>99862.52</v>
      </c>
      <c r="G8353">
        <v>0</v>
      </c>
      <c r="H8353">
        <v>0</v>
      </c>
      <c r="I8353">
        <v>0</v>
      </c>
      <c r="J8353">
        <v>0</v>
      </c>
      <c r="K8353">
        <v>0</v>
      </c>
      <c r="L8353">
        <v>10175500</v>
      </c>
      <c r="M8353">
        <v>10175500</v>
      </c>
      <c r="N8353">
        <v>10175500</v>
      </c>
      <c r="O8353">
        <v>10175500</v>
      </c>
      <c r="P8353">
        <v>10175500</v>
      </c>
      <c r="Q8353">
        <v>10175500</v>
      </c>
      <c r="R8353" s="14">
        <f>_xlfn.XLOOKUP(Table2[[#This Row],[LoanID]],Table1[G-L ID],Table1[ManagerCode],-99)</f>
        <v>119</v>
      </c>
      <c r="T8353"/>
    </row>
    <row r="8354" spans="1:20" x14ac:dyDescent="0.25">
      <c r="A8354">
        <v>20190228</v>
      </c>
      <c r="B8354">
        <v>2019</v>
      </c>
      <c r="C8354">
        <v>2</v>
      </c>
      <c r="D8354">
        <v>1</v>
      </c>
      <c r="E8354">
        <v>12710</v>
      </c>
      <c r="F8354">
        <v>87512.29</v>
      </c>
      <c r="G8354">
        <v>0</v>
      </c>
      <c r="H8354">
        <v>0</v>
      </c>
      <c r="I8354">
        <v>0</v>
      </c>
      <c r="J8354">
        <v>0</v>
      </c>
      <c r="K8354">
        <v>0</v>
      </c>
      <c r="L8354">
        <v>9738975</v>
      </c>
      <c r="M8354">
        <v>9738975</v>
      </c>
      <c r="N8354">
        <v>9738975</v>
      </c>
      <c r="O8354">
        <v>9738975</v>
      </c>
      <c r="P8354">
        <v>9738975</v>
      </c>
      <c r="Q8354">
        <v>9738975</v>
      </c>
      <c r="R8354" s="14">
        <f>_xlfn.XLOOKUP(Table2[[#This Row],[LoanID]],Table1[G-L ID],Table1[ManagerCode],-99)</f>
        <v>119</v>
      </c>
      <c r="T8354"/>
    </row>
    <row r="8355" spans="1:20" x14ac:dyDescent="0.25">
      <c r="A8355">
        <v>20190228</v>
      </c>
      <c r="B8355">
        <v>2019</v>
      </c>
      <c r="C8355">
        <v>2</v>
      </c>
      <c r="D8355">
        <v>1</v>
      </c>
      <c r="E8355">
        <v>12720</v>
      </c>
      <c r="F8355">
        <v>506368.85</v>
      </c>
      <c r="G8355">
        <v>0</v>
      </c>
      <c r="H8355">
        <v>0</v>
      </c>
      <c r="I8355">
        <v>0</v>
      </c>
      <c r="J8355">
        <v>-373145.2</v>
      </c>
      <c r="K8355">
        <v>0</v>
      </c>
      <c r="L8355">
        <v>193338957.69999999</v>
      </c>
      <c r="M8355">
        <v>193712102.90000001</v>
      </c>
      <c r="N8355">
        <v>91457957.700000003</v>
      </c>
      <c r="O8355">
        <v>91831102.900000006</v>
      </c>
      <c r="P8355">
        <v>193338957.69999999</v>
      </c>
      <c r="Q8355">
        <v>193712102.90000001</v>
      </c>
      <c r="R8355" s="14">
        <f>_xlfn.XLOOKUP(Table2[[#This Row],[LoanID]],Table1[G-L ID],Table1[ManagerCode],-99)</f>
        <v>183</v>
      </c>
      <c r="T8355"/>
    </row>
    <row r="8356" spans="1:20" x14ac:dyDescent="0.25">
      <c r="A8356">
        <v>20190228</v>
      </c>
      <c r="B8356">
        <v>2019</v>
      </c>
      <c r="C8356">
        <v>2</v>
      </c>
      <c r="D8356">
        <v>1</v>
      </c>
      <c r="E8356">
        <v>12730</v>
      </c>
      <c r="F8356">
        <v>77264.59</v>
      </c>
      <c r="G8356">
        <v>0</v>
      </c>
      <c r="H8356">
        <v>0</v>
      </c>
      <c r="I8356">
        <v>0</v>
      </c>
      <c r="J8356">
        <v>0</v>
      </c>
      <c r="K8356">
        <v>0</v>
      </c>
      <c r="L8356">
        <v>38460000</v>
      </c>
      <c r="M8356">
        <v>38460000</v>
      </c>
      <c r="N8356">
        <v>13460000</v>
      </c>
      <c r="O8356">
        <v>13460000</v>
      </c>
      <c r="P8356">
        <v>38460000</v>
      </c>
      <c r="Q8356">
        <v>38460000</v>
      </c>
      <c r="R8356" s="14">
        <f>_xlfn.XLOOKUP(Table2[[#This Row],[LoanID]],Table1[G-L ID],Table1[ManagerCode],-99)</f>
        <v>183</v>
      </c>
      <c r="T8356"/>
    </row>
    <row r="8357" spans="1:20" x14ac:dyDescent="0.25">
      <c r="A8357">
        <v>20190228</v>
      </c>
      <c r="B8357">
        <v>2019</v>
      </c>
      <c r="C8357">
        <v>2</v>
      </c>
      <c r="D8357">
        <v>1</v>
      </c>
      <c r="E8357">
        <v>12740</v>
      </c>
      <c r="F8357">
        <v>102492.89</v>
      </c>
      <c r="G8357">
        <v>63233.19</v>
      </c>
      <c r="H8357">
        <v>0</v>
      </c>
      <c r="I8357">
        <v>0</v>
      </c>
      <c r="J8357">
        <v>-681747.75</v>
      </c>
      <c r="K8357">
        <v>0</v>
      </c>
      <c r="L8357">
        <v>22555894</v>
      </c>
      <c r="M8357">
        <v>23300874.940000001</v>
      </c>
      <c r="N8357">
        <v>22555894</v>
      </c>
      <c r="O8357">
        <v>23300874.940000001</v>
      </c>
      <c r="P8357">
        <v>22555894</v>
      </c>
      <c r="Q8357">
        <v>23300874.940000001</v>
      </c>
      <c r="R8357" s="14">
        <f>_xlfn.XLOOKUP(Table2[[#This Row],[LoanID]],Table1[G-L ID],Table1[ManagerCode],-99)</f>
        <v>183</v>
      </c>
      <c r="T8357"/>
    </row>
    <row r="8358" spans="1:20" x14ac:dyDescent="0.25">
      <c r="A8358">
        <v>20190228</v>
      </c>
      <c r="B8358">
        <v>2019</v>
      </c>
      <c r="C8358">
        <v>2</v>
      </c>
      <c r="D8358">
        <v>1</v>
      </c>
      <c r="E8358">
        <v>12930</v>
      </c>
      <c r="F8358">
        <v>180764.75</v>
      </c>
      <c r="G8358">
        <v>0</v>
      </c>
      <c r="H8358">
        <v>0</v>
      </c>
      <c r="I8358">
        <v>0</v>
      </c>
      <c r="J8358">
        <v>0</v>
      </c>
      <c r="K8358">
        <v>0</v>
      </c>
      <c r="L8358">
        <v>19000000</v>
      </c>
      <c r="M8358">
        <v>19000000</v>
      </c>
      <c r="N8358">
        <v>19000000</v>
      </c>
      <c r="O8358">
        <v>19000000</v>
      </c>
      <c r="P8358">
        <v>19000000</v>
      </c>
      <c r="Q8358">
        <v>19000000</v>
      </c>
      <c r="R8358" s="14">
        <f>_xlfn.XLOOKUP(Table2[[#This Row],[LoanID]],Table1[G-L ID],Table1[ManagerCode],-99)</f>
        <v>119</v>
      </c>
      <c r="T8358"/>
    </row>
    <row r="8359" spans="1:20" x14ac:dyDescent="0.25">
      <c r="A8359">
        <v>20190228</v>
      </c>
      <c r="B8359">
        <v>2019</v>
      </c>
      <c r="C8359">
        <v>2</v>
      </c>
      <c r="D8359">
        <v>1</v>
      </c>
      <c r="E8359">
        <v>12940</v>
      </c>
      <c r="F8359">
        <v>181322.44</v>
      </c>
      <c r="G8359">
        <v>0</v>
      </c>
      <c r="H8359">
        <v>0</v>
      </c>
      <c r="I8359">
        <v>0</v>
      </c>
      <c r="J8359">
        <v>0</v>
      </c>
      <c r="K8359">
        <v>0</v>
      </c>
      <c r="L8359">
        <v>19370342.25</v>
      </c>
      <c r="M8359">
        <v>19370342.25</v>
      </c>
      <c r="N8359">
        <v>19370342.25</v>
      </c>
      <c r="O8359">
        <v>19370342.25</v>
      </c>
      <c r="P8359">
        <v>19370342.25</v>
      </c>
      <c r="Q8359">
        <v>19370342.25</v>
      </c>
      <c r="R8359" s="14">
        <f>_xlfn.XLOOKUP(Table2[[#This Row],[LoanID]],Table1[G-L ID],Table1[ManagerCode],-99)</f>
        <v>119</v>
      </c>
      <c r="T8359"/>
    </row>
    <row r="8360" spans="1:20" x14ac:dyDescent="0.25">
      <c r="A8360">
        <v>20190228</v>
      </c>
      <c r="B8360">
        <v>2019</v>
      </c>
      <c r="C8360">
        <v>2</v>
      </c>
      <c r="D8360">
        <v>1</v>
      </c>
      <c r="E8360">
        <v>12950</v>
      </c>
      <c r="F8360">
        <v>244833.05</v>
      </c>
      <c r="G8360">
        <v>0</v>
      </c>
      <c r="H8360">
        <v>0</v>
      </c>
      <c r="I8360">
        <v>0</v>
      </c>
      <c r="J8360">
        <v>0</v>
      </c>
      <c r="K8360">
        <v>0</v>
      </c>
      <c r="L8360">
        <v>26732750</v>
      </c>
      <c r="M8360">
        <v>26732750</v>
      </c>
      <c r="N8360">
        <v>26732750</v>
      </c>
      <c r="O8360">
        <v>26732750</v>
      </c>
      <c r="P8360">
        <v>26732750</v>
      </c>
      <c r="Q8360">
        <v>26732750</v>
      </c>
      <c r="R8360" s="14">
        <f>_xlfn.XLOOKUP(Table2[[#This Row],[LoanID]],Table1[G-L ID],Table1[ManagerCode],-99)</f>
        <v>119</v>
      </c>
      <c r="T8360"/>
    </row>
    <row r="8361" spans="1:20" x14ac:dyDescent="0.25">
      <c r="A8361">
        <v>20190228</v>
      </c>
      <c r="B8361">
        <v>2019</v>
      </c>
      <c r="C8361">
        <v>2</v>
      </c>
      <c r="D8361">
        <v>1</v>
      </c>
      <c r="E8361">
        <v>12960</v>
      </c>
      <c r="F8361">
        <v>74334.100000000006</v>
      </c>
      <c r="G8361">
        <v>0</v>
      </c>
      <c r="H8361">
        <v>0</v>
      </c>
      <c r="I8361">
        <v>0</v>
      </c>
      <c r="J8361">
        <v>0</v>
      </c>
      <c r="K8361">
        <v>0</v>
      </c>
      <c r="L8361">
        <v>8850000</v>
      </c>
      <c r="M8361">
        <v>8850000</v>
      </c>
      <c r="N8361">
        <v>8850000</v>
      </c>
      <c r="O8361">
        <v>8850000</v>
      </c>
      <c r="P8361">
        <v>8850000</v>
      </c>
      <c r="Q8361">
        <v>8850000</v>
      </c>
      <c r="R8361" s="14">
        <f>_xlfn.XLOOKUP(Table2[[#This Row],[LoanID]],Table1[G-L ID],Table1[ManagerCode],-99)</f>
        <v>119</v>
      </c>
      <c r="T8361"/>
    </row>
    <row r="8362" spans="1:20" x14ac:dyDescent="0.25">
      <c r="A8362">
        <v>20190228</v>
      </c>
      <c r="B8362">
        <v>2019</v>
      </c>
      <c r="C8362">
        <v>2</v>
      </c>
      <c r="D8362">
        <v>1</v>
      </c>
      <c r="E8362">
        <v>12970</v>
      </c>
      <c r="F8362">
        <v>101195.91</v>
      </c>
      <c r="G8362">
        <v>0</v>
      </c>
      <c r="H8362">
        <v>0</v>
      </c>
      <c r="I8362">
        <v>0</v>
      </c>
      <c r="J8362">
        <v>0</v>
      </c>
      <c r="K8362">
        <v>0</v>
      </c>
      <c r="L8362">
        <v>10007439.51</v>
      </c>
      <c r="M8362">
        <v>10007439.51</v>
      </c>
      <c r="N8362">
        <v>10007439.51</v>
      </c>
      <c r="O8362">
        <v>10007439.51</v>
      </c>
      <c r="P8362">
        <v>10007439.51</v>
      </c>
      <c r="Q8362">
        <v>10007439.51</v>
      </c>
      <c r="R8362" s="14">
        <f>_xlfn.XLOOKUP(Table2[[#This Row],[LoanID]],Table1[G-L ID],Table1[ManagerCode],-99)</f>
        <v>119</v>
      </c>
      <c r="T8362"/>
    </row>
    <row r="8363" spans="1:20" x14ac:dyDescent="0.25">
      <c r="A8363">
        <v>20190228</v>
      </c>
      <c r="B8363">
        <v>2019</v>
      </c>
      <c r="C8363">
        <v>2</v>
      </c>
      <c r="D8363">
        <v>1</v>
      </c>
      <c r="E8363">
        <v>12980</v>
      </c>
      <c r="F8363">
        <v>120747.92</v>
      </c>
      <c r="G8363">
        <v>0</v>
      </c>
      <c r="H8363">
        <v>0</v>
      </c>
      <c r="I8363">
        <v>0</v>
      </c>
      <c r="J8363">
        <v>0</v>
      </c>
      <c r="K8363">
        <v>0</v>
      </c>
      <c r="L8363">
        <v>13750000</v>
      </c>
      <c r="M8363">
        <v>13750000</v>
      </c>
      <c r="N8363">
        <v>13750000</v>
      </c>
      <c r="O8363">
        <v>13750000</v>
      </c>
      <c r="P8363">
        <v>13750000</v>
      </c>
      <c r="Q8363">
        <v>13750000</v>
      </c>
      <c r="R8363" s="14">
        <f>_xlfn.XLOOKUP(Table2[[#This Row],[LoanID]],Table1[G-L ID],Table1[ManagerCode],-99)</f>
        <v>119</v>
      </c>
      <c r="T8363"/>
    </row>
    <row r="8364" spans="1:20" x14ac:dyDescent="0.25">
      <c r="A8364">
        <v>20190228</v>
      </c>
      <c r="B8364">
        <v>2019</v>
      </c>
      <c r="C8364">
        <v>2</v>
      </c>
      <c r="D8364">
        <v>1</v>
      </c>
      <c r="E8364">
        <v>12990</v>
      </c>
      <c r="F8364">
        <v>264885.88</v>
      </c>
      <c r="G8364">
        <v>0</v>
      </c>
      <c r="H8364">
        <v>0</v>
      </c>
      <c r="I8364">
        <v>0</v>
      </c>
      <c r="J8364">
        <v>0</v>
      </c>
      <c r="K8364">
        <v>0</v>
      </c>
      <c r="L8364">
        <v>29074613.27</v>
      </c>
      <c r="M8364">
        <v>29074613.27</v>
      </c>
      <c r="N8364">
        <v>29074613.27</v>
      </c>
      <c r="O8364">
        <v>29074613.27</v>
      </c>
      <c r="P8364">
        <v>29074613.27</v>
      </c>
      <c r="Q8364">
        <v>29074613.27</v>
      </c>
      <c r="R8364" s="14">
        <f>_xlfn.XLOOKUP(Table2[[#This Row],[LoanID]],Table1[G-L ID],Table1[ManagerCode],-99)</f>
        <v>119</v>
      </c>
      <c r="T8364"/>
    </row>
    <row r="8365" spans="1:20" x14ac:dyDescent="0.25">
      <c r="A8365">
        <v>20190228</v>
      </c>
      <c r="B8365">
        <v>2019</v>
      </c>
      <c r="C8365">
        <v>2</v>
      </c>
      <c r="D8365">
        <v>1</v>
      </c>
      <c r="E8365">
        <v>13000</v>
      </c>
      <c r="F8365">
        <v>136233.23000000001</v>
      </c>
      <c r="G8365">
        <v>0</v>
      </c>
      <c r="H8365">
        <v>0</v>
      </c>
      <c r="I8365">
        <v>0</v>
      </c>
      <c r="J8365">
        <v>-136233.23000000001</v>
      </c>
      <c r="K8365">
        <v>0</v>
      </c>
      <c r="L8365">
        <v>36852306</v>
      </c>
      <c r="M8365">
        <v>37460900</v>
      </c>
      <c r="N8365">
        <v>36852306</v>
      </c>
      <c r="O8365">
        <v>37460900</v>
      </c>
      <c r="P8365">
        <v>40946962.229999997</v>
      </c>
      <c r="Q8365">
        <v>41083195.460000001</v>
      </c>
      <c r="R8365" s="14">
        <f>_xlfn.XLOOKUP(Table2[[#This Row],[LoanID]],Table1[G-L ID],Table1[ManagerCode],-99)</f>
        <v>103</v>
      </c>
      <c r="T8365"/>
    </row>
    <row r="8366" spans="1:20" x14ac:dyDescent="0.25">
      <c r="A8366">
        <v>20190228</v>
      </c>
      <c r="B8366">
        <v>2019</v>
      </c>
      <c r="C8366">
        <v>2</v>
      </c>
      <c r="D8366">
        <v>1</v>
      </c>
      <c r="E8366">
        <v>13010</v>
      </c>
      <c r="F8366">
        <v>1400000</v>
      </c>
      <c r="G8366">
        <v>0</v>
      </c>
      <c r="H8366">
        <v>0</v>
      </c>
      <c r="I8366">
        <v>0</v>
      </c>
      <c r="J8366">
        <v>0</v>
      </c>
      <c r="K8366">
        <v>0</v>
      </c>
      <c r="L8366">
        <v>196235010</v>
      </c>
      <c r="M8366">
        <v>199224024</v>
      </c>
      <c r="N8366">
        <v>196235010</v>
      </c>
      <c r="O8366">
        <v>199224024</v>
      </c>
      <c r="P8366">
        <v>210000000</v>
      </c>
      <c r="Q8366">
        <v>210000000</v>
      </c>
      <c r="R8366" s="14">
        <f>_xlfn.XLOOKUP(Table2[[#This Row],[LoanID]],Table1[G-L ID],Table1[ManagerCode],-99)</f>
        <v>103</v>
      </c>
      <c r="T8366"/>
    </row>
    <row r="8367" spans="1:20" x14ac:dyDescent="0.25">
      <c r="A8367">
        <v>20190228</v>
      </c>
      <c r="B8367">
        <v>2019</v>
      </c>
      <c r="C8367">
        <v>2</v>
      </c>
      <c r="D8367">
        <v>1</v>
      </c>
      <c r="E8367">
        <v>13020</v>
      </c>
      <c r="F8367">
        <v>211595.26</v>
      </c>
      <c r="G8367">
        <v>0</v>
      </c>
      <c r="H8367">
        <v>0</v>
      </c>
      <c r="I8367">
        <v>0</v>
      </c>
      <c r="J8367">
        <v>-211595.26</v>
      </c>
      <c r="K8367">
        <v>0</v>
      </c>
      <c r="L8367">
        <v>20476960.579999998</v>
      </c>
      <c r="M8367">
        <v>20688555.84</v>
      </c>
      <c r="N8367">
        <v>20476960.579999998</v>
      </c>
      <c r="O8367">
        <v>20688555.84</v>
      </c>
      <c r="P8367">
        <v>20476960.579999998</v>
      </c>
      <c r="Q8367">
        <v>20688555.84</v>
      </c>
      <c r="R8367" s="14">
        <f>_xlfn.XLOOKUP(Table2[[#This Row],[LoanID]],Table1[G-L ID],Table1[ManagerCode],-99)</f>
        <v>103</v>
      </c>
      <c r="T8367"/>
    </row>
    <row r="8368" spans="1:20" x14ac:dyDescent="0.25">
      <c r="A8368">
        <v>20190228</v>
      </c>
      <c r="B8368">
        <v>2019</v>
      </c>
      <c r="C8368">
        <v>2</v>
      </c>
      <c r="D8368">
        <v>1</v>
      </c>
      <c r="E8368">
        <v>13030</v>
      </c>
      <c r="F8368">
        <v>274614.2</v>
      </c>
      <c r="G8368">
        <v>0</v>
      </c>
      <c r="H8368">
        <v>0</v>
      </c>
      <c r="I8368">
        <v>0</v>
      </c>
      <c r="J8368">
        <v>0</v>
      </c>
      <c r="K8368">
        <v>0</v>
      </c>
      <c r="L8368">
        <v>114000000</v>
      </c>
      <c r="M8368">
        <v>114000000</v>
      </c>
      <c r="N8368">
        <v>51276576</v>
      </c>
      <c r="O8368">
        <v>51276576</v>
      </c>
      <c r="P8368">
        <v>114000000</v>
      </c>
      <c r="Q8368">
        <v>114000000</v>
      </c>
      <c r="R8368" s="14">
        <f>_xlfn.XLOOKUP(Table2[[#This Row],[LoanID]],Table1[G-L ID],Table1[ManagerCode],-99)</f>
        <v>183</v>
      </c>
      <c r="T8368"/>
    </row>
    <row r="8369" spans="1:20" x14ac:dyDescent="0.25">
      <c r="A8369">
        <v>20190228</v>
      </c>
      <c r="B8369">
        <v>2019</v>
      </c>
      <c r="C8369">
        <v>2</v>
      </c>
      <c r="D8369">
        <v>1</v>
      </c>
      <c r="E8369">
        <v>13040</v>
      </c>
      <c r="F8369">
        <v>69474.2</v>
      </c>
      <c r="G8369">
        <v>0</v>
      </c>
      <c r="H8369">
        <v>0</v>
      </c>
      <c r="I8369">
        <v>0</v>
      </c>
      <c r="J8369">
        <v>0</v>
      </c>
      <c r="K8369">
        <v>0</v>
      </c>
      <c r="L8369">
        <v>33862500</v>
      </c>
      <c r="M8369">
        <v>33862500</v>
      </c>
      <c r="N8369">
        <v>13690113</v>
      </c>
      <c r="O8369">
        <v>13690113</v>
      </c>
      <c r="P8369">
        <v>33862500</v>
      </c>
      <c r="Q8369">
        <v>33862500</v>
      </c>
      <c r="R8369" s="14">
        <f>_xlfn.XLOOKUP(Table2[[#This Row],[LoanID]],Table1[G-L ID],Table1[ManagerCode],-99)</f>
        <v>183</v>
      </c>
      <c r="T8369"/>
    </row>
    <row r="8370" spans="1:20" x14ac:dyDescent="0.25">
      <c r="A8370">
        <v>20190228</v>
      </c>
      <c r="B8370">
        <v>2019</v>
      </c>
      <c r="C8370">
        <v>2</v>
      </c>
      <c r="D8370">
        <v>1</v>
      </c>
      <c r="E8370">
        <v>13050</v>
      </c>
      <c r="F8370">
        <v>70245.45</v>
      </c>
      <c r="G8370">
        <v>0</v>
      </c>
      <c r="H8370">
        <v>0</v>
      </c>
      <c r="I8370">
        <v>0</v>
      </c>
      <c r="J8370">
        <v>0</v>
      </c>
      <c r="K8370">
        <v>0</v>
      </c>
      <c r="L8370">
        <v>42575000</v>
      </c>
      <c r="M8370">
        <v>42575000</v>
      </c>
      <c r="N8370">
        <v>14901424</v>
      </c>
      <c r="O8370">
        <v>14901424</v>
      </c>
      <c r="P8370">
        <v>42575000</v>
      </c>
      <c r="Q8370">
        <v>42575000</v>
      </c>
      <c r="R8370" s="14">
        <f>_xlfn.XLOOKUP(Table2[[#This Row],[LoanID]],Table1[G-L ID],Table1[ManagerCode],-99)</f>
        <v>183</v>
      </c>
      <c r="T8370"/>
    </row>
    <row r="8371" spans="1:20" x14ac:dyDescent="0.25">
      <c r="A8371">
        <v>20190228</v>
      </c>
      <c r="B8371">
        <v>2019</v>
      </c>
      <c r="C8371">
        <v>2</v>
      </c>
      <c r="D8371">
        <v>1</v>
      </c>
      <c r="E8371">
        <v>13060</v>
      </c>
      <c r="F8371">
        <v>84600.6</v>
      </c>
      <c r="G8371">
        <v>0</v>
      </c>
      <c r="H8371">
        <v>0</v>
      </c>
      <c r="I8371">
        <v>0</v>
      </c>
      <c r="J8371">
        <v>0</v>
      </c>
      <c r="K8371">
        <v>0</v>
      </c>
      <c r="L8371">
        <v>42730506.350000001</v>
      </c>
      <c r="M8371">
        <v>42730506.350000001</v>
      </c>
      <c r="N8371">
        <v>17128944.350000001</v>
      </c>
      <c r="O8371">
        <v>17128944.350000001</v>
      </c>
      <c r="P8371">
        <v>42730506.350000001</v>
      </c>
      <c r="Q8371">
        <v>42730506.350000001</v>
      </c>
      <c r="R8371" s="14">
        <f>_xlfn.XLOOKUP(Table2[[#This Row],[LoanID]],Table1[G-L ID],Table1[ManagerCode],-99)</f>
        <v>183</v>
      </c>
      <c r="T8371"/>
    </row>
    <row r="8372" spans="1:20" x14ac:dyDescent="0.25">
      <c r="A8372">
        <v>20190228</v>
      </c>
      <c r="B8372">
        <v>2019</v>
      </c>
      <c r="C8372">
        <v>2</v>
      </c>
      <c r="D8372">
        <v>1</v>
      </c>
      <c r="E8372">
        <v>13070</v>
      </c>
      <c r="F8372">
        <v>317086.53000000003</v>
      </c>
      <c r="G8372">
        <v>0</v>
      </c>
      <c r="H8372">
        <v>0</v>
      </c>
      <c r="I8372">
        <v>0</v>
      </c>
      <c r="J8372">
        <v>0</v>
      </c>
      <c r="K8372">
        <v>0</v>
      </c>
      <c r="L8372">
        <v>84578370</v>
      </c>
      <c r="M8372">
        <v>84578370</v>
      </c>
      <c r="N8372">
        <v>44578370</v>
      </c>
      <c r="O8372">
        <v>44578370</v>
      </c>
      <c r="P8372">
        <v>84578370</v>
      </c>
      <c r="Q8372">
        <v>84578370</v>
      </c>
      <c r="R8372" s="14">
        <f>_xlfn.XLOOKUP(Table2[[#This Row],[LoanID]],Table1[G-L ID],Table1[ManagerCode],-99)</f>
        <v>183</v>
      </c>
      <c r="T8372"/>
    </row>
    <row r="8373" spans="1:20" x14ac:dyDescent="0.25">
      <c r="A8373">
        <v>20190228</v>
      </c>
      <c r="B8373">
        <v>2019</v>
      </c>
      <c r="C8373">
        <v>2</v>
      </c>
      <c r="D8373">
        <v>1</v>
      </c>
      <c r="E8373">
        <v>13080</v>
      </c>
      <c r="F8373">
        <v>68968.759999999995</v>
      </c>
      <c r="G8373">
        <v>0</v>
      </c>
      <c r="H8373">
        <v>0</v>
      </c>
      <c r="I8373">
        <v>0</v>
      </c>
      <c r="J8373">
        <v>0</v>
      </c>
      <c r="K8373">
        <v>0</v>
      </c>
      <c r="L8373">
        <v>36000000</v>
      </c>
      <c r="M8373">
        <v>36000000</v>
      </c>
      <c r="N8373">
        <v>14500000</v>
      </c>
      <c r="O8373">
        <v>14500000</v>
      </c>
      <c r="P8373">
        <v>36000000</v>
      </c>
      <c r="Q8373">
        <v>36000000</v>
      </c>
      <c r="R8373" s="14">
        <f>_xlfn.XLOOKUP(Table2[[#This Row],[LoanID]],Table1[G-L ID],Table1[ManagerCode],-99)</f>
        <v>183</v>
      </c>
      <c r="T8373"/>
    </row>
    <row r="8374" spans="1:20" x14ac:dyDescent="0.25">
      <c r="A8374">
        <v>20190228</v>
      </c>
      <c r="B8374">
        <v>2019</v>
      </c>
      <c r="C8374">
        <v>2</v>
      </c>
      <c r="D8374">
        <v>1</v>
      </c>
      <c r="E8374">
        <v>13090</v>
      </c>
      <c r="F8374">
        <v>105466.67</v>
      </c>
      <c r="G8374">
        <v>0</v>
      </c>
      <c r="H8374">
        <v>0</v>
      </c>
      <c r="I8374">
        <v>0</v>
      </c>
      <c r="J8374">
        <v>0</v>
      </c>
      <c r="K8374">
        <v>0</v>
      </c>
      <c r="L8374">
        <v>20000000</v>
      </c>
      <c r="M8374">
        <v>20000000</v>
      </c>
      <c r="N8374">
        <v>20000000</v>
      </c>
      <c r="O8374">
        <v>20000000</v>
      </c>
      <c r="P8374">
        <v>20000000</v>
      </c>
      <c r="Q8374">
        <v>20000000</v>
      </c>
      <c r="R8374" s="14">
        <f>_xlfn.XLOOKUP(Table2[[#This Row],[LoanID]],Table1[G-L ID],Table1[ManagerCode],-99)</f>
        <v>183</v>
      </c>
      <c r="T8374"/>
    </row>
    <row r="8375" spans="1:20" x14ac:dyDescent="0.25">
      <c r="A8375">
        <v>20190228</v>
      </c>
      <c r="B8375">
        <v>2019</v>
      </c>
      <c r="C8375">
        <v>2</v>
      </c>
      <c r="D8375">
        <v>1</v>
      </c>
      <c r="E8375">
        <v>13100</v>
      </c>
      <c r="F8375">
        <v>94512.61</v>
      </c>
      <c r="G8375">
        <v>0</v>
      </c>
      <c r="H8375">
        <v>0</v>
      </c>
      <c r="I8375">
        <v>0</v>
      </c>
      <c r="J8375">
        <v>0</v>
      </c>
      <c r="K8375">
        <v>0</v>
      </c>
      <c r="L8375">
        <v>31600000</v>
      </c>
      <c r="M8375">
        <v>31600000</v>
      </c>
      <c r="N8375">
        <v>14251600</v>
      </c>
      <c r="O8375">
        <v>14251600</v>
      </c>
      <c r="P8375">
        <v>31600000</v>
      </c>
      <c r="Q8375">
        <v>31600000</v>
      </c>
      <c r="R8375" s="14">
        <f>_xlfn.XLOOKUP(Table2[[#This Row],[LoanID]],Table1[G-L ID],Table1[ManagerCode],-99)</f>
        <v>183</v>
      </c>
      <c r="T8375"/>
    </row>
    <row r="8376" spans="1:20" x14ac:dyDescent="0.25">
      <c r="A8376">
        <v>20190228</v>
      </c>
      <c r="B8376">
        <v>2019</v>
      </c>
      <c r="C8376">
        <v>2</v>
      </c>
      <c r="D8376">
        <v>1</v>
      </c>
      <c r="E8376">
        <v>13110</v>
      </c>
      <c r="F8376">
        <v>87006.24</v>
      </c>
      <c r="G8376">
        <v>0</v>
      </c>
      <c r="H8376">
        <v>0</v>
      </c>
      <c r="I8376">
        <v>0</v>
      </c>
      <c r="J8376">
        <v>0</v>
      </c>
      <c r="K8376">
        <v>0</v>
      </c>
      <c r="L8376">
        <v>44000000</v>
      </c>
      <c r="M8376">
        <v>44000000</v>
      </c>
      <c r="N8376">
        <v>17723750</v>
      </c>
      <c r="O8376">
        <v>17723750</v>
      </c>
      <c r="P8376">
        <v>44000000</v>
      </c>
      <c r="Q8376">
        <v>44000000</v>
      </c>
      <c r="R8376" s="14">
        <f>_xlfn.XLOOKUP(Table2[[#This Row],[LoanID]],Table1[G-L ID],Table1[ManagerCode],-99)</f>
        <v>183</v>
      </c>
      <c r="T8376"/>
    </row>
    <row r="8377" spans="1:20" x14ac:dyDescent="0.25">
      <c r="A8377">
        <v>20190228</v>
      </c>
      <c r="B8377">
        <v>2019</v>
      </c>
      <c r="C8377">
        <v>2</v>
      </c>
      <c r="D8377">
        <v>1</v>
      </c>
      <c r="E8377">
        <v>13120</v>
      </c>
      <c r="F8377">
        <v>51093.279999999999</v>
      </c>
      <c r="G8377">
        <v>0</v>
      </c>
      <c r="H8377">
        <v>0</v>
      </c>
      <c r="I8377">
        <v>0</v>
      </c>
      <c r="J8377">
        <v>0</v>
      </c>
      <c r="K8377">
        <v>0</v>
      </c>
      <c r="L8377">
        <v>27360000</v>
      </c>
      <c r="M8377">
        <v>27360000</v>
      </c>
      <c r="N8377">
        <v>9576000</v>
      </c>
      <c r="O8377">
        <v>9576000</v>
      </c>
      <c r="P8377">
        <v>27360000</v>
      </c>
      <c r="Q8377">
        <v>27360000</v>
      </c>
      <c r="R8377" s="14">
        <f>_xlfn.XLOOKUP(Table2[[#This Row],[LoanID]],Table1[G-L ID],Table1[ManagerCode],-99)</f>
        <v>183</v>
      </c>
      <c r="T8377"/>
    </row>
    <row r="8378" spans="1:20" x14ac:dyDescent="0.25">
      <c r="A8378">
        <v>20190228</v>
      </c>
      <c r="B8378">
        <v>2019</v>
      </c>
      <c r="C8378">
        <v>2</v>
      </c>
      <c r="D8378">
        <v>1</v>
      </c>
      <c r="E8378">
        <v>13130</v>
      </c>
      <c r="F8378">
        <v>395632.68</v>
      </c>
      <c r="G8378">
        <v>0</v>
      </c>
      <c r="H8378">
        <v>0</v>
      </c>
      <c r="I8378">
        <v>0</v>
      </c>
      <c r="J8378">
        <v>0</v>
      </c>
      <c r="K8378">
        <v>0</v>
      </c>
      <c r="L8378">
        <v>190400000</v>
      </c>
      <c r="M8378">
        <v>190400000</v>
      </c>
      <c r="N8378">
        <v>90400000</v>
      </c>
      <c r="O8378">
        <v>90400000</v>
      </c>
      <c r="P8378">
        <v>190400000</v>
      </c>
      <c r="Q8378">
        <v>190400000</v>
      </c>
      <c r="R8378" s="14">
        <f>_xlfn.XLOOKUP(Table2[[#This Row],[LoanID]],Table1[G-L ID],Table1[ManagerCode],-99)</f>
        <v>183</v>
      </c>
      <c r="T8378"/>
    </row>
    <row r="8379" spans="1:20" x14ac:dyDescent="0.25">
      <c r="A8379">
        <v>20190228</v>
      </c>
      <c r="B8379">
        <v>2019</v>
      </c>
      <c r="C8379">
        <v>2</v>
      </c>
      <c r="D8379">
        <v>1</v>
      </c>
      <c r="E8379">
        <v>13140</v>
      </c>
      <c r="F8379">
        <v>230508.79</v>
      </c>
      <c r="G8379">
        <v>0</v>
      </c>
      <c r="H8379">
        <v>0</v>
      </c>
      <c r="I8379">
        <v>0</v>
      </c>
      <c r="J8379">
        <v>0</v>
      </c>
      <c r="K8379">
        <v>0</v>
      </c>
      <c r="L8379">
        <v>62210000</v>
      </c>
      <c r="M8379">
        <v>62210000</v>
      </c>
      <c r="N8379">
        <v>62210000</v>
      </c>
      <c r="O8379">
        <v>62210000</v>
      </c>
      <c r="P8379">
        <v>62210000</v>
      </c>
      <c r="Q8379">
        <v>62210000</v>
      </c>
      <c r="R8379" s="14">
        <f>_xlfn.XLOOKUP(Table2[[#This Row],[LoanID]],Table1[G-L ID],Table1[ManagerCode],-99)</f>
        <v>183</v>
      </c>
      <c r="T8379"/>
    </row>
    <row r="8380" spans="1:20" x14ac:dyDescent="0.25">
      <c r="A8380">
        <v>20190228</v>
      </c>
      <c r="B8380">
        <v>2019</v>
      </c>
      <c r="C8380">
        <v>2</v>
      </c>
      <c r="D8380">
        <v>1</v>
      </c>
      <c r="E8380">
        <v>13150</v>
      </c>
      <c r="F8380">
        <v>131196.57</v>
      </c>
      <c r="G8380">
        <v>0</v>
      </c>
      <c r="H8380">
        <v>0</v>
      </c>
      <c r="I8380">
        <v>0</v>
      </c>
      <c r="J8380">
        <v>0</v>
      </c>
      <c r="K8380">
        <v>0</v>
      </c>
      <c r="L8380">
        <v>85580000</v>
      </c>
      <c r="M8380">
        <v>85580000</v>
      </c>
      <c r="N8380">
        <v>29953000</v>
      </c>
      <c r="O8380">
        <v>29953000</v>
      </c>
      <c r="P8380">
        <v>85580000</v>
      </c>
      <c r="Q8380">
        <v>85580000</v>
      </c>
      <c r="R8380" s="14">
        <f>_xlfn.XLOOKUP(Table2[[#This Row],[LoanID]],Table1[G-L ID],Table1[ManagerCode],-99)</f>
        <v>183</v>
      </c>
      <c r="T8380"/>
    </row>
    <row r="8381" spans="1:20" x14ac:dyDescent="0.25">
      <c r="A8381">
        <v>20190228</v>
      </c>
      <c r="B8381">
        <v>2019</v>
      </c>
      <c r="C8381">
        <v>2</v>
      </c>
      <c r="D8381">
        <v>1</v>
      </c>
      <c r="E8381">
        <v>13160</v>
      </c>
      <c r="F8381">
        <v>65143.8</v>
      </c>
      <c r="G8381">
        <v>0</v>
      </c>
      <c r="H8381">
        <v>0</v>
      </c>
      <c r="I8381">
        <v>0</v>
      </c>
      <c r="J8381">
        <v>0</v>
      </c>
      <c r="K8381">
        <v>0</v>
      </c>
      <c r="L8381">
        <v>33400000</v>
      </c>
      <c r="M8381">
        <v>33400000</v>
      </c>
      <c r="N8381">
        <v>13354858</v>
      </c>
      <c r="O8381">
        <v>13354858</v>
      </c>
      <c r="P8381">
        <v>33400000</v>
      </c>
      <c r="Q8381">
        <v>33400000</v>
      </c>
      <c r="R8381" s="14">
        <f>_xlfn.XLOOKUP(Table2[[#This Row],[LoanID]],Table1[G-L ID],Table1[ManagerCode],-99)</f>
        <v>183</v>
      </c>
      <c r="T8381"/>
    </row>
    <row r="8382" spans="1:20" x14ac:dyDescent="0.25">
      <c r="A8382">
        <v>20190228</v>
      </c>
      <c r="B8382">
        <v>2019</v>
      </c>
      <c r="C8382">
        <v>2</v>
      </c>
      <c r="D8382">
        <v>1</v>
      </c>
      <c r="E8382">
        <v>13170</v>
      </c>
      <c r="F8382">
        <v>88497.3</v>
      </c>
      <c r="G8382">
        <v>0</v>
      </c>
      <c r="H8382">
        <v>0</v>
      </c>
      <c r="I8382">
        <v>0</v>
      </c>
      <c r="J8382">
        <v>0</v>
      </c>
      <c r="K8382">
        <v>0</v>
      </c>
      <c r="L8382">
        <v>50400000</v>
      </c>
      <c r="M8382">
        <v>50400000</v>
      </c>
      <c r="N8382">
        <v>17600000</v>
      </c>
      <c r="O8382">
        <v>17600000</v>
      </c>
      <c r="P8382">
        <v>50400000</v>
      </c>
      <c r="Q8382">
        <v>50400000</v>
      </c>
      <c r="R8382" s="14">
        <f>_xlfn.XLOOKUP(Table2[[#This Row],[LoanID]],Table1[G-L ID],Table1[ManagerCode],-99)</f>
        <v>183</v>
      </c>
      <c r="T8382"/>
    </row>
    <row r="8383" spans="1:20" x14ac:dyDescent="0.25">
      <c r="A8383">
        <v>20190228</v>
      </c>
      <c r="B8383">
        <v>2019</v>
      </c>
      <c r="C8383">
        <v>2</v>
      </c>
      <c r="D8383">
        <v>1</v>
      </c>
      <c r="E8383">
        <v>13180</v>
      </c>
      <c r="F8383">
        <v>76500.850000000006</v>
      </c>
      <c r="G8383">
        <v>0</v>
      </c>
      <c r="H8383">
        <v>0</v>
      </c>
      <c r="I8383">
        <v>0</v>
      </c>
      <c r="J8383">
        <v>0</v>
      </c>
      <c r="K8383">
        <v>0</v>
      </c>
      <c r="L8383">
        <v>39780000</v>
      </c>
      <c r="M8383">
        <v>39780000</v>
      </c>
      <c r="N8383">
        <v>15930000</v>
      </c>
      <c r="O8383">
        <v>15930000</v>
      </c>
      <c r="P8383">
        <v>39780000</v>
      </c>
      <c r="Q8383">
        <v>39780000</v>
      </c>
      <c r="R8383" s="14">
        <f>_xlfn.XLOOKUP(Table2[[#This Row],[LoanID]],Table1[G-L ID],Table1[ManagerCode],-99)</f>
        <v>183</v>
      </c>
      <c r="T8383"/>
    </row>
    <row r="8384" spans="1:20" x14ac:dyDescent="0.25">
      <c r="A8384">
        <v>20190228</v>
      </c>
      <c r="B8384">
        <v>2019</v>
      </c>
      <c r="C8384">
        <v>2</v>
      </c>
      <c r="D8384">
        <v>1</v>
      </c>
      <c r="E8384">
        <v>13190</v>
      </c>
      <c r="F8384">
        <v>39683.14</v>
      </c>
      <c r="G8384">
        <v>45583.68</v>
      </c>
      <c r="H8384">
        <v>0</v>
      </c>
      <c r="I8384">
        <v>0</v>
      </c>
      <c r="J8384">
        <v>-43371.27</v>
      </c>
      <c r="K8384">
        <v>0</v>
      </c>
      <c r="L8384">
        <v>8472839.8699999992</v>
      </c>
      <c r="M8384">
        <v>8561794.8200000003</v>
      </c>
      <c r="N8384">
        <v>8472839.8699999992</v>
      </c>
      <c r="O8384">
        <v>8561794.8200000003</v>
      </c>
      <c r="P8384">
        <v>8472839.8699999992</v>
      </c>
      <c r="Q8384">
        <v>8561794.8200000003</v>
      </c>
      <c r="R8384" s="14">
        <f>_xlfn.XLOOKUP(Table2[[#This Row],[LoanID]],Table1[G-L ID],Table1[ManagerCode],-99)</f>
        <v>183</v>
      </c>
      <c r="T8384"/>
    </row>
    <row r="8385" spans="1:20" x14ac:dyDescent="0.25">
      <c r="A8385">
        <v>20190228</v>
      </c>
      <c r="B8385">
        <v>2019</v>
      </c>
      <c r="C8385">
        <v>2</v>
      </c>
      <c r="D8385">
        <v>1</v>
      </c>
      <c r="E8385">
        <v>13200</v>
      </c>
      <c r="F8385">
        <v>6888.11</v>
      </c>
      <c r="G8385">
        <v>8034.68</v>
      </c>
      <c r="H8385">
        <v>0</v>
      </c>
      <c r="I8385">
        <v>0</v>
      </c>
      <c r="J8385">
        <v>-429769.59</v>
      </c>
      <c r="K8385">
        <v>0</v>
      </c>
      <c r="L8385">
        <v>1282330.23</v>
      </c>
      <c r="M8385">
        <v>1720134.5</v>
      </c>
      <c r="N8385">
        <v>1282330.23</v>
      </c>
      <c r="O8385">
        <v>1720134.5</v>
      </c>
      <c r="P8385">
        <v>1282330.23</v>
      </c>
      <c r="Q8385">
        <v>1720134.5</v>
      </c>
      <c r="R8385" s="14">
        <f>_xlfn.XLOOKUP(Table2[[#This Row],[LoanID]],Table1[G-L ID],Table1[ManagerCode],-99)</f>
        <v>183</v>
      </c>
      <c r="T8385"/>
    </row>
    <row r="8386" spans="1:20" x14ac:dyDescent="0.25">
      <c r="A8386">
        <v>20190228</v>
      </c>
      <c r="B8386">
        <v>2019</v>
      </c>
      <c r="C8386">
        <v>2</v>
      </c>
      <c r="D8386">
        <v>1</v>
      </c>
      <c r="E8386">
        <v>13210</v>
      </c>
      <c r="F8386">
        <v>0</v>
      </c>
      <c r="G8386">
        <v>67986.52</v>
      </c>
      <c r="H8386">
        <v>0</v>
      </c>
      <c r="I8386">
        <v>0</v>
      </c>
      <c r="J8386">
        <v>-1059192.02</v>
      </c>
      <c r="K8386">
        <v>0</v>
      </c>
      <c r="L8386">
        <v>6449768.4699999997</v>
      </c>
      <c r="M8386">
        <v>7576947.0099999998</v>
      </c>
      <c r="N8386">
        <v>6449768.4699999997</v>
      </c>
      <c r="O8386">
        <v>7576947.0099999998</v>
      </c>
      <c r="P8386">
        <v>6449768.4699999997</v>
      </c>
      <c r="Q8386">
        <v>7576947.0099999998</v>
      </c>
      <c r="R8386" s="14">
        <f>_xlfn.XLOOKUP(Table2[[#This Row],[LoanID]],Table1[G-L ID],Table1[ManagerCode],-99)</f>
        <v>183</v>
      </c>
      <c r="T8386"/>
    </row>
    <row r="8387" spans="1:20" x14ac:dyDescent="0.25">
      <c r="A8387">
        <v>20190228</v>
      </c>
      <c r="B8387">
        <v>2019</v>
      </c>
      <c r="C8387">
        <v>2</v>
      </c>
      <c r="D8387">
        <v>1</v>
      </c>
      <c r="E8387">
        <v>13220</v>
      </c>
      <c r="F8387">
        <v>70922.47</v>
      </c>
      <c r="G8387">
        <v>0</v>
      </c>
      <c r="H8387">
        <v>0</v>
      </c>
      <c r="I8387">
        <v>0</v>
      </c>
      <c r="J8387">
        <v>0</v>
      </c>
      <c r="K8387">
        <v>4931.28</v>
      </c>
      <c r="L8387">
        <v>9329592.7699999996</v>
      </c>
      <c r="M8387">
        <v>9324661.4900000002</v>
      </c>
      <c r="N8387">
        <v>9329592.7699999996</v>
      </c>
      <c r="O8387">
        <v>9324661.4900000002</v>
      </c>
      <c r="P8387">
        <v>9237878.6999999993</v>
      </c>
      <c r="Q8387">
        <v>9232947.4199999999</v>
      </c>
      <c r="R8387" s="14">
        <f>_xlfn.XLOOKUP(Table2[[#This Row],[LoanID]],Table1[G-L ID],Table1[ManagerCode],-99)</f>
        <v>219</v>
      </c>
      <c r="T8387"/>
    </row>
    <row r="8388" spans="1:20" x14ac:dyDescent="0.25">
      <c r="A8388">
        <v>20190228</v>
      </c>
      <c r="B8388">
        <v>2019</v>
      </c>
      <c r="C8388">
        <v>2</v>
      </c>
      <c r="D8388">
        <v>1</v>
      </c>
      <c r="E8388">
        <v>13230</v>
      </c>
      <c r="F8388">
        <v>43180.75</v>
      </c>
      <c r="G8388">
        <v>0</v>
      </c>
      <c r="H8388">
        <v>0</v>
      </c>
      <c r="I8388">
        <v>0</v>
      </c>
      <c r="J8388">
        <v>0</v>
      </c>
      <c r="K8388">
        <v>0</v>
      </c>
      <c r="L8388">
        <v>6543875</v>
      </c>
      <c r="M8388">
        <v>6543875</v>
      </c>
      <c r="N8388">
        <v>6543875</v>
      </c>
      <c r="O8388">
        <v>6543875</v>
      </c>
      <c r="P8388">
        <v>6543875</v>
      </c>
      <c r="Q8388">
        <v>6543875</v>
      </c>
      <c r="R8388" s="14">
        <f>_xlfn.XLOOKUP(Table2[[#This Row],[LoanID]],Table1[G-L ID],Table1[ManagerCode],-99)</f>
        <v>219</v>
      </c>
      <c r="T8388"/>
    </row>
    <row r="8389" spans="1:20" x14ac:dyDescent="0.25">
      <c r="A8389">
        <v>20190228</v>
      </c>
      <c r="B8389">
        <v>2019</v>
      </c>
      <c r="C8389">
        <v>2</v>
      </c>
      <c r="D8389">
        <v>1</v>
      </c>
      <c r="E8389">
        <v>13240</v>
      </c>
      <c r="F8389">
        <v>78157.73</v>
      </c>
      <c r="G8389">
        <v>0</v>
      </c>
      <c r="H8389">
        <v>0</v>
      </c>
      <c r="I8389">
        <v>0</v>
      </c>
      <c r="J8389">
        <v>0</v>
      </c>
      <c r="K8389">
        <v>0</v>
      </c>
      <c r="L8389">
        <v>8063069.25</v>
      </c>
      <c r="M8389">
        <v>8063069.25</v>
      </c>
      <c r="N8389">
        <v>8063069.25</v>
      </c>
      <c r="O8389">
        <v>8063069.25</v>
      </c>
      <c r="P8389">
        <v>8063069.25</v>
      </c>
      <c r="Q8389">
        <v>8063069.25</v>
      </c>
      <c r="R8389" s="14">
        <f>_xlfn.XLOOKUP(Table2[[#This Row],[LoanID]],Table1[G-L ID],Table1[ManagerCode],-99)</f>
        <v>219</v>
      </c>
      <c r="T8389"/>
    </row>
    <row r="8390" spans="1:20" x14ac:dyDescent="0.25">
      <c r="A8390">
        <v>20190228</v>
      </c>
      <c r="B8390">
        <v>2019</v>
      </c>
      <c r="C8390">
        <v>2</v>
      </c>
      <c r="D8390">
        <v>1</v>
      </c>
      <c r="E8390">
        <v>13250</v>
      </c>
      <c r="F8390">
        <v>68819.44</v>
      </c>
      <c r="G8390">
        <v>-7610.35</v>
      </c>
      <c r="H8390">
        <v>0</v>
      </c>
      <c r="I8390">
        <v>0</v>
      </c>
      <c r="J8390">
        <v>0</v>
      </c>
      <c r="K8390">
        <v>0</v>
      </c>
      <c r="L8390">
        <v>7462528.5700000003</v>
      </c>
      <c r="M8390">
        <v>7454918.2199999997</v>
      </c>
      <c r="N8390">
        <v>7462528.5700000003</v>
      </c>
      <c r="O8390">
        <v>7454918.2199999997</v>
      </c>
      <c r="P8390">
        <v>7043722.5499999998</v>
      </c>
      <c r="Q8390">
        <v>7036112.2000000002</v>
      </c>
      <c r="R8390" s="14">
        <f>_xlfn.XLOOKUP(Table2[[#This Row],[LoanID]],Table1[G-L ID],Table1[ManagerCode],-99)</f>
        <v>219</v>
      </c>
      <c r="T8390"/>
    </row>
    <row r="8391" spans="1:20" x14ac:dyDescent="0.25">
      <c r="A8391">
        <v>20190228</v>
      </c>
      <c r="B8391">
        <v>2019</v>
      </c>
      <c r="C8391">
        <v>2</v>
      </c>
      <c r="D8391">
        <v>1</v>
      </c>
      <c r="E8391">
        <v>13260</v>
      </c>
      <c r="F8391">
        <v>189099.44</v>
      </c>
      <c r="G8391">
        <v>-5935.92</v>
      </c>
      <c r="H8391">
        <v>0</v>
      </c>
      <c r="I8391">
        <v>0</v>
      </c>
      <c r="J8391">
        <v>0</v>
      </c>
      <c r="K8391">
        <v>0</v>
      </c>
      <c r="L8391">
        <v>20098449.850000001</v>
      </c>
      <c r="M8391">
        <v>20092513.93</v>
      </c>
      <c r="N8391">
        <v>20098449.850000001</v>
      </c>
      <c r="O8391">
        <v>20092513.93</v>
      </c>
      <c r="P8391">
        <v>20098449.850000001</v>
      </c>
      <c r="Q8391">
        <v>20092513.93</v>
      </c>
      <c r="R8391" s="14">
        <f>_xlfn.XLOOKUP(Table2[[#This Row],[LoanID]],Table1[G-L ID],Table1[ManagerCode],-99)</f>
        <v>219</v>
      </c>
      <c r="T8391"/>
    </row>
    <row r="8392" spans="1:20" x14ac:dyDescent="0.25">
      <c r="A8392">
        <v>20190228</v>
      </c>
      <c r="B8392">
        <v>2019</v>
      </c>
      <c r="C8392">
        <v>2</v>
      </c>
      <c r="D8392">
        <v>1</v>
      </c>
      <c r="E8392">
        <v>13270</v>
      </c>
      <c r="F8392">
        <v>161086.10999999999</v>
      </c>
      <c r="G8392">
        <v>-4852.78</v>
      </c>
      <c r="H8392">
        <v>0</v>
      </c>
      <c r="I8392">
        <v>0</v>
      </c>
      <c r="J8392">
        <v>0</v>
      </c>
      <c r="K8392">
        <v>0</v>
      </c>
      <c r="L8392">
        <v>25104838.010000002</v>
      </c>
      <c r="M8392">
        <v>25099985.23</v>
      </c>
      <c r="N8392">
        <v>25104838.010000002</v>
      </c>
      <c r="O8392">
        <v>25099985.23</v>
      </c>
      <c r="P8392">
        <v>25104838.010000002</v>
      </c>
      <c r="Q8392">
        <v>25099985.23</v>
      </c>
      <c r="R8392" s="14">
        <f>_xlfn.XLOOKUP(Table2[[#This Row],[LoanID]],Table1[G-L ID],Table1[ManagerCode],-99)</f>
        <v>219</v>
      </c>
      <c r="T8392"/>
    </row>
    <row r="8393" spans="1:20" x14ac:dyDescent="0.25">
      <c r="A8393">
        <v>20190228</v>
      </c>
      <c r="B8393">
        <v>2019</v>
      </c>
      <c r="C8393">
        <v>2</v>
      </c>
      <c r="D8393">
        <v>1</v>
      </c>
      <c r="E8393">
        <v>13280</v>
      </c>
      <c r="F8393">
        <v>215277.78</v>
      </c>
      <c r="G8393">
        <v>-16250.17</v>
      </c>
      <c r="H8393">
        <v>0</v>
      </c>
      <c r="I8393">
        <v>0</v>
      </c>
      <c r="J8393">
        <v>0</v>
      </c>
      <c r="K8393">
        <v>0</v>
      </c>
      <c r="L8393">
        <v>20317917.27</v>
      </c>
      <c r="M8393">
        <v>20301667.100000001</v>
      </c>
      <c r="N8393">
        <v>20317917.27</v>
      </c>
      <c r="O8393">
        <v>20301667.100000001</v>
      </c>
      <c r="P8393">
        <v>20167917.07</v>
      </c>
      <c r="Q8393">
        <v>20151666.899999999</v>
      </c>
      <c r="R8393" s="14">
        <f>_xlfn.XLOOKUP(Table2[[#This Row],[LoanID]],Table1[G-L ID],Table1[ManagerCode],-99)</f>
        <v>219</v>
      </c>
      <c r="T8393"/>
    </row>
    <row r="8394" spans="1:20" x14ac:dyDescent="0.25">
      <c r="A8394">
        <v>20190228</v>
      </c>
      <c r="B8394">
        <v>2019</v>
      </c>
      <c r="C8394">
        <v>2</v>
      </c>
      <c r="D8394">
        <v>1</v>
      </c>
      <c r="E8394">
        <v>13290</v>
      </c>
      <c r="F8394">
        <v>140972.22</v>
      </c>
      <c r="G8394">
        <v>0</v>
      </c>
      <c r="H8394">
        <v>0</v>
      </c>
      <c r="I8394">
        <v>0</v>
      </c>
      <c r="J8394">
        <v>0</v>
      </c>
      <c r="K8394">
        <v>0</v>
      </c>
      <c r="L8394">
        <v>20000000</v>
      </c>
      <c r="M8394">
        <v>20000000</v>
      </c>
      <c r="N8394">
        <v>20000000</v>
      </c>
      <c r="O8394">
        <v>20000000</v>
      </c>
      <c r="P8394">
        <v>20000000</v>
      </c>
      <c r="Q8394">
        <v>20000000</v>
      </c>
      <c r="R8394" s="14">
        <f>_xlfn.XLOOKUP(Table2[[#This Row],[LoanID]],Table1[G-L ID],Table1[ManagerCode],-99)</f>
        <v>219</v>
      </c>
      <c r="T8394"/>
    </row>
    <row r="8395" spans="1:20" x14ac:dyDescent="0.25">
      <c r="A8395">
        <v>20190228</v>
      </c>
      <c r="B8395">
        <v>2019</v>
      </c>
      <c r="C8395">
        <v>2</v>
      </c>
      <c r="D8395">
        <v>1</v>
      </c>
      <c r="E8395">
        <v>13300</v>
      </c>
      <c r="F8395">
        <v>215277.78</v>
      </c>
      <c r="G8395">
        <v>-20833.34</v>
      </c>
      <c r="H8395">
        <v>0</v>
      </c>
      <c r="I8395">
        <v>0</v>
      </c>
      <c r="J8395">
        <v>0</v>
      </c>
      <c r="K8395">
        <v>0</v>
      </c>
      <c r="L8395">
        <v>25215277.780000001</v>
      </c>
      <c r="M8395">
        <v>25194444.440000001</v>
      </c>
      <c r="N8395">
        <v>25215277.780000001</v>
      </c>
      <c r="O8395">
        <v>25194444.440000001</v>
      </c>
      <c r="P8395">
        <v>25215277.780000001</v>
      </c>
      <c r="Q8395">
        <v>25194444.440000001</v>
      </c>
      <c r="R8395" s="14">
        <f>_xlfn.XLOOKUP(Table2[[#This Row],[LoanID]],Table1[G-L ID],Table1[ManagerCode],-99)</f>
        <v>219</v>
      </c>
      <c r="T8395"/>
    </row>
    <row r="8396" spans="1:20" x14ac:dyDescent="0.25">
      <c r="A8396">
        <v>20190228</v>
      </c>
      <c r="B8396">
        <v>2019</v>
      </c>
      <c r="C8396">
        <v>2</v>
      </c>
      <c r="D8396">
        <v>1</v>
      </c>
      <c r="E8396">
        <v>13310</v>
      </c>
      <c r="F8396">
        <v>128149.8</v>
      </c>
      <c r="G8396">
        <v>0</v>
      </c>
      <c r="H8396">
        <v>0</v>
      </c>
      <c r="I8396">
        <v>0</v>
      </c>
      <c r="J8396">
        <v>0</v>
      </c>
      <c r="K8396">
        <v>0</v>
      </c>
      <c r="L8396">
        <v>15600000</v>
      </c>
      <c r="M8396">
        <v>15600000</v>
      </c>
      <c r="N8396">
        <v>15600000</v>
      </c>
      <c r="O8396">
        <v>15600000</v>
      </c>
      <c r="P8396">
        <v>15600000</v>
      </c>
      <c r="Q8396">
        <v>15600000</v>
      </c>
      <c r="R8396" s="14">
        <f>_xlfn.XLOOKUP(Table2[[#This Row],[LoanID]],Table1[G-L ID],Table1[ManagerCode],-99)</f>
        <v>119</v>
      </c>
      <c r="T8396"/>
    </row>
    <row r="8397" spans="1:20" x14ac:dyDescent="0.25">
      <c r="A8397">
        <v>20190228</v>
      </c>
      <c r="B8397">
        <v>2019</v>
      </c>
      <c r="C8397">
        <v>2</v>
      </c>
      <c r="D8397">
        <v>1</v>
      </c>
      <c r="E8397">
        <v>13320</v>
      </c>
      <c r="F8397">
        <v>147657.65</v>
      </c>
      <c r="G8397">
        <v>0</v>
      </c>
      <c r="H8397">
        <v>0</v>
      </c>
      <c r="I8397">
        <v>0</v>
      </c>
      <c r="J8397">
        <v>0</v>
      </c>
      <c r="K8397">
        <v>0</v>
      </c>
      <c r="L8397">
        <v>18600000</v>
      </c>
      <c r="M8397">
        <v>18600000</v>
      </c>
      <c r="N8397">
        <v>18600000</v>
      </c>
      <c r="O8397">
        <v>18600000</v>
      </c>
      <c r="P8397">
        <v>18600000</v>
      </c>
      <c r="Q8397">
        <v>18600000</v>
      </c>
      <c r="R8397" s="14">
        <f>_xlfn.XLOOKUP(Table2[[#This Row],[LoanID]],Table1[G-L ID],Table1[ManagerCode],-99)</f>
        <v>119</v>
      </c>
      <c r="T8397"/>
    </row>
    <row r="8398" spans="1:20" x14ac:dyDescent="0.25">
      <c r="A8398">
        <v>20190228</v>
      </c>
      <c r="B8398">
        <v>2019</v>
      </c>
      <c r="C8398">
        <v>2</v>
      </c>
      <c r="D8398">
        <v>1</v>
      </c>
      <c r="E8398">
        <v>13330</v>
      </c>
      <c r="F8398">
        <v>127291.17</v>
      </c>
      <c r="G8398">
        <v>0</v>
      </c>
      <c r="H8398">
        <v>0</v>
      </c>
      <c r="I8398">
        <v>0</v>
      </c>
      <c r="J8398">
        <v>0</v>
      </c>
      <c r="K8398">
        <v>0</v>
      </c>
      <c r="L8398">
        <v>14200000</v>
      </c>
      <c r="M8398">
        <v>14200000</v>
      </c>
      <c r="N8398">
        <v>14200000</v>
      </c>
      <c r="O8398">
        <v>14200000</v>
      </c>
      <c r="P8398">
        <v>14200000</v>
      </c>
      <c r="Q8398">
        <v>14200000</v>
      </c>
      <c r="R8398" s="14">
        <f>_xlfn.XLOOKUP(Table2[[#This Row],[LoanID]],Table1[G-L ID],Table1[ManagerCode],-99)</f>
        <v>119</v>
      </c>
      <c r="T8398"/>
    </row>
    <row r="8399" spans="1:20" x14ac:dyDescent="0.25">
      <c r="A8399">
        <v>20190228</v>
      </c>
      <c r="B8399">
        <v>2019</v>
      </c>
      <c r="C8399">
        <v>2</v>
      </c>
      <c r="D8399">
        <v>1</v>
      </c>
      <c r="E8399">
        <v>13340</v>
      </c>
      <c r="F8399">
        <v>195020.14</v>
      </c>
      <c r="G8399">
        <v>0</v>
      </c>
      <c r="H8399">
        <v>0</v>
      </c>
      <c r="I8399">
        <v>0</v>
      </c>
      <c r="J8399">
        <v>0</v>
      </c>
      <c r="K8399">
        <v>0</v>
      </c>
      <c r="L8399">
        <v>25000000</v>
      </c>
      <c r="M8399">
        <v>25000000</v>
      </c>
      <c r="N8399">
        <v>25000000</v>
      </c>
      <c r="O8399">
        <v>25000000</v>
      </c>
      <c r="P8399">
        <v>25000000</v>
      </c>
      <c r="Q8399">
        <v>25000000</v>
      </c>
      <c r="R8399" s="14">
        <f>_xlfn.XLOOKUP(Table2[[#This Row],[LoanID]],Table1[G-L ID],Table1[ManagerCode],-99)</f>
        <v>119</v>
      </c>
      <c r="T8399"/>
    </row>
    <row r="8400" spans="1:20" x14ac:dyDescent="0.25">
      <c r="A8400">
        <v>20190228</v>
      </c>
      <c r="B8400">
        <v>2019</v>
      </c>
      <c r="C8400">
        <v>2</v>
      </c>
      <c r="D8400">
        <v>1</v>
      </c>
      <c r="E8400">
        <v>13350</v>
      </c>
      <c r="F8400">
        <v>81185.17</v>
      </c>
      <c r="G8400">
        <v>0</v>
      </c>
      <c r="H8400">
        <v>0</v>
      </c>
      <c r="I8400">
        <v>0</v>
      </c>
      <c r="J8400">
        <v>0</v>
      </c>
      <c r="K8400">
        <v>0</v>
      </c>
      <c r="L8400">
        <v>6329715</v>
      </c>
      <c r="M8400">
        <v>6329715</v>
      </c>
      <c r="N8400">
        <v>6329715</v>
      </c>
      <c r="O8400">
        <v>6329715</v>
      </c>
      <c r="P8400">
        <v>6329715</v>
      </c>
      <c r="Q8400">
        <v>6329715</v>
      </c>
      <c r="R8400" s="14">
        <f>_xlfn.XLOOKUP(Table2[[#This Row],[LoanID]],Table1[G-L ID],Table1[ManagerCode],-99)</f>
        <v>119</v>
      </c>
      <c r="T8400"/>
    </row>
    <row r="8401" spans="1:20" x14ac:dyDescent="0.25">
      <c r="A8401">
        <v>20190228</v>
      </c>
      <c r="B8401">
        <v>2019</v>
      </c>
      <c r="C8401">
        <v>2</v>
      </c>
      <c r="D8401">
        <v>1</v>
      </c>
      <c r="E8401">
        <v>13360</v>
      </c>
      <c r="F8401">
        <v>218764.59</v>
      </c>
      <c r="G8401">
        <v>0</v>
      </c>
      <c r="H8401">
        <v>0</v>
      </c>
      <c r="I8401">
        <v>0</v>
      </c>
      <c r="J8401">
        <v>-924888.26</v>
      </c>
      <c r="K8401">
        <v>0</v>
      </c>
      <c r="L8401">
        <v>29400000</v>
      </c>
      <c r="M8401">
        <v>30324888.260000002</v>
      </c>
      <c r="N8401">
        <v>29400000</v>
      </c>
      <c r="O8401">
        <v>30324888.260000002</v>
      </c>
      <c r="P8401">
        <v>29400000</v>
      </c>
      <c r="Q8401">
        <v>30324888.260000002</v>
      </c>
      <c r="R8401" s="14">
        <f>_xlfn.XLOOKUP(Table2[[#This Row],[LoanID]],Table1[G-L ID],Table1[ManagerCode],-99)</f>
        <v>119</v>
      </c>
      <c r="T8401"/>
    </row>
    <row r="8402" spans="1:20" x14ac:dyDescent="0.25">
      <c r="A8402">
        <v>20190228</v>
      </c>
      <c r="B8402">
        <v>2019</v>
      </c>
      <c r="C8402">
        <v>2</v>
      </c>
      <c r="D8402">
        <v>1</v>
      </c>
      <c r="E8402">
        <v>13370</v>
      </c>
      <c r="F8402">
        <v>174536.69</v>
      </c>
      <c r="G8402">
        <v>0</v>
      </c>
      <c r="H8402">
        <v>0</v>
      </c>
      <c r="I8402">
        <v>0</v>
      </c>
      <c r="J8402">
        <v>0</v>
      </c>
      <c r="K8402">
        <v>0</v>
      </c>
      <c r="L8402">
        <v>42630000</v>
      </c>
      <c r="M8402">
        <v>42630000</v>
      </c>
      <c r="N8402">
        <v>42630000</v>
      </c>
      <c r="O8402">
        <v>42630000</v>
      </c>
      <c r="P8402">
        <v>42630000</v>
      </c>
      <c r="Q8402">
        <v>42630000</v>
      </c>
      <c r="R8402" s="14">
        <f>_xlfn.XLOOKUP(Table2[[#This Row],[LoanID]],Table1[G-L ID],Table1[ManagerCode],-99)</f>
        <v>183</v>
      </c>
      <c r="T8402"/>
    </row>
    <row r="8403" spans="1:20" x14ac:dyDescent="0.25">
      <c r="A8403">
        <v>20190228</v>
      </c>
      <c r="B8403">
        <v>2019</v>
      </c>
      <c r="C8403">
        <v>2</v>
      </c>
      <c r="D8403">
        <v>1</v>
      </c>
      <c r="E8403">
        <v>13380</v>
      </c>
      <c r="F8403">
        <v>58686.71</v>
      </c>
      <c r="G8403">
        <v>0</v>
      </c>
      <c r="H8403">
        <v>0</v>
      </c>
      <c r="I8403">
        <v>0</v>
      </c>
      <c r="J8403">
        <v>0</v>
      </c>
      <c r="K8403">
        <v>0</v>
      </c>
      <c r="L8403">
        <v>32000000</v>
      </c>
      <c r="M8403">
        <v>32000000</v>
      </c>
      <c r="N8403">
        <v>11200000</v>
      </c>
      <c r="O8403">
        <v>11200000</v>
      </c>
      <c r="P8403">
        <v>32000000</v>
      </c>
      <c r="Q8403">
        <v>32000000</v>
      </c>
      <c r="R8403" s="14">
        <f>_xlfn.XLOOKUP(Table2[[#This Row],[LoanID]],Table1[G-L ID],Table1[ManagerCode],-99)</f>
        <v>183</v>
      </c>
      <c r="T8403"/>
    </row>
    <row r="8404" spans="1:20" x14ac:dyDescent="0.25">
      <c r="A8404">
        <v>20190228</v>
      </c>
      <c r="B8404">
        <v>2019</v>
      </c>
      <c r="C8404">
        <v>2</v>
      </c>
      <c r="D8404">
        <v>1</v>
      </c>
      <c r="E8404">
        <v>13390</v>
      </c>
      <c r="F8404">
        <v>145074.95000000001</v>
      </c>
      <c r="G8404">
        <v>0</v>
      </c>
      <c r="H8404">
        <v>0</v>
      </c>
      <c r="I8404">
        <v>0</v>
      </c>
      <c r="J8404">
        <v>0</v>
      </c>
      <c r="K8404">
        <v>28916077</v>
      </c>
      <c r="L8404">
        <v>48193461.420000002</v>
      </c>
      <c r="M8404">
        <v>48193461.420000002</v>
      </c>
      <c r="N8404">
        <v>48193461.420000002</v>
      </c>
      <c r="O8404">
        <v>19277384.420000002</v>
      </c>
      <c r="P8404">
        <v>48193461.420000002</v>
      </c>
      <c r="Q8404">
        <v>48193461.420000002</v>
      </c>
      <c r="R8404" s="14">
        <f>_xlfn.XLOOKUP(Table2[[#This Row],[LoanID]],Table1[G-L ID],Table1[ManagerCode],-99)</f>
        <v>183</v>
      </c>
      <c r="T8404"/>
    </row>
    <row r="8405" spans="1:20" x14ac:dyDescent="0.25">
      <c r="A8405">
        <v>20190228</v>
      </c>
      <c r="B8405">
        <v>2019</v>
      </c>
      <c r="C8405">
        <v>2</v>
      </c>
      <c r="D8405">
        <v>1</v>
      </c>
      <c r="E8405">
        <v>13400</v>
      </c>
      <c r="F8405">
        <v>73205.119999999995</v>
      </c>
      <c r="G8405">
        <v>0</v>
      </c>
      <c r="H8405">
        <v>0</v>
      </c>
      <c r="I8405">
        <v>0</v>
      </c>
      <c r="J8405">
        <v>0</v>
      </c>
      <c r="K8405">
        <v>20637500</v>
      </c>
      <c r="L8405">
        <v>31750000</v>
      </c>
      <c r="M8405">
        <v>31750000</v>
      </c>
      <c r="N8405">
        <v>31750000</v>
      </c>
      <c r="O8405">
        <v>11112500</v>
      </c>
      <c r="P8405">
        <v>31750000</v>
      </c>
      <c r="Q8405">
        <v>31750000</v>
      </c>
      <c r="R8405" s="14">
        <f>_xlfn.XLOOKUP(Table2[[#This Row],[LoanID]],Table1[G-L ID],Table1[ManagerCode],-99)</f>
        <v>183</v>
      </c>
      <c r="T8405"/>
    </row>
    <row r="8406" spans="1:20" x14ac:dyDescent="0.25">
      <c r="A8406">
        <v>20190228</v>
      </c>
      <c r="B8406">
        <v>2019</v>
      </c>
      <c r="C8406">
        <v>2</v>
      </c>
      <c r="D8406">
        <v>1</v>
      </c>
      <c r="E8406">
        <v>13410</v>
      </c>
      <c r="F8406">
        <v>131191.71</v>
      </c>
      <c r="G8406">
        <v>0</v>
      </c>
      <c r="H8406">
        <v>0</v>
      </c>
      <c r="I8406">
        <v>0</v>
      </c>
      <c r="J8406">
        <v>0</v>
      </c>
      <c r="K8406">
        <v>0</v>
      </c>
      <c r="L8406">
        <v>32983000</v>
      </c>
      <c r="M8406">
        <v>32983000</v>
      </c>
      <c r="N8406">
        <v>32983000</v>
      </c>
      <c r="O8406">
        <v>32983000</v>
      </c>
      <c r="P8406">
        <v>32983000</v>
      </c>
      <c r="Q8406">
        <v>32983000</v>
      </c>
      <c r="R8406" s="14">
        <f>_xlfn.XLOOKUP(Table2[[#This Row],[LoanID]],Table1[G-L ID],Table1[ManagerCode],-99)</f>
        <v>183</v>
      </c>
      <c r="T8406"/>
    </row>
    <row r="8407" spans="1:20" x14ac:dyDescent="0.25">
      <c r="A8407">
        <v>20190228</v>
      </c>
      <c r="B8407">
        <v>2019</v>
      </c>
      <c r="C8407">
        <v>2</v>
      </c>
      <c r="D8407">
        <v>1</v>
      </c>
      <c r="E8407">
        <v>13420</v>
      </c>
      <c r="F8407">
        <v>12429.57</v>
      </c>
      <c r="G8407">
        <v>0</v>
      </c>
      <c r="H8407">
        <v>245475</v>
      </c>
      <c r="I8407">
        <v>0</v>
      </c>
      <c r="J8407">
        <v>-29872783</v>
      </c>
      <c r="K8407">
        <v>0</v>
      </c>
      <c r="L8407">
        <v>0</v>
      </c>
      <c r="M8407">
        <v>29872783</v>
      </c>
      <c r="N8407">
        <v>0</v>
      </c>
      <c r="O8407">
        <v>29872783</v>
      </c>
      <c r="P8407">
        <v>0</v>
      </c>
      <c r="Q8407">
        <v>29872783</v>
      </c>
      <c r="R8407" s="14">
        <f>_xlfn.XLOOKUP(Table2[[#This Row],[LoanID]],Table1[G-L ID],Table1[ManagerCode],-99)</f>
        <v>183</v>
      </c>
      <c r="T8407"/>
    </row>
    <row r="8408" spans="1:20" x14ac:dyDescent="0.25">
      <c r="A8408">
        <v>20190228</v>
      </c>
      <c r="B8408">
        <v>2019</v>
      </c>
      <c r="C8408">
        <v>2</v>
      </c>
      <c r="D8408">
        <v>1</v>
      </c>
      <c r="E8408">
        <v>13440</v>
      </c>
      <c r="F8408">
        <v>0</v>
      </c>
      <c r="G8408">
        <v>29829.5</v>
      </c>
      <c r="H8408">
        <v>111860.64</v>
      </c>
      <c r="I8408">
        <v>0</v>
      </c>
      <c r="J8408">
        <v>-11186063.550000001</v>
      </c>
      <c r="K8408">
        <v>0</v>
      </c>
      <c r="L8408">
        <v>0</v>
      </c>
      <c r="M8408">
        <v>11215893.050000001</v>
      </c>
      <c r="N8408">
        <v>0</v>
      </c>
      <c r="O8408">
        <v>11215893.050000001</v>
      </c>
      <c r="P8408">
        <v>0</v>
      </c>
      <c r="Q8408">
        <v>11215893.050000001</v>
      </c>
      <c r="R8408" s="14">
        <f>_xlfn.XLOOKUP(Table2[[#This Row],[LoanID]],Table1[G-L ID],Table1[ManagerCode],-99)</f>
        <v>183</v>
      </c>
      <c r="T8408"/>
    </row>
    <row r="8409" spans="1:20" x14ac:dyDescent="0.25">
      <c r="A8409">
        <v>20190228</v>
      </c>
      <c r="B8409">
        <v>2019</v>
      </c>
      <c r="C8409">
        <v>2</v>
      </c>
      <c r="D8409">
        <v>1</v>
      </c>
      <c r="E8409">
        <v>13450</v>
      </c>
      <c r="F8409">
        <v>0</v>
      </c>
      <c r="G8409">
        <v>30923.95</v>
      </c>
      <c r="H8409">
        <v>0</v>
      </c>
      <c r="I8409">
        <v>0</v>
      </c>
      <c r="J8409">
        <v>0</v>
      </c>
      <c r="K8409">
        <v>0</v>
      </c>
      <c r="L8409">
        <v>3116228.88</v>
      </c>
      <c r="M8409">
        <v>3147152.83</v>
      </c>
      <c r="N8409">
        <v>3116228.88</v>
      </c>
      <c r="O8409">
        <v>3147152.83</v>
      </c>
      <c r="P8409">
        <v>3116228.88</v>
      </c>
      <c r="Q8409">
        <v>3147152.83</v>
      </c>
      <c r="R8409" s="14">
        <f>_xlfn.XLOOKUP(Table2[[#This Row],[LoanID]],Table1[G-L ID],Table1[ManagerCode],-99)</f>
        <v>183</v>
      </c>
      <c r="T8409"/>
    </row>
    <row r="8410" spans="1:20" x14ac:dyDescent="0.25">
      <c r="A8410">
        <v>20190228</v>
      </c>
      <c r="B8410">
        <v>2019</v>
      </c>
      <c r="C8410">
        <v>2</v>
      </c>
      <c r="D8410">
        <v>1</v>
      </c>
      <c r="E8410">
        <v>13460</v>
      </c>
      <c r="F8410">
        <v>515.24</v>
      </c>
      <c r="G8410">
        <v>798.61</v>
      </c>
      <c r="H8410">
        <v>0</v>
      </c>
      <c r="I8410">
        <v>0</v>
      </c>
      <c r="J8410">
        <v>-146.94</v>
      </c>
      <c r="K8410">
        <v>0</v>
      </c>
      <c r="L8410">
        <v>132476.57</v>
      </c>
      <c r="M8410">
        <v>133422.12</v>
      </c>
      <c r="N8410">
        <v>132476.57</v>
      </c>
      <c r="O8410">
        <v>133422.12</v>
      </c>
      <c r="P8410">
        <v>132476.57</v>
      </c>
      <c r="Q8410">
        <v>133422.12</v>
      </c>
      <c r="R8410" s="14">
        <f>_xlfn.XLOOKUP(Table2[[#This Row],[LoanID]],Table1[G-L ID],Table1[ManagerCode],-99)</f>
        <v>183</v>
      </c>
      <c r="T8410"/>
    </row>
    <row r="8411" spans="1:20" x14ac:dyDescent="0.25">
      <c r="A8411">
        <v>20190228</v>
      </c>
      <c r="B8411">
        <v>2019</v>
      </c>
      <c r="C8411">
        <v>2</v>
      </c>
      <c r="D8411">
        <v>1</v>
      </c>
      <c r="E8411">
        <v>13470</v>
      </c>
      <c r="F8411">
        <v>678602.43</v>
      </c>
      <c r="G8411">
        <v>0</v>
      </c>
      <c r="H8411">
        <v>0</v>
      </c>
      <c r="I8411">
        <v>0</v>
      </c>
      <c r="J8411">
        <v>0</v>
      </c>
      <c r="K8411">
        <v>0</v>
      </c>
      <c r="L8411">
        <v>62500000</v>
      </c>
      <c r="M8411">
        <v>62500000</v>
      </c>
      <c r="N8411">
        <v>62500000</v>
      </c>
      <c r="O8411">
        <v>62500000</v>
      </c>
      <c r="P8411">
        <v>62500000</v>
      </c>
      <c r="Q8411">
        <v>62500000</v>
      </c>
      <c r="R8411" s="14">
        <f>_xlfn.XLOOKUP(Table2[[#This Row],[LoanID]],Table1[G-L ID],Table1[ManagerCode],-99)</f>
        <v>165</v>
      </c>
      <c r="T8411"/>
    </row>
    <row r="8412" spans="1:20" x14ac:dyDescent="0.25">
      <c r="A8412">
        <v>20190228</v>
      </c>
      <c r="B8412">
        <v>2019</v>
      </c>
      <c r="C8412">
        <v>2</v>
      </c>
      <c r="D8412">
        <v>1</v>
      </c>
      <c r="E8412">
        <v>13480</v>
      </c>
      <c r="F8412">
        <v>250531.67</v>
      </c>
      <c r="G8412">
        <v>0</v>
      </c>
      <c r="H8412">
        <v>0</v>
      </c>
      <c r="I8412">
        <v>0</v>
      </c>
      <c r="J8412">
        <v>0</v>
      </c>
      <c r="K8412">
        <v>0</v>
      </c>
      <c r="L8412">
        <v>39000000</v>
      </c>
      <c r="M8412">
        <v>39000000</v>
      </c>
      <c r="N8412">
        <v>39000000</v>
      </c>
      <c r="O8412">
        <v>39000000</v>
      </c>
      <c r="P8412">
        <v>39000000</v>
      </c>
      <c r="Q8412">
        <v>39000000</v>
      </c>
      <c r="R8412" s="14">
        <f>_xlfn.XLOOKUP(Table2[[#This Row],[LoanID]],Table1[G-L ID],Table1[ManagerCode],-99)</f>
        <v>165</v>
      </c>
      <c r="T8412"/>
    </row>
    <row r="8413" spans="1:20" x14ac:dyDescent="0.25">
      <c r="A8413">
        <v>20190228</v>
      </c>
      <c r="B8413">
        <v>2019</v>
      </c>
      <c r="C8413">
        <v>2</v>
      </c>
      <c r="D8413">
        <v>1</v>
      </c>
      <c r="E8413">
        <v>13490</v>
      </c>
      <c r="F8413">
        <v>303800</v>
      </c>
      <c r="G8413">
        <v>0</v>
      </c>
      <c r="H8413">
        <v>0</v>
      </c>
      <c r="I8413">
        <v>0</v>
      </c>
      <c r="J8413">
        <v>0</v>
      </c>
      <c r="K8413">
        <v>0</v>
      </c>
      <c r="L8413">
        <v>40000000</v>
      </c>
      <c r="M8413">
        <v>40000000</v>
      </c>
      <c r="N8413">
        <v>40000000</v>
      </c>
      <c r="O8413">
        <v>40000000</v>
      </c>
      <c r="P8413">
        <v>40000000</v>
      </c>
      <c r="Q8413">
        <v>40000000</v>
      </c>
      <c r="R8413" s="14">
        <f>_xlfn.XLOOKUP(Table2[[#This Row],[LoanID]],Table1[G-L ID],Table1[ManagerCode],-99)</f>
        <v>165</v>
      </c>
      <c r="T8413"/>
    </row>
    <row r="8414" spans="1:20" x14ac:dyDescent="0.25">
      <c r="A8414">
        <v>20190228</v>
      </c>
      <c r="B8414">
        <v>2019</v>
      </c>
      <c r="C8414">
        <v>2</v>
      </c>
      <c r="D8414">
        <v>1</v>
      </c>
      <c r="E8414">
        <v>13500</v>
      </c>
      <c r="F8414">
        <v>283628.46999999997</v>
      </c>
      <c r="G8414">
        <v>0</v>
      </c>
      <c r="H8414">
        <v>0</v>
      </c>
      <c r="I8414">
        <v>0</v>
      </c>
      <c r="J8414">
        <v>0</v>
      </c>
      <c r="K8414">
        <v>0</v>
      </c>
      <c r="L8414">
        <v>42500000</v>
      </c>
      <c r="M8414">
        <v>42500000</v>
      </c>
      <c r="N8414">
        <v>42500000</v>
      </c>
      <c r="O8414">
        <v>42500000</v>
      </c>
      <c r="P8414">
        <v>42500000</v>
      </c>
      <c r="Q8414">
        <v>42500000</v>
      </c>
      <c r="R8414" s="14">
        <f>_xlfn.XLOOKUP(Table2[[#This Row],[LoanID]],Table1[G-L ID],Table1[ManagerCode],-99)</f>
        <v>165</v>
      </c>
      <c r="T8414"/>
    </row>
    <row r="8415" spans="1:20" x14ac:dyDescent="0.25">
      <c r="A8415">
        <v>20190228</v>
      </c>
      <c r="B8415">
        <v>2019</v>
      </c>
      <c r="C8415">
        <v>2</v>
      </c>
      <c r="D8415">
        <v>1</v>
      </c>
      <c r="E8415">
        <v>13510</v>
      </c>
      <c r="F8415">
        <v>310000</v>
      </c>
      <c r="G8415">
        <v>0</v>
      </c>
      <c r="H8415">
        <v>0</v>
      </c>
      <c r="I8415">
        <v>0</v>
      </c>
      <c r="J8415">
        <v>0</v>
      </c>
      <c r="K8415">
        <v>0</v>
      </c>
      <c r="L8415">
        <v>90000000</v>
      </c>
      <c r="M8415">
        <v>90000000</v>
      </c>
      <c r="N8415">
        <v>90000000</v>
      </c>
      <c r="O8415">
        <v>90000000</v>
      </c>
      <c r="P8415">
        <v>90000000</v>
      </c>
      <c r="Q8415">
        <v>90000000</v>
      </c>
      <c r="R8415" s="14">
        <f>_xlfn.XLOOKUP(Table2[[#This Row],[LoanID]],Table1[G-L ID],Table1[ManagerCode],-99)</f>
        <v>165</v>
      </c>
      <c r="T8415"/>
    </row>
    <row r="8416" spans="1:20" x14ac:dyDescent="0.25">
      <c r="A8416">
        <v>20190228</v>
      </c>
      <c r="B8416">
        <v>2019</v>
      </c>
      <c r="C8416">
        <v>2</v>
      </c>
      <c r="D8416">
        <v>1</v>
      </c>
      <c r="E8416">
        <v>13520</v>
      </c>
      <c r="F8416">
        <v>860572.92</v>
      </c>
      <c r="G8416">
        <v>0</v>
      </c>
      <c r="H8416">
        <v>0</v>
      </c>
      <c r="I8416">
        <v>0</v>
      </c>
      <c r="J8416">
        <v>0</v>
      </c>
      <c r="K8416">
        <v>0</v>
      </c>
      <c r="L8416">
        <v>195000000</v>
      </c>
      <c r="M8416">
        <v>195000000</v>
      </c>
      <c r="N8416">
        <v>195000000</v>
      </c>
      <c r="O8416">
        <v>195000000</v>
      </c>
      <c r="P8416">
        <v>195000000</v>
      </c>
      <c r="Q8416">
        <v>195000000</v>
      </c>
      <c r="R8416" s="14">
        <f>_xlfn.XLOOKUP(Table2[[#This Row],[LoanID]],Table1[G-L ID],Table1[ManagerCode],-99)</f>
        <v>165</v>
      </c>
      <c r="T8416"/>
    </row>
    <row r="8417" spans="1:20" x14ac:dyDescent="0.25">
      <c r="A8417">
        <v>20190228</v>
      </c>
      <c r="B8417">
        <v>2019</v>
      </c>
      <c r="C8417">
        <v>2</v>
      </c>
      <c r="D8417">
        <v>1</v>
      </c>
      <c r="E8417">
        <v>13530</v>
      </c>
      <c r="F8417">
        <v>403645.83</v>
      </c>
      <c r="G8417">
        <v>0</v>
      </c>
      <c r="H8417">
        <v>0</v>
      </c>
      <c r="I8417">
        <v>0</v>
      </c>
      <c r="J8417">
        <v>0</v>
      </c>
      <c r="K8417">
        <v>0</v>
      </c>
      <c r="L8417">
        <v>75000000</v>
      </c>
      <c r="M8417">
        <v>75000000</v>
      </c>
      <c r="N8417">
        <v>75000000</v>
      </c>
      <c r="O8417">
        <v>75000000</v>
      </c>
      <c r="P8417">
        <v>75000000</v>
      </c>
      <c r="Q8417">
        <v>75000000</v>
      </c>
      <c r="R8417" s="14">
        <f>_xlfn.XLOOKUP(Table2[[#This Row],[LoanID]],Table1[G-L ID],Table1[ManagerCode],-99)</f>
        <v>165</v>
      </c>
      <c r="T8417"/>
    </row>
    <row r="8418" spans="1:20" x14ac:dyDescent="0.25">
      <c r="A8418">
        <v>20190228</v>
      </c>
      <c r="B8418">
        <v>2019</v>
      </c>
      <c r="C8418">
        <v>2</v>
      </c>
      <c r="D8418">
        <v>1</v>
      </c>
      <c r="E8418">
        <v>13540</v>
      </c>
      <c r="F8418">
        <v>263428.45</v>
      </c>
      <c r="G8418">
        <v>0</v>
      </c>
      <c r="H8418">
        <v>0</v>
      </c>
      <c r="I8418">
        <v>0</v>
      </c>
      <c r="J8418">
        <v>0</v>
      </c>
      <c r="K8418">
        <v>115357.4</v>
      </c>
      <c r="L8418">
        <v>42195436.229999997</v>
      </c>
      <c r="M8418">
        <v>42080078.829999998</v>
      </c>
      <c r="N8418">
        <v>42195436.229999997</v>
      </c>
      <c r="O8418">
        <v>42080078.829999998</v>
      </c>
      <c r="P8418">
        <v>42195436.229999997</v>
      </c>
      <c r="Q8418">
        <v>42080078.829999998</v>
      </c>
      <c r="R8418" s="14">
        <f>_xlfn.XLOOKUP(Table2[[#This Row],[LoanID]],Table1[G-L ID],Table1[ManagerCode],-99)</f>
        <v>165</v>
      </c>
      <c r="T8418"/>
    </row>
    <row r="8419" spans="1:20" x14ac:dyDescent="0.25">
      <c r="A8419">
        <v>20190228</v>
      </c>
      <c r="B8419">
        <v>2019</v>
      </c>
      <c r="C8419">
        <v>2</v>
      </c>
      <c r="D8419">
        <v>1</v>
      </c>
      <c r="E8419">
        <v>13550</v>
      </c>
      <c r="F8419">
        <v>1682872.91</v>
      </c>
      <c r="G8419">
        <v>0</v>
      </c>
      <c r="H8419">
        <v>0</v>
      </c>
      <c r="I8419">
        <v>0</v>
      </c>
      <c r="J8419">
        <v>0</v>
      </c>
      <c r="K8419">
        <v>0</v>
      </c>
      <c r="L8419">
        <v>355328004.80000001</v>
      </c>
      <c r="M8419">
        <v>355328004.80000001</v>
      </c>
      <c r="N8419">
        <v>355328004.80000001</v>
      </c>
      <c r="O8419">
        <v>355328004.80000001</v>
      </c>
      <c r="P8419">
        <v>355328004.80000001</v>
      </c>
      <c r="Q8419">
        <v>355328004.80000001</v>
      </c>
      <c r="R8419" s="14">
        <f>_xlfn.XLOOKUP(Table2[[#This Row],[LoanID]],Table1[G-L ID],Table1[ManagerCode],-99)</f>
        <v>165</v>
      </c>
      <c r="T8419"/>
    </row>
    <row r="8420" spans="1:20" x14ac:dyDescent="0.25">
      <c r="A8420">
        <v>20190228</v>
      </c>
      <c r="B8420">
        <v>2019</v>
      </c>
      <c r="C8420">
        <v>2</v>
      </c>
      <c r="D8420">
        <v>1</v>
      </c>
      <c r="E8420">
        <v>13580</v>
      </c>
      <c r="F8420">
        <v>429479.17</v>
      </c>
      <c r="G8420">
        <v>0</v>
      </c>
      <c r="H8420">
        <v>0</v>
      </c>
      <c r="I8420">
        <v>0</v>
      </c>
      <c r="J8420">
        <v>0</v>
      </c>
      <c r="K8420">
        <v>0</v>
      </c>
      <c r="L8420">
        <v>63481050.189999998</v>
      </c>
      <c r="M8420">
        <v>63546905.460000001</v>
      </c>
      <c r="N8420">
        <v>63481050.189999998</v>
      </c>
      <c r="O8420">
        <v>63546905.460000001</v>
      </c>
      <c r="P8420">
        <v>66500000</v>
      </c>
      <c r="Q8420">
        <v>66500000</v>
      </c>
      <c r="R8420" s="14">
        <f>_xlfn.XLOOKUP(Table2[[#This Row],[LoanID]],Table1[G-L ID],Table1[ManagerCode],-99)</f>
        <v>298</v>
      </c>
      <c r="T8420"/>
    </row>
    <row r="8421" spans="1:20" x14ac:dyDescent="0.25">
      <c r="A8421">
        <v>20190228</v>
      </c>
      <c r="B8421">
        <v>2019</v>
      </c>
      <c r="C8421">
        <v>2</v>
      </c>
      <c r="D8421">
        <v>1</v>
      </c>
      <c r="E8421">
        <v>13590</v>
      </c>
      <c r="F8421">
        <v>310310</v>
      </c>
      <c r="G8421">
        <v>0</v>
      </c>
      <c r="H8421">
        <v>0</v>
      </c>
      <c r="I8421">
        <v>0</v>
      </c>
      <c r="J8421">
        <v>0</v>
      </c>
      <c r="K8421">
        <v>0</v>
      </c>
      <c r="L8421">
        <v>40000000</v>
      </c>
      <c r="M8421">
        <v>40000000</v>
      </c>
      <c r="N8421">
        <v>40000000</v>
      </c>
      <c r="O8421">
        <v>40000000</v>
      </c>
      <c r="P8421">
        <v>40000000</v>
      </c>
      <c r="Q8421">
        <v>40000000</v>
      </c>
      <c r="R8421" s="14">
        <f>_xlfn.XLOOKUP(Table2[[#This Row],[LoanID]],Table1[G-L ID],Table1[ManagerCode],-99)</f>
        <v>298</v>
      </c>
      <c r="T8421"/>
    </row>
    <row r="8422" spans="1:20" x14ac:dyDescent="0.25">
      <c r="A8422">
        <v>20190228</v>
      </c>
      <c r="B8422">
        <v>2019</v>
      </c>
      <c r="C8422">
        <v>2</v>
      </c>
      <c r="D8422">
        <v>1</v>
      </c>
      <c r="E8422">
        <v>13600</v>
      </c>
      <c r="F8422">
        <v>379029.03</v>
      </c>
      <c r="G8422">
        <v>0</v>
      </c>
      <c r="H8422">
        <v>0</v>
      </c>
      <c r="I8422">
        <v>0</v>
      </c>
      <c r="J8422">
        <v>0</v>
      </c>
      <c r="K8422">
        <v>0</v>
      </c>
      <c r="L8422">
        <v>45970000</v>
      </c>
      <c r="M8422">
        <v>45970000</v>
      </c>
      <c r="N8422">
        <v>45970000</v>
      </c>
      <c r="O8422">
        <v>45970000</v>
      </c>
      <c r="P8422">
        <v>45970000</v>
      </c>
      <c r="Q8422">
        <v>45970000</v>
      </c>
      <c r="R8422" s="14">
        <f>_xlfn.XLOOKUP(Table2[[#This Row],[LoanID]],Table1[G-L ID],Table1[ManagerCode],-99)</f>
        <v>298</v>
      </c>
      <c r="T8422"/>
    </row>
    <row r="8423" spans="1:20" x14ac:dyDescent="0.25">
      <c r="A8423">
        <v>20190228</v>
      </c>
      <c r="B8423">
        <v>2019</v>
      </c>
      <c r="C8423">
        <v>2</v>
      </c>
      <c r="D8423">
        <v>1</v>
      </c>
      <c r="E8423">
        <v>13610</v>
      </c>
      <c r="F8423">
        <v>63291.67</v>
      </c>
      <c r="G8423">
        <v>0</v>
      </c>
      <c r="H8423">
        <v>0</v>
      </c>
      <c r="I8423">
        <v>0</v>
      </c>
      <c r="J8423">
        <v>0</v>
      </c>
      <c r="K8423">
        <v>0</v>
      </c>
      <c r="L8423">
        <v>10542185</v>
      </c>
      <c r="M8423">
        <v>10542185</v>
      </c>
      <c r="N8423">
        <v>10542185</v>
      </c>
      <c r="O8423">
        <v>10542185</v>
      </c>
      <c r="P8423">
        <v>10500000</v>
      </c>
      <c r="Q8423">
        <v>10500000</v>
      </c>
      <c r="R8423" s="14">
        <f>_xlfn.XLOOKUP(Table2[[#This Row],[LoanID]],Table1[G-L ID],Table1[ManagerCode],-99)</f>
        <v>298</v>
      </c>
      <c r="T8423"/>
    </row>
    <row r="8424" spans="1:20" x14ac:dyDescent="0.25">
      <c r="A8424">
        <v>20190228</v>
      </c>
      <c r="B8424">
        <v>2019</v>
      </c>
      <c r="C8424">
        <v>2</v>
      </c>
      <c r="D8424">
        <v>1</v>
      </c>
      <c r="E8424">
        <v>13620</v>
      </c>
      <c r="F8424">
        <v>372818.06</v>
      </c>
      <c r="G8424">
        <v>0</v>
      </c>
      <c r="H8424">
        <v>0</v>
      </c>
      <c r="I8424">
        <v>0</v>
      </c>
      <c r="J8424">
        <v>0</v>
      </c>
      <c r="K8424">
        <v>0</v>
      </c>
      <c r="L8424">
        <v>49842286</v>
      </c>
      <c r="M8424">
        <v>49842286</v>
      </c>
      <c r="N8424">
        <v>49842286</v>
      </c>
      <c r="O8424">
        <v>49842286</v>
      </c>
      <c r="P8424">
        <v>50000000</v>
      </c>
      <c r="Q8424">
        <v>50000000</v>
      </c>
      <c r="R8424" s="14">
        <f>_xlfn.XLOOKUP(Table2[[#This Row],[LoanID]],Table1[G-L ID],Table1[ManagerCode],-99)</f>
        <v>298</v>
      </c>
      <c r="T8424"/>
    </row>
    <row r="8425" spans="1:20" x14ac:dyDescent="0.25">
      <c r="A8425">
        <v>20190228</v>
      </c>
      <c r="B8425">
        <v>2019</v>
      </c>
      <c r="C8425">
        <v>2</v>
      </c>
      <c r="D8425">
        <v>1</v>
      </c>
      <c r="E8425">
        <v>13630</v>
      </c>
      <c r="F8425">
        <v>218506.94</v>
      </c>
      <c r="G8425">
        <v>0</v>
      </c>
      <c r="H8425">
        <v>0</v>
      </c>
      <c r="I8425">
        <v>0</v>
      </c>
      <c r="J8425">
        <v>0</v>
      </c>
      <c r="K8425">
        <v>0</v>
      </c>
      <c r="L8425">
        <v>35449769.57</v>
      </c>
      <c r="M8425">
        <v>35449769.57</v>
      </c>
      <c r="N8425">
        <v>35449769.57</v>
      </c>
      <c r="O8425">
        <v>35449769.57</v>
      </c>
      <c r="P8425">
        <v>35000000</v>
      </c>
      <c r="Q8425">
        <v>35000000</v>
      </c>
      <c r="R8425" s="14">
        <f>_xlfn.XLOOKUP(Table2[[#This Row],[LoanID]],Table1[G-L ID],Table1[ManagerCode],-99)</f>
        <v>298</v>
      </c>
      <c r="T8425"/>
    </row>
    <row r="8426" spans="1:20" x14ac:dyDescent="0.25">
      <c r="A8426">
        <v>20190228</v>
      </c>
      <c r="B8426">
        <v>2019</v>
      </c>
      <c r="C8426">
        <v>2</v>
      </c>
      <c r="D8426">
        <v>1</v>
      </c>
      <c r="E8426">
        <v>13640</v>
      </c>
      <c r="F8426">
        <v>226983.51</v>
      </c>
      <c r="G8426">
        <v>0</v>
      </c>
      <c r="H8426">
        <v>0</v>
      </c>
      <c r="I8426">
        <v>0</v>
      </c>
      <c r="J8426">
        <v>0</v>
      </c>
      <c r="K8426">
        <v>0</v>
      </c>
      <c r="L8426">
        <v>30714705</v>
      </c>
      <c r="M8426">
        <v>30714705</v>
      </c>
      <c r="N8426">
        <v>30714705</v>
      </c>
      <c r="O8426">
        <v>30714705</v>
      </c>
      <c r="P8426">
        <v>30125000</v>
      </c>
      <c r="Q8426">
        <v>30125000</v>
      </c>
      <c r="R8426" s="14">
        <f>_xlfn.XLOOKUP(Table2[[#This Row],[LoanID]],Table1[G-L ID],Table1[ManagerCode],-99)</f>
        <v>298</v>
      </c>
      <c r="T8426"/>
    </row>
    <row r="8427" spans="1:20" x14ac:dyDescent="0.25">
      <c r="A8427">
        <v>20190228</v>
      </c>
      <c r="B8427">
        <v>2019</v>
      </c>
      <c r="C8427">
        <v>2</v>
      </c>
      <c r="D8427">
        <v>1</v>
      </c>
      <c r="E8427">
        <v>13650</v>
      </c>
      <c r="F8427">
        <v>223888.89</v>
      </c>
      <c r="G8427">
        <v>0</v>
      </c>
      <c r="H8427">
        <v>0</v>
      </c>
      <c r="I8427">
        <v>0</v>
      </c>
      <c r="J8427">
        <v>0</v>
      </c>
      <c r="K8427">
        <v>0</v>
      </c>
      <c r="L8427">
        <v>38895325</v>
      </c>
      <c r="M8427">
        <v>38895325</v>
      </c>
      <c r="N8427">
        <v>38895325</v>
      </c>
      <c r="O8427">
        <v>38895325</v>
      </c>
      <c r="P8427">
        <v>40000000</v>
      </c>
      <c r="Q8427">
        <v>40000000</v>
      </c>
      <c r="R8427" s="14">
        <f>_xlfn.XLOOKUP(Table2[[#This Row],[LoanID]],Table1[G-L ID],Table1[ManagerCode],-99)</f>
        <v>298</v>
      </c>
      <c r="T8427"/>
    </row>
    <row r="8428" spans="1:20" x14ac:dyDescent="0.25">
      <c r="A8428">
        <v>20190228</v>
      </c>
      <c r="B8428">
        <v>2019</v>
      </c>
      <c r="C8428">
        <v>2</v>
      </c>
      <c r="D8428">
        <v>1</v>
      </c>
      <c r="E8428">
        <v>13660</v>
      </c>
      <c r="F8428">
        <v>117972.22</v>
      </c>
      <c r="G8428">
        <v>0</v>
      </c>
      <c r="H8428">
        <v>0</v>
      </c>
      <c r="I8428">
        <v>0</v>
      </c>
      <c r="J8428">
        <v>0</v>
      </c>
      <c r="K8428">
        <v>0</v>
      </c>
      <c r="L8428">
        <v>19313433</v>
      </c>
      <c r="M8428">
        <v>19313433</v>
      </c>
      <c r="N8428">
        <v>19313433</v>
      </c>
      <c r="O8428">
        <v>19313433</v>
      </c>
      <c r="P8428">
        <v>20000000</v>
      </c>
      <c r="Q8428">
        <v>20000000</v>
      </c>
      <c r="R8428" s="14">
        <f>_xlfn.XLOOKUP(Table2[[#This Row],[LoanID]],Table1[G-L ID],Table1[ManagerCode],-99)</f>
        <v>298</v>
      </c>
      <c r="T8428"/>
    </row>
    <row r="8429" spans="1:20" x14ac:dyDescent="0.25">
      <c r="A8429">
        <v>20190228</v>
      </c>
      <c r="B8429">
        <v>2019</v>
      </c>
      <c r="C8429">
        <v>2</v>
      </c>
      <c r="D8429">
        <v>1</v>
      </c>
      <c r="E8429">
        <v>13670</v>
      </c>
      <c r="F8429">
        <v>363571.87</v>
      </c>
      <c r="G8429">
        <v>0</v>
      </c>
      <c r="H8429">
        <v>0</v>
      </c>
      <c r="I8429">
        <v>0</v>
      </c>
      <c r="J8429">
        <v>0</v>
      </c>
      <c r="K8429">
        <v>0</v>
      </c>
      <c r="L8429">
        <v>37652328.590000004</v>
      </c>
      <c r="M8429">
        <v>37652328.590000004</v>
      </c>
      <c r="N8429">
        <v>37652328.590000004</v>
      </c>
      <c r="O8429">
        <v>37652328.590000004</v>
      </c>
      <c r="P8429">
        <v>37500000</v>
      </c>
      <c r="Q8429">
        <v>37500000</v>
      </c>
      <c r="R8429" s="14">
        <f>_xlfn.XLOOKUP(Table2[[#This Row],[LoanID]],Table1[G-L ID],Table1[ManagerCode],-99)</f>
        <v>298</v>
      </c>
      <c r="T8429"/>
    </row>
    <row r="8430" spans="1:20" x14ac:dyDescent="0.25">
      <c r="A8430">
        <v>20190228</v>
      </c>
      <c r="B8430">
        <v>2019</v>
      </c>
      <c r="C8430">
        <v>2</v>
      </c>
      <c r="D8430">
        <v>1</v>
      </c>
      <c r="E8430">
        <v>13690</v>
      </c>
      <c r="F8430">
        <v>133472.22</v>
      </c>
      <c r="G8430">
        <v>0</v>
      </c>
      <c r="H8430">
        <v>0</v>
      </c>
      <c r="I8430">
        <v>0</v>
      </c>
      <c r="J8430">
        <v>0</v>
      </c>
      <c r="K8430">
        <v>0</v>
      </c>
      <c r="L8430">
        <v>19791063.850000001</v>
      </c>
      <c r="M8430">
        <v>19791063.850000001</v>
      </c>
      <c r="N8430">
        <v>19791063.850000001</v>
      </c>
      <c r="O8430">
        <v>19791063.850000001</v>
      </c>
      <c r="P8430">
        <v>20000000</v>
      </c>
      <c r="Q8430">
        <v>20000000</v>
      </c>
      <c r="R8430" s="14">
        <f>_xlfn.XLOOKUP(Table2[[#This Row],[LoanID]],Table1[G-L ID],Table1[ManagerCode],-99)</f>
        <v>298</v>
      </c>
      <c r="T8430"/>
    </row>
    <row r="8431" spans="1:20" x14ac:dyDescent="0.25">
      <c r="A8431">
        <v>20190228</v>
      </c>
      <c r="B8431">
        <v>2019</v>
      </c>
      <c r="C8431">
        <v>2</v>
      </c>
      <c r="D8431">
        <v>1</v>
      </c>
      <c r="E8431">
        <v>13700</v>
      </c>
      <c r="F8431">
        <v>145942.57999999999</v>
      </c>
      <c r="G8431">
        <v>0</v>
      </c>
      <c r="H8431">
        <v>0</v>
      </c>
      <c r="I8431">
        <v>0</v>
      </c>
      <c r="J8431">
        <v>-176461.46</v>
      </c>
      <c r="K8431">
        <v>0</v>
      </c>
      <c r="L8431">
        <v>22459959.379999999</v>
      </c>
      <c r="M8431">
        <v>22636420.84</v>
      </c>
      <c r="N8431">
        <v>22459959.379999999</v>
      </c>
      <c r="O8431">
        <v>22636420.84</v>
      </c>
      <c r="P8431">
        <v>22459959.379999999</v>
      </c>
      <c r="Q8431">
        <v>22636420.84</v>
      </c>
      <c r="R8431" s="14">
        <f>_xlfn.XLOOKUP(Table2[[#This Row],[LoanID]],Table1[G-L ID],Table1[ManagerCode],-99)</f>
        <v>119</v>
      </c>
      <c r="T8431"/>
    </row>
    <row r="8432" spans="1:20" x14ac:dyDescent="0.25">
      <c r="A8432">
        <v>20190228</v>
      </c>
      <c r="B8432">
        <v>2019</v>
      </c>
      <c r="C8432">
        <v>2</v>
      </c>
      <c r="D8432">
        <v>1</v>
      </c>
      <c r="E8432">
        <v>13710</v>
      </c>
      <c r="F8432">
        <v>347521.82</v>
      </c>
      <c r="G8432">
        <v>0</v>
      </c>
      <c r="H8432">
        <v>0</v>
      </c>
      <c r="I8432">
        <v>0</v>
      </c>
      <c r="J8432">
        <v>0</v>
      </c>
      <c r="K8432">
        <v>0</v>
      </c>
      <c r="L8432">
        <v>24500000</v>
      </c>
      <c r="M8432">
        <v>24500000</v>
      </c>
      <c r="N8432">
        <v>24500000</v>
      </c>
      <c r="O8432">
        <v>24500000</v>
      </c>
      <c r="P8432">
        <v>24500000</v>
      </c>
      <c r="Q8432">
        <v>24500000</v>
      </c>
      <c r="R8432" s="14">
        <f>_xlfn.XLOOKUP(Table2[[#This Row],[LoanID]],Table1[G-L ID],Table1[ManagerCode],-99)</f>
        <v>119</v>
      </c>
      <c r="T8432"/>
    </row>
    <row r="8433" spans="1:20" x14ac:dyDescent="0.25">
      <c r="A8433">
        <v>20190228</v>
      </c>
      <c r="B8433">
        <v>2019</v>
      </c>
      <c r="C8433">
        <v>2</v>
      </c>
      <c r="D8433">
        <v>1</v>
      </c>
      <c r="E8433">
        <v>13720</v>
      </c>
      <c r="F8433">
        <v>0</v>
      </c>
      <c r="G8433">
        <v>0</v>
      </c>
      <c r="H8433">
        <v>0</v>
      </c>
      <c r="I8433">
        <v>0</v>
      </c>
      <c r="J8433">
        <v>0</v>
      </c>
      <c r="K8433">
        <v>0</v>
      </c>
      <c r="L8433">
        <v>16242512.48</v>
      </c>
      <c r="M8433">
        <v>16242512.48</v>
      </c>
      <c r="N8433">
        <v>16242512.48</v>
      </c>
      <c r="O8433">
        <v>16242512.48</v>
      </c>
      <c r="P8433">
        <v>16242512.48</v>
      </c>
      <c r="Q8433">
        <v>16242512.48</v>
      </c>
      <c r="R8433" s="14">
        <f>_xlfn.XLOOKUP(Table2[[#This Row],[LoanID]],Table1[G-L ID],Table1[ManagerCode],-99)</f>
        <v>119</v>
      </c>
      <c r="T8433"/>
    </row>
    <row r="8434" spans="1:20" x14ac:dyDescent="0.25">
      <c r="A8434">
        <v>20190228</v>
      </c>
      <c r="B8434">
        <v>2019</v>
      </c>
      <c r="C8434">
        <v>2</v>
      </c>
      <c r="D8434">
        <v>1</v>
      </c>
      <c r="E8434">
        <v>13730</v>
      </c>
      <c r="F8434">
        <v>0</v>
      </c>
      <c r="G8434">
        <v>0</v>
      </c>
      <c r="H8434">
        <v>1061721.4099999999</v>
      </c>
      <c r="I8434">
        <v>0</v>
      </c>
      <c r="J8434">
        <v>-81903890.239999995</v>
      </c>
      <c r="K8434">
        <v>0</v>
      </c>
      <c r="L8434">
        <v>0</v>
      </c>
      <c r="M8434">
        <v>81903890.239999995</v>
      </c>
      <c r="N8434">
        <v>0</v>
      </c>
      <c r="O8434">
        <v>81903890.239999995</v>
      </c>
      <c r="P8434">
        <v>0</v>
      </c>
      <c r="Q8434">
        <v>81903890.239999995</v>
      </c>
      <c r="R8434" s="14">
        <f>_xlfn.XLOOKUP(Table2[[#This Row],[LoanID]],Table1[G-L ID],Table1[ManagerCode],-99)</f>
        <v>119</v>
      </c>
      <c r="T8434"/>
    </row>
    <row r="8435" spans="1:20" x14ac:dyDescent="0.25">
      <c r="A8435">
        <v>20190228</v>
      </c>
      <c r="B8435">
        <v>2019</v>
      </c>
      <c r="C8435">
        <v>2</v>
      </c>
      <c r="D8435">
        <v>1</v>
      </c>
      <c r="E8435">
        <v>13800</v>
      </c>
      <c r="F8435">
        <v>249685.8</v>
      </c>
      <c r="G8435">
        <v>0</v>
      </c>
      <c r="H8435">
        <v>605250</v>
      </c>
      <c r="I8435">
        <v>0</v>
      </c>
      <c r="J8435">
        <v>-80700000</v>
      </c>
      <c r="K8435">
        <v>35830000</v>
      </c>
      <c r="L8435">
        <v>0</v>
      </c>
      <c r="M8435">
        <v>80700000</v>
      </c>
      <c r="N8435">
        <v>0</v>
      </c>
      <c r="O8435">
        <v>44870000</v>
      </c>
      <c r="P8435">
        <v>0</v>
      </c>
      <c r="Q8435">
        <v>80700000</v>
      </c>
      <c r="R8435" s="14">
        <f>_xlfn.XLOOKUP(Table2[[#This Row],[LoanID]],Table1[G-L ID],Table1[ManagerCode],-99)</f>
        <v>183</v>
      </c>
      <c r="T8435"/>
    </row>
    <row r="8436" spans="1:20" x14ac:dyDescent="0.25">
      <c r="A8436">
        <v>20190228</v>
      </c>
      <c r="B8436">
        <v>2019</v>
      </c>
      <c r="C8436">
        <v>2</v>
      </c>
      <c r="D8436">
        <v>1</v>
      </c>
      <c r="E8436">
        <v>14000</v>
      </c>
      <c r="F8436">
        <v>166695.64000000001</v>
      </c>
      <c r="G8436">
        <v>0</v>
      </c>
      <c r="H8436">
        <v>0</v>
      </c>
      <c r="I8436">
        <v>0</v>
      </c>
      <c r="J8436">
        <v>0</v>
      </c>
      <c r="K8436">
        <v>0</v>
      </c>
      <c r="L8436">
        <v>98000000</v>
      </c>
      <c r="M8436">
        <v>98000000</v>
      </c>
      <c r="N8436">
        <v>39200000</v>
      </c>
      <c r="O8436">
        <v>39200000</v>
      </c>
      <c r="P8436">
        <v>98000000</v>
      </c>
      <c r="Q8436">
        <v>98000000</v>
      </c>
      <c r="R8436" s="14">
        <f>_xlfn.XLOOKUP(Table2[[#This Row],[LoanID]],Table1[G-L ID],Table1[ManagerCode],-99)</f>
        <v>183</v>
      </c>
      <c r="T8436"/>
    </row>
    <row r="8437" spans="1:20" x14ac:dyDescent="0.25">
      <c r="A8437">
        <v>20190228</v>
      </c>
      <c r="B8437">
        <v>2019</v>
      </c>
      <c r="C8437">
        <v>2</v>
      </c>
      <c r="D8437">
        <v>1</v>
      </c>
      <c r="E8437">
        <v>14010</v>
      </c>
      <c r="F8437">
        <v>81313.41</v>
      </c>
      <c r="G8437">
        <v>0</v>
      </c>
      <c r="H8437">
        <v>0</v>
      </c>
      <c r="I8437">
        <v>0</v>
      </c>
      <c r="J8437">
        <v>0</v>
      </c>
      <c r="K8437">
        <v>0</v>
      </c>
      <c r="L8437">
        <v>9920000</v>
      </c>
      <c r="M8437">
        <v>9920000</v>
      </c>
      <c r="N8437">
        <v>9920000</v>
      </c>
      <c r="O8437">
        <v>9920000</v>
      </c>
      <c r="P8437">
        <v>9920000</v>
      </c>
      <c r="Q8437">
        <v>9920000</v>
      </c>
      <c r="R8437" s="14">
        <f>_xlfn.XLOOKUP(Table2[[#This Row],[LoanID]],Table1[G-L ID],Table1[ManagerCode],-99)</f>
        <v>119</v>
      </c>
      <c r="T8437"/>
    </row>
    <row r="8438" spans="1:20" x14ac:dyDescent="0.25">
      <c r="A8438">
        <v>20190228</v>
      </c>
      <c r="B8438">
        <v>2019</v>
      </c>
      <c r="C8438">
        <v>2</v>
      </c>
      <c r="D8438">
        <v>1</v>
      </c>
      <c r="E8438">
        <v>14020</v>
      </c>
      <c r="F8438">
        <v>278532.67</v>
      </c>
      <c r="G8438">
        <v>0</v>
      </c>
      <c r="H8438">
        <v>0</v>
      </c>
      <c r="I8438">
        <v>0</v>
      </c>
      <c r="J8438">
        <v>0</v>
      </c>
      <c r="K8438">
        <v>9716574.7200000007</v>
      </c>
      <c r="L8438">
        <v>39680189.030000001</v>
      </c>
      <c r="M8438">
        <v>29963614.309999999</v>
      </c>
      <c r="N8438">
        <v>39680189.030000001</v>
      </c>
      <c r="O8438">
        <v>29963614.309999999</v>
      </c>
      <c r="P8438">
        <v>39680189.030000001</v>
      </c>
      <c r="Q8438">
        <v>29963614.309999999</v>
      </c>
      <c r="R8438" s="14">
        <f>_xlfn.XLOOKUP(Table2[[#This Row],[LoanID]],Table1[G-L ID],Table1[ManagerCode],-99)</f>
        <v>119</v>
      </c>
      <c r="T8438"/>
    </row>
    <row r="8439" spans="1:20" x14ac:dyDescent="0.25">
      <c r="A8439">
        <v>20190228</v>
      </c>
      <c r="B8439">
        <v>2019</v>
      </c>
      <c r="C8439">
        <v>2</v>
      </c>
      <c r="D8439">
        <v>1</v>
      </c>
      <c r="E8439">
        <v>14670</v>
      </c>
      <c r="F8439">
        <v>85966.09</v>
      </c>
      <c r="G8439">
        <v>0</v>
      </c>
      <c r="H8439">
        <v>0</v>
      </c>
      <c r="I8439">
        <v>0</v>
      </c>
      <c r="J8439">
        <v>0</v>
      </c>
      <c r="K8439">
        <v>38016.74</v>
      </c>
      <c r="L8439">
        <v>29832020</v>
      </c>
      <c r="M8439">
        <v>29832020</v>
      </c>
      <c r="N8439">
        <v>8783770</v>
      </c>
      <c r="O8439">
        <v>8783770</v>
      </c>
      <c r="P8439">
        <v>29592313.460000001</v>
      </c>
      <c r="Q8439">
        <v>29554296.719999999</v>
      </c>
      <c r="R8439" s="14">
        <f>_xlfn.XLOOKUP(Table2[[#This Row],[LoanID]],Table1[G-L ID],Table1[ManagerCode],-99)</f>
        <v>220</v>
      </c>
      <c r="T8439"/>
    </row>
    <row r="8440" spans="1:20" x14ac:dyDescent="0.25">
      <c r="A8440">
        <v>20190228</v>
      </c>
      <c r="B8440">
        <v>2019</v>
      </c>
      <c r="C8440">
        <v>2</v>
      </c>
      <c r="D8440">
        <v>1</v>
      </c>
      <c r="E8440">
        <v>14680</v>
      </c>
      <c r="F8440">
        <v>58179.07</v>
      </c>
      <c r="G8440">
        <v>0</v>
      </c>
      <c r="H8440">
        <v>0</v>
      </c>
      <c r="I8440">
        <v>0</v>
      </c>
      <c r="J8440">
        <v>0</v>
      </c>
      <c r="K8440">
        <v>781758.95</v>
      </c>
      <c r="L8440">
        <v>27816131</v>
      </c>
      <c r="M8440">
        <v>27816131</v>
      </c>
      <c r="N8440">
        <v>7566131</v>
      </c>
      <c r="O8440">
        <v>6784372.0499999998</v>
      </c>
      <c r="P8440">
        <v>28042345.27</v>
      </c>
      <c r="Q8440">
        <v>28042345.27</v>
      </c>
      <c r="R8440" s="14">
        <f>_xlfn.XLOOKUP(Table2[[#This Row],[LoanID]],Table1[G-L ID],Table1[ManagerCode],-99)</f>
        <v>220</v>
      </c>
      <c r="T8440"/>
    </row>
    <row r="8441" spans="1:20" x14ac:dyDescent="0.25">
      <c r="A8441">
        <v>20190228</v>
      </c>
      <c r="B8441">
        <v>2019</v>
      </c>
      <c r="C8441">
        <v>2</v>
      </c>
      <c r="D8441">
        <v>1</v>
      </c>
      <c r="E8441">
        <v>14690</v>
      </c>
      <c r="F8441">
        <v>-85190.86</v>
      </c>
      <c r="G8441">
        <v>0</v>
      </c>
      <c r="H8441">
        <v>0</v>
      </c>
      <c r="I8441">
        <v>0</v>
      </c>
      <c r="J8441">
        <v>0</v>
      </c>
      <c r="K8441">
        <v>0</v>
      </c>
      <c r="L8441">
        <v>42335000</v>
      </c>
      <c r="M8441">
        <v>42335000</v>
      </c>
      <c r="N8441">
        <v>14817250</v>
      </c>
      <c r="O8441">
        <v>14817250</v>
      </c>
      <c r="P8441">
        <v>42335000</v>
      </c>
      <c r="Q8441">
        <v>42335000</v>
      </c>
      <c r="R8441" s="14">
        <f>_xlfn.XLOOKUP(Table2[[#This Row],[LoanID]],Table1[G-L ID],Table1[ManagerCode],-99)</f>
        <v>220</v>
      </c>
      <c r="T8441"/>
    </row>
    <row r="8442" spans="1:20" x14ac:dyDescent="0.25">
      <c r="A8442">
        <v>20190228</v>
      </c>
      <c r="B8442">
        <v>2019</v>
      </c>
      <c r="C8442">
        <v>2</v>
      </c>
      <c r="D8442">
        <v>1</v>
      </c>
      <c r="E8442">
        <v>14700</v>
      </c>
      <c r="F8442">
        <v>10073.07</v>
      </c>
      <c r="G8442">
        <v>0</v>
      </c>
      <c r="H8442">
        <v>320237.5</v>
      </c>
      <c r="I8442">
        <v>0</v>
      </c>
      <c r="J8442">
        <v>-35125000</v>
      </c>
      <c r="K8442">
        <v>24587500</v>
      </c>
      <c r="L8442">
        <v>0</v>
      </c>
      <c r="M8442">
        <v>35240840</v>
      </c>
      <c r="N8442">
        <v>0</v>
      </c>
      <c r="O8442">
        <v>10653340</v>
      </c>
      <c r="P8442">
        <v>0</v>
      </c>
      <c r="Q8442">
        <v>35125000</v>
      </c>
      <c r="R8442" s="14">
        <f>_xlfn.XLOOKUP(Table2[[#This Row],[LoanID]],Table1[G-L ID],Table1[ManagerCode],-99)</f>
        <v>220</v>
      </c>
      <c r="T8442"/>
    </row>
    <row r="8443" spans="1:20" x14ac:dyDescent="0.25">
      <c r="A8443">
        <v>20190228</v>
      </c>
      <c r="B8443">
        <v>2019</v>
      </c>
      <c r="C8443">
        <v>2</v>
      </c>
      <c r="D8443">
        <v>1</v>
      </c>
      <c r="E8443">
        <v>14710</v>
      </c>
      <c r="F8443">
        <v>-29185.759999999998</v>
      </c>
      <c r="G8443">
        <v>0</v>
      </c>
      <c r="H8443">
        <v>286025</v>
      </c>
      <c r="I8443">
        <v>0</v>
      </c>
      <c r="J8443">
        <v>-33650000</v>
      </c>
      <c r="K8443">
        <v>21872500</v>
      </c>
      <c r="L8443">
        <v>0</v>
      </c>
      <c r="M8443">
        <v>33650000</v>
      </c>
      <c r="N8443">
        <v>0</v>
      </c>
      <c r="O8443">
        <v>11777500</v>
      </c>
      <c r="P8443">
        <v>0</v>
      </c>
      <c r="Q8443">
        <v>33650000</v>
      </c>
      <c r="R8443" s="14">
        <f>_xlfn.XLOOKUP(Table2[[#This Row],[LoanID]],Table1[G-L ID],Table1[ManagerCode],-99)</f>
        <v>220</v>
      </c>
      <c r="T8443"/>
    </row>
    <row r="8444" spans="1:20" x14ac:dyDescent="0.25">
      <c r="A8444">
        <v>20190228</v>
      </c>
      <c r="B8444">
        <v>2019</v>
      </c>
      <c r="C8444">
        <v>2</v>
      </c>
      <c r="D8444">
        <v>1</v>
      </c>
      <c r="E8444">
        <v>14720</v>
      </c>
      <c r="F8444">
        <v>44447.46</v>
      </c>
      <c r="G8444">
        <v>0</v>
      </c>
      <c r="H8444">
        <v>0</v>
      </c>
      <c r="I8444">
        <v>0</v>
      </c>
      <c r="J8444">
        <v>0</v>
      </c>
      <c r="K8444">
        <v>0</v>
      </c>
      <c r="L8444">
        <v>19673107</v>
      </c>
      <c r="M8444">
        <v>19673107</v>
      </c>
      <c r="N8444">
        <v>5946107</v>
      </c>
      <c r="O8444">
        <v>5946107</v>
      </c>
      <c r="P8444">
        <v>19610000</v>
      </c>
      <c r="Q8444">
        <v>19610000</v>
      </c>
      <c r="R8444" s="14">
        <f>_xlfn.XLOOKUP(Table2[[#This Row],[LoanID]],Table1[G-L ID],Table1[ManagerCode],-99)</f>
        <v>220</v>
      </c>
      <c r="T8444"/>
    </row>
    <row r="8445" spans="1:20" x14ac:dyDescent="0.25">
      <c r="A8445">
        <v>20190228</v>
      </c>
      <c r="B8445">
        <v>2019</v>
      </c>
      <c r="C8445">
        <v>2</v>
      </c>
      <c r="D8445">
        <v>1</v>
      </c>
      <c r="E8445">
        <v>14730</v>
      </c>
      <c r="F8445">
        <v>205577.36</v>
      </c>
      <c r="G8445">
        <v>0</v>
      </c>
      <c r="H8445">
        <v>0</v>
      </c>
      <c r="I8445">
        <v>0</v>
      </c>
      <c r="J8445">
        <v>0</v>
      </c>
      <c r="K8445">
        <v>0</v>
      </c>
      <c r="L8445">
        <v>50412525</v>
      </c>
      <c r="M8445">
        <v>50412525</v>
      </c>
      <c r="N8445">
        <v>50412525</v>
      </c>
      <c r="O8445">
        <v>50412525</v>
      </c>
      <c r="P8445">
        <v>50260000</v>
      </c>
      <c r="Q8445">
        <v>50260000</v>
      </c>
      <c r="R8445" s="14">
        <f>_xlfn.XLOOKUP(Table2[[#This Row],[LoanID]],Table1[G-L ID],Table1[ManagerCode],-99)</f>
        <v>220</v>
      </c>
      <c r="T8445"/>
    </row>
    <row r="8446" spans="1:20" x14ac:dyDescent="0.25">
      <c r="A8446">
        <v>20190228</v>
      </c>
      <c r="B8446">
        <v>2019</v>
      </c>
      <c r="C8446">
        <v>2</v>
      </c>
      <c r="D8446">
        <v>1</v>
      </c>
      <c r="E8446">
        <v>14740</v>
      </c>
      <c r="F8446">
        <v>102140.69</v>
      </c>
      <c r="G8446">
        <v>0</v>
      </c>
      <c r="H8446">
        <v>0</v>
      </c>
      <c r="I8446">
        <v>0</v>
      </c>
      <c r="J8446">
        <v>0</v>
      </c>
      <c r="K8446">
        <v>0</v>
      </c>
      <c r="L8446">
        <v>35128398</v>
      </c>
      <c r="M8446">
        <v>35128398</v>
      </c>
      <c r="N8446">
        <v>14128398</v>
      </c>
      <c r="O8446">
        <v>14128398</v>
      </c>
      <c r="P8446">
        <v>35000000</v>
      </c>
      <c r="Q8446">
        <v>35000000</v>
      </c>
      <c r="R8446" s="14">
        <f>_xlfn.XLOOKUP(Table2[[#This Row],[LoanID]],Table1[G-L ID],Table1[ManagerCode],-99)</f>
        <v>220</v>
      </c>
      <c r="T8446"/>
    </row>
    <row r="8447" spans="1:20" x14ac:dyDescent="0.25">
      <c r="A8447">
        <v>20190228</v>
      </c>
      <c r="B8447">
        <v>2019</v>
      </c>
      <c r="C8447">
        <v>2</v>
      </c>
      <c r="D8447">
        <v>1</v>
      </c>
      <c r="E8447">
        <v>14750</v>
      </c>
      <c r="F8447">
        <v>121548.6</v>
      </c>
      <c r="G8447">
        <v>0</v>
      </c>
      <c r="H8447">
        <v>0</v>
      </c>
      <c r="I8447">
        <v>0</v>
      </c>
      <c r="J8447">
        <v>0</v>
      </c>
      <c r="K8447">
        <v>0</v>
      </c>
      <c r="L8447">
        <v>55000000</v>
      </c>
      <c r="M8447">
        <v>55000000</v>
      </c>
      <c r="N8447">
        <v>19250000</v>
      </c>
      <c r="O8447">
        <v>19250000</v>
      </c>
      <c r="P8447">
        <v>55000000</v>
      </c>
      <c r="Q8447">
        <v>55000000</v>
      </c>
      <c r="R8447" s="14">
        <f>_xlfn.XLOOKUP(Table2[[#This Row],[LoanID]],Table1[G-L ID],Table1[ManagerCode],-99)</f>
        <v>220</v>
      </c>
      <c r="T8447"/>
    </row>
    <row r="8448" spans="1:20" x14ac:dyDescent="0.25">
      <c r="A8448">
        <v>20190228</v>
      </c>
      <c r="B8448">
        <v>2019</v>
      </c>
      <c r="C8448">
        <v>2</v>
      </c>
      <c r="D8448">
        <v>1</v>
      </c>
      <c r="E8448">
        <v>14790</v>
      </c>
      <c r="F8448">
        <v>197691.97</v>
      </c>
      <c r="G8448">
        <v>0</v>
      </c>
      <c r="H8448">
        <v>0</v>
      </c>
      <c r="I8448">
        <v>0</v>
      </c>
      <c r="J8448">
        <v>0</v>
      </c>
      <c r="K8448">
        <v>0</v>
      </c>
      <c r="L8448">
        <v>72887956</v>
      </c>
      <c r="M8448">
        <v>72887956</v>
      </c>
      <c r="N8448">
        <v>23556614</v>
      </c>
      <c r="O8448">
        <v>23556614</v>
      </c>
      <c r="P8448">
        <v>72200000</v>
      </c>
      <c r="Q8448">
        <v>72200000</v>
      </c>
      <c r="R8448" s="14">
        <f>_xlfn.XLOOKUP(Table2[[#This Row],[LoanID]],Table1[G-L ID],Table1[ManagerCode],-99)</f>
        <v>220</v>
      </c>
      <c r="T8448"/>
    </row>
    <row r="8449" spans="1:20" x14ac:dyDescent="0.25">
      <c r="A8449">
        <v>20190228</v>
      </c>
      <c r="B8449">
        <v>2019</v>
      </c>
      <c r="C8449">
        <v>2</v>
      </c>
      <c r="D8449">
        <v>1</v>
      </c>
      <c r="E8449">
        <v>14800</v>
      </c>
      <c r="F8449">
        <v>122009</v>
      </c>
      <c r="G8449">
        <v>0</v>
      </c>
      <c r="H8449">
        <v>0</v>
      </c>
      <c r="I8449">
        <v>0</v>
      </c>
      <c r="J8449">
        <v>0</v>
      </c>
      <c r="K8449">
        <v>0</v>
      </c>
      <c r="L8449">
        <v>51000000</v>
      </c>
      <c r="M8449">
        <v>51000000</v>
      </c>
      <c r="N8449">
        <v>17850000</v>
      </c>
      <c r="O8449">
        <v>17850000</v>
      </c>
      <c r="P8449">
        <v>51000000</v>
      </c>
      <c r="Q8449">
        <v>51000000</v>
      </c>
      <c r="R8449" s="14">
        <f>_xlfn.XLOOKUP(Table2[[#This Row],[LoanID]],Table1[G-L ID],Table1[ManagerCode],-99)</f>
        <v>220</v>
      </c>
      <c r="T8449"/>
    </row>
    <row r="8450" spans="1:20" x14ac:dyDescent="0.25">
      <c r="A8450">
        <v>20190228</v>
      </c>
      <c r="B8450">
        <v>2019</v>
      </c>
      <c r="C8450">
        <v>2</v>
      </c>
      <c r="D8450">
        <v>1</v>
      </c>
      <c r="E8450">
        <v>14810</v>
      </c>
      <c r="F8450">
        <v>106521.74</v>
      </c>
      <c r="G8450">
        <v>0</v>
      </c>
      <c r="H8450">
        <v>0</v>
      </c>
      <c r="I8450">
        <v>0</v>
      </c>
      <c r="J8450">
        <v>0</v>
      </c>
      <c r="K8450">
        <v>0</v>
      </c>
      <c r="L8450">
        <v>25006994</v>
      </c>
      <c r="M8450">
        <v>25006994</v>
      </c>
      <c r="N8450">
        <v>25006994</v>
      </c>
      <c r="O8450">
        <v>25006994</v>
      </c>
      <c r="P8450">
        <v>24930000</v>
      </c>
      <c r="Q8450">
        <v>24930000</v>
      </c>
      <c r="R8450" s="14">
        <f>_xlfn.XLOOKUP(Table2[[#This Row],[LoanID]],Table1[G-L ID],Table1[ManagerCode],-99)</f>
        <v>220</v>
      </c>
      <c r="T8450"/>
    </row>
    <row r="8451" spans="1:20" x14ac:dyDescent="0.25">
      <c r="A8451">
        <v>20190228</v>
      </c>
      <c r="B8451">
        <v>2019</v>
      </c>
      <c r="C8451">
        <v>2</v>
      </c>
      <c r="D8451">
        <v>1</v>
      </c>
      <c r="E8451">
        <v>14820</v>
      </c>
      <c r="F8451">
        <v>121989.5</v>
      </c>
      <c r="G8451">
        <v>0</v>
      </c>
      <c r="H8451">
        <v>0</v>
      </c>
      <c r="I8451">
        <v>0</v>
      </c>
      <c r="J8451">
        <v>0</v>
      </c>
      <c r="K8451">
        <v>0</v>
      </c>
      <c r="L8451">
        <v>22623000</v>
      </c>
      <c r="M8451">
        <v>22623000</v>
      </c>
      <c r="N8451">
        <v>22623000</v>
      </c>
      <c r="O8451">
        <v>22623000</v>
      </c>
      <c r="P8451">
        <v>22623000</v>
      </c>
      <c r="Q8451">
        <v>22623000</v>
      </c>
      <c r="R8451" s="14">
        <f>_xlfn.XLOOKUP(Table2[[#This Row],[LoanID]],Table1[G-L ID],Table1[ManagerCode],-99)</f>
        <v>220</v>
      </c>
      <c r="T8451"/>
    </row>
    <row r="8452" spans="1:20" x14ac:dyDescent="0.25">
      <c r="A8452">
        <v>20190228</v>
      </c>
      <c r="B8452">
        <v>2019</v>
      </c>
      <c r="C8452">
        <v>2</v>
      </c>
      <c r="D8452">
        <v>1</v>
      </c>
      <c r="E8452">
        <v>14830</v>
      </c>
      <c r="F8452">
        <v>98310.34</v>
      </c>
      <c r="G8452">
        <v>0</v>
      </c>
      <c r="H8452">
        <v>0</v>
      </c>
      <c r="I8452">
        <v>0</v>
      </c>
      <c r="J8452">
        <v>0</v>
      </c>
      <c r="K8452">
        <v>1511342.3</v>
      </c>
      <c r="L8452">
        <v>36102541</v>
      </c>
      <c r="M8452">
        <v>36102541</v>
      </c>
      <c r="N8452">
        <v>16148827.6</v>
      </c>
      <c r="O8452">
        <v>14637485.300000001</v>
      </c>
      <c r="P8452">
        <v>35775092.829999998</v>
      </c>
      <c r="Q8452">
        <v>35775092.829999998</v>
      </c>
      <c r="R8452" s="14">
        <f>_xlfn.XLOOKUP(Table2[[#This Row],[LoanID]],Table1[G-L ID],Table1[ManagerCode],-99)</f>
        <v>220</v>
      </c>
      <c r="T8452"/>
    </row>
    <row r="8453" spans="1:20" x14ac:dyDescent="0.25">
      <c r="A8453">
        <v>20190228</v>
      </c>
      <c r="B8453">
        <v>2019</v>
      </c>
      <c r="C8453">
        <v>2</v>
      </c>
      <c r="D8453">
        <v>1</v>
      </c>
      <c r="E8453">
        <v>14840</v>
      </c>
      <c r="F8453">
        <v>83388.679999999993</v>
      </c>
      <c r="G8453">
        <v>0</v>
      </c>
      <c r="H8453">
        <v>0</v>
      </c>
      <c r="I8453">
        <v>0</v>
      </c>
      <c r="J8453">
        <v>0</v>
      </c>
      <c r="K8453">
        <v>706533.04</v>
      </c>
      <c r="L8453">
        <v>32122028</v>
      </c>
      <c r="M8453">
        <v>32122028</v>
      </c>
      <c r="N8453">
        <v>13630028</v>
      </c>
      <c r="O8453">
        <v>12923494.960000001</v>
      </c>
      <c r="P8453">
        <v>31997555.059999999</v>
      </c>
      <c r="Q8453">
        <v>31997555.059999999</v>
      </c>
      <c r="R8453" s="14">
        <f>_xlfn.XLOOKUP(Table2[[#This Row],[LoanID]],Table1[G-L ID],Table1[ManagerCode],-99)</f>
        <v>220</v>
      </c>
      <c r="T8453"/>
    </row>
    <row r="8454" spans="1:20" x14ac:dyDescent="0.25">
      <c r="A8454">
        <v>20190228</v>
      </c>
      <c r="B8454">
        <v>2019</v>
      </c>
      <c r="C8454">
        <v>2</v>
      </c>
      <c r="D8454">
        <v>1</v>
      </c>
      <c r="E8454">
        <v>14850</v>
      </c>
      <c r="F8454">
        <v>211304.85</v>
      </c>
      <c r="G8454">
        <v>0</v>
      </c>
      <c r="H8454">
        <v>0</v>
      </c>
      <c r="I8454">
        <v>0</v>
      </c>
      <c r="J8454">
        <v>0</v>
      </c>
      <c r="K8454">
        <v>3728832.15</v>
      </c>
      <c r="L8454">
        <v>81958345</v>
      </c>
      <c r="M8454">
        <v>81958345</v>
      </c>
      <c r="N8454">
        <v>36687867.399999999</v>
      </c>
      <c r="O8454">
        <v>32959035.25</v>
      </c>
      <c r="P8454">
        <v>82889603.780000001</v>
      </c>
      <c r="Q8454">
        <v>82889603.780000001</v>
      </c>
      <c r="R8454" s="14">
        <f>_xlfn.XLOOKUP(Table2[[#This Row],[LoanID]],Table1[G-L ID],Table1[ManagerCode],-99)</f>
        <v>220</v>
      </c>
      <c r="T8454"/>
    </row>
    <row r="8455" spans="1:20" x14ac:dyDescent="0.25">
      <c r="A8455">
        <v>20190228</v>
      </c>
      <c r="B8455">
        <v>2019</v>
      </c>
      <c r="C8455">
        <v>2</v>
      </c>
      <c r="D8455">
        <v>1</v>
      </c>
      <c r="E8455">
        <v>14860</v>
      </c>
      <c r="F8455">
        <v>181099.17</v>
      </c>
      <c r="G8455">
        <v>0</v>
      </c>
      <c r="H8455">
        <v>0</v>
      </c>
      <c r="I8455">
        <v>0</v>
      </c>
      <c r="J8455">
        <v>0</v>
      </c>
      <c r="K8455">
        <v>0</v>
      </c>
      <c r="L8455">
        <v>65419881</v>
      </c>
      <c r="M8455">
        <v>65419881</v>
      </c>
      <c r="N8455">
        <v>26560881</v>
      </c>
      <c r="O8455">
        <v>26560881</v>
      </c>
      <c r="P8455">
        <v>65000000</v>
      </c>
      <c r="Q8455">
        <v>65000000</v>
      </c>
      <c r="R8455" s="14">
        <f>_xlfn.XLOOKUP(Table2[[#This Row],[LoanID]],Table1[G-L ID],Table1[ManagerCode],-99)</f>
        <v>220</v>
      </c>
      <c r="T8455"/>
    </row>
    <row r="8456" spans="1:20" x14ac:dyDescent="0.25">
      <c r="A8456">
        <v>20190228</v>
      </c>
      <c r="B8456">
        <v>2019</v>
      </c>
      <c r="C8456">
        <v>2</v>
      </c>
      <c r="D8456">
        <v>1</v>
      </c>
      <c r="E8456">
        <v>14870</v>
      </c>
      <c r="F8456">
        <v>245167.19</v>
      </c>
      <c r="G8456">
        <v>0</v>
      </c>
      <c r="H8456">
        <v>0</v>
      </c>
      <c r="I8456">
        <v>0</v>
      </c>
      <c r="J8456">
        <v>0</v>
      </c>
      <c r="K8456">
        <v>0</v>
      </c>
      <c r="L8456">
        <v>47568024</v>
      </c>
      <c r="M8456">
        <v>47568024</v>
      </c>
      <c r="N8456">
        <v>47568024</v>
      </c>
      <c r="O8456">
        <v>47568024</v>
      </c>
      <c r="P8456">
        <v>47357000</v>
      </c>
      <c r="Q8456">
        <v>47357000</v>
      </c>
      <c r="R8456" s="14">
        <f>_xlfn.XLOOKUP(Table2[[#This Row],[LoanID]],Table1[G-L ID],Table1[ManagerCode],-99)</f>
        <v>220</v>
      </c>
      <c r="T8456"/>
    </row>
    <row r="8457" spans="1:20" x14ac:dyDescent="0.25">
      <c r="A8457">
        <v>20190228</v>
      </c>
      <c r="B8457">
        <v>2019</v>
      </c>
      <c r="C8457">
        <v>2</v>
      </c>
      <c r="D8457">
        <v>1</v>
      </c>
      <c r="E8457">
        <v>14880</v>
      </c>
      <c r="F8457">
        <v>135443.23000000001</v>
      </c>
      <c r="G8457">
        <v>0</v>
      </c>
      <c r="H8457">
        <v>0</v>
      </c>
      <c r="I8457">
        <v>0</v>
      </c>
      <c r="J8457">
        <v>0</v>
      </c>
      <c r="K8457">
        <v>0</v>
      </c>
      <c r="L8457">
        <v>18099022</v>
      </c>
      <c r="M8457">
        <v>18099022</v>
      </c>
      <c r="N8457">
        <v>18099022</v>
      </c>
      <c r="O8457">
        <v>18099022</v>
      </c>
      <c r="P8457">
        <v>17951257</v>
      </c>
      <c r="Q8457">
        <v>17951257</v>
      </c>
      <c r="R8457" s="14">
        <f>_xlfn.XLOOKUP(Table2[[#This Row],[LoanID]],Table1[G-L ID],Table1[ManagerCode],-99)</f>
        <v>220</v>
      </c>
      <c r="T8457"/>
    </row>
    <row r="8458" spans="1:20" x14ac:dyDescent="0.25">
      <c r="A8458">
        <v>20190228</v>
      </c>
      <c r="B8458">
        <v>2019</v>
      </c>
      <c r="C8458">
        <v>2</v>
      </c>
      <c r="D8458">
        <v>1</v>
      </c>
      <c r="E8458">
        <v>14890</v>
      </c>
      <c r="F8458">
        <v>71002.47</v>
      </c>
      <c r="G8458">
        <v>0</v>
      </c>
      <c r="H8458">
        <v>0</v>
      </c>
      <c r="I8458">
        <v>0</v>
      </c>
      <c r="J8458">
        <v>0</v>
      </c>
      <c r="K8458">
        <v>0</v>
      </c>
      <c r="L8458">
        <v>34000000</v>
      </c>
      <c r="M8458">
        <v>34000000</v>
      </c>
      <c r="N8458">
        <v>11900000</v>
      </c>
      <c r="O8458">
        <v>11900000</v>
      </c>
      <c r="P8458">
        <v>34000000</v>
      </c>
      <c r="Q8458">
        <v>34000000</v>
      </c>
      <c r="R8458" s="14">
        <f>_xlfn.XLOOKUP(Table2[[#This Row],[LoanID]],Table1[G-L ID],Table1[ManagerCode],-99)</f>
        <v>220</v>
      </c>
      <c r="T8458"/>
    </row>
    <row r="8459" spans="1:20" x14ac:dyDescent="0.25">
      <c r="A8459">
        <v>20190228</v>
      </c>
      <c r="B8459">
        <v>2019</v>
      </c>
      <c r="C8459">
        <v>2</v>
      </c>
      <c r="D8459">
        <v>1</v>
      </c>
      <c r="E8459">
        <v>14900</v>
      </c>
      <c r="F8459">
        <v>110221.51</v>
      </c>
      <c r="G8459">
        <v>0</v>
      </c>
      <c r="H8459">
        <v>0</v>
      </c>
      <c r="I8459">
        <v>0</v>
      </c>
      <c r="J8459">
        <v>0</v>
      </c>
      <c r="K8459">
        <v>0</v>
      </c>
      <c r="L8459">
        <v>64193568</v>
      </c>
      <c r="M8459">
        <v>64193568</v>
      </c>
      <c r="N8459">
        <v>22593568</v>
      </c>
      <c r="O8459">
        <v>22593568</v>
      </c>
      <c r="P8459">
        <v>64000000</v>
      </c>
      <c r="Q8459">
        <v>64000000</v>
      </c>
      <c r="R8459" s="14">
        <f>_xlfn.XLOOKUP(Table2[[#This Row],[LoanID]],Table1[G-L ID],Table1[ManagerCode],-99)</f>
        <v>220</v>
      </c>
      <c r="T8459"/>
    </row>
    <row r="8460" spans="1:20" x14ac:dyDescent="0.25">
      <c r="A8460">
        <v>20190228</v>
      </c>
      <c r="B8460">
        <v>2019</v>
      </c>
      <c r="C8460">
        <v>2</v>
      </c>
      <c r="D8460">
        <v>1</v>
      </c>
      <c r="E8460">
        <v>14910</v>
      </c>
      <c r="F8460">
        <v>-15259.46</v>
      </c>
      <c r="G8460">
        <v>0</v>
      </c>
      <c r="H8460">
        <v>0</v>
      </c>
      <c r="I8460">
        <v>0</v>
      </c>
      <c r="J8460">
        <v>0</v>
      </c>
      <c r="K8460">
        <v>0</v>
      </c>
      <c r="L8460">
        <v>38117796</v>
      </c>
      <c r="M8460">
        <v>38117796</v>
      </c>
      <c r="N8460">
        <v>11517796</v>
      </c>
      <c r="O8460">
        <v>11517796</v>
      </c>
      <c r="P8460">
        <v>38000000</v>
      </c>
      <c r="Q8460">
        <v>38000000</v>
      </c>
      <c r="R8460" s="14">
        <f>_xlfn.XLOOKUP(Table2[[#This Row],[LoanID]],Table1[G-L ID],Table1[ManagerCode],-99)</f>
        <v>220</v>
      </c>
      <c r="T8460"/>
    </row>
    <row r="8461" spans="1:20" x14ac:dyDescent="0.25">
      <c r="A8461">
        <v>20190228</v>
      </c>
      <c r="B8461">
        <v>2019</v>
      </c>
      <c r="C8461">
        <v>2</v>
      </c>
      <c r="D8461">
        <v>1</v>
      </c>
      <c r="E8461">
        <v>14920</v>
      </c>
      <c r="F8461">
        <v>82775</v>
      </c>
      <c r="G8461">
        <v>0</v>
      </c>
      <c r="H8461">
        <v>670692.5</v>
      </c>
      <c r="I8461">
        <v>0</v>
      </c>
      <c r="J8461">
        <v>-70000000</v>
      </c>
      <c r="K8461">
        <v>49000000</v>
      </c>
      <c r="L8461">
        <v>0</v>
      </c>
      <c r="M8461">
        <v>70211536</v>
      </c>
      <c r="N8461">
        <v>0</v>
      </c>
      <c r="O8461">
        <v>21211536</v>
      </c>
      <c r="P8461">
        <v>0</v>
      </c>
      <c r="Q8461">
        <v>70000000</v>
      </c>
      <c r="R8461" s="14">
        <f>_xlfn.XLOOKUP(Table2[[#This Row],[LoanID]],Table1[G-L ID],Table1[ManagerCode],-99)</f>
        <v>220</v>
      </c>
      <c r="T8461"/>
    </row>
    <row r="8462" spans="1:20" x14ac:dyDescent="0.25">
      <c r="A8462">
        <v>20190228</v>
      </c>
      <c r="B8462">
        <v>2019</v>
      </c>
      <c r="C8462">
        <v>2</v>
      </c>
      <c r="D8462">
        <v>1</v>
      </c>
      <c r="E8462">
        <v>14930</v>
      </c>
      <c r="F8462">
        <v>98061.19</v>
      </c>
      <c r="G8462">
        <v>0</v>
      </c>
      <c r="H8462">
        <v>0</v>
      </c>
      <c r="I8462">
        <v>0</v>
      </c>
      <c r="J8462">
        <v>0</v>
      </c>
      <c r="K8462">
        <v>0</v>
      </c>
      <c r="L8462">
        <v>55000000</v>
      </c>
      <c r="M8462">
        <v>55000000</v>
      </c>
      <c r="N8462">
        <v>19250000</v>
      </c>
      <c r="O8462">
        <v>19250000</v>
      </c>
      <c r="P8462">
        <v>55000000</v>
      </c>
      <c r="Q8462">
        <v>55000000</v>
      </c>
      <c r="R8462" s="14">
        <f>_xlfn.XLOOKUP(Table2[[#This Row],[LoanID]],Table1[G-L ID],Table1[ManagerCode],-99)</f>
        <v>220</v>
      </c>
      <c r="T8462"/>
    </row>
    <row r="8463" spans="1:20" x14ac:dyDescent="0.25">
      <c r="A8463">
        <v>20190228</v>
      </c>
      <c r="B8463">
        <v>2019</v>
      </c>
      <c r="C8463">
        <v>2</v>
      </c>
      <c r="D8463">
        <v>1</v>
      </c>
      <c r="E8463">
        <v>14940</v>
      </c>
      <c r="F8463">
        <v>263842.81</v>
      </c>
      <c r="G8463">
        <v>0</v>
      </c>
      <c r="H8463">
        <v>0</v>
      </c>
      <c r="I8463">
        <v>0</v>
      </c>
      <c r="J8463">
        <v>-1389529.45</v>
      </c>
      <c r="K8463">
        <v>36528026.979999997</v>
      </c>
      <c r="L8463">
        <v>64958842</v>
      </c>
      <c r="M8463">
        <v>64958842</v>
      </c>
      <c r="N8463">
        <v>64958842</v>
      </c>
      <c r="O8463">
        <v>28430815.02</v>
      </c>
      <c r="P8463">
        <v>65025065.060000002</v>
      </c>
      <c r="Q8463">
        <v>66414594.509999998</v>
      </c>
      <c r="R8463" s="14">
        <f>_xlfn.XLOOKUP(Table2[[#This Row],[LoanID]],Table1[G-L ID],Table1[ManagerCode],-99)</f>
        <v>220</v>
      </c>
      <c r="T8463"/>
    </row>
    <row r="8464" spans="1:20" x14ac:dyDescent="0.25">
      <c r="A8464">
        <v>20190228</v>
      </c>
      <c r="B8464">
        <v>2019</v>
      </c>
      <c r="C8464">
        <v>2</v>
      </c>
      <c r="D8464">
        <v>1</v>
      </c>
      <c r="E8464">
        <v>14950</v>
      </c>
      <c r="F8464">
        <v>234081.95</v>
      </c>
      <c r="G8464">
        <v>0</v>
      </c>
      <c r="H8464">
        <v>0</v>
      </c>
      <c r="I8464">
        <v>0</v>
      </c>
      <c r="J8464">
        <v>0</v>
      </c>
      <c r="K8464">
        <v>0</v>
      </c>
      <c r="L8464">
        <v>35000000</v>
      </c>
      <c r="M8464">
        <v>35000000</v>
      </c>
      <c r="N8464">
        <v>35000000</v>
      </c>
      <c r="O8464">
        <v>35000000</v>
      </c>
      <c r="P8464">
        <v>35000000</v>
      </c>
      <c r="Q8464">
        <v>35000000</v>
      </c>
      <c r="R8464" s="14">
        <f>_xlfn.XLOOKUP(Table2[[#This Row],[LoanID]],Table1[G-L ID],Table1[ManagerCode],-99)</f>
        <v>220</v>
      </c>
      <c r="T8464"/>
    </row>
    <row r="8465" spans="1:20" x14ac:dyDescent="0.25">
      <c r="A8465">
        <v>20190228</v>
      </c>
      <c r="B8465">
        <v>2019</v>
      </c>
      <c r="C8465">
        <v>2</v>
      </c>
      <c r="D8465">
        <v>1</v>
      </c>
      <c r="E8465">
        <v>14960</v>
      </c>
      <c r="F8465">
        <v>67096.67</v>
      </c>
      <c r="G8465">
        <v>0</v>
      </c>
      <c r="H8465">
        <v>0</v>
      </c>
      <c r="I8465">
        <v>0</v>
      </c>
      <c r="J8465">
        <v>0</v>
      </c>
      <c r="K8465">
        <v>0</v>
      </c>
      <c r="L8465">
        <v>14876952</v>
      </c>
      <c r="M8465">
        <v>14876952</v>
      </c>
      <c r="N8465">
        <v>14876952</v>
      </c>
      <c r="O8465">
        <v>14876952</v>
      </c>
      <c r="P8465">
        <v>14805000</v>
      </c>
      <c r="Q8465">
        <v>14805000</v>
      </c>
      <c r="R8465" s="14">
        <f>_xlfn.XLOOKUP(Table2[[#This Row],[LoanID]],Table1[G-L ID],Table1[ManagerCode],-99)</f>
        <v>220</v>
      </c>
      <c r="T8465"/>
    </row>
    <row r="8466" spans="1:20" x14ac:dyDescent="0.25">
      <c r="A8466">
        <v>20190228</v>
      </c>
      <c r="B8466">
        <v>2019</v>
      </c>
      <c r="C8466">
        <v>2</v>
      </c>
      <c r="D8466">
        <v>1</v>
      </c>
      <c r="E8466">
        <v>14970</v>
      </c>
      <c r="F8466">
        <v>-31763.8</v>
      </c>
      <c r="G8466">
        <v>0</v>
      </c>
      <c r="H8466">
        <v>0</v>
      </c>
      <c r="I8466">
        <v>0</v>
      </c>
      <c r="J8466">
        <v>0</v>
      </c>
      <c r="K8466">
        <v>0</v>
      </c>
      <c r="L8466">
        <v>29791118</v>
      </c>
      <c r="M8466">
        <v>29791118</v>
      </c>
      <c r="N8466">
        <v>10486118</v>
      </c>
      <c r="O8466">
        <v>10486118</v>
      </c>
      <c r="P8466">
        <v>29700000</v>
      </c>
      <c r="Q8466">
        <v>29700000</v>
      </c>
      <c r="R8466" s="14">
        <f>_xlfn.XLOOKUP(Table2[[#This Row],[LoanID]],Table1[G-L ID],Table1[ManagerCode],-99)</f>
        <v>220</v>
      </c>
      <c r="T8466"/>
    </row>
    <row r="8467" spans="1:20" x14ac:dyDescent="0.25">
      <c r="A8467">
        <v>20190228</v>
      </c>
      <c r="B8467">
        <v>2019</v>
      </c>
      <c r="C8467">
        <v>2</v>
      </c>
      <c r="D8467">
        <v>1</v>
      </c>
      <c r="E8467">
        <v>15030</v>
      </c>
      <c r="F8467">
        <v>100900.08</v>
      </c>
      <c r="G8467">
        <v>0</v>
      </c>
      <c r="H8467">
        <v>0</v>
      </c>
      <c r="I8467">
        <v>0</v>
      </c>
      <c r="J8467">
        <v>-174881.12</v>
      </c>
      <c r="K8467">
        <v>925380.63</v>
      </c>
      <c r="L8467">
        <v>38661073</v>
      </c>
      <c r="M8467">
        <v>38661073</v>
      </c>
      <c r="N8467">
        <v>14831736.220000001</v>
      </c>
      <c r="O8467">
        <v>13906355.59</v>
      </c>
      <c r="P8467">
        <v>38729570.32</v>
      </c>
      <c r="Q8467">
        <v>38904451.439999998</v>
      </c>
      <c r="R8467" s="14">
        <f>_xlfn.XLOOKUP(Table2[[#This Row],[LoanID]],Table1[G-L ID],Table1[ManagerCode],-99)</f>
        <v>220</v>
      </c>
      <c r="T8467"/>
    </row>
    <row r="8468" spans="1:20" x14ac:dyDescent="0.25">
      <c r="A8468">
        <v>20190228</v>
      </c>
      <c r="B8468">
        <v>2019</v>
      </c>
      <c r="C8468">
        <v>2</v>
      </c>
      <c r="D8468">
        <v>1</v>
      </c>
      <c r="E8468">
        <v>15540</v>
      </c>
      <c r="F8468">
        <v>306130.2</v>
      </c>
      <c r="G8468">
        <v>-55198.8</v>
      </c>
      <c r="H8468">
        <v>206562.5</v>
      </c>
      <c r="I8468">
        <v>-2386.86</v>
      </c>
      <c r="J8468">
        <v>-555851.6</v>
      </c>
      <c r="K8468">
        <v>0</v>
      </c>
      <c r="L8468">
        <v>55742735.100000001</v>
      </c>
      <c r="M8468">
        <v>56243387.899999999</v>
      </c>
      <c r="N8468">
        <v>55742735.100000001</v>
      </c>
      <c r="O8468">
        <v>56243387.899999999</v>
      </c>
      <c r="P8468">
        <v>55742735.100000001</v>
      </c>
      <c r="Q8468">
        <v>56243387.899999999</v>
      </c>
      <c r="R8468" s="14">
        <f>_xlfn.XLOOKUP(Table2[[#This Row],[LoanID]],Table1[G-L ID],Table1[ManagerCode],-99)</f>
        <v>212</v>
      </c>
      <c r="T8468"/>
    </row>
    <row r="8469" spans="1:20" x14ac:dyDescent="0.25">
      <c r="A8469">
        <v>20190228</v>
      </c>
      <c r="B8469">
        <v>2019</v>
      </c>
      <c r="C8469">
        <v>2</v>
      </c>
      <c r="D8469">
        <v>1</v>
      </c>
      <c r="E8469">
        <v>15560</v>
      </c>
      <c r="F8469">
        <v>134341.67000000001</v>
      </c>
      <c r="G8469">
        <v>133952.78</v>
      </c>
      <c r="H8469">
        <v>500000</v>
      </c>
      <c r="I8469">
        <v>0</v>
      </c>
      <c r="J8469">
        <v>-50000000</v>
      </c>
      <c r="K8469">
        <v>0</v>
      </c>
      <c r="L8469">
        <v>0</v>
      </c>
      <c r="M8469">
        <v>50133952.780000001</v>
      </c>
      <c r="N8469">
        <v>0</v>
      </c>
      <c r="O8469">
        <v>50133952.780000001</v>
      </c>
      <c r="P8469">
        <v>0</v>
      </c>
      <c r="Q8469">
        <v>50133952.780000001</v>
      </c>
      <c r="R8469" s="14">
        <f>_xlfn.XLOOKUP(Table2[[#This Row],[LoanID]],Table1[G-L ID],Table1[ManagerCode],-99)</f>
        <v>212</v>
      </c>
      <c r="T8469"/>
    </row>
    <row r="8470" spans="1:20" x14ac:dyDescent="0.25">
      <c r="A8470">
        <v>20190228</v>
      </c>
      <c r="B8470">
        <v>2019</v>
      </c>
      <c r="C8470">
        <v>2</v>
      </c>
      <c r="D8470">
        <v>1</v>
      </c>
      <c r="E8470">
        <v>15580</v>
      </c>
      <c r="F8470">
        <v>115354.6</v>
      </c>
      <c r="G8470">
        <v>-11221.24</v>
      </c>
      <c r="H8470">
        <v>0</v>
      </c>
      <c r="I8470">
        <v>0</v>
      </c>
      <c r="J8470">
        <v>0</v>
      </c>
      <c r="K8470">
        <v>8046.71</v>
      </c>
      <c r="L8470">
        <v>14597536.6</v>
      </c>
      <c r="M8470">
        <v>14578268.65</v>
      </c>
      <c r="N8470">
        <v>14597536.6</v>
      </c>
      <c r="O8470">
        <v>14578268.65</v>
      </c>
      <c r="P8470">
        <v>14597536.6</v>
      </c>
      <c r="Q8470">
        <v>14578268.65</v>
      </c>
      <c r="R8470" s="14">
        <f>_xlfn.XLOOKUP(Table2[[#This Row],[LoanID]],Table1[G-L ID],Table1[ManagerCode],-99)</f>
        <v>212</v>
      </c>
      <c r="T8470"/>
    </row>
    <row r="8471" spans="1:20" x14ac:dyDescent="0.25">
      <c r="A8471">
        <v>20190228</v>
      </c>
      <c r="B8471">
        <v>2019</v>
      </c>
      <c r="C8471">
        <v>2</v>
      </c>
      <c r="D8471">
        <v>1</v>
      </c>
      <c r="E8471">
        <v>15610</v>
      </c>
      <c r="F8471">
        <v>927995.01</v>
      </c>
      <c r="G8471">
        <v>-74407.259999999995</v>
      </c>
      <c r="H8471">
        <v>0</v>
      </c>
      <c r="I8471">
        <v>-8816.2199999999993</v>
      </c>
      <c r="J8471">
        <v>-4383047.2699999996</v>
      </c>
      <c r="K8471">
        <v>0</v>
      </c>
      <c r="L8471">
        <v>206596257.59999999</v>
      </c>
      <c r="M8471">
        <v>210904897.59999999</v>
      </c>
      <c r="N8471">
        <v>206596257.59999999</v>
      </c>
      <c r="O8471">
        <v>210904897.59999999</v>
      </c>
      <c r="P8471">
        <v>206596257.59999999</v>
      </c>
      <c r="Q8471">
        <v>210904897.59999999</v>
      </c>
      <c r="R8471" s="14">
        <f>_xlfn.XLOOKUP(Table2[[#This Row],[LoanID]],Table1[G-L ID],Table1[ManagerCode],-99)</f>
        <v>212</v>
      </c>
      <c r="T8471"/>
    </row>
    <row r="8472" spans="1:20" x14ac:dyDescent="0.25">
      <c r="A8472">
        <v>20190228</v>
      </c>
      <c r="B8472">
        <v>2019</v>
      </c>
      <c r="C8472">
        <v>2</v>
      </c>
      <c r="D8472">
        <v>1</v>
      </c>
      <c r="E8472">
        <v>15620</v>
      </c>
      <c r="F8472">
        <v>361981.36</v>
      </c>
      <c r="G8472">
        <v>-34969.49</v>
      </c>
      <c r="H8472">
        <v>0</v>
      </c>
      <c r="I8472">
        <v>-3374.8</v>
      </c>
      <c r="J8472">
        <v>0</v>
      </c>
      <c r="K8472">
        <v>0</v>
      </c>
      <c r="L8472">
        <v>78744500.370000005</v>
      </c>
      <c r="M8472">
        <v>78709530.879999995</v>
      </c>
      <c r="N8472">
        <v>78744500.370000005</v>
      </c>
      <c r="O8472">
        <v>78709530.879999995</v>
      </c>
      <c r="P8472">
        <v>78744500.370000005</v>
      </c>
      <c r="Q8472">
        <v>78709530.879999995</v>
      </c>
      <c r="R8472" s="14">
        <f>_xlfn.XLOOKUP(Table2[[#This Row],[LoanID]],Table1[G-L ID],Table1[ManagerCode],-99)</f>
        <v>212</v>
      </c>
      <c r="T8472"/>
    </row>
    <row r="8473" spans="1:20" x14ac:dyDescent="0.25">
      <c r="A8473">
        <v>20190331</v>
      </c>
      <c r="B8473">
        <v>2019</v>
      </c>
      <c r="C8473">
        <v>3</v>
      </c>
      <c r="D8473">
        <v>1</v>
      </c>
      <c r="E8473">
        <v>10010</v>
      </c>
      <c r="F8473">
        <v>189246.42</v>
      </c>
      <c r="G8473">
        <v>0</v>
      </c>
      <c r="H8473">
        <v>0</v>
      </c>
      <c r="I8473">
        <v>0</v>
      </c>
      <c r="J8473">
        <v>0</v>
      </c>
      <c r="K8473">
        <v>36979.839999999997</v>
      </c>
      <c r="L8473">
        <v>18298775.120000001</v>
      </c>
      <c r="M8473">
        <v>18261795.280000001</v>
      </c>
      <c r="N8473">
        <v>18298775.120000001</v>
      </c>
      <c r="O8473">
        <v>18261795.280000001</v>
      </c>
      <c r="P8473">
        <v>18298775.120000001</v>
      </c>
      <c r="Q8473">
        <v>18261795.280000001</v>
      </c>
      <c r="R8473" s="14">
        <f>_xlfn.XLOOKUP(Table2[[#This Row],[LoanID]],Table1[G-L ID],Table1[ManagerCode],-99)</f>
        <v>119</v>
      </c>
      <c r="T8473"/>
    </row>
    <row r="8474" spans="1:20" x14ac:dyDescent="0.25">
      <c r="A8474">
        <v>20190331</v>
      </c>
      <c r="B8474">
        <v>2019</v>
      </c>
      <c r="C8474">
        <v>3</v>
      </c>
      <c r="D8474">
        <v>1</v>
      </c>
      <c r="E8474">
        <v>10050</v>
      </c>
      <c r="F8474">
        <v>139079.63</v>
      </c>
      <c r="G8474">
        <v>0</v>
      </c>
      <c r="H8474">
        <v>0</v>
      </c>
      <c r="I8474">
        <v>-69.45</v>
      </c>
      <c r="J8474">
        <v>0</v>
      </c>
      <c r="K8474">
        <v>0</v>
      </c>
      <c r="L8474">
        <v>36043120</v>
      </c>
      <c r="M8474">
        <v>36502679</v>
      </c>
      <c r="N8474">
        <v>36043120</v>
      </c>
      <c r="O8474">
        <v>36502679</v>
      </c>
      <c r="P8474">
        <v>33333334</v>
      </c>
      <c r="Q8474">
        <v>33333334</v>
      </c>
      <c r="R8474" s="14">
        <f>_xlfn.XLOOKUP(Table2[[#This Row],[LoanID]],Table1[G-L ID],Table1[ManagerCode],-99)</f>
        <v>103</v>
      </c>
      <c r="T8474"/>
    </row>
    <row r="8475" spans="1:20" x14ac:dyDescent="0.25">
      <c r="A8475">
        <v>20190331</v>
      </c>
      <c r="B8475">
        <v>2019</v>
      </c>
      <c r="C8475">
        <v>3</v>
      </c>
      <c r="D8475">
        <v>1</v>
      </c>
      <c r="E8475">
        <v>10220</v>
      </c>
      <c r="F8475">
        <v>505555.56</v>
      </c>
      <c r="G8475">
        <v>0</v>
      </c>
      <c r="H8475">
        <v>0</v>
      </c>
      <c r="I8475">
        <v>0</v>
      </c>
      <c r="J8475">
        <v>0</v>
      </c>
      <c r="K8475">
        <v>0</v>
      </c>
      <c r="L8475">
        <v>108429222</v>
      </c>
      <c r="M8475">
        <v>109034467</v>
      </c>
      <c r="N8475">
        <v>108429222</v>
      </c>
      <c r="O8475">
        <v>109034467</v>
      </c>
      <c r="P8475">
        <v>100000000</v>
      </c>
      <c r="Q8475">
        <v>100000000</v>
      </c>
      <c r="R8475" s="14">
        <f>_xlfn.XLOOKUP(Table2[[#This Row],[LoanID]],Table1[G-L ID],Table1[ManagerCode],-99)</f>
        <v>103</v>
      </c>
      <c r="T8475"/>
    </row>
    <row r="8476" spans="1:20" x14ac:dyDescent="0.25">
      <c r="A8476">
        <v>20190331</v>
      </c>
      <c r="B8476">
        <v>2019</v>
      </c>
      <c r="C8476">
        <v>3</v>
      </c>
      <c r="D8476">
        <v>1</v>
      </c>
      <c r="E8476">
        <v>10250</v>
      </c>
      <c r="F8476">
        <v>55490.559999999998</v>
      </c>
      <c r="G8476">
        <v>0</v>
      </c>
      <c r="H8476">
        <v>0</v>
      </c>
      <c r="I8476">
        <v>0</v>
      </c>
      <c r="J8476">
        <v>0</v>
      </c>
      <c r="K8476">
        <v>0</v>
      </c>
      <c r="L8476">
        <v>5000000</v>
      </c>
      <c r="M8476">
        <v>5000000</v>
      </c>
      <c r="N8476">
        <v>5000000</v>
      </c>
      <c r="O8476">
        <v>5000000</v>
      </c>
      <c r="P8476">
        <v>5000000</v>
      </c>
      <c r="Q8476">
        <v>5000000</v>
      </c>
      <c r="R8476" s="14">
        <f>_xlfn.XLOOKUP(Table2[[#This Row],[LoanID]],Table1[G-L ID],Table1[ManagerCode],-99)</f>
        <v>119</v>
      </c>
      <c r="T8476"/>
    </row>
    <row r="8477" spans="1:20" x14ac:dyDescent="0.25">
      <c r="A8477">
        <v>20190331</v>
      </c>
      <c r="B8477">
        <v>2019</v>
      </c>
      <c r="C8477">
        <v>3</v>
      </c>
      <c r="D8477">
        <v>1</v>
      </c>
      <c r="E8477">
        <v>10270</v>
      </c>
      <c r="F8477">
        <v>47566.75</v>
      </c>
      <c r="G8477">
        <v>0</v>
      </c>
      <c r="H8477">
        <v>0</v>
      </c>
      <c r="I8477">
        <v>0</v>
      </c>
      <c r="J8477">
        <v>0</v>
      </c>
      <c r="K8477">
        <v>0</v>
      </c>
      <c r="L8477">
        <v>4500000</v>
      </c>
      <c r="M8477">
        <v>4500000</v>
      </c>
      <c r="N8477">
        <v>4500000</v>
      </c>
      <c r="O8477">
        <v>4500000</v>
      </c>
      <c r="P8477">
        <v>4500000</v>
      </c>
      <c r="Q8477">
        <v>4500000</v>
      </c>
      <c r="R8477" s="14">
        <f>_xlfn.XLOOKUP(Table2[[#This Row],[LoanID]],Table1[G-L ID],Table1[ManagerCode],-99)</f>
        <v>119</v>
      </c>
      <c r="T8477"/>
    </row>
    <row r="8478" spans="1:20" x14ac:dyDescent="0.25">
      <c r="A8478">
        <v>20190331</v>
      </c>
      <c r="B8478">
        <v>2019</v>
      </c>
      <c r="C8478">
        <v>3</v>
      </c>
      <c r="D8478">
        <v>1</v>
      </c>
      <c r="E8478">
        <v>10330</v>
      </c>
      <c r="F8478">
        <v>154785.37</v>
      </c>
      <c r="G8478">
        <v>0</v>
      </c>
      <c r="H8478">
        <v>0</v>
      </c>
      <c r="I8478">
        <v>0</v>
      </c>
      <c r="J8478">
        <v>0</v>
      </c>
      <c r="K8478">
        <v>8652759.6999999993</v>
      </c>
      <c r="L8478">
        <v>8652759.6999999993</v>
      </c>
      <c r="M8478">
        <v>0</v>
      </c>
      <c r="N8478">
        <v>8652759.6999999993</v>
      </c>
      <c r="O8478">
        <v>0</v>
      </c>
      <c r="P8478">
        <v>8652759.6999999993</v>
      </c>
      <c r="Q8478">
        <v>0</v>
      </c>
      <c r="R8478" s="14">
        <f>_xlfn.XLOOKUP(Table2[[#This Row],[LoanID]],Table1[G-L ID],Table1[ManagerCode],-99)</f>
        <v>119</v>
      </c>
      <c r="T8478"/>
    </row>
    <row r="8479" spans="1:20" x14ac:dyDescent="0.25">
      <c r="A8479">
        <v>20190331</v>
      </c>
      <c r="B8479">
        <v>2019</v>
      </c>
      <c r="C8479">
        <v>3</v>
      </c>
      <c r="D8479">
        <v>1</v>
      </c>
      <c r="E8479">
        <v>10360</v>
      </c>
      <c r="F8479">
        <v>57858.96</v>
      </c>
      <c r="G8479">
        <v>0</v>
      </c>
      <c r="H8479">
        <v>0</v>
      </c>
      <c r="I8479">
        <v>0</v>
      </c>
      <c r="J8479">
        <v>0</v>
      </c>
      <c r="K8479">
        <v>0</v>
      </c>
      <c r="L8479">
        <v>5909000</v>
      </c>
      <c r="M8479">
        <v>5909000</v>
      </c>
      <c r="N8479">
        <v>5909000</v>
      </c>
      <c r="O8479">
        <v>5909000</v>
      </c>
      <c r="P8479">
        <v>5909000</v>
      </c>
      <c r="Q8479">
        <v>5909000</v>
      </c>
      <c r="R8479" s="14">
        <f>_xlfn.XLOOKUP(Table2[[#This Row],[LoanID]],Table1[G-L ID],Table1[ManagerCode],-99)</f>
        <v>183</v>
      </c>
      <c r="T8479"/>
    </row>
    <row r="8480" spans="1:20" x14ac:dyDescent="0.25">
      <c r="A8480">
        <v>20190331</v>
      </c>
      <c r="B8480">
        <v>2019</v>
      </c>
      <c r="C8480">
        <v>3</v>
      </c>
      <c r="D8480">
        <v>1</v>
      </c>
      <c r="E8480">
        <v>10730</v>
      </c>
      <c r="F8480">
        <v>104852.03</v>
      </c>
      <c r="G8480">
        <v>0</v>
      </c>
      <c r="H8480">
        <v>0</v>
      </c>
      <c r="I8480">
        <v>0</v>
      </c>
      <c r="J8480">
        <v>0</v>
      </c>
      <c r="K8480">
        <v>0</v>
      </c>
      <c r="L8480">
        <v>9500000</v>
      </c>
      <c r="M8480">
        <v>9500000</v>
      </c>
      <c r="N8480">
        <v>9500000</v>
      </c>
      <c r="O8480">
        <v>9500000</v>
      </c>
      <c r="P8480">
        <v>9500000</v>
      </c>
      <c r="Q8480">
        <v>9500000</v>
      </c>
      <c r="R8480" s="14">
        <f>_xlfn.XLOOKUP(Table2[[#This Row],[LoanID]],Table1[G-L ID],Table1[ManagerCode],-99)</f>
        <v>119</v>
      </c>
      <c r="T8480"/>
    </row>
    <row r="8481" spans="1:20" x14ac:dyDescent="0.25">
      <c r="A8481">
        <v>20190331</v>
      </c>
      <c r="B8481">
        <v>2019</v>
      </c>
      <c r="C8481">
        <v>3</v>
      </c>
      <c r="D8481">
        <v>1</v>
      </c>
      <c r="E8481">
        <v>10790</v>
      </c>
      <c r="F8481">
        <v>20306.68</v>
      </c>
      <c r="G8481">
        <v>0</v>
      </c>
      <c r="H8481">
        <v>0</v>
      </c>
      <c r="I8481">
        <v>0</v>
      </c>
      <c r="J8481">
        <v>0</v>
      </c>
      <c r="K8481">
        <v>49161.57</v>
      </c>
      <c r="L8481">
        <v>4408641</v>
      </c>
      <c r="M8481">
        <v>4359260</v>
      </c>
      <c r="N8481">
        <v>4408641</v>
      </c>
      <c r="O8481">
        <v>4359260</v>
      </c>
      <c r="P8481">
        <v>4335946.0199999996</v>
      </c>
      <c r="Q8481">
        <v>4286784.45</v>
      </c>
      <c r="R8481" s="14">
        <f>_xlfn.XLOOKUP(Table2[[#This Row],[LoanID]],Table1[G-L ID],Table1[ManagerCode],-99)</f>
        <v>103</v>
      </c>
      <c r="T8481"/>
    </row>
    <row r="8482" spans="1:20" x14ac:dyDescent="0.25">
      <c r="A8482">
        <v>20190331</v>
      </c>
      <c r="B8482">
        <v>2019</v>
      </c>
      <c r="C8482">
        <v>3</v>
      </c>
      <c r="D8482">
        <v>1</v>
      </c>
      <c r="E8482">
        <v>10810</v>
      </c>
      <c r="F8482">
        <v>88144.3</v>
      </c>
      <c r="G8482">
        <v>0</v>
      </c>
      <c r="H8482">
        <v>0</v>
      </c>
      <c r="I8482">
        <v>0</v>
      </c>
      <c r="J8482">
        <v>-2651056.15</v>
      </c>
      <c r="K8482">
        <v>0</v>
      </c>
      <c r="L8482">
        <v>7662235.9699999997</v>
      </c>
      <c r="M8482">
        <v>10313292.119999999</v>
      </c>
      <c r="N8482">
        <v>7662235.9699999997</v>
      </c>
      <c r="O8482">
        <v>10313292.119999999</v>
      </c>
      <c r="P8482">
        <v>7662235.9699999997</v>
      </c>
      <c r="Q8482">
        <v>10313292.119999999</v>
      </c>
      <c r="R8482" s="14">
        <f>_xlfn.XLOOKUP(Table2[[#This Row],[LoanID]],Table1[G-L ID],Table1[ManagerCode],-99)</f>
        <v>119</v>
      </c>
      <c r="T8482"/>
    </row>
    <row r="8483" spans="1:20" x14ac:dyDescent="0.25">
      <c r="A8483">
        <v>20190331</v>
      </c>
      <c r="B8483">
        <v>2019</v>
      </c>
      <c r="C8483">
        <v>3</v>
      </c>
      <c r="D8483">
        <v>1</v>
      </c>
      <c r="E8483">
        <v>10830</v>
      </c>
      <c r="F8483">
        <v>57677.99</v>
      </c>
      <c r="G8483">
        <v>0</v>
      </c>
      <c r="H8483">
        <v>0</v>
      </c>
      <c r="I8483">
        <v>0</v>
      </c>
      <c r="J8483">
        <v>0</v>
      </c>
      <c r="K8483">
        <v>0</v>
      </c>
      <c r="L8483">
        <v>7806043.1399999997</v>
      </c>
      <c r="M8483">
        <v>7806043.1399999997</v>
      </c>
      <c r="N8483">
        <v>7806043.1399999997</v>
      </c>
      <c r="O8483">
        <v>7806043.1399999997</v>
      </c>
      <c r="P8483">
        <v>7806043.1399999997</v>
      </c>
      <c r="Q8483">
        <v>7806043.1399999997</v>
      </c>
      <c r="R8483" s="14">
        <f>_xlfn.XLOOKUP(Table2[[#This Row],[LoanID]],Table1[G-L ID],Table1[ManagerCode],-99)</f>
        <v>220</v>
      </c>
      <c r="T8483"/>
    </row>
    <row r="8484" spans="1:20" x14ac:dyDescent="0.25">
      <c r="A8484">
        <v>20190331</v>
      </c>
      <c r="B8484">
        <v>2019</v>
      </c>
      <c r="C8484">
        <v>3</v>
      </c>
      <c r="D8484">
        <v>1</v>
      </c>
      <c r="E8484">
        <v>10840</v>
      </c>
      <c r="F8484">
        <v>93906.79</v>
      </c>
      <c r="G8484">
        <v>0</v>
      </c>
      <c r="H8484">
        <v>0</v>
      </c>
      <c r="I8484">
        <v>0</v>
      </c>
      <c r="J8484">
        <v>0</v>
      </c>
      <c r="K8484">
        <v>0</v>
      </c>
      <c r="L8484">
        <v>12709189</v>
      </c>
      <c r="M8484">
        <v>12709189</v>
      </c>
      <c r="N8484">
        <v>12709189</v>
      </c>
      <c r="O8484">
        <v>12709189</v>
      </c>
      <c r="P8484">
        <v>12709189</v>
      </c>
      <c r="Q8484">
        <v>12709189</v>
      </c>
      <c r="R8484" s="14">
        <f>_xlfn.XLOOKUP(Table2[[#This Row],[LoanID]],Table1[G-L ID],Table1[ManagerCode],-99)</f>
        <v>220</v>
      </c>
      <c r="T8484"/>
    </row>
    <row r="8485" spans="1:20" x14ac:dyDescent="0.25">
      <c r="A8485">
        <v>20190331</v>
      </c>
      <c r="B8485">
        <v>2019</v>
      </c>
      <c r="C8485">
        <v>3</v>
      </c>
      <c r="D8485">
        <v>1</v>
      </c>
      <c r="E8485">
        <v>10910</v>
      </c>
      <c r="F8485">
        <v>26596.87</v>
      </c>
      <c r="G8485">
        <v>0</v>
      </c>
      <c r="H8485">
        <v>0</v>
      </c>
      <c r="I8485">
        <v>0</v>
      </c>
      <c r="J8485">
        <v>0</v>
      </c>
      <c r="K8485">
        <v>0</v>
      </c>
      <c r="L8485">
        <v>3075000</v>
      </c>
      <c r="M8485">
        <v>3075000</v>
      </c>
      <c r="N8485">
        <v>3075000</v>
      </c>
      <c r="O8485">
        <v>3075000</v>
      </c>
      <c r="P8485">
        <v>3075000</v>
      </c>
      <c r="Q8485">
        <v>3075000</v>
      </c>
      <c r="R8485" s="14">
        <f>_xlfn.XLOOKUP(Table2[[#This Row],[LoanID]],Table1[G-L ID],Table1[ManagerCode],-99)</f>
        <v>119</v>
      </c>
      <c r="T8485"/>
    </row>
    <row r="8486" spans="1:20" x14ac:dyDescent="0.25">
      <c r="A8486">
        <v>20190331</v>
      </c>
      <c r="B8486">
        <v>2019</v>
      </c>
      <c r="C8486">
        <v>3</v>
      </c>
      <c r="D8486">
        <v>1</v>
      </c>
      <c r="E8486">
        <v>10970</v>
      </c>
      <c r="F8486">
        <v>80297.850000000006</v>
      </c>
      <c r="G8486">
        <v>0</v>
      </c>
      <c r="H8486">
        <v>0</v>
      </c>
      <c r="I8486">
        <v>0</v>
      </c>
      <c r="J8486">
        <v>0</v>
      </c>
      <c r="K8486">
        <v>5590210.8700000001</v>
      </c>
      <c r="L8486">
        <v>5590210.8700000001</v>
      </c>
      <c r="M8486">
        <v>0</v>
      </c>
      <c r="N8486">
        <v>5590210.8700000001</v>
      </c>
      <c r="O8486">
        <v>0</v>
      </c>
      <c r="P8486">
        <v>5590210.8700000001</v>
      </c>
      <c r="Q8486">
        <v>0</v>
      </c>
      <c r="R8486" s="14">
        <f>_xlfn.XLOOKUP(Table2[[#This Row],[LoanID]],Table1[G-L ID],Table1[ManagerCode],-99)</f>
        <v>183</v>
      </c>
      <c r="T8486"/>
    </row>
    <row r="8487" spans="1:20" x14ac:dyDescent="0.25">
      <c r="A8487">
        <v>20190331</v>
      </c>
      <c r="B8487">
        <v>2019</v>
      </c>
      <c r="C8487">
        <v>3</v>
      </c>
      <c r="D8487">
        <v>1</v>
      </c>
      <c r="E8487">
        <v>11060</v>
      </c>
      <c r="F8487">
        <v>202060.83</v>
      </c>
      <c r="G8487">
        <v>0</v>
      </c>
      <c r="H8487">
        <v>0</v>
      </c>
      <c r="I8487">
        <v>0</v>
      </c>
      <c r="J8487">
        <v>0</v>
      </c>
      <c r="K8487">
        <v>0</v>
      </c>
      <c r="L8487">
        <v>22000000</v>
      </c>
      <c r="M8487">
        <v>22000000</v>
      </c>
      <c r="N8487">
        <v>22000000</v>
      </c>
      <c r="O8487">
        <v>22000000</v>
      </c>
      <c r="P8487">
        <v>22000000</v>
      </c>
      <c r="Q8487">
        <v>22000000</v>
      </c>
      <c r="R8487" s="14">
        <f>_xlfn.XLOOKUP(Table2[[#This Row],[LoanID]],Table1[G-L ID],Table1[ManagerCode],-99)</f>
        <v>119</v>
      </c>
      <c r="T8487"/>
    </row>
    <row r="8488" spans="1:20" x14ac:dyDescent="0.25">
      <c r="A8488">
        <v>20190331</v>
      </c>
      <c r="B8488">
        <v>2019</v>
      </c>
      <c r="C8488">
        <v>3</v>
      </c>
      <c r="D8488">
        <v>1</v>
      </c>
      <c r="E8488">
        <v>11080</v>
      </c>
      <c r="F8488">
        <v>390750.81</v>
      </c>
      <c r="G8488">
        <v>0</v>
      </c>
      <c r="H8488">
        <v>0</v>
      </c>
      <c r="I8488">
        <v>0</v>
      </c>
      <c r="J8488">
        <v>0</v>
      </c>
      <c r="K8488">
        <v>61919.27</v>
      </c>
      <c r="L8488">
        <v>38328030.009999998</v>
      </c>
      <c r="M8488">
        <v>38266110.740000002</v>
      </c>
      <c r="N8488">
        <v>38328030.009999998</v>
      </c>
      <c r="O8488">
        <v>38266110.740000002</v>
      </c>
      <c r="P8488">
        <v>38328030.009999998</v>
      </c>
      <c r="Q8488">
        <v>38266110.740000002</v>
      </c>
      <c r="R8488" s="14">
        <f>_xlfn.XLOOKUP(Table2[[#This Row],[LoanID]],Table1[G-L ID],Table1[ManagerCode],-99)</f>
        <v>119</v>
      </c>
      <c r="T8488"/>
    </row>
    <row r="8489" spans="1:20" x14ac:dyDescent="0.25">
      <c r="A8489">
        <v>20190331</v>
      </c>
      <c r="B8489">
        <v>2019</v>
      </c>
      <c r="C8489">
        <v>3</v>
      </c>
      <c r="D8489">
        <v>1</v>
      </c>
      <c r="E8489">
        <v>11150</v>
      </c>
      <c r="F8489">
        <v>116023.42</v>
      </c>
      <c r="G8489">
        <v>0</v>
      </c>
      <c r="H8489">
        <v>0</v>
      </c>
      <c r="I8489">
        <v>0</v>
      </c>
      <c r="J8489">
        <v>-528441.94999999995</v>
      </c>
      <c r="K8489">
        <v>0</v>
      </c>
      <c r="L8489">
        <v>9966310.7899999991</v>
      </c>
      <c r="M8489">
        <v>10494752.74</v>
      </c>
      <c r="N8489">
        <v>9966310.7899999991</v>
      </c>
      <c r="O8489">
        <v>10494752.74</v>
      </c>
      <c r="P8489">
        <v>9966310.7899999991</v>
      </c>
      <c r="Q8489">
        <v>10494752.74</v>
      </c>
      <c r="R8489" s="14">
        <f>_xlfn.XLOOKUP(Table2[[#This Row],[LoanID]],Table1[G-L ID],Table1[ManagerCode],-99)</f>
        <v>119</v>
      </c>
      <c r="T8489"/>
    </row>
    <row r="8490" spans="1:20" x14ac:dyDescent="0.25">
      <c r="A8490">
        <v>20190331</v>
      </c>
      <c r="B8490">
        <v>2019</v>
      </c>
      <c r="C8490">
        <v>3</v>
      </c>
      <c r="D8490">
        <v>1</v>
      </c>
      <c r="E8490">
        <v>11210</v>
      </c>
      <c r="F8490">
        <v>71734.84</v>
      </c>
      <c r="G8490">
        <v>0</v>
      </c>
      <c r="H8490">
        <v>0</v>
      </c>
      <c r="I8490">
        <v>0</v>
      </c>
      <c r="J8490">
        <v>0</v>
      </c>
      <c r="K8490">
        <v>0</v>
      </c>
      <c r="L8490">
        <v>9500000</v>
      </c>
      <c r="M8490">
        <v>9500000</v>
      </c>
      <c r="N8490">
        <v>9500000</v>
      </c>
      <c r="O8490">
        <v>9500000</v>
      </c>
      <c r="P8490">
        <v>9500000</v>
      </c>
      <c r="Q8490">
        <v>9500000</v>
      </c>
      <c r="R8490" s="14">
        <f>_xlfn.XLOOKUP(Table2[[#This Row],[LoanID]],Table1[G-L ID],Table1[ManagerCode],-99)</f>
        <v>119</v>
      </c>
      <c r="T8490"/>
    </row>
    <row r="8491" spans="1:20" x14ac:dyDescent="0.25">
      <c r="A8491">
        <v>20190331</v>
      </c>
      <c r="B8491">
        <v>2019</v>
      </c>
      <c r="C8491">
        <v>3</v>
      </c>
      <c r="D8491">
        <v>1</v>
      </c>
      <c r="E8491">
        <v>11340</v>
      </c>
      <c r="F8491">
        <v>257990.97</v>
      </c>
      <c r="G8491">
        <v>0</v>
      </c>
      <c r="H8491">
        <v>0</v>
      </c>
      <c r="I8491">
        <v>0</v>
      </c>
      <c r="J8491">
        <v>0</v>
      </c>
      <c r="K8491">
        <v>88214.7</v>
      </c>
      <c r="L8491">
        <v>51378982</v>
      </c>
      <c r="M8491">
        <v>51716151</v>
      </c>
      <c r="N8491">
        <v>51378982</v>
      </c>
      <c r="O8491">
        <v>51716151</v>
      </c>
      <c r="P8491">
        <v>47386097.259999998</v>
      </c>
      <c r="Q8491">
        <v>47297882.560000002</v>
      </c>
      <c r="R8491" s="14">
        <f>_xlfn.XLOOKUP(Table2[[#This Row],[LoanID]],Table1[G-L ID],Table1[ManagerCode],-99)</f>
        <v>103</v>
      </c>
      <c r="T8491"/>
    </row>
    <row r="8492" spans="1:20" x14ac:dyDescent="0.25">
      <c r="A8492">
        <v>20190331</v>
      </c>
      <c r="B8492">
        <v>2019</v>
      </c>
      <c r="C8492">
        <v>3</v>
      </c>
      <c r="D8492">
        <v>1</v>
      </c>
      <c r="E8492">
        <v>11360</v>
      </c>
      <c r="F8492">
        <v>74439.679999999993</v>
      </c>
      <c r="G8492">
        <v>0</v>
      </c>
      <c r="H8492">
        <v>0</v>
      </c>
      <c r="I8492">
        <v>0</v>
      </c>
      <c r="J8492">
        <v>0</v>
      </c>
      <c r="K8492">
        <v>0</v>
      </c>
      <c r="L8492">
        <v>9355036</v>
      </c>
      <c r="M8492">
        <v>9355036</v>
      </c>
      <c r="N8492">
        <v>9355036</v>
      </c>
      <c r="O8492">
        <v>9355036</v>
      </c>
      <c r="P8492">
        <v>9355036</v>
      </c>
      <c r="Q8492">
        <v>9355036</v>
      </c>
      <c r="R8492" s="14">
        <f>_xlfn.XLOOKUP(Table2[[#This Row],[LoanID]],Table1[G-L ID],Table1[ManagerCode],-99)</f>
        <v>119</v>
      </c>
      <c r="T8492"/>
    </row>
    <row r="8493" spans="1:20" x14ac:dyDescent="0.25">
      <c r="A8493">
        <v>20190331</v>
      </c>
      <c r="B8493">
        <v>2019</v>
      </c>
      <c r="C8493">
        <v>3</v>
      </c>
      <c r="D8493">
        <v>1</v>
      </c>
      <c r="E8493">
        <v>11450</v>
      </c>
      <c r="F8493">
        <v>154528.26999999999</v>
      </c>
      <c r="G8493">
        <v>0</v>
      </c>
      <c r="H8493">
        <v>0</v>
      </c>
      <c r="I8493">
        <v>0</v>
      </c>
      <c r="J8493">
        <v>-23144.74</v>
      </c>
      <c r="K8493">
        <v>0</v>
      </c>
      <c r="L8493">
        <v>17158975.629999999</v>
      </c>
      <c r="M8493">
        <v>17182120.370000001</v>
      </c>
      <c r="N8493">
        <v>17158975.629999999</v>
      </c>
      <c r="O8493">
        <v>17182120.370000001</v>
      </c>
      <c r="P8493">
        <v>17158975.629999999</v>
      </c>
      <c r="Q8493">
        <v>17182120.370000001</v>
      </c>
      <c r="R8493" s="14">
        <f>_xlfn.XLOOKUP(Table2[[#This Row],[LoanID]],Table1[G-L ID],Table1[ManagerCode],-99)</f>
        <v>119</v>
      </c>
      <c r="T8493"/>
    </row>
    <row r="8494" spans="1:20" x14ac:dyDescent="0.25">
      <c r="A8494">
        <v>20190331</v>
      </c>
      <c r="B8494">
        <v>2019</v>
      </c>
      <c r="C8494">
        <v>3</v>
      </c>
      <c r="D8494">
        <v>1</v>
      </c>
      <c r="E8494">
        <v>11520</v>
      </c>
      <c r="F8494">
        <v>60976.58</v>
      </c>
      <c r="G8494">
        <v>0</v>
      </c>
      <c r="H8494">
        <v>0</v>
      </c>
      <c r="I8494">
        <v>0</v>
      </c>
      <c r="J8494">
        <v>-664912.46</v>
      </c>
      <c r="K8494">
        <v>0</v>
      </c>
      <c r="L8494">
        <v>6633419.1500000004</v>
      </c>
      <c r="M8494">
        <v>7298331.6100000003</v>
      </c>
      <c r="N8494">
        <v>6633419.1500000004</v>
      </c>
      <c r="O8494">
        <v>7298331.6100000003</v>
      </c>
      <c r="P8494">
        <v>6633419.1500000004</v>
      </c>
      <c r="Q8494">
        <v>7298331.6100000003</v>
      </c>
      <c r="R8494" s="14">
        <f>_xlfn.XLOOKUP(Table2[[#This Row],[LoanID]],Table1[G-L ID],Table1[ManagerCode],-99)</f>
        <v>119</v>
      </c>
      <c r="T8494"/>
    </row>
    <row r="8495" spans="1:20" x14ac:dyDescent="0.25">
      <c r="A8495">
        <v>20190331</v>
      </c>
      <c r="B8495">
        <v>2019</v>
      </c>
      <c r="C8495">
        <v>3</v>
      </c>
      <c r="D8495">
        <v>1</v>
      </c>
      <c r="E8495">
        <v>11530</v>
      </c>
      <c r="F8495">
        <v>120641.67</v>
      </c>
      <c r="G8495">
        <v>0</v>
      </c>
      <c r="H8495">
        <v>0</v>
      </c>
      <c r="I8495">
        <v>0</v>
      </c>
      <c r="J8495">
        <v>0</v>
      </c>
      <c r="K8495">
        <v>0</v>
      </c>
      <c r="L8495">
        <v>15000000</v>
      </c>
      <c r="M8495">
        <v>15000000</v>
      </c>
      <c r="N8495">
        <v>15000000</v>
      </c>
      <c r="O8495">
        <v>15000000</v>
      </c>
      <c r="P8495">
        <v>15000000</v>
      </c>
      <c r="Q8495">
        <v>15000000</v>
      </c>
      <c r="R8495" s="14">
        <f>_xlfn.XLOOKUP(Table2[[#This Row],[LoanID]],Table1[G-L ID],Table1[ManagerCode],-99)</f>
        <v>119</v>
      </c>
      <c r="T8495"/>
    </row>
    <row r="8496" spans="1:20" x14ac:dyDescent="0.25">
      <c r="A8496">
        <v>20190331</v>
      </c>
      <c r="B8496">
        <v>2019</v>
      </c>
      <c r="C8496">
        <v>3</v>
      </c>
      <c r="D8496">
        <v>1</v>
      </c>
      <c r="E8496">
        <v>11680</v>
      </c>
      <c r="F8496">
        <v>50325.78</v>
      </c>
      <c r="G8496">
        <v>0</v>
      </c>
      <c r="H8496">
        <v>0</v>
      </c>
      <c r="I8496">
        <v>0</v>
      </c>
      <c r="J8496">
        <v>0</v>
      </c>
      <c r="K8496">
        <v>0</v>
      </c>
      <c r="L8496">
        <v>6600000</v>
      </c>
      <c r="M8496">
        <v>6600000</v>
      </c>
      <c r="N8496">
        <v>6600000</v>
      </c>
      <c r="O8496">
        <v>6600000</v>
      </c>
      <c r="P8496">
        <v>6600000</v>
      </c>
      <c r="Q8496">
        <v>6600000</v>
      </c>
      <c r="R8496" s="14">
        <f>_xlfn.XLOOKUP(Table2[[#This Row],[LoanID]],Table1[G-L ID],Table1[ManagerCode],-99)</f>
        <v>183</v>
      </c>
      <c r="T8496"/>
    </row>
    <row r="8497" spans="1:20" x14ac:dyDescent="0.25">
      <c r="A8497">
        <v>20190331</v>
      </c>
      <c r="B8497">
        <v>2019</v>
      </c>
      <c r="C8497">
        <v>3</v>
      </c>
      <c r="D8497">
        <v>1</v>
      </c>
      <c r="E8497">
        <v>11830</v>
      </c>
      <c r="F8497">
        <v>105152.14</v>
      </c>
      <c r="G8497">
        <v>0</v>
      </c>
      <c r="H8497">
        <v>0</v>
      </c>
      <c r="I8497">
        <v>0</v>
      </c>
      <c r="J8497">
        <v>-293992.63</v>
      </c>
      <c r="K8497">
        <v>0</v>
      </c>
      <c r="L8497">
        <v>10259904.41</v>
      </c>
      <c r="M8497">
        <v>10553897.039999999</v>
      </c>
      <c r="N8497">
        <v>10259904.41</v>
      </c>
      <c r="O8497">
        <v>10553897.039999999</v>
      </c>
      <c r="P8497">
        <v>10259904.41</v>
      </c>
      <c r="Q8497">
        <v>10553897.039999999</v>
      </c>
      <c r="R8497" s="14">
        <f>_xlfn.XLOOKUP(Table2[[#This Row],[LoanID]],Table1[G-L ID],Table1[ManagerCode],-99)</f>
        <v>119</v>
      </c>
      <c r="T8497"/>
    </row>
    <row r="8498" spans="1:20" x14ac:dyDescent="0.25">
      <c r="A8498">
        <v>20190331</v>
      </c>
      <c r="B8498">
        <v>2019</v>
      </c>
      <c r="C8498">
        <v>3</v>
      </c>
      <c r="D8498">
        <v>1</v>
      </c>
      <c r="E8498">
        <v>12180</v>
      </c>
      <c r="F8498">
        <v>236131.61</v>
      </c>
      <c r="G8498">
        <v>0</v>
      </c>
      <c r="H8498">
        <v>0</v>
      </c>
      <c r="I8498">
        <v>0</v>
      </c>
      <c r="J8498">
        <v>0</v>
      </c>
      <c r="K8498">
        <v>0</v>
      </c>
      <c r="L8498">
        <v>30400000</v>
      </c>
      <c r="M8498">
        <v>1</v>
      </c>
      <c r="N8498">
        <v>30400000</v>
      </c>
      <c r="O8498">
        <v>1</v>
      </c>
      <c r="P8498">
        <v>30393210.870000001</v>
      </c>
      <c r="Q8498">
        <v>30393210.870000001</v>
      </c>
      <c r="R8498" s="14">
        <f>_xlfn.XLOOKUP(Table2[[#This Row],[LoanID]],Table1[G-L ID],Table1[ManagerCode],-99)</f>
        <v>220</v>
      </c>
      <c r="T8498"/>
    </row>
    <row r="8499" spans="1:20" x14ac:dyDescent="0.25">
      <c r="A8499">
        <v>20190331</v>
      </c>
      <c r="B8499">
        <v>2019</v>
      </c>
      <c r="C8499">
        <v>3</v>
      </c>
      <c r="D8499">
        <v>1</v>
      </c>
      <c r="E8499">
        <v>12220</v>
      </c>
      <c r="F8499">
        <v>216382.53</v>
      </c>
      <c r="G8499">
        <v>0</v>
      </c>
      <c r="H8499">
        <v>0</v>
      </c>
      <c r="I8499">
        <v>0</v>
      </c>
      <c r="J8499">
        <v>0</v>
      </c>
      <c r="K8499">
        <v>0</v>
      </c>
      <c r="L8499">
        <v>54500000</v>
      </c>
      <c r="M8499">
        <v>54500000</v>
      </c>
      <c r="N8499">
        <v>27250000</v>
      </c>
      <c r="O8499">
        <v>27250000</v>
      </c>
      <c r="P8499">
        <v>54500000</v>
      </c>
      <c r="Q8499">
        <v>54500000</v>
      </c>
      <c r="R8499" s="14">
        <f>_xlfn.XLOOKUP(Table2[[#This Row],[LoanID]],Table1[G-L ID],Table1[ManagerCode],-99)</f>
        <v>183</v>
      </c>
      <c r="T8499"/>
    </row>
    <row r="8500" spans="1:20" x14ac:dyDescent="0.25">
      <c r="A8500">
        <v>20190331</v>
      </c>
      <c r="B8500">
        <v>2019</v>
      </c>
      <c r="C8500">
        <v>3</v>
      </c>
      <c r="D8500">
        <v>1</v>
      </c>
      <c r="E8500">
        <v>12250</v>
      </c>
      <c r="F8500">
        <v>116183.23</v>
      </c>
      <c r="G8500">
        <v>0</v>
      </c>
      <c r="H8500">
        <v>0</v>
      </c>
      <c r="I8500">
        <v>0</v>
      </c>
      <c r="J8500">
        <v>-180018.26</v>
      </c>
      <c r="K8500">
        <v>0</v>
      </c>
      <c r="L8500">
        <v>12896361.16</v>
      </c>
      <c r="M8500">
        <v>13076379.42</v>
      </c>
      <c r="N8500">
        <v>12896361.16</v>
      </c>
      <c r="O8500">
        <v>13076379.42</v>
      </c>
      <c r="P8500">
        <v>12896361.16</v>
      </c>
      <c r="Q8500">
        <v>13076379.42</v>
      </c>
      <c r="R8500" s="14">
        <f>_xlfn.XLOOKUP(Table2[[#This Row],[LoanID]],Table1[G-L ID],Table1[ManagerCode],-99)</f>
        <v>119</v>
      </c>
      <c r="T8500"/>
    </row>
    <row r="8501" spans="1:20" x14ac:dyDescent="0.25">
      <c r="A8501">
        <v>20190331</v>
      </c>
      <c r="B8501">
        <v>2019</v>
      </c>
      <c r="C8501">
        <v>3</v>
      </c>
      <c r="D8501">
        <v>1</v>
      </c>
      <c r="E8501">
        <v>12260</v>
      </c>
      <c r="F8501">
        <v>124552.48</v>
      </c>
      <c r="G8501">
        <v>0</v>
      </c>
      <c r="H8501">
        <v>0</v>
      </c>
      <c r="I8501">
        <v>0</v>
      </c>
      <c r="J8501">
        <v>-3027361.25</v>
      </c>
      <c r="K8501">
        <v>0</v>
      </c>
      <c r="L8501">
        <v>15513747.83</v>
      </c>
      <c r="M8501">
        <v>18541109.079999998</v>
      </c>
      <c r="N8501">
        <v>15513747.83</v>
      </c>
      <c r="O8501">
        <v>18541109.079999998</v>
      </c>
      <c r="P8501">
        <v>15513747.83</v>
      </c>
      <c r="Q8501">
        <v>18541109.079999998</v>
      </c>
      <c r="R8501" s="14">
        <f>_xlfn.XLOOKUP(Table2[[#This Row],[LoanID]],Table1[G-L ID],Table1[ManagerCode],-99)</f>
        <v>119</v>
      </c>
      <c r="T8501"/>
    </row>
    <row r="8502" spans="1:20" x14ac:dyDescent="0.25">
      <c r="A8502">
        <v>20190331</v>
      </c>
      <c r="B8502">
        <v>2019</v>
      </c>
      <c r="C8502">
        <v>3</v>
      </c>
      <c r="D8502">
        <v>1</v>
      </c>
      <c r="E8502">
        <v>12270</v>
      </c>
      <c r="F8502">
        <v>7204.55</v>
      </c>
      <c r="G8502">
        <v>0</v>
      </c>
      <c r="H8502">
        <v>0</v>
      </c>
      <c r="I8502">
        <v>0</v>
      </c>
      <c r="J8502">
        <v>0</v>
      </c>
      <c r="K8502">
        <v>0</v>
      </c>
      <c r="L8502">
        <v>740032.81</v>
      </c>
      <c r="M8502">
        <v>740032.81</v>
      </c>
      <c r="N8502">
        <v>740032.81</v>
      </c>
      <c r="O8502">
        <v>740032.81</v>
      </c>
      <c r="P8502">
        <v>740032.81</v>
      </c>
      <c r="Q8502">
        <v>740032.81</v>
      </c>
      <c r="R8502" s="14">
        <f>_xlfn.XLOOKUP(Table2[[#This Row],[LoanID]],Table1[G-L ID],Table1[ManagerCode],-99)</f>
        <v>119</v>
      </c>
      <c r="T8502"/>
    </row>
    <row r="8503" spans="1:20" x14ac:dyDescent="0.25">
      <c r="A8503">
        <v>20190331</v>
      </c>
      <c r="B8503">
        <v>2019</v>
      </c>
      <c r="C8503">
        <v>3</v>
      </c>
      <c r="D8503">
        <v>1</v>
      </c>
      <c r="E8503">
        <v>12280</v>
      </c>
      <c r="F8503">
        <v>177927.82</v>
      </c>
      <c r="G8503">
        <v>0</v>
      </c>
      <c r="H8503">
        <v>0</v>
      </c>
      <c r="I8503">
        <v>0</v>
      </c>
      <c r="J8503">
        <v>-565197.21</v>
      </c>
      <c r="K8503">
        <v>0</v>
      </c>
      <c r="L8503">
        <v>17708394.5</v>
      </c>
      <c r="M8503">
        <v>18273591.710000001</v>
      </c>
      <c r="N8503">
        <v>17708394.5</v>
      </c>
      <c r="O8503">
        <v>18273591.710000001</v>
      </c>
      <c r="P8503">
        <v>17708394.5</v>
      </c>
      <c r="Q8503">
        <v>18273591.710000001</v>
      </c>
      <c r="R8503" s="14">
        <f>_xlfn.XLOOKUP(Table2[[#This Row],[LoanID]],Table1[G-L ID],Table1[ManagerCode],-99)</f>
        <v>119</v>
      </c>
      <c r="T8503"/>
    </row>
    <row r="8504" spans="1:20" x14ac:dyDescent="0.25">
      <c r="A8504">
        <v>20190331</v>
      </c>
      <c r="B8504">
        <v>2019</v>
      </c>
      <c r="C8504">
        <v>3</v>
      </c>
      <c r="D8504">
        <v>1</v>
      </c>
      <c r="E8504">
        <v>12290</v>
      </c>
      <c r="F8504">
        <v>215849.47</v>
      </c>
      <c r="G8504">
        <v>0</v>
      </c>
      <c r="H8504">
        <v>0</v>
      </c>
      <c r="I8504">
        <v>0</v>
      </c>
      <c r="J8504">
        <v>0</v>
      </c>
      <c r="K8504">
        <v>0</v>
      </c>
      <c r="L8504">
        <v>22750000</v>
      </c>
      <c r="M8504">
        <v>22750000</v>
      </c>
      <c r="N8504">
        <v>22750000</v>
      </c>
      <c r="O8504">
        <v>22750000</v>
      </c>
      <c r="P8504">
        <v>22750000</v>
      </c>
      <c r="Q8504">
        <v>22750000</v>
      </c>
      <c r="R8504" s="14">
        <f>_xlfn.XLOOKUP(Table2[[#This Row],[LoanID]],Table1[G-L ID],Table1[ManagerCode],-99)</f>
        <v>119</v>
      </c>
      <c r="T8504"/>
    </row>
    <row r="8505" spans="1:20" x14ac:dyDescent="0.25">
      <c r="A8505">
        <v>20190331</v>
      </c>
      <c r="B8505">
        <v>2019</v>
      </c>
      <c r="C8505">
        <v>3</v>
      </c>
      <c r="D8505">
        <v>1</v>
      </c>
      <c r="E8505">
        <v>12310</v>
      </c>
      <c r="F8505">
        <v>89091.65</v>
      </c>
      <c r="G8505">
        <v>0</v>
      </c>
      <c r="H8505">
        <v>0</v>
      </c>
      <c r="I8505">
        <v>0</v>
      </c>
      <c r="J8505">
        <v>0</v>
      </c>
      <c r="K8505">
        <v>0</v>
      </c>
      <c r="L8505">
        <v>13100000</v>
      </c>
      <c r="M8505">
        <v>13100000</v>
      </c>
      <c r="N8505">
        <v>13100000</v>
      </c>
      <c r="O8505">
        <v>13100000</v>
      </c>
      <c r="P8505">
        <v>13100000</v>
      </c>
      <c r="Q8505">
        <v>13100000</v>
      </c>
      <c r="R8505" s="14">
        <f>_xlfn.XLOOKUP(Table2[[#This Row],[LoanID]],Table1[G-L ID],Table1[ManagerCode],-99)</f>
        <v>119</v>
      </c>
      <c r="T8505"/>
    </row>
    <row r="8506" spans="1:20" x14ac:dyDescent="0.25">
      <c r="A8506">
        <v>20190331</v>
      </c>
      <c r="B8506">
        <v>2019</v>
      </c>
      <c r="C8506">
        <v>3</v>
      </c>
      <c r="D8506">
        <v>1</v>
      </c>
      <c r="E8506">
        <v>12330</v>
      </c>
      <c r="F8506">
        <v>206133.06</v>
      </c>
      <c r="G8506">
        <v>0</v>
      </c>
      <c r="H8506">
        <v>0</v>
      </c>
      <c r="I8506">
        <v>0</v>
      </c>
      <c r="J8506">
        <v>0</v>
      </c>
      <c r="K8506">
        <v>0</v>
      </c>
      <c r="L8506">
        <v>19976500</v>
      </c>
      <c r="M8506">
        <v>19976500</v>
      </c>
      <c r="N8506">
        <v>19976500</v>
      </c>
      <c r="O8506">
        <v>19976500</v>
      </c>
      <c r="P8506">
        <v>19976500</v>
      </c>
      <c r="Q8506">
        <v>19976500</v>
      </c>
      <c r="R8506" s="14">
        <f>_xlfn.XLOOKUP(Table2[[#This Row],[LoanID]],Table1[G-L ID],Table1[ManagerCode],-99)</f>
        <v>119</v>
      </c>
      <c r="T8506"/>
    </row>
    <row r="8507" spans="1:20" x14ac:dyDescent="0.25">
      <c r="A8507">
        <v>20190331</v>
      </c>
      <c r="B8507">
        <v>2019</v>
      </c>
      <c r="C8507">
        <v>3</v>
      </c>
      <c r="D8507">
        <v>1</v>
      </c>
      <c r="E8507">
        <v>12340</v>
      </c>
      <c r="F8507">
        <v>60578.13</v>
      </c>
      <c r="G8507">
        <v>0</v>
      </c>
      <c r="H8507">
        <v>0</v>
      </c>
      <c r="I8507">
        <v>0</v>
      </c>
      <c r="J8507">
        <v>0</v>
      </c>
      <c r="K8507">
        <v>0</v>
      </c>
      <c r="L8507">
        <v>24180000</v>
      </c>
      <c r="M8507">
        <v>24180000</v>
      </c>
      <c r="N8507">
        <v>12180000</v>
      </c>
      <c r="O8507">
        <v>12180000</v>
      </c>
      <c r="P8507">
        <v>24180000</v>
      </c>
      <c r="Q8507">
        <v>24180000</v>
      </c>
      <c r="R8507" s="14">
        <f>_xlfn.XLOOKUP(Table2[[#This Row],[LoanID]],Table1[G-L ID],Table1[ManagerCode],-99)</f>
        <v>183</v>
      </c>
      <c r="T8507"/>
    </row>
    <row r="8508" spans="1:20" x14ac:dyDescent="0.25">
      <c r="A8508">
        <v>20190331</v>
      </c>
      <c r="B8508">
        <v>2019</v>
      </c>
      <c r="C8508">
        <v>3</v>
      </c>
      <c r="D8508">
        <v>1</v>
      </c>
      <c r="E8508">
        <v>12350</v>
      </c>
      <c r="F8508">
        <v>234382.52</v>
      </c>
      <c r="G8508">
        <v>0</v>
      </c>
      <c r="H8508">
        <v>0</v>
      </c>
      <c r="I8508">
        <v>0</v>
      </c>
      <c r="J8508">
        <v>0</v>
      </c>
      <c r="K8508">
        <v>0</v>
      </c>
      <c r="L8508">
        <v>74445407.310000002</v>
      </c>
      <c r="M8508">
        <v>74445407.310000002</v>
      </c>
      <c r="N8508">
        <v>36945407.310000002</v>
      </c>
      <c r="O8508">
        <v>36945407.310000002</v>
      </c>
      <c r="P8508">
        <v>74445407.310000002</v>
      </c>
      <c r="Q8508">
        <v>74445407.310000002</v>
      </c>
      <c r="R8508" s="14">
        <f>_xlfn.XLOOKUP(Table2[[#This Row],[LoanID]],Table1[G-L ID],Table1[ManagerCode],-99)</f>
        <v>183</v>
      </c>
      <c r="T8508"/>
    </row>
    <row r="8509" spans="1:20" x14ac:dyDescent="0.25">
      <c r="A8509">
        <v>20190331</v>
      </c>
      <c r="B8509">
        <v>2019</v>
      </c>
      <c r="C8509">
        <v>3</v>
      </c>
      <c r="D8509">
        <v>1</v>
      </c>
      <c r="E8509">
        <v>12360</v>
      </c>
      <c r="F8509">
        <v>130603.16</v>
      </c>
      <c r="G8509">
        <v>0</v>
      </c>
      <c r="H8509">
        <v>0</v>
      </c>
      <c r="I8509">
        <v>0</v>
      </c>
      <c r="J8509">
        <v>0</v>
      </c>
      <c r="K8509">
        <v>0</v>
      </c>
      <c r="L8509">
        <v>60000000</v>
      </c>
      <c r="M8509">
        <v>60000000</v>
      </c>
      <c r="N8509">
        <v>19000000</v>
      </c>
      <c r="O8509">
        <v>19000000</v>
      </c>
      <c r="P8509">
        <v>60000000</v>
      </c>
      <c r="Q8509">
        <v>60000000</v>
      </c>
      <c r="R8509" s="14">
        <f>_xlfn.XLOOKUP(Table2[[#This Row],[LoanID]],Table1[G-L ID],Table1[ManagerCode],-99)</f>
        <v>183</v>
      </c>
      <c r="T8509"/>
    </row>
    <row r="8510" spans="1:20" x14ac:dyDescent="0.25">
      <c r="A8510">
        <v>20190331</v>
      </c>
      <c r="B8510">
        <v>2019</v>
      </c>
      <c r="C8510">
        <v>3</v>
      </c>
      <c r="D8510">
        <v>1</v>
      </c>
      <c r="E8510">
        <v>12370</v>
      </c>
      <c r="F8510">
        <v>355784.66</v>
      </c>
      <c r="G8510">
        <v>0</v>
      </c>
      <c r="H8510">
        <v>0</v>
      </c>
      <c r="I8510">
        <v>0</v>
      </c>
      <c r="J8510">
        <v>0</v>
      </c>
      <c r="K8510">
        <v>7538461.4500000002</v>
      </c>
      <c r="L8510">
        <v>104000000</v>
      </c>
      <c r="M8510">
        <v>81600000</v>
      </c>
      <c r="N8510">
        <v>44000000</v>
      </c>
      <c r="O8510">
        <v>36461538.549999997</v>
      </c>
      <c r="P8510">
        <v>104000000</v>
      </c>
      <c r="Q8510">
        <v>81600000</v>
      </c>
      <c r="R8510" s="14">
        <f>_xlfn.XLOOKUP(Table2[[#This Row],[LoanID]],Table1[G-L ID],Table1[ManagerCode],-99)</f>
        <v>183</v>
      </c>
      <c r="T8510"/>
    </row>
    <row r="8511" spans="1:20" x14ac:dyDescent="0.25">
      <c r="A8511">
        <v>20190331</v>
      </c>
      <c r="B8511">
        <v>2019</v>
      </c>
      <c r="C8511">
        <v>3</v>
      </c>
      <c r="D8511">
        <v>1</v>
      </c>
      <c r="E8511">
        <v>12380</v>
      </c>
      <c r="F8511">
        <v>87091.88</v>
      </c>
      <c r="G8511">
        <v>0</v>
      </c>
      <c r="H8511">
        <v>0</v>
      </c>
      <c r="I8511">
        <v>0</v>
      </c>
      <c r="J8511">
        <v>0</v>
      </c>
      <c r="K8511">
        <v>0</v>
      </c>
      <c r="L8511">
        <v>32500000</v>
      </c>
      <c r="M8511">
        <v>32500000</v>
      </c>
      <c r="N8511">
        <v>12350000</v>
      </c>
      <c r="O8511">
        <v>12350000</v>
      </c>
      <c r="P8511">
        <v>32500000</v>
      </c>
      <c r="Q8511">
        <v>32500000</v>
      </c>
      <c r="R8511" s="14">
        <f>_xlfn.XLOOKUP(Table2[[#This Row],[LoanID]],Table1[G-L ID],Table1[ManagerCode],-99)</f>
        <v>183</v>
      </c>
      <c r="T8511"/>
    </row>
    <row r="8512" spans="1:20" x14ac:dyDescent="0.25">
      <c r="A8512">
        <v>20190331</v>
      </c>
      <c r="B8512">
        <v>2019</v>
      </c>
      <c r="C8512">
        <v>3</v>
      </c>
      <c r="D8512">
        <v>1</v>
      </c>
      <c r="E8512">
        <v>12390</v>
      </c>
      <c r="F8512">
        <v>913297.11</v>
      </c>
      <c r="G8512">
        <v>541459.81000000006</v>
      </c>
      <c r="H8512">
        <v>0</v>
      </c>
      <c r="I8512">
        <v>0</v>
      </c>
      <c r="J8512">
        <v>-5326151.0599999996</v>
      </c>
      <c r="K8512">
        <v>0</v>
      </c>
      <c r="L8512">
        <v>124693379.8</v>
      </c>
      <c r="M8512">
        <v>130560990.7</v>
      </c>
      <c r="N8512">
        <v>124693379.8</v>
      </c>
      <c r="O8512">
        <v>130560990.7</v>
      </c>
      <c r="P8512">
        <v>124693379.8</v>
      </c>
      <c r="Q8512">
        <v>130560990.7</v>
      </c>
      <c r="R8512" s="14">
        <f>_xlfn.XLOOKUP(Table2[[#This Row],[LoanID]],Table1[G-L ID],Table1[ManagerCode],-99)</f>
        <v>183</v>
      </c>
      <c r="T8512"/>
    </row>
    <row r="8513" spans="1:20" x14ac:dyDescent="0.25">
      <c r="A8513">
        <v>20190331</v>
      </c>
      <c r="B8513">
        <v>2019</v>
      </c>
      <c r="C8513">
        <v>3</v>
      </c>
      <c r="D8513">
        <v>1</v>
      </c>
      <c r="E8513">
        <v>12400</v>
      </c>
      <c r="F8513">
        <v>178438.25</v>
      </c>
      <c r="G8513">
        <v>126329.31</v>
      </c>
      <c r="H8513">
        <v>0</v>
      </c>
      <c r="I8513">
        <v>0</v>
      </c>
      <c r="J8513">
        <v>-2771640.15</v>
      </c>
      <c r="K8513">
        <v>0</v>
      </c>
      <c r="L8513">
        <v>36065056.439999998</v>
      </c>
      <c r="M8513">
        <v>38963025.899999999</v>
      </c>
      <c r="N8513">
        <v>36065056.439999998</v>
      </c>
      <c r="O8513">
        <v>38963025.899999999</v>
      </c>
      <c r="P8513">
        <v>36065056.439999998</v>
      </c>
      <c r="Q8513">
        <v>38963025.899999999</v>
      </c>
      <c r="R8513" s="14">
        <f>_xlfn.XLOOKUP(Table2[[#This Row],[LoanID]],Table1[G-L ID],Table1[ManagerCode],-99)</f>
        <v>183</v>
      </c>
      <c r="T8513"/>
    </row>
    <row r="8514" spans="1:20" x14ac:dyDescent="0.25">
      <c r="A8514">
        <v>20190331</v>
      </c>
      <c r="B8514">
        <v>2019</v>
      </c>
      <c r="C8514">
        <v>3</v>
      </c>
      <c r="D8514">
        <v>1</v>
      </c>
      <c r="E8514">
        <v>12410</v>
      </c>
      <c r="F8514">
        <v>326760.25</v>
      </c>
      <c r="G8514">
        <v>261408.2</v>
      </c>
      <c r="H8514">
        <v>0</v>
      </c>
      <c r="I8514">
        <v>0</v>
      </c>
      <c r="J8514">
        <v>0</v>
      </c>
      <c r="K8514">
        <v>0</v>
      </c>
      <c r="L8514">
        <v>75417266</v>
      </c>
      <c r="M8514">
        <v>75554182</v>
      </c>
      <c r="N8514">
        <v>75417266</v>
      </c>
      <c r="O8514">
        <v>75554182</v>
      </c>
      <c r="P8514">
        <v>80127022.840000004</v>
      </c>
      <c r="Q8514">
        <v>80388431.040000007</v>
      </c>
      <c r="R8514" s="14">
        <f>_xlfn.XLOOKUP(Table2[[#This Row],[LoanID]],Table1[G-L ID],Table1[ManagerCode],-99)</f>
        <v>103</v>
      </c>
      <c r="T8514"/>
    </row>
    <row r="8515" spans="1:20" x14ac:dyDescent="0.25">
      <c r="A8515">
        <v>20190331</v>
      </c>
      <c r="B8515">
        <v>2019</v>
      </c>
      <c r="C8515">
        <v>3</v>
      </c>
      <c r="D8515">
        <v>1</v>
      </c>
      <c r="E8515">
        <v>12430</v>
      </c>
      <c r="F8515">
        <v>85763.76</v>
      </c>
      <c r="G8515">
        <v>0</v>
      </c>
      <c r="H8515">
        <v>0</v>
      </c>
      <c r="I8515">
        <v>0</v>
      </c>
      <c r="J8515">
        <v>-85763.76</v>
      </c>
      <c r="K8515">
        <v>0</v>
      </c>
      <c r="L8515">
        <v>23776912</v>
      </c>
      <c r="M8515">
        <v>24040512</v>
      </c>
      <c r="N8515">
        <v>23776912</v>
      </c>
      <c r="O8515">
        <v>24040512</v>
      </c>
      <c r="P8515">
        <v>25729128.43</v>
      </c>
      <c r="Q8515">
        <v>25814892.190000001</v>
      </c>
      <c r="R8515" s="14">
        <f>_xlfn.XLOOKUP(Table2[[#This Row],[LoanID]],Table1[G-L ID],Table1[ManagerCode],-99)</f>
        <v>103</v>
      </c>
      <c r="T8515"/>
    </row>
    <row r="8516" spans="1:20" x14ac:dyDescent="0.25">
      <c r="A8516">
        <v>20190331</v>
      </c>
      <c r="B8516">
        <v>2019</v>
      </c>
      <c r="C8516">
        <v>3</v>
      </c>
      <c r="D8516">
        <v>1</v>
      </c>
      <c r="E8516">
        <v>12440</v>
      </c>
      <c r="F8516">
        <v>28767.86</v>
      </c>
      <c r="G8516">
        <v>0</v>
      </c>
      <c r="H8516">
        <v>0</v>
      </c>
      <c r="I8516">
        <v>0</v>
      </c>
      <c r="J8516">
        <v>0</v>
      </c>
      <c r="K8516">
        <v>54598.41</v>
      </c>
      <c r="L8516">
        <v>3855067</v>
      </c>
      <c r="M8516">
        <v>3808379</v>
      </c>
      <c r="N8516">
        <v>3855067</v>
      </c>
      <c r="O8516">
        <v>3808379</v>
      </c>
      <c r="P8516">
        <v>3452142.64</v>
      </c>
      <c r="Q8516">
        <v>3397544.23</v>
      </c>
      <c r="R8516" s="14">
        <f>_xlfn.XLOOKUP(Table2[[#This Row],[LoanID]],Table1[G-L ID],Table1[ManagerCode],-99)</f>
        <v>103</v>
      </c>
      <c r="T8516"/>
    </row>
    <row r="8517" spans="1:20" x14ac:dyDescent="0.25">
      <c r="A8517">
        <v>20190331</v>
      </c>
      <c r="B8517">
        <v>2019</v>
      </c>
      <c r="C8517">
        <v>3</v>
      </c>
      <c r="D8517">
        <v>1</v>
      </c>
      <c r="E8517">
        <v>12450</v>
      </c>
      <c r="F8517">
        <v>59721.77</v>
      </c>
      <c r="G8517">
        <v>36999.699999999997</v>
      </c>
      <c r="H8517">
        <v>0</v>
      </c>
      <c r="I8517">
        <v>0</v>
      </c>
      <c r="J8517">
        <v>-428040.31</v>
      </c>
      <c r="K8517">
        <v>0</v>
      </c>
      <c r="L8517">
        <v>11294564.73</v>
      </c>
      <c r="M8517">
        <v>11759604.74</v>
      </c>
      <c r="N8517">
        <v>11294564.73</v>
      </c>
      <c r="O8517">
        <v>11759604.74</v>
      </c>
      <c r="P8517">
        <v>11294564.73</v>
      </c>
      <c r="Q8517">
        <v>11759604.74</v>
      </c>
      <c r="R8517" s="14">
        <f>_xlfn.XLOOKUP(Table2[[#This Row],[LoanID]],Table1[G-L ID],Table1[ManagerCode],-99)</f>
        <v>183</v>
      </c>
      <c r="T8517"/>
    </row>
    <row r="8518" spans="1:20" x14ac:dyDescent="0.25">
      <c r="A8518">
        <v>20190331</v>
      </c>
      <c r="B8518">
        <v>2019</v>
      </c>
      <c r="C8518">
        <v>3</v>
      </c>
      <c r="D8518">
        <v>1</v>
      </c>
      <c r="E8518">
        <v>12460</v>
      </c>
      <c r="F8518">
        <v>42250</v>
      </c>
      <c r="G8518">
        <v>49102.57</v>
      </c>
      <c r="H8518">
        <v>0</v>
      </c>
      <c r="I8518">
        <v>0</v>
      </c>
      <c r="J8518">
        <v>0</v>
      </c>
      <c r="K8518">
        <v>0</v>
      </c>
      <c r="L8518">
        <v>9135257.3300000001</v>
      </c>
      <c r="M8518">
        <v>9184359.9000000004</v>
      </c>
      <c r="N8518">
        <v>9135257.3300000001</v>
      </c>
      <c r="O8518">
        <v>9184359.9000000004</v>
      </c>
      <c r="P8518">
        <v>9135257.3300000001</v>
      </c>
      <c r="Q8518">
        <v>9184359.9000000004</v>
      </c>
      <c r="R8518" s="14">
        <f>_xlfn.XLOOKUP(Table2[[#This Row],[LoanID]],Table1[G-L ID],Table1[ManagerCode],-99)</f>
        <v>183</v>
      </c>
      <c r="T8518"/>
    </row>
    <row r="8519" spans="1:20" x14ac:dyDescent="0.25">
      <c r="A8519">
        <v>20190331</v>
      </c>
      <c r="B8519">
        <v>2019</v>
      </c>
      <c r="C8519">
        <v>3</v>
      </c>
      <c r="D8519">
        <v>1</v>
      </c>
      <c r="E8519">
        <v>12470</v>
      </c>
      <c r="F8519">
        <v>342699.9</v>
      </c>
      <c r="G8519">
        <v>0</v>
      </c>
      <c r="H8519">
        <v>0</v>
      </c>
      <c r="I8519">
        <v>0</v>
      </c>
      <c r="J8519">
        <v>0</v>
      </c>
      <c r="K8519">
        <v>0</v>
      </c>
      <c r="L8519">
        <v>115000000</v>
      </c>
      <c r="M8519">
        <v>115000000</v>
      </c>
      <c r="N8519">
        <v>46000000</v>
      </c>
      <c r="O8519">
        <v>46000000</v>
      </c>
      <c r="P8519">
        <v>115000000</v>
      </c>
      <c r="Q8519">
        <v>115000000</v>
      </c>
      <c r="R8519" s="14">
        <f>_xlfn.XLOOKUP(Table2[[#This Row],[LoanID]],Table1[G-L ID],Table1[ManagerCode],-99)</f>
        <v>183</v>
      </c>
      <c r="T8519"/>
    </row>
    <row r="8520" spans="1:20" x14ac:dyDescent="0.25">
      <c r="A8520">
        <v>20190331</v>
      </c>
      <c r="B8520">
        <v>2019</v>
      </c>
      <c r="C8520">
        <v>3</v>
      </c>
      <c r="D8520">
        <v>1</v>
      </c>
      <c r="E8520">
        <v>12490</v>
      </c>
      <c r="F8520">
        <v>136687.69</v>
      </c>
      <c r="G8520">
        <v>0</v>
      </c>
      <c r="H8520">
        <v>0</v>
      </c>
      <c r="I8520">
        <v>0</v>
      </c>
      <c r="J8520">
        <v>0</v>
      </c>
      <c r="K8520">
        <v>0</v>
      </c>
      <c r="L8520">
        <v>50200000</v>
      </c>
      <c r="M8520">
        <v>50200000</v>
      </c>
      <c r="N8520">
        <v>19600000</v>
      </c>
      <c r="O8520">
        <v>19600000</v>
      </c>
      <c r="P8520">
        <v>50200000</v>
      </c>
      <c r="Q8520">
        <v>50200000</v>
      </c>
      <c r="R8520" s="14">
        <f>_xlfn.XLOOKUP(Table2[[#This Row],[LoanID]],Table1[G-L ID],Table1[ManagerCode],-99)</f>
        <v>183</v>
      </c>
      <c r="T8520"/>
    </row>
    <row r="8521" spans="1:20" x14ac:dyDescent="0.25">
      <c r="A8521">
        <v>20190331</v>
      </c>
      <c r="B8521">
        <v>2019</v>
      </c>
      <c r="C8521">
        <v>3</v>
      </c>
      <c r="D8521">
        <v>1</v>
      </c>
      <c r="E8521">
        <v>12510</v>
      </c>
      <c r="F8521">
        <v>337450.69</v>
      </c>
      <c r="G8521">
        <v>0</v>
      </c>
      <c r="H8521">
        <v>0</v>
      </c>
      <c r="I8521">
        <v>0</v>
      </c>
      <c r="J8521">
        <v>0</v>
      </c>
      <c r="K8521">
        <v>0</v>
      </c>
      <c r="L8521">
        <v>131500000</v>
      </c>
      <c r="M8521">
        <v>131500000</v>
      </c>
      <c r="N8521">
        <v>46025000</v>
      </c>
      <c r="O8521">
        <v>46025000</v>
      </c>
      <c r="P8521">
        <v>131500000</v>
      </c>
      <c r="Q8521">
        <v>131500000</v>
      </c>
      <c r="R8521" s="14">
        <f>_xlfn.XLOOKUP(Table2[[#This Row],[LoanID]],Table1[G-L ID],Table1[ManagerCode],-99)</f>
        <v>183</v>
      </c>
      <c r="T8521"/>
    </row>
    <row r="8522" spans="1:20" x14ac:dyDescent="0.25">
      <c r="A8522">
        <v>20190331</v>
      </c>
      <c r="B8522">
        <v>2019</v>
      </c>
      <c r="C8522">
        <v>3</v>
      </c>
      <c r="D8522">
        <v>1</v>
      </c>
      <c r="E8522">
        <v>12520</v>
      </c>
      <c r="F8522">
        <v>217134.84</v>
      </c>
      <c r="G8522">
        <v>0</v>
      </c>
      <c r="H8522">
        <v>0</v>
      </c>
      <c r="I8522">
        <v>0</v>
      </c>
      <c r="J8522">
        <v>0</v>
      </c>
      <c r="K8522">
        <v>0</v>
      </c>
      <c r="L8522">
        <v>46402353.039999999</v>
      </c>
      <c r="M8522">
        <v>46402353.039999999</v>
      </c>
      <c r="N8522">
        <v>21652353.039999999</v>
      </c>
      <c r="O8522">
        <v>21652353.039999999</v>
      </c>
      <c r="P8522">
        <v>46402353.039999999</v>
      </c>
      <c r="Q8522">
        <v>46402353.039999999</v>
      </c>
      <c r="R8522" s="14">
        <f>_xlfn.XLOOKUP(Table2[[#This Row],[LoanID]],Table1[G-L ID],Table1[ManagerCode],-99)</f>
        <v>183</v>
      </c>
      <c r="T8522"/>
    </row>
    <row r="8523" spans="1:20" x14ac:dyDescent="0.25">
      <c r="A8523">
        <v>20190331</v>
      </c>
      <c r="B8523">
        <v>2019</v>
      </c>
      <c r="C8523">
        <v>3</v>
      </c>
      <c r="D8523">
        <v>1</v>
      </c>
      <c r="E8523">
        <v>12530</v>
      </c>
      <c r="F8523">
        <v>151491.67000000001</v>
      </c>
      <c r="G8523">
        <v>0</v>
      </c>
      <c r="H8523">
        <v>0</v>
      </c>
      <c r="I8523">
        <v>0</v>
      </c>
      <c r="J8523">
        <v>0</v>
      </c>
      <c r="K8523">
        <v>0</v>
      </c>
      <c r="L8523">
        <v>19875000</v>
      </c>
      <c r="M8523">
        <v>19875000</v>
      </c>
      <c r="N8523">
        <v>19875000</v>
      </c>
      <c r="O8523">
        <v>19875000</v>
      </c>
      <c r="P8523">
        <v>19875000</v>
      </c>
      <c r="Q8523">
        <v>19875000</v>
      </c>
      <c r="R8523" s="14">
        <f>_xlfn.XLOOKUP(Table2[[#This Row],[LoanID]],Table1[G-L ID],Table1[ManagerCode],-99)</f>
        <v>119</v>
      </c>
      <c r="T8523"/>
    </row>
    <row r="8524" spans="1:20" x14ac:dyDescent="0.25">
      <c r="A8524">
        <v>20190331</v>
      </c>
      <c r="B8524">
        <v>2019</v>
      </c>
      <c r="C8524">
        <v>3</v>
      </c>
      <c r="D8524">
        <v>1</v>
      </c>
      <c r="E8524">
        <v>12540</v>
      </c>
      <c r="F8524">
        <v>137224.87</v>
      </c>
      <c r="G8524">
        <v>0</v>
      </c>
      <c r="H8524">
        <v>0</v>
      </c>
      <c r="I8524">
        <v>0</v>
      </c>
      <c r="J8524">
        <v>0</v>
      </c>
      <c r="K8524">
        <v>0</v>
      </c>
      <c r="L8524">
        <v>15785271.65</v>
      </c>
      <c r="M8524">
        <v>15785271.65</v>
      </c>
      <c r="N8524">
        <v>15785271.65</v>
      </c>
      <c r="O8524">
        <v>15785271.65</v>
      </c>
      <c r="P8524">
        <v>15785271.65</v>
      </c>
      <c r="Q8524">
        <v>15785271.65</v>
      </c>
      <c r="R8524" s="14">
        <f>_xlfn.XLOOKUP(Table2[[#This Row],[LoanID]],Table1[G-L ID],Table1[ManagerCode],-99)</f>
        <v>119</v>
      </c>
      <c r="T8524"/>
    </row>
    <row r="8525" spans="1:20" x14ac:dyDescent="0.25">
      <c r="A8525">
        <v>20190331</v>
      </c>
      <c r="B8525">
        <v>2019</v>
      </c>
      <c r="C8525">
        <v>3</v>
      </c>
      <c r="D8525">
        <v>1</v>
      </c>
      <c r="E8525">
        <v>12550</v>
      </c>
      <c r="F8525">
        <v>72199.02</v>
      </c>
      <c r="G8525">
        <v>0</v>
      </c>
      <c r="H8525">
        <v>0</v>
      </c>
      <c r="I8525">
        <v>0</v>
      </c>
      <c r="J8525">
        <v>0</v>
      </c>
      <c r="K8525">
        <v>0</v>
      </c>
      <c r="L8525">
        <v>7416099.1500000004</v>
      </c>
      <c r="M8525">
        <v>7416099.1500000004</v>
      </c>
      <c r="N8525">
        <v>7416099.1500000004</v>
      </c>
      <c r="O8525">
        <v>7416099.1500000004</v>
      </c>
      <c r="P8525">
        <v>7416099.1500000004</v>
      </c>
      <c r="Q8525">
        <v>7416099.1500000004</v>
      </c>
      <c r="R8525" s="14">
        <f>_xlfn.XLOOKUP(Table2[[#This Row],[LoanID]],Table1[G-L ID],Table1[ManagerCode],-99)</f>
        <v>119</v>
      </c>
      <c r="T8525"/>
    </row>
    <row r="8526" spans="1:20" x14ac:dyDescent="0.25">
      <c r="A8526">
        <v>20190331</v>
      </c>
      <c r="B8526">
        <v>2019</v>
      </c>
      <c r="C8526">
        <v>3</v>
      </c>
      <c r="D8526">
        <v>1</v>
      </c>
      <c r="E8526">
        <v>12560</v>
      </c>
      <c r="F8526">
        <v>165917.78</v>
      </c>
      <c r="G8526">
        <v>0</v>
      </c>
      <c r="H8526">
        <v>0</v>
      </c>
      <c r="I8526">
        <v>0</v>
      </c>
      <c r="J8526">
        <v>-702863.74</v>
      </c>
      <c r="K8526">
        <v>0</v>
      </c>
      <c r="L8526">
        <v>21742844.16</v>
      </c>
      <c r="M8526">
        <v>22445707.899999999</v>
      </c>
      <c r="N8526">
        <v>21742844.16</v>
      </c>
      <c r="O8526">
        <v>22445707.899999999</v>
      </c>
      <c r="P8526">
        <v>21742844.16</v>
      </c>
      <c r="Q8526">
        <v>22445707.899999999</v>
      </c>
      <c r="R8526" s="14">
        <f>_xlfn.XLOOKUP(Table2[[#This Row],[LoanID]],Table1[G-L ID],Table1[ManagerCode],-99)</f>
        <v>119</v>
      </c>
      <c r="T8526"/>
    </row>
    <row r="8527" spans="1:20" x14ac:dyDescent="0.25">
      <c r="A8527">
        <v>20190331</v>
      </c>
      <c r="B8527">
        <v>2019</v>
      </c>
      <c r="C8527">
        <v>3</v>
      </c>
      <c r="D8527">
        <v>1</v>
      </c>
      <c r="E8527">
        <v>12570</v>
      </c>
      <c r="F8527">
        <v>91352.25</v>
      </c>
      <c r="G8527">
        <v>0</v>
      </c>
      <c r="H8527">
        <v>0</v>
      </c>
      <c r="I8527">
        <v>0</v>
      </c>
      <c r="J8527">
        <v>0</v>
      </c>
      <c r="K8527">
        <v>0</v>
      </c>
      <c r="L8527">
        <v>11306704.58</v>
      </c>
      <c r="M8527">
        <v>11306704.58</v>
      </c>
      <c r="N8527">
        <v>11306704.58</v>
      </c>
      <c r="O8527">
        <v>11306704.58</v>
      </c>
      <c r="P8527">
        <v>11306704.58</v>
      </c>
      <c r="Q8527">
        <v>11306704.58</v>
      </c>
      <c r="R8527" s="14">
        <f>_xlfn.XLOOKUP(Table2[[#This Row],[LoanID]],Table1[G-L ID],Table1[ManagerCode],-99)</f>
        <v>119</v>
      </c>
      <c r="T8527"/>
    </row>
    <row r="8528" spans="1:20" x14ac:dyDescent="0.25">
      <c r="A8528">
        <v>20190331</v>
      </c>
      <c r="B8528">
        <v>2019</v>
      </c>
      <c r="C8528">
        <v>3</v>
      </c>
      <c r="D8528">
        <v>1</v>
      </c>
      <c r="E8528">
        <v>12580</v>
      </c>
      <c r="F8528">
        <v>183240.17</v>
      </c>
      <c r="G8528">
        <v>0</v>
      </c>
      <c r="H8528">
        <v>0</v>
      </c>
      <c r="I8528">
        <v>0</v>
      </c>
      <c r="J8528">
        <v>-4332430.16</v>
      </c>
      <c r="K8528">
        <v>0</v>
      </c>
      <c r="L8528">
        <v>18000000</v>
      </c>
      <c r="M8528">
        <v>22332430.16</v>
      </c>
      <c r="N8528">
        <v>18000000</v>
      </c>
      <c r="O8528">
        <v>22332430.16</v>
      </c>
      <c r="P8528">
        <v>18000000</v>
      </c>
      <c r="Q8528">
        <v>22332430.16</v>
      </c>
      <c r="R8528" s="14">
        <f>_xlfn.XLOOKUP(Table2[[#This Row],[LoanID]],Table1[G-L ID],Table1[ManagerCode],-99)</f>
        <v>119</v>
      </c>
      <c r="T8528"/>
    </row>
    <row r="8529" spans="1:20" x14ac:dyDescent="0.25">
      <c r="A8529">
        <v>20190331</v>
      </c>
      <c r="B8529">
        <v>2019</v>
      </c>
      <c r="C8529">
        <v>3</v>
      </c>
      <c r="D8529">
        <v>1</v>
      </c>
      <c r="E8529">
        <v>12590</v>
      </c>
      <c r="F8529">
        <v>65264.89</v>
      </c>
      <c r="G8529">
        <v>0</v>
      </c>
      <c r="H8529">
        <v>0</v>
      </c>
      <c r="I8529">
        <v>0</v>
      </c>
      <c r="J8529">
        <v>0</v>
      </c>
      <c r="K8529">
        <v>0</v>
      </c>
      <c r="L8529">
        <v>8000000</v>
      </c>
      <c r="M8529">
        <v>8000000</v>
      </c>
      <c r="N8529">
        <v>8000000</v>
      </c>
      <c r="O8529">
        <v>8000000</v>
      </c>
      <c r="P8529">
        <v>8000000</v>
      </c>
      <c r="Q8529">
        <v>8000000</v>
      </c>
      <c r="R8529" s="14">
        <f>_xlfn.XLOOKUP(Table2[[#This Row],[LoanID]],Table1[G-L ID],Table1[ManagerCode],-99)</f>
        <v>119</v>
      </c>
      <c r="T8529"/>
    </row>
    <row r="8530" spans="1:20" x14ac:dyDescent="0.25">
      <c r="A8530">
        <v>20190331</v>
      </c>
      <c r="B8530">
        <v>2019</v>
      </c>
      <c r="C8530">
        <v>3</v>
      </c>
      <c r="D8530">
        <v>1</v>
      </c>
      <c r="E8530">
        <v>12600</v>
      </c>
      <c r="F8530">
        <v>232862.58</v>
      </c>
      <c r="G8530">
        <v>0</v>
      </c>
      <c r="H8530">
        <v>0</v>
      </c>
      <c r="I8530">
        <v>0</v>
      </c>
      <c r="J8530">
        <v>0</v>
      </c>
      <c r="K8530">
        <v>0</v>
      </c>
      <c r="L8530">
        <v>27750000</v>
      </c>
      <c r="M8530">
        <v>27750000</v>
      </c>
      <c r="N8530">
        <v>27750000</v>
      </c>
      <c r="O8530">
        <v>27750000</v>
      </c>
      <c r="P8530">
        <v>27750000</v>
      </c>
      <c r="Q8530">
        <v>27750000</v>
      </c>
      <c r="R8530" s="14">
        <f>_xlfn.XLOOKUP(Table2[[#This Row],[LoanID]],Table1[G-L ID],Table1[ManagerCode],-99)</f>
        <v>119</v>
      </c>
      <c r="T8530"/>
    </row>
    <row r="8531" spans="1:20" x14ac:dyDescent="0.25">
      <c r="A8531">
        <v>20190331</v>
      </c>
      <c r="B8531">
        <v>2019</v>
      </c>
      <c r="C8531">
        <v>3</v>
      </c>
      <c r="D8531">
        <v>1</v>
      </c>
      <c r="E8531">
        <v>12610</v>
      </c>
      <c r="F8531">
        <v>85715.86</v>
      </c>
      <c r="G8531">
        <v>0</v>
      </c>
      <c r="H8531">
        <v>0</v>
      </c>
      <c r="I8531">
        <v>0</v>
      </c>
      <c r="J8531">
        <v>0</v>
      </c>
      <c r="K8531">
        <v>0</v>
      </c>
      <c r="L8531">
        <v>10045348.66</v>
      </c>
      <c r="M8531">
        <v>10045348.66</v>
      </c>
      <c r="N8531">
        <v>10045348.66</v>
      </c>
      <c r="O8531">
        <v>10045348.66</v>
      </c>
      <c r="P8531">
        <v>10045348.66</v>
      </c>
      <c r="Q8531">
        <v>10045348.66</v>
      </c>
      <c r="R8531" s="14">
        <f>_xlfn.XLOOKUP(Table2[[#This Row],[LoanID]],Table1[G-L ID],Table1[ManagerCode],-99)</f>
        <v>119</v>
      </c>
      <c r="T8531"/>
    </row>
    <row r="8532" spans="1:20" x14ac:dyDescent="0.25">
      <c r="A8532">
        <v>20190331</v>
      </c>
      <c r="B8532">
        <v>2019</v>
      </c>
      <c r="C8532">
        <v>3</v>
      </c>
      <c r="D8532">
        <v>1</v>
      </c>
      <c r="E8532">
        <v>12620</v>
      </c>
      <c r="F8532">
        <v>15324.8</v>
      </c>
      <c r="G8532">
        <v>0</v>
      </c>
      <c r="H8532">
        <v>0</v>
      </c>
      <c r="I8532">
        <v>0</v>
      </c>
      <c r="J8532">
        <v>0</v>
      </c>
      <c r="K8532">
        <v>0</v>
      </c>
      <c r="L8532">
        <v>1661094.29</v>
      </c>
      <c r="M8532">
        <v>1661094.29</v>
      </c>
      <c r="N8532">
        <v>1661094.29</v>
      </c>
      <c r="O8532">
        <v>1661094.29</v>
      </c>
      <c r="P8532">
        <v>1661094.29</v>
      </c>
      <c r="Q8532">
        <v>1661094.29</v>
      </c>
      <c r="R8532" s="14">
        <f>_xlfn.XLOOKUP(Table2[[#This Row],[LoanID]],Table1[G-L ID],Table1[ManagerCode],-99)</f>
        <v>119</v>
      </c>
      <c r="T8532"/>
    </row>
    <row r="8533" spans="1:20" x14ac:dyDescent="0.25">
      <c r="A8533">
        <v>20190331</v>
      </c>
      <c r="B8533">
        <v>2019</v>
      </c>
      <c r="C8533">
        <v>3</v>
      </c>
      <c r="D8533">
        <v>1</v>
      </c>
      <c r="E8533">
        <v>12630</v>
      </c>
      <c r="F8533">
        <v>113887.42</v>
      </c>
      <c r="G8533">
        <v>0</v>
      </c>
      <c r="H8533">
        <v>0</v>
      </c>
      <c r="I8533">
        <v>0</v>
      </c>
      <c r="J8533">
        <v>0</v>
      </c>
      <c r="K8533">
        <v>0</v>
      </c>
      <c r="L8533">
        <v>13290976.189999999</v>
      </c>
      <c r="M8533">
        <v>13290976.189999999</v>
      </c>
      <c r="N8533">
        <v>13290976.189999999</v>
      </c>
      <c r="O8533">
        <v>13290976.189999999</v>
      </c>
      <c r="P8533">
        <v>13290976.189999999</v>
      </c>
      <c r="Q8533">
        <v>13290976.189999999</v>
      </c>
      <c r="R8533" s="14">
        <f>_xlfn.XLOOKUP(Table2[[#This Row],[LoanID]],Table1[G-L ID],Table1[ManagerCode],-99)</f>
        <v>119</v>
      </c>
      <c r="T8533"/>
    </row>
    <row r="8534" spans="1:20" x14ac:dyDescent="0.25">
      <c r="A8534">
        <v>20190331</v>
      </c>
      <c r="B8534">
        <v>2019</v>
      </c>
      <c r="C8534">
        <v>3</v>
      </c>
      <c r="D8534">
        <v>1</v>
      </c>
      <c r="E8534">
        <v>12640</v>
      </c>
      <c r="F8534">
        <v>94409.3</v>
      </c>
      <c r="G8534">
        <v>0</v>
      </c>
      <c r="H8534">
        <v>0</v>
      </c>
      <c r="I8534">
        <v>0</v>
      </c>
      <c r="J8534">
        <v>-1273171.72</v>
      </c>
      <c r="K8534">
        <v>0</v>
      </c>
      <c r="L8534">
        <v>10945677.359999999</v>
      </c>
      <c r="M8534">
        <v>12218849.08</v>
      </c>
      <c r="N8534">
        <v>10945677.359999999</v>
      </c>
      <c r="O8534">
        <v>12218849.08</v>
      </c>
      <c r="P8534">
        <v>10945677.359999999</v>
      </c>
      <c r="Q8534">
        <v>12218849.08</v>
      </c>
      <c r="R8534" s="14">
        <f>_xlfn.XLOOKUP(Table2[[#This Row],[LoanID]],Table1[G-L ID],Table1[ManagerCode],-99)</f>
        <v>119</v>
      </c>
      <c r="T8534"/>
    </row>
    <row r="8535" spans="1:20" x14ac:dyDescent="0.25">
      <c r="A8535">
        <v>20190331</v>
      </c>
      <c r="B8535">
        <v>2019</v>
      </c>
      <c r="C8535">
        <v>3</v>
      </c>
      <c r="D8535">
        <v>1</v>
      </c>
      <c r="E8535">
        <v>12650</v>
      </c>
      <c r="F8535">
        <v>418541.2</v>
      </c>
      <c r="G8535">
        <v>0</v>
      </c>
      <c r="H8535">
        <v>0</v>
      </c>
      <c r="I8535">
        <v>0</v>
      </c>
      <c r="J8535">
        <v>0</v>
      </c>
      <c r="K8535">
        <v>0</v>
      </c>
      <c r="L8535">
        <v>123200000</v>
      </c>
      <c r="M8535">
        <v>123200000</v>
      </c>
      <c r="N8535">
        <v>49280000</v>
      </c>
      <c r="O8535">
        <v>49280000</v>
      </c>
      <c r="P8535">
        <v>123200000</v>
      </c>
      <c r="Q8535">
        <v>123200000</v>
      </c>
      <c r="R8535" s="14">
        <f>_xlfn.XLOOKUP(Table2[[#This Row],[LoanID]],Table1[G-L ID],Table1[ManagerCode],-99)</f>
        <v>183</v>
      </c>
      <c r="T8535"/>
    </row>
    <row r="8536" spans="1:20" x14ac:dyDescent="0.25">
      <c r="A8536">
        <v>20190331</v>
      </c>
      <c r="B8536">
        <v>2019</v>
      </c>
      <c r="C8536">
        <v>3</v>
      </c>
      <c r="D8536">
        <v>1</v>
      </c>
      <c r="E8536">
        <v>12660</v>
      </c>
      <c r="F8536">
        <v>168069.44</v>
      </c>
      <c r="G8536">
        <v>0</v>
      </c>
      <c r="H8536">
        <v>0</v>
      </c>
      <c r="I8536">
        <v>0</v>
      </c>
      <c r="J8536">
        <v>0</v>
      </c>
      <c r="K8536">
        <v>0</v>
      </c>
      <c r="L8536">
        <v>47000000</v>
      </c>
      <c r="M8536">
        <v>47000000</v>
      </c>
      <c r="N8536">
        <v>19000000</v>
      </c>
      <c r="O8536">
        <v>19000000</v>
      </c>
      <c r="P8536">
        <v>47000000</v>
      </c>
      <c r="Q8536">
        <v>47000000</v>
      </c>
      <c r="R8536" s="14">
        <f>_xlfn.XLOOKUP(Table2[[#This Row],[LoanID]],Table1[G-L ID],Table1[ManagerCode],-99)</f>
        <v>183</v>
      </c>
      <c r="T8536"/>
    </row>
    <row r="8537" spans="1:20" x14ac:dyDescent="0.25">
      <c r="A8537">
        <v>20190331</v>
      </c>
      <c r="B8537">
        <v>2019</v>
      </c>
      <c r="C8537">
        <v>3</v>
      </c>
      <c r="D8537">
        <v>1</v>
      </c>
      <c r="E8537">
        <v>12670</v>
      </c>
      <c r="F8537">
        <v>61277.93</v>
      </c>
      <c r="G8537">
        <v>0</v>
      </c>
      <c r="H8537">
        <v>0</v>
      </c>
      <c r="I8537">
        <v>0</v>
      </c>
      <c r="J8537">
        <v>0</v>
      </c>
      <c r="K8537">
        <v>0</v>
      </c>
      <c r="L8537">
        <v>15500000</v>
      </c>
      <c r="M8537">
        <v>15500000</v>
      </c>
      <c r="N8537">
        <v>7250000</v>
      </c>
      <c r="O8537">
        <v>7250000</v>
      </c>
      <c r="P8537">
        <v>15500000</v>
      </c>
      <c r="Q8537">
        <v>15500000</v>
      </c>
      <c r="R8537" s="14">
        <f>_xlfn.XLOOKUP(Table2[[#This Row],[LoanID]],Table1[G-L ID],Table1[ManagerCode],-99)</f>
        <v>183</v>
      </c>
      <c r="T8537"/>
    </row>
    <row r="8538" spans="1:20" x14ac:dyDescent="0.25">
      <c r="A8538">
        <v>20190331</v>
      </c>
      <c r="B8538">
        <v>2019</v>
      </c>
      <c r="C8538">
        <v>3</v>
      </c>
      <c r="D8538">
        <v>1</v>
      </c>
      <c r="E8538">
        <v>12680</v>
      </c>
      <c r="F8538">
        <v>141996.15</v>
      </c>
      <c r="G8538">
        <v>0</v>
      </c>
      <c r="H8538">
        <v>0</v>
      </c>
      <c r="I8538">
        <v>0</v>
      </c>
      <c r="J8538">
        <v>0</v>
      </c>
      <c r="K8538">
        <v>0</v>
      </c>
      <c r="L8538">
        <v>16126000</v>
      </c>
      <c r="M8538">
        <v>16126000</v>
      </c>
      <c r="N8538">
        <v>16126000</v>
      </c>
      <c r="O8538">
        <v>16126000</v>
      </c>
      <c r="P8538">
        <v>16126000</v>
      </c>
      <c r="Q8538">
        <v>16126000</v>
      </c>
      <c r="R8538" s="14">
        <f>_xlfn.XLOOKUP(Table2[[#This Row],[LoanID]],Table1[G-L ID],Table1[ManagerCode],-99)</f>
        <v>119</v>
      </c>
      <c r="T8538"/>
    </row>
    <row r="8539" spans="1:20" x14ac:dyDescent="0.25">
      <c r="A8539">
        <v>20190331</v>
      </c>
      <c r="B8539">
        <v>2019</v>
      </c>
      <c r="C8539">
        <v>3</v>
      </c>
      <c r="D8539">
        <v>1</v>
      </c>
      <c r="E8539">
        <v>12690</v>
      </c>
      <c r="F8539">
        <v>89823.1</v>
      </c>
      <c r="G8539">
        <v>0</v>
      </c>
      <c r="H8539">
        <v>0</v>
      </c>
      <c r="I8539">
        <v>0</v>
      </c>
      <c r="J8539">
        <v>0</v>
      </c>
      <c r="K8539">
        <v>0</v>
      </c>
      <c r="L8539">
        <v>10175500</v>
      </c>
      <c r="M8539">
        <v>10175500</v>
      </c>
      <c r="N8539">
        <v>10175500</v>
      </c>
      <c r="O8539">
        <v>10175500</v>
      </c>
      <c r="P8539">
        <v>10175500</v>
      </c>
      <c r="Q8539">
        <v>10175500</v>
      </c>
      <c r="R8539" s="14">
        <f>_xlfn.XLOOKUP(Table2[[#This Row],[LoanID]],Table1[G-L ID],Table1[ManagerCode],-99)</f>
        <v>119</v>
      </c>
      <c r="T8539"/>
    </row>
    <row r="8540" spans="1:20" x14ac:dyDescent="0.25">
      <c r="A8540">
        <v>20190331</v>
      </c>
      <c r="B8540">
        <v>2019</v>
      </c>
      <c r="C8540">
        <v>3</v>
      </c>
      <c r="D8540">
        <v>1</v>
      </c>
      <c r="E8540">
        <v>12710</v>
      </c>
      <c r="F8540">
        <v>90280.97</v>
      </c>
      <c r="G8540">
        <v>0</v>
      </c>
      <c r="H8540">
        <v>0</v>
      </c>
      <c r="I8540">
        <v>0</v>
      </c>
      <c r="J8540">
        <v>0</v>
      </c>
      <c r="K8540">
        <v>0</v>
      </c>
      <c r="L8540">
        <v>9738975</v>
      </c>
      <c r="M8540">
        <v>9738975</v>
      </c>
      <c r="N8540">
        <v>9738975</v>
      </c>
      <c r="O8540">
        <v>9738975</v>
      </c>
      <c r="P8540">
        <v>9738975</v>
      </c>
      <c r="Q8540">
        <v>9738975</v>
      </c>
      <c r="R8540" s="14">
        <f>_xlfn.XLOOKUP(Table2[[#This Row],[LoanID]],Table1[G-L ID],Table1[ManagerCode],-99)</f>
        <v>119</v>
      </c>
      <c r="T8540"/>
    </row>
    <row r="8541" spans="1:20" x14ac:dyDescent="0.25">
      <c r="A8541">
        <v>20190331</v>
      </c>
      <c r="B8541">
        <v>2019</v>
      </c>
      <c r="C8541">
        <v>3</v>
      </c>
      <c r="D8541">
        <v>1</v>
      </c>
      <c r="E8541">
        <v>12720</v>
      </c>
      <c r="F8541">
        <v>557637.72</v>
      </c>
      <c r="G8541">
        <v>0</v>
      </c>
      <c r="H8541">
        <v>0</v>
      </c>
      <c r="I8541">
        <v>0</v>
      </c>
      <c r="J8541">
        <v>-404041.17</v>
      </c>
      <c r="K8541">
        <v>0</v>
      </c>
      <c r="L8541">
        <v>193712102.90000001</v>
      </c>
      <c r="M8541">
        <v>194116144.09999999</v>
      </c>
      <c r="N8541">
        <v>91831102.900000006</v>
      </c>
      <c r="O8541">
        <v>92235144.099999994</v>
      </c>
      <c r="P8541">
        <v>193712102.90000001</v>
      </c>
      <c r="Q8541">
        <v>194116144.09999999</v>
      </c>
      <c r="R8541" s="14">
        <f>_xlfn.XLOOKUP(Table2[[#This Row],[LoanID]],Table1[G-L ID],Table1[ManagerCode],-99)</f>
        <v>183</v>
      </c>
      <c r="T8541"/>
    </row>
    <row r="8542" spans="1:20" x14ac:dyDescent="0.25">
      <c r="A8542">
        <v>20190331</v>
      </c>
      <c r="B8542">
        <v>2019</v>
      </c>
      <c r="C8542">
        <v>3</v>
      </c>
      <c r="D8542">
        <v>1</v>
      </c>
      <c r="E8542">
        <v>12730</v>
      </c>
      <c r="F8542">
        <v>84911.14</v>
      </c>
      <c r="G8542">
        <v>0</v>
      </c>
      <c r="H8542">
        <v>0</v>
      </c>
      <c r="I8542">
        <v>0</v>
      </c>
      <c r="J8542">
        <v>0</v>
      </c>
      <c r="K8542">
        <v>0</v>
      </c>
      <c r="L8542">
        <v>38460000</v>
      </c>
      <c r="M8542">
        <v>38460000</v>
      </c>
      <c r="N8542">
        <v>13460000</v>
      </c>
      <c r="O8542">
        <v>13460000</v>
      </c>
      <c r="P8542">
        <v>38460000</v>
      </c>
      <c r="Q8542">
        <v>38460000</v>
      </c>
      <c r="R8542" s="14">
        <f>_xlfn.XLOOKUP(Table2[[#This Row],[LoanID]],Table1[G-L ID],Table1[ManagerCode],-99)</f>
        <v>183</v>
      </c>
      <c r="T8542"/>
    </row>
    <row r="8543" spans="1:20" x14ac:dyDescent="0.25">
      <c r="A8543">
        <v>20190331</v>
      </c>
      <c r="B8543">
        <v>2019</v>
      </c>
      <c r="C8543">
        <v>3</v>
      </c>
      <c r="D8543">
        <v>1</v>
      </c>
      <c r="E8543">
        <v>12740</v>
      </c>
      <c r="F8543">
        <v>117163.94</v>
      </c>
      <c r="G8543">
        <v>70750.28</v>
      </c>
      <c r="H8543">
        <v>0</v>
      </c>
      <c r="I8543">
        <v>0</v>
      </c>
      <c r="J8543">
        <v>-769915.03</v>
      </c>
      <c r="K8543">
        <v>0</v>
      </c>
      <c r="L8543">
        <v>23300874.940000001</v>
      </c>
      <c r="M8543">
        <v>24141540.25</v>
      </c>
      <c r="N8543">
        <v>23300874.940000001</v>
      </c>
      <c r="O8543">
        <v>24141540.25</v>
      </c>
      <c r="P8543">
        <v>23300874.940000001</v>
      </c>
      <c r="Q8543">
        <v>24141540.25</v>
      </c>
      <c r="R8543" s="14">
        <f>_xlfn.XLOOKUP(Table2[[#This Row],[LoanID]],Table1[G-L ID],Table1[ManagerCode],-99)</f>
        <v>183</v>
      </c>
      <c r="T8543"/>
    </row>
    <row r="8544" spans="1:20" x14ac:dyDescent="0.25">
      <c r="A8544">
        <v>20190331</v>
      </c>
      <c r="B8544">
        <v>2019</v>
      </c>
      <c r="C8544">
        <v>3</v>
      </c>
      <c r="D8544">
        <v>1</v>
      </c>
      <c r="E8544">
        <v>12930</v>
      </c>
      <c r="F8544">
        <v>162973.03</v>
      </c>
      <c r="G8544">
        <v>0</v>
      </c>
      <c r="H8544">
        <v>0</v>
      </c>
      <c r="I8544">
        <v>0</v>
      </c>
      <c r="J8544">
        <v>0</v>
      </c>
      <c r="K8544">
        <v>0</v>
      </c>
      <c r="L8544">
        <v>19000000</v>
      </c>
      <c r="M8544">
        <v>19000000</v>
      </c>
      <c r="N8544">
        <v>19000000</v>
      </c>
      <c r="O8544">
        <v>19000000</v>
      </c>
      <c r="P8544">
        <v>19000000</v>
      </c>
      <c r="Q8544">
        <v>19000000</v>
      </c>
      <c r="R8544" s="14">
        <f>_xlfn.XLOOKUP(Table2[[#This Row],[LoanID]],Table1[G-L ID],Table1[ManagerCode],-99)</f>
        <v>119</v>
      </c>
      <c r="T8544"/>
    </row>
    <row r="8545" spans="1:20" x14ac:dyDescent="0.25">
      <c r="A8545">
        <v>20190331</v>
      </c>
      <c r="B8545">
        <v>2019</v>
      </c>
      <c r="C8545">
        <v>3</v>
      </c>
      <c r="D8545">
        <v>1</v>
      </c>
      <c r="E8545">
        <v>12940</v>
      </c>
      <c r="F8545">
        <v>163473.79</v>
      </c>
      <c r="G8545">
        <v>0</v>
      </c>
      <c r="H8545">
        <v>0</v>
      </c>
      <c r="I8545">
        <v>0</v>
      </c>
      <c r="J8545">
        <v>-425523.86</v>
      </c>
      <c r="K8545">
        <v>0</v>
      </c>
      <c r="L8545">
        <v>19370342.25</v>
      </c>
      <c r="M8545">
        <v>19795866.109999999</v>
      </c>
      <c r="N8545">
        <v>19370342.25</v>
      </c>
      <c r="O8545">
        <v>19795866.109999999</v>
      </c>
      <c r="P8545">
        <v>19370342.25</v>
      </c>
      <c r="Q8545">
        <v>19795866.109999999</v>
      </c>
      <c r="R8545" s="14">
        <f>_xlfn.XLOOKUP(Table2[[#This Row],[LoanID]],Table1[G-L ID],Table1[ManagerCode],-99)</f>
        <v>119</v>
      </c>
      <c r="T8545"/>
    </row>
    <row r="8546" spans="1:20" x14ac:dyDescent="0.25">
      <c r="A8546">
        <v>20190331</v>
      </c>
      <c r="B8546">
        <v>2019</v>
      </c>
      <c r="C8546">
        <v>3</v>
      </c>
      <c r="D8546">
        <v>1</v>
      </c>
      <c r="E8546">
        <v>12950</v>
      </c>
      <c r="F8546">
        <v>220153.64</v>
      </c>
      <c r="G8546">
        <v>0</v>
      </c>
      <c r="H8546">
        <v>0</v>
      </c>
      <c r="I8546">
        <v>0</v>
      </c>
      <c r="J8546">
        <v>0</v>
      </c>
      <c r="K8546">
        <v>0</v>
      </c>
      <c r="L8546">
        <v>26732750</v>
      </c>
      <c r="M8546">
        <v>26732750</v>
      </c>
      <c r="N8546">
        <v>26732750</v>
      </c>
      <c r="O8546">
        <v>26732750</v>
      </c>
      <c r="P8546">
        <v>26732750</v>
      </c>
      <c r="Q8546">
        <v>26732750</v>
      </c>
      <c r="R8546" s="14">
        <f>_xlfn.XLOOKUP(Table2[[#This Row],[LoanID]],Table1[G-L ID],Table1[ManagerCode],-99)</f>
        <v>119</v>
      </c>
      <c r="T8546"/>
    </row>
    <row r="8547" spans="1:20" x14ac:dyDescent="0.25">
      <c r="A8547">
        <v>20190331</v>
      </c>
      <c r="B8547">
        <v>2019</v>
      </c>
      <c r="C8547">
        <v>3</v>
      </c>
      <c r="D8547">
        <v>1</v>
      </c>
      <c r="E8547">
        <v>12960</v>
      </c>
      <c r="F8547">
        <v>76633.13</v>
      </c>
      <c r="G8547">
        <v>0</v>
      </c>
      <c r="H8547">
        <v>0</v>
      </c>
      <c r="I8547">
        <v>0</v>
      </c>
      <c r="J8547">
        <v>-280329.71000000002</v>
      </c>
      <c r="K8547">
        <v>0</v>
      </c>
      <c r="L8547">
        <v>8850000</v>
      </c>
      <c r="M8547">
        <v>9130329.7100000009</v>
      </c>
      <c r="N8547">
        <v>8850000</v>
      </c>
      <c r="O8547">
        <v>9130329.7100000009</v>
      </c>
      <c r="P8547">
        <v>8850000</v>
      </c>
      <c r="Q8547">
        <v>9130329.7100000009</v>
      </c>
      <c r="R8547" s="14">
        <f>_xlfn.XLOOKUP(Table2[[#This Row],[LoanID]],Table1[G-L ID],Table1[ManagerCode],-99)</f>
        <v>119</v>
      </c>
      <c r="T8547"/>
    </row>
    <row r="8548" spans="1:20" x14ac:dyDescent="0.25">
      <c r="A8548">
        <v>20190331</v>
      </c>
      <c r="B8548">
        <v>2019</v>
      </c>
      <c r="C8548">
        <v>3</v>
      </c>
      <c r="D8548">
        <v>1</v>
      </c>
      <c r="E8548">
        <v>12970</v>
      </c>
      <c r="F8548">
        <v>90823.7</v>
      </c>
      <c r="G8548">
        <v>0</v>
      </c>
      <c r="H8548">
        <v>0</v>
      </c>
      <c r="I8548">
        <v>0</v>
      </c>
      <c r="J8548">
        <v>0</v>
      </c>
      <c r="K8548">
        <v>0</v>
      </c>
      <c r="L8548">
        <v>10007439.51</v>
      </c>
      <c r="M8548">
        <v>10007439.51</v>
      </c>
      <c r="N8548">
        <v>10007439.51</v>
      </c>
      <c r="O8548">
        <v>10007439.51</v>
      </c>
      <c r="P8548">
        <v>10007439.51</v>
      </c>
      <c r="Q8548">
        <v>10007439.51</v>
      </c>
      <c r="R8548" s="14">
        <f>_xlfn.XLOOKUP(Table2[[#This Row],[LoanID]],Table1[G-L ID],Table1[ManagerCode],-99)</f>
        <v>119</v>
      </c>
      <c r="T8548"/>
    </row>
    <row r="8549" spans="1:20" x14ac:dyDescent="0.25">
      <c r="A8549">
        <v>20190331</v>
      </c>
      <c r="B8549">
        <v>2019</v>
      </c>
      <c r="C8549">
        <v>3</v>
      </c>
      <c r="D8549">
        <v>1</v>
      </c>
      <c r="E8549">
        <v>12980</v>
      </c>
      <c r="F8549">
        <v>140616.66</v>
      </c>
      <c r="G8549">
        <v>0</v>
      </c>
      <c r="H8549">
        <v>0</v>
      </c>
      <c r="I8549">
        <v>0</v>
      </c>
      <c r="J8549">
        <v>0</v>
      </c>
      <c r="K8549">
        <v>0</v>
      </c>
      <c r="L8549">
        <v>13750000</v>
      </c>
      <c r="M8549">
        <v>13750000</v>
      </c>
      <c r="N8549">
        <v>13750000</v>
      </c>
      <c r="O8549">
        <v>13750000</v>
      </c>
      <c r="P8549">
        <v>13750000</v>
      </c>
      <c r="Q8549">
        <v>13750000</v>
      </c>
      <c r="R8549" s="14">
        <f>_xlfn.XLOOKUP(Table2[[#This Row],[LoanID]],Table1[G-L ID],Table1[ManagerCode],-99)</f>
        <v>119</v>
      </c>
      <c r="T8549"/>
    </row>
    <row r="8550" spans="1:20" x14ac:dyDescent="0.25">
      <c r="A8550">
        <v>20190331</v>
      </c>
      <c r="B8550">
        <v>2019</v>
      </c>
      <c r="C8550">
        <v>3</v>
      </c>
      <c r="D8550">
        <v>1</v>
      </c>
      <c r="E8550">
        <v>12990</v>
      </c>
      <c r="F8550">
        <v>238799.49</v>
      </c>
      <c r="G8550">
        <v>0</v>
      </c>
      <c r="H8550">
        <v>0</v>
      </c>
      <c r="I8550">
        <v>0</v>
      </c>
      <c r="J8550">
        <v>0</v>
      </c>
      <c r="K8550">
        <v>0</v>
      </c>
      <c r="L8550">
        <v>29074613.27</v>
      </c>
      <c r="M8550">
        <v>29074613.27</v>
      </c>
      <c r="N8550">
        <v>29074613.27</v>
      </c>
      <c r="O8550">
        <v>29074613.27</v>
      </c>
      <c r="P8550">
        <v>29074613.27</v>
      </c>
      <c r="Q8550">
        <v>29074613.27</v>
      </c>
      <c r="R8550" s="14">
        <f>_xlfn.XLOOKUP(Table2[[#This Row],[LoanID]],Table1[G-L ID],Table1[ManagerCode],-99)</f>
        <v>119</v>
      </c>
      <c r="T8550"/>
    </row>
    <row r="8551" spans="1:20" x14ac:dyDescent="0.25">
      <c r="A8551">
        <v>20190331</v>
      </c>
      <c r="B8551">
        <v>2019</v>
      </c>
      <c r="C8551">
        <v>3</v>
      </c>
      <c r="D8551">
        <v>1</v>
      </c>
      <c r="E8551">
        <v>13000</v>
      </c>
      <c r="F8551">
        <v>136848.18</v>
      </c>
      <c r="G8551">
        <v>0</v>
      </c>
      <c r="H8551">
        <v>0</v>
      </c>
      <c r="I8551">
        <v>0</v>
      </c>
      <c r="J8551">
        <v>-136848.07999999999</v>
      </c>
      <c r="K8551">
        <v>0</v>
      </c>
      <c r="L8551">
        <v>37460900</v>
      </c>
      <c r="M8551">
        <v>37914782</v>
      </c>
      <c r="N8551">
        <v>37460900</v>
      </c>
      <c r="O8551">
        <v>37914782</v>
      </c>
      <c r="P8551">
        <v>41083195.460000001</v>
      </c>
      <c r="Q8551">
        <v>41220043.539999999</v>
      </c>
      <c r="R8551" s="14">
        <f>_xlfn.XLOOKUP(Table2[[#This Row],[LoanID]],Table1[G-L ID],Table1[ManagerCode],-99)</f>
        <v>103</v>
      </c>
      <c r="T8551"/>
    </row>
    <row r="8552" spans="1:20" x14ac:dyDescent="0.25">
      <c r="A8552">
        <v>20190331</v>
      </c>
      <c r="B8552">
        <v>2019</v>
      </c>
      <c r="C8552">
        <v>3</v>
      </c>
      <c r="D8552">
        <v>1</v>
      </c>
      <c r="E8552">
        <v>13010</v>
      </c>
      <c r="F8552">
        <v>1400000</v>
      </c>
      <c r="G8552">
        <v>0</v>
      </c>
      <c r="H8552">
        <v>0</v>
      </c>
      <c r="I8552">
        <v>0</v>
      </c>
      <c r="J8552">
        <v>0</v>
      </c>
      <c r="K8552">
        <v>0</v>
      </c>
      <c r="L8552">
        <v>199224024</v>
      </c>
      <c r="M8552">
        <v>199500200</v>
      </c>
      <c r="N8552">
        <v>199224024</v>
      </c>
      <c r="O8552">
        <v>199500200</v>
      </c>
      <c r="P8552">
        <v>210000000</v>
      </c>
      <c r="Q8552">
        <v>210000000</v>
      </c>
      <c r="R8552" s="14">
        <f>_xlfn.XLOOKUP(Table2[[#This Row],[LoanID]],Table1[G-L ID],Table1[ManagerCode],-99)</f>
        <v>103</v>
      </c>
      <c r="T8552"/>
    </row>
    <row r="8553" spans="1:20" x14ac:dyDescent="0.25">
      <c r="A8553">
        <v>20190331</v>
      </c>
      <c r="B8553">
        <v>2019</v>
      </c>
      <c r="C8553">
        <v>3</v>
      </c>
      <c r="D8553">
        <v>1</v>
      </c>
      <c r="E8553">
        <v>13020</v>
      </c>
      <c r="F8553">
        <v>193093.19</v>
      </c>
      <c r="G8553">
        <v>0</v>
      </c>
      <c r="H8553">
        <v>0</v>
      </c>
      <c r="I8553">
        <v>0</v>
      </c>
      <c r="J8553">
        <v>-193093.19</v>
      </c>
      <c r="K8553">
        <v>0</v>
      </c>
      <c r="L8553">
        <v>20688555.84</v>
      </c>
      <c r="M8553">
        <v>20881649.030000001</v>
      </c>
      <c r="N8553">
        <v>20688555.84</v>
      </c>
      <c r="O8553">
        <v>20881649.030000001</v>
      </c>
      <c r="P8553">
        <v>20688555.84</v>
      </c>
      <c r="Q8553">
        <v>20881649.030000001</v>
      </c>
      <c r="R8553" s="14">
        <f>_xlfn.XLOOKUP(Table2[[#This Row],[LoanID]],Table1[G-L ID],Table1[ManagerCode],-99)</f>
        <v>103</v>
      </c>
      <c r="T8553"/>
    </row>
    <row r="8554" spans="1:20" x14ac:dyDescent="0.25">
      <c r="A8554">
        <v>20190331</v>
      </c>
      <c r="B8554">
        <v>2019</v>
      </c>
      <c r="C8554">
        <v>3</v>
      </c>
      <c r="D8554">
        <v>1</v>
      </c>
      <c r="E8554">
        <v>13030</v>
      </c>
      <c r="F8554">
        <v>301976.17</v>
      </c>
      <c r="G8554">
        <v>0</v>
      </c>
      <c r="H8554">
        <v>0</v>
      </c>
      <c r="I8554">
        <v>0</v>
      </c>
      <c r="J8554">
        <v>0</v>
      </c>
      <c r="K8554">
        <v>0</v>
      </c>
      <c r="L8554">
        <v>114000000</v>
      </c>
      <c r="M8554">
        <v>114000000</v>
      </c>
      <c r="N8554">
        <v>51276576</v>
      </c>
      <c r="O8554">
        <v>51276576</v>
      </c>
      <c r="P8554">
        <v>114000000</v>
      </c>
      <c r="Q8554">
        <v>114000000</v>
      </c>
      <c r="R8554" s="14">
        <f>_xlfn.XLOOKUP(Table2[[#This Row],[LoanID]],Table1[G-L ID],Table1[ManagerCode],-99)</f>
        <v>183</v>
      </c>
      <c r="T8554"/>
    </row>
    <row r="8555" spans="1:20" x14ac:dyDescent="0.25">
      <c r="A8555">
        <v>20190331</v>
      </c>
      <c r="B8555">
        <v>2019</v>
      </c>
      <c r="C8555">
        <v>3</v>
      </c>
      <c r="D8555">
        <v>1</v>
      </c>
      <c r="E8555">
        <v>13040</v>
      </c>
      <c r="F8555">
        <v>76071.62</v>
      </c>
      <c r="G8555">
        <v>0</v>
      </c>
      <c r="H8555">
        <v>0</v>
      </c>
      <c r="I8555">
        <v>0</v>
      </c>
      <c r="J8555">
        <v>0</v>
      </c>
      <c r="K8555">
        <v>0</v>
      </c>
      <c r="L8555">
        <v>33862500</v>
      </c>
      <c r="M8555">
        <v>33862500</v>
      </c>
      <c r="N8555">
        <v>13690113</v>
      </c>
      <c r="O8555">
        <v>13690113</v>
      </c>
      <c r="P8555">
        <v>33862500</v>
      </c>
      <c r="Q8555">
        <v>33862500</v>
      </c>
      <c r="R8555" s="14">
        <f>_xlfn.XLOOKUP(Table2[[#This Row],[LoanID]],Table1[G-L ID],Table1[ManagerCode],-99)</f>
        <v>183</v>
      </c>
      <c r="T8555"/>
    </row>
    <row r="8556" spans="1:20" x14ac:dyDescent="0.25">
      <c r="A8556">
        <v>20190331</v>
      </c>
      <c r="B8556">
        <v>2019</v>
      </c>
      <c r="C8556">
        <v>3</v>
      </c>
      <c r="D8556">
        <v>1</v>
      </c>
      <c r="E8556">
        <v>13050</v>
      </c>
      <c r="F8556">
        <v>76717.710000000006</v>
      </c>
      <c r="G8556">
        <v>0</v>
      </c>
      <c r="H8556">
        <v>0</v>
      </c>
      <c r="I8556">
        <v>0</v>
      </c>
      <c r="J8556">
        <v>0</v>
      </c>
      <c r="K8556">
        <v>0</v>
      </c>
      <c r="L8556">
        <v>42575000</v>
      </c>
      <c r="M8556">
        <v>42575000</v>
      </c>
      <c r="N8556">
        <v>14901424</v>
      </c>
      <c r="O8556">
        <v>14901424</v>
      </c>
      <c r="P8556">
        <v>42575000</v>
      </c>
      <c r="Q8556">
        <v>42575000</v>
      </c>
      <c r="R8556" s="14">
        <f>_xlfn.XLOOKUP(Table2[[#This Row],[LoanID]],Table1[G-L ID],Table1[ManagerCode],-99)</f>
        <v>183</v>
      </c>
      <c r="T8556"/>
    </row>
    <row r="8557" spans="1:20" x14ac:dyDescent="0.25">
      <c r="A8557">
        <v>20190331</v>
      </c>
      <c r="B8557">
        <v>2019</v>
      </c>
      <c r="C8557">
        <v>3</v>
      </c>
      <c r="D8557">
        <v>1</v>
      </c>
      <c r="E8557">
        <v>13060</v>
      </c>
      <c r="F8557">
        <v>92928.62</v>
      </c>
      <c r="G8557">
        <v>0</v>
      </c>
      <c r="H8557">
        <v>0</v>
      </c>
      <c r="I8557">
        <v>0</v>
      </c>
      <c r="J8557">
        <v>0</v>
      </c>
      <c r="K8557">
        <v>0</v>
      </c>
      <c r="L8557">
        <v>42730506.350000001</v>
      </c>
      <c r="M8557">
        <v>42730506.350000001</v>
      </c>
      <c r="N8557">
        <v>17128944.350000001</v>
      </c>
      <c r="O8557">
        <v>17128944.350000001</v>
      </c>
      <c r="P8557">
        <v>42730506.350000001</v>
      </c>
      <c r="Q8557">
        <v>42730506.350000001</v>
      </c>
      <c r="R8557" s="14">
        <f>_xlfn.XLOOKUP(Table2[[#This Row],[LoanID]],Table1[G-L ID],Table1[ManagerCode],-99)</f>
        <v>183</v>
      </c>
      <c r="T8557"/>
    </row>
    <row r="8558" spans="1:20" x14ac:dyDescent="0.25">
      <c r="A8558">
        <v>20190331</v>
      </c>
      <c r="B8558">
        <v>2019</v>
      </c>
      <c r="C8558">
        <v>3</v>
      </c>
      <c r="D8558">
        <v>1</v>
      </c>
      <c r="E8558">
        <v>13070</v>
      </c>
      <c r="F8558">
        <v>348901.71</v>
      </c>
      <c r="G8558">
        <v>0</v>
      </c>
      <c r="H8558">
        <v>0</v>
      </c>
      <c r="I8558">
        <v>0</v>
      </c>
      <c r="J8558">
        <v>0</v>
      </c>
      <c r="K8558">
        <v>0</v>
      </c>
      <c r="L8558">
        <v>84578370</v>
      </c>
      <c r="M8558">
        <v>84578370</v>
      </c>
      <c r="N8558">
        <v>44578370</v>
      </c>
      <c r="O8558">
        <v>44578370</v>
      </c>
      <c r="P8558">
        <v>84578370</v>
      </c>
      <c r="Q8558">
        <v>84578370</v>
      </c>
      <c r="R8558" s="14">
        <f>_xlfn.XLOOKUP(Table2[[#This Row],[LoanID]],Table1[G-L ID],Table1[ManagerCode],-99)</f>
        <v>183</v>
      </c>
      <c r="T8558"/>
    </row>
    <row r="8559" spans="1:20" x14ac:dyDescent="0.25">
      <c r="A8559">
        <v>20190331</v>
      </c>
      <c r="B8559">
        <v>2019</v>
      </c>
      <c r="C8559">
        <v>3</v>
      </c>
      <c r="D8559">
        <v>1</v>
      </c>
      <c r="E8559">
        <v>13080</v>
      </c>
      <c r="F8559">
        <v>75736.41</v>
      </c>
      <c r="G8559">
        <v>0</v>
      </c>
      <c r="H8559">
        <v>0</v>
      </c>
      <c r="I8559">
        <v>0</v>
      </c>
      <c r="J8559">
        <v>0</v>
      </c>
      <c r="K8559">
        <v>0</v>
      </c>
      <c r="L8559">
        <v>36000000</v>
      </c>
      <c r="M8559">
        <v>36000000</v>
      </c>
      <c r="N8559">
        <v>14500000</v>
      </c>
      <c r="O8559">
        <v>14500000</v>
      </c>
      <c r="P8559">
        <v>36000000</v>
      </c>
      <c r="Q8559">
        <v>36000000</v>
      </c>
      <c r="R8559" s="14">
        <f>_xlfn.XLOOKUP(Table2[[#This Row],[LoanID]],Table1[G-L ID],Table1[ManagerCode],-99)</f>
        <v>183</v>
      </c>
      <c r="T8559"/>
    </row>
    <row r="8560" spans="1:20" x14ac:dyDescent="0.25">
      <c r="A8560">
        <v>20190331</v>
      </c>
      <c r="B8560">
        <v>2019</v>
      </c>
      <c r="C8560">
        <v>3</v>
      </c>
      <c r="D8560">
        <v>1</v>
      </c>
      <c r="E8560">
        <v>13090</v>
      </c>
      <c r="F8560">
        <v>116801.11</v>
      </c>
      <c r="G8560">
        <v>0</v>
      </c>
      <c r="H8560">
        <v>0</v>
      </c>
      <c r="I8560">
        <v>0</v>
      </c>
      <c r="J8560">
        <v>0</v>
      </c>
      <c r="K8560">
        <v>0</v>
      </c>
      <c r="L8560">
        <v>20000000</v>
      </c>
      <c r="M8560">
        <v>20000000</v>
      </c>
      <c r="N8560">
        <v>20000000</v>
      </c>
      <c r="O8560">
        <v>20000000</v>
      </c>
      <c r="P8560">
        <v>20000000</v>
      </c>
      <c r="Q8560">
        <v>20000000</v>
      </c>
      <c r="R8560" s="14">
        <f>_xlfn.XLOOKUP(Table2[[#This Row],[LoanID]],Table1[G-L ID],Table1[ManagerCode],-99)</f>
        <v>183</v>
      </c>
      <c r="T8560"/>
    </row>
    <row r="8561" spans="1:20" x14ac:dyDescent="0.25">
      <c r="A8561">
        <v>20190331</v>
      </c>
      <c r="B8561">
        <v>2019</v>
      </c>
      <c r="C8561">
        <v>3</v>
      </c>
      <c r="D8561">
        <v>1</v>
      </c>
      <c r="E8561">
        <v>13100</v>
      </c>
      <c r="F8561">
        <v>96341.119999999995</v>
      </c>
      <c r="G8561">
        <v>0</v>
      </c>
      <c r="H8561">
        <v>0</v>
      </c>
      <c r="I8561">
        <v>0</v>
      </c>
      <c r="J8561">
        <v>-45000</v>
      </c>
      <c r="K8561">
        <v>0</v>
      </c>
      <c r="L8561">
        <v>31600000</v>
      </c>
      <c r="M8561">
        <v>31645000</v>
      </c>
      <c r="N8561">
        <v>14251600</v>
      </c>
      <c r="O8561">
        <v>14296600</v>
      </c>
      <c r="P8561">
        <v>31600000</v>
      </c>
      <c r="Q8561">
        <v>31645000</v>
      </c>
      <c r="R8561" s="14">
        <f>_xlfn.XLOOKUP(Table2[[#This Row],[LoanID]],Table1[G-L ID],Table1[ManagerCode],-99)</f>
        <v>183</v>
      </c>
      <c r="T8561"/>
    </row>
    <row r="8562" spans="1:20" x14ac:dyDescent="0.25">
      <c r="A8562">
        <v>20190331</v>
      </c>
      <c r="B8562">
        <v>2019</v>
      </c>
      <c r="C8562">
        <v>3</v>
      </c>
      <c r="D8562">
        <v>1</v>
      </c>
      <c r="E8562">
        <v>13110</v>
      </c>
      <c r="F8562">
        <v>95229.02</v>
      </c>
      <c r="G8562">
        <v>0</v>
      </c>
      <c r="H8562">
        <v>0</v>
      </c>
      <c r="I8562">
        <v>0</v>
      </c>
      <c r="J8562">
        <v>0</v>
      </c>
      <c r="K8562">
        <v>0</v>
      </c>
      <c r="L8562">
        <v>44000000</v>
      </c>
      <c r="M8562">
        <v>44000000</v>
      </c>
      <c r="N8562">
        <v>17723750</v>
      </c>
      <c r="O8562">
        <v>17723750</v>
      </c>
      <c r="P8562">
        <v>44000000</v>
      </c>
      <c r="Q8562">
        <v>44000000</v>
      </c>
      <c r="R8562" s="14">
        <f>_xlfn.XLOOKUP(Table2[[#This Row],[LoanID]],Table1[G-L ID],Table1[ManagerCode],-99)</f>
        <v>183</v>
      </c>
      <c r="T8562"/>
    </row>
    <row r="8563" spans="1:20" x14ac:dyDescent="0.25">
      <c r="A8563">
        <v>20190331</v>
      </c>
      <c r="B8563">
        <v>2019</v>
      </c>
      <c r="C8563">
        <v>3</v>
      </c>
      <c r="D8563">
        <v>1</v>
      </c>
      <c r="E8563">
        <v>13120</v>
      </c>
      <c r="F8563">
        <v>56119.92</v>
      </c>
      <c r="G8563">
        <v>0</v>
      </c>
      <c r="H8563">
        <v>0</v>
      </c>
      <c r="I8563">
        <v>0</v>
      </c>
      <c r="J8563">
        <v>0</v>
      </c>
      <c r="K8563">
        <v>0</v>
      </c>
      <c r="L8563">
        <v>27360000</v>
      </c>
      <c r="M8563">
        <v>27360000</v>
      </c>
      <c r="N8563">
        <v>9576000</v>
      </c>
      <c r="O8563">
        <v>9576000</v>
      </c>
      <c r="P8563">
        <v>27360000</v>
      </c>
      <c r="Q8563">
        <v>27360000</v>
      </c>
      <c r="R8563" s="14">
        <f>_xlfn.XLOOKUP(Table2[[#This Row],[LoanID]],Table1[G-L ID],Table1[ManagerCode],-99)</f>
        <v>183</v>
      </c>
      <c r="T8563"/>
    </row>
    <row r="8564" spans="1:20" x14ac:dyDescent="0.25">
      <c r="A8564">
        <v>20190331</v>
      </c>
      <c r="B8564">
        <v>2019</v>
      </c>
      <c r="C8564">
        <v>3</v>
      </c>
      <c r="D8564">
        <v>1</v>
      </c>
      <c r="E8564">
        <v>13130</v>
      </c>
      <c r="F8564">
        <v>433205.89</v>
      </c>
      <c r="G8564">
        <v>0</v>
      </c>
      <c r="H8564">
        <v>0</v>
      </c>
      <c r="I8564">
        <v>0</v>
      </c>
      <c r="J8564">
        <v>0</v>
      </c>
      <c r="K8564">
        <v>0</v>
      </c>
      <c r="L8564">
        <v>190400000</v>
      </c>
      <c r="M8564">
        <v>190400000</v>
      </c>
      <c r="N8564">
        <v>90400000</v>
      </c>
      <c r="O8564">
        <v>90400000</v>
      </c>
      <c r="P8564">
        <v>190400000</v>
      </c>
      <c r="Q8564">
        <v>190400000</v>
      </c>
      <c r="R8564" s="14">
        <f>_xlfn.XLOOKUP(Table2[[#This Row],[LoanID]],Table1[G-L ID],Table1[ManagerCode],-99)</f>
        <v>183</v>
      </c>
      <c r="T8564"/>
    </row>
    <row r="8565" spans="1:20" x14ac:dyDescent="0.25">
      <c r="A8565">
        <v>20190331</v>
      </c>
      <c r="B8565">
        <v>2019</v>
      </c>
      <c r="C8565">
        <v>3</v>
      </c>
      <c r="D8565">
        <v>1</v>
      </c>
      <c r="E8565">
        <v>13140</v>
      </c>
      <c r="F8565">
        <v>253491.92</v>
      </c>
      <c r="G8565">
        <v>0</v>
      </c>
      <c r="H8565">
        <v>0</v>
      </c>
      <c r="I8565">
        <v>0</v>
      </c>
      <c r="J8565">
        <v>0</v>
      </c>
      <c r="K8565">
        <v>0</v>
      </c>
      <c r="L8565">
        <v>62210000</v>
      </c>
      <c r="M8565">
        <v>62210000</v>
      </c>
      <c r="N8565">
        <v>62210000</v>
      </c>
      <c r="O8565">
        <v>62210000</v>
      </c>
      <c r="P8565">
        <v>62210000</v>
      </c>
      <c r="Q8565">
        <v>62210000</v>
      </c>
      <c r="R8565" s="14">
        <f>_xlfn.XLOOKUP(Table2[[#This Row],[LoanID]],Table1[G-L ID],Table1[ManagerCode],-99)</f>
        <v>183</v>
      </c>
      <c r="T8565"/>
    </row>
    <row r="8566" spans="1:20" x14ac:dyDescent="0.25">
      <c r="A8566">
        <v>20190331</v>
      </c>
      <c r="B8566">
        <v>2019</v>
      </c>
      <c r="C8566">
        <v>3</v>
      </c>
      <c r="D8566">
        <v>1</v>
      </c>
      <c r="E8566">
        <v>13150</v>
      </c>
      <c r="F8566">
        <v>182161.83</v>
      </c>
      <c r="G8566">
        <v>0</v>
      </c>
      <c r="H8566">
        <v>0</v>
      </c>
      <c r="I8566">
        <v>0</v>
      </c>
      <c r="J8566">
        <v>0</v>
      </c>
      <c r="K8566">
        <v>0</v>
      </c>
      <c r="L8566">
        <v>85580000</v>
      </c>
      <c r="M8566">
        <v>85580000</v>
      </c>
      <c r="N8566">
        <v>29953000</v>
      </c>
      <c r="O8566">
        <v>29953000</v>
      </c>
      <c r="P8566">
        <v>85580000</v>
      </c>
      <c r="Q8566">
        <v>85580000</v>
      </c>
      <c r="R8566" s="14">
        <f>_xlfn.XLOOKUP(Table2[[#This Row],[LoanID]],Table1[G-L ID],Table1[ManagerCode],-99)</f>
        <v>183</v>
      </c>
      <c r="T8566"/>
    </row>
    <row r="8567" spans="1:20" x14ac:dyDescent="0.25">
      <c r="A8567">
        <v>20190331</v>
      </c>
      <c r="B8567">
        <v>2019</v>
      </c>
      <c r="C8567">
        <v>3</v>
      </c>
      <c r="D8567">
        <v>1</v>
      </c>
      <c r="E8567">
        <v>13160</v>
      </c>
      <c r="F8567">
        <v>69320.600000000006</v>
      </c>
      <c r="G8567">
        <v>0</v>
      </c>
      <c r="H8567">
        <v>0</v>
      </c>
      <c r="I8567">
        <v>0</v>
      </c>
      <c r="J8567">
        <v>0</v>
      </c>
      <c r="K8567">
        <v>0</v>
      </c>
      <c r="L8567">
        <v>33400000</v>
      </c>
      <c r="M8567">
        <v>33400000</v>
      </c>
      <c r="N8567">
        <v>13354858</v>
      </c>
      <c r="O8567">
        <v>13354858</v>
      </c>
      <c r="P8567">
        <v>33400000</v>
      </c>
      <c r="Q8567">
        <v>33400000</v>
      </c>
      <c r="R8567" s="14">
        <f>_xlfn.XLOOKUP(Table2[[#This Row],[LoanID]],Table1[G-L ID],Table1[ManagerCode],-99)</f>
        <v>183</v>
      </c>
      <c r="T8567"/>
    </row>
    <row r="8568" spans="1:20" x14ac:dyDescent="0.25">
      <c r="A8568">
        <v>20190331</v>
      </c>
      <c r="B8568">
        <v>2019</v>
      </c>
      <c r="C8568">
        <v>3</v>
      </c>
      <c r="D8568">
        <v>1</v>
      </c>
      <c r="E8568">
        <v>13170</v>
      </c>
      <c r="F8568">
        <v>95198.88</v>
      </c>
      <c r="G8568">
        <v>0</v>
      </c>
      <c r="H8568">
        <v>0</v>
      </c>
      <c r="I8568">
        <v>0</v>
      </c>
      <c r="J8568">
        <v>0</v>
      </c>
      <c r="K8568">
        <v>0</v>
      </c>
      <c r="L8568">
        <v>50400000</v>
      </c>
      <c r="M8568">
        <v>50400000</v>
      </c>
      <c r="N8568">
        <v>17600000</v>
      </c>
      <c r="O8568">
        <v>17600000</v>
      </c>
      <c r="P8568">
        <v>50400000</v>
      </c>
      <c r="Q8568">
        <v>50400000</v>
      </c>
      <c r="R8568" s="14">
        <f>_xlfn.XLOOKUP(Table2[[#This Row],[LoanID]],Table1[G-L ID],Table1[ManagerCode],-99)</f>
        <v>183</v>
      </c>
      <c r="T8568"/>
    </row>
    <row r="8569" spans="1:20" x14ac:dyDescent="0.25">
      <c r="A8569">
        <v>20190331</v>
      </c>
      <c r="B8569">
        <v>2019</v>
      </c>
      <c r="C8569">
        <v>3</v>
      </c>
      <c r="D8569">
        <v>1</v>
      </c>
      <c r="E8569">
        <v>13180</v>
      </c>
      <c r="F8569">
        <v>83703.899999999994</v>
      </c>
      <c r="G8569">
        <v>0</v>
      </c>
      <c r="H8569">
        <v>0</v>
      </c>
      <c r="I8569">
        <v>0</v>
      </c>
      <c r="J8569">
        <v>0</v>
      </c>
      <c r="K8569">
        <v>0</v>
      </c>
      <c r="L8569">
        <v>39780000</v>
      </c>
      <c r="M8569">
        <v>39780000</v>
      </c>
      <c r="N8569">
        <v>15930000</v>
      </c>
      <c r="O8569">
        <v>15930000</v>
      </c>
      <c r="P8569">
        <v>39780000</v>
      </c>
      <c r="Q8569">
        <v>39780000</v>
      </c>
      <c r="R8569" s="14">
        <f>_xlfn.XLOOKUP(Table2[[#This Row],[LoanID]],Table1[G-L ID],Table1[ManagerCode],-99)</f>
        <v>183</v>
      </c>
      <c r="T8569"/>
    </row>
    <row r="8570" spans="1:20" x14ac:dyDescent="0.25">
      <c r="A8570">
        <v>20190331</v>
      </c>
      <c r="B8570">
        <v>2019</v>
      </c>
      <c r="C8570">
        <v>3</v>
      </c>
      <c r="D8570">
        <v>1</v>
      </c>
      <c r="E8570">
        <v>13190</v>
      </c>
      <c r="F8570">
        <v>44910.63</v>
      </c>
      <c r="G8570">
        <v>51013.04</v>
      </c>
      <c r="H8570">
        <v>0</v>
      </c>
      <c r="I8570">
        <v>0</v>
      </c>
      <c r="J8570">
        <v>-158782.42000000001</v>
      </c>
      <c r="K8570">
        <v>0</v>
      </c>
      <c r="L8570">
        <v>8561794.8200000003</v>
      </c>
      <c r="M8570">
        <v>8771590.2799999993</v>
      </c>
      <c r="N8570">
        <v>8561794.8200000003</v>
      </c>
      <c r="O8570">
        <v>8771590.2799999993</v>
      </c>
      <c r="P8570">
        <v>8561794.8200000003</v>
      </c>
      <c r="Q8570">
        <v>8771590.2799999993</v>
      </c>
      <c r="R8570" s="14">
        <f>_xlfn.XLOOKUP(Table2[[#This Row],[LoanID]],Table1[G-L ID],Table1[ManagerCode],-99)</f>
        <v>183</v>
      </c>
      <c r="T8570"/>
    </row>
    <row r="8571" spans="1:20" x14ac:dyDescent="0.25">
      <c r="A8571">
        <v>20190331</v>
      </c>
      <c r="B8571">
        <v>2019</v>
      </c>
      <c r="C8571">
        <v>3</v>
      </c>
      <c r="D8571">
        <v>1</v>
      </c>
      <c r="E8571">
        <v>13200</v>
      </c>
      <c r="F8571">
        <v>10524.62</v>
      </c>
      <c r="G8571">
        <v>12278.72</v>
      </c>
      <c r="H8571">
        <v>0</v>
      </c>
      <c r="I8571">
        <v>0</v>
      </c>
      <c r="J8571">
        <v>-597793.02</v>
      </c>
      <c r="K8571">
        <v>0</v>
      </c>
      <c r="L8571">
        <v>1720134.5</v>
      </c>
      <c r="M8571">
        <v>2330206.2400000002</v>
      </c>
      <c r="N8571">
        <v>1720134.5</v>
      </c>
      <c r="O8571">
        <v>2330206.2400000002</v>
      </c>
      <c r="P8571">
        <v>1720134.5</v>
      </c>
      <c r="Q8571">
        <v>2330206.2400000002</v>
      </c>
      <c r="R8571" s="14">
        <f>_xlfn.XLOOKUP(Table2[[#This Row],[LoanID]],Table1[G-L ID],Table1[ManagerCode],-99)</f>
        <v>183</v>
      </c>
      <c r="T8571"/>
    </row>
    <row r="8572" spans="1:20" x14ac:dyDescent="0.25">
      <c r="A8572">
        <v>20190331</v>
      </c>
      <c r="B8572">
        <v>2019</v>
      </c>
      <c r="C8572">
        <v>3</v>
      </c>
      <c r="D8572">
        <v>1</v>
      </c>
      <c r="E8572">
        <v>13210</v>
      </c>
      <c r="F8572">
        <v>0</v>
      </c>
      <c r="G8572">
        <v>75089.600000000006</v>
      </c>
      <c r="H8572">
        <v>0</v>
      </c>
      <c r="I8572">
        <v>0</v>
      </c>
      <c r="J8572">
        <v>0</v>
      </c>
      <c r="K8572">
        <v>0</v>
      </c>
      <c r="L8572">
        <v>7576947.0099999998</v>
      </c>
      <c r="M8572">
        <v>7652036.6100000003</v>
      </c>
      <c r="N8572">
        <v>7576947.0099999998</v>
      </c>
      <c r="O8572">
        <v>7652036.6100000003</v>
      </c>
      <c r="P8572">
        <v>7576947.0099999998</v>
      </c>
      <c r="Q8572">
        <v>7652036.6100000003</v>
      </c>
      <c r="R8572" s="14">
        <f>_xlfn.XLOOKUP(Table2[[#This Row],[LoanID]],Table1[G-L ID],Table1[ManagerCode],-99)</f>
        <v>183</v>
      </c>
      <c r="T8572"/>
    </row>
    <row r="8573" spans="1:20" x14ac:dyDescent="0.25">
      <c r="A8573">
        <v>20190331</v>
      </c>
      <c r="B8573">
        <v>2019</v>
      </c>
      <c r="C8573">
        <v>3</v>
      </c>
      <c r="D8573">
        <v>1</v>
      </c>
      <c r="E8573">
        <v>13220</v>
      </c>
      <c r="F8573">
        <v>70922.47</v>
      </c>
      <c r="G8573">
        <v>0</v>
      </c>
      <c r="H8573">
        <v>0</v>
      </c>
      <c r="I8573">
        <v>0</v>
      </c>
      <c r="J8573">
        <v>0</v>
      </c>
      <c r="K8573">
        <v>4931.28</v>
      </c>
      <c r="L8573">
        <v>9324661.4900000002</v>
      </c>
      <c r="M8573">
        <v>9319730.2100000009</v>
      </c>
      <c r="N8573">
        <v>9324661.4900000002</v>
      </c>
      <c r="O8573">
        <v>9319730.2100000009</v>
      </c>
      <c r="P8573">
        <v>9232947.4199999999</v>
      </c>
      <c r="Q8573">
        <v>9228016.1400000006</v>
      </c>
      <c r="R8573" s="14">
        <f>_xlfn.XLOOKUP(Table2[[#This Row],[LoanID]],Table1[G-L ID],Table1[ManagerCode],-99)</f>
        <v>219</v>
      </c>
      <c r="T8573"/>
    </row>
    <row r="8574" spans="1:20" x14ac:dyDescent="0.25">
      <c r="A8574">
        <v>20190331</v>
      </c>
      <c r="B8574">
        <v>2019</v>
      </c>
      <c r="C8574">
        <v>3</v>
      </c>
      <c r="D8574">
        <v>1</v>
      </c>
      <c r="E8574">
        <v>13230</v>
      </c>
      <c r="F8574">
        <v>43180.75</v>
      </c>
      <c r="G8574">
        <v>0</v>
      </c>
      <c r="H8574">
        <v>0</v>
      </c>
      <c r="I8574">
        <v>0</v>
      </c>
      <c r="J8574">
        <v>0</v>
      </c>
      <c r="K8574">
        <v>0</v>
      </c>
      <c r="L8574">
        <v>6543875</v>
      </c>
      <c r="M8574">
        <v>6543875</v>
      </c>
      <c r="N8574">
        <v>6543875</v>
      </c>
      <c r="O8574">
        <v>6543875</v>
      </c>
      <c r="P8574">
        <v>6543875</v>
      </c>
      <c r="Q8574">
        <v>6543875</v>
      </c>
      <c r="R8574" s="14">
        <f>_xlfn.XLOOKUP(Table2[[#This Row],[LoanID]],Table1[G-L ID],Table1[ManagerCode],-99)</f>
        <v>219</v>
      </c>
      <c r="T8574"/>
    </row>
    <row r="8575" spans="1:20" x14ac:dyDescent="0.25">
      <c r="A8575">
        <v>20190331</v>
      </c>
      <c r="B8575">
        <v>2019</v>
      </c>
      <c r="C8575">
        <v>3</v>
      </c>
      <c r="D8575">
        <v>1</v>
      </c>
      <c r="E8575">
        <v>13240</v>
      </c>
      <c r="F8575">
        <v>79537.16</v>
      </c>
      <c r="G8575">
        <v>0</v>
      </c>
      <c r="H8575">
        <v>0</v>
      </c>
      <c r="I8575">
        <v>0</v>
      </c>
      <c r="J8575">
        <v>0</v>
      </c>
      <c r="K8575">
        <v>356875.12</v>
      </c>
      <c r="L8575">
        <v>8063069.25</v>
      </c>
      <c r="M8575">
        <v>7706194.1299999999</v>
      </c>
      <c r="N8575">
        <v>8063069.25</v>
      </c>
      <c r="O8575">
        <v>7706194.1299999999</v>
      </c>
      <c r="P8575">
        <v>8063069.25</v>
      </c>
      <c r="Q8575">
        <v>7706194.1299999999</v>
      </c>
      <c r="R8575" s="14">
        <f>_xlfn.XLOOKUP(Table2[[#This Row],[LoanID]],Table1[G-L ID],Table1[ManagerCode],-99)</f>
        <v>219</v>
      </c>
      <c r="T8575"/>
    </row>
    <row r="8576" spans="1:20" x14ac:dyDescent="0.25">
      <c r="A8576">
        <v>20190331</v>
      </c>
      <c r="B8576">
        <v>2019</v>
      </c>
      <c r="C8576">
        <v>3</v>
      </c>
      <c r="D8576">
        <v>1</v>
      </c>
      <c r="E8576">
        <v>13250</v>
      </c>
      <c r="F8576">
        <v>62111.11</v>
      </c>
      <c r="G8576">
        <v>-36112.199999999997</v>
      </c>
      <c r="H8576">
        <v>445558.31</v>
      </c>
      <c r="I8576">
        <v>0</v>
      </c>
      <c r="J8576">
        <v>0</v>
      </c>
      <c r="K8576">
        <v>7000000</v>
      </c>
      <c r="L8576">
        <v>7454918.2199999997</v>
      </c>
      <c r="M8576">
        <v>0</v>
      </c>
      <c r="N8576">
        <v>7454918.2199999997</v>
      </c>
      <c r="O8576">
        <v>0</v>
      </c>
      <c r="P8576">
        <v>7036112.2000000002</v>
      </c>
      <c r="Q8576">
        <v>0</v>
      </c>
      <c r="R8576" s="14">
        <f>_xlfn.XLOOKUP(Table2[[#This Row],[LoanID]],Table1[G-L ID],Table1[ManagerCode],-99)</f>
        <v>219</v>
      </c>
      <c r="T8576"/>
    </row>
    <row r="8577" spans="1:20" x14ac:dyDescent="0.25">
      <c r="A8577">
        <v>20190331</v>
      </c>
      <c r="B8577">
        <v>2019</v>
      </c>
      <c r="C8577">
        <v>3</v>
      </c>
      <c r="D8577">
        <v>1</v>
      </c>
      <c r="E8577">
        <v>13260</v>
      </c>
      <c r="F8577">
        <v>170440</v>
      </c>
      <c r="G8577">
        <v>12723.52</v>
      </c>
      <c r="H8577">
        <v>0</v>
      </c>
      <c r="I8577">
        <v>0</v>
      </c>
      <c r="J8577">
        <v>0</v>
      </c>
      <c r="K8577">
        <v>0</v>
      </c>
      <c r="L8577">
        <v>20092513.93</v>
      </c>
      <c r="M8577">
        <v>20105237.449999999</v>
      </c>
      <c r="N8577">
        <v>20092513.93</v>
      </c>
      <c r="O8577">
        <v>20105237.449999999</v>
      </c>
      <c r="P8577">
        <v>20092513.93</v>
      </c>
      <c r="Q8577">
        <v>20105237.449999999</v>
      </c>
      <c r="R8577" s="14">
        <f>_xlfn.XLOOKUP(Table2[[#This Row],[LoanID]],Table1[G-L ID],Table1[ManagerCode],-99)</f>
        <v>219</v>
      </c>
      <c r="T8577"/>
    </row>
    <row r="8578" spans="1:20" x14ac:dyDescent="0.25">
      <c r="A8578">
        <v>20190331</v>
      </c>
      <c r="B8578">
        <v>2019</v>
      </c>
      <c r="C8578">
        <v>3</v>
      </c>
      <c r="D8578">
        <v>1</v>
      </c>
      <c r="E8578">
        <v>13270</v>
      </c>
      <c r="F8578">
        <v>145429.51</v>
      </c>
      <c r="G8578">
        <v>10803.83</v>
      </c>
      <c r="H8578">
        <v>0</v>
      </c>
      <c r="I8578">
        <v>0</v>
      </c>
      <c r="J8578">
        <v>0</v>
      </c>
      <c r="K8578">
        <v>0</v>
      </c>
      <c r="L8578">
        <v>25099985.23</v>
      </c>
      <c r="M8578">
        <v>25110789.059999999</v>
      </c>
      <c r="N8578">
        <v>25099985.23</v>
      </c>
      <c r="O8578">
        <v>25110789.059999999</v>
      </c>
      <c r="P8578">
        <v>25099985.23</v>
      </c>
      <c r="Q8578">
        <v>25110789.059999999</v>
      </c>
      <c r="R8578" s="14">
        <f>_xlfn.XLOOKUP(Table2[[#This Row],[LoanID]],Table1[G-L ID],Table1[ManagerCode],-99)</f>
        <v>219</v>
      </c>
      <c r="T8578"/>
    </row>
    <row r="8579" spans="1:20" x14ac:dyDescent="0.25">
      <c r="A8579">
        <v>20190331</v>
      </c>
      <c r="B8579">
        <v>2019</v>
      </c>
      <c r="C8579">
        <v>3</v>
      </c>
      <c r="D8579">
        <v>1</v>
      </c>
      <c r="E8579">
        <v>13280</v>
      </c>
      <c r="F8579">
        <v>151666.9</v>
      </c>
      <c r="G8579">
        <v>16250.81</v>
      </c>
      <c r="H8579">
        <v>0</v>
      </c>
      <c r="I8579">
        <v>0</v>
      </c>
      <c r="J8579">
        <v>0</v>
      </c>
      <c r="K8579">
        <v>0</v>
      </c>
      <c r="L8579">
        <v>20301667.100000001</v>
      </c>
      <c r="M8579">
        <v>20317917.91</v>
      </c>
      <c r="N8579">
        <v>20301667.100000001</v>
      </c>
      <c r="O8579">
        <v>20317917.91</v>
      </c>
      <c r="P8579">
        <v>20151666.899999999</v>
      </c>
      <c r="Q8579">
        <v>20167917.710000001</v>
      </c>
      <c r="R8579" s="14">
        <f>_xlfn.XLOOKUP(Table2[[#This Row],[LoanID]],Table1[G-L ID],Table1[ManagerCode],-99)</f>
        <v>219</v>
      </c>
      <c r="T8579"/>
    </row>
    <row r="8580" spans="1:20" x14ac:dyDescent="0.25">
      <c r="A8580">
        <v>20190331</v>
      </c>
      <c r="B8580">
        <v>2019</v>
      </c>
      <c r="C8580">
        <v>3</v>
      </c>
      <c r="D8580">
        <v>1</v>
      </c>
      <c r="E8580">
        <v>13290</v>
      </c>
      <c r="F8580">
        <v>155000</v>
      </c>
      <c r="G8580">
        <v>0</v>
      </c>
      <c r="H8580">
        <v>0</v>
      </c>
      <c r="I8580">
        <v>0</v>
      </c>
      <c r="J8580">
        <v>0</v>
      </c>
      <c r="K8580">
        <v>0</v>
      </c>
      <c r="L8580">
        <v>20000000</v>
      </c>
      <c r="M8580">
        <v>20000000</v>
      </c>
      <c r="N8580">
        <v>20000000</v>
      </c>
      <c r="O8580">
        <v>20000000</v>
      </c>
      <c r="P8580">
        <v>20000000</v>
      </c>
      <c r="Q8580">
        <v>20000000</v>
      </c>
      <c r="R8580" s="14">
        <f>_xlfn.XLOOKUP(Table2[[#This Row],[LoanID]],Table1[G-L ID],Table1[ManagerCode],-99)</f>
        <v>219</v>
      </c>
      <c r="T8580"/>
    </row>
    <row r="8581" spans="1:20" x14ac:dyDescent="0.25">
      <c r="A8581">
        <v>20190331</v>
      </c>
      <c r="B8581">
        <v>2019</v>
      </c>
      <c r="C8581">
        <v>3</v>
      </c>
      <c r="D8581">
        <v>1</v>
      </c>
      <c r="E8581">
        <v>13300</v>
      </c>
      <c r="F8581">
        <v>194444.44</v>
      </c>
      <c r="G8581">
        <v>20833.34</v>
      </c>
      <c r="H8581">
        <v>0</v>
      </c>
      <c r="I8581">
        <v>0</v>
      </c>
      <c r="J8581">
        <v>0</v>
      </c>
      <c r="K8581">
        <v>0</v>
      </c>
      <c r="L8581">
        <v>25194444.440000001</v>
      </c>
      <c r="M8581">
        <v>25215277.780000001</v>
      </c>
      <c r="N8581">
        <v>25194444.440000001</v>
      </c>
      <c r="O8581">
        <v>25215277.780000001</v>
      </c>
      <c r="P8581">
        <v>25194444.440000001</v>
      </c>
      <c r="Q8581">
        <v>25215277.780000001</v>
      </c>
      <c r="R8581" s="14">
        <f>_xlfn.XLOOKUP(Table2[[#This Row],[LoanID]],Table1[G-L ID],Table1[ManagerCode],-99)</f>
        <v>219</v>
      </c>
      <c r="T8581"/>
    </row>
    <row r="8582" spans="1:20" x14ac:dyDescent="0.25">
      <c r="A8582">
        <v>20190331</v>
      </c>
      <c r="B8582">
        <v>2019</v>
      </c>
      <c r="C8582">
        <v>3</v>
      </c>
      <c r="D8582">
        <v>1</v>
      </c>
      <c r="E8582">
        <v>13310</v>
      </c>
      <c r="F8582">
        <v>115418.44</v>
      </c>
      <c r="G8582">
        <v>0</v>
      </c>
      <c r="H8582">
        <v>0</v>
      </c>
      <c r="I8582">
        <v>0</v>
      </c>
      <c r="J8582">
        <v>0</v>
      </c>
      <c r="K8582">
        <v>0</v>
      </c>
      <c r="L8582">
        <v>15600000</v>
      </c>
      <c r="M8582">
        <v>15600000</v>
      </c>
      <c r="N8582">
        <v>15600000</v>
      </c>
      <c r="O8582">
        <v>15600000</v>
      </c>
      <c r="P8582">
        <v>15600000</v>
      </c>
      <c r="Q8582">
        <v>15600000</v>
      </c>
      <c r="R8582" s="14">
        <f>_xlfn.XLOOKUP(Table2[[#This Row],[LoanID]],Table1[G-L ID],Table1[ManagerCode],-99)</f>
        <v>119</v>
      </c>
      <c r="T8582"/>
    </row>
    <row r="8583" spans="1:20" x14ac:dyDescent="0.25">
      <c r="A8583">
        <v>20190331</v>
      </c>
      <c r="B8583">
        <v>2019</v>
      </c>
      <c r="C8583">
        <v>3</v>
      </c>
      <c r="D8583">
        <v>1</v>
      </c>
      <c r="E8583">
        <v>13320</v>
      </c>
      <c r="F8583">
        <v>133339.26999999999</v>
      </c>
      <c r="G8583">
        <v>0</v>
      </c>
      <c r="H8583">
        <v>0</v>
      </c>
      <c r="I8583">
        <v>0</v>
      </c>
      <c r="J8583">
        <v>0</v>
      </c>
      <c r="K8583">
        <v>0</v>
      </c>
      <c r="L8583">
        <v>18600000</v>
      </c>
      <c r="M8583">
        <v>18600000</v>
      </c>
      <c r="N8583">
        <v>18600000</v>
      </c>
      <c r="O8583">
        <v>18600000</v>
      </c>
      <c r="P8583">
        <v>18600000</v>
      </c>
      <c r="Q8583">
        <v>18600000</v>
      </c>
      <c r="R8583" s="14">
        <f>_xlfn.XLOOKUP(Table2[[#This Row],[LoanID]],Table1[G-L ID],Table1[ManagerCode],-99)</f>
        <v>119</v>
      </c>
      <c r="T8583"/>
    </row>
    <row r="8584" spans="1:20" x14ac:dyDescent="0.25">
      <c r="A8584">
        <v>20190331</v>
      </c>
      <c r="B8584">
        <v>2019</v>
      </c>
      <c r="C8584">
        <v>3</v>
      </c>
      <c r="D8584">
        <v>1</v>
      </c>
      <c r="E8584">
        <v>13330</v>
      </c>
      <c r="F8584">
        <v>114751.78</v>
      </c>
      <c r="G8584">
        <v>0</v>
      </c>
      <c r="H8584">
        <v>0</v>
      </c>
      <c r="I8584">
        <v>0</v>
      </c>
      <c r="J8584">
        <v>0</v>
      </c>
      <c r="K8584">
        <v>0</v>
      </c>
      <c r="L8584">
        <v>14200000</v>
      </c>
      <c r="M8584">
        <v>14200000</v>
      </c>
      <c r="N8584">
        <v>14200000</v>
      </c>
      <c r="O8584">
        <v>14200000</v>
      </c>
      <c r="P8584">
        <v>14200000</v>
      </c>
      <c r="Q8584">
        <v>14200000</v>
      </c>
      <c r="R8584" s="14">
        <f>_xlfn.XLOOKUP(Table2[[#This Row],[LoanID]],Table1[G-L ID],Table1[ManagerCode],-99)</f>
        <v>119</v>
      </c>
      <c r="T8584"/>
    </row>
    <row r="8585" spans="1:20" x14ac:dyDescent="0.25">
      <c r="A8585">
        <v>20190331</v>
      </c>
      <c r="B8585">
        <v>2019</v>
      </c>
      <c r="C8585">
        <v>3</v>
      </c>
      <c r="D8585">
        <v>1</v>
      </c>
      <c r="E8585">
        <v>13340</v>
      </c>
      <c r="F8585">
        <v>176108.33</v>
      </c>
      <c r="G8585">
        <v>0</v>
      </c>
      <c r="H8585">
        <v>0</v>
      </c>
      <c r="I8585">
        <v>0</v>
      </c>
      <c r="J8585">
        <v>0</v>
      </c>
      <c r="K8585">
        <v>0</v>
      </c>
      <c r="L8585">
        <v>25000000</v>
      </c>
      <c r="M8585">
        <v>25000000</v>
      </c>
      <c r="N8585">
        <v>25000000</v>
      </c>
      <c r="O8585">
        <v>25000000</v>
      </c>
      <c r="P8585">
        <v>25000000</v>
      </c>
      <c r="Q8585">
        <v>25000000</v>
      </c>
      <c r="R8585" s="14">
        <f>_xlfn.XLOOKUP(Table2[[#This Row],[LoanID]],Table1[G-L ID],Table1[ManagerCode],-99)</f>
        <v>119</v>
      </c>
      <c r="T8585"/>
    </row>
    <row r="8586" spans="1:20" x14ac:dyDescent="0.25">
      <c r="A8586">
        <v>20190331</v>
      </c>
      <c r="B8586">
        <v>2019</v>
      </c>
      <c r="C8586">
        <v>3</v>
      </c>
      <c r="D8586">
        <v>1</v>
      </c>
      <c r="E8586">
        <v>13350</v>
      </c>
      <c r="F8586">
        <v>46765.65</v>
      </c>
      <c r="G8586">
        <v>0</v>
      </c>
      <c r="H8586">
        <v>0</v>
      </c>
      <c r="I8586">
        <v>0</v>
      </c>
      <c r="J8586">
        <v>0</v>
      </c>
      <c r="K8586">
        <v>0</v>
      </c>
      <c r="L8586">
        <v>6329715</v>
      </c>
      <c r="M8586">
        <v>6329715</v>
      </c>
      <c r="N8586">
        <v>6329715</v>
      </c>
      <c r="O8586">
        <v>6329715</v>
      </c>
      <c r="P8586">
        <v>6329715</v>
      </c>
      <c r="Q8586">
        <v>6329715</v>
      </c>
      <c r="R8586" s="14">
        <f>_xlfn.XLOOKUP(Table2[[#This Row],[LoanID]],Table1[G-L ID],Table1[ManagerCode],-99)</f>
        <v>119</v>
      </c>
      <c r="T8586"/>
    </row>
    <row r="8587" spans="1:20" x14ac:dyDescent="0.25">
      <c r="A8587">
        <v>20190331</v>
      </c>
      <c r="B8587">
        <v>2019</v>
      </c>
      <c r="C8587">
        <v>3</v>
      </c>
      <c r="D8587">
        <v>1</v>
      </c>
      <c r="E8587">
        <v>13360</v>
      </c>
      <c r="F8587">
        <v>243050.09</v>
      </c>
      <c r="G8587">
        <v>0</v>
      </c>
      <c r="H8587">
        <v>0</v>
      </c>
      <c r="I8587">
        <v>0</v>
      </c>
      <c r="J8587">
        <v>-2357318.2000000002</v>
      </c>
      <c r="K8587">
        <v>0</v>
      </c>
      <c r="L8587">
        <v>30324888.260000002</v>
      </c>
      <c r="M8587">
        <v>32682206.460000001</v>
      </c>
      <c r="N8587">
        <v>30324888.260000002</v>
      </c>
      <c r="O8587">
        <v>32682206.460000001</v>
      </c>
      <c r="P8587">
        <v>30324888.260000002</v>
      </c>
      <c r="Q8587">
        <v>32682206.460000001</v>
      </c>
      <c r="R8587" s="14">
        <f>_xlfn.XLOOKUP(Table2[[#This Row],[LoanID]],Table1[G-L ID],Table1[ManagerCode],-99)</f>
        <v>119</v>
      </c>
      <c r="T8587"/>
    </row>
    <row r="8588" spans="1:20" x14ac:dyDescent="0.25">
      <c r="A8588">
        <v>20190331</v>
      </c>
      <c r="B8588">
        <v>2019</v>
      </c>
      <c r="C8588">
        <v>3</v>
      </c>
      <c r="D8588">
        <v>1</v>
      </c>
      <c r="E8588">
        <v>13370</v>
      </c>
      <c r="F8588">
        <v>192062.36</v>
      </c>
      <c r="G8588">
        <v>0</v>
      </c>
      <c r="H8588">
        <v>0</v>
      </c>
      <c r="I8588">
        <v>0</v>
      </c>
      <c r="J8588">
        <v>0</v>
      </c>
      <c r="K8588">
        <v>0</v>
      </c>
      <c r="L8588">
        <v>42630000</v>
      </c>
      <c r="M8588">
        <v>42630000</v>
      </c>
      <c r="N8588">
        <v>42630000</v>
      </c>
      <c r="O8588">
        <v>42630000</v>
      </c>
      <c r="P8588">
        <v>42630000</v>
      </c>
      <c r="Q8588">
        <v>42630000</v>
      </c>
      <c r="R8588" s="14">
        <f>_xlfn.XLOOKUP(Table2[[#This Row],[LoanID]],Table1[G-L ID],Table1[ManagerCode],-99)</f>
        <v>183</v>
      </c>
      <c r="T8588"/>
    </row>
    <row r="8589" spans="1:20" x14ac:dyDescent="0.25">
      <c r="A8589">
        <v>20190331</v>
      </c>
      <c r="B8589">
        <v>2019</v>
      </c>
      <c r="C8589">
        <v>3</v>
      </c>
      <c r="D8589">
        <v>1</v>
      </c>
      <c r="E8589">
        <v>13380</v>
      </c>
      <c r="F8589">
        <v>62135.71</v>
      </c>
      <c r="G8589">
        <v>0</v>
      </c>
      <c r="H8589">
        <v>0</v>
      </c>
      <c r="I8589">
        <v>0</v>
      </c>
      <c r="J8589">
        <v>0</v>
      </c>
      <c r="K8589">
        <v>0</v>
      </c>
      <c r="L8589">
        <v>32000000</v>
      </c>
      <c r="M8589">
        <v>32000000</v>
      </c>
      <c r="N8589">
        <v>11200000</v>
      </c>
      <c r="O8589">
        <v>11200000</v>
      </c>
      <c r="P8589">
        <v>32000000</v>
      </c>
      <c r="Q8589">
        <v>32000000</v>
      </c>
      <c r="R8589" s="14">
        <f>_xlfn.XLOOKUP(Table2[[#This Row],[LoanID]],Table1[G-L ID],Table1[ManagerCode],-99)</f>
        <v>183</v>
      </c>
      <c r="T8589"/>
    </row>
    <row r="8590" spans="1:20" x14ac:dyDescent="0.25">
      <c r="A8590">
        <v>20190331</v>
      </c>
      <c r="B8590">
        <v>2019</v>
      </c>
      <c r="C8590">
        <v>3</v>
      </c>
      <c r="D8590">
        <v>1</v>
      </c>
      <c r="E8590">
        <v>13390</v>
      </c>
      <c r="F8590">
        <v>51732.53</v>
      </c>
      <c r="G8590">
        <v>0</v>
      </c>
      <c r="H8590">
        <v>0</v>
      </c>
      <c r="I8590">
        <v>0</v>
      </c>
      <c r="J8590">
        <v>-150000</v>
      </c>
      <c r="K8590">
        <v>0</v>
      </c>
      <c r="L8590">
        <v>48193461.420000002</v>
      </c>
      <c r="M8590">
        <v>48343461.420000002</v>
      </c>
      <c r="N8590">
        <v>19277384.420000002</v>
      </c>
      <c r="O8590">
        <v>19427384.420000002</v>
      </c>
      <c r="P8590">
        <v>48193461.420000002</v>
      </c>
      <c r="Q8590">
        <v>48343461.420000002</v>
      </c>
      <c r="R8590" s="14">
        <f>_xlfn.XLOOKUP(Table2[[#This Row],[LoanID]],Table1[G-L ID],Table1[ManagerCode],-99)</f>
        <v>183</v>
      </c>
      <c r="T8590"/>
    </row>
    <row r="8591" spans="1:20" x14ac:dyDescent="0.25">
      <c r="A8591">
        <v>20190331</v>
      </c>
      <c r="B8591">
        <v>2019</v>
      </c>
      <c r="C8591">
        <v>3</v>
      </c>
      <c r="D8591">
        <v>1</v>
      </c>
      <c r="E8591">
        <v>13400</v>
      </c>
      <c r="F8591">
        <v>63889.89</v>
      </c>
      <c r="G8591">
        <v>0</v>
      </c>
      <c r="H8591">
        <v>0</v>
      </c>
      <c r="I8591">
        <v>0</v>
      </c>
      <c r="J8591">
        <v>0</v>
      </c>
      <c r="K8591">
        <v>0</v>
      </c>
      <c r="L8591">
        <v>31750000</v>
      </c>
      <c r="M8591">
        <v>31750000</v>
      </c>
      <c r="N8591">
        <v>11112500</v>
      </c>
      <c r="O8591">
        <v>11112500</v>
      </c>
      <c r="P8591">
        <v>31750000</v>
      </c>
      <c r="Q8591">
        <v>31750000</v>
      </c>
      <c r="R8591" s="14">
        <f>_xlfn.XLOOKUP(Table2[[#This Row],[LoanID]],Table1[G-L ID],Table1[ManagerCode],-99)</f>
        <v>183</v>
      </c>
      <c r="T8591"/>
    </row>
    <row r="8592" spans="1:20" x14ac:dyDescent="0.25">
      <c r="A8592">
        <v>20190331</v>
      </c>
      <c r="B8592">
        <v>2019</v>
      </c>
      <c r="C8592">
        <v>3</v>
      </c>
      <c r="D8592">
        <v>1</v>
      </c>
      <c r="E8592">
        <v>13410</v>
      </c>
      <c r="F8592">
        <v>71144.850000000006</v>
      </c>
      <c r="G8592">
        <v>0</v>
      </c>
      <c r="H8592">
        <v>0</v>
      </c>
      <c r="I8592">
        <v>0</v>
      </c>
      <c r="J8592">
        <v>0</v>
      </c>
      <c r="K8592">
        <v>0</v>
      </c>
      <c r="L8592">
        <v>32983000</v>
      </c>
      <c r="M8592">
        <v>32983000</v>
      </c>
      <c r="N8592">
        <v>32983000</v>
      </c>
      <c r="O8592">
        <v>32983000</v>
      </c>
      <c r="P8592">
        <v>32983000</v>
      </c>
      <c r="Q8592">
        <v>32983000</v>
      </c>
      <c r="R8592" s="14">
        <f>_xlfn.XLOOKUP(Table2[[#This Row],[LoanID]],Table1[G-L ID],Table1[ManagerCode],-99)</f>
        <v>183</v>
      </c>
      <c r="T8592"/>
    </row>
    <row r="8593" spans="1:20" x14ac:dyDescent="0.25">
      <c r="A8593">
        <v>20190331</v>
      </c>
      <c r="B8593">
        <v>2019</v>
      </c>
      <c r="C8593">
        <v>3</v>
      </c>
      <c r="D8593">
        <v>1</v>
      </c>
      <c r="E8593">
        <v>13420</v>
      </c>
      <c r="F8593">
        <v>128155.9</v>
      </c>
      <c r="G8593">
        <v>0</v>
      </c>
      <c r="H8593">
        <v>0</v>
      </c>
      <c r="I8593">
        <v>0</v>
      </c>
      <c r="J8593">
        <v>0</v>
      </c>
      <c r="K8593">
        <v>0</v>
      </c>
      <c r="L8593">
        <v>29872783</v>
      </c>
      <c r="M8593">
        <v>29872783</v>
      </c>
      <c r="N8593">
        <v>29872783</v>
      </c>
      <c r="O8593">
        <v>29872783</v>
      </c>
      <c r="P8593">
        <v>29872783</v>
      </c>
      <c r="Q8593">
        <v>29872783</v>
      </c>
      <c r="R8593" s="14">
        <f>_xlfn.XLOOKUP(Table2[[#This Row],[LoanID]],Table1[G-L ID],Table1[ManagerCode],-99)</f>
        <v>183</v>
      </c>
      <c r="T8593"/>
    </row>
    <row r="8594" spans="1:20" x14ac:dyDescent="0.25">
      <c r="A8594">
        <v>20190331</v>
      </c>
      <c r="B8594">
        <v>2019</v>
      </c>
      <c r="C8594">
        <v>3</v>
      </c>
      <c r="D8594">
        <v>1</v>
      </c>
      <c r="E8594">
        <v>13430</v>
      </c>
      <c r="F8594">
        <v>140246.81</v>
      </c>
      <c r="G8594">
        <v>0</v>
      </c>
      <c r="H8594">
        <v>637500</v>
      </c>
      <c r="I8594">
        <v>0</v>
      </c>
      <c r="J8594">
        <v>-75000000</v>
      </c>
      <c r="K8594">
        <v>44117647</v>
      </c>
      <c r="L8594">
        <v>0</v>
      </c>
      <c r="M8594">
        <v>75000000</v>
      </c>
      <c r="N8594">
        <v>0</v>
      </c>
      <c r="O8594">
        <v>30882353</v>
      </c>
      <c r="P8594">
        <v>0</v>
      </c>
      <c r="Q8594">
        <v>75000000</v>
      </c>
      <c r="R8594" s="14">
        <f>_xlfn.XLOOKUP(Table2[[#This Row],[LoanID]],Table1[G-L ID],Table1[ManagerCode],-99)</f>
        <v>183</v>
      </c>
      <c r="T8594"/>
    </row>
    <row r="8595" spans="1:20" x14ac:dyDescent="0.25">
      <c r="A8595">
        <v>20190331</v>
      </c>
      <c r="B8595">
        <v>2019</v>
      </c>
      <c r="C8595">
        <v>3</v>
      </c>
      <c r="D8595">
        <v>1</v>
      </c>
      <c r="E8595">
        <v>13440</v>
      </c>
      <c r="F8595">
        <v>0</v>
      </c>
      <c r="G8595">
        <v>115589.32</v>
      </c>
      <c r="H8595">
        <v>0</v>
      </c>
      <c r="I8595">
        <v>0</v>
      </c>
      <c r="J8595">
        <v>0</v>
      </c>
      <c r="K8595">
        <v>0</v>
      </c>
      <c r="L8595">
        <v>11215893.050000001</v>
      </c>
      <c r="M8595">
        <v>11331482.369999999</v>
      </c>
      <c r="N8595">
        <v>11215893.050000001</v>
      </c>
      <c r="O8595">
        <v>11331482.369999999</v>
      </c>
      <c r="P8595">
        <v>11215893.050000001</v>
      </c>
      <c r="Q8595">
        <v>11331482.369999999</v>
      </c>
      <c r="R8595" s="14">
        <f>_xlfn.XLOOKUP(Table2[[#This Row],[LoanID]],Table1[G-L ID],Table1[ManagerCode],-99)</f>
        <v>183</v>
      </c>
      <c r="T8595"/>
    </row>
    <row r="8596" spans="1:20" x14ac:dyDescent="0.25">
      <c r="A8596">
        <v>20190331</v>
      </c>
      <c r="B8596">
        <v>2019</v>
      </c>
      <c r="C8596">
        <v>3</v>
      </c>
      <c r="D8596">
        <v>1</v>
      </c>
      <c r="E8596">
        <v>13450</v>
      </c>
      <c r="F8596">
        <v>0</v>
      </c>
      <c r="G8596">
        <v>36728.01</v>
      </c>
      <c r="H8596">
        <v>0</v>
      </c>
      <c r="I8596">
        <v>0</v>
      </c>
      <c r="J8596">
        <v>-1588675.42</v>
      </c>
      <c r="K8596">
        <v>0</v>
      </c>
      <c r="L8596">
        <v>3147152.83</v>
      </c>
      <c r="M8596">
        <v>4772556.26</v>
      </c>
      <c r="N8596">
        <v>3147152.83</v>
      </c>
      <c r="O8596">
        <v>4772556.26</v>
      </c>
      <c r="P8596">
        <v>3147152.83</v>
      </c>
      <c r="Q8596">
        <v>4772556.26</v>
      </c>
      <c r="R8596" s="14">
        <f>_xlfn.XLOOKUP(Table2[[#This Row],[LoanID]],Table1[G-L ID],Table1[ManagerCode],-99)</f>
        <v>183</v>
      </c>
      <c r="T8596"/>
    </row>
    <row r="8597" spans="1:20" x14ac:dyDescent="0.25">
      <c r="A8597">
        <v>20190331</v>
      </c>
      <c r="B8597">
        <v>2019</v>
      </c>
      <c r="C8597">
        <v>3</v>
      </c>
      <c r="D8597">
        <v>1</v>
      </c>
      <c r="E8597">
        <v>13460</v>
      </c>
      <c r="F8597">
        <v>574.85</v>
      </c>
      <c r="G8597">
        <v>891.02</v>
      </c>
      <c r="H8597">
        <v>0</v>
      </c>
      <c r="I8597">
        <v>0</v>
      </c>
      <c r="J8597">
        <v>-515.24</v>
      </c>
      <c r="K8597">
        <v>0</v>
      </c>
      <c r="L8597">
        <v>133422.12</v>
      </c>
      <c r="M8597">
        <v>134828.38</v>
      </c>
      <c r="N8597">
        <v>133422.12</v>
      </c>
      <c r="O8597">
        <v>134828.38</v>
      </c>
      <c r="P8597">
        <v>133422.12</v>
      </c>
      <c r="Q8597">
        <v>134828.38</v>
      </c>
      <c r="R8597" s="14">
        <f>_xlfn.XLOOKUP(Table2[[#This Row],[LoanID]],Table1[G-L ID],Table1[ManagerCode],-99)</f>
        <v>183</v>
      </c>
      <c r="T8597"/>
    </row>
    <row r="8598" spans="1:20" x14ac:dyDescent="0.25">
      <c r="A8598">
        <v>20190331</v>
      </c>
      <c r="B8598">
        <v>2019</v>
      </c>
      <c r="C8598">
        <v>3</v>
      </c>
      <c r="D8598">
        <v>1</v>
      </c>
      <c r="E8598">
        <v>13470</v>
      </c>
      <c r="F8598">
        <v>0</v>
      </c>
      <c r="G8598">
        <v>0</v>
      </c>
      <c r="H8598">
        <v>0</v>
      </c>
      <c r="I8598">
        <v>0</v>
      </c>
      <c r="J8598">
        <v>0</v>
      </c>
      <c r="K8598">
        <v>0</v>
      </c>
      <c r="L8598">
        <v>62500000</v>
      </c>
      <c r="M8598">
        <v>62500000</v>
      </c>
      <c r="N8598">
        <v>62500000</v>
      </c>
      <c r="O8598">
        <v>62500000</v>
      </c>
      <c r="P8598">
        <v>62500000</v>
      </c>
      <c r="Q8598">
        <v>62500000</v>
      </c>
      <c r="R8598" s="14">
        <f>_xlfn.XLOOKUP(Table2[[#This Row],[LoanID]],Table1[G-L ID],Table1[ManagerCode],-99)</f>
        <v>165</v>
      </c>
      <c r="T8598"/>
    </row>
    <row r="8599" spans="1:20" x14ac:dyDescent="0.25">
      <c r="A8599">
        <v>20190331</v>
      </c>
      <c r="B8599">
        <v>2019</v>
      </c>
      <c r="C8599">
        <v>3</v>
      </c>
      <c r="D8599">
        <v>1</v>
      </c>
      <c r="E8599">
        <v>13480</v>
      </c>
      <c r="F8599">
        <v>226286.67</v>
      </c>
      <c r="G8599">
        <v>0</v>
      </c>
      <c r="H8599">
        <v>0</v>
      </c>
      <c r="I8599">
        <v>0</v>
      </c>
      <c r="J8599">
        <v>0</v>
      </c>
      <c r="K8599">
        <v>0</v>
      </c>
      <c r="L8599">
        <v>39000000</v>
      </c>
      <c r="M8599">
        <v>39000000</v>
      </c>
      <c r="N8599">
        <v>39000000</v>
      </c>
      <c r="O8599">
        <v>39000000</v>
      </c>
      <c r="P8599">
        <v>39000000</v>
      </c>
      <c r="Q8599">
        <v>39000000</v>
      </c>
      <c r="R8599" s="14">
        <f>_xlfn.XLOOKUP(Table2[[#This Row],[LoanID]],Table1[G-L ID],Table1[ManagerCode],-99)</f>
        <v>165</v>
      </c>
      <c r="T8599"/>
    </row>
    <row r="8600" spans="1:20" x14ac:dyDescent="0.25">
      <c r="A8600">
        <v>20190331</v>
      </c>
      <c r="B8600">
        <v>2019</v>
      </c>
      <c r="C8600">
        <v>3</v>
      </c>
      <c r="D8600">
        <v>1</v>
      </c>
      <c r="E8600">
        <v>13490</v>
      </c>
      <c r="F8600">
        <v>274400</v>
      </c>
      <c r="G8600">
        <v>0</v>
      </c>
      <c r="H8600">
        <v>0</v>
      </c>
      <c r="I8600">
        <v>0</v>
      </c>
      <c r="J8600">
        <v>0</v>
      </c>
      <c r="K8600">
        <v>0</v>
      </c>
      <c r="L8600">
        <v>40000000</v>
      </c>
      <c r="M8600">
        <v>40000000</v>
      </c>
      <c r="N8600">
        <v>40000000</v>
      </c>
      <c r="O8600">
        <v>40000000</v>
      </c>
      <c r="P8600">
        <v>40000000</v>
      </c>
      <c r="Q8600">
        <v>40000000</v>
      </c>
      <c r="R8600" s="14">
        <f>_xlfn.XLOOKUP(Table2[[#This Row],[LoanID]],Table1[G-L ID],Table1[ManagerCode],-99)</f>
        <v>165</v>
      </c>
      <c r="T8600"/>
    </row>
    <row r="8601" spans="1:20" x14ac:dyDescent="0.25">
      <c r="A8601">
        <v>20190331</v>
      </c>
      <c r="B8601">
        <v>2019</v>
      </c>
      <c r="C8601">
        <v>3</v>
      </c>
      <c r="D8601">
        <v>1</v>
      </c>
      <c r="E8601">
        <v>13500</v>
      </c>
      <c r="F8601">
        <v>256180.56</v>
      </c>
      <c r="G8601">
        <v>0</v>
      </c>
      <c r="H8601">
        <v>0</v>
      </c>
      <c r="I8601">
        <v>0</v>
      </c>
      <c r="J8601">
        <v>0</v>
      </c>
      <c r="K8601">
        <v>0</v>
      </c>
      <c r="L8601">
        <v>42500000</v>
      </c>
      <c r="M8601">
        <v>42500000</v>
      </c>
      <c r="N8601">
        <v>42500000</v>
      </c>
      <c r="O8601">
        <v>42500000</v>
      </c>
      <c r="P8601">
        <v>42500000</v>
      </c>
      <c r="Q8601">
        <v>42500000</v>
      </c>
      <c r="R8601" s="14">
        <f>_xlfn.XLOOKUP(Table2[[#This Row],[LoanID]],Table1[G-L ID],Table1[ManagerCode],-99)</f>
        <v>165</v>
      </c>
      <c r="T8601"/>
    </row>
    <row r="8602" spans="1:20" x14ac:dyDescent="0.25">
      <c r="A8602">
        <v>20190331</v>
      </c>
      <c r="B8602">
        <v>2019</v>
      </c>
      <c r="C8602">
        <v>3</v>
      </c>
      <c r="D8602">
        <v>1</v>
      </c>
      <c r="E8602">
        <v>13510</v>
      </c>
      <c r="F8602">
        <v>280000</v>
      </c>
      <c r="G8602">
        <v>0</v>
      </c>
      <c r="H8602">
        <v>0</v>
      </c>
      <c r="I8602">
        <v>0</v>
      </c>
      <c r="J8602">
        <v>0</v>
      </c>
      <c r="K8602">
        <v>0</v>
      </c>
      <c r="L8602">
        <v>90000000</v>
      </c>
      <c r="M8602">
        <v>90000000</v>
      </c>
      <c r="N8602">
        <v>90000000</v>
      </c>
      <c r="O8602">
        <v>90000000</v>
      </c>
      <c r="P8602">
        <v>90000000</v>
      </c>
      <c r="Q8602">
        <v>90000000</v>
      </c>
      <c r="R8602" s="14">
        <f>_xlfn.XLOOKUP(Table2[[#This Row],[LoanID]],Table1[G-L ID],Table1[ManagerCode],-99)</f>
        <v>165</v>
      </c>
      <c r="T8602"/>
    </row>
    <row r="8603" spans="1:20" x14ac:dyDescent="0.25">
      <c r="A8603">
        <v>20190331</v>
      </c>
      <c r="B8603">
        <v>2019</v>
      </c>
      <c r="C8603">
        <v>3</v>
      </c>
      <c r="D8603">
        <v>1</v>
      </c>
      <c r="E8603">
        <v>13520</v>
      </c>
      <c r="F8603">
        <v>777291.67</v>
      </c>
      <c r="G8603">
        <v>0</v>
      </c>
      <c r="H8603">
        <v>0</v>
      </c>
      <c r="I8603">
        <v>0</v>
      </c>
      <c r="J8603">
        <v>0</v>
      </c>
      <c r="K8603">
        <v>0</v>
      </c>
      <c r="L8603">
        <v>195000000</v>
      </c>
      <c r="M8603">
        <v>195000000</v>
      </c>
      <c r="N8603">
        <v>195000000</v>
      </c>
      <c r="O8603">
        <v>195000000</v>
      </c>
      <c r="P8603">
        <v>195000000</v>
      </c>
      <c r="Q8603">
        <v>195000000</v>
      </c>
      <c r="R8603" s="14">
        <f>_xlfn.XLOOKUP(Table2[[#This Row],[LoanID]],Table1[G-L ID],Table1[ManagerCode],-99)</f>
        <v>165</v>
      </c>
      <c r="T8603"/>
    </row>
    <row r="8604" spans="1:20" x14ac:dyDescent="0.25">
      <c r="A8604">
        <v>20190331</v>
      </c>
      <c r="B8604">
        <v>2019</v>
      </c>
      <c r="C8604">
        <v>3</v>
      </c>
      <c r="D8604">
        <v>1</v>
      </c>
      <c r="E8604">
        <v>13530</v>
      </c>
      <c r="F8604">
        <v>364583.33</v>
      </c>
      <c r="G8604">
        <v>0</v>
      </c>
      <c r="H8604">
        <v>0</v>
      </c>
      <c r="I8604">
        <v>0</v>
      </c>
      <c r="J8604">
        <v>0</v>
      </c>
      <c r="K8604">
        <v>0</v>
      </c>
      <c r="L8604">
        <v>75000000</v>
      </c>
      <c r="M8604">
        <v>75000000</v>
      </c>
      <c r="N8604">
        <v>75000000</v>
      </c>
      <c r="O8604">
        <v>75000000</v>
      </c>
      <c r="P8604">
        <v>75000000</v>
      </c>
      <c r="Q8604">
        <v>75000000</v>
      </c>
      <c r="R8604" s="14">
        <f>_xlfn.XLOOKUP(Table2[[#This Row],[LoanID]],Table1[G-L ID],Table1[ManagerCode],-99)</f>
        <v>165</v>
      </c>
      <c r="T8604"/>
    </row>
    <row r="8605" spans="1:20" x14ac:dyDescent="0.25">
      <c r="A8605">
        <v>20190331</v>
      </c>
      <c r="B8605">
        <v>2019</v>
      </c>
      <c r="C8605">
        <v>3</v>
      </c>
      <c r="D8605">
        <v>1</v>
      </c>
      <c r="E8605">
        <v>13540</v>
      </c>
      <c r="F8605">
        <v>237284.89</v>
      </c>
      <c r="G8605">
        <v>0</v>
      </c>
      <c r="H8605">
        <v>0</v>
      </c>
      <c r="I8605">
        <v>0</v>
      </c>
      <c r="J8605">
        <v>0</v>
      </c>
      <c r="K8605">
        <v>302633.96000000002</v>
      </c>
      <c r="L8605">
        <v>42080078.829999998</v>
      </c>
      <c r="M8605">
        <v>41777444.869999997</v>
      </c>
      <c r="N8605">
        <v>42080078.829999998</v>
      </c>
      <c r="O8605">
        <v>41777444.869999997</v>
      </c>
      <c r="P8605">
        <v>42080078.829999998</v>
      </c>
      <c r="Q8605">
        <v>41777444.869999997</v>
      </c>
      <c r="R8605" s="14">
        <f>_xlfn.XLOOKUP(Table2[[#This Row],[LoanID]],Table1[G-L ID],Table1[ManagerCode],-99)</f>
        <v>165</v>
      </c>
      <c r="T8605"/>
    </row>
    <row r="8606" spans="1:20" x14ac:dyDescent="0.25">
      <c r="A8606">
        <v>20190331</v>
      </c>
      <c r="B8606">
        <v>2019</v>
      </c>
      <c r="C8606">
        <v>3</v>
      </c>
      <c r="D8606">
        <v>1</v>
      </c>
      <c r="E8606">
        <v>13550</v>
      </c>
      <c r="F8606">
        <v>1520014.24</v>
      </c>
      <c r="G8606">
        <v>0</v>
      </c>
      <c r="H8606">
        <v>0</v>
      </c>
      <c r="I8606">
        <v>0</v>
      </c>
      <c r="J8606">
        <v>0</v>
      </c>
      <c r="K8606">
        <v>0</v>
      </c>
      <c r="L8606">
        <v>355328004.80000001</v>
      </c>
      <c r="M8606">
        <v>355328004.80000001</v>
      </c>
      <c r="N8606">
        <v>355328004.80000001</v>
      </c>
      <c r="O8606">
        <v>355328004.80000001</v>
      </c>
      <c r="P8606">
        <v>355328004.80000001</v>
      </c>
      <c r="Q8606">
        <v>355328004.80000001</v>
      </c>
      <c r="R8606" s="14">
        <f>_xlfn.XLOOKUP(Table2[[#This Row],[LoanID]],Table1[G-L ID],Table1[ManagerCode],-99)</f>
        <v>165</v>
      </c>
      <c r="T8606"/>
    </row>
    <row r="8607" spans="1:20" x14ac:dyDescent="0.25">
      <c r="A8607">
        <v>20190331</v>
      </c>
      <c r="B8607">
        <v>2019</v>
      </c>
      <c r="C8607">
        <v>3</v>
      </c>
      <c r="D8607">
        <v>1</v>
      </c>
      <c r="E8607">
        <v>13560</v>
      </c>
      <c r="F8607">
        <v>81456.67</v>
      </c>
      <c r="G8607">
        <v>0</v>
      </c>
      <c r="H8607">
        <v>525000</v>
      </c>
      <c r="I8607">
        <v>0</v>
      </c>
      <c r="J8607">
        <v>-105000000</v>
      </c>
      <c r="K8607">
        <v>0</v>
      </c>
      <c r="L8607">
        <v>0</v>
      </c>
      <c r="M8607">
        <v>105000000</v>
      </c>
      <c r="N8607">
        <v>0</v>
      </c>
      <c r="O8607">
        <v>105000000</v>
      </c>
      <c r="P8607">
        <v>0</v>
      </c>
      <c r="Q8607">
        <v>105000000</v>
      </c>
      <c r="R8607" s="14">
        <f>_xlfn.XLOOKUP(Table2[[#This Row],[LoanID]],Table1[G-L ID],Table1[ManagerCode],-99)</f>
        <v>219</v>
      </c>
      <c r="T8607"/>
    </row>
    <row r="8608" spans="1:20" x14ac:dyDescent="0.25">
      <c r="A8608">
        <v>20190331</v>
      </c>
      <c r="B8608">
        <v>2019</v>
      </c>
      <c r="C8608">
        <v>3</v>
      </c>
      <c r="D8608">
        <v>1</v>
      </c>
      <c r="E8608">
        <v>13580</v>
      </c>
      <c r="F8608">
        <v>387916.67</v>
      </c>
      <c r="G8608">
        <v>0</v>
      </c>
      <c r="H8608">
        <v>0</v>
      </c>
      <c r="I8608">
        <v>0</v>
      </c>
      <c r="J8608">
        <v>0</v>
      </c>
      <c r="K8608">
        <v>0</v>
      </c>
      <c r="L8608">
        <v>63546905.460000001</v>
      </c>
      <c r="M8608">
        <v>63589308</v>
      </c>
      <c r="N8608">
        <v>63546905.460000001</v>
      </c>
      <c r="O8608">
        <v>63589308</v>
      </c>
      <c r="P8608">
        <v>66500000</v>
      </c>
      <c r="Q8608">
        <v>66500000</v>
      </c>
      <c r="R8608" s="14">
        <f>_xlfn.XLOOKUP(Table2[[#This Row],[LoanID]],Table1[G-L ID],Table1[ManagerCode],-99)</f>
        <v>298</v>
      </c>
      <c r="T8608"/>
    </row>
    <row r="8609" spans="1:20" x14ac:dyDescent="0.25">
      <c r="A8609">
        <v>20190331</v>
      </c>
      <c r="B8609">
        <v>2019</v>
      </c>
      <c r="C8609">
        <v>3</v>
      </c>
      <c r="D8609">
        <v>1</v>
      </c>
      <c r="E8609">
        <v>13590</v>
      </c>
      <c r="F8609">
        <v>279657.78000000003</v>
      </c>
      <c r="G8609">
        <v>0</v>
      </c>
      <c r="H8609">
        <v>0</v>
      </c>
      <c r="I8609">
        <v>0</v>
      </c>
      <c r="J8609">
        <v>0</v>
      </c>
      <c r="K8609">
        <v>0</v>
      </c>
      <c r="L8609">
        <v>40000000</v>
      </c>
      <c r="M8609">
        <v>40000000</v>
      </c>
      <c r="N8609">
        <v>40000000</v>
      </c>
      <c r="O8609">
        <v>40000000</v>
      </c>
      <c r="P8609">
        <v>40000000</v>
      </c>
      <c r="Q8609">
        <v>40000000</v>
      </c>
      <c r="R8609" s="14">
        <f>_xlfn.XLOOKUP(Table2[[#This Row],[LoanID]],Table1[G-L ID],Table1[ManagerCode],-99)</f>
        <v>298</v>
      </c>
      <c r="T8609"/>
    </row>
    <row r="8610" spans="1:20" x14ac:dyDescent="0.25">
      <c r="A8610">
        <v>20190331</v>
      </c>
      <c r="B8610">
        <v>2019</v>
      </c>
      <c r="C8610">
        <v>3</v>
      </c>
      <c r="D8610">
        <v>1</v>
      </c>
      <c r="E8610">
        <v>13600</v>
      </c>
      <c r="F8610">
        <v>342348.81</v>
      </c>
      <c r="G8610">
        <v>0</v>
      </c>
      <c r="H8610">
        <v>0</v>
      </c>
      <c r="I8610">
        <v>0</v>
      </c>
      <c r="J8610">
        <v>0</v>
      </c>
      <c r="K8610">
        <v>0</v>
      </c>
      <c r="L8610">
        <v>45970000</v>
      </c>
      <c r="M8610">
        <v>45970000</v>
      </c>
      <c r="N8610">
        <v>45970000</v>
      </c>
      <c r="O8610">
        <v>45970000</v>
      </c>
      <c r="P8610">
        <v>45970000</v>
      </c>
      <c r="Q8610">
        <v>45970000</v>
      </c>
      <c r="R8610" s="14">
        <f>_xlfn.XLOOKUP(Table2[[#This Row],[LoanID]],Table1[G-L ID],Table1[ManagerCode],-99)</f>
        <v>298</v>
      </c>
      <c r="T8610"/>
    </row>
    <row r="8611" spans="1:20" x14ac:dyDescent="0.25">
      <c r="A8611">
        <v>20190331</v>
      </c>
      <c r="B8611">
        <v>2019</v>
      </c>
      <c r="C8611">
        <v>3</v>
      </c>
      <c r="D8611">
        <v>1</v>
      </c>
      <c r="E8611">
        <v>13610</v>
      </c>
      <c r="F8611">
        <v>57166.67</v>
      </c>
      <c r="G8611">
        <v>0</v>
      </c>
      <c r="H8611">
        <v>0</v>
      </c>
      <c r="I8611">
        <v>0</v>
      </c>
      <c r="J8611">
        <v>0</v>
      </c>
      <c r="K8611">
        <v>0</v>
      </c>
      <c r="L8611">
        <v>10542185</v>
      </c>
      <c r="M8611">
        <v>10542185</v>
      </c>
      <c r="N8611">
        <v>10542185</v>
      </c>
      <c r="O8611">
        <v>10542185</v>
      </c>
      <c r="P8611">
        <v>10500000</v>
      </c>
      <c r="Q8611">
        <v>10500000</v>
      </c>
      <c r="R8611" s="14">
        <f>_xlfn.XLOOKUP(Table2[[#This Row],[LoanID]],Table1[G-L ID],Table1[ManagerCode],-99)</f>
        <v>298</v>
      </c>
      <c r="T8611"/>
    </row>
    <row r="8612" spans="1:20" x14ac:dyDescent="0.25">
      <c r="A8612">
        <v>20190331</v>
      </c>
      <c r="B8612">
        <v>2019</v>
      </c>
      <c r="C8612">
        <v>3</v>
      </c>
      <c r="D8612">
        <v>1</v>
      </c>
      <c r="E8612">
        <v>13620</v>
      </c>
      <c r="F8612">
        <v>335961.11</v>
      </c>
      <c r="G8612">
        <v>0</v>
      </c>
      <c r="H8612">
        <v>0</v>
      </c>
      <c r="I8612">
        <v>0</v>
      </c>
      <c r="J8612">
        <v>0</v>
      </c>
      <c r="K8612">
        <v>0</v>
      </c>
      <c r="L8612">
        <v>49842286</v>
      </c>
      <c r="M8612">
        <v>49842286</v>
      </c>
      <c r="N8612">
        <v>49842286</v>
      </c>
      <c r="O8612">
        <v>49842286</v>
      </c>
      <c r="P8612">
        <v>50000000</v>
      </c>
      <c r="Q8612">
        <v>50000000</v>
      </c>
      <c r="R8612" s="14">
        <f>_xlfn.XLOOKUP(Table2[[#This Row],[LoanID]],Table1[G-L ID],Table1[ManagerCode],-99)</f>
        <v>298</v>
      </c>
      <c r="T8612"/>
    </row>
    <row r="8613" spans="1:20" x14ac:dyDescent="0.25">
      <c r="A8613">
        <v>20190331</v>
      </c>
      <c r="B8613">
        <v>2019</v>
      </c>
      <c r="C8613">
        <v>3</v>
      </c>
      <c r="D8613">
        <v>1</v>
      </c>
      <c r="E8613">
        <v>13630</v>
      </c>
      <c r="F8613">
        <v>197361.11</v>
      </c>
      <c r="G8613">
        <v>0</v>
      </c>
      <c r="H8613">
        <v>0</v>
      </c>
      <c r="I8613">
        <v>0</v>
      </c>
      <c r="J8613">
        <v>0</v>
      </c>
      <c r="K8613">
        <v>0</v>
      </c>
      <c r="L8613">
        <v>35449769.57</v>
      </c>
      <c r="M8613">
        <v>30700000</v>
      </c>
      <c r="N8613">
        <v>35449769.57</v>
      </c>
      <c r="O8613">
        <v>30700000</v>
      </c>
      <c r="P8613">
        <v>35000000</v>
      </c>
      <c r="Q8613">
        <v>35000000</v>
      </c>
      <c r="R8613" s="14">
        <f>_xlfn.XLOOKUP(Table2[[#This Row],[LoanID]],Table1[G-L ID],Table1[ManagerCode],-99)</f>
        <v>298</v>
      </c>
      <c r="T8613"/>
    </row>
    <row r="8614" spans="1:20" x14ac:dyDescent="0.25">
      <c r="A8614">
        <v>20190331</v>
      </c>
      <c r="B8614">
        <v>2019</v>
      </c>
      <c r="C8614">
        <v>3</v>
      </c>
      <c r="D8614">
        <v>1</v>
      </c>
      <c r="E8614">
        <v>13640</v>
      </c>
      <c r="F8614">
        <v>205017.36</v>
      </c>
      <c r="G8614">
        <v>0</v>
      </c>
      <c r="H8614">
        <v>0</v>
      </c>
      <c r="I8614">
        <v>0</v>
      </c>
      <c r="J8614">
        <v>0</v>
      </c>
      <c r="K8614">
        <v>0</v>
      </c>
      <c r="L8614">
        <v>30714705</v>
      </c>
      <c r="M8614">
        <v>30714705</v>
      </c>
      <c r="N8614">
        <v>30714705</v>
      </c>
      <c r="O8614">
        <v>30714705</v>
      </c>
      <c r="P8614">
        <v>30125000</v>
      </c>
      <c r="Q8614">
        <v>30125000</v>
      </c>
      <c r="R8614" s="14">
        <f>_xlfn.XLOOKUP(Table2[[#This Row],[LoanID]],Table1[G-L ID],Table1[ManagerCode],-99)</f>
        <v>298</v>
      </c>
      <c r="T8614"/>
    </row>
    <row r="8615" spans="1:20" x14ac:dyDescent="0.25">
      <c r="A8615">
        <v>20190331</v>
      </c>
      <c r="B8615">
        <v>2019</v>
      </c>
      <c r="C8615">
        <v>3</v>
      </c>
      <c r="D8615">
        <v>1</v>
      </c>
      <c r="E8615">
        <v>13650</v>
      </c>
      <c r="F8615">
        <v>202222.22</v>
      </c>
      <c r="G8615">
        <v>0</v>
      </c>
      <c r="H8615">
        <v>0</v>
      </c>
      <c r="I8615">
        <v>0</v>
      </c>
      <c r="J8615">
        <v>0</v>
      </c>
      <c r="K8615">
        <v>0</v>
      </c>
      <c r="L8615">
        <v>38895325</v>
      </c>
      <c r="M8615">
        <v>38895325</v>
      </c>
      <c r="N8615">
        <v>38895325</v>
      </c>
      <c r="O8615">
        <v>38895325</v>
      </c>
      <c r="P8615">
        <v>40000000</v>
      </c>
      <c r="Q8615">
        <v>40000000</v>
      </c>
      <c r="R8615" s="14">
        <f>_xlfn.XLOOKUP(Table2[[#This Row],[LoanID]],Table1[G-L ID],Table1[ManagerCode],-99)</f>
        <v>298</v>
      </c>
      <c r="T8615"/>
    </row>
    <row r="8616" spans="1:20" x14ac:dyDescent="0.25">
      <c r="A8616">
        <v>20190331</v>
      </c>
      <c r="B8616">
        <v>2019</v>
      </c>
      <c r="C8616">
        <v>3</v>
      </c>
      <c r="D8616">
        <v>1</v>
      </c>
      <c r="E8616">
        <v>13660</v>
      </c>
      <c r="F8616">
        <v>106555.56</v>
      </c>
      <c r="G8616">
        <v>0</v>
      </c>
      <c r="H8616">
        <v>0</v>
      </c>
      <c r="I8616">
        <v>0</v>
      </c>
      <c r="J8616">
        <v>0</v>
      </c>
      <c r="K8616">
        <v>0</v>
      </c>
      <c r="L8616">
        <v>19313433</v>
      </c>
      <c r="M8616">
        <v>19313433</v>
      </c>
      <c r="N8616">
        <v>19313433</v>
      </c>
      <c r="O8616">
        <v>19313433</v>
      </c>
      <c r="P8616">
        <v>20000000</v>
      </c>
      <c r="Q8616">
        <v>20000000</v>
      </c>
      <c r="R8616" s="14">
        <f>_xlfn.XLOOKUP(Table2[[#This Row],[LoanID]],Table1[G-L ID],Table1[ManagerCode],-99)</f>
        <v>298</v>
      </c>
      <c r="T8616"/>
    </row>
    <row r="8617" spans="1:20" x14ac:dyDescent="0.25">
      <c r="A8617">
        <v>20190331</v>
      </c>
      <c r="B8617">
        <v>2019</v>
      </c>
      <c r="C8617">
        <v>3</v>
      </c>
      <c r="D8617">
        <v>1</v>
      </c>
      <c r="E8617">
        <v>13670</v>
      </c>
      <c r="F8617">
        <v>327804.17</v>
      </c>
      <c r="G8617">
        <v>0</v>
      </c>
      <c r="H8617">
        <v>0</v>
      </c>
      <c r="I8617">
        <v>0</v>
      </c>
      <c r="J8617">
        <v>0</v>
      </c>
      <c r="K8617">
        <v>0</v>
      </c>
      <c r="L8617">
        <v>37652328.590000004</v>
      </c>
      <c r="M8617">
        <v>25000000</v>
      </c>
      <c r="N8617">
        <v>37652328.590000004</v>
      </c>
      <c r="O8617">
        <v>25000000</v>
      </c>
      <c r="P8617">
        <v>37500000</v>
      </c>
      <c r="Q8617">
        <v>37500000</v>
      </c>
      <c r="R8617" s="14">
        <f>_xlfn.XLOOKUP(Table2[[#This Row],[LoanID]],Table1[G-L ID],Table1[ManagerCode],-99)</f>
        <v>298</v>
      </c>
      <c r="T8617"/>
    </row>
    <row r="8618" spans="1:20" x14ac:dyDescent="0.25">
      <c r="A8618">
        <v>20190331</v>
      </c>
      <c r="B8618">
        <v>2019</v>
      </c>
      <c r="C8618">
        <v>3</v>
      </c>
      <c r="D8618">
        <v>1</v>
      </c>
      <c r="E8618">
        <v>13690</v>
      </c>
      <c r="F8618">
        <v>120555.56</v>
      </c>
      <c r="G8618">
        <v>0</v>
      </c>
      <c r="H8618">
        <v>0</v>
      </c>
      <c r="I8618">
        <v>0</v>
      </c>
      <c r="J8618">
        <v>0</v>
      </c>
      <c r="K8618">
        <v>0</v>
      </c>
      <c r="L8618">
        <v>19791063.850000001</v>
      </c>
      <c r="M8618">
        <v>19791063.850000001</v>
      </c>
      <c r="N8618">
        <v>19791063.850000001</v>
      </c>
      <c r="O8618">
        <v>19791063.850000001</v>
      </c>
      <c r="P8618">
        <v>20000000</v>
      </c>
      <c r="Q8618">
        <v>20000000</v>
      </c>
      <c r="R8618" s="14">
        <f>_xlfn.XLOOKUP(Table2[[#This Row],[LoanID]],Table1[G-L ID],Table1[ManagerCode],-99)</f>
        <v>298</v>
      </c>
      <c r="T8618"/>
    </row>
    <row r="8619" spans="1:20" x14ac:dyDescent="0.25">
      <c r="A8619">
        <v>20190331</v>
      </c>
      <c r="B8619">
        <v>2019</v>
      </c>
      <c r="C8619">
        <v>3</v>
      </c>
      <c r="D8619">
        <v>1</v>
      </c>
      <c r="E8619">
        <v>13700</v>
      </c>
      <c r="F8619">
        <v>133113.85</v>
      </c>
      <c r="G8619">
        <v>0</v>
      </c>
      <c r="H8619">
        <v>0</v>
      </c>
      <c r="I8619">
        <v>0</v>
      </c>
      <c r="J8619">
        <v>-246069.98</v>
      </c>
      <c r="K8619">
        <v>0</v>
      </c>
      <c r="L8619">
        <v>22636420.84</v>
      </c>
      <c r="M8619">
        <v>22882490.82</v>
      </c>
      <c r="N8619">
        <v>22636420.84</v>
      </c>
      <c r="O8619">
        <v>22882490.82</v>
      </c>
      <c r="P8619">
        <v>22636420.84</v>
      </c>
      <c r="Q8619">
        <v>22882490.82</v>
      </c>
      <c r="R8619" s="14">
        <f>_xlfn.XLOOKUP(Table2[[#This Row],[LoanID]],Table1[G-L ID],Table1[ManagerCode],-99)</f>
        <v>119</v>
      </c>
      <c r="T8619"/>
    </row>
    <row r="8620" spans="1:20" x14ac:dyDescent="0.25">
      <c r="A8620">
        <v>20190331</v>
      </c>
      <c r="B8620">
        <v>2019</v>
      </c>
      <c r="C8620">
        <v>3</v>
      </c>
      <c r="D8620">
        <v>1</v>
      </c>
      <c r="E8620">
        <v>13710</v>
      </c>
      <c r="F8620">
        <v>330715.42</v>
      </c>
      <c r="G8620">
        <v>0</v>
      </c>
      <c r="H8620">
        <v>0</v>
      </c>
      <c r="I8620">
        <v>0</v>
      </c>
      <c r="J8620">
        <v>0</v>
      </c>
      <c r="K8620">
        <v>0</v>
      </c>
      <c r="L8620">
        <v>24500000</v>
      </c>
      <c r="M8620">
        <v>24500000</v>
      </c>
      <c r="N8620">
        <v>24500000</v>
      </c>
      <c r="O8620">
        <v>24500000</v>
      </c>
      <c r="P8620">
        <v>24500000</v>
      </c>
      <c r="Q8620">
        <v>24500000</v>
      </c>
      <c r="R8620" s="14">
        <f>_xlfn.XLOOKUP(Table2[[#This Row],[LoanID]],Table1[G-L ID],Table1[ManagerCode],-99)</f>
        <v>119</v>
      </c>
      <c r="T8620"/>
    </row>
    <row r="8621" spans="1:20" x14ac:dyDescent="0.25">
      <c r="A8621">
        <v>20190331</v>
      </c>
      <c r="B8621">
        <v>2019</v>
      </c>
      <c r="C8621">
        <v>3</v>
      </c>
      <c r="D8621">
        <v>1</v>
      </c>
      <c r="E8621">
        <v>13720</v>
      </c>
      <c r="F8621">
        <v>74156.09</v>
      </c>
      <c r="G8621">
        <v>0</v>
      </c>
      <c r="H8621">
        <v>-299625</v>
      </c>
      <c r="I8621">
        <v>0</v>
      </c>
      <c r="J8621">
        <v>11802884.18</v>
      </c>
      <c r="K8621">
        <v>0</v>
      </c>
      <c r="L8621">
        <v>16242512.48</v>
      </c>
      <c r="M8621">
        <v>4439628.3</v>
      </c>
      <c r="N8621">
        <v>16242512.48</v>
      </c>
      <c r="O8621">
        <v>4439628.3</v>
      </c>
      <c r="P8621">
        <v>16242512.48</v>
      </c>
      <c r="Q8621">
        <v>4439628.3</v>
      </c>
      <c r="R8621" s="14">
        <f>_xlfn.XLOOKUP(Table2[[#This Row],[LoanID]],Table1[G-L ID],Table1[ManagerCode],-99)</f>
        <v>119</v>
      </c>
      <c r="T8621"/>
    </row>
    <row r="8622" spans="1:20" x14ac:dyDescent="0.25">
      <c r="A8622">
        <v>20190331</v>
      </c>
      <c r="B8622">
        <v>2019</v>
      </c>
      <c r="C8622">
        <v>3</v>
      </c>
      <c r="D8622">
        <v>1</v>
      </c>
      <c r="E8622">
        <v>13730</v>
      </c>
      <c r="F8622">
        <v>0</v>
      </c>
      <c r="G8622">
        <v>0</v>
      </c>
      <c r="H8622">
        <v>-849377.13</v>
      </c>
      <c r="I8622">
        <v>0</v>
      </c>
      <c r="J8622">
        <v>65523112.189999998</v>
      </c>
      <c r="K8622">
        <v>0</v>
      </c>
      <c r="L8622">
        <v>81903890.239999995</v>
      </c>
      <c r="M8622">
        <v>16380778.050000001</v>
      </c>
      <c r="N8622">
        <v>81903890.239999995</v>
      </c>
      <c r="O8622">
        <v>16380778.050000001</v>
      </c>
      <c r="P8622">
        <v>81903890.239999995</v>
      </c>
      <c r="Q8622">
        <v>16380778.050000001</v>
      </c>
      <c r="R8622" s="14">
        <f>_xlfn.XLOOKUP(Table2[[#This Row],[LoanID]],Table1[G-L ID],Table1[ManagerCode],-99)</f>
        <v>119</v>
      </c>
      <c r="T8622"/>
    </row>
    <row r="8623" spans="1:20" x14ac:dyDescent="0.25">
      <c r="A8623">
        <v>20190331</v>
      </c>
      <c r="B8623">
        <v>2019</v>
      </c>
      <c r="C8623">
        <v>3</v>
      </c>
      <c r="D8623">
        <v>1</v>
      </c>
      <c r="E8623">
        <v>13740</v>
      </c>
      <c r="F8623">
        <v>0</v>
      </c>
      <c r="G8623">
        <v>0</v>
      </c>
      <c r="H8623">
        <v>482435.5</v>
      </c>
      <c r="I8623">
        <v>0</v>
      </c>
      <c r="J8623">
        <v>-55048038</v>
      </c>
      <c r="K8623">
        <v>0</v>
      </c>
      <c r="L8623">
        <v>0</v>
      </c>
      <c r="M8623">
        <v>55048038</v>
      </c>
      <c r="N8623">
        <v>0</v>
      </c>
      <c r="O8623">
        <v>55048038</v>
      </c>
      <c r="P8623">
        <v>0</v>
      </c>
      <c r="Q8623">
        <v>55048038</v>
      </c>
      <c r="R8623" s="14">
        <f>_xlfn.XLOOKUP(Table2[[#This Row],[LoanID]],Table1[G-L ID],Table1[ManagerCode],-99)</f>
        <v>119</v>
      </c>
      <c r="T8623"/>
    </row>
    <row r="8624" spans="1:20" x14ac:dyDescent="0.25">
      <c r="A8624">
        <v>20190331</v>
      </c>
      <c r="B8624">
        <v>2019</v>
      </c>
      <c r="C8624">
        <v>3</v>
      </c>
      <c r="D8624">
        <v>1</v>
      </c>
      <c r="E8624">
        <v>13800</v>
      </c>
      <c r="F8624">
        <v>367054.99</v>
      </c>
      <c r="G8624">
        <v>0</v>
      </c>
      <c r="H8624">
        <v>0</v>
      </c>
      <c r="I8624">
        <v>0</v>
      </c>
      <c r="J8624">
        <v>0</v>
      </c>
      <c r="K8624">
        <v>0</v>
      </c>
      <c r="L8624">
        <v>80700000</v>
      </c>
      <c r="M8624">
        <v>80700000</v>
      </c>
      <c r="N8624">
        <v>44870000</v>
      </c>
      <c r="O8624">
        <v>44870000</v>
      </c>
      <c r="P8624">
        <v>80700000</v>
      </c>
      <c r="Q8624">
        <v>80700000</v>
      </c>
      <c r="R8624" s="14">
        <f>_xlfn.XLOOKUP(Table2[[#This Row],[LoanID]],Table1[G-L ID],Table1[ManagerCode],-99)</f>
        <v>183</v>
      </c>
      <c r="T8624"/>
    </row>
    <row r="8625" spans="1:20" x14ac:dyDescent="0.25">
      <c r="A8625">
        <v>20190331</v>
      </c>
      <c r="B8625">
        <v>2019</v>
      </c>
      <c r="C8625">
        <v>3</v>
      </c>
      <c r="D8625">
        <v>1</v>
      </c>
      <c r="E8625">
        <v>14000</v>
      </c>
      <c r="F8625">
        <v>183661.09</v>
      </c>
      <c r="G8625">
        <v>0</v>
      </c>
      <c r="H8625">
        <v>0</v>
      </c>
      <c r="I8625">
        <v>0</v>
      </c>
      <c r="J8625">
        <v>0</v>
      </c>
      <c r="K8625">
        <v>0</v>
      </c>
      <c r="L8625">
        <v>98000000</v>
      </c>
      <c r="M8625">
        <v>98000000</v>
      </c>
      <c r="N8625">
        <v>39200000</v>
      </c>
      <c r="O8625">
        <v>39200000</v>
      </c>
      <c r="P8625">
        <v>98000000</v>
      </c>
      <c r="Q8625">
        <v>98000000</v>
      </c>
      <c r="R8625" s="14">
        <f>_xlfn.XLOOKUP(Table2[[#This Row],[LoanID]],Table1[G-L ID],Table1[ManagerCode],-99)</f>
        <v>183</v>
      </c>
      <c r="T8625"/>
    </row>
    <row r="8626" spans="1:20" x14ac:dyDescent="0.25">
      <c r="A8626">
        <v>20190331</v>
      </c>
      <c r="B8626">
        <v>2019</v>
      </c>
      <c r="C8626">
        <v>3</v>
      </c>
      <c r="D8626">
        <v>1</v>
      </c>
      <c r="E8626">
        <v>14010</v>
      </c>
      <c r="F8626">
        <v>73428.94</v>
      </c>
      <c r="G8626">
        <v>0</v>
      </c>
      <c r="H8626">
        <v>0</v>
      </c>
      <c r="I8626">
        <v>0</v>
      </c>
      <c r="J8626">
        <v>0</v>
      </c>
      <c r="K8626">
        <v>0</v>
      </c>
      <c r="L8626">
        <v>9920000</v>
      </c>
      <c r="M8626">
        <v>9920000</v>
      </c>
      <c r="N8626">
        <v>9920000</v>
      </c>
      <c r="O8626">
        <v>9920000</v>
      </c>
      <c r="P8626">
        <v>9920000</v>
      </c>
      <c r="Q8626">
        <v>9920000</v>
      </c>
      <c r="R8626" s="14">
        <f>_xlfn.XLOOKUP(Table2[[#This Row],[LoanID]],Table1[G-L ID],Table1[ManagerCode],-99)</f>
        <v>119</v>
      </c>
      <c r="T8626"/>
    </row>
    <row r="8627" spans="1:20" x14ac:dyDescent="0.25">
      <c r="A8627">
        <v>20190331</v>
      </c>
      <c r="B8627">
        <v>2019</v>
      </c>
      <c r="C8627">
        <v>3</v>
      </c>
      <c r="D8627">
        <v>1</v>
      </c>
      <c r="E8627">
        <v>14020</v>
      </c>
      <c r="F8627">
        <v>249977.04</v>
      </c>
      <c r="G8627">
        <v>0</v>
      </c>
      <c r="H8627">
        <v>0</v>
      </c>
      <c r="I8627">
        <v>0</v>
      </c>
      <c r="J8627">
        <v>-2937069.56</v>
      </c>
      <c r="K8627">
        <v>0</v>
      </c>
      <c r="L8627">
        <v>29963614.309999999</v>
      </c>
      <c r="M8627">
        <v>32900683.870000001</v>
      </c>
      <c r="N8627">
        <v>29963614.309999999</v>
      </c>
      <c r="O8627">
        <v>32900683.870000001</v>
      </c>
      <c r="P8627">
        <v>29963614.309999999</v>
      </c>
      <c r="Q8627">
        <v>32900683.870000001</v>
      </c>
      <c r="R8627" s="14">
        <f>_xlfn.XLOOKUP(Table2[[#This Row],[LoanID]],Table1[G-L ID],Table1[ManagerCode],-99)</f>
        <v>119</v>
      </c>
      <c r="T8627"/>
    </row>
    <row r="8628" spans="1:20" x14ac:dyDescent="0.25">
      <c r="A8628">
        <v>20190331</v>
      </c>
      <c r="B8628">
        <v>2019</v>
      </c>
      <c r="C8628">
        <v>3</v>
      </c>
      <c r="D8628">
        <v>1</v>
      </c>
      <c r="E8628">
        <v>14670</v>
      </c>
      <c r="F8628">
        <v>72105.87</v>
      </c>
      <c r="G8628">
        <v>0</v>
      </c>
      <c r="H8628">
        <v>0</v>
      </c>
      <c r="I8628">
        <v>0</v>
      </c>
      <c r="J8628">
        <v>0</v>
      </c>
      <c r="K8628">
        <v>38167.22</v>
      </c>
      <c r="L8628">
        <v>29832020</v>
      </c>
      <c r="M8628">
        <v>29704954</v>
      </c>
      <c r="N8628">
        <v>8783770</v>
      </c>
      <c r="O8628">
        <v>8656704</v>
      </c>
      <c r="P8628">
        <v>29554296.719999999</v>
      </c>
      <c r="Q8628">
        <v>29516129.5</v>
      </c>
      <c r="R8628" s="14">
        <f>_xlfn.XLOOKUP(Table2[[#This Row],[LoanID]],Table1[G-L ID],Table1[ManagerCode],-99)</f>
        <v>220</v>
      </c>
      <c r="T8628"/>
    </row>
    <row r="8629" spans="1:20" x14ac:dyDescent="0.25">
      <c r="A8629">
        <v>20190331</v>
      </c>
      <c r="B8629">
        <v>2019</v>
      </c>
      <c r="C8629">
        <v>3</v>
      </c>
      <c r="D8629">
        <v>1</v>
      </c>
      <c r="E8629">
        <v>14680</v>
      </c>
      <c r="F8629">
        <v>32780.480000000003</v>
      </c>
      <c r="G8629">
        <v>0</v>
      </c>
      <c r="H8629">
        <v>0</v>
      </c>
      <c r="I8629">
        <v>0</v>
      </c>
      <c r="J8629">
        <v>-577300.43999999994</v>
      </c>
      <c r="K8629">
        <v>0</v>
      </c>
      <c r="L8629">
        <v>27816131</v>
      </c>
      <c r="M8629">
        <v>28735557</v>
      </c>
      <c r="N8629">
        <v>6784372.0499999998</v>
      </c>
      <c r="O8629">
        <v>7703798.0499999998</v>
      </c>
      <c r="P8629">
        <v>28042345.27</v>
      </c>
      <c r="Q8629">
        <v>28619645.710000001</v>
      </c>
      <c r="R8629" s="14">
        <f>_xlfn.XLOOKUP(Table2[[#This Row],[LoanID]],Table1[G-L ID],Table1[ManagerCode],-99)</f>
        <v>220</v>
      </c>
      <c r="T8629"/>
    </row>
    <row r="8630" spans="1:20" x14ac:dyDescent="0.25">
      <c r="A8630">
        <v>20190331</v>
      </c>
      <c r="B8630">
        <v>2019</v>
      </c>
      <c r="C8630">
        <v>3</v>
      </c>
      <c r="D8630">
        <v>1</v>
      </c>
      <c r="E8630">
        <v>14690</v>
      </c>
      <c r="F8630">
        <v>64487.69</v>
      </c>
      <c r="G8630">
        <v>0</v>
      </c>
      <c r="H8630">
        <v>0</v>
      </c>
      <c r="I8630">
        <v>0</v>
      </c>
      <c r="J8630">
        <v>0</v>
      </c>
      <c r="K8630">
        <v>0</v>
      </c>
      <c r="L8630">
        <v>42335000</v>
      </c>
      <c r="M8630">
        <v>42335000</v>
      </c>
      <c r="N8630">
        <v>14817250</v>
      </c>
      <c r="O8630">
        <v>14817250</v>
      </c>
      <c r="P8630">
        <v>42335000</v>
      </c>
      <c r="Q8630">
        <v>42335000</v>
      </c>
      <c r="R8630" s="14">
        <f>_xlfn.XLOOKUP(Table2[[#This Row],[LoanID]],Table1[G-L ID],Table1[ManagerCode],-99)</f>
        <v>220</v>
      </c>
      <c r="T8630"/>
    </row>
    <row r="8631" spans="1:20" x14ac:dyDescent="0.25">
      <c r="A8631">
        <v>20190331</v>
      </c>
      <c r="B8631">
        <v>2019</v>
      </c>
      <c r="C8631">
        <v>3</v>
      </c>
      <c r="D8631">
        <v>1</v>
      </c>
      <c r="E8631">
        <v>14700</v>
      </c>
      <c r="F8631">
        <v>92613.89</v>
      </c>
      <c r="G8631">
        <v>0</v>
      </c>
      <c r="H8631">
        <v>0</v>
      </c>
      <c r="I8631">
        <v>0</v>
      </c>
      <c r="J8631">
        <v>0</v>
      </c>
      <c r="K8631">
        <v>0</v>
      </c>
      <c r="L8631">
        <v>35240840</v>
      </c>
      <c r="M8631">
        <v>35240840</v>
      </c>
      <c r="N8631">
        <v>10653340</v>
      </c>
      <c r="O8631">
        <v>10653340</v>
      </c>
      <c r="P8631">
        <v>35125000</v>
      </c>
      <c r="Q8631">
        <v>35125000</v>
      </c>
      <c r="R8631" s="14">
        <f>_xlfn.XLOOKUP(Table2[[#This Row],[LoanID]],Table1[G-L ID],Table1[ManagerCode],-99)</f>
        <v>220</v>
      </c>
      <c r="T8631"/>
    </row>
    <row r="8632" spans="1:20" x14ac:dyDescent="0.25">
      <c r="A8632">
        <v>20190331</v>
      </c>
      <c r="B8632">
        <v>2019</v>
      </c>
      <c r="C8632">
        <v>3</v>
      </c>
      <c r="D8632">
        <v>1</v>
      </c>
      <c r="E8632">
        <v>14710</v>
      </c>
      <c r="F8632">
        <v>51391.49</v>
      </c>
      <c r="G8632">
        <v>0</v>
      </c>
      <c r="H8632">
        <v>0</v>
      </c>
      <c r="I8632">
        <v>0</v>
      </c>
      <c r="J8632">
        <v>0</v>
      </c>
      <c r="K8632">
        <v>0</v>
      </c>
      <c r="L8632">
        <v>33650000</v>
      </c>
      <c r="M8632">
        <v>33650000</v>
      </c>
      <c r="N8632">
        <v>11777500</v>
      </c>
      <c r="O8632">
        <v>11777500</v>
      </c>
      <c r="P8632">
        <v>33650000</v>
      </c>
      <c r="Q8632">
        <v>33650000</v>
      </c>
      <c r="R8632" s="14">
        <f>_xlfn.XLOOKUP(Table2[[#This Row],[LoanID]],Table1[G-L ID],Table1[ManagerCode],-99)</f>
        <v>220</v>
      </c>
      <c r="T8632"/>
    </row>
    <row r="8633" spans="1:20" x14ac:dyDescent="0.25">
      <c r="A8633">
        <v>20190331</v>
      </c>
      <c r="B8633">
        <v>2019</v>
      </c>
      <c r="C8633">
        <v>3</v>
      </c>
      <c r="D8633">
        <v>1</v>
      </c>
      <c r="E8633">
        <v>14720</v>
      </c>
      <c r="F8633">
        <v>28073.87</v>
      </c>
      <c r="G8633">
        <v>0</v>
      </c>
      <c r="H8633">
        <v>0</v>
      </c>
      <c r="I8633">
        <v>0</v>
      </c>
      <c r="J8633">
        <v>-247567.35999999999</v>
      </c>
      <c r="K8633">
        <v>0</v>
      </c>
      <c r="L8633">
        <v>19673107</v>
      </c>
      <c r="M8633">
        <v>19925763</v>
      </c>
      <c r="N8633">
        <v>5946107</v>
      </c>
      <c r="O8633">
        <v>6198763</v>
      </c>
      <c r="P8633">
        <v>19610000</v>
      </c>
      <c r="Q8633">
        <v>19857567.359999999</v>
      </c>
      <c r="R8633" s="14">
        <f>_xlfn.XLOOKUP(Table2[[#This Row],[LoanID]],Table1[G-L ID],Table1[ManagerCode],-99)</f>
        <v>220</v>
      </c>
      <c r="T8633"/>
    </row>
    <row r="8634" spans="1:20" x14ac:dyDescent="0.25">
      <c r="A8634">
        <v>20190331</v>
      </c>
      <c r="B8634">
        <v>2019</v>
      </c>
      <c r="C8634">
        <v>3</v>
      </c>
      <c r="D8634">
        <v>1</v>
      </c>
      <c r="E8634">
        <v>14730</v>
      </c>
      <c r="F8634">
        <v>185682.78</v>
      </c>
      <c r="G8634">
        <v>0</v>
      </c>
      <c r="H8634">
        <v>0</v>
      </c>
      <c r="I8634">
        <v>0</v>
      </c>
      <c r="J8634">
        <v>0</v>
      </c>
      <c r="K8634">
        <v>0</v>
      </c>
      <c r="L8634">
        <v>50412525</v>
      </c>
      <c r="M8634">
        <v>50412525</v>
      </c>
      <c r="N8634">
        <v>50412525</v>
      </c>
      <c r="O8634">
        <v>50412525</v>
      </c>
      <c r="P8634">
        <v>50260000</v>
      </c>
      <c r="Q8634">
        <v>50260000</v>
      </c>
      <c r="R8634" s="14">
        <f>_xlfn.XLOOKUP(Table2[[#This Row],[LoanID]],Table1[G-L ID],Table1[ManagerCode],-99)</f>
        <v>220</v>
      </c>
      <c r="T8634"/>
    </row>
    <row r="8635" spans="1:20" x14ac:dyDescent="0.25">
      <c r="A8635">
        <v>20190331</v>
      </c>
      <c r="B8635">
        <v>2019</v>
      </c>
      <c r="C8635">
        <v>3</v>
      </c>
      <c r="D8635">
        <v>1</v>
      </c>
      <c r="E8635">
        <v>14740</v>
      </c>
      <c r="F8635">
        <v>77609.820000000007</v>
      </c>
      <c r="G8635">
        <v>0</v>
      </c>
      <c r="H8635">
        <v>0</v>
      </c>
      <c r="I8635">
        <v>0</v>
      </c>
      <c r="J8635">
        <v>0</v>
      </c>
      <c r="K8635">
        <v>0</v>
      </c>
      <c r="L8635">
        <v>35128398</v>
      </c>
      <c r="M8635">
        <v>35128398</v>
      </c>
      <c r="N8635">
        <v>14128398</v>
      </c>
      <c r="O8635">
        <v>14128398</v>
      </c>
      <c r="P8635">
        <v>35000000</v>
      </c>
      <c r="Q8635">
        <v>35000000</v>
      </c>
      <c r="R8635" s="14">
        <f>_xlfn.XLOOKUP(Table2[[#This Row],[LoanID]],Table1[G-L ID],Table1[ManagerCode],-99)</f>
        <v>220</v>
      </c>
      <c r="T8635"/>
    </row>
    <row r="8636" spans="1:20" x14ac:dyDescent="0.25">
      <c r="A8636">
        <v>20190331</v>
      </c>
      <c r="B8636">
        <v>2019</v>
      </c>
      <c r="C8636">
        <v>3</v>
      </c>
      <c r="D8636">
        <v>1</v>
      </c>
      <c r="E8636">
        <v>14750</v>
      </c>
      <c r="F8636">
        <v>78348.67</v>
      </c>
      <c r="G8636">
        <v>0</v>
      </c>
      <c r="H8636">
        <v>0</v>
      </c>
      <c r="I8636">
        <v>0</v>
      </c>
      <c r="J8636">
        <v>0</v>
      </c>
      <c r="K8636">
        <v>0</v>
      </c>
      <c r="L8636">
        <v>55000000</v>
      </c>
      <c r="M8636">
        <v>55000000</v>
      </c>
      <c r="N8636">
        <v>19250000</v>
      </c>
      <c r="O8636">
        <v>19250000</v>
      </c>
      <c r="P8636">
        <v>55000000</v>
      </c>
      <c r="Q8636">
        <v>55000000</v>
      </c>
      <c r="R8636" s="14">
        <f>_xlfn.XLOOKUP(Table2[[#This Row],[LoanID]],Table1[G-L ID],Table1[ManagerCode],-99)</f>
        <v>220</v>
      </c>
      <c r="T8636"/>
    </row>
    <row r="8637" spans="1:20" x14ac:dyDescent="0.25">
      <c r="A8637">
        <v>20190331</v>
      </c>
      <c r="B8637">
        <v>2019</v>
      </c>
      <c r="C8637">
        <v>3</v>
      </c>
      <c r="D8637">
        <v>1</v>
      </c>
      <c r="E8637">
        <v>14790</v>
      </c>
      <c r="F8637">
        <v>152071.26999999999</v>
      </c>
      <c r="G8637">
        <v>0</v>
      </c>
      <c r="H8637">
        <v>0</v>
      </c>
      <c r="I8637">
        <v>0</v>
      </c>
      <c r="J8637">
        <v>0</v>
      </c>
      <c r="K8637">
        <v>0</v>
      </c>
      <c r="L8637">
        <v>72887956</v>
      </c>
      <c r="M8637">
        <v>72883095</v>
      </c>
      <c r="N8637">
        <v>23556614</v>
      </c>
      <c r="O8637">
        <v>23551753</v>
      </c>
      <c r="P8637">
        <v>72200000</v>
      </c>
      <c r="Q8637">
        <v>72200000</v>
      </c>
      <c r="R8637" s="14">
        <f>_xlfn.XLOOKUP(Table2[[#This Row],[LoanID]],Table1[G-L ID],Table1[ManagerCode],-99)</f>
        <v>220</v>
      </c>
      <c r="T8637"/>
    </row>
    <row r="8638" spans="1:20" x14ac:dyDescent="0.25">
      <c r="A8638">
        <v>20190331</v>
      </c>
      <c r="B8638">
        <v>2019</v>
      </c>
      <c r="C8638">
        <v>3</v>
      </c>
      <c r="D8638">
        <v>1</v>
      </c>
      <c r="E8638">
        <v>14800</v>
      </c>
      <c r="F8638">
        <v>89790.45</v>
      </c>
      <c r="G8638">
        <v>0</v>
      </c>
      <c r="H8638">
        <v>0</v>
      </c>
      <c r="I8638">
        <v>0</v>
      </c>
      <c r="J8638">
        <v>0</v>
      </c>
      <c r="K8638">
        <v>0</v>
      </c>
      <c r="L8638">
        <v>51000000</v>
      </c>
      <c r="M8638">
        <v>51000000</v>
      </c>
      <c r="N8638">
        <v>17850000</v>
      </c>
      <c r="O8638">
        <v>17850000</v>
      </c>
      <c r="P8638">
        <v>51000000</v>
      </c>
      <c r="Q8638">
        <v>51000000</v>
      </c>
      <c r="R8638" s="14">
        <f>_xlfn.XLOOKUP(Table2[[#This Row],[LoanID]],Table1[G-L ID],Table1[ManagerCode],-99)</f>
        <v>220</v>
      </c>
      <c r="T8638"/>
    </row>
    <row r="8639" spans="1:20" x14ac:dyDescent="0.25">
      <c r="A8639">
        <v>20190331</v>
      </c>
      <c r="B8639">
        <v>2019</v>
      </c>
      <c r="C8639">
        <v>3</v>
      </c>
      <c r="D8639">
        <v>1</v>
      </c>
      <c r="E8639">
        <v>14810</v>
      </c>
      <c r="F8639">
        <v>96233.25</v>
      </c>
      <c r="G8639">
        <v>0</v>
      </c>
      <c r="H8639">
        <v>0</v>
      </c>
      <c r="I8639">
        <v>0</v>
      </c>
      <c r="J8639">
        <v>0</v>
      </c>
      <c r="K8639">
        <v>0</v>
      </c>
      <c r="L8639">
        <v>25006994</v>
      </c>
      <c r="M8639">
        <v>25008714</v>
      </c>
      <c r="N8639">
        <v>25006994</v>
      </c>
      <c r="O8639">
        <v>25008714</v>
      </c>
      <c r="P8639">
        <v>24930000</v>
      </c>
      <c r="Q8639">
        <v>24930000</v>
      </c>
      <c r="R8639" s="14">
        <f>_xlfn.XLOOKUP(Table2[[#This Row],[LoanID]],Table1[G-L ID],Table1[ManagerCode],-99)</f>
        <v>220</v>
      </c>
      <c r="T8639"/>
    </row>
    <row r="8640" spans="1:20" x14ac:dyDescent="0.25">
      <c r="A8640">
        <v>20190331</v>
      </c>
      <c r="B8640">
        <v>2019</v>
      </c>
      <c r="C8640">
        <v>3</v>
      </c>
      <c r="D8640">
        <v>1</v>
      </c>
      <c r="E8640">
        <v>14820</v>
      </c>
      <c r="F8640">
        <v>110202.28</v>
      </c>
      <c r="G8640">
        <v>0</v>
      </c>
      <c r="H8640">
        <v>0</v>
      </c>
      <c r="I8640">
        <v>0</v>
      </c>
      <c r="J8640">
        <v>0</v>
      </c>
      <c r="K8640">
        <v>0</v>
      </c>
      <c r="L8640">
        <v>22623000</v>
      </c>
      <c r="M8640">
        <v>22623000</v>
      </c>
      <c r="N8640">
        <v>22623000</v>
      </c>
      <c r="O8640">
        <v>22623000</v>
      </c>
      <c r="P8640">
        <v>22623000</v>
      </c>
      <c r="Q8640">
        <v>22623000</v>
      </c>
      <c r="R8640" s="14">
        <f>_xlfn.XLOOKUP(Table2[[#This Row],[LoanID]],Table1[G-L ID],Table1[ManagerCode],-99)</f>
        <v>220</v>
      </c>
      <c r="T8640"/>
    </row>
    <row r="8641" spans="1:20" x14ac:dyDescent="0.25">
      <c r="A8641">
        <v>20190331</v>
      </c>
      <c r="B8641">
        <v>2019</v>
      </c>
      <c r="C8641">
        <v>3</v>
      </c>
      <c r="D8641">
        <v>1</v>
      </c>
      <c r="E8641">
        <v>14830</v>
      </c>
      <c r="F8641">
        <v>78712.66</v>
      </c>
      <c r="G8641">
        <v>0</v>
      </c>
      <c r="H8641">
        <v>0</v>
      </c>
      <c r="I8641">
        <v>0</v>
      </c>
      <c r="J8641">
        <v>-273420</v>
      </c>
      <c r="K8641">
        <v>0</v>
      </c>
      <c r="L8641">
        <v>36102541</v>
      </c>
      <c r="M8641">
        <v>36385428</v>
      </c>
      <c r="N8641">
        <v>14637485.300000001</v>
      </c>
      <c r="O8641">
        <v>14920372.300000001</v>
      </c>
      <c r="P8641">
        <v>35775092.829999998</v>
      </c>
      <c r="Q8641">
        <v>36048512.829999998</v>
      </c>
      <c r="R8641" s="14">
        <f>_xlfn.XLOOKUP(Table2[[#This Row],[LoanID]],Table1[G-L ID],Table1[ManagerCode],-99)</f>
        <v>220</v>
      </c>
      <c r="T8641"/>
    </row>
    <row r="8642" spans="1:20" x14ac:dyDescent="0.25">
      <c r="A8642">
        <v>20190331</v>
      </c>
      <c r="B8642">
        <v>2019</v>
      </c>
      <c r="C8642">
        <v>3</v>
      </c>
      <c r="D8642">
        <v>1</v>
      </c>
      <c r="E8642">
        <v>14840</v>
      </c>
      <c r="F8642">
        <v>57670.75</v>
      </c>
      <c r="G8642">
        <v>0</v>
      </c>
      <c r="H8642">
        <v>0</v>
      </c>
      <c r="I8642">
        <v>0</v>
      </c>
      <c r="J8642">
        <v>0</v>
      </c>
      <c r="K8642">
        <v>0</v>
      </c>
      <c r="L8642">
        <v>32122028</v>
      </c>
      <c r="M8642">
        <v>32126758</v>
      </c>
      <c r="N8642">
        <v>12923494.960000001</v>
      </c>
      <c r="O8642">
        <v>12928224.960000001</v>
      </c>
      <c r="P8642">
        <v>31997555.059999999</v>
      </c>
      <c r="Q8642">
        <v>31997555.059999999</v>
      </c>
      <c r="R8642" s="14">
        <f>_xlfn.XLOOKUP(Table2[[#This Row],[LoanID]],Table1[G-L ID],Table1[ManagerCode],-99)</f>
        <v>220</v>
      </c>
      <c r="T8642"/>
    </row>
    <row r="8643" spans="1:20" x14ac:dyDescent="0.25">
      <c r="A8643">
        <v>20190331</v>
      </c>
      <c r="B8643">
        <v>2019</v>
      </c>
      <c r="C8643">
        <v>3</v>
      </c>
      <c r="D8643">
        <v>1</v>
      </c>
      <c r="E8643">
        <v>14850</v>
      </c>
      <c r="F8643">
        <v>147029.28</v>
      </c>
      <c r="G8643">
        <v>0</v>
      </c>
      <c r="H8643">
        <v>0</v>
      </c>
      <c r="I8643">
        <v>0</v>
      </c>
      <c r="J8643">
        <v>-2175298.5</v>
      </c>
      <c r="K8643">
        <v>0</v>
      </c>
      <c r="L8643">
        <v>81958345</v>
      </c>
      <c r="M8643">
        <v>85391367</v>
      </c>
      <c r="N8643">
        <v>32959035.25</v>
      </c>
      <c r="O8643">
        <v>36392057.25</v>
      </c>
      <c r="P8643">
        <v>82889603.780000001</v>
      </c>
      <c r="Q8643">
        <v>85064902.280000001</v>
      </c>
      <c r="R8643" s="14">
        <f>_xlfn.XLOOKUP(Table2[[#This Row],[LoanID]],Table1[G-L ID],Table1[ManagerCode],-99)</f>
        <v>220</v>
      </c>
      <c r="T8643"/>
    </row>
    <row r="8644" spans="1:20" x14ac:dyDescent="0.25">
      <c r="A8644">
        <v>20190331</v>
      </c>
      <c r="B8644">
        <v>2019</v>
      </c>
      <c r="C8644">
        <v>3</v>
      </c>
      <c r="D8644">
        <v>1</v>
      </c>
      <c r="E8644">
        <v>14860</v>
      </c>
      <c r="F8644">
        <v>129566.97</v>
      </c>
      <c r="G8644">
        <v>0</v>
      </c>
      <c r="H8644">
        <v>0</v>
      </c>
      <c r="I8644">
        <v>0</v>
      </c>
      <c r="J8644">
        <v>0</v>
      </c>
      <c r="K8644">
        <v>0</v>
      </c>
      <c r="L8644">
        <v>65419881</v>
      </c>
      <c r="M8644">
        <v>65575164</v>
      </c>
      <c r="N8644">
        <v>26560881</v>
      </c>
      <c r="O8644">
        <v>26716164</v>
      </c>
      <c r="P8644">
        <v>65000000</v>
      </c>
      <c r="Q8644">
        <v>65000000</v>
      </c>
      <c r="R8644" s="14">
        <f>_xlfn.XLOOKUP(Table2[[#This Row],[LoanID]],Table1[G-L ID],Table1[ManagerCode],-99)</f>
        <v>220</v>
      </c>
      <c r="T8644"/>
    </row>
    <row r="8645" spans="1:20" x14ac:dyDescent="0.25">
      <c r="A8645">
        <v>20190331</v>
      </c>
      <c r="B8645">
        <v>2019</v>
      </c>
      <c r="C8645">
        <v>3</v>
      </c>
      <c r="D8645">
        <v>1</v>
      </c>
      <c r="E8645">
        <v>14870</v>
      </c>
      <c r="F8645">
        <v>394208.84</v>
      </c>
      <c r="G8645">
        <v>0</v>
      </c>
      <c r="H8645">
        <v>0</v>
      </c>
      <c r="I8645">
        <v>0</v>
      </c>
      <c r="J8645">
        <v>-74200000</v>
      </c>
      <c r="K8645">
        <v>0</v>
      </c>
      <c r="L8645">
        <v>47568024</v>
      </c>
      <c r="M8645">
        <v>121791293</v>
      </c>
      <c r="N8645">
        <v>47568024</v>
      </c>
      <c r="O8645">
        <v>121791293</v>
      </c>
      <c r="P8645">
        <v>47357000</v>
      </c>
      <c r="Q8645">
        <v>121557000</v>
      </c>
      <c r="R8645" s="14">
        <f>_xlfn.XLOOKUP(Table2[[#This Row],[LoanID]],Table1[G-L ID],Table1[ManagerCode],-99)</f>
        <v>220</v>
      </c>
      <c r="T8645"/>
    </row>
    <row r="8646" spans="1:20" x14ac:dyDescent="0.25">
      <c r="A8646">
        <v>20190331</v>
      </c>
      <c r="B8646">
        <v>2019</v>
      </c>
      <c r="C8646">
        <v>3</v>
      </c>
      <c r="D8646">
        <v>1</v>
      </c>
      <c r="E8646">
        <v>14880</v>
      </c>
      <c r="F8646">
        <v>122350.27</v>
      </c>
      <c r="G8646">
        <v>0</v>
      </c>
      <c r="H8646">
        <v>0</v>
      </c>
      <c r="I8646">
        <v>0</v>
      </c>
      <c r="J8646">
        <v>0</v>
      </c>
      <c r="K8646">
        <v>0</v>
      </c>
      <c r="L8646">
        <v>18099022</v>
      </c>
      <c r="M8646">
        <v>18080261</v>
      </c>
      <c r="N8646">
        <v>18099022</v>
      </c>
      <c r="O8646">
        <v>18080261</v>
      </c>
      <c r="P8646">
        <v>17951257</v>
      </c>
      <c r="Q8646">
        <v>17951257</v>
      </c>
      <c r="R8646" s="14">
        <f>_xlfn.XLOOKUP(Table2[[#This Row],[LoanID]],Table1[G-L ID],Table1[ManagerCode],-99)</f>
        <v>220</v>
      </c>
      <c r="T8646"/>
    </row>
    <row r="8647" spans="1:20" x14ac:dyDescent="0.25">
      <c r="A8647">
        <v>20190331</v>
      </c>
      <c r="B8647">
        <v>2019</v>
      </c>
      <c r="C8647">
        <v>3</v>
      </c>
      <c r="D8647">
        <v>1</v>
      </c>
      <c r="E8647">
        <v>14890</v>
      </c>
      <c r="F8647">
        <v>45170.66</v>
      </c>
      <c r="G8647">
        <v>0</v>
      </c>
      <c r="H8647">
        <v>0</v>
      </c>
      <c r="I8647">
        <v>0</v>
      </c>
      <c r="J8647">
        <v>0</v>
      </c>
      <c r="K8647">
        <v>0</v>
      </c>
      <c r="L8647">
        <v>34000000</v>
      </c>
      <c r="M8647">
        <v>34000000</v>
      </c>
      <c r="N8647">
        <v>11900000</v>
      </c>
      <c r="O8647">
        <v>11900000</v>
      </c>
      <c r="P8647">
        <v>34000000</v>
      </c>
      <c r="Q8647">
        <v>34000000</v>
      </c>
      <c r="R8647" s="14">
        <f>_xlfn.XLOOKUP(Table2[[#This Row],[LoanID]],Table1[G-L ID],Table1[ManagerCode],-99)</f>
        <v>220</v>
      </c>
      <c r="T8647"/>
    </row>
    <row r="8648" spans="1:20" x14ac:dyDescent="0.25">
      <c r="A8648">
        <v>20190331</v>
      </c>
      <c r="B8648">
        <v>2019</v>
      </c>
      <c r="C8648">
        <v>3</v>
      </c>
      <c r="D8648">
        <v>1</v>
      </c>
      <c r="E8648">
        <v>14900</v>
      </c>
      <c r="F8648">
        <v>104013.84</v>
      </c>
      <c r="G8648">
        <v>0</v>
      </c>
      <c r="H8648">
        <v>0</v>
      </c>
      <c r="I8648">
        <v>0</v>
      </c>
      <c r="J8648">
        <v>0</v>
      </c>
      <c r="K8648">
        <v>0</v>
      </c>
      <c r="L8648">
        <v>64193568</v>
      </c>
      <c r="M8648">
        <v>64197984</v>
      </c>
      <c r="N8648">
        <v>22593568</v>
      </c>
      <c r="O8648">
        <v>22597984</v>
      </c>
      <c r="P8648">
        <v>64000000</v>
      </c>
      <c r="Q8648">
        <v>64000000</v>
      </c>
      <c r="R8648" s="14">
        <f>_xlfn.XLOOKUP(Table2[[#This Row],[LoanID]],Table1[G-L ID],Table1[ManagerCode],-99)</f>
        <v>220</v>
      </c>
      <c r="T8648"/>
    </row>
    <row r="8649" spans="1:20" x14ac:dyDescent="0.25">
      <c r="A8649">
        <v>20190331</v>
      </c>
      <c r="B8649">
        <v>2019</v>
      </c>
      <c r="C8649">
        <v>3</v>
      </c>
      <c r="D8649">
        <v>1</v>
      </c>
      <c r="E8649">
        <v>14910</v>
      </c>
      <c r="F8649">
        <v>58287.3</v>
      </c>
      <c r="G8649">
        <v>0</v>
      </c>
      <c r="H8649">
        <v>0</v>
      </c>
      <c r="I8649">
        <v>0</v>
      </c>
      <c r="J8649">
        <v>0</v>
      </c>
      <c r="K8649">
        <v>0</v>
      </c>
      <c r="L8649">
        <v>38117796</v>
      </c>
      <c r="M8649">
        <v>38117796</v>
      </c>
      <c r="N8649">
        <v>11517796</v>
      </c>
      <c r="O8649">
        <v>11517796</v>
      </c>
      <c r="P8649">
        <v>38000000</v>
      </c>
      <c r="Q8649">
        <v>38000000</v>
      </c>
      <c r="R8649" s="14">
        <f>_xlfn.XLOOKUP(Table2[[#This Row],[LoanID]],Table1[G-L ID],Table1[ManagerCode],-99)</f>
        <v>220</v>
      </c>
      <c r="T8649"/>
    </row>
    <row r="8650" spans="1:20" x14ac:dyDescent="0.25">
      <c r="A8650">
        <v>20190331</v>
      </c>
      <c r="B8650">
        <v>2019</v>
      </c>
      <c r="C8650">
        <v>3</v>
      </c>
      <c r="D8650">
        <v>1</v>
      </c>
      <c r="E8650">
        <v>14920</v>
      </c>
      <c r="F8650">
        <v>-81276.3</v>
      </c>
      <c r="G8650">
        <v>0</v>
      </c>
      <c r="H8650">
        <v>0</v>
      </c>
      <c r="I8650">
        <v>0</v>
      </c>
      <c r="J8650">
        <v>0</v>
      </c>
      <c r="K8650">
        <v>0</v>
      </c>
      <c r="L8650">
        <v>70211536</v>
      </c>
      <c r="M8650">
        <v>70211536</v>
      </c>
      <c r="N8650">
        <v>21211536</v>
      </c>
      <c r="O8650">
        <v>21211536</v>
      </c>
      <c r="P8650">
        <v>70000000</v>
      </c>
      <c r="Q8650">
        <v>70000000</v>
      </c>
      <c r="R8650" s="14">
        <f>_xlfn.XLOOKUP(Table2[[#This Row],[LoanID]],Table1[G-L ID],Table1[ManagerCode],-99)</f>
        <v>220</v>
      </c>
      <c r="T8650"/>
    </row>
    <row r="8651" spans="1:20" x14ac:dyDescent="0.25">
      <c r="A8651">
        <v>20190331</v>
      </c>
      <c r="B8651">
        <v>2019</v>
      </c>
      <c r="C8651">
        <v>3</v>
      </c>
      <c r="D8651">
        <v>1</v>
      </c>
      <c r="E8651">
        <v>14930</v>
      </c>
      <c r="F8651">
        <v>89171.79</v>
      </c>
      <c r="G8651">
        <v>0</v>
      </c>
      <c r="H8651">
        <v>0</v>
      </c>
      <c r="I8651">
        <v>0</v>
      </c>
      <c r="J8651">
        <v>0</v>
      </c>
      <c r="K8651">
        <v>0</v>
      </c>
      <c r="L8651">
        <v>55000000</v>
      </c>
      <c r="M8651">
        <v>55000000</v>
      </c>
      <c r="N8651">
        <v>19250000</v>
      </c>
      <c r="O8651">
        <v>19250000</v>
      </c>
      <c r="P8651">
        <v>55000000</v>
      </c>
      <c r="Q8651">
        <v>55000000</v>
      </c>
      <c r="R8651" s="14">
        <f>_xlfn.XLOOKUP(Table2[[#This Row],[LoanID]],Table1[G-L ID],Table1[ManagerCode],-99)</f>
        <v>220</v>
      </c>
      <c r="T8651"/>
    </row>
    <row r="8652" spans="1:20" x14ac:dyDescent="0.25">
      <c r="A8652">
        <v>20190331</v>
      </c>
      <c r="B8652">
        <v>2019</v>
      </c>
      <c r="C8652">
        <v>3</v>
      </c>
      <c r="D8652">
        <v>1</v>
      </c>
      <c r="E8652">
        <v>14940</v>
      </c>
      <c r="F8652">
        <v>126290.55</v>
      </c>
      <c r="G8652">
        <v>0</v>
      </c>
      <c r="H8652">
        <v>0</v>
      </c>
      <c r="I8652">
        <v>0</v>
      </c>
      <c r="J8652">
        <v>-1305399.25</v>
      </c>
      <c r="K8652">
        <v>717970</v>
      </c>
      <c r="L8652">
        <v>64958842</v>
      </c>
      <c r="M8652">
        <v>67922304</v>
      </c>
      <c r="N8652">
        <v>28430815.02</v>
      </c>
      <c r="O8652">
        <v>30676307.02</v>
      </c>
      <c r="P8652">
        <v>66414594.509999998</v>
      </c>
      <c r="Q8652">
        <v>67719993.760000005</v>
      </c>
      <c r="R8652" s="14">
        <f>_xlfn.XLOOKUP(Table2[[#This Row],[LoanID]],Table1[G-L ID],Table1[ManagerCode],-99)</f>
        <v>220</v>
      </c>
      <c r="T8652"/>
    </row>
    <row r="8653" spans="1:20" x14ac:dyDescent="0.25">
      <c r="A8653">
        <v>20190331</v>
      </c>
      <c r="B8653">
        <v>2019</v>
      </c>
      <c r="C8653">
        <v>3</v>
      </c>
      <c r="D8653">
        <v>1</v>
      </c>
      <c r="E8653">
        <v>14950</v>
      </c>
      <c r="F8653">
        <v>204711.11</v>
      </c>
      <c r="G8653">
        <v>0</v>
      </c>
      <c r="H8653">
        <v>0</v>
      </c>
      <c r="I8653">
        <v>0</v>
      </c>
      <c r="J8653">
        <v>0</v>
      </c>
      <c r="K8653">
        <v>0</v>
      </c>
      <c r="L8653">
        <v>35000000</v>
      </c>
      <c r="M8653">
        <v>35000000</v>
      </c>
      <c r="N8653">
        <v>35000000</v>
      </c>
      <c r="O8653">
        <v>35000000</v>
      </c>
      <c r="P8653">
        <v>35000000</v>
      </c>
      <c r="Q8653">
        <v>35000000</v>
      </c>
      <c r="R8653" s="14">
        <f>_xlfn.XLOOKUP(Table2[[#This Row],[LoanID]],Table1[G-L ID],Table1[ManagerCode],-99)</f>
        <v>220</v>
      </c>
      <c r="T8653"/>
    </row>
    <row r="8654" spans="1:20" x14ac:dyDescent="0.25">
      <c r="A8654">
        <v>20190331</v>
      </c>
      <c r="B8654">
        <v>2019</v>
      </c>
      <c r="C8654">
        <v>3</v>
      </c>
      <c r="D8654">
        <v>1</v>
      </c>
      <c r="E8654">
        <v>14960</v>
      </c>
      <c r="F8654">
        <v>60614.96</v>
      </c>
      <c r="G8654">
        <v>0</v>
      </c>
      <c r="H8654">
        <v>0</v>
      </c>
      <c r="I8654">
        <v>0</v>
      </c>
      <c r="J8654">
        <v>0</v>
      </c>
      <c r="K8654">
        <v>0</v>
      </c>
      <c r="L8654">
        <v>14876952</v>
      </c>
      <c r="M8654">
        <v>14888095</v>
      </c>
      <c r="N8654">
        <v>14876952</v>
      </c>
      <c r="O8654">
        <v>14888095</v>
      </c>
      <c r="P8654">
        <v>14805000</v>
      </c>
      <c r="Q8654">
        <v>14805000</v>
      </c>
      <c r="R8654" s="14">
        <f>_xlfn.XLOOKUP(Table2[[#This Row],[LoanID]],Table1[G-L ID],Table1[ManagerCode],-99)</f>
        <v>220</v>
      </c>
      <c r="T8654"/>
    </row>
    <row r="8655" spans="1:20" x14ac:dyDescent="0.25">
      <c r="A8655">
        <v>20190331</v>
      </c>
      <c r="B8655">
        <v>2019</v>
      </c>
      <c r="C8655">
        <v>3</v>
      </c>
      <c r="D8655">
        <v>1</v>
      </c>
      <c r="E8655">
        <v>14970</v>
      </c>
      <c r="F8655">
        <v>52030.28</v>
      </c>
      <c r="G8655">
        <v>0</v>
      </c>
      <c r="H8655">
        <v>0</v>
      </c>
      <c r="I8655">
        <v>0</v>
      </c>
      <c r="J8655">
        <v>0</v>
      </c>
      <c r="K8655">
        <v>0</v>
      </c>
      <c r="L8655">
        <v>29791118</v>
      </c>
      <c r="M8655">
        <v>29787156</v>
      </c>
      <c r="N8655">
        <v>10486118</v>
      </c>
      <c r="O8655">
        <v>10482156</v>
      </c>
      <c r="P8655">
        <v>29700000</v>
      </c>
      <c r="Q8655">
        <v>29700000</v>
      </c>
      <c r="R8655" s="14">
        <f>_xlfn.XLOOKUP(Table2[[#This Row],[LoanID]],Table1[G-L ID],Table1[ManagerCode],-99)</f>
        <v>220</v>
      </c>
      <c r="T8655"/>
    </row>
    <row r="8656" spans="1:20" x14ac:dyDescent="0.25">
      <c r="A8656">
        <v>20190331</v>
      </c>
      <c r="B8656">
        <v>2019</v>
      </c>
      <c r="C8656">
        <v>3</v>
      </c>
      <c r="D8656">
        <v>1</v>
      </c>
      <c r="E8656">
        <v>15030</v>
      </c>
      <c r="F8656">
        <v>83643.990000000005</v>
      </c>
      <c r="G8656">
        <v>0</v>
      </c>
      <c r="H8656">
        <v>0</v>
      </c>
      <c r="I8656">
        <v>0</v>
      </c>
      <c r="J8656">
        <v>-155266.04999999999</v>
      </c>
      <c r="K8656">
        <v>0</v>
      </c>
      <c r="L8656">
        <v>38661073</v>
      </c>
      <c r="M8656">
        <v>39302298</v>
      </c>
      <c r="N8656">
        <v>13906355.59</v>
      </c>
      <c r="O8656">
        <v>14547580.59</v>
      </c>
      <c r="P8656">
        <v>38904451.439999998</v>
      </c>
      <c r="Q8656">
        <v>39059717.490000002</v>
      </c>
      <c r="R8656" s="14">
        <f>_xlfn.XLOOKUP(Table2[[#This Row],[LoanID]],Table1[G-L ID],Table1[ManagerCode],-99)</f>
        <v>220</v>
      </c>
      <c r="T8656"/>
    </row>
    <row r="8657" spans="1:20" x14ac:dyDescent="0.25">
      <c r="A8657">
        <v>20190331</v>
      </c>
      <c r="B8657">
        <v>2019</v>
      </c>
      <c r="C8657">
        <v>3</v>
      </c>
      <c r="D8657">
        <v>1</v>
      </c>
      <c r="E8657">
        <v>15540</v>
      </c>
      <c r="F8657">
        <v>250931.4</v>
      </c>
      <c r="G8657">
        <v>27963.81</v>
      </c>
      <c r="H8657">
        <v>0</v>
      </c>
      <c r="I8657">
        <v>-2176.7199999999998</v>
      </c>
      <c r="J8657">
        <v>-1016739.67</v>
      </c>
      <c r="K8657">
        <v>0</v>
      </c>
      <c r="L8657">
        <v>56243387.899999999</v>
      </c>
      <c r="M8657">
        <v>57288091.380000003</v>
      </c>
      <c r="N8657">
        <v>56243387.899999999</v>
      </c>
      <c r="O8657">
        <v>57288091.380000003</v>
      </c>
      <c r="P8657">
        <v>56243387.899999999</v>
      </c>
      <c r="Q8657">
        <v>57288091.380000003</v>
      </c>
      <c r="R8657" s="14">
        <f>_xlfn.XLOOKUP(Table2[[#This Row],[LoanID]],Table1[G-L ID],Table1[ManagerCode],-99)</f>
        <v>212</v>
      </c>
      <c r="T8657"/>
    </row>
    <row r="8658" spans="1:20" x14ac:dyDescent="0.25">
      <c r="A8658">
        <v>20190331</v>
      </c>
      <c r="B8658">
        <v>2019</v>
      </c>
      <c r="C8658">
        <v>3</v>
      </c>
      <c r="D8658">
        <v>1</v>
      </c>
      <c r="E8658">
        <v>15560</v>
      </c>
      <c r="F8658">
        <v>267905.56</v>
      </c>
      <c r="G8658">
        <v>28538.89</v>
      </c>
      <c r="H8658">
        <v>0</v>
      </c>
      <c r="I8658">
        <v>0</v>
      </c>
      <c r="J8658">
        <v>0</v>
      </c>
      <c r="K8658">
        <v>0</v>
      </c>
      <c r="L8658">
        <v>50133952.780000001</v>
      </c>
      <c r="M8658">
        <v>50162491.670000002</v>
      </c>
      <c r="N8658">
        <v>50133952.780000001</v>
      </c>
      <c r="O8658">
        <v>50162491.670000002</v>
      </c>
      <c r="P8658">
        <v>50133952.780000001</v>
      </c>
      <c r="Q8658">
        <v>50162491.670000002</v>
      </c>
      <c r="R8658" s="14">
        <f>_xlfn.XLOOKUP(Table2[[#This Row],[LoanID]],Table1[G-L ID],Table1[ManagerCode],-99)</f>
        <v>212</v>
      </c>
      <c r="T8658"/>
    </row>
    <row r="8659" spans="1:20" x14ac:dyDescent="0.25">
      <c r="A8659">
        <v>20190331</v>
      </c>
      <c r="B8659">
        <v>2019</v>
      </c>
      <c r="C8659">
        <v>3</v>
      </c>
      <c r="D8659">
        <v>1</v>
      </c>
      <c r="E8659">
        <v>15580</v>
      </c>
      <c r="F8659">
        <v>104133.36</v>
      </c>
      <c r="G8659">
        <v>11003.67</v>
      </c>
      <c r="H8659">
        <v>0</v>
      </c>
      <c r="I8659">
        <v>0</v>
      </c>
      <c r="J8659">
        <v>0</v>
      </c>
      <c r="K8659">
        <v>19267.95</v>
      </c>
      <c r="L8659">
        <v>14578268.65</v>
      </c>
      <c r="M8659">
        <v>14570004.369999999</v>
      </c>
      <c r="N8659">
        <v>14578268.65</v>
      </c>
      <c r="O8659">
        <v>14570004.369999999</v>
      </c>
      <c r="P8659">
        <v>14578268.65</v>
      </c>
      <c r="Q8659">
        <v>14570004.369999999</v>
      </c>
      <c r="R8659" s="14">
        <f>_xlfn.XLOOKUP(Table2[[#This Row],[LoanID]],Table1[G-L ID],Table1[ManagerCode],-99)</f>
        <v>212</v>
      </c>
      <c r="T8659"/>
    </row>
    <row r="8660" spans="1:20" x14ac:dyDescent="0.25">
      <c r="A8660">
        <v>20190331</v>
      </c>
      <c r="B8660">
        <v>2019</v>
      </c>
      <c r="C8660">
        <v>3</v>
      </c>
      <c r="D8660">
        <v>1</v>
      </c>
      <c r="E8660">
        <v>15610</v>
      </c>
      <c r="F8660">
        <v>842161.31</v>
      </c>
      <c r="G8660">
        <v>108678.83</v>
      </c>
      <c r="H8660">
        <v>0</v>
      </c>
      <c r="I8660">
        <v>-8107.95</v>
      </c>
      <c r="J8660">
        <v>-2008819.97</v>
      </c>
      <c r="K8660">
        <v>0</v>
      </c>
      <c r="L8660">
        <v>210904897.59999999</v>
      </c>
      <c r="M8660">
        <v>213022396.40000001</v>
      </c>
      <c r="N8660">
        <v>210904897.59999999</v>
      </c>
      <c r="O8660">
        <v>213022396.40000001</v>
      </c>
      <c r="P8660">
        <v>210904897.59999999</v>
      </c>
      <c r="Q8660">
        <v>213022396.40000001</v>
      </c>
      <c r="R8660" s="14">
        <f>_xlfn.XLOOKUP(Table2[[#This Row],[LoanID]],Table1[G-L ID],Table1[ManagerCode],-99)</f>
        <v>212</v>
      </c>
      <c r="T8660"/>
    </row>
    <row r="8661" spans="1:20" x14ac:dyDescent="0.25">
      <c r="A8661">
        <v>20190331</v>
      </c>
      <c r="B8661">
        <v>2019</v>
      </c>
      <c r="C8661">
        <v>3</v>
      </c>
      <c r="D8661">
        <v>1</v>
      </c>
      <c r="E8661">
        <v>15620</v>
      </c>
      <c r="F8661">
        <v>327011.87</v>
      </c>
      <c r="G8661">
        <v>32877.11</v>
      </c>
      <c r="H8661">
        <v>0</v>
      </c>
      <c r="I8661">
        <v>-3048.21</v>
      </c>
      <c r="J8661">
        <v>0</v>
      </c>
      <c r="K8661">
        <v>0</v>
      </c>
      <c r="L8661">
        <v>78709530.879999995</v>
      </c>
      <c r="M8661">
        <v>78742407.989999995</v>
      </c>
      <c r="N8661">
        <v>78709530.879999995</v>
      </c>
      <c r="O8661">
        <v>78742407.989999995</v>
      </c>
      <c r="P8661">
        <v>78709530.879999995</v>
      </c>
      <c r="Q8661">
        <v>78742407.989999995</v>
      </c>
      <c r="R8661" s="14">
        <f>_xlfn.XLOOKUP(Table2[[#This Row],[LoanID]],Table1[G-L ID],Table1[ManagerCode],-99)</f>
        <v>212</v>
      </c>
      <c r="T8661"/>
    </row>
    <row r="8662" spans="1:20" x14ac:dyDescent="0.25">
      <c r="A8662">
        <v>20190430</v>
      </c>
      <c r="B8662">
        <v>2019</v>
      </c>
      <c r="C8662">
        <v>4</v>
      </c>
      <c r="D8662">
        <v>1</v>
      </c>
      <c r="E8662">
        <v>10010</v>
      </c>
      <c r="F8662">
        <v>207899.88</v>
      </c>
      <c r="G8662">
        <v>0</v>
      </c>
      <c r="H8662">
        <v>0</v>
      </c>
      <c r="I8662">
        <v>0</v>
      </c>
      <c r="J8662">
        <v>0</v>
      </c>
      <c r="K8662">
        <v>29984.82</v>
      </c>
      <c r="L8662">
        <v>18261795.280000001</v>
      </c>
      <c r="M8662">
        <v>18231810.460000001</v>
      </c>
      <c r="N8662">
        <v>18261795.280000001</v>
      </c>
      <c r="O8662">
        <v>18231810.460000001</v>
      </c>
      <c r="P8662">
        <v>18261795.280000001</v>
      </c>
      <c r="Q8662">
        <v>18231810.460000001</v>
      </c>
      <c r="R8662" s="14">
        <f>_xlfn.XLOOKUP(Table2[[#This Row],[LoanID]],Table1[G-L ID],Table1[ManagerCode],-99)</f>
        <v>119</v>
      </c>
      <c r="T8662"/>
    </row>
    <row r="8663" spans="1:20" x14ac:dyDescent="0.25">
      <c r="A8663">
        <v>20190430</v>
      </c>
      <c r="B8663">
        <v>2019</v>
      </c>
      <c r="C8663">
        <v>4</v>
      </c>
      <c r="D8663">
        <v>1</v>
      </c>
      <c r="E8663">
        <v>10050</v>
      </c>
      <c r="F8663">
        <v>153981.01999999999</v>
      </c>
      <c r="G8663">
        <v>0</v>
      </c>
      <c r="H8663">
        <v>0</v>
      </c>
      <c r="I8663">
        <v>-69.45</v>
      </c>
      <c r="J8663">
        <v>0</v>
      </c>
      <c r="K8663">
        <v>0</v>
      </c>
      <c r="L8663">
        <v>36502679</v>
      </c>
      <c r="M8663">
        <v>36346139</v>
      </c>
      <c r="N8663">
        <v>36502679</v>
      </c>
      <c r="O8663">
        <v>36346139</v>
      </c>
      <c r="P8663">
        <v>33333334</v>
      </c>
      <c r="Q8663">
        <v>33333334</v>
      </c>
      <c r="R8663" s="14">
        <f>_xlfn.XLOOKUP(Table2[[#This Row],[LoanID]],Table1[G-L ID],Table1[ManagerCode],-99)</f>
        <v>103</v>
      </c>
      <c r="T8663"/>
    </row>
    <row r="8664" spans="1:20" x14ac:dyDescent="0.25">
      <c r="A8664">
        <v>20190430</v>
      </c>
      <c r="B8664">
        <v>2019</v>
      </c>
      <c r="C8664">
        <v>4</v>
      </c>
      <c r="D8664">
        <v>1</v>
      </c>
      <c r="E8664">
        <v>10220</v>
      </c>
      <c r="F8664">
        <v>559722.22</v>
      </c>
      <c r="G8664">
        <v>0</v>
      </c>
      <c r="H8664">
        <v>0</v>
      </c>
      <c r="I8664">
        <v>0</v>
      </c>
      <c r="J8664">
        <v>0</v>
      </c>
      <c r="K8664">
        <v>0</v>
      </c>
      <c r="L8664">
        <v>109034467</v>
      </c>
      <c r="M8664">
        <v>108713446</v>
      </c>
      <c r="N8664">
        <v>109034467</v>
      </c>
      <c r="O8664">
        <v>108713446</v>
      </c>
      <c r="P8664">
        <v>100000000</v>
      </c>
      <c r="Q8664">
        <v>100000000</v>
      </c>
      <c r="R8664" s="14">
        <f>_xlfn.XLOOKUP(Table2[[#This Row],[LoanID]],Table1[G-L ID],Table1[ManagerCode],-99)</f>
        <v>103</v>
      </c>
      <c r="T8664"/>
    </row>
    <row r="8665" spans="1:20" x14ac:dyDescent="0.25">
      <c r="A8665">
        <v>20190430</v>
      </c>
      <c r="B8665">
        <v>2019</v>
      </c>
      <c r="C8665">
        <v>4</v>
      </c>
      <c r="D8665">
        <v>1</v>
      </c>
      <c r="E8665">
        <v>10250</v>
      </c>
      <c r="F8665">
        <v>61414.44</v>
      </c>
      <c r="G8665">
        <v>0</v>
      </c>
      <c r="H8665">
        <v>0</v>
      </c>
      <c r="I8665">
        <v>0</v>
      </c>
      <c r="J8665">
        <v>0</v>
      </c>
      <c r="K8665">
        <v>0</v>
      </c>
      <c r="L8665">
        <v>5000000</v>
      </c>
      <c r="M8665">
        <v>5000000</v>
      </c>
      <c r="N8665">
        <v>5000000</v>
      </c>
      <c r="O8665">
        <v>5000000</v>
      </c>
      <c r="P8665">
        <v>5000000</v>
      </c>
      <c r="Q8665">
        <v>5000000</v>
      </c>
      <c r="R8665" s="14">
        <f>_xlfn.XLOOKUP(Table2[[#This Row],[LoanID]],Table1[G-L ID],Table1[ManagerCode],-99)</f>
        <v>119</v>
      </c>
      <c r="T8665"/>
    </row>
    <row r="8666" spans="1:20" x14ac:dyDescent="0.25">
      <c r="A8666">
        <v>20190430</v>
      </c>
      <c r="B8666">
        <v>2019</v>
      </c>
      <c r="C8666">
        <v>4</v>
      </c>
      <c r="D8666">
        <v>1</v>
      </c>
      <c r="E8666">
        <v>10270</v>
      </c>
      <c r="F8666">
        <v>52661.25</v>
      </c>
      <c r="G8666">
        <v>0</v>
      </c>
      <c r="H8666">
        <v>0</v>
      </c>
      <c r="I8666">
        <v>0</v>
      </c>
      <c r="J8666">
        <v>0</v>
      </c>
      <c r="K8666">
        <v>0</v>
      </c>
      <c r="L8666">
        <v>4500000</v>
      </c>
      <c r="M8666">
        <v>4500000</v>
      </c>
      <c r="N8666">
        <v>4500000</v>
      </c>
      <c r="O8666">
        <v>4500000</v>
      </c>
      <c r="P8666">
        <v>4500000</v>
      </c>
      <c r="Q8666">
        <v>4500000</v>
      </c>
      <c r="R8666" s="14">
        <f>_xlfn.XLOOKUP(Table2[[#This Row],[LoanID]],Table1[G-L ID],Table1[ManagerCode],-99)</f>
        <v>119</v>
      </c>
      <c r="T8666"/>
    </row>
    <row r="8667" spans="1:20" x14ac:dyDescent="0.25">
      <c r="A8667">
        <v>20190430</v>
      </c>
      <c r="B8667">
        <v>2019</v>
      </c>
      <c r="C8667">
        <v>4</v>
      </c>
      <c r="D8667">
        <v>1</v>
      </c>
      <c r="E8667">
        <v>10360</v>
      </c>
      <c r="F8667">
        <v>57858.96</v>
      </c>
      <c r="G8667">
        <v>0</v>
      </c>
      <c r="H8667">
        <v>0</v>
      </c>
      <c r="I8667">
        <v>0</v>
      </c>
      <c r="J8667">
        <v>0</v>
      </c>
      <c r="K8667">
        <v>0</v>
      </c>
      <c r="L8667">
        <v>5909000</v>
      </c>
      <c r="M8667">
        <v>5909000</v>
      </c>
      <c r="N8667">
        <v>5909000</v>
      </c>
      <c r="O8667">
        <v>5909000</v>
      </c>
      <c r="P8667">
        <v>5909000</v>
      </c>
      <c r="Q8667">
        <v>5909000</v>
      </c>
      <c r="R8667" s="14">
        <f>_xlfn.XLOOKUP(Table2[[#This Row],[LoanID]],Table1[G-L ID],Table1[ManagerCode],-99)</f>
        <v>183</v>
      </c>
      <c r="T8667"/>
    </row>
    <row r="8668" spans="1:20" x14ac:dyDescent="0.25">
      <c r="A8668">
        <v>20190430</v>
      </c>
      <c r="B8668">
        <v>2019</v>
      </c>
      <c r="C8668">
        <v>4</v>
      </c>
      <c r="D8668">
        <v>1</v>
      </c>
      <c r="E8668">
        <v>10730</v>
      </c>
      <c r="F8668">
        <v>116082.08</v>
      </c>
      <c r="G8668">
        <v>0</v>
      </c>
      <c r="H8668">
        <v>0</v>
      </c>
      <c r="I8668">
        <v>0</v>
      </c>
      <c r="J8668">
        <v>0</v>
      </c>
      <c r="K8668">
        <v>0</v>
      </c>
      <c r="L8668">
        <v>9500000</v>
      </c>
      <c r="M8668">
        <v>9500000</v>
      </c>
      <c r="N8668">
        <v>9500000</v>
      </c>
      <c r="O8668">
        <v>9500000</v>
      </c>
      <c r="P8668">
        <v>9500000</v>
      </c>
      <c r="Q8668">
        <v>9500000</v>
      </c>
      <c r="R8668" s="14">
        <f>_xlfn.XLOOKUP(Table2[[#This Row],[LoanID]],Table1[G-L ID],Table1[ManagerCode],-99)</f>
        <v>119</v>
      </c>
      <c r="T8668"/>
    </row>
    <row r="8669" spans="1:20" x14ac:dyDescent="0.25">
      <c r="A8669">
        <v>20190430</v>
      </c>
      <c r="B8669">
        <v>2019</v>
      </c>
      <c r="C8669">
        <v>4</v>
      </c>
      <c r="D8669">
        <v>1</v>
      </c>
      <c r="E8669">
        <v>10790</v>
      </c>
      <c r="F8669">
        <v>20076.439999999999</v>
      </c>
      <c r="G8669">
        <v>0</v>
      </c>
      <c r="H8669">
        <v>0</v>
      </c>
      <c r="I8669">
        <v>0</v>
      </c>
      <c r="J8669">
        <v>0</v>
      </c>
      <c r="K8669">
        <v>49391.81</v>
      </c>
      <c r="L8669">
        <v>4359260</v>
      </c>
      <c r="M8669">
        <v>4303270</v>
      </c>
      <c r="N8669">
        <v>4359260</v>
      </c>
      <c r="O8669">
        <v>4303270</v>
      </c>
      <c r="P8669">
        <v>4286784.45</v>
      </c>
      <c r="Q8669">
        <v>4237392.6399999997</v>
      </c>
      <c r="R8669" s="14">
        <f>_xlfn.XLOOKUP(Table2[[#This Row],[LoanID]],Table1[G-L ID],Table1[ManagerCode],-99)</f>
        <v>103</v>
      </c>
      <c r="T8669"/>
    </row>
    <row r="8670" spans="1:20" x14ac:dyDescent="0.25">
      <c r="A8670">
        <v>20190430</v>
      </c>
      <c r="B8670">
        <v>2019</v>
      </c>
      <c r="C8670">
        <v>4</v>
      </c>
      <c r="D8670">
        <v>1</v>
      </c>
      <c r="E8670">
        <v>10810</v>
      </c>
      <c r="F8670">
        <v>113870.9</v>
      </c>
      <c r="G8670">
        <v>0</v>
      </c>
      <c r="H8670">
        <v>0</v>
      </c>
      <c r="I8670">
        <v>0</v>
      </c>
      <c r="J8670">
        <v>0</v>
      </c>
      <c r="K8670">
        <v>0</v>
      </c>
      <c r="L8670">
        <v>10313292.119999999</v>
      </c>
      <c r="M8670">
        <v>10313292.119999999</v>
      </c>
      <c r="N8670">
        <v>10313292.119999999</v>
      </c>
      <c r="O8670">
        <v>10313292.119999999</v>
      </c>
      <c r="P8670">
        <v>10313292.119999999</v>
      </c>
      <c r="Q8670">
        <v>10313292.119999999</v>
      </c>
      <c r="R8670" s="14">
        <f>_xlfn.XLOOKUP(Table2[[#This Row],[LoanID]],Table1[G-L ID],Table1[ManagerCode],-99)</f>
        <v>119</v>
      </c>
      <c r="T8670"/>
    </row>
    <row r="8671" spans="1:20" x14ac:dyDescent="0.25">
      <c r="A8671">
        <v>20190430</v>
      </c>
      <c r="B8671">
        <v>2019</v>
      </c>
      <c r="C8671">
        <v>4</v>
      </c>
      <c r="D8671">
        <v>1</v>
      </c>
      <c r="E8671">
        <v>10830</v>
      </c>
      <c r="F8671">
        <v>63858</v>
      </c>
      <c r="G8671">
        <v>0</v>
      </c>
      <c r="H8671">
        <v>0</v>
      </c>
      <c r="I8671">
        <v>0</v>
      </c>
      <c r="J8671">
        <v>0</v>
      </c>
      <c r="K8671">
        <v>0</v>
      </c>
      <c r="L8671">
        <v>7806043.1399999997</v>
      </c>
      <c r="M8671">
        <v>7806043.1399999997</v>
      </c>
      <c r="N8671">
        <v>7806043.1399999997</v>
      </c>
      <c r="O8671">
        <v>7806043.1399999997</v>
      </c>
      <c r="P8671">
        <v>7806043.1399999997</v>
      </c>
      <c r="Q8671">
        <v>7806043.1399999997</v>
      </c>
      <c r="R8671" s="14">
        <f>_xlfn.XLOOKUP(Table2[[#This Row],[LoanID]],Table1[G-L ID],Table1[ManagerCode],-99)</f>
        <v>220</v>
      </c>
      <c r="T8671"/>
    </row>
    <row r="8672" spans="1:20" x14ac:dyDescent="0.25">
      <c r="A8672">
        <v>20190430</v>
      </c>
      <c r="B8672">
        <v>2019</v>
      </c>
      <c r="C8672">
        <v>4</v>
      </c>
      <c r="D8672">
        <v>1</v>
      </c>
      <c r="E8672">
        <v>10840</v>
      </c>
      <c r="F8672">
        <v>103968</v>
      </c>
      <c r="G8672">
        <v>0</v>
      </c>
      <c r="H8672">
        <v>0</v>
      </c>
      <c r="I8672">
        <v>0</v>
      </c>
      <c r="J8672">
        <v>0</v>
      </c>
      <c r="K8672">
        <v>0</v>
      </c>
      <c r="L8672">
        <v>12709189</v>
      </c>
      <c r="M8672">
        <v>12709189</v>
      </c>
      <c r="N8672">
        <v>12709189</v>
      </c>
      <c r="O8672">
        <v>12709189</v>
      </c>
      <c r="P8672">
        <v>12709189</v>
      </c>
      <c r="Q8672">
        <v>12709189</v>
      </c>
      <c r="R8672" s="14">
        <f>_xlfn.XLOOKUP(Table2[[#This Row],[LoanID]],Table1[G-L ID],Table1[ManagerCode],-99)</f>
        <v>220</v>
      </c>
      <c r="T8672"/>
    </row>
    <row r="8673" spans="1:20" x14ac:dyDescent="0.25">
      <c r="A8673">
        <v>20190430</v>
      </c>
      <c r="B8673">
        <v>2019</v>
      </c>
      <c r="C8673">
        <v>4</v>
      </c>
      <c r="D8673">
        <v>1</v>
      </c>
      <c r="E8673">
        <v>10910</v>
      </c>
      <c r="F8673">
        <v>29256.57</v>
      </c>
      <c r="G8673">
        <v>0</v>
      </c>
      <c r="H8673">
        <v>0</v>
      </c>
      <c r="I8673">
        <v>0</v>
      </c>
      <c r="J8673">
        <v>0</v>
      </c>
      <c r="K8673">
        <v>0</v>
      </c>
      <c r="L8673">
        <v>3075000</v>
      </c>
      <c r="M8673">
        <v>3075000</v>
      </c>
      <c r="N8673">
        <v>3075000</v>
      </c>
      <c r="O8673">
        <v>3075000</v>
      </c>
      <c r="P8673">
        <v>3075000</v>
      </c>
      <c r="Q8673">
        <v>3075000</v>
      </c>
      <c r="R8673" s="14">
        <f>_xlfn.XLOOKUP(Table2[[#This Row],[LoanID]],Table1[G-L ID],Table1[ManagerCode],-99)</f>
        <v>119</v>
      </c>
      <c r="T8673"/>
    </row>
    <row r="8674" spans="1:20" x14ac:dyDescent="0.25">
      <c r="A8674">
        <v>20190430</v>
      </c>
      <c r="B8674">
        <v>2019</v>
      </c>
      <c r="C8674">
        <v>4</v>
      </c>
      <c r="D8674">
        <v>1</v>
      </c>
      <c r="E8674">
        <v>11060</v>
      </c>
      <c r="F8674">
        <v>223615.49</v>
      </c>
      <c r="G8674">
        <v>0</v>
      </c>
      <c r="H8674">
        <v>0</v>
      </c>
      <c r="I8674">
        <v>0</v>
      </c>
      <c r="J8674">
        <v>0</v>
      </c>
      <c r="K8674">
        <v>0</v>
      </c>
      <c r="L8674">
        <v>22000000</v>
      </c>
      <c r="M8674">
        <v>22000000</v>
      </c>
      <c r="N8674">
        <v>22000000</v>
      </c>
      <c r="O8674">
        <v>22000000</v>
      </c>
      <c r="P8674">
        <v>22000000</v>
      </c>
      <c r="Q8674">
        <v>22000000</v>
      </c>
      <c r="R8674" s="14">
        <f>_xlfn.XLOOKUP(Table2[[#This Row],[LoanID]],Table1[G-L ID],Table1[ManagerCode],-99)</f>
        <v>119</v>
      </c>
      <c r="T8674"/>
    </row>
    <row r="8675" spans="1:20" x14ac:dyDescent="0.25">
      <c r="A8675">
        <v>20190430</v>
      </c>
      <c r="B8675">
        <v>2019</v>
      </c>
      <c r="C8675">
        <v>4</v>
      </c>
      <c r="D8675">
        <v>1</v>
      </c>
      <c r="E8675">
        <v>11080</v>
      </c>
      <c r="F8675">
        <v>62987.61</v>
      </c>
      <c r="G8675">
        <v>0</v>
      </c>
      <c r="H8675">
        <v>0</v>
      </c>
      <c r="I8675">
        <v>0</v>
      </c>
      <c r="J8675">
        <v>0</v>
      </c>
      <c r="K8675">
        <v>38266110.740000002</v>
      </c>
      <c r="L8675">
        <v>38266110.740000002</v>
      </c>
      <c r="M8675">
        <v>0</v>
      </c>
      <c r="N8675">
        <v>38266110.740000002</v>
      </c>
      <c r="O8675">
        <v>0</v>
      </c>
      <c r="P8675">
        <v>38266110.740000002</v>
      </c>
      <c r="Q8675">
        <v>0</v>
      </c>
      <c r="R8675" s="14">
        <f>_xlfn.XLOOKUP(Table2[[#This Row],[LoanID]],Table1[G-L ID],Table1[ManagerCode],-99)</f>
        <v>119</v>
      </c>
      <c r="T8675"/>
    </row>
    <row r="8676" spans="1:20" x14ac:dyDescent="0.25">
      <c r="A8676">
        <v>20190430</v>
      </c>
      <c r="B8676">
        <v>2019</v>
      </c>
      <c r="C8676">
        <v>4</v>
      </c>
      <c r="D8676">
        <v>1</v>
      </c>
      <c r="E8676">
        <v>11150</v>
      </c>
      <c r="F8676">
        <v>130256.3</v>
      </c>
      <c r="G8676">
        <v>0</v>
      </c>
      <c r="H8676">
        <v>0</v>
      </c>
      <c r="I8676">
        <v>0</v>
      </c>
      <c r="J8676">
        <v>0</v>
      </c>
      <c r="K8676">
        <v>654179.61</v>
      </c>
      <c r="L8676">
        <v>10494752.74</v>
      </c>
      <c r="M8676">
        <v>9840573.1300000008</v>
      </c>
      <c r="N8676">
        <v>10494752.74</v>
      </c>
      <c r="O8676">
        <v>9840573.1300000008</v>
      </c>
      <c r="P8676">
        <v>10494752.74</v>
      </c>
      <c r="Q8676">
        <v>9840573.1300000008</v>
      </c>
      <c r="R8676" s="14">
        <f>_xlfn.XLOOKUP(Table2[[#This Row],[LoanID]],Table1[G-L ID],Table1[ManagerCode],-99)</f>
        <v>119</v>
      </c>
      <c r="T8676"/>
    </row>
    <row r="8677" spans="1:20" x14ac:dyDescent="0.25">
      <c r="A8677">
        <v>20190430</v>
      </c>
      <c r="B8677">
        <v>2019</v>
      </c>
      <c r="C8677">
        <v>4</v>
      </c>
      <c r="D8677">
        <v>1</v>
      </c>
      <c r="E8677">
        <v>11210</v>
      </c>
      <c r="F8677">
        <v>76823.56</v>
      </c>
      <c r="G8677">
        <v>0</v>
      </c>
      <c r="H8677">
        <v>0</v>
      </c>
      <c r="I8677">
        <v>0</v>
      </c>
      <c r="J8677">
        <v>0</v>
      </c>
      <c r="K8677">
        <v>0</v>
      </c>
      <c r="L8677">
        <v>9500000</v>
      </c>
      <c r="M8677">
        <v>9500000</v>
      </c>
      <c r="N8677">
        <v>9500000</v>
      </c>
      <c r="O8677">
        <v>9500000</v>
      </c>
      <c r="P8677">
        <v>9500000</v>
      </c>
      <c r="Q8677">
        <v>9500000</v>
      </c>
      <c r="R8677" s="14">
        <f>_xlfn.XLOOKUP(Table2[[#This Row],[LoanID]],Table1[G-L ID],Table1[ManagerCode],-99)</f>
        <v>119</v>
      </c>
      <c r="T8677"/>
    </row>
    <row r="8678" spans="1:20" x14ac:dyDescent="0.25">
      <c r="A8678">
        <v>20190430</v>
      </c>
      <c r="B8678">
        <v>2019</v>
      </c>
      <c r="C8678">
        <v>4</v>
      </c>
      <c r="D8678">
        <v>1</v>
      </c>
      <c r="E8678">
        <v>11340</v>
      </c>
      <c r="F8678">
        <v>285101.13</v>
      </c>
      <c r="G8678">
        <v>0</v>
      </c>
      <c r="H8678">
        <v>10069.49</v>
      </c>
      <c r="I8678">
        <v>0</v>
      </c>
      <c r="J8678">
        <v>0</v>
      </c>
      <c r="K8678">
        <v>61104.54</v>
      </c>
      <c r="L8678">
        <v>51716151</v>
      </c>
      <c r="M8678">
        <v>51499117</v>
      </c>
      <c r="N8678">
        <v>51716151</v>
      </c>
      <c r="O8678">
        <v>51499117</v>
      </c>
      <c r="P8678">
        <v>47297882.560000002</v>
      </c>
      <c r="Q8678">
        <v>47236778.020000003</v>
      </c>
      <c r="R8678" s="14">
        <f>_xlfn.XLOOKUP(Table2[[#This Row],[LoanID]],Table1[G-L ID],Table1[ManagerCode],-99)</f>
        <v>103</v>
      </c>
      <c r="T8678"/>
    </row>
    <row r="8679" spans="1:20" x14ac:dyDescent="0.25">
      <c r="A8679">
        <v>20190430</v>
      </c>
      <c r="B8679">
        <v>2019</v>
      </c>
      <c r="C8679">
        <v>4</v>
      </c>
      <c r="D8679">
        <v>1</v>
      </c>
      <c r="E8679">
        <v>11360</v>
      </c>
      <c r="F8679">
        <v>82395.429999999993</v>
      </c>
      <c r="G8679">
        <v>0</v>
      </c>
      <c r="H8679">
        <v>0</v>
      </c>
      <c r="I8679">
        <v>0</v>
      </c>
      <c r="J8679">
        <v>0</v>
      </c>
      <c r="K8679">
        <v>650000</v>
      </c>
      <c r="L8679">
        <v>9355036</v>
      </c>
      <c r="M8679">
        <v>8705036</v>
      </c>
      <c r="N8679">
        <v>9355036</v>
      </c>
      <c r="O8679">
        <v>8705036</v>
      </c>
      <c r="P8679">
        <v>9355036</v>
      </c>
      <c r="Q8679">
        <v>8705036</v>
      </c>
      <c r="R8679" s="14">
        <f>_xlfn.XLOOKUP(Table2[[#This Row],[LoanID]],Table1[G-L ID],Table1[ManagerCode],-99)</f>
        <v>119</v>
      </c>
      <c r="T8679"/>
    </row>
    <row r="8680" spans="1:20" x14ac:dyDescent="0.25">
      <c r="A8680">
        <v>20190430</v>
      </c>
      <c r="B8680">
        <v>2019</v>
      </c>
      <c r="C8680">
        <v>4</v>
      </c>
      <c r="D8680">
        <v>1</v>
      </c>
      <c r="E8680">
        <v>11450</v>
      </c>
      <c r="F8680">
        <v>169818.09</v>
      </c>
      <c r="G8680">
        <v>0</v>
      </c>
      <c r="H8680">
        <v>0</v>
      </c>
      <c r="I8680">
        <v>0</v>
      </c>
      <c r="J8680">
        <v>-34882.449999999997</v>
      </c>
      <c r="K8680">
        <v>0</v>
      </c>
      <c r="L8680">
        <v>17182120.370000001</v>
      </c>
      <c r="M8680">
        <v>17217002.82</v>
      </c>
      <c r="N8680">
        <v>17182120.370000001</v>
      </c>
      <c r="O8680">
        <v>17217002.82</v>
      </c>
      <c r="P8680">
        <v>17182120.370000001</v>
      </c>
      <c r="Q8680">
        <v>17217002.82</v>
      </c>
      <c r="R8680" s="14">
        <f>_xlfn.XLOOKUP(Table2[[#This Row],[LoanID]],Table1[G-L ID],Table1[ManagerCode],-99)</f>
        <v>119</v>
      </c>
      <c r="T8680"/>
    </row>
    <row r="8681" spans="1:20" x14ac:dyDescent="0.25">
      <c r="A8681">
        <v>20190430</v>
      </c>
      <c r="B8681">
        <v>2019</v>
      </c>
      <c r="C8681">
        <v>4</v>
      </c>
      <c r="D8681">
        <v>1</v>
      </c>
      <c r="E8681">
        <v>11520</v>
      </c>
      <c r="F8681">
        <v>71875.23</v>
      </c>
      <c r="G8681">
        <v>0</v>
      </c>
      <c r="H8681">
        <v>0</v>
      </c>
      <c r="I8681">
        <v>0</v>
      </c>
      <c r="J8681">
        <v>0</v>
      </c>
      <c r="K8681">
        <v>1223382.6000000001</v>
      </c>
      <c r="L8681">
        <v>7298331.6100000003</v>
      </c>
      <c r="M8681">
        <v>6074949.0099999998</v>
      </c>
      <c r="N8681">
        <v>7298331.6100000003</v>
      </c>
      <c r="O8681">
        <v>6074949.0099999998</v>
      </c>
      <c r="P8681">
        <v>7298331.6100000003</v>
      </c>
      <c r="Q8681">
        <v>6074949.0099999998</v>
      </c>
      <c r="R8681" s="14">
        <f>_xlfn.XLOOKUP(Table2[[#This Row],[LoanID]],Table1[G-L ID],Table1[ManagerCode],-99)</f>
        <v>119</v>
      </c>
      <c r="T8681"/>
    </row>
    <row r="8682" spans="1:20" x14ac:dyDescent="0.25">
      <c r="A8682">
        <v>20190430</v>
      </c>
      <c r="B8682">
        <v>2019</v>
      </c>
      <c r="C8682">
        <v>4</v>
      </c>
      <c r="D8682">
        <v>1</v>
      </c>
      <c r="E8682">
        <v>11530</v>
      </c>
      <c r="F8682">
        <v>132487.5</v>
      </c>
      <c r="G8682">
        <v>0</v>
      </c>
      <c r="H8682">
        <v>0</v>
      </c>
      <c r="I8682">
        <v>0</v>
      </c>
      <c r="J8682">
        <v>0</v>
      </c>
      <c r="K8682">
        <v>0</v>
      </c>
      <c r="L8682">
        <v>15000000</v>
      </c>
      <c r="M8682">
        <v>15000000</v>
      </c>
      <c r="N8682">
        <v>15000000</v>
      </c>
      <c r="O8682">
        <v>15000000</v>
      </c>
      <c r="P8682">
        <v>15000000</v>
      </c>
      <c r="Q8682">
        <v>15000000</v>
      </c>
      <c r="R8682" s="14">
        <f>_xlfn.XLOOKUP(Table2[[#This Row],[LoanID]],Table1[G-L ID],Table1[ManagerCode],-99)</f>
        <v>119</v>
      </c>
      <c r="T8682"/>
    </row>
    <row r="8683" spans="1:20" x14ac:dyDescent="0.25">
      <c r="A8683">
        <v>20190430</v>
      </c>
      <c r="B8683">
        <v>2019</v>
      </c>
      <c r="C8683">
        <v>4</v>
      </c>
      <c r="D8683">
        <v>1</v>
      </c>
      <c r="E8683">
        <v>11680</v>
      </c>
      <c r="F8683">
        <v>50325.78</v>
      </c>
      <c r="G8683">
        <v>0</v>
      </c>
      <c r="H8683">
        <v>0</v>
      </c>
      <c r="I8683">
        <v>0</v>
      </c>
      <c r="J8683">
        <v>0</v>
      </c>
      <c r="K8683">
        <v>0</v>
      </c>
      <c r="L8683">
        <v>6600000</v>
      </c>
      <c r="M8683">
        <v>6600000</v>
      </c>
      <c r="N8683">
        <v>6600000</v>
      </c>
      <c r="O8683">
        <v>6600000</v>
      </c>
      <c r="P8683">
        <v>6600000</v>
      </c>
      <c r="Q8683">
        <v>6600000</v>
      </c>
      <c r="R8683" s="14">
        <f>_xlfn.XLOOKUP(Table2[[#This Row],[LoanID]],Table1[G-L ID],Table1[ManagerCode],-99)</f>
        <v>183</v>
      </c>
      <c r="T8683"/>
    </row>
    <row r="8684" spans="1:20" x14ac:dyDescent="0.25">
      <c r="A8684">
        <v>20190430</v>
      </c>
      <c r="B8684">
        <v>2019</v>
      </c>
      <c r="C8684">
        <v>4</v>
      </c>
      <c r="D8684">
        <v>1</v>
      </c>
      <c r="E8684">
        <v>11830</v>
      </c>
      <c r="F8684">
        <v>117597.64</v>
      </c>
      <c r="G8684">
        <v>0</v>
      </c>
      <c r="H8684">
        <v>0</v>
      </c>
      <c r="I8684">
        <v>0</v>
      </c>
      <c r="J8684">
        <v>-247234.11</v>
      </c>
      <c r="K8684">
        <v>0</v>
      </c>
      <c r="L8684">
        <v>10553897.039999999</v>
      </c>
      <c r="M8684">
        <v>10801131.15</v>
      </c>
      <c r="N8684">
        <v>10553897.039999999</v>
      </c>
      <c r="O8684">
        <v>10801131.15</v>
      </c>
      <c r="P8684">
        <v>10553897.039999999</v>
      </c>
      <c r="Q8684">
        <v>10801131.15</v>
      </c>
      <c r="R8684" s="14">
        <f>_xlfn.XLOOKUP(Table2[[#This Row],[LoanID]],Table1[G-L ID],Table1[ManagerCode],-99)</f>
        <v>119</v>
      </c>
      <c r="T8684"/>
    </row>
    <row r="8685" spans="1:20" x14ac:dyDescent="0.25">
      <c r="A8685">
        <v>20190430</v>
      </c>
      <c r="B8685">
        <v>2019</v>
      </c>
      <c r="C8685">
        <v>4</v>
      </c>
      <c r="D8685">
        <v>1</v>
      </c>
      <c r="E8685">
        <v>12180</v>
      </c>
      <c r="F8685">
        <v>0</v>
      </c>
      <c r="G8685">
        <v>0</v>
      </c>
      <c r="H8685">
        <v>0</v>
      </c>
      <c r="I8685">
        <v>0</v>
      </c>
      <c r="J8685">
        <v>0</v>
      </c>
      <c r="K8685">
        <v>0</v>
      </c>
      <c r="L8685">
        <v>1</v>
      </c>
      <c r="M8685">
        <v>1</v>
      </c>
      <c r="N8685">
        <v>1</v>
      </c>
      <c r="O8685">
        <v>1</v>
      </c>
      <c r="P8685">
        <v>30393210.870000001</v>
      </c>
      <c r="Q8685">
        <v>30654511</v>
      </c>
      <c r="R8685" s="14">
        <f>_xlfn.XLOOKUP(Table2[[#This Row],[LoanID]],Table1[G-L ID],Table1[ManagerCode],-99)</f>
        <v>220</v>
      </c>
      <c r="T8685"/>
    </row>
    <row r="8686" spans="1:20" x14ac:dyDescent="0.25">
      <c r="A8686">
        <v>20190430</v>
      </c>
      <c r="B8686">
        <v>2019</v>
      </c>
      <c r="C8686">
        <v>4</v>
      </c>
      <c r="D8686">
        <v>1</v>
      </c>
      <c r="E8686">
        <v>12220</v>
      </c>
      <c r="F8686">
        <v>209806.51</v>
      </c>
      <c r="G8686">
        <v>0</v>
      </c>
      <c r="H8686">
        <v>0</v>
      </c>
      <c r="I8686">
        <v>0</v>
      </c>
      <c r="J8686">
        <v>0</v>
      </c>
      <c r="K8686">
        <v>0</v>
      </c>
      <c r="L8686">
        <v>54500000</v>
      </c>
      <c r="M8686">
        <v>54500000</v>
      </c>
      <c r="N8686">
        <v>27250000</v>
      </c>
      <c r="O8686">
        <v>27250000</v>
      </c>
      <c r="P8686">
        <v>54500000</v>
      </c>
      <c r="Q8686">
        <v>54500000</v>
      </c>
      <c r="R8686" s="14">
        <f>_xlfn.XLOOKUP(Table2[[#This Row],[LoanID]],Table1[G-L ID],Table1[ManagerCode],-99)</f>
        <v>183</v>
      </c>
      <c r="T8686"/>
    </row>
    <row r="8687" spans="1:20" x14ac:dyDescent="0.25">
      <c r="A8687">
        <v>20190430</v>
      </c>
      <c r="B8687">
        <v>2019</v>
      </c>
      <c r="C8687">
        <v>4</v>
      </c>
      <c r="D8687">
        <v>1</v>
      </c>
      <c r="E8687">
        <v>12250</v>
      </c>
      <c r="F8687">
        <v>126177.86</v>
      </c>
      <c r="G8687">
        <v>0</v>
      </c>
      <c r="H8687">
        <v>38437.5</v>
      </c>
      <c r="I8687">
        <v>0</v>
      </c>
      <c r="J8687">
        <v>-196869.84</v>
      </c>
      <c r="K8687">
        <v>0</v>
      </c>
      <c r="L8687">
        <v>13076379.42</v>
      </c>
      <c r="M8687">
        <v>13273249.26</v>
      </c>
      <c r="N8687">
        <v>13076379.42</v>
      </c>
      <c r="O8687">
        <v>13273249.26</v>
      </c>
      <c r="P8687">
        <v>13076379.42</v>
      </c>
      <c r="Q8687">
        <v>13273249.26</v>
      </c>
      <c r="R8687" s="14">
        <f>_xlfn.XLOOKUP(Table2[[#This Row],[LoanID]],Table1[G-L ID],Table1[ManagerCode],-99)</f>
        <v>119</v>
      </c>
      <c r="T8687"/>
    </row>
    <row r="8688" spans="1:20" x14ac:dyDescent="0.25">
      <c r="A8688">
        <v>20190430</v>
      </c>
      <c r="B8688">
        <v>2019</v>
      </c>
      <c r="C8688">
        <v>4</v>
      </c>
      <c r="D8688">
        <v>1</v>
      </c>
      <c r="E8688">
        <v>12260</v>
      </c>
      <c r="F8688">
        <v>161096.72</v>
      </c>
      <c r="G8688">
        <v>0</v>
      </c>
      <c r="H8688">
        <v>0</v>
      </c>
      <c r="I8688">
        <v>0</v>
      </c>
      <c r="J8688">
        <v>0</v>
      </c>
      <c r="K8688">
        <v>2270520.9300000002</v>
      </c>
      <c r="L8688">
        <v>18541109.079999998</v>
      </c>
      <c r="M8688">
        <v>16270588.15</v>
      </c>
      <c r="N8688">
        <v>18541109.079999998</v>
      </c>
      <c r="O8688">
        <v>16270588.15</v>
      </c>
      <c r="P8688">
        <v>18541109.079999998</v>
      </c>
      <c r="Q8688">
        <v>16270588.15</v>
      </c>
      <c r="R8688" s="14">
        <f>_xlfn.XLOOKUP(Table2[[#This Row],[LoanID]],Table1[G-L ID],Table1[ManagerCode],-99)</f>
        <v>119</v>
      </c>
      <c r="T8688"/>
    </row>
    <row r="8689" spans="1:20" x14ac:dyDescent="0.25">
      <c r="A8689">
        <v>20190430</v>
      </c>
      <c r="B8689">
        <v>2019</v>
      </c>
      <c r="C8689">
        <v>4</v>
      </c>
      <c r="D8689">
        <v>1</v>
      </c>
      <c r="E8689">
        <v>12270</v>
      </c>
      <c r="F8689">
        <v>7961.17</v>
      </c>
      <c r="G8689">
        <v>0</v>
      </c>
      <c r="H8689">
        <v>1442943.15</v>
      </c>
      <c r="I8689">
        <v>0</v>
      </c>
      <c r="J8689">
        <v>0</v>
      </c>
      <c r="K8689">
        <v>740032.81</v>
      </c>
      <c r="L8689">
        <v>740032.81</v>
      </c>
      <c r="M8689">
        <v>0</v>
      </c>
      <c r="N8689">
        <v>740032.81</v>
      </c>
      <c r="O8689">
        <v>0</v>
      </c>
      <c r="P8689">
        <v>740032.81</v>
      </c>
      <c r="Q8689">
        <v>0</v>
      </c>
      <c r="R8689" s="14">
        <f>_xlfn.XLOOKUP(Table2[[#This Row],[LoanID]],Table1[G-L ID],Table1[ManagerCode],-99)</f>
        <v>119</v>
      </c>
      <c r="T8689"/>
    </row>
    <row r="8690" spans="1:20" x14ac:dyDescent="0.25">
      <c r="A8690">
        <v>20190430</v>
      </c>
      <c r="B8690">
        <v>2019</v>
      </c>
      <c r="C8690">
        <v>4</v>
      </c>
      <c r="D8690">
        <v>1</v>
      </c>
      <c r="E8690">
        <v>12280</v>
      </c>
      <c r="F8690">
        <v>199065.32</v>
      </c>
      <c r="G8690">
        <v>0</v>
      </c>
      <c r="H8690">
        <v>0</v>
      </c>
      <c r="I8690">
        <v>0</v>
      </c>
      <c r="J8690">
        <v>0</v>
      </c>
      <c r="K8690">
        <v>541406.82999999996</v>
      </c>
      <c r="L8690">
        <v>18273591.710000001</v>
      </c>
      <c r="M8690">
        <v>17732184.879999999</v>
      </c>
      <c r="N8690">
        <v>18273591.710000001</v>
      </c>
      <c r="O8690">
        <v>17732184.879999999</v>
      </c>
      <c r="P8690">
        <v>18273591.710000001</v>
      </c>
      <c r="Q8690">
        <v>17732184.879999999</v>
      </c>
      <c r="R8690" s="14">
        <f>_xlfn.XLOOKUP(Table2[[#This Row],[LoanID]],Table1[G-L ID],Table1[ManagerCode],-99)</f>
        <v>119</v>
      </c>
      <c r="T8690"/>
    </row>
    <row r="8691" spans="1:20" x14ac:dyDescent="0.25">
      <c r="A8691">
        <v>20190430</v>
      </c>
      <c r="B8691">
        <v>2019</v>
      </c>
      <c r="C8691">
        <v>4</v>
      </c>
      <c r="D8691">
        <v>1</v>
      </c>
      <c r="E8691">
        <v>12290</v>
      </c>
      <c r="F8691">
        <v>289663.11</v>
      </c>
      <c r="G8691">
        <v>0</v>
      </c>
      <c r="H8691">
        <v>0</v>
      </c>
      <c r="I8691">
        <v>0</v>
      </c>
      <c r="J8691">
        <v>0</v>
      </c>
      <c r="K8691">
        <v>22750000</v>
      </c>
      <c r="L8691">
        <v>22750000</v>
      </c>
      <c r="M8691">
        <v>0</v>
      </c>
      <c r="N8691">
        <v>22750000</v>
      </c>
      <c r="O8691">
        <v>0</v>
      </c>
      <c r="P8691">
        <v>22750000</v>
      </c>
      <c r="Q8691">
        <v>0</v>
      </c>
      <c r="R8691" s="14">
        <f>_xlfn.XLOOKUP(Table2[[#This Row],[LoanID]],Table1[G-L ID],Table1[ManagerCode],-99)</f>
        <v>119</v>
      </c>
      <c r="T8691"/>
    </row>
    <row r="8692" spans="1:20" x14ac:dyDescent="0.25">
      <c r="A8692">
        <v>20190430</v>
      </c>
      <c r="B8692">
        <v>2019</v>
      </c>
      <c r="C8692">
        <v>4</v>
      </c>
      <c r="D8692">
        <v>1</v>
      </c>
      <c r="E8692">
        <v>12310</v>
      </c>
      <c r="F8692">
        <v>98623.34</v>
      </c>
      <c r="G8692">
        <v>0</v>
      </c>
      <c r="H8692">
        <v>0</v>
      </c>
      <c r="I8692">
        <v>0</v>
      </c>
      <c r="J8692">
        <v>0</v>
      </c>
      <c r="K8692">
        <v>0</v>
      </c>
      <c r="L8692">
        <v>13100000</v>
      </c>
      <c r="M8692">
        <v>13100000</v>
      </c>
      <c r="N8692">
        <v>13100000</v>
      </c>
      <c r="O8692">
        <v>13100000</v>
      </c>
      <c r="P8692">
        <v>13100000</v>
      </c>
      <c r="Q8692">
        <v>13100000</v>
      </c>
      <c r="R8692" s="14">
        <f>_xlfn.XLOOKUP(Table2[[#This Row],[LoanID]],Table1[G-L ID],Table1[ManagerCode],-99)</f>
        <v>119</v>
      </c>
      <c r="T8692"/>
    </row>
    <row r="8693" spans="1:20" x14ac:dyDescent="0.25">
      <c r="A8693">
        <v>20190430</v>
      </c>
      <c r="B8693">
        <v>2019</v>
      </c>
      <c r="C8693">
        <v>4</v>
      </c>
      <c r="D8693">
        <v>1</v>
      </c>
      <c r="E8693">
        <v>12330</v>
      </c>
      <c r="F8693">
        <v>227805.9</v>
      </c>
      <c r="G8693">
        <v>0</v>
      </c>
      <c r="H8693">
        <v>0</v>
      </c>
      <c r="I8693">
        <v>0</v>
      </c>
      <c r="J8693">
        <v>0</v>
      </c>
      <c r="K8693">
        <v>0</v>
      </c>
      <c r="L8693">
        <v>19976500</v>
      </c>
      <c r="M8693">
        <v>19976500</v>
      </c>
      <c r="N8693">
        <v>19976500</v>
      </c>
      <c r="O8693">
        <v>19976500</v>
      </c>
      <c r="P8693">
        <v>19976500</v>
      </c>
      <c r="Q8693">
        <v>19976500</v>
      </c>
      <c r="R8693" s="14">
        <f>_xlfn.XLOOKUP(Table2[[#This Row],[LoanID]],Table1[G-L ID],Table1[ManagerCode],-99)</f>
        <v>119</v>
      </c>
      <c r="T8693"/>
    </row>
    <row r="8694" spans="1:20" x14ac:dyDescent="0.25">
      <c r="A8694">
        <v>20190430</v>
      </c>
      <c r="B8694">
        <v>2019</v>
      </c>
      <c r="C8694">
        <v>4</v>
      </c>
      <c r="D8694">
        <v>1</v>
      </c>
      <c r="E8694">
        <v>12340</v>
      </c>
      <c r="F8694">
        <v>57038.91</v>
      </c>
      <c r="G8694">
        <v>0</v>
      </c>
      <c r="H8694">
        <v>0</v>
      </c>
      <c r="I8694">
        <v>0</v>
      </c>
      <c r="J8694">
        <v>0</v>
      </c>
      <c r="K8694">
        <v>0</v>
      </c>
      <c r="L8694">
        <v>24180000</v>
      </c>
      <c r="M8694">
        <v>24180000</v>
      </c>
      <c r="N8694">
        <v>12180000</v>
      </c>
      <c r="O8694">
        <v>12180000</v>
      </c>
      <c r="P8694">
        <v>24180000</v>
      </c>
      <c r="Q8694">
        <v>24180000</v>
      </c>
      <c r="R8694" s="14">
        <f>_xlfn.XLOOKUP(Table2[[#This Row],[LoanID]],Table1[G-L ID],Table1[ManagerCode],-99)</f>
        <v>183</v>
      </c>
      <c r="T8694"/>
    </row>
    <row r="8695" spans="1:20" x14ac:dyDescent="0.25">
      <c r="A8695">
        <v>20190430</v>
      </c>
      <c r="B8695">
        <v>2019</v>
      </c>
      <c r="C8695">
        <v>4</v>
      </c>
      <c r="D8695">
        <v>1</v>
      </c>
      <c r="E8695">
        <v>12350</v>
      </c>
      <c r="F8695">
        <v>249918.98</v>
      </c>
      <c r="G8695">
        <v>0</v>
      </c>
      <c r="H8695">
        <v>0</v>
      </c>
      <c r="I8695">
        <v>0</v>
      </c>
      <c r="J8695">
        <v>-3968829.03</v>
      </c>
      <c r="K8695">
        <v>0</v>
      </c>
      <c r="L8695">
        <v>74445407.310000002</v>
      </c>
      <c r="M8695">
        <v>78414236.340000004</v>
      </c>
      <c r="N8695">
        <v>36945407.310000002</v>
      </c>
      <c r="O8695">
        <v>40914236.340000004</v>
      </c>
      <c r="P8695">
        <v>74445407.310000002</v>
      </c>
      <c r="Q8695">
        <v>78414236.340000004</v>
      </c>
      <c r="R8695" s="14">
        <f>_xlfn.XLOOKUP(Table2[[#This Row],[LoanID]],Table1[G-L ID],Table1[ManagerCode],-99)</f>
        <v>183</v>
      </c>
      <c r="T8695"/>
    </row>
    <row r="8696" spans="1:20" x14ac:dyDescent="0.25">
      <c r="A8696">
        <v>20190430</v>
      </c>
      <c r="B8696">
        <v>2019</v>
      </c>
      <c r="C8696">
        <v>4</v>
      </c>
      <c r="D8696">
        <v>1</v>
      </c>
      <c r="E8696">
        <v>12360</v>
      </c>
      <c r="F8696">
        <v>135623.47</v>
      </c>
      <c r="G8696">
        <v>0</v>
      </c>
      <c r="H8696">
        <v>0</v>
      </c>
      <c r="I8696">
        <v>0</v>
      </c>
      <c r="J8696">
        <v>0</v>
      </c>
      <c r="K8696">
        <v>0</v>
      </c>
      <c r="L8696">
        <v>60000000</v>
      </c>
      <c r="M8696">
        <v>60000000</v>
      </c>
      <c r="N8696">
        <v>19000000</v>
      </c>
      <c r="O8696">
        <v>19000000</v>
      </c>
      <c r="P8696">
        <v>60000000</v>
      </c>
      <c r="Q8696">
        <v>60000000</v>
      </c>
      <c r="R8696" s="14">
        <f>_xlfn.XLOOKUP(Table2[[#This Row],[LoanID]],Table1[G-L ID],Table1[ManagerCode],-99)</f>
        <v>183</v>
      </c>
      <c r="T8696"/>
    </row>
    <row r="8697" spans="1:20" x14ac:dyDescent="0.25">
      <c r="A8697">
        <v>20190430</v>
      </c>
      <c r="B8697">
        <v>2019</v>
      </c>
      <c r="C8697">
        <v>4</v>
      </c>
      <c r="D8697">
        <v>1</v>
      </c>
      <c r="E8697">
        <v>12370</v>
      </c>
      <c r="F8697">
        <v>306198.34000000003</v>
      </c>
      <c r="G8697">
        <v>0</v>
      </c>
      <c r="H8697">
        <v>0</v>
      </c>
      <c r="I8697">
        <v>0</v>
      </c>
      <c r="J8697">
        <v>0</v>
      </c>
      <c r="K8697">
        <v>0</v>
      </c>
      <c r="L8697">
        <v>81600000</v>
      </c>
      <c r="M8697">
        <v>81600000</v>
      </c>
      <c r="N8697">
        <v>36461538.549999997</v>
      </c>
      <c r="O8697">
        <v>36461538.549999997</v>
      </c>
      <c r="P8697">
        <v>81600000</v>
      </c>
      <c r="Q8697">
        <v>81600000</v>
      </c>
      <c r="R8697" s="14">
        <f>_xlfn.XLOOKUP(Table2[[#This Row],[LoanID]],Table1[G-L ID],Table1[ManagerCode],-99)</f>
        <v>183</v>
      </c>
      <c r="T8697"/>
    </row>
    <row r="8698" spans="1:20" x14ac:dyDescent="0.25">
      <c r="A8698">
        <v>20190430</v>
      </c>
      <c r="B8698">
        <v>2019</v>
      </c>
      <c r="C8698">
        <v>4</v>
      </c>
      <c r="D8698">
        <v>1</v>
      </c>
      <c r="E8698">
        <v>12380</v>
      </c>
      <c r="F8698">
        <v>84438.16</v>
      </c>
      <c r="G8698">
        <v>0</v>
      </c>
      <c r="H8698">
        <v>0</v>
      </c>
      <c r="I8698">
        <v>0</v>
      </c>
      <c r="J8698">
        <v>0</v>
      </c>
      <c r="K8698">
        <v>0</v>
      </c>
      <c r="L8698">
        <v>32500000</v>
      </c>
      <c r="M8698">
        <v>32500000</v>
      </c>
      <c r="N8698">
        <v>12350000</v>
      </c>
      <c r="O8698">
        <v>12350000</v>
      </c>
      <c r="P8698">
        <v>32500000</v>
      </c>
      <c r="Q8698">
        <v>32500000</v>
      </c>
      <c r="R8698" s="14">
        <f>_xlfn.XLOOKUP(Table2[[#This Row],[LoanID]],Table1[G-L ID],Table1[ManagerCode],-99)</f>
        <v>183</v>
      </c>
      <c r="T8698"/>
    </row>
    <row r="8699" spans="1:20" x14ac:dyDescent="0.25">
      <c r="A8699">
        <v>20190430</v>
      </c>
      <c r="B8699">
        <v>2019</v>
      </c>
      <c r="C8699">
        <v>4</v>
      </c>
      <c r="D8699">
        <v>1</v>
      </c>
      <c r="E8699">
        <v>12390</v>
      </c>
      <c r="F8699">
        <v>940711.46</v>
      </c>
      <c r="G8699">
        <v>549312.97</v>
      </c>
      <c r="H8699">
        <v>0</v>
      </c>
      <c r="I8699">
        <v>0</v>
      </c>
      <c r="J8699">
        <v>-3852622.92</v>
      </c>
      <c r="K8699">
        <v>0</v>
      </c>
      <c r="L8699">
        <v>130560990.7</v>
      </c>
      <c r="M8699">
        <v>134962926.5</v>
      </c>
      <c r="N8699">
        <v>130560990.7</v>
      </c>
      <c r="O8699">
        <v>134962926.5</v>
      </c>
      <c r="P8699">
        <v>130560990.7</v>
      </c>
      <c r="Q8699">
        <v>134962926.5</v>
      </c>
      <c r="R8699" s="14">
        <f>_xlfn.XLOOKUP(Table2[[#This Row],[LoanID]],Table1[G-L ID],Table1[ManagerCode],-99)</f>
        <v>183</v>
      </c>
      <c r="T8699"/>
    </row>
    <row r="8700" spans="1:20" x14ac:dyDescent="0.25">
      <c r="A8700">
        <v>20190430</v>
      </c>
      <c r="B8700">
        <v>2019</v>
      </c>
      <c r="C8700">
        <v>4</v>
      </c>
      <c r="D8700">
        <v>1</v>
      </c>
      <c r="E8700">
        <v>12400</v>
      </c>
      <c r="F8700">
        <v>212718.13</v>
      </c>
      <c r="G8700">
        <v>127684.52</v>
      </c>
      <c r="H8700">
        <v>0</v>
      </c>
      <c r="I8700">
        <v>0</v>
      </c>
      <c r="J8700">
        <v>-2392088.11</v>
      </c>
      <c r="K8700">
        <v>0</v>
      </c>
      <c r="L8700">
        <v>38963025.899999999</v>
      </c>
      <c r="M8700">
        <v>41482798.530000001</v>
      </c>
      <c r="N8700">
        <v>38963025.899999999</v>
      </c>
      <c r="O8700">
        <v>41482798.530000001</v>
      </c>
      <c r="P8700">
        <v>38963025.899999999</v>
      </c>
      <c r="Q8700">
        <v>41482798.530000001</v>
      </c>
      <c r="R8700" s="14">
        <f>_xlfn.XLOOKUP(Table2[[#This Row],[LoanID]],Table1[G-L ID],Table1[ManagerCode],-99)</f>
        <v>183</v>
      </c>
      <c r="T8700"/>
    </row>
    <row r="8701" spans="1:20" x14ac:dyDescent="0.25">
      <c r="A8701">
        <v>20190430</v>
      </c>
      <c r="B8701">
        <v>2019</v>
      </c>
      <c r="C8701">
        <v>4</v>
      </c>
      <c r="D8701">
        <v>1</v>
      </c>
      <c r="E8701">
        <v>12410</v>
      </c>
      <c r="F8701">
        <v>322594.40000000002</v>
      </c>
      <c r="G8701">
        <v>0</v>
      </c>
      <c r="H8701">
        <v>0</v>
      </c>
      <c r="I8701">
        <v>0</v>
      </c>
      <c r="J8701">
        <v>0</v>
      </c>
      <c r="K8701">
        <v>0</v>
      </c>
      <c r="L8701">
        <v>75554182</v>
      </c>
      <c r="M8701">
        <v>73737245</v>
      </c>
      <c r="N8701">
        <v>75554182</v>
      </c>
      <c r="O8701">
        <v>73737245</v>
      </c>
      <c r="P8701">
        <v>80388431.040000007</v>
      </c>
      <c r="Q8701">
        <v>80388431.040000007</v>
      </c>
      <c r="R8701" s="14">
        <f>_xlfn.XLOOKUP(Table2[[#This Row],[LoanID]],Table1[G-L ID],Table1[ManagerCode],-99)</f>
        <v>103</v>
      </c>
      <c r="T8701"/>
    </row>
    <row r="8702" spans="1:20" x14ac:dyDescent="0.25">
      <c r="A8702">
        <v>20190430</v>
      </c>
      <c r="B8702">
        <v>2019</v>
      </c>
      <c r="C8702">
        <v>4</v>
      </c>
      <c r="D8702">
        <v>1</v>
      </c>
      <c r="E8702">
        <v>12430</v>
      </c>
      <c r="F8702">
        <v>86049.64</v>
      </c>
      <c r="G8702">
        <v>385938.35</v>
      </c>
      <c r="H8702">
        <v>0</v>
      </c>
      <c r="I8702">
        <v>0</v>
      </c>
      <c r="J8702">
        <v>-86049.64</v>
      </c>
      <c r="K8702">
        <v>0</v>
      </c>
      <c r="L8702">
        <v>24040512</v>
      </c>
      <c r="M8702">
        <v>24526589</v>
      </c>
      <c r="N8702">
        <v>24040512</v>
      </c>
      <c r="O8702">
        <v>24526589</v>
      </c>
      <c r="P8702">
        <v>25814892.190000001</v>
      </c>
      <c r="Q8702">
        <v>26286880.18</v>
      </c>
      <c r="R8702" s="14">
        <f>_xlfn.XLOOKUP(Table2[[#This Row],[LoanID]],Table1[G-L ID],Table1[ManagerCode],-99)</f>
        <v>103</v>
      </c>
      <c r="T8702"/>
    </row>
    <row r="8703" spans="1:20" x14ac:dyDescent="0.25">
      <c r="A8703">
        <v>20190430</v>
      </c>
      <c r="B8703">
        <v>2019</v>
      </c>
      <c r="C8703">
        <v>4</v>
      </c>
      <c r="D8703">
        <v>1</v>
      </c>
      <c r="E8703">
        <v>12440</v>
      </c>
      <c r="F8703">
        <v>28312.87</v>
      </c>
      <c r="G8703">
        <v>0</v>
      </c>
      <c r="H8703">
        <v>0</v>
      </c>
      <c r="I8703">
        <v>0</v>
      </c>
      <c r="J8703">
        <v>0</v>
      </c>
      <c r="K8703">
        <v>55053.4</v>
      </c>
      <c r="L8703">
        <v>3808379</v>
      </c>
      <c r="M8703">
        <v>3735774</v>
      </c>
      <c r="N8703">
        <v>3808379</v>
      </c>
      <c r="O8703">
        <v>3735774</v>
      </c>
      <c r="P8703">
        <v>3397544.23</v>
      </c>
      <c r="Q8703">
        <v>3342490.83</v>
      </c>
      <c r="R8703" s="14">
        <f>_xlfn.XLOOKUP(Table2[[#This Row],[LoanID]],Table1[G-L ID],Table1[ManagerCode],-99)</f>
        <v>103</v>
      </c>
      <c r="T8703"/>
    </row>
    <row r="8704" spans="1:20" x14ac:dyDescent="0.25">
      <c r="A8704">
        <v>20190430</v>
      </c>
      <c r="B8704">
        <v>2019</v>
      </c>
      <c r="C8704">
        <v>4</v>
      </c>
      <c r="D8704">
        <v>1</v>
      </c>
      <c r="E8704">
        <v>12450</v>
      </c>
      <c r="F8704">
        <v>65526.16</v>
      </c>
      <c r="G8704">
        <v>37412.44</v>
      </c>
      <c r="H8704">
        <v>0</v>
      </c>
      <c r="I8704">
        <v>0</v>
      </c>
      <c r="J8704">
        <v>-1269976.9099999999</v>
      </c>
      <c r="K8704">
        <v>0</v>
      </c>
      <c r="L8704">
        <v>11759604.74</v>
      </c>
      <c r="M8704">
        <v>13066994.09</v>
      </c>
      <c r="N8704">
        <v>11759604.74</v>
      </c>
      <c r="O8704">
        <v>13066994.09</v>
      </c>
      <c r="P8704">
        <v>11759604.74</v>
      </c>
      <c r="Q8704">
        <v>13066994.09</v>
      </c>
      <c r="R8704" s="14">
        <f>_xlfn.XLOOKUP(Table2[[#This Row],[LoanID]],Table1[G-L ID],Table1[ManagerCode],-99)</f>
        <v>183</v>
      </c>
      <c r="T8704"/>
    </row>
    <row r="8705" spans="1:20" x14ac:dyDescent="0.25">
      <c r="A8705">
        <v>20190430</v>
      </c>
      <c r="B8705">
        <v>2019</v>
      </c>
      <c r="C8705">
        <v>4</v>
      </c>
      <c r="D8705">
        <v>1</v>
      </c>
      <c r="E8705">
        <v>12460</v>
      </c>
      <c r="F8705">
        <v>42250</v>
      </c>
      <c r="G8705">
        <v>49593.599999999999</v>
      </c>
      <c r="H8705">
        <v>0</v>
      </c>
      <c r="I8705">
        <v>0</v>
      </c>
      <c r="J8705">
        <v>0</v>
      </c>
      <c r="K8705">
        <v>0</v>
      </c>
      <c r="L8705">
        <v>9177436.0999999996</v>
      </c>
      <c r="M8705">
        <v>9233953.5</v>
      </c>
      <c r="N8705">
        <v>9177436.0999999996</v>
      </c>
      <c r="O8705">
        <v>9233953.5</v>
      </c>
      <c r="P8705">
        <v>9177436.0999999996</v>
      </c>
      <c r="Q8705">
        <v>9233953.5</v>
      </c>
      <c r="R8705" s="14">
        <f>_xlfn.XLOOKUP(Table2[[#This Row],[LoanID]],Table1[G-L ID],Table1[ManagerCode],-99)</f>
        <v>183</v>
      </c>
      <c r="T8705"/>
    </row>
    <row r="8706" spans="1:20" x14ac:dyDescent="0.25">
      <c r="A8706">
        <v>20190430</v>
      </c>
      <c r="B8706">
        <v>2019</v>
      </c>
      <c r="C8706">
        <v>4</v>
      </c>
      <c r="D8706">
        <v>1</v>
      </c>
      <c r="E8706">
        <v>12470</v>
      </c>
      <c r="F8706">
        <v>331909.17</v>
      </c>
      <c r="G8706">
        <v>0</v>
      </c>
      <c r="H8706">
        <v>0</v>
      </c>
      <c r="I8706">
        <v>0</v>
      </c>
      <c r="J8706">
        <v>0</v>
      </c>
      <c r="K8706">
        <v>0</v>
      </c>
      <c r="L8706">
        <v>115000000</v>
      </c>
      <c r="M8706">
        <v>115000000</v>
      </c>
      <c r="N8706">
        <v>46000000</v>
      </c>
      <c r="O8706">
        <v>46000000</v>
      </c>
      <c r="P8706">
        <v>115000000</v>
      </c>
      <c r="Q8706">
        <v>115000000</v>
      </c>
      <c r="R8706" s="14">
        <f>_xlfn.XLOOKUP(Table2[[#This Row],[LoanID]],Table1[G-L ID],Table1[ManagerCode],-99)</f>
        <v>183</v>
      </c>
      <c r="T8706"/>
    </row>
    <row r="8707" spans="1:20" x14ac:dyDescent="0.25">
      <c r="A8707">
        <v>20190430</v>
      </c>
      <c r="B8707">
        <v>2019</v>
      </c>
      <c r="C8707">
        <v>4</v>
      </c>
      <c r="D8707">
        <v>1</v>
      </c>
      <c r="E8707">
        <v>12490</v>
      </c>
      <c r="F8707">
        <v>141030.10999999999</v>
      </c>
      <c r="G8707">
        <v>0</v>
      </c>
      <c r="H8707">
        <v>0</v>
      </c>
      <c r="I8707">
        <v>0</v>
      </c>
      <c r="J8707">
        <v>0</v>
      </c>
      <c r="K8707">
        <v>0</v>
      </c>
      <c r="L8707">
        <v>50200000</v>
      </c>
      <c r="M8707">
        <v>50200000</v>
      </c>
      <c r="N8707">
        <v>19600000</v>
      </c>
      <c r="O8707">
        <v>19600000</v>
      </c>
      <c r="P8707">
        <v>50200000</v>
      </c>
      <c r="Q8707">
        <v>50200000</v>
      </c>
      <c r="R8707" s="14">
        <f>_xlfn.XLOOKUP(Table2[[#This Row],[LoanID]],Table1[G-L ID],Table1[ManagerCode],-99)</f>
        <v>183</v>
      </c>
      <c r="T8707"/>
    </row>
    <row r="8708" spans="1:20" x14ac:dyDescent="0.25">
      <c r="A8708">
        <v>20190430</v>
      </c>
      <c r="B8708">
        <v>2019</v>
      </c>
      <c r="C8708">
        <v>4</v>
      </c>
      <c r="D8708">
        <v>1</v>
      </c>
      <c r="E8708">
        <v>12510</v>
      </c>
      <c r="F8708">
        <v>328562.65999999997</v>
      </c>
      <c r="G8708">
        <v>0</v>
      </c>
      <c r="H8708">
        <v>0</v>
      </c>
      <c r="I8708">
        <v>0</v>
      </c>
      <c r="J8708">
        <v>0</v>
      </c>
      <c r="K8708">
        <v>0</v>
      </c>
      <c r="L8708">
        <v>131500000</v>
      </c>
      <c r="M8708">
        <v>131500000</v>
      </c>
      <c r="N8708">
        <v>46025000</v>
      </c>
      <c r="O8708">
        <v>46025000</v>
      </c>
      <c r="P8708">
        <v>131500000</v>
      </c>
      <c r="Q8708">
        <v>131500000</v>
      </c>
      <c r="R8708" s="14">
        <f>_xlfn.XLOOKUP(Table2[[#This Row],[LoanID]],Table1[G-L ID],Table1[ManagerCode],-99)</f>
        <v>183</v>
      </c>
      <c r="T8708"/>
    </row>
    <row r="8709" spans="1:20" x14ac:dyDescent="0.25">
      <c r="A8709">
        <v>20190430</v>
      </c>
      <c r="B8709">
        <v>2019</v>
      </c>
      <c r="C8709">
        <v>4</v>
      </c>
      <c r="D8709">
        <v>1</v>
      </c>
      <c r="E8709">
        <v>12520</v>
      </c>
      <c r="F8709">
        <v>185139.5</v>
      </c>
      <c r="G8709">
        <v>0</v>
      </c>
      <c r="H8709">
        <v>0</v>
      </c>
      <c r="I8709">
        <v>0</v>
      </c>
      <c r="J8709">
        <v>-583228.93000000005</v>
      </c>
      <c r="K8709">
        <v>0</v>
      </c>
      <c r="L8709">
        <v>46402353.039999999</v>
      </c>
      <c r="M8709">
        <v>46985581.969999999</v>
      </c>
      <c r="N8709">
        <v>21652353.039999999</v>
      </c>
      <c r="O8709">
        <v>22235581.969999999</v>
      </c>
      <c r="P8709">
        <v>46402353.039999999</v>
      </c>
      <c r="Q8709">
        <v>46985581.969999999</v>
      </c>
      <c r="R8709" s="14">
        <f>_xlfn.XLOOKUP(Table2[[#This Row],[LoanID]],Table1[G-L ID],Table1[ManagerCode],-99)</f>
        <v>183</v>
      </c>
      <c r="T8709"/>
    </row>
    <row r="8710" spans="1:20" x14ac:dyDescent="0.25">
      <c r="A8710">
        <v>20190430</v>
      </c>
      <c r="B8710">
        <v>2019</v>
      </c>
      <c r="C8710">
        <v>4</v>
      </c>
      <c r="D8710">
        <v>1</v>
      </c>
      <c r="E8710">
        <v>12530</v>
      </c>
      <c r="F8710">
        <v>167312.17000000001</v>
      </c>
      <c r="G8710">
        <v>0</v>
      </c>
      <c r="H8710">
        <v>0</v>
      </c>
      <c r="I8710">
        <v>0</v>
      </c>
      <c r="J8710">
        <v>0</v>
      </c>
      <c r="K8710">
        <v>0</v>
      </c>
      <c r="L8710">
        <v>19875000</v>
      </c>
      <c r="M8710">
        <v>19875000</v>
      </c>
      <c r="N8710">
        <v>19875000</v>
      </c>
      <c r="O8710">
        <v>19875000</v>
      </c>
      <c r="P8710">
        <v>19875000</v>
      </c>
      <c r="Q8710">
        <v>19875000</v>
      </c>
      <c r="R8710" s="14">
        <f>_xlfn.XLOOKUP(Table2[[#This Row],[LoanID]],Table1[G-L ID],Table1[ManagerCode],-99)</f>
        <v>119</v>
      </c>
      <c r="T8710"/>
    </row>
    <row r="8711" spans="1:20" x14ac:dyDescent="0.25">
      <c r="A8711">
        <v>20190430</v>
      </c>
      <c r="B8711">
        <v>2019</v>
      </c>
      <c r="C8711">
        <v>4</v>
      </c>
      <c r="D8711">
        <v>1</v>
      </c>
      <c r="E8711">
        <v>12540</v>
      </c>
      <c r="F8711">
        <v>151655.67999999999</v>
      </c>
      <c r="G8711">
        <v>0</v>
      </c>
      <c r="H8711">
        <v>0</v>
      </c>
      <c r="I8711">
        <v>0</v>
      </c>
      <c r="J8711">
        <v>0</v>
      </c>
      <c r="K8711">
        <v>0</v>
      </c>
      <c r="L8711">
        <v>15785271.65</v>
      </c>
      <c r="M8711">
        <v>15785271.65</v>
      </c>
      <c r="N8711">
        <v>15785271.65</v>
      </c>
      <c r="O8711">
        <v>15785271.65</v>
      </c>
      <c r="P8711">
        <v>15785271.65</v>
      </c>
      <c r="Q8711">
        <v>15785271.65</v>
      </c>
      <c r="R8711" s="14">
        <f>_xlfn.XLOOKUP(Table2[[#This Row],[LoanID]],Table1[G-L ID],Table1[ManagerCode],-99)</f>
        <v>119</v>
      </c>
      <c r="T8711"/>
    </row>
    <row r="8712" spans="1:20" x14ac:dyDescent="0.25">
      <c r="A8712">
        <v>20190430</v>
      </c>
      <c r="B8712">
        <v>2019</v>
      </c>
      <c r="C8712">
        <v>4</v>
      </c>
      <c r="D8712">
        <v>1</v>
      </c>
      <c r="E8712">
        <v>12550</v>
      </c>
      <c r="F8712">
        <v>79781.37</v>
      </c>
      <c r="G8712">
        <v>0</v>
      </c>
      <c r="H8712">
        <v>0</v>
      </c>
      <c r="I8712">
        <v>0</v>
      </c>
      <c r="J8712">
        <v>0</v>
      </c>
      <c r="K8712">
        <v>0</v>
      </c>
      <c r="L8712">
        <v>7416099.1500000004</v>
      </c>
      <c r="M8712">
        <v>7416099.1500000004</v>
      </c>
      <c r="N8712">
        <v>7416099.1500000004</v>
      </c>
      <c r="O8712">
        <v>7416099.1500000004</v>
      </c>
      <c r="P8712">
        <v>7416099.1500000004</v>
      </c>
      <c r="Q8712">
        <v>7416099.1500000004</v>
      </c>
      <c r="R8712" s="14">
        <f>_xlfn.XLOOKUP(Table2[[#This Row],[LoanID]],Table1[G-L ID],Table1[ManagerCode],-99)</f>
        <v>119</v>
      </c>
      <c r="T8712"/>
    </row>
    <row r="8713" spans="1:20" x14ac:dyDescent="0.25">
      <c r="A8713">
        <v>20190430</v>
      </c>
      <c r="B8713">
        <v>2019</v>
      </c>
      <c r="C8713">
        <v>4</v>
      </c>
      <c r="D8713">
        <v>1</v>
      </c>
      <c r="E8713">
        <v>12560</v>
      </c>
      <c r="F8713">
        <v>186771.41</v>
      </c>
      <c r="G8713">
        <v>0</v>
      </c>
      <c r="H8713">
        <v>0</v>
      </c>
      <c r="I8713">
        <v>0</v>
      </c>
      <c r="J8713">
        <v>-1744336.96</v>
      </c>
      <c r="K8713">
        <v>0</v>
      </c>
      <c r="L8713">
        <v>22445707.899999999</v>
      </c>
      <c r="M8713">
        <v>24190044.859999999</v>
      </c>
      <c r="N8713">
        <v>22445707.899999999</v>
      </c>
      <c r="O8713">
        <v>24190044.859999999</v>
      </c>
      <c r="P8713">
        <v>22445707.899999999</v>
      </c>
      <c r="Q8713">
        <v>24190044.859999999</v>
      </c>
      <c r="R8713" s="14">
        <f>_xlfn.XLOOKUP(Table2[[#This Row],[LoanID]],Table1[G-L ID],Table1[ManagerCode],-99)</f>
        <v>119</v>
      </c>
      <c r="T8713"/>
    </row>
    <row r="8714" spans="1:20" x14ac:dyDescent="0.25">
      <c r="A8714">
        <v>20190430</v>
      </c>
      <c r="B8714">
        <v>2019</v>
      </c>
      <c r="C8714">
        <v>4</v>
      </c>
      <c r="D8714">
        <v>1</v>
      </c>
      <c r="E8714">
        <v>12570</v>
      </c>
      <c r="F8714">
        <v>103305.56</v>
      </c>
      <c r="G8714">
        <v>0</v>
      </c>
      <c r="H8714">
        <v>0</v>
      </c>
      <c r="I8714">
        <v>0</v>
      </c>
      <c r="J8714">
        <v>0</v>
      </c>
      <c r="K8714">
        <v>2755028.44</v>
      </c>
      <c r="L8714">
        <v>11306704.58</v>
      </c>
      <c r="M8714">
        <v>8551676.1400000006</v>
      </c>
      <c r="N8714">
        <v>11306704.58</v>
      </c>
      <c r="O8714">
        <v>8551676.1400000006</v>
      </c>
      <c r="P8714">
        <v>11306704.58</v>
      </c>
      <c r="Q8714">
        <v>8551676.1400000006</v>
      </c>
      <c r="R8714" s="14">
        <f>_xlfn.XLOOKUP(Table2[[#This Row],[LoanID]],Table1[G-L ID],Table1[ManagerCode],-99)</f>
        <v>119</v>
      </c>
      <c r="T8714"/>
    </row>
    <row r="8715" spans="1:20" x14ac:dyDescent="0.25">
      <c r="A8715">
        <v>20190430</v>
      </c>
      <c r="B8715">
        <v>2019</v>
      </c>
      <c r="C8715">
        <v>4</v>
      </c>
      <c r="D8715">
        <v>1</v>
      </c>
      <c r="E8715">
        <v>12580</v>
      </c>
      <c r="F8715">
        <v>223240.59</v>
      </c>
      <c r="G8715">
        <v>0</v>
      </c>
      <c r="H8715">
        <v>0</v>
      </c>
      <c r="I8715">
        <v>0</v>
      </c>
      <c r="J8715">
        <v>-891661.4</v>
      </c>
      <c r="K8715">
        <v>0</v>
      </c>
      <c r="L8715">
        <v>22332430.16</v>
      </c>
      <c r="M8715">
        <v>23224091.559999999</v>
      </c>
      <c r="N8715">
        <v>22332430.16</v>
      </c>
      <c r="O8715">
        <v>23224091.559999999</v>
      </c>
      <c r="P8715">
        <v>22332430.16</v>
      </c>
      <c r="Q8715">
        <v>23224091.559999999</v>
      </c>
      <c r="R8715" s="14">
        <f>_xlfn.XLOOKUP(Table2[[#This Row],[LoanID]],Table1[G-L ID],Table1[ManagerCode],-99)</f>
        <v>119</v>
      </c>
      <c r="T8715"/>
    </row>
    <row r="8716" spans="1:20" x14ac:dyDescent="0.25">
      <c r="A8716">
        <v>20190430</v>
      </c>
      <c r="B8716">
        <v>2019</v>
      </c>
      <c r="C8716">
        <v>4</v>
      </c>
      <c r="D8716">
        <v>1</v>
      </c>
      <c r="E8716">
        <v>12590</v>
      </c>
      <c r="F8716">
        <v>72223.11</v>
      </c>
      <c r="G8716">
        <v>0</v>
      </c>
      <c r="H8716">
        <v>0</v>
      </c>
      <c r="I8716">
        <v>0</v>
      </c>
      <c r="J8716">
        <v>0</v>
      </c>
      <c r="K8716">
        <v>0</v>
      </c>
      <c r="L8716">
        <v>8000000</v>
      </c>
      <c r="M8716">
        <v>8000000</v>
      </c>
      <c r="N8716">
        <v>8000000</v>
      </c>
      <c r="O8716">
        <v>8000000</v>
      </c>
      <c r="P8716">
        <v>8000000</v>
      </c>
      <c r="Q8716">
        <v>8000000</v>
      </c>
      <c r="R8716" s="14">
        <f>_xlfn.XLOOKUP(Table2[[#This Row],[LoanID]],Table1[G-L ID],Table1[ManagerCode],-99)</f>
        <v>119</v>
      </c>
      <c r="T8716"/>
    </row>
    <row r="8717" spans="1:20" x14ac:dyDescent="0.25">
      <c r="A8717">
        <v>20190430</v>
      </c>
      <c r="B8717">
        <v>2019</v>
      </c>
      <c r="C8717">
        <v>4</v>
      </c>
      <c r="D8717">
        <v>1</v>
      </c>
      <c r="E8717">
        <v>12600</v>
      </c>
      <c r="F8717">
        <v>257692.67</v>
      </c>
      <c r="G8717">
        <v>0</v>
      </c>
      <c r="H8717">
        <v>0</v>
      </c>
      <c r="I8717">
        <v>0</v>
      </c>
      <c r="J8717">
        <v>0</v>
      </c>
      <c r="K8717">
        <v>0</v>
      </c>
      <c r="L8717">
        <v>27750000</v>
      </c>
      <c r="M8717">
        <v>27750000</v>
      </c>
      <c r="N8717">
        <v>27750000</v>
      </c>
      <c r="O8717">
        <v>27750000</v>
      </c>
      <c r="P8717">
        <v>27750000</v>
      </c>
      <c r="Q8717">
        <v>27750000</v>
      </c>
      <c r="R8717" s="14">
        <f>_xlfn.XLOOKUP(Table2[[#This Row],[LoanID]],Table1[G-L ID],Table1[ManagerCode],-99)</f>
        <v>119</v>
      </c>
      <c r="T8717"/>
    </row>
    <row r="8718" spans="1:20" x14ac:dyDescent="0.25">
      <c r="A8718">
        <v>20190430</v>
      </c>
      <c r="B8718">
        <v>2019</v>
      </c>
      <c r="C8718">
        <v>4</v>
      </c>
      <c r="D8718">
        <v>1</v>
      </c>
      <c r="E8718">
        <v>12610</v>
      </c>
      <c r="F8718">
        <v>92261.66</v>
      </c>
      <c r="G8718">
        <v>0</v>
      </c>
      <c r="H8718">
        <v>0</v>
      </c>
      <c r="I8718">
        <v>0</v>
      </c>
      <c r="J8718">
        <v>0</v>
      </c>
      <c r="K8718">
        <v>740123.37</v>
      </c>
      <c r="L8718">
        <v>10045348.66</v>
      </c>
      <c r="M8718">
        <v>9305225.2899999991</v>
      </c>
      <c r="N8718">
        <v>10045348.66</v>
      </c>
      <c r="O8718">
        <v>9305225.2899999991</v>
      </c>
      <c r="P8718">
        <v>10045348.66</v>
      </c>
      <c r="Q8718">
        <v>9305225.2899999991</v>
      </c>
      <c r="R8718" s="14">
        <f>_xlfn.XLOOKUP(Table2[[#This Row],[LoanID]],Table1[G-L ID],Table1[ManagerCode],-99)</f>
        <v>119</v>
      </c>
      <c r="T8718"/>
    </row>
    <row r="8719" spans="1:20" x14ac:dyDescent="0.25">
      <c r="A8719">
        <v>20190430</v>
      </c>
      <c r="B8719">
        <v>2019</v>
      </c>
      <c r="C8719">
        <v>4</v>
      </c>
      <c r="D8719">
        <v>1</v>
      </c>
      <c r="E8719">
        <v>12620</v>
      </c>
      <c r="F8719">
        <v>16712.64</v>
      </c>
      <c r="G8719">
        <v>0</v>
      </c>
      <c r="H8719">
        <v>0</v>
      </c>
      <c r="I8719">
        <v>0</v>
      </c>
      <c r="J8719">
        <v>0</v>
      </c>
      <c r="K8719">
        <v>0</v>
      </c>
      <c r="L8719">
        <v>1661094.29</v>
      </c>
      <c r="M8719">
        <v>1661094.29</v>
      </c>
      <c r="N8719">
        <v>1661094.29</v>
      </c>
      <c r="O8719">
        <v>1661094.29</v>
      </c>
      <c r="P8719">
        <v>1661094.29</v>
      </c>
      <c r="Q8719">
        <v>1661094.29</v>
      </c>
      <c r="R8719" s="14">
        <f>_xlfn.XLOOKUP(Table2[[#This Row],[LoanID]],Table1[G-L ID],Table1[ManagerCode],-99)</f>
        <v>119</v>
      </c>
      <c r="T8719"/>
    </row>
    <row r="8720" spans="1:20" x14ac:dyDescent="0.25">
      <c r="A8720">
        <v>20190430</v>
      </c>
      <c r="B8720">
        <v>2019</v>
      </c>
      <c r="C8720">
        <v>4</v>
      </c>
      <c r="D8720">
        <v>1</v>
      </c>
      <c r="E8720">
        <v>12630</v>
      </c>
      <c r="F8720">
        <v>125814.96</v>
      </c>
      <c r="G8720">
        <v>0</v>
      </c>
      <c r="H8720">
        <v>0</v>
      </c>
      <c r="I8720">
        <v>0</v>
      </c>
      <c r="J8720">
        <v>0</v>
      </c>
      <c r="K8720">
        <v>0</v>
      </c>
      <c r="L8720">
        <v>13290976.189999999</v>
      </c>
      <c r="M8720">
        <v>13290976.189999999</v>
      </c>
      <c r="N8720">
        <v>13290976.189999999</v>
      </c>
      <c r="O8720">
        <v>13290976.189999999</v>
      </c>
      <c r="P8720">
        <v>13290976.189999999</v>
      </c>
      <c r="Q8720">
        <v>13290976.189999999</v>
      </c>
      <c r="R8720" s="14">
        <f>_xlfn.XLOOKUP(Table2[[#This Row],[LoanID]],Table1[G-L ID],Table1[ManagerCode],-99)</f>
        <v>119</v>
      </c>
      <c r="T8720"/>
    </row>
    <row r="8721" spans="1:20" x14ac:dyDescent="0.25">
      <c r="A8721">
        <v>20190430</v>
      </c>
      <c r="B8721">
        <v>2019</v>
      </c>
      <c r="C8721">
        <v>4</v>
      </c>
      <c r="D8721">
        <v>1</v>
      </c>
      <c r="E8721">
        <v>12640</v>
      </c>
      <c r="F8721">
        <v>114302.41</v>
      </c>
      <c r="G8721">
        <v>0</v>
      </c>
      <c r="H8721">
        <v>0</v>
      </c>
      <c r="I8721">
        <v>0</v>
      </c>
      <c r="J8721">
        <v>0</v>
      </c>
      <c r="K8721">
        <v>3400000</v>
      </c>
      <c r="L8721">
        <v>12218849.08</v>
      </c>
      <c r="M8721">
        <v>8818849.0800000001</v>
      </c>
      <c r="N8721">
        <v>12218849.08</v>
      </c>
      <c r="O8721">
        <v>8818849.0800000001</v>
      </c>
      <c r="P8721">
        <v>12218849.08</v>
      </c>
      <c r="Q8721">
        <v>8818849.0800000001</v>
      </c>
      <c r="R8721" s="14">
        <f>_xlfn.XLOOKUP(Table2[[#This Row],[LoanID]],Table1[G-L ID],Table1[ManagerCode],-99)</f>
        <v>119</v>
      </c>
      <c r="T8721"/>
    </row>
    <row r="8722" spans="1:20" x14ac:dyDescent="0.25">
      <c r="A8722">
        <v>20190430</v>
      </c>
      <c r="B8722">
        <v>2019</v>
      </c>
      <c r="C8722">
        <v>4</v>
      </c>
      <c r="D8722">
        <v>1</v>
      </c>
      <c r="E8722">
        <v>12650</v>
      </c>
      <c r="F8722">
        <v>379807.32</v>
      </c>
      <c r="G8722">
        <v>0</v>
      </c>
      <c r="H8722">
        <v>0</v>
      </c>
      <c r="I8722">
        <v>0</v>
      </c>
      <c r="J8722">
        <v>0</v>
      </c>
      <c r="K8722">
        <v>0</v>
      </c>
      <c r="L8722">
        <v>123200000</v>
      </c>
      <c r="M8722">
        <v>123200000</v>
      </c>
      <c r="N8722">
        <v>49280000</v>
      </c>
      <c r="O8722">
        <v>49280000</v>
      </c>
      <c r="P8722">
        <v>123200000</v>
      </c>
      <c r="Q8722">
        <v>123200000</v>
      </c>
      <c r="R8722" s="14">
        <f>_xlfn.XLOOKUP(Table2[[#This Row],[LoanID]],Table1[G-L ID],Table1[ManagerCode],-99)</f>
        <v>183</v>
      </c>
      <c r="T8722"/>
    </row>
    <row r="8723" spans="1:20" x14ac:dyDescent="0.25">
      <c r="A8723">
        <v>20190430</v>
      </c>
      <c r="B8723">
        <v>2019</v>
      </c>
      <c r="C8723">
        <v>4</v>
      </c>
      <c r="D8723">
        <v>1</v>
      </c>
      <c r="E8723">
        <v>12660</v>
      </c>
      <c r="F8723">
        <v>124415.13</v>
      </c>
      <c r="G8723">
        <v>0</v>
      </c>
      <c r="H8723">
        <v>0</v>
      </c>
      <c r="I8723">
        <v>0</v>
      </c>
      <c r="J8723">
        <v>0</v>
      </c>
      <c r="K8723">
        <v>0</v>
      </c>
      <c r="L8723">
        <v>47000000</v>
      </c>
      <c r="M8723">
        <v>47000000</v>
      </c>
      <c r="N8723">
        <v>19000000</v>
      </c>
      <c r="O8723">
        <v>19000000</v>
      </c>
      <c r="P8723">
        <v>47000000</v>
      </c>
      <c r="Q8723">
        <v>47000000</v>
      </c>
      <c r="R8723" s="14">
        <f>_xlfn.XLOOKUP(Table2[[#This Row],[LoanID]],Table1[G-L ID],Table1[ManagerCode],-99)</f>
        <v>183</v>
      </c>
      <c r="T8723"/>
    </row>
    <row r="8724" spans="1:20" x14ac:dyDescent="0.25">
      <c r="A8724">
        <v>20190430</v>
      </c>
      <c r="B8724">
        <v>2019</v>
      </c>
      <c r="C8724">
        <v>4</v>
      </c>
      <c r="D8724">
        <v>1</v>
      </c>
      <c r="E8724">
        <v>12670</v>
      </c>
      <c r="F8724">
        <v>90326.25</v>
      </c>
      <c r="G8724">
        <v>0</v>
      </c>
      <c r="H8724">
        <v>0</v>
      </c>
      <c r="I8724">
        <v>0</v>
      </c>
      <c r="J8724">
        <v>0</v>
      </c>
      <c r="K8724">
        <v>-8250000</v>
      </c>
      <c r="L8724">
        <v>15500000</v>
      </c>
      <c r="M8724">
        <v>15500000</v>
      </c>
      <c r="N8724">
        <v>7250000</v>
      </c>
      <c r="O8724">
        <v>15500000</v>
      </c>
      <c r="P8724">
        <v>15500000</v>
      </c>
      <c r="Q8724">
        <v>15500000</v>
      </c>
      <c r="R8724" s="14">
        <f>_xlfn.XLOOKUP(Table2[[#This Row],[LoanID]],Table1[G-L ID],Table1[ManagerCode],-99)</f>
        <v>183</v>
      </c>
      <c r="T8724"/>
    </row>
    <row r="8725" spans="1:20" x14ac:dyDescent="0.25">
      <c r="A8725">
        <v>20190430</v>
      </c>
      <c r="B8725">
        <v>2019</v>
      </c>
      <c r="C8725">
        <v>4</v>
      </c>
      <c r="D8725">
        <v>1</v>
      </c>
      <c r="E8725">
        <v>12680</v>
      </c>
      <c r="F8725">
        <v>157140.59</v>
      </c>
      <c r="G8725">
        <v>0</v>
      </c>
      <c r="H8725">
        <v>0</v>
      </c>
      <c r="I8725">
        <v>0</v>
      </c>
      <c r="J8725">
        <v>0</v>
      </c>
      <c r="K8725">
        <v>0</v>
      </c>
      <c r="L8725">
        <v>16126000</v>
      </c>
      <c r="M8725">
        <v>16126000</v>
      </c>
      <c r="N8725">
        <v>16126000</v>
      </c>
      <c r="O8725">
        <v>16126000</v>
      </c>
      <c r="P8725">
        <v>16126000</v>
      </c>
      <c r="Q8725">
        <v>16126000</v>
      </c>
      <c r="R8725" s="14">
        <f>_xlfn.XLOOKUP(Table2[[#This Row],[LoanID]],Table1[G-L ID],Table1[ManagerCode],-99)</f>
        <v>119</v>
      </c>
      <c r="T8725"/>
    </row>
    <row r="8726" spans="1:20" x14ac:dyDescent="0.25">
      <c r="A8726">
        <v>20190430</v>
      </c>
      <c r="B8726">
        <v>2019</v>
      </c>
      <c r="C8726">
        <v>4</v>
      </c>
      <c r="D8726">
        <v>1</v>
      </c>
      <c r="E8726">
        <v>12690</v>
      </c>
      <c r="F8726">
        <v>99442.62</v>
      </c>
      <c r="G8726">
        <v>0</v>
      </c>
      <c r="H8726">
        <v>0</v>
      </c>
      <c r="I8726">
        <v>0</v>
      </c>
      <c r="J8726">
        <v>0</v>
      </c>
      <c r="K8726">
        <v>0</v>
      </c>
      <c r="L8726">
        <v>10175500</v>
      </c>
      <c r="M8726">
        <v>10175500</v>
      </c>
      <c r="N8726">
        <v>10175500</v>
      </c>
      <c r="O8726">
        <v>10175500</v>
      </c>
      <c r="P8726">
        <v>10175500</v>
      </c>
      <c r="Q8726">
        <v>10175500</v>
      </c>
      <c r="R8726" s="14">
        <f>_xlfn.XLOOKUP(Table2[[#This Row],[LoanID]],Table1[G-L ID],Table1[ManagerCode],-99)</f>
        <v>119</v>
      </c>
      <c r="T8726"/>
    </row>
    <row r="8727" spans="1:20" x14ac:dyDescent="0.25">
      <c r="A8727">
        <v>20190430</v>
      </c>
      <c r="B8727">
        <v>2019</v>
      </c>
      <c r="C8727">
        <v>4</v>
      </c>
      <c r="D8727">
        <v>1</v>
      </c>
      <c r="E8727">
        <v>12710</v>
      </c>
      <c r="F8727">
        <v>100818.01</v>
      </c>
      <c r="G8727">
        <v>0</v>
      </c>
      <c r="H8727">
        <v>0</v>
      </c>
      <c r="I8727">
        <v>0</v>
      </c>
      <c r="J8727">
        <v>0</v>
      </c>
      <c r="K8727">
        <v>1947795</v>
      </c>
      <c r="L8727">
        <v>9738975</v>
      </c>
      <c r="M8727">
        <v>7791180</v>
      </c>
      <c r="N8727">
        <v>9738975</v>
      </c>
      <c r="O8727">
        <v>7791180</v>
      </c>
      <c r="P8727">
        <v>9738975</v>
      </c>
      <c r="Q8727">
        <v>7791180</v>
      </c>
      <c r="R8727" s="14">
        <f>_xlfn.XLOOKUP(Table2[[#This Row],[LoanID]],Table1[G-L ID],Table1[ManagerCode],-99)</f>
        <v>119</v>
      </c>
      <c r="T8727"/>
    </row>
    <row r="8728" spans="1:20" x14ac:dyDescent="0.25">
      <c r="A8728">
        <v>20190430</v>
      </c>
      <c r="B8728">
        <v>2019</v>
      </c>
      <c r="C8728">
        <v>4</v>
      </c>
      <c r="D8728">
        <v>1</v>
      </c>
      <c r="E8728">
        <v>12720</v>
      </c>
      <c r="F8728">
        <v>544576.85</v>
      </c>
      <c r="G8728">
        <v>0</v>
      </c>
      <c r="H8728">
        <v>0</v>
      </c>
      <c r="I8728">
        <v>0</v>
      </c>
      <c r="J8728">
        <v>-569618.12</v>
      </c>
      <c r="K8728">
        <v>0</v>
      </c>
      <c r="L8728">
        <v>194116144.09999999</v>
      </c>
      <c r="M8728">
        <v>194685762.19999999</v>
      </c>
      <c r="N8728">
        <v>92235144.099999994</v>
      </c>
      <c r="O8728">
        <v>92804762.200000003</v>
      </c>
      <c r="P8728">
        <v>194116144.09999999</v>
      </c>
      <c r="Q8728">
        <v>194685762.19999999</v>
      </c>
      <c r="R8728" s="14">
        <f>_xlfn.XLOOKUP(Table2[[#This Row],[LoanID]],Table1[G-L ID],Table1[ManagerCode],-99)</f>
        <v>183</v>
      </c>
      <c r="T8728"/>
    </row>
    <row r="8729" spans="1:20" x14ac:dyDescent="0.25">
      <c r="A8729">
        <v>20190430</v>
      </c>
      <c r="B8729">
        <v>2019</v>
      </c>
      <c r="C8729">
        <v>4</v>
      </c>
      <c r="D8729">
        <v>1</v>
      </c>
      <c r="E8729">
        <v>12730</v>
      </c>
      <c r="F8729">
        <v>82269.399999999994</v>
      </c>
      <c r="G8729">
        <v>0</v>
      </c>
      <c r="H8729">
        <v>0</v>
      </c>
      <c r="I8729">
        <v>0</v>
      </c>
      <c r="J8729">
        <v>0</v>
      </c>
      <c r="K8729">
        <v>0</v>
      </c>
      <c r="L8729">
        <v>38460000</v>
      </c>
      <c r="M8729">
        <v>38460000</v>
      </c>
      <c r="N8729">
        <v>13460000</v>
      </c>
      <c r="O8729">
        <v>13460000</v>
      </c>
      <c r="P8729">
        <v>38460000</v>
      </c>
      <c r="Q8729">
        <v>38460000</v>
      </c>
      <c r="R8729" s="14">
        <f>_xlfn.XLOOKUP(Table2[[#This Row],[LoanID]],Table1[G-L ID],Table1[ManagerCode],-99)</f>
        <v>183</v>
      </c>
      <c r="T8729"/>
    </row>
    <row r="8730" spans="1:20" x14ac:dyDescent="0.25">
      <c r="A8730">
        <v>20190430</v>
      </c>
      <c r="B8730">
        <v>2019</v>
      </c>
      <c r="C8730">
        <v>4</v>
      </c>
      <c r="D8730">
        <v>1</v>
      </c>
      <c r="E8730">
        <v>12740</v>
      </c>
      <c r="F8730">
        <v>120325.08</v>
      </c>
      <c r="G8730">
        <v>69210.899999999994</v>
      </c>
      <c r="H8730">
        <v>0</v>
      </c>
      <c r="I8730">
        <v>0</v>
      </c>
      <c r="J8730">
        <v>-1187824.3999999999</v>
      </c>
      <c r="K8730">
        <v>0</v>
      </c>
      <c r="L8730">
        <v>24141540.25</v>
      </c>
      <c r="M8730">
        <v>25398575.550000001</v>
      </c>
      <c r="N8730">
        <v>24141540.25</v>
      </c>
      <c r="O8730">
        <v>25398575.550000001</v>
      </c>
      <c r="P8730">
        <v>24141540.25</v>
      </c>
      <c r="Q8730">
        <v>25398575.550000001</v>
      </c>
      <c r="R8730" s="14">
        <f>_xlfn.XLOOKUP(Table2[[#This Row],[LoanID]],Table1[G-L ID],Table1[ManagerCode],-99)</f>
        <v>183</v>
      </c>
      <c r="T8730"/>
    </row>
    <row r="8731" spans="1:20" x14ac:dyDescent="0.25">
      <c r="A8731">
        <v>20190430</v>
      </c>
      <c r="B8731">
        <v>2019</v>
      </c>
      <c r="C8731">
        <v>4</v>
      </c>
      <c r="D8731">
        <v>1</v>
      </c>
      <c r="E8731">
        <v>12930</v>
      </c>
      <c r="F8731">
        <v>180352.62</v>
      </c>
      <c r="G8731">
        <v>0</v>
      </c>
      <c r="H8731">
        <v>0</v>
      </c>
      <c r="I8731">
        <v>0</v>
      </c>
      <c r="J8731">
        <v>0</v>
      </c>
      <c r="K8731">
        <v>0</v>
      </c>
      <c r="L8731">
        <v>19000000</v>
      </c>
      <c r="M8731">
        <v>19000000</v>
      </c>
      <c r="N8731">
        <v>19000000</v>
      </c>
      <c r="O8731">
        <v>19000000</v>
      </c>
      <c r="P8731">
        <v>19000000</v>
      </c>
      <c r="Q8731">
        <v>19000000</v>
      </c>
      <c r="R8731" s="14">
        <f>_xlfn.XLOOKUP(Table2[[#This Row],[LoanID]],Table1[G-L ID],Table1[ManagerCode],-99)</f>
        <v>119</v>
      </c>
      <c r="T8731"/>
    </row>
    <row r="8732" spans="1:20" x14ac:dyDescent="0.25">
      <c r="A8732">
        <v>20190430</v>
      </c>
      <c r="B8732">
        <v>2019</v>
      </c>
      <c r="C8732">
        <v>4</v>
      </c>
      <c r="D8732">
        <v>1</v>
      </c>
      <c r="E8732">
        <v>12940</v>
      </c>
      <c r="F8732">
        <v>182537.28</v>
      </c>
      <c r="G8732">
        <v>0</v>
      </c>
      <c r="H8732">
        <v>0</v>
      </c>
      <c r="I8732">
        <v>0</v>
      </c>
      <c r="J8732">
        <v>0</v>
      </c>
      <c r="K8732">
        <v>0</v>
      </c>
      <c r="L8732">
        <v>19795866.109999999</v>
      </c>
      <c r="M8732">
        <v>19795866.109999999</v>
      </c>
      <c r="N8732">
        <v>19795866.109999999</v>
      </c>
      <c r="O8732">
        <v>19795866.109999999</v>
      </c>
      <c r="P8732">
        <v>19795866.109999999</v>
      </c>
      <c r="Q8732">
        <v>19795866.109999999</v>
      </c>
      <c r="R8732" s="14">
        <f>_xlfn.XLOOKUP(Table2[[#This Row],[LoanID]],Table1[G-L ID],Table1[ManagerCode],-99)</f>
        <v>119</v>
      </c>
      <c r="T8732"/>
    </row>
    <row r="8733" spans="1:20" x14ac:dyDescent="0.25">
      <c r="A8733">
        <v>20190430</v>
      </c>
      <c r="B8733">
        <v>2019</v>
      </c>
      <c r="C8733">
        <v>4</v>
      </c>
      <c r="D8733">
        <v>1</v>
      </c>
      <c r="E8733">
        <v>12950</v>
      </c>
      <c r="F8733">
        <v>243730.62</v>
      </c>
      <c r="G8733">
        <v>0</v>
      </c>
      <c r="H8733">
        <v>0</v>
      </c>
      <c r="I8733">
        <v>0</v>
      </c>
      <c r="J8733">
        <v>-109716.63</v>
      </c>
      <c r="K8733">
        <v>0</v>
      </c>
      <c r="L8733">
        <v>26732750</v>
      </c>
      <c r="M8733">
        <v>26842466.629999999</v>
      </c>
      <c r="N8733">
        <v>26732750</v>
      </c>
      <c r="O8733">
        <v>26842466.629999999</v>
      </c>
      <c r="P8733">
        <v>26732750</v>
      </c>
      <c r="Q8733">
        <v>26842466.629999999</v>
      </c>
      <c r="R8733" s="14">
        <f>_xlfn.XLOOKUP(Table2[[#This Row],[LoanID]],Table1[G-L ID],Table1[ManagerCode],-99)</f>
        <v>119</v>
      </c>
      <c r="T8733"/>
    </row>
    <row r="8734" spans="1:20" x14ac:dyDescent="0.25">
      <c r="A8734">
        <v>20190430</v>
      </c>
      <c r="B8734">
        <v>2019</v>
      </c>
      <c r="C8734">
        <v>4</v>
      </c>
      <c r="D8734">
        <v>1</v>
      </c>
      <c r="E8734">
        <v>12960</v>
      </c>
      <c r="F8734">
        <v>85560.22</v>
      </c>
      <c r="G8734">
        <v>0</v>
      </c>
      <c r="H8734">
        <v>0</v>
      </c>
      <c r="I8734">
        <v>0</v>
      </c>
      <c r="J8734">
        <v>0</v>
      </c>
      <c r="K8734">
        <v>210247.28</v>
      </c>
      <c r="L8734">
        <v>9130329.7100000009</v>
      </c>
      <c r="M8734">
        <v>8920082.4299999997</v>
      </c>
      <c r="N8734">
        <v>9130329.7100000009</v>
      </c>
      <c r="O8734">
        <v>8920082.4299999997</v>
      </c>
      <c r="P8734">
        <v>9130329.7100000009</v>
      </c>
      <c r="Q8734">
        <v>8920082.4299999997</v>
      </c>
      <c r="R8734" s="14">
        <f>_xlfn.XLOOKUP(Table2[[#This Row],[LoanID]],Table1[G-L ID],Table1[ManagerCode],-99)</f>
        <v>119</v>
      </c>
      <c r="T8734"/>
    </row>
    <row r="8735" spans="1:20" x14ac:dyDescent="0.25">
      <c r="A8735">
        <v>20190430</v>
      </c>
      <c r="B8735">
        <v>2019</v>
      </c>
      <c r="C8735">
        <v>4</v>
      </c>
      <c r="D8735">
        <v>1</v>
      </c>
      <c r="E8735">
        <v>12970</v>
      </c>
      <c r="F8735">
        <v>101178.18</v>
      </c>
      <c r="G8735">
        <v>0</v>
      </c>
      <c r="H8735">
        <v>0</v>
      </c>
      <c r="I8735">
        <v>0</v>
      </c>
      <c r="J8735">
        <v>0</v>
      </c>
      <c r="K8735">
        <v>0</v>
      </c>
      <c r="L8735">
        <v>10007439.51</v>
      </c>
      <c r="M8735">
        <v>10007439.51</v>
      </c>
      <c r="N8735">
        <v>10007439.51</v>
      </c>
      <c r="O8735">
        <v>10007439.51</v>
      </c>
      <c r="P8735">
        <v>10007439.51</v>
      </c>
      <c r="Q8735">
        <v>10007439.51</v>
      </c>
      <c r="R8735" s="14">
        <f>_xlfn.XLOOKUP(Table2[[#This Row],[LoanID]],Table1[G-L ID],Table1[ManagerCode],-99)</f>
        <v>119</v>
      </c>
      <c r="T8735"/>
    </row>
    <row r="8736" spans="1:20" x14ac:dyDescent="0.25">
      <c r="A8736">
        <v>20190430</v>
      </c>
      <c r="B8736">
        <v>2019</v>
      </c>
      <c r="C8736">
        <v>4</v>
      </c>
      <c r="D8736">
        <v>1</v>
      </c>
      <c r="E8736">
        <v>12980</v>
      </c>
      <c r="F8736">
        <v>148994.23000000001</v>
      </c>
      <c r="G8736">
        <v>0</v>
      </c>
      <c r="H8736">
        <v>0</v>
      </c>
      <c r="I8736">
        <v>0</v>
      </c>
      <c r="J8736">
        <v>0</v>
      </c>
      <c r="K8736">
        <v>0</v>
      </c>
      <c r="L8736">
        <v>13750000</v>
      </c>
      <c r="M8736">
        <v>13750000</v>
      </c>
      <c r="N8736">
        <v>13750000</v>
      </c>
      <c r="O8736">
        <v>13750000</v>
      </c>
      <c r="P8736">
        <v>13750000</v>
      </c>
      <c r="Q8736">
        <v>13750000</v>
      </c>
      <c r="R8736" s="14">
        <f>_xlfn.XLOOKUP(Table2[[#This Row],[LoanID]],Table1[G-L ID],Table1[ManagerCode],-99)</f>
        <v>119</v>
      </c>
      <c r="T8736"/>
    </row>
    <row r="8737" spans="1:20" x14ac:dyDescent="0.25">
      <c r="A8737">
        <v>20190430</v>
      </c>
      <c r="B8737">
        <v>2019</v>
      </c>
      <c r="C8737">
        <v>4</v>
      </c>
      <c r="D8737">
        <v>1</v>
      </c>
      <c r="E8737">
        <v>12990</v>
      </c>
      <c r="F8737">
        <v>264385.15000000002</v>
      </c>
      <c r="G8737">
        <v>0</v>
      </c>
      <c r="H8737">
        <v>0</v>
      </c>
      <c r="I8737">
        <v>0</v>
      </c>
      <c r="J8737">
        <v>-178540.28</v>
      </c>
      <c r="K8737">
        <v>0</v>
      </c>
      <c r="L8737">
        <v>29074613.27</v>
      </c>
      <c r="M8737">
        <v>29253153.550000001</v>
      </c>
      <c r="N8737">
        <v>29074613.27</v>
      </c>
      <c r="O8737">
        <v>29253153.550000001</v>
      </c>
      <c r="P8737">
        <v>29074613.27</v>
      </c>
      <c r="Q8737">
        <v>29253153.550000001</v>
      </c>
      <c r="R8737" s="14">
        <f>_xlfn.XLOOKUP(Table2[[#This Row],[LoanID]],Table1[G-L ID],Table1[ManagerCode],-99)</f>
        <v>119</v>
      </c>
      <c r="T8737"/>
    </row>
    <row r="8738" spans="1:20" x14ac:dyDescent="0.25">
      <c r="A8738">
        <v>20190430</v>
      </c>
      <c r="B8738">
        <v>2019</v>
      </c>
      <c r="C8738">
        <v>4</v>
      </c>
      <c r="D8738">
        <v>1</v>
      </c>
      <c r="E8738">
        <v>13000</v>
      </c>
      <c r="F8738">
        <v>137348.9</v>
      </c>
      <c r="G8738">
        <v>564341.69999999995</v>
      </c>
      <c r="H8738">
        <v>0</v>
      </c>
      <c r="I8738">
        <v>0</v>
      </c>
      <c r="J8738">
        <v>-137348.9</v>
      </c>
      <c r="K8738">
        <v>0</v>
      </c>
      <c r="L8738">
        <v>37914782</v>
      </c>
      <c r="M8738">
        <v>38618106</v>
      </c>
      <c r="N8738">
        <v>37914782</v>
      </c>
      <c r="O8738">
        <v>38618106</v>
      </c>
      <c r="P8738">
        <v>41220043.539999999</v>
      </c>
      <c r="Q8738">
        <v>41921734.140000001</v>
      </c>
      <c r="R8738" s="14">
        <f>_xlfn.XLOOKUP(Table2[[#This Row],[LoanID]],Table1[G-L ID],Table1[ManagerCode],-99)</f>
        <v>103</v>
      </c>
      <c r="T8738"/>
    </row>
    <row r="8739" spans="1:20" x14ac:dyDescent="0.25">
      <c r="A8739">
        <v>20190430</v>
      </c>
      <c r="B8739">
        <v>2019</v>
      </c>
      <c r="C8739">
        <v>4</v>
      </c>
      <c r="D8739">
        <v>1</v>
      </c>
      <c r="E8739">
        <v>13010</v>
      </c>
      <c r="F8739">
        <v>1400000</v>
      </c>
      <c r="G8739">
        <v>0</v>
      </c>
      <c r="H8739">
        <v>0</v>
      </c>
      <c r="I8739">
        <v>0</v>
      </c>
      <c r="J8739">
        <v>0</v>
      </c>
      <c r="K8739">
        <v>0</v>
      </c>
      <c r="L8739">
        <v>199500200</v>
      </c>
      <c r="M8739">
        <v>199500200</v>
      </c>
      <c r="N8739">
        <v>199500200</v>
      </c>
      <c r="O8739">
        <v>199500200</v>
      </c>
      <c r="P8739">
        <v>210000000</v>
      </c>
      <c r="Q8739">
        <v>210000000</v>
      </c>
      <c r="R8739" s="14">
        <f>_xlfn.XLOOKUP(Table2[[#This Row],[LoanID]],Table1[G-L ID],Table1[ManagerCode],-99)</f>
        <v>103</v>
      </c>
      <c r="T8739"/>
    </row>
    <row r="8740" spans="1:20" x14ac:dyDescent="0.25">
      <c r="A8740">
        <v>20190430</v>
      </c>
      <c r="B8740">
        <v>2019</v>
      </c>
      <c r="C8740">
        <v>4</v>
      </c>
      <c r="D8740">
        <v>1</v>
      </c>
      <c r="E8740">
        <v>13020</v>
      </c>
      <c r="F8740">
        <v>215777.04</v>
      </c>
      <c r="G8740">
        <v>0</v>
      </c>
      <c r="H8740">
        <v>0</v>
      </c>
      <c r="I8740">
        <v>0</v>
      </c>
      <c r="J8740">
        <v>-215777.04</v>
      </c>
      <c r="K8740">
        <v>0</v>
      </c>
      <c r="L8740">
        <v>20881649.030000001</v>
      </c>
      <c r="M8740">
        <v>21097426.07</v>
      </c>
      <c r="N8740">
        <v>20881649.030000001</v>
      </c>
      <c r="O8740">
        <v>21097426.07</v>
      </c>
      <c r="P8740">
        <v>20881649.030000001</v>
      </c>
      <c r="Q8740">
        <v>21097426.07</v>
      </c>
      <c r="R8740" s="14">
        <f>_xlfn.XLOOKUP(Table2[[#This Row],[LoanID]],Table1[G-L ID],Table1[ManagerCode],-99)</f>
        <v>103</v>
      </c>
      <c r="T8740"/>
    </row>
    <row r="8741" spans="1:20" x14ac:dyDescent="0.25">
      <c r="A8741">
        <v>20190430</v>
      </c>
      <c r="B8741">
        <v>2019</v>
      </c>
      <c r="C8741">
        <v>4</v>
      </c>
      <c r="D8741">
        <v>1</v>
      </c>
      <c r="E8741">
        <v>13030</v>
      </c>
      <c r="F8741">
        <v>279550.44</v>
      </c>
      <c r="G8741">
        <v>0</v>
      </c>
      <c r="H8741">
        <v>0</v>
      </c>
      <c r="I8741">
        <v>0</v>
      </c>
      <c r="J8741">
        <v>0</v>
      </c>
      <c r="K8741">
        <v>0</v>
      </c>
      <c r="L8741">
        <v>114000000</v>
      </c>
      <c r="M8741">
        <v>114000000</v>
      </c>
      <c r="N8741">
        <v>51276576</v>
      </c>
      <c r="O8741">
        <v>51276576</v>
      </c>
      <c r="P8741">
        <v>114000000</v>
      </c>
      <c r="Q8741">
        <v>114000000</v>
      </c>
      <c r="R8741" s="14">
        <f>_xlfn.XLOOKUP(Table2[[#This Row],[LoanID]],Table1[G-L ID],Table1[ManagerCode],-99)</f>
        <v>183</v>
      </c>
      <c r="T8741"/>
    </row>
    <row r="8742" spans="1:20" x14ac:dyDescent="0.25">
      <c r="A8742">
        <v>20190430</v>
      </c>
      <c r="B8742">
        <v>2019</v>
      </c>
      <c r="C8742">
        <v>4</v>
      </c>
      <c r="D8742">
        <v>1</v>
      </c>
      <c r="E8742">
        <v>13040</v>
      </c>
      <c r="F8742">
        <v>75060.070000000007</v>
      </c>
      <c r="G8742">
        <v>0</v>
      </c>
      <c r="H8742">
        <v>0</v>
      </c>
      <c r="I8742">
        <v>0</v>
      </c>
      <c r="J8742">
        <v>-358623.16</v>
      </c>
      <c r="K8742">
        <v>0</v>
      </c>
      <c r="L8742">
        <v>33862500</v>
      </c>
      <c r="M8742">
        <v>34221123.159999996</v>
      </c>
      <c r="N8742">
        <v>13690113</v>
      </c>
      <c r="O8742">
        <v>14048736.16</v>
      </c>
      <c r="P8742">
        <v>33862500</v>
      </c>
      <c r="Q8742">
        <v>34221123.159999996</v>
      </c>
      <c r="R8742" s="14">
        <f>_xlfn.XLOOKUP(Table2[[#This Row],[LoanID]],Table1[G-L ID],Table1[ManagerCode],-99)</f>
        <v>183</v>
      </c>
      <c r="T8742"/>
    </row>
    <row r="8743" spans="1:20" x14ac:dyDescent="0.25">
      <c r="A8743">
        <v>20190430</v>
      </c>
      <c r="B8743">
        <v>2019</v>
      </c>
      <c r="C8743">
        <v>4</v>
      </c>
      <c r="D8743">
        <v>1</v>
      </c>
      <c r="E8743">
        <v>13050</v>
      </c>
      <c r="F8743">
        <v>74889.66</v>
      </c>
      <c r="G8743">
        <v>0</v>
      </c>
      <c r="H8743">
        <v>0</v>
      </c>
      <c r="I8743">
        <v>0</v>
      </c>
      <c r="J8743">
        <v>0</v>
      </c>
      <c r="K8743">
        <v>0</v>
      </c>
      <c r="L8743">
        <v>42575000</v>
      </c>
      <c r="M8743">
        <v>42575000</v>
      </c>
      <c r="N8743">
        <v>14901424</v>
      </c>
      <c r="O8743">
        <v>14901424</v>
      </c>
      <c r="P8743">
        <v>42575000</v>
      </c>
      <c r="Q8743">
        <v>42575000</v>
      </c>
      <c r="R8743" s="14">
        <f>_xlfn.XLOOKUP(Table2[[#This Row],[LoanID]],Table1[G-L ID],Table1[ManagerCode],-99)</f>
        <v>183</v>
      </c>
      <c r="T8743"/>
    </row>
    <row r="8744" spans="1:20" x14ac:dyDescent="0.25">
      <c r="A8744">
        <v>20190430</v>
      </c>
      <c r="B8744">
        <v>2019</v>
      </c>
      <c r="C8744">
        <v>4</v>
      </c>
      <c r="D8744">
        <v>1</v>
      </c>
      <c r="E8744">
        <v>13060</v>
      </c>
      <c r="F8744">
        <v>84718.68</v>
      </c>
      <c r="G8744">
        <v>0</v>
      </c>
      <c r="H8744">
        <v>0</v>
      </c>
      <c r="I8744">
        <v>0</v>
      </c>
      <c r="J8744">
        <v>0</v>
      </c>
      <c r="K8744">
        <v>0</v>
      </c>
      <c r="L8744">
        <v>42730506.350000001</v>
      </c>
      <c r="M8744">
        <v>42730506.350000001</v>
      </c>
      <c r="N8744">
        <v>17128944.350000001</v>
      </c>
      <c r="O8744">
        <v>17128944.350000001</v>
      </c>
      <c r="P8744">
        <v>42730506.350000001</v>
      </c>
      <c r="Q8744">
        <v>42730506.350000001</v>
      </c>
      <c r="R8744" s="14">
        <f>_xlfn.XLOOKUP(Table2[[#This Row],[LoanID]],Table1[G-L ID],Table1[ManagerCode],-99)</f>
        <v>183</v>
      </c>
      <c r="T8744"/>
    </row>
    <row r="8745" spans="1:20" x14ac:dyDescent="0.25">
      <c r="A8745">
        <v>20190430</v>
      </c>
      <c r="B8745">
        <v>2019</v>
      </c>
      <c r="C8745">
        <v>4</v>
      </c>
      <c r="D8745">
        <v>1</v>
      </c>
      <c r="E8745">
        <v>13070</v>
      </c>
      <c r="F8745">
        <v>346857.44</v>
      </c>
      <c r="G8745">
        <v>0</v>
      </c>
      <c r="H8745">
        <v>0</v>
      </c>
      <c r="I8745">
        <v>0</v>
      </c>
      <c r="J8745">
        <v>-2185102</v>
      </c>
      <c r="K8745">
        <v>0</v>
      </c>
      <c r="L8745">
        <v>84578370</v>
      </c>
      <c r="M8745">
        <v>86763472</v>
      </c>
      <c r="N8745">
        <v>44578370</v>
      </c>
      <c r="O8745">
        <v>46763472</v>
      </c>
      <c r="P8745">
        <v>84578370</v>
      </c>
      <c r="Q8745">
        <v>86763472</v>
      </c>
      <c r="R8745" s="14">
        <f>_xlfn.XLOOKUP(Table2[[#This Row],[LoanID]],Table1[G-L ID],Table1[ManagerCode],-99)</f>
        <v>183</v>
      </c>
      <c r="T8745"/>
    </row>
    <row r="8746" spans="1:20" x14ac:dyDescent="0.25">
      <c r="A8746">
        <v>20190430</v>
      </c>
      <c r="B8746">
        <v>2019</v>
      </c>
      <c r="C8746">
        <v>4</v>
      </c>
      <c r="D8746">
        <v>1</v>
      </c>
      <c r="E8746">
        <v>13080</v>
      </c>
      <c r="F8746">
        <v>82220.28</v>
      </c>
      <c r="G8746">
        <v>0</v>
      </c>
      <c r="H8746">
        <v>0</v>
      </c>
      <c r="I8746">
        <v>0</v>
      </c>
      <c r="J8746">
        <v>-7000000</v>
      </c>
      <c r="K8746">
        <v>0</v>
      </c>
      <c r="L8746">
        <v>36000000</v>
      </c>
      <c r="M8746">
        <v>43000000</v>
      </c>
      <c r="N8746">
        <v>14500000</v>
      </c>
      <c r="O8746">
        <v>21500000</v>
      </c>
      <c r="P8746">
        <v>36000000</v>
      </c>
      <c r="Q8746">
        <v>43000000</v>
      </c>
      <c r="R8746" s="14">
        <f>_xlfn.XLOOKUP(Table2[[#This Row],[LoanID]],Table1[G-L ID],Table1[ManagerCode],-99)</f>
        <v>183</v>
      </c>
      <c r="T8746"/>
    </row>
    <row r="8747" spans="1:20" x14ac:dyDescent="0.25">
      <c r="A8747">
        <v>20190430</v>
      </c>
      <c r="B8747">
        <v>2019</v>
      </c>
      <c r="C8747">
        <v>4</v>
      </c>
      <c r="D8747">
        <v>1</v>
      </c>
      <c r="E8747">
        <v>13090</v>
      </c>
      <c r="F8747">
        <v>112900</v>
      </c>
      <c r="G8747">
        <v>0</v>
      </c>
      <c r="H8747">
        <v>0</v>
      </c>
      <c r="I8747">
        <v>0</v>
      </c>
      <c r="J8747">
        <v>0</v>
      </c>
      <c r="K8747">
        <v>0</v>
      </c>
      <c r="L8747">
        <v>20000000</v>
      </c>
      <c r="M8747">
        <v>20000000</v>
      </c>
      <c r="N8747">
        <v>20000000</v>
      </c>
      <c r="O8747">
        <v>20000000</v>
      </c>
      <c r="P8747">
        <v>20000000</v>
      </c>
      <c r="Q8747">
        <v>20000000</v>
      </c>
      <c r="R8747" s="14">
        <f>_xlfn.XLOOKUP(Table2[[#This Row],[LoanID]],Table1[G-L ID],Table1[ManagerCode],-99)</f>
        <v>183</v>
      </c>
      <c r="T8747"/>
    </row>
    <row r="8748" spans="1:20" x14ac:dyDescent="0.25">
      <c r="A8748">
        <v>20190430</v>
      </c>
      <c r="B8748">
        <v>2019</v>
      </c>
      <c r="C8748">
        <v>4</v>
      </c>
      <c r="D8748">
        <v>1</v>
      </c>
      <c r="E8748">
        <v>13100</v>
      </c>
      <c r="F8748">
        <v>100935.25</v>
      </c>
      <c r="G8748">
        <v>0</v>
      </c>
      <c r="H8748">
        <v>0</v>
      </c>
      <c r="I8748">
        <v>0</v>
      </c>
      <c r="J8748">
        <v>0</v>
      </c>
      <c r="K8748">
        <v>0</v>
      </c>
      <c r="L8748">
        <v>31645000</v>
      </c>
      <c r="M8748">
        <v>31645000</v>
      </c>
      <c r="N8748">
        <v>14296600</v>
      </c>
      <c r="O8748">
        <v>14296600</v>
      </c>
      <c r="P8748">
        <v>31645000</v>
      </c>
      <c r="Q8748">
        <v>31645000</v>
      </c>
      <c r="R8748" s="14">
        <f>_xlfn.XLOOKUP(Table2[[#This Row],[LoanID]],Table1[G-L ID],Table1[ManagerCode],-99)</f>
        <v>183</v>
      </c>
      <c r="T8748"/>
    </row>
    <row r="8749" spans="1:20" x14ac:dyDescent="0.25">
      <c r="A8749">
        <v>20190430</v>
      </c>
      <c r="B8749">
        <v>2019</v>
      </c>
      <c r="C8749">
        <v>4</v>
      </c>
      <c r="D8749">
        <v>1</v>
      </c>
      <c r="E8749">
        <v>13110</v>
      </c>
      <c r="F8749">
        <v>92803.96</v>
      </c>
      <c r="G8749">
        <v>0</v>
      </c>
      <c r="H8749">
        <v>0</v>
      </c>
      <c r="I8749">
        <v>0</v>
      </c>
      <c r="J8749">
        <v>0</v>
      </c>
      <c r="K8749">
        <v>0</v>
      </c>
      <c r="L8749">
        <v>44000000</v>
      </c>
      <c r="M8749">
        <v>44000000</v>
      </c>
      <c r="N8749">
        <v>17723750</v>
      </c>
      <c r="O8749">
        <v>17723750</v>
      </c>
      <c r="P8749">
        <v>44000000</v>
      </c>
      <c r="Q8749">
        <v>44000000</v>
      </c>
      <c r="R8749" s="14">
        <f>_xlfn.XLOOKUP(Table2[[#This Row],[LoanID]],Table1[G-L ID],Table1[ManagerCode],-99)</f>
        <v>183</v>
      </c>
      <c r="T8749"/>
    </row>
    <row r="8750" spans="1:20" x14ac:dyDescent="0.25">
      <c r="A8750">
        <v>20190430</v>
      </c>
      <c r="B8750">
        <v>2019</v>
      </c>
      <c r="C8750">
        <v>4</v>
      </c>
      <c r="D8750">
        <v>1</v>
      </c>
      <c r="E8750">
        <v>13120</v>
      </c>
      <c r="F8750">
        <v>50766.48</v>
      </c>
      <c r="G8750">
        <v>0</v>
      </c>
      <c r="H8750">
        <v>0</v>
      </c>
      <c r="I8750">
        <v>0</v>
      </c>
      <c r="J8750">
        <v>0</v>
      </c>
      <c r="K8750">
        <v>0</v>
      </c>
      <c r="L8750">
        <v>27360000</v>
      </c>
      <c r="M8750">
        <v>27360000</v>
      </c>
      <c r="N8750">
        <v>9576000</v>
      </c>
      <c r="O8750">
        <v>9576000</v>
      </c>
      <c r="P8750">
        <v>27360000</v>
      </c>
      <c r="Q8750">
        <v>27360000</v>
      </c>
      <c r="R8750" s="14">
        <f>_xlfn.XLOOKUP(Table2[[#This Row],[LoanID]],Table1[G-L ID],Table1[ManagerCode],-99)</f>
        <v>183</v>
      </c>
      <c r="T8750"/>
    </row>
    <row r="8751" spans="1:20" x14ac:dyDescent="0.25">
      <c r="A8751">
        <v>20190430</v>
      </c>
      <c r="B8751">
        <v>2019</v>
      </c>
      <c r="C8751">
        <v>4</v>
      </c>
      <c r="D8751">
        <v>1</v>
      </c>
      <c r="E8751">
        <v>13130</v>
      </c>
      <c r="F8751">
        <v>421903.5</v>
      </c>
      <c r="G8751">
        <v>0</v>
      </c>
      <c r="H8751">
        <v>0</v>
      </c>
      <c r="I8751">
        <v>0</v>
      </c>
      <c r="J8751">
        <v>0</v>
      </c>
      <c r="K8751">
        <v>0</v>
      </c>
      <c r="L8751">
        <v>190400000</v>
      </c>
      <c r="M8751">
        <v>190400000</v>
      </c>
      <c r="N8751">
        <v>90400000</v>
      </c>
      <c r="O8751">
        <v>90400000</v>
      </c>
      <c r="P8751">
        <v>190400000</v>
      </c>
      <c r="Q8751">
        <v>190400000</v>
      </c>
      <c r="R8751" s="14">
        <f>_xlfn.XLOOKUP(Table2[[#This Row],[LoanID]],Table1[G-L ID],Table1[ManagerCode],-99)</f>
        <v>183</v>
      </c>
      <c r="T8751"/>
    </row>
    <row r="8752" spans="1:20" x14ac:dyDescent="0.25">
      <c r="A8752">
        <v>20190430</v>
      </c>
      <c r="B8752">
        <v>2019</v>
      </c>
      <c r="C8752">
        <v>4</v>
      </c>
      <c r="D8752">
        <v>1</v>
      </c>
      <c r="E8752">
        <v>13140</v>
      </c>
      <c r="F8752">
        <v>246020.11</v>
      </c>
      <c r="G8752">
        <v>0</v>
      </c>
      <c r="H8752">
        <v>0</v>
      </c>
      <c r="I8752">
        <v>0</v>
      </c>
      <c r="J8752">
        <v>-73234.03</v>
      </c>
      <c r="K8752">
        <v>0</v>
      </c>
      <c r="L8752">
        <v>62210000</v>
      </c>
      <c r="M8752">
        <v>62283234.030000001</v>
      </c>
      <c r="N8752">
        <v>62210000</v>
      </c>
      <c r="O8752">
        <v>62283234.030000001</v>
      </c>
      <c r="P8752">
        <v>62210000</v>
      </c>
      <c r="Q8752">
        <v>62283234.030000001</v>
      </c>
      <c r="R8752" s="14">
        <f>_xlfn.XLOOKUP(Table2[[#This Row],[LoanID]],Table1[G-L ID],Table1[ManagerCode],-99)</f>
        <v>183</v>
      </c>
      <c r="T8752"/>
    </row>
    <row r="8753" spans="1:20" x14ac:dyDescent="0.25">
      <c r="A8753">
        <v>20190430</v>
      </c>
      <c r="B8753">
        <v>2019</v>
      </c>
      <c r="C8753">
        <v>4</v>
      </c>
      <c r="D8753">
        <v>1</v>
      </c>
      <c r="E8753">
        <v>13150</v>
      </c>
      <c r="F8753">
        <v>160598.49</v>
      </c>
      <c r="G8753">
        <v>0</v>
      </c>
      <c r="H8753">
        <v>0</v>
      </c>
      <c r="I8753">
        <v>0</v>
      </c>
      <c r="J8753">
        <v>0</v>
      </c>
      <c r="K8753">
        <v>0</v>
      </c>
      <c r="L8753">
        <v>85580000</v>
      </c>
      <c r="M8753">
        <v>85580000</v>
      </c>
      <c r="N8753">
        <v>29953000</v>
      </c>
      <c r="O8753">
        <v>29953000</v>
      </c>
      <c r="P8753">
        <v>85580000</v>
      </c>
      <c r="Q8753">
        <v>85580000</v>
      </c>
      <c r="R8753" s="14">
        <f>_xlfn.XLOOKUP(Table2[[#This Row],[LoanID]],Table1[G-L ID],Table1[ManagerCode],-99)</f>
        <v>183</v>
      </c>
      <c r="T8753"/>
    </row>
    <row r="8754" spans="1:20" x14ac:dyDescent="0.25">
      <c r="A8754">
        <v>20190430</v>
      </c>
      <c r="B8754">
        <v>2019</v>
      </c>
      <c r="C8754">
        <v>4</v>
      </c>
      <c r="D8754">
        <v>1</v>
      </c>
      <c r="E8754">
        <v>13160</v>
      </c>
      <c r="F8754">
        <v>71574.38</v>
      </c>
      <c r="G8754">
        <v>0</v>
      </c>
      <c r="H8754">
        <v>0</v>
      </c>
      <c r="I8754">
        <v>0</v>
      </c>
      <c r="J8754">
        <v>0</v>
      </c>
      <c r="K8754">
        <v>0</v>
      </c>
      <c r="L8754">
        <v>33400000</v>
      </c>
      <c r="M8754">
        <v>33400000</v>
      </c>
      <c r="N8754">
        <v>13354858</v>
      </c>
      <c r="O8754">
        <v>13354858</v>
      </c>
      <c r="P8754">
        <v>33400000</v>
      </c>
      <c r="Q8754">
        <v>33400000</v>
      </c>
      <c r="R8754" s="14">
        <f>_xlfn.XLOOKUP(Table2[[#This Row],[LoanID]],Table1[G-L ID],Table1[ManagerCode],-99)</f>
        <v>183</v>
      </c>
      <c r="T8754"/>
    </row>
    <row r="8755" spans="1:20" x14ac:dyDescent="0.25">
      <c r="A8755">
        <v>20190430</v>
      </c>
      <c r="B8755">
        <v>2019</v>
      </c>
      <c r="C8755">
        <v>4</v>
      </c>
      <c r="D8755">
        <v>1</v>
      </c>
      <c r="E8755">
        <v>13170</v>
      </c>
      <c r="F8755">
        <v>146174.57999999999</v>
      </c>
      <c r="G8755">
        <v>0</v>
      </c>
      <c r="H8755">
        <v>0</v>
      </c>
      <c r="I8755">
        <v>0</v>
      </c>
      <c r="J8755">
        <v>0</v>
      </c>
      <c r="K8755">
        <v>0</v>
      </c>
      <c r="L8755">
        <v>50400000</v>
      </c>
      <c r="M8755">
        <v>50400000</v>
      </c>
      <c r="N8755">
        <v>17600000</v>
      </c>
      <c r="O8755">
        <v>17600000</v>
      </c>
      <c r="P8755">
        <v>50400000</v>
      </c>
      <c r="Q8755">
        <v>50400000</v>
      </c>
      <c r="R8755" s="14">
        <f>_xlfn.XLOOKUP(Table2[[#This Row],[LoanID]],Table1[G-L ID],Table1[ManagerCode],-99)</f>
        <v>183</v>
      </c>
      <c r="T8755"/>
    </row>
    <row r="8756" spans="1:20" x14ac:dyDescent="0.25">
      <c r="A8756">
        <v>20190430</v>
      </c>
      <c r="B8756">
        <v>2019</v>
      </c>
      <c r="C8756">
        <v>4</v>
      </c>
      <c r="D8756">
        <v>1</v>
      </c>
      <c r="E8756">
        <v>13180</v>
      </c>
      <c r="F8756">
        <v>81019.02</v>
      </c>
      <c r="G8756">
        <v>0</v>
      </c>
      <c r="H8756">
        <v>0</v>
      </c>
      <c r="I8756">
        <v>0</v>
      </c>
      <c r="J8756">
        <v>0</v>
      </c>
      <c r="K8756">
        <v>0</v>
      </c>
      <c r="L8756">
        <v>39780000</v>
      </c>
      <c r="M8756">
        <v>39780000</v>
      </c>
      <c r="N8756">
        <v>15930000</v>
      </c>
      <c r="O8756">
        <v>15930000</v>
      </c>
      <c r="P8756">
        <v>39780000</v>
      </c>
      <c r="Q8756">
        <v>39780000</v>
      </c>
      <c r="R8756" s="14">
        <f>_xlfn.XLOOKUP(Table2[[#This Row],[LoanID]],Table1[G-L ID],Table1[ManagerCode],-99)</f>
        <v>183</v>
      </c>
      <c r="T8756"/>
    </row>
    <row r="8757" spans="1:20" x14ac:dyDescent="0.25">
      <c r="A8757">
        <v>20190430</v>
      </c>
      <c r="B8757">
        <v>2019</v>
      </c>
      <c r="C8757">
        <v>4</v>
      </c>
      <c r="D8757">
        <v>1</v>
      </c>
      <c r="E8757">
        <v>13190</v>
      </c>
      <c r="F8757">
        <v>45619.98</v>
      </c>
      <c r="G8757">
        <v>49913.58</v>
      </c>
      <c r="H8757">
        <v>0</v>
      </c>
      <c r="I8757">
        <v>0</v>
      </c>
      <c r="J8757">
        <v>-861309.09</v>
      </c>
      <c r="K8757">
        <v>0</v>
      </c>
      <c r="L8757">
        <v>8771590.2799999993</v>
      </c>
      <c r="M8757">
        <v>9682812.9499999993</v>
      </c>
      <c r="N8757">
        <v>8771590.2799999993</v>
      </c>
      <c r="O8757">
        <v>9682812.9499999993</v>
      </c>
      <c r="P8757">
        <v>8771590.2799999993</v>
      </c>
      <c r="Q8757">
        <v>9682812.9499999993</v>
      </c>
      <c r="R8757" s="14">
        <f>_xlfn.XLOOKUP(Table2[[#This Row],[LoanID]],Table1[G-L ID],Table1[ManagerCode],-99)</f>
        <v>183</v>
      </c>
      <c r="T8757"/>
    </row>
    <row r="8758" spans="1:20" x14ac:dyDescent="0.25">
      <c r="A8758">
        <v>20190430</v>
      </c>
      <c r="B8758">
        <v>2019</v>
      </c>
      <c r="C8758">
        <v>4</v>
      </c>
      <c r="D8758">
        <v>1</v>
      </c>
      <c r="E8758">
        <v>13200</v>
      </c>
      <c r="F8758">
        <v>14026.31</v>
      </c>
      <c r="G8758">
        <v>16364.04</v>
      </c>
      <c r="H8758">
        <v>0</v>
      </c>
      <c r="I8758">
        <v>0</v>
      </c>
      <c r="J8758">
        <v>-816316.57</v>
      </c>
      <c r="K8758">
        <v>0</v>
      </c>
      <c r="L8758">
        <v>2330206.2400000002</v>
      </c>
      <c r="M8758">
        <v>3162886.85</v>
      </c>
      <c r="N8758">
        <v>2330206.2400000002</v>
      </c>
      <c r="O8758">
        <v>3162886.85</v>
      </c>
      <c r="P8758">
        <v>2330206.2400000002</v>
      </c>
      <c r="Q8758">
        <v>3162886.85</v>
      </c>
      <c r="R8758" s="14">
        <f>_xlfn.XLOOKUP(Table2[[#This Row],[LoanID]],Table1[G-L ID],Table1[ManagerCode],-99)</f>
        <v>183</v>
      </c>
      <c r="T8758"/>
    </row>
    <row r="8759" spans="1:20" x14ac:dyDescent="0.25">
      <c r="A8759">
        <v>20190430</v>
      </c>
      <c r="B8759">
        <v>2019</v>
      </c>
      <c r="C8759">
        <v>4</v>
      </c>
      <c r="D8759">
        <v>1</v>
      </c>
      <c r="E8759">
        <v>13210</v>
      </c>
      <c r="F8759">
        <v>0</v>
      </c>
      <c r="G8759">
        <v>75769.47</v>
      </c>
      <c r="H8759">
        <v>0</v>
      </c>
      <c r="I8759">
        <v>0</v>
      </c>
      <c r="J8759">
        <v>0</v>
      </c>
      <c r="K8759">
        <v>0</v>
      </c>
      <c r="L8759">
        <v>7652036.6100000003</v>
      </c>
      <c r="M8759">
        <v>7727806.0800000001</v>
      </c>
      <c r="N8759">
        <v>7652036.6100000003</v>
      </c>
      <c r="O8759">
        <v>7727806.0800000001</v>
      </c>
      <c r="P8759">
        <v>7652036.6100000003</v>
      </c>
      <c r="Q8759">
        <v>7727806.0800000001</v>
      </c>
      <c r="R8759" s="14">
        <f>_xlfn.XLOOKUP(Table2[[#This Row],[LoanID]],Table1[G-L ID],Table1[ManagerCode],-99)</f>
        <v>183</v>
      </c>
      <c r="T8759"/>
    </row>
    <row r="8760" spans="1:20" x14ac:dyDescent="0.25">
      <c r="A8760">
        <v>20190430</v>
      </c>
      <c r="B8760">
        <v>2019</v>
      </c>
      <c r="C8760">
        <v>4</v>
      </c>
      <c r="D8760">
        <v>1</v>
      </c>
      <c r="E8760">
        <v>13220</v>
      </c>
      <c r="F8760">
        <v>70806.3</v>
      </c>
      <c r="G8760">
        <v>460.67</v>
      </c>
      <c r="H8760">
        <v>0</v>
      </c>
      <c r="I8760">
        <v>0</v>
      </c>
      <c r="J8760">
        <v>0</v>
      </c>
      <c r="K8760">
        <v>5047.45</v>
      </c>
      <c r="L8760">
        <v>9319730.2100000009</v>
      </c>
      <c r="M8760">
        <v>9315143.4299999997</v>
      </c>
      <c r="N8760">
        <v>9319730.2100000009</v>
      </c>
      <c r="O8760">
        <v>9315143.4299999997</v>
      </c>
      <c r="P8760">
        <v>9228016.1400000006</v>
      </c>
      <c r="Q8760">
        <v>9223429.3599999994</v>
      </c>
      <c r="R8760" s="14">
        <f>_xlfn.XLOOKUP(Table2[[#This Row],[LoanID]],Table1[G-L ID],Table1[ManagerCode],-99)</f>
        <v>219</v>
      </c>
      <c r="T8760"/>
    </row>
    <row r="8761" spans="1:20" x14ac:dyDescent="0.25">
      <c r="A8761">
        <v>20190430</v>
      </c>
      <c r="B8761">
        <v>2019</v>
      </c>
      <c r="C8761">
        <v>4</v>
      </c>
      <c r="D8761">
        <v>1</v>
      </c>
      <c r="E8761">
        <v>13230</v>
      </c>
      <c r="F8761">
        <v>43180.75</v>
      </c>
      <c r="G8761">
        <v>0</v>
      </c>
      <c r="H8761">
        <v>0</v>
      </c>
      <c r="I8761">
        <v>0</v>
      </c>
      <c r="J8761">
        <v>0</v>
      </c>
      <c r="K8761">
        <v>0</v>
      </c>
      <c r="L8761">
        <v>6543875</v>
      </c>
      <c r="M8761">
        <v>6543875</v>
      </c>
      <c r="N8761">
        <v>6543875</v>
      </c>
      <c r="O8761">
        <v>6543875</v>
      </c>
      <c r="P8761">
        <v>6543875</v>
      </c>
      <c r="Q8761">
        <v>6543875</v>
      </c>
      <c r="R8761" s="14">
        <f>_xlfn.XLOOKUP(Table2[[#This Row],[LoanID]],Table1[G-L ID],Table1[ManagerCode],-99)</f>
        <v>219</v>
      </c>
      <c r="T8761"/>
    </row>
    <row r="8762" spans="1:20" x14ac:dyDescent="0.25">
      <c r="A8762">
        <v>20190430</v>
      </c>
      <c r="B8762">
        <v>2019</v>
      </c>
      <c r="C8762">
        <v>4</v>
      </c>
      <c r="D8762">
        <v>1</v>
      </c>
      <c r="E8762">
        <v>13240</v>
      </c>
      <c r="F8762">
        <v>74974.399999999994</v>
      </c>
      <c r="G8762">
        <v>1263.9000000000001</v>
      </c>
      <c r="H8762">
        <v>0</v>
      </c>
      <c r="I8762">
        <v>0</v>
      </c>
      <c r="J8762">
        <v>-112654.37</v>
      </c>
      <c r="K8762">
        <v>0</v>
      </c>
      <c r="L8762">
        <v>7706194.1299999999</v>
      </c>
      <c r="M8762">
        <v>7820112.4000000004</v>
      </c>
      <c r="N8762">
        <v>7706194.1299999999</v>
      </c>
      <c r="O8762">
        <v>7820112.4000000004</v>
      </c>
      <c r="P8762">
        <v>7706194.1299999999</v>
      </c>
      <c r="Q8762">
        <v>7820112.4000000004</v>
      </c>
      <c r="R8762" s="14">
        <f>_xlfn.XLOOKUP(Table2[[#This Row],[LoanID]],Table1[G-L ID],Table1[ManagerCode],-99)</f>
        <v>219</v>
      </c>
      <c r="T8762"/>
    </row>
    <row r="8763" spans="1:20" x14ac:dyDescent="0.25">
      <c r="A8763">
        <v>20190430</v>
      </c>
      <c r="B8763">
        <v>2019</v>
      </c>
      <c r="C8763">
        <v>4</v>
      </c>
      <c r="D8763">
        <v>1</v>
      </c>
      <c r="E8763">
        <v>13260</v>
      </c>
      <c r="F8763">
        <v>188668.89</v>
      </c>
      <c r="G8763">
        <v>-4645.5600000000004</v>
      </c>
      <c r="H8763">
        <v>0</v>
      </c>
      <c r="I8763">
        <v>0</v>
      </c>
      <c r="J8763">
        <v>0</v>
      </c>
      <c r="K8763">
        <v>0</v>
      </c>
      <c r="L8763">
        <v>20105237.449999999</v>
      </c>
      <c r="M8763">
        <v>20100591.890000001</v>
      </c>
      <c r="N8763">
        <v>20105237.449999999</v>
      </c>
      <c r="O8763">
        <v>20100591.890000001</v>
      </c>
      <c r="P8763">
        <v>20105237.449999999</v>
      </c>
      <c r="Q8763">
        <v>20100591.890000001</v>
      </c>
      <c r="R8763" s="14">
        <f>_xlfn.XLOOKUP(Table2[[#This Row],[LoanID]],Table1[G-L ID],Table1[ManagerCode],-99)</f>
        <v>219</v>
      </c>
      <c r="T8763"/>
    </row>
    <row r="8764" spans="1:20" x14ac:dyDescent="0.25">
      <c r="A8764">
        <v>20190430</v>
      </c>
      <c r="B8764">
        <v>2019</v>
      </c>
      <c r="C8764">
        <v>4</v>
      </c>
      <c r="D8764">
        <v>1</v>
      </c>
      <c r="E8764">
        <v>13270</v>
      </c>
      <c r="F8764">
        <v>160526.39000000001</v>
      </c>
      <c r="G8764">
        <v>-4181.71</v>
      </c>
      <c r="H8764">
        <v>0</v>
      </c>
      <c r="I8764">
        <v>0</v>
      </c>
      <c r="J8764">
        <v>0</v>
      </c>
      <c r="K8764">
        <v>0</v>
      </c>
      <c r="L8764">
        <v>25110789.059999999</v>
      </c>
      <c r="M8764">
        <v>25106607.350000001</v>
      </c>
      <c r="N8764">
        <v>25110789.059999999</v>
      </c>
      <c r="O8764">
        <v>25106607.350000001</v>
      </c>
      <c r="P8764">
        <v>25110789.059999999</v>
      </c>
      <c r="Q8764">
        <v>25106607.350000001</v>
      </c>
      <c r="R8764" s="14">
        <f>_xlfn.XLOOKUP(Table2[[#This Row],[LoanID]],Table1[G-L ID],Table1[ManagerCode],-99)</f>
        <v>219</v>
      </c>
      <c r="T8764"/>
    </row>
    <row r="8765" spans="1:20" x14ac:dyDescent="0.25">
      <c r="A8765">
        <v>20190430</v>
      </c>
      <c r="B8765">
        <v>2019</v>
      </c>
      <c r="C8765">
        <v>4</v>
      </c>
      <c r="D8765">
        <v>1</v>
      </c>
      <c r="E8765">
        <v>13280</v>
      </c>
      <c r="F8765">
        <v>167917.71</v>
      </c>
      <c r="G8765">
        <v>-5417.71</v>
      </c>
      <c r="H8765">
        <v>0</v>
      </c>
      <c r="I8765">
        <v>0</v>
      </c>
      <c r="J8765">
        <v>0</v>
      </c>
      <c r="K8765">
        <v>0</v>
      </c>
      <c r="L8765">
        <v>20317917.91</v>
      </c>
      <c r="M8765">
        <v>20312500.199999999</v>
      </c>
      <c r="N8765">
        <v>20317917.91</v>
      </c>
      <c r="O8765">
        <v>20312500.199999999</v>
      </c>
      <c r="P8765">
        <v>20167917.710000001</v>
      </c>
      <c r="Q8765">
        <v>20162500</v>
      </c>
      <c r="R8765" s="14">
        <f>_xlfn.XLOOKUP(Table2[[#This Row],[LoanID]],Table1[G-L ID],Table1[ManagerCode],-99)</f>
        <v>219</v>
      </c>
      <c r="T8765"/>
    </row>
    <row r="8766" spans="1:20" x14ac:dyDescent="0.25">
      <c r="A8766">
        <v>20190430</v>
      </c>
      <c r="B8766">
        <v>2019</v>
      </c>
      <c r="C8766">
        <v>4</v>
      </c>
      <c r="D8766">
        <v>1</v>
      </c>
      <c r="E8766">
        <v>13290</v>
      </c>
      <c r="F8766">
        <v>151041.67000000001</v>
      </c>
      <c r="G8766">
        <v>0</v>
      </c>
      <c r="H8766">
        <v>0</v>
      </c>
      <c r="I8766">
        <v>0</v>
      </c>
      <c r="J8766">
        <v>0</v>
      </c>
      <c r="K8766">
        <v>0</v>
      </c>
      <c r="L8766">
        <v>20000000</v>
      </c>
      <c r="M8766">
        <v>20000000</v>
      </c>
      <c r="N8766">
        <v>20000000</v>
      </c>
      <c r="O8766">
        <v>20000000</v>
      </c>
      <c r="P8766">
        <v>20000000</v>
      </c>
      <c r="Q8766">
        <v>20000000</v>
      </c>
      <c r="R8766" s="14">
        <f>_xlfn.XLOOKUP(Table2[[#This Row],[LoanID]],Table1[G-L ID],Table1[ManagerCode],-99)</f>
        <v>219</v>
      </c>
      <c r="T8766"/>
    </row>
    <row r="8767" spans="1:20" x14ac:dyDescent="0.25">
      <c r="A8767">
        <v>20190430</v>
      </c>
      <c r="B8767">
        <v>2019</v>
      </c>
      <c r="C8767">
        <v>4</v>
      </c>
      <c r="D8767">
        <v>1</v>
      </c>
      <c r="E8767">
        <v>13300</v>
      </c>
      <c r="F8767">
        <v>215277.78</v>
      </c>
      <c r="G8767">
        <v>-6944.45</v>
      </c>
      <c r="H8767">
        <v>0</v>
      </c>
      <c r="I8767">
        <v>0</v>
      </c>
      <c r="J8767">
        <v>0</v>
      </c>
      <c r="K8767">
        <v>0</v>
      </c>
      <c r="L8767">
        <v>25215277.780000001</v>
      </c>
      <c r="M8767">
        <v>25208333.329999998</v>
      </c>
      <c r="N8767">
        <v>25215277.780000001</v>
      </c>
      <c r="O8767">
        <v>25208333.329999998</v>
      </c>
      <c r="P8767">
        <v>25215277.780000001</v>
      </c>
      <c r="Q8767">
        <v>25208333.329999998</v>
      </c>
      <c r="R8767" s="14">
        <f>_xlfn.XLOOKUP(Table2[[#This Row],[LoanID]],Table1[G-L ID],Table1[ManagerCode],-99)</f>
        <v>219</v>
      </c>
      <c r="T8767"/>
    </row>
    <row r="8768" spans="1:20" x14ac:dyDescent="0.25">
      <c r="A8768">
        <v>20190430</v>
      </c>
      <c r="B8768">
        <v>2019</v>
      </c>
      <c r="C8768">
        <v>4</v>
      </c>
      <c r="D8768">
        <v>1</v>
      </c>
      <c r="E8768">
        <v>13310</v>
      </c>
      <c r="F8768">
        <v>122411.97</v>
      </c>
      <c r="G8768">
        <v>0</v>
      </c>
      <c r="H8768">
        <v>0</v>
      </c>
      <c r="I8768">
        <v>0</v>
      </c>
      <c r="J8768">
        <v>0</v>
      </c>
      <c r="K8768">
        <v>0</v>
      </c>
      <c r="L8768">
        <v>15600000</v>
      </c>
      <c r="M8768">
        <v>15600000</v>
      </c>
      <c r="N8768">
        <v>15600000</v>
      </c>
      <c r="O8768">
        <v>15600000</v>
      </c>
      <c r="P8768">
        <v>15600000</v>
      </c>
      <c r="Q8768">
        <v>15600000</v>
      </c>
      <c r="R8768" s="14">
        <f>_xlfn.XLOOKUP(Table2[[#This Row],[LoanID]],Table1[G-L ID],Table1[ManagerCode],-99)</f>
        <v>119</v>
      </c>
      <c r="T8768"/>
    </row>
    <row r="8769" spans="1:20" x14ac:dyDescent="0.25">
      <c r="A8769">
        <v>20190430</v>
      </c>
      <c r="B8769">
        <v>2019</v>
      </c>
      <c r="C8769">
        <v>4</v>
      </c>
      <c r="D8769">
        <v>1</v>
      </c>
      <c r="E8769">
        <v>13320</v>
      </c>
      <c r="F8769">
        <v>147241.22</v>
      </c>
      <c r="G8769">
        <v>0</v>
      </c>
      <c r="H8769">
        <v>0</v>
      </c>
      <c r="I8769">
        <v>0</v>
      </c>
      <c r="J8769">
        <v>0</v>
      </c>
      <c r="K8769">
        <v>0</v>
      </c>
      <c r="L8769">
        <v>18600000</v>
      </c>
      <c r="M8769">
        <v>18600000</v>
      </c>
      <c r="N8769">
        <v>18600000</v>
      </c>
      <c r="O8769">
        <v>18600000</v>
      </c>
      <c r="P8769">
        <v>18600000</v>
      </c>
      <c r="Q8769">
        <v>18600000</v>
      </c>
      <c r="R8769" s="14">
        <f>_xlfn.XLOOKUP(Table2[[#This Row],[LoanID]],Table1[G-L ID],Table1[ManagerCode],-99)</f>
        <v>119</v>
      </c>
      <c r="T8769"/>
    </row>
    <row r="8770" spans="1:20" x14ac:dyDescent="0.25">
      <c r="A8770">
        <v>20190430</v>
      </c>
      <c r="B8770">
        <v>2019</v>
      </c>
      <c r="C8770">
        <v>4</v>
      </c>
      <c r="D8770">
        <v>1</v>
      </c>
      <c r="E8770">
        <v>13330</v>
      </c>
      <c r="F8770">
        <v>127046.61</v>
      </c>
      <c r="G8770">
        <v>0</v>
      </c>
      <c r="H8770">
        <v>0</v>
      </c>
      <c r="I8770">
        <v>0</v>
      </c>
      <c r="J8770">
        <v>0</v>
      </c>
      <c r="K8770">
        <v>0</v>
      </c>
      <c r="L8770">
        <v>14200000</v>
      </c>
      <c r="M8770">
        <v>14200000</v>
      </c>
      <c r="N8770">
        <v>14200000</v>
      </c>
      <c r="O8770">
        <v>14200000</v>
      </c>
      <c r="P8770">
        <v>14200000</v>
      </c>
      <c r="Q8770">
        <v>14200000</v>
      </c>
      <c r="R8770" s="14">
        <f>_xlfn.XLOOKUP(Table2[[#This Row],[LoanID]],Table1[G-L ID],Table1[ManagerCode],-99)</f>
        <v>119</v>
      </c>
      <c r="T8770"/>
    </row>
    <row r="8771" spans="1:20" x14ac:dyDescent="0.25">
      <c r="A8771">
        <v>20190430</v>
      </c>
      <c r="B8771">
        <v>2019</v>
      </c>
      <c r="C8771">
        <v>4</v>
      </c>
      <c r="D8771">
        <v>1</v>
      </c>
      <c r="E8771">
        <v>13340</v>
      </c>
      <c r="F8771">
        <v>194460.42</v>
      </c>
      <c r="G8771">
        <v>0</v>
      </c>
      <c r="H8771">
        <v>0</v>
      </c>
      <c r="I8771">
        <v>0</v>
      </c>
      <c r="J8771">
        <v>0</v>
      </c>
      <c r="K8771">
        <v>0</v>
      </c>
      <c r="L8771">
        <v>25000000</v>
      </c>
      <c r="M8771">
        <v>25000000</v>
      </c>
      <c r="N8771">
        <v>25000000</v>
      </c>
      <c r="O8771">
        <v>25000000</v>
      </c>
      <c r="P8771">
        <v>25000000</v>
      </c>
      <c r="Q8771">
        <v>25000000</v>
      </c>
      <c r="R8771" s="14">
        <f>_xlfn.XLOOKUP(Table2[[#This Row],[LoanID]],Table1[G-L ID],Table1[ManagerCode],-99)</f>
        <v>119</v>
      </c>
      <c r="T8771"/>
    </row>
    <row r="8772" spans="1:20" x14ac:dyDescent="0.25">
      <c r="A8772">
        <v>20190430</v>
      </c>
      <c r="B8772">
        <v>2019</v>
      </c>
      <c r="C8772">
        <v>4</v>
      </c>
      <c r="D8772">
        <v>1</v>
      </c>
      <c r="E8772">
        <v>13350</v>
      </c>
      <c r="F8772">
        <v>51872.06</v>
      </c>
      <c r="G8772">
        <v>0</v>
      </c>
      <c r="H8772">
        <v>0</v>
      </c>
      <c r="I8772">
        <v>0</v>
      </c>
      <c r="J8772">
        <v>0</v>
      </c>
      <c r="K8772">
        <v>0</v>
      </c>
      <c r="L8772">
        <v>6329715</v>
      </c>
      <c r="M8772">
        <v>6329715</v>
      </c>
      <c r="N8772">
        <v>6329715</v>
      </c>
      <c r="O8772">
        <v>6329715</v>
      </c>
      <c r="P8772">
        <v>6329715</v>
      </c>
      <c r="Q8772">
        <v>6329715</v>
      </c>
      <c r="R8772" s="14">
        <f>_xlfn.XLOOKUP(Table2[[#This Row],[LoanID]],Table1[G-L ID],Table1[ManagerCode],-99)</f>
        <v>119</v>
      </c>
      <c r="T8772"/>
    </row>
    <row r="8773" spans="1:20" x14ac:dyDescent="0.25">
      <c r="A8773">
        <v>20190430</v>
      </c>
      <c r="B8773">
        <v>2019</v>
      </c>
      <c r="C8773">
        <v>4</v>
      </c>
      <c r="D8773">
        <v>1</v>
      </c>
      <c r="E8773">
        <v>13360</v>
      </c>
      <c r="F8773">
        <v>273158.33</v>
      </c>
      <c r="G8773">
        <v>0</v>
      </c>
      <c r="H8773">
        <v>0</v>
      </c>
      <c r="I8773">
        <v>0</v>
      </c>
      <c r="J8773">
        <v>0</v>
      </c>
      <c r="K8773">
        <v>2489169.23</v>
      </c>
      <c r="L8773">
        <v>32682206.460000001</v>
      </c>
      <c r="M8773">
        <v>30193037.23</v>
      </c>
      <c r="N8773">
        <v>32682206.460000001</v>
      </c>
      <c r="O8773">
        <v>30193037.23</v>
      </c>
      <c r="P8773">
        <v>32682206.460000001</v>
      </c>
      <c r="Q8773">
        <v>30193037.23</v>
      </c>
      <c r="R8773" s="14">
        <f>_xlfn.XLOOKUP(Table2[[#This Row],[LoanID]],Table1[G-L ID],Table1[ManagerCode],-99)</f>
        <v>119</v>
      </c>
      <c r="T8773"/>
    </row>
    <row r="8774" spans="1:20" x14ac:dyDescent="0.25">
      <c r="A8774">
        <v>20190430</v>
      </c>
      <c r="B8774">
        <v>2019</v>
      </c>
      <c r="C8774">
        <v>4</v>
      </c>
      <c r="D8774">
        <v>1</v>
      </c>
      <c r="E8774">
        <v>13370</v>
      </c>
      <c r="F8774">
        <v>186257.58</v>
      </c>
      <c r="G8774">
        <v>0</v>
      </c>
      <c r="H8774">
        <v>0</v>
      </c>
      <c r="I8774">
        <v>0</v>
      </c>
      <c r="J8774">
        <v>0</v>
      </c>
      <c r="K8774">
        <v>0</v>
      </c>
      <c r="L8774">
        <v>42630000</v>
      </c>
      <c r="M8774">
        <v>42630000</v>
      </c>
      <c r="N8774">
        <v>42630000</v>
      </c>
      <c r="O8774">
        <v>42630000</v>
      </c>
      <c r="P8774">
        <v>42630000</v>
      </c>
      <c r="Q8774">
        <v>42630000</v>
      </c>
      <c r="R8774" s="14">
        <f>_xlfn.XLOOKUP(Table2[[#This Row],[LoanID]],Table1[G-L ID],Table1[ManagerCode],-99)</f>
        <v>183</v>
      </c>
      <c r="T8774"/>
    </row>
    <row r="8775" spans="1:20" x14ac:dyDescent="0.25">
      <c r="A8775">
        <v>20190430</v>
      </c>
      <c r="B8775">
        <v>2019</v>
      </c>
      <c r="C8775">
        <v>4</v>
      </c>
      <c r="D8775">
        <v>1</v>
      </c>
      <c r="E8775">
        <v>13380</v>
      </c>
      <c r="F8775">
        <v>64765.97</v>
      </c>
      <c r="G8775">
        <v>0</v>
      </c>
      <c r="H8775">
        <v>0</v>
      </c>
      <c r="I8775">
        <v>0</v>
      </c>
      <c r="J8775">
        <v>0</v>
      </c>
      <c r="K8775">
        <v>0</v>
      </c>
      <c r="L8775">
        <v>32000000</v>
      </c>
      <c r="M8775">
        <v>32000000</v>
      </c>
      <c r="N8775">
        <v>11200000</v>
      </c>
      <c r="O8775">
        <v>11200000</v>
      </c>
      <c r="P8775">
        <v>32000000</v>
      </c>
      <c r="Q8775">
        <v>32000000</v>
      </c>
      <c r="R8775" s="14">
        <f>_xlfn.XLOOKUP(Table2[[#This Row],[LoanID]],Table1[G-L ID],Table1[ManagerCode],-99)</f>
        <v>183</v>
      </c>
      <c r="T8775"/>
    </row>
    <row r="8776" spans="1:20" x14ac:dyDescent="0.25">
      <c r="A8776">
        <v>20190430</v>
      </c>
      <c r="B8776">
        <v>2019</v>
      </c>
      <c r="C8776">
        <v>4</v>
      </c>
      <c r="D8776">
        <v>1</v>
      </c>
      <c r="E8776">
        <v>13390</v>
      </c>
      <c r="F8776">
        <v>124734.23</v>
      </c>
      <c r="G8776">
        <v>0</v>
      </c>
      <c r="H8776">
        <v>0</v>
      </c>
      <c r="I8776">
        <v>0</v>
      </c>
      <c r="J8776">
        <v>0</v>
      </c>
      <c r="K8776">
        <v>0</v>
      </c>
      <c r="L8776">
        <v>48343461.420000002</v>
      </c>
      <c r="M8776">
        <v>48343461.420000002</v>
      </c>
      <c r="N8776">
        <v>19427384.420000002</v>
      </c>
      <c r="O8776">
        <v>19427384.420000002</v>
      </c>
      <c r="P8776">
        <v>48343461.420000002</v>
      </c>
      <c r="Q8776">
        <v>48343461.420000002</v>
      </c>
      <c r="R8776" s="14">
        <f>_xlfn.XLOOKUP(Table2[[#This Row],[LoanID]],Table1[G-L ID],Table1[ManagerCode],-99)</f>
        <v>183</v>
      </c>
      <c r="T8776"/>
    </row>
    <row r="8777" spans="1:20" x14ac:dyDescent="0.25">
      <c r="A8777">
        <v>20190430</v>
      </c>
      <c r="B8777">
        <v>2019</v>
      </c>
      <c r="C8777">
        <v>4</v>
      </c>
      <c r="D8777">
        <v>1</v>
      </c>
      <c r="E8777">
        <v>13400</v>
      </c>
      <c r="F8777">
        <v>66138.53</v>
      </c>
      <c r="G8777">
        <v>0</v>
      </c>
      <c r="H8777">
        <v>0</v>
      </c>
      <c r="I8777">
        <v>0</v>
      </c>
      <c r="J8777">
        <v>0</v>
      </c>
      <c r="K8777">
        <v>0</v>
      </c>
      <c r="L8777">
        <v>31750000</v>
      </c>
      <c r="M8777">
        <v>31750000</v>
      </c>
      <c r="N8777">
        <v>11112500</v>
      </c>
      <c r="O8777">
        <v>11112500</v>
      </c>
      <c r="P8777">
        <v>31750000</v>
      </c>
      <c r="Q8777">
        <v>31750000</v>
      </c>
      <c r="R8777" s="14">
        <f>_xlfn.XLOOKUP(Table2[[#This Row],[LoanID]],Table1[G-L ID],Table1[ManagerCode],-99)</f>
        <v>183</v>
      </c>
      <c r="T8777"/>
    </row>
    <row r="8778" spans="1:20" x14ac:dyDescent="0.25">
      <c r="A8778">
        <v>20190430</v>
      </c>
      <c r="B8778">
        <v>2019</v>
      </c>
      <c r="C8778">
        <v>4</v>
      </c>
      <c r="D8778">
        <v>1</v>
      </c>
      <c r="E8778">
        <v>13410</v>
      </c>
      <c r="F8778">
        <v>139985.35</v>
      </c>
      <c r="G8778">
        <v>0</v>
      </c>
      <c r="H8778">
        <v>0</v>
      </c>
      <c r="I8778">
        <v>0</v>
      </c>
      <c r="J8778">
        <v>0</v>
      </c>
      <c r="K8778">
        <v>0</v>
      </c>
      <c r="L8778">
        <v>32983000</v>
      </c>
      <c r="M8778">
        <v>32983000</v>
      </c>
      <c r="N8778">
        <v>32983000</v>
      </c>
      <c r="O8778">
        <v>32983000</v>
      </c>
      <c r="P8778">
        <v>32983000</v>
      </c>
      <c r="Q8778">
        <v>32983000</v>
      </c>
      <c r="R8778" s="14">
        <f>_xlfn.XLOOKUP(Table2[[#This Row],[LoanID]],Table1[G-L ID],Table1[ManagerCode],-99)</f>
        <v>183</v>
      </c>
      <c r="T8778"/>
    </row>
    <row r="8779" spans="1:20" x14ac:dyDescent="0.25">
      <c r="A8779">
        <v>20190430</v>
      </c>
      <c r="B8779">
        <v>2019</v>
      </c>
      <c r="C8779">
        <v>4</v>
      </c>
      <c r="D8779">
        <v>1</v>
      </c>
      <c r="E8779">
        <v>13420</v>
      </c>
      <c r="F8779">
        <v>124295.67</v>
      </c>
      <c r="G8779">
        <v>0</v>
      </c>
      <c r="H8779">
        <v>0</v>
      </c>
      <c r="I8779">
        <v>0</v>
      </c>
      <c r="J8779">
        <v>0</v>
      </c>
      <c r="K8779">
        <v>0</v>
      </c>
      <c r="L8779">
        <v>29872783</v>
      </c>
      <c r="M8779">
        <v>29872783</v>
      </c>
      <c r="N8779">
        <v>29872783</v>
      </c>
      <c r="O8779">
        <v>29872783</v>
      </c>
      <c r="P8779">
        <v>29872783</v>
      </c>
      <c r="Q8779">
        <v>29872783</v>
      </c>
      <c r="R8779" s="14">
        <f>_xlfn.XLOOKUP(Table2[[#This Row],[LoanID]],Table1[G-L ID],Table1[ManagerCode],-99)</f>
        <v>183</v>
      </c>
      <c r="T8779"/>
    </row>
    <row r="8780" spans="1:20" x14ac:dyDescent="0.25">
      <c r="A8780">
        <v>20190430</v>
      </c>
      <c r="B8780">
        <v>2019</v>
      </c>
      <c r="C8780">
        <v>4</v>
      </c>
      <c r="D8780">
        <v>1</v>
      </c>
      <c r="E8780">
        <v>13430</v>
      </c>
      <c r="F8780">
        <v>155596.21</v>
      </c>
      <c r="G8780">
        <v>0</v>
      </c>
      <c r="H8780">
        <v>0</v>
      </c>
      <c r="I8780">
        <v>0</v>
      </c>
      <c r="J8780">
        <v>0</v>
      </c>
      <c r="K8780">
        <v>0</v>
      </c>
      <c r="L8780">
        <v>75000000</v>
      </c>
      <c r="M8780">
        <v>75000000</v>
      </c>
      <c r="N8780">
        <v>30882353</v>
      </c>
      <c r="O8780">
        <v>30882353</v>
      </c>
      <c r="P8780">
        <v>75000000</v>
      </c>
      <c r="Q8780">
        <v>75000000</v>
      </c>
      <c r="R8780" s="14">
        <f>_xlfn.XLOOKUP(Table2[[#This Row],[LoanID]],Table1[G-L ID],Table1[ManagerCode],-99)</f>
        <v>183</v>
      </c>
      <c r="T8780"/>
    </row>
    <row r="8781" spans="1:20" x14ac:dyDescent="0.25">
      <c r="A8781">
        <v>20190430</v>
      </c>
      <c r="B8781">
        <v>2019</v>
      </c>
      <c r="C8781">
        <v>4</v>
      </c>
      <c r="D8781">
        <v>1</v>
      </c>
      <c r="E8781">
        <v>13440</v>
      </c>
      <c r="F8781">
        <v>0</v>
      </c>
      <c r="G8781">
        <v>112158.93</v>
      </c>
      <c r="H8781">
        <v>0</v>
      </c>
      <c r="I8781">
        <v>0</v>
      </c>
      <c r="J8781">
        <v>0</v>
      </c>
      <c r="K8781">
        <v>0</v>
      </c>
      <c r="L8781">
        <v>11331482.369999999</v>
      </c>
      <c r="M8781">
        <v>11443641.300000001</v>
      </c>
      <c r="N8781">
        <v>11331482.369999999</v>
      </c>
      <c r="O8781">
        <v>11443641.300000001</v>
      </c>
      <c r="P8781">
        <v>11331482.369999999</v>
      </c>
      <c r="Q8781">
        <v>11443641.300000001</v>
      </c>
      <c r="R8781" s="14">
        <f>_xlfn.XLOOKUP(Table2[[#This Row],[LoanID]],Table1[G-L ID],Table1[ManagerCode],-99)</f>
        <v>183</v>
      </c>
      <c r="T8781"/>
    </row>
    <row r="8782" spans="1:20" x14ac:dyDescent="0.25">
      <c r="A8782">
        <v>20190430</v>
      </c>
      <c r="B8782">
        <v>2019</v>
      </c>
      <c r="C8782">
        <v>4</v>
      </c>
      <c r="D8782">
        <v>1</v>
      </c>
      <c r="E8782">
        <v>13450</v>
      </c>
      <c r="F8782">
        <v>0</v>
      </c>
      <c r="G8782">
        <v>51100.5</v>
      </c>
      <c r="H8782">
        <v>0</v>
      </c>
      <c r="I8782">
        <v>0</v>
      </c>
      <c r="J8782">
        <v>-884460.59</v>
      </c>
      <c r="K8782">
        <v>0</v>
      </c>
      <c r="L8782">
        <v>4772556.26</v>
      </c>
      <c r="M8782">
        <v>5708117.3499999996</v>
      </c>
      <c r="N8782">
        <v>4772556.26</v>
      </c>
      <c r="O8782">
        <v>5708117.3499999996</v>
      </c>
      <c r="P8782">
        <v>4772556.26</v>
      </c>
      <c r="Q8782">
        <v>5708117.3499999996</v>
      </c>
      <c r="R8782" s="14">
        <f>_xlfn.XLOOKUP(Table2[[#This Row],[LoanID]],Table1[G-L ID],Table1[ManagerCode],-99)</f>
        <v>183</v>
      </c>
      <c r="T8782"/>
    </row>
    <row r="8783" spans="1:20" x14ac:dyDescent="0.25">
      <c r="A8783">
        <v>20190430</v>
      </c>
      <c r="B8783">
        <v>2019</v>
      </c>
      <c r="C8783">
        <v>4</v>
      </c>
      <c r="D8783">
        <v>1</v>
      </c>
      <c r="E8783">
        <v>13460</v>
      </c>
      <c r="F8783">
        <v>1856.84</v>
      </c>
      <c r="G8783">
        <v>2878.12</v>
      </c>
      <c r="H8783">
        <v>0</v>
      </c>
      <c r="I8783">
        <v>0</v>
      </c>
      <c r="J8783">
        <v>-466593</v>
      </c>
      <c r="K8783">
        <v>0</v>
      </c>
      <c r="L8783">
        <v>134828.38</v>
      </c>
      <c r="M8783">
        <v>604299.5</v>
      </c>
      <c r="N8783">
        <v>134828.38</v>
      </c>
      <c r="O8783">
        <v>604299.5</v>
      </c>
      <c r="P8783">
        <v>134828.38</v>
      </c>
      <c r="Q8783">
        <v>604299.5</v>
      </c>
      <c r="R8783" s="14">
        <f>_xlfn.XLOOKUP(Table2[[#This Row],[LoanID]],Table1[G-L ID],Table1[ManagerCode],-99)</f>
        <v>183</v>
      </c>
      <c r="T8783"/>
    </row>
    <row r="8784" spans="1:20" x14ac:dyDescent="0.25">
      <c r="A8784">
        <v>20190430</v>
      </c>
      <c r="B8784">
        <v>2019</v>
      </c>
      <c r="C8784">
        <v>4</v>
      </c>
      <c r="D8784">
        <v>1</v>
      </c>
      <c r="E8784">
        <v>13470</v>
      </c>
      <c r="F8784">
        <v>356553.82</v>
      </c>
      <c r="G8784">
        <v>0</v>
      </c>
      <c r="H8784">
        <v>0</v>
      </c>
      <c r="I8784">
        <v>0</v>
      </c>
      <c r="J8784">
        <v>0</v>
      </c>
      <c r="K8784">
        <v>0</v>
      </c>
      <c r="L8784">
        <v>62500000</v>
      </c>
      <c r="M8784">
        <v>62500000</v>
      </c>
      <c r="N8784">
        <v>62500000</v>
      </c>
      <c r="O8784">
        <v>62500000</v>
      </c>
      <c r="P8784">
        <v>62500000</v>
      </c>
      <c r="Q8784">
        <v>62500000</v>
      </c>
      <c r="R8784" s="14">
        <f>_xlfn.XLOOKUP(Table2[[#This Row],[LoanID]],Table1[G-L ID],Table1[ManagerCode],-99)</f>
        <v>165</v>
      </c>
      <c r="T8784"/>
    </row>
    <row r="8785" spans="1:20" x14ac:dyDescent="0.25">
      <c r="A8785">
        <v>20190430</v>
      </c>
      <c r="B8785">
        <v>2019</v>
      </c>
      <c r="C8785">
        <v>4</v>
      </c>
      <c r="D8785">
        <v>1</v>
      </c>
      <c r="E8785">
        <v>13480</v>
      </c>
      <c r="F8785">
        <v>250531.67</v>
      </c>
      <c r="G8785">
        <v>0</v>
      </c>
      <c r="H8785">
        <v>0</v>
      </c>
      <c r="I8785">
        <v>0</v>
      </c>
      <c r="J8785">
        <v>0</v>
      </c>
      <c r="K8785">
        <v>0</v>
      </c>
      <c r="L8785">
        <v>39000000</v>
      </c>
      <c r="M8785">
        <v>39000000</v>
      </c>
      <c r="N8785">
        <v>39000000</v>
      </c>
      <c r="O8785">
        <v>39000000</v>
      </c>
      <c r="P8785">
        <v>39000000</v>
      </c>
      <c r="Q8785">
        <v>39000000</v>
      </c>
      <c r="R8785" s="14">
        <f>_xlfn.XLOOKUP(Table2[[#This Row],[LoanID]],Table1[G-L ID],Table1[ManagerCode],-99)</f>
        <v>165</v>
      </c>
      <c r="T8785"/>
    </row>
    <row r="8786" spans="1:20" x14ac:dyDescent="0.25">
      <c r="A8786">
        <v>20190430</v>
      </c>
      <c r="B8786">
        <v>2019</v>
      </c>
      <c r="C8786">
        <v>4</v>
      </c>
      <c r="D8786">
        <v>1</v>
      </c>
      <c r="E8786">
        <v>13490</v>
      </c>
      <c r="F8786">
        <v>303800</v>
      </c>
      <c r="G8786">
        <v>0</v>
      </c>
      <c r="H8786">
        <v>0</v>
      </c>
      <c r="I8786">
        <v>0</v>
      </c>
      <c r="J8786">
        <v>0</v>
      </c>
      <c r="K8786">
        <v>0</v>
      </c>
      <c r="L8786">
        <v>40000000</v>
      </c>
      <c r="M8786">
        <v>40000000</v>
      </c>
      <c r="N8786">
        <v>40000000</v>
      </c>
      <c r="O8786">
        <v>40000000</v>
      </c>
      <c r="P8786">
        <v>40000000</v>
      </c>
      <c r="Q8786">
        <v>40000000</v>
      </c>
      <c r="R8786" s="14">
        <f>_xlfn.XLOOKUP(Table2[[#This Row],[LoanID]],Table1[G-L ID],Table1[ManagerCode],-99)</f>
        <v>165</v>
      </c>
      <c r="T8786"/>
    </row>
    <row r="8787" spans="1:20" x14ac:dyDescent="0.25">
      <c r="A8787">
        <v>20190430</v>
      </c>
      <c r="B8787">
        <v>2019</v>
      </c>
      <c r="C8787">
        <v>4</v>
      </c>
      <c r="D8787">
        <v>1</v>
      </c>
      <c r="E8787">
        <v>13500</v>
      </c>
      <c r="F8787">
        <v>283628.46999999997</v>
      </c>
      <c r="G8787">
        <v>0</v>
      </c>
      <c r="H8787">
        <v>0</v>
      </c>
      <c r="I8787">
        <v>0</v>
      </c>
      <c r="J8787">
        <v>0</v>
      </c>
      <c r="K8787">
        <v>0</v>
      </c>
      <c r="L8787">
        <v>42500000</v>
      </c>
      <c r="M8787">
        <v>42500000</v>
      </c>
      <c r="N8787">
        <v>42500000</v>
      </c>
      <c r="O8787">
        <v>42500000</v>
      </c>
      <c r="P8787">
        <v>42500000</v>
      </c>
      <c r="Q8787">
        <v>42500000</v>
      </c>
      <c r="R8787" s="14">
        <f>_xlfn.XLOOKUP(Table2[[#This Row],[LoanID]],Table1[G-L ID],Table1[ManagerCode],-99)</f>
        <v>165</v>
      </c>
      <c r="T8787"/>
    </row>
    <row r="8788" spans="1:20" x14ac:dyDescent="0.25">
      <c r="A8788">
        <v>20190430</v>
      </c>
      <c r="B8788">
        <v>2019</v>
      </c>
      <c r="C8788">
        <v>4</v>
      </c>
      <c r="D8788">
        <v>1</v>
      </c>
      <c r="E8788">
        <v>13510</v>
      </c>
      <c r="F8788">
        <v>310000</v>
      </c>
      <c r="G8788">
        <v>0</v>
      </c>
      <c r="H8788">
        <v>0</v>
      </c>
      <c r="I8788">
        <v>0</v>
      </c>
      <c r="J8788">
        <v>0</v>
      </c>
      <c r="K8788">
        <v>0</v>
      </c>
      <c r="L8788">
        <v>90000000</v>
      </c>
      <c r="M8788">
        <v>90000000</v>
      </c>
      <c r="N8788">
        <v>90000000</v>
      </c>
      <c r="O8788">
        <v>90000000</v>
      </c>
      <c r="P8788">
        <v>90000000</v>
      </c>
      <c r="Q8788">
        <v>90000000</v>
      </c>
      <c r="R8788" s="14">
        <f>_xlfn.XLOOKUP(Table2[[#This Row],[LoanID]],Table1[G-L ID],Table1[ManagerCode],-99)</f>
        <v>165</v>
      </c>
      <c r="T8788"/>
    </row>
    <row r="8789" spans="1:20" x14ac:dyDescent="0.25">
      <c r="A8789">
        <v>20190430</v>
      </c>
      <c r="B8789">
        <v>2019</v>
      </c>
      <c r="C8789">
        <v>4</v>
      </c>
      <c r="D8789">
        <v>1</v>
      </c>
      <c r="E8789">
        <v>13520</v>
      </c>
      <c r="F8789">
        <v>860572.92</v>
      </c>
      <c r="G8789">
        <v>0</v>
      </c>
      <c r="H8789">
        <v>0</v>
      </c>
      <c r="I8789">
        <v>0</v>
      </c>
      <c r="J8789">
        <v>0</v>
      </c>
      <c r="K8789">
        <v>0</v>
      </c>
      <c r="L8789">
        <v>195000000</v>
      </c>
      <c r="M8789">
        <v>195000000</v>
      </c>
      <c r="N8789">
        <v>195000000</v>
      </c>
      <c r="O8789">
        <v>195000000</v>
      </c>
      <c r="P8789">
        <v>195000000</v>
      </c>
      <c r="Q8789">
        <v>195000000</v>
      </c>
      <c r="R8789" s="14">
        <f>_xlfn.XLOOKUP(Table2[[#This Row],[LoanID]],Table1[G-L ID],Table1[ManagerCode],-99)</f>
        <v>165</v>
      </c>
      <c r="T8789"/>
    </row>
    <row r="8790" spans="1:20" x14ac:dyDescent="0.25">
      <c r="A8790">
        <v>20190430</v>
      </c>
      <c r="B8790">
        <v>2019</v>
      </c>
      <c r="C8790">
        <v>4</v>
      </c>
      <c r="D8790">
        <v>1</v>
      </c>
      <c r="E8790">
        <v>13530</v>
      </c>
      <c r="F8790">
        <v>403645.83</v>
      </c>
      <c r="G8790">
        <v>0</v>
      </c>
      <c r="H8790">
        <v>0</v>
      </c>
      <c r="I8790">
        <v>0</v>
      </c>
      <c r="J8790">
        <v>0</v>
      </c>
      <c r="K8790">
        <v>0</v>
      </c>
      <c r="L8790">
        <v>75000000</v>
      </c>
      <c r="M8790">
        <v>75000000</v>
      </c>
      <c r="N8790">
        <v>75000000</v>
      </c>
      <c r="O8790">
        <v>75000000</v>
      </c>
      <c r="P8790">
        <v>75000000</v>
      </c>
      <c r="Q8790">
        <v>75000000</v>
      </c>
      <c r="R8790" s="14">
        <f>_xlfn.XLOOKUP(Table2[[#This Row],[LoanID]],Table1[G-L ID],Table1[ManagerCode],-99)</f>
        <v>165</v>
      </c>
      <c r="T8790"/>
    </row>
    <row r="8791" spans="1:20" x14ac:dyDescent="0.25">
      <c r="A8791">
        <v>20190430</v>
      </c>
      <c r="B8791">
        <v>2019</v>
      </c>
      <c r="C8791">
        <v>4</v>
      </c>
      <c r="D8791">
        <v>1</v>
      </c>
      <c r="E8791">
        <v>13540</v>
      </c>
      <c r="F8791">
        <v>260818.91</v>
      </c>
      <c r="G8791">
        <v>0</v>
      </c>
      <c r="H8791">
        <v>0</v>
      </c>
      <c r="I8791">
        <v>0</v>
      </c>
      <c r="J8791">
        <v>0</v>
      </c>
      <c r="K8791">
        <v>129472.12</v>
      </c>
      <c r="L8791">
        <v>41777444.869999997</v>
      </c>
      <c r="M8791">
        <v>41647972.75</v>
      </c>
      <c r="N8791">
        <v>41777444.869999997</v>
      </c>
      <c r="O8791">
        <v>41647972.75</v>
      </c>
      <c r="P8791">
        <v>41777444.869999997</v>
      </c>
      <c r="Q8791">
        <v>41647972.75</v>
      </c>
      <c r="R8791" s="14">
        <f>_xlfn.XLOOKUP(Table2[[#This Row],[LoanID]],Table1[G-L ID],Table1[ManagerCode],-99)</f>
        <v>165</v>
      </c>
      <c r="T8791"/>
    </row>
    <row r="8792" spans="1:20" x14ac:dyDescent="0.25">
      <c r="A8792">
        <v>20190430</v>
      </c>
      <c r="B8792">
        <v>2019</v>
      </c>
      <c r="C8792">
        <v>4</v>
      </c>
      <c r="D8792">
        <v>1</v>
      </c>
      <c r="E8792">
        <v>13550</v>
      </c>
      <c r="F8792">
        <v>1682872.91</v>
      </c>
      <c r="G8792">
        <v>0</v>
      </c>
      <c r="H8792">
        <v>0</v>
      </c>
      <c r="I8792">
        <v>0</v>
      </c>
      <c r="J8792">
        <v>0</v>
      </c>
      <c r="K8792">
        <v>0</v>
      </c>
      <c r="L8792">
        <v>355328004.80000001</v>
      </c>
      <c r="M8792">
        <v>355328004.80000001</v>
      </c>
      <c r="N8792">
        <v>355328004.80000001</v>
      </c>
      <c r="O8792">
        <v>355328004.80000001</v>
      </c>
      <c r="P8792">
        <v>355328004.80000001</v>
      </c>
      <c r="Q8792">
        <v>355328004.80000001</v>
      </c>
      <c r="R8792" s="14">
        <f>_xlfn.XLOOKUP(Table2[[#This Row],[LoanID]],Table1[G-L ID],Table1[ManagerCode],-99)</f>
        <v>165</v>
      </c>
      <c r="T8792"/>
    </row>
    <row r="8793" spans="1:20" x14ac:dyDescent="0.25">
      <c r="A8793">
        <v>20190430</v>
      </c>
      <c r="B8793">
        <v>2019</v>
      </c>
      <c r="C8793">
        <v>4</v>
      </c>
      <c r="D8793">
        <v>1</v>
      </c>
      <c r="E8793">
        <v>13560</v>
      </c>
      <c r="F8793">
        <v>285098.33</v>
      </c>
      <c r="G8793">
        <v>325406.67</v>
      </c>
      <c r="H8793">
        <v>0</v>
      </c>
      <c r="I8793">
        <v>0</v>
      </c>
      <c r="J8793">
        <v>0</v>
      </c>
      <c r="K8793">
        <v>0</v>
      </c>
      <c r="L8793">
        <v>105000000</v>
      </c>
      <c r="M8793">
        <v>105325406.7</v>
      </c>
      <c r="N8793">
        <v>105000000</v>
      </c>
      <c r="O8793">
        <v>105325406.7</v>
      </c>
      <c r="P8793">
        <v>105000000</v>
      </c>
      <c r="Q8793">
        <v>105325406.7</v>
      </c>
      <c r="R8793" s="14">
        <f>_xlfn.XLOOKUP(Table2[[#This Row],[LoanID]],Table1[G-L ID],Table1[ManagerCode],-99)</f>
        <v>219</v>
      </c>
      <c r="T8793"/>
    </row>
    <row r="8794" spans="1:20" x14ac:dyDescent="0.25">
      <c r="A8794">
        <v>20190430</v>
      </c>
      <c r="B8794">
        <v>2019</v>
      </c>
      <c r="C8794">
        <v>4</v>
      </c>
      <c r="D8794">
        <v>1</v>
      </c>
      <c r="E8794">
        <v>13580</v>
      </c>
      <c r="F8794">
        <v>429479.17</v>
      </c>
      <c r="G8794">
        <v>0</v>
      </c>
      <c r="H8794">
        <v>0</v>
      </c>
      <c r="I8794">
        <v>0</v>
      </c>
      <c r="J8794">
        <v>0</v>
      </c>
      <c r="K8794">
        <v>0</v>
      </c>
      <c r="L8794">
        <v>63589308</v>
      </c>
      <c r="M8794">
        <v>63659867.219999999</v>
      </c>
      <c r="N8794">
        <v>63589308</v>
      </c>
      <c r="O8794">
        <v>63659867.219999999</v>
      </c>
      <c r="P8794">
        <v>66500000</v>
      </c>
      <c r="Q8794">
        <v>66500000</v>
      </c>
      <c r="R8794" s="14">
        <f>_xlfn.XLOOKUP(Table2[[#This Row],[LoanID]],Table1[G-L ID],Table1[ManagerCode],-99)</f>
        <v>298</v>
      </c>
      <c r="T8794"/>
    </row>
    <row r="8795" spans="1:20" x14ac:dyDescent="0.25">
      <c r="A8795">
        <v>20190430</v>
      </c>
      <c r="B8795">
        <v>2019</v>
      </c>
      <c r="C8795">
        <v>4</v>
      </c>
      <c r="D8795">
        <v>1</v>
      </c>
      <c r="E8795">
        <v>13590</v>
      </c>
      <c r="F8795">
        <v>309448.89</v>
      </c>
      <c r="G8795">
        <v>0</v>
      </c>
      <c r="H8795">
        <v>0</v>
      </c>
      <c r="I8795">
        <v>0</v>
      </c>
      <c r="J8795">
        <v>0</v>
      </c>
      <c r="K8795">
        <v>0</v>
      </c>
      <c r="L8795">
        <v>40000000</v>
      </c>
      <c r="M8795">
        <v>40000000</v>
      </c>
      <c r="N8795">
        <v>40000000</v>
      </c>
      <c r="O8795">
        <v>40000000</v>
      </c>
      <c r="P8795">
        <v>40000000</v>
      </c>
      <c r="Q8795">
        <v>40000000</v>
      </c>
      <c r="R8795" s="14">
        <f>_xlfn.XLOOKUP(Table2[[#This Row],[LoanID]],Table1[G-L ID],Table1[ManagerCode],-99)</f>
        <v>298</v>
      </c>
      <c r="T8795"/>
    </row>
    <row r="8796" spans="1:20" x14ac:dyDescent="0.25">
      <c r="A8796">
        <v>20190430</v>
      </c>
      <c r="B8796">
        <v>2019</v>
      </c>
      <c r="C8796">
        <v>4</v>
      </c>
      <c r="D8796">
        <v>1</v>
      </c>
      <c r="E8796">
        <v>13600</v>
      </c>
      <c r="F8796">
        <v>379029.03</v>
      </c>
      <c r="G8796">
        <v>0</v>
      </c>
      <c r="H8796">
        <v>0</v>
      </c>
      <c r="I8796">
        <v>0</v>
      </c>
      <c r="J8796">
        <v>0</v>
      </c>
      <c r="K8796">
        <v>0</v>
      </c>
      <c r="L8796">
        <v>45970000</v>
      </c>
      <c r="M8796">
        <v>45970000</v>
      </c>
      <c r="N8796">
        <v>45970000</v>
      </c>
      <c r="O8796">
        <v>45970000</v>
      </c>
      <c r="P8796">
        <v>45970000</v>
      </c>
      <c r="Q8796">
        <v>45970000</v>
      </c>
      <c r="R8796" s="14">
        <f>_xlfn.XLOOKUP(Table2[[#This Row],[LoanID]],Table1[G-L ID],Table1[ManagerCode],-99)</f>
        <v>298</v>
      </c>
      <c r="T8796"/>
    </row>
    <row r="8797" spans="1:20" x14ac:dyDescent="0.25">
      <c r="A8797">
        <v>20190430</v>
      </c>
      <c r="B8797">
        <v>2019</v>
      </c>
      <c r="C8797">
        <v>4</v>
      </c>
      <c r="D8797">
        <v>1</v>
      </c>
      <c r="E8797">
        <v>13610</v>
      </c>
      <c r="F8797">
        <v>63291.67</v>
      </c>
      <c r="G8797">
        <v>0</v>
      </c>
      <c r="H8797">
        <v>0</v>
      </c>
      <c r="I8797">
        <v>0</v>
      </c>
      <c r="J8797">
        <v>0</v>
      </c>
      <c r="K8797">
        <v>0</v>
      </c>
      <c r="L8797">
        <v>10542185</v>
      </c>
      <c r="M8797">
        <v>10542185</v>
      </c>
      <c r="N8797">
        <v>10542185</v>
      </c>
      <c r="O8797">
        <v>10542185</v>
      </c>
      <c r="P8797">
        <v>10500000</v>
      </c>
      <c r="Q8797">
        <v>10500000</v>
      </c>
      <c r="R8797" s="14">
        <f>_xlfn.XLOOKUP(Table2[[#This Row],[LoanID]],Table1[G-L ID],Table1[ManagerCode],-99)</f>
        <v>298</v>
      </c>
      <c r="T8797"/>
    </row>
    <row r="8798" spans="1:20" x14ac:dyDescent="0.25">
      <c r="A8798">
        <v>20190430</v>
      </c>
      <c r="B8798">
        <v>2019</v>
      </c>
      <c r="C8798">
        <v>4</v>
      </c>
      <c r="D8798">
        <v>1</v>
      </c>
      <c r="E8798">
        <v>13620</v>
      </c>
      <c r="F8798">
        <v>371741.67</v>
      </c>
      <c r="G8798">
        <v>0</v>
      </c>
      <c r="H8798">
        <v>0</v>
      </c>
      <c r="I8798">
        <v>0</v>
      </c>
      <c r="J8798">
        <v>0</v>
      </c>
      <c r="K8798">
        <v>0</v>
      </c>
      <c r="L8798">
        <v>49842286</v>
      </c>
      <c r="M8798">
        <v>49842286</v>
      </c>
      <c r="N8798">
        <v>49842286</v>
      </c>
      <c r="O8798">
        <v>49842286</v>
      </c>
      <c r="P8798">
        <v>50000000</v>
      </c>
      <c r="Q8798">
        <v>50000000</v>
      </c>
      <c r="R8798" s="14">
        <f>_xlfn.XLOOKUP(Table2[[#This Row],[LoanID]],Table1[G-L ID],Table1[ManagerCode],-99)</f>
        <v>298</v>
      </c>
      <c r="T8798"/>
    </row>
    <row r="8799" spans="1:20" x14ac:dyDescent="0.25">
      <c r="A8799">
        <v>20190430</v>
      </c>
      <c r="B8799">
        <v>2019</v>
      </c>
      <c r="C8799">
        <v>4</v>
      </c>
      <c r="D8799">
        <v>1</v>
      </c>
      <c r="E8799">
        <v>13630</v>
      </c>
      <c r="F8799">
        <v>218506.94</v>
      </c>
      <c r="G8799">
        <v>0</v>
      </c>
      <c r="H8799">
        <v>0</v>
      </c>
      <c r="I8799">
        <v>0</v>
      </c>
      <c r="J8799">
        <v>0</v>
      </c>
      <c r="K8799">
        <v>0</v>
      </c>
      <c r="L8799">
        <v>30700000</v>
      </c>
      <c r="M8799">
        <v>30700000</v>
      </c>
      <c r="N8799">
        <v>30700000</v>
      </c>
      <c r="O8799">
        <v>30700000</v>
      </c>
      <c r="P8799">
        <v>35000000</v>
      </c>
      <c r="Q8799">
        <v>35000000</v>
      </c>
      <c r="R8799" s="14">
        <f>_xlfn.XLOOKUP(Table2[[#This Row],[LoanID]],Table1[G-L ID],Table1[ManagerCode],-99)</f>
        <v>298</v>
      </c>
      <c r="T8799"/>
    </row>
    <row r="8800" spans="1:20" x14ac:dyDescent="0.25">
      <c r="A8800">
        <v>20190430</v>
      </c>
      <c r="B8800">
        <v>2019</v>
      </c>
      <c r="C8800">
        <v>4</v>
      </c>
      <c r="D8800">
        <v>1</v>
      </c>
      <c r="E8800">
        <v>13640</v>
      </c>
      <c r="F8800">
        <v>226983.51</v>
      </c>
      <c r="G8800">
        <v>0</v>
      </c>
      <c r="H8800">
        <v>0</v>
      </c>
      <c r="I8800">
        <v>0</v>
      </c>
      <c r="J8800">
        <v>0</v>
      </c>
      <c r="K8800">
        <v>0</v>
      </c>
      <c r="L8800">
        <v>30714705</v>
      </c>
      <c r="M8800">
        <v>30714705</v>
      </c>
      <c r="N8800">
        <v>30714705</v>
      </c>
      <c r="O8800">
        <v>30714705</v>
      </c>
      <c r="P8800">
        <v>30125000</v>
      </c>
      <c r="Q8800">
        <v>30125000</v>
      </c>
      <c r="R8800" s="14">
        <f>_xlfn.XLOOKUP(Table2[[#This Row],[LoanID]],Table1[G-L ID],Table1[ManagerCode],-99)</f>
        <v>298</v>
      </c>
      <c r="T8800"/>
    </row>
    <row r="8801" spans="1:20" x14ac:dyDescent="0.25">
      <c r="A8801">
        <v>20190430</v>
      </c>
      <c r="B8801">
        <v>2019</v>
      </c>
      <c r="C8801">
        <v>4</v>
      </c>
      <c r="D8801">
        <v>1</v>
      </c>
      <c r="E8801">
        <v>13650</v>
      </c>
      <c r="F8801">
        <v>223888.89</v>
      </c>
      <c r="G8801">
        <v>0</v>
      </c>
      <c r="H8801">
        <v>0</v>
      </c>
      <c r="I8801">
        <v>0</v>
      </c>
      <c r="J8801">
        <v>0</v>
      </c>
      <c r="K8801">
        <v>0</v>
      </c>
      <c r="L8801">
        <v>38895325</v>
      </c>
      <c r="M8801">
        <v>38895325</v>
      </c>
      <c r="N8801">
        <v>38895325</v>
      </c>
      <c r="O8801">
        <v>38895325</v>
      </c>
      <c r="P8801">
        <v>40000000</v>
      </c>
      <c r="Q8801">
        <v>40000000</v>
      </c>
      <c r="R8801" s="14">
        <f>_xlfn.XLOOKUP(Table2[[#This Row],[LoanID]],Table1[G-L ID],Table1[ManagerCode],-99)</f>
        <v>298</v>
      </c>
      <c r="T8801"/>
    </row>
    <row r="8802" spans="1:20" x14ac:dyDescent="0.25">
      <c r="A8802">
        <v>20190430</v>
      </c>
      <c r="B8802">
        <v>2019</v>
      </c>
      <c r="C8802">
        <v>4</v>
      </c>
      <c r="D8802">
        <v>1</v>
      </c>
      <c r="E8802">
        <v>13660</v>
      </c>
      <c r="F8802">
        <v>117972.22</v>
      </c>
      <c r="G8802">
        <v>0</v>
      </c>
      <c r="H8802">
        <v>0</v>
      </c>
      <c r="I8802">
        <v>0</v>
      </c>
      <c r="J8802">
        <v>0</v>
      </c>
      <c r="K8802">
        <v>0</v>
      </c>
      <c r="L8802">
        <v>19313433</v>
      </c>
      <c r="M8802">
        <v>19313433</v>
      </c>
      <c r="N8802">
        <v>19313433</v>
      </c>
      <c r="O8802">
        <v>19313433</v>
      </c>
      <c r="P8802">
        <v>20000000</v>
      </c>
      <c r="Q8802">
        <v>20000000</v>
      </c>
      <c r="R8802" s="14">
        <f>_xlfn.XLOOKUP(Table2[[#This Row],[LoanID]],Table1[G-L ID],Table1[ManagerCode],-99)</f>
        <v>298</v>
      </c>
      <c r="T8802"/>
    </row>
    <row r="8803" spans="1:20" x14ac:dyDescent="0.25">
      <c r="A8803">
        <v>20190430</v>
      </c>
      <c r="B8803">
        <v>2019</v>
      </c>
      <c r="C8803">
        <v>4</v>
      </c>
      <c r="D8803">
        <v>1</v>
      </c>
      <c r="E8803">
        <v>13670</v>
      </c>
      <c r="F8803">
        <v>362764.59</v>
      </c>
      <c r="G8803">
        <v>0</v>
      </c>
      <c r="H8803">
        <v>0</v>
      </c>
      <c r="I8803">
        <v>0</v>
      </c>
      <c r="J8803">
        <v>0</v>
      </c>
      <c r="K8803">
        <v>0</v>
      </c>
      <c r="L8803">
        <v>25000000</v>
      </c>
      <c r="M8803">
        <v>25000000</v>
      </c>
      <c r="N8803">
        <v>25000000</v>
      </c>
      <c r="O8803">
        <v>25000000</v>
      </c>
      <c r="P8803">
        <v>37500000</v>
      </c>
      <c r="Q8803">
        <v>37500000</v>
      </c>
      <c r="R8803" s="14">
        <f>_xlfn.XLOOKUP(Table2[[#This Row],[LoanID]],Table1[G-L ID],Table1[ManagerCode],-99)</f>
        <v>298</v>
      </c>
      <c r="T8803"/>
    </row>
    <row r="8804" spans="1:20" x14ac:dyDescent="0.25">
      <c r="A8804">
        <v>20190430</v>
      </c>
      <c r="B8804">
        <v>2019</v>
      </c>
      <c r="C8804">
        <v>4</v>
      </c>
      <c r="D8804">
        <v>1</v>
      </c>
      <c r="E8804">
        <v>13690</v>
      </c>
      <c r="F8804">
        <v>133472.22</v>
      </c>
      <c r="G8804">
        <v>0</v>
      </c>
      <c r="H8804">
        <v>0</v>
      </c>
      <c r="I8804">
        <v>0</v>
      </c>
      <c r="J8804">
        <v>0</v>
      </c>
      <c r="K8804">
        <v>0</v>
      </c>
      <c r="L8804">
        <v>19791063.850000001</v>
      </c>
      <c r="M8804">
        <v>19791063.850000001</v>
      </c>
      <c r="N8804">
        <v>19791063.850000001</v>
      </c>
      <c r="O8804">
        <v>19791063.850000001</v>
      </c>
      <c r="P8804">
        <v>20000000</v>
      </c>
      <c r="Q8804">
        <v>20000000</v>
      </c>
      <c r="R8804" s="14">
        <f>_xlfn.XLOOKUP(Table2[[#This Row],[LoanID]],Table1[G-L ID],Table1[ManagerCode],-99)</f>
        <v>298</v>
      </c>
      <c r="T8804"/>
    </row>
    <row r="8805" spans="1:20" x14ac:dyDescent="0.25">
      <c r="A8805">
        <v>20190430</v>
      </c>
      <c r="B8805">
        <v>2019</v>
      </c>
      <c r="C8805">
        <v>4</v>
      </c>
      <c r="D8805">
        <v>1</v>
      </c>
      <c r="E8805">
        <v>13700</v>
      </c>
      <c r="F8805">
        <v>148343.54999999999</v>
      </c>
      <c r="G8805">
        <v>0</v>
      </c>
      <c r="H8805">
        <v>0</v>
      </c>
      <c r="I8805">
        <v>0</v>
      </c>
      <c r="J8805">
        <v>-217462.51</v>
      </c>
      <c r="K8805">
        <v>0</v>
      </c>
      <c r="L8805">
        <v>22882490.82</v>
      </c>
      <c r="M8805">
        <v>23099953.329999998</v>
      </c>
      <c r="N8805">
        <v>22882490.82</v>
      </c>
      <c r="O8805">
        <v>23099953.329999998</v>
      </c>
      <c r="P8805">
        <v>22882490.82</v>
      </c>
      <c r="Q8805">
        <v>23099953.329999998</v>
      </c>
      <c r="R8805" s="14">
        <f>_xlfn.XLOOKUP(Table2[[#This Row],[LoanID]],Table1[G-L ID],Table1[ManagerCode],-99)</f>
        <v>119</v>
      </c>
      <c r="T8805"/>
    </row>
    <row r="8806" spans="1:20" x14ac:dyDescent="0.25">
      <c r="A8806">
        <v>20190430</v>
      </c>
      <c r="B8806">
        <v>2019</v>
      </c>
      <c r="C8806">
        <v>4</v>
      </c>
      <c r="D8806">
        <v>1</v>
      </c>
      <c r="E8806">
        <v>13710</v>
      </c>
      <c r="F8806">
        <v>169170.63</v>
      </c>
      <c r="G8806">
        <v>0</v>
      </c>
      <c r="H8806">
        <v>0</v>
      </c>
      <c r="I8806">
        <v>0</v>
      </c>
      <c r="J8806">
        <v>0</v>
      </c>
      <c r="K8806">
        <v>0</v>
      </c>
      <c r="L8806">
        <v>24500000</v>
      </c>
      <c r="M8806">
        <v>24500000</v>
      </c>
      <c r="N8806">
        <v>24500000</v>
      </c>
      <c r="O8806">
        <v>24500000</v>
      </c>
      <c r="P8806">
        <v>24500000</v>
      </c>
      <c r="Q8806">
        <v>24500000</v>
      </c>
      <c r="R8806" s="14">
        <f>_xlfn.XLOOKUP(Table2[[#This Row],[LoanID]],Table1[G-L ID],Table1[ManagerCode],-99)</f>
        <v>119</v>
      </c>
      <c r="T8806"/>
    </row>
    <row r="8807" spans="1:20" x14ac:dyDescent="0.25">
      <c r="A8807">
        <v>20190430</v>
      </c>
      <c r="B8807">
        <v>2019</v>
      </c>
      <c r="C8807">
        <v>4</v>
      </c>
      <c r="D8807">
        <v>1</v>
      </c>
      <c r="E8807">
        <v>13720</v>
      </c>
      <c r="F8807">
        <v>40737.31</v>
      </c>
      <c r="G8807">
        <v>0</v>
      </c>
      <c r="H8807">
        <v>0</v>
      </c>
      <c r="I8807">
        <v>0</v>
      </c>
      <c r="J8807">
        <v>-29647.43</v>
      </c>
      <c r="K8807">
        <v>0</v>
      </c>
      <c r="L8807">
        <v>4439628.3</v>
      </c>
      <c r="M8807">
        <v>4469275.7300000004</v>
      </c>
      <c r="N8807">
        <v>4439628.3</v>
      </c>
      <c r="O8807">
        <v>4469275.7300000004</v>
      </c>
      <c r="P8807">
        <v>4439628.3</v>
      </c>
      <c r="Q8807">
        <v>4469275.7300000004</v>
      </c>
      <c r="R8807" s="14">
        <f>_xlfn.XLOOKUP(Table2[[#This Row],[LoanID]],Table1[G-L ID],Table1[ManagerCode],-99)</f>
        <v>119</v>
      </c>
      <c r="T8807"/>
    </row>
    <row r="8808" spans="1:20" x14ac:dyDescent="0.25">
      <c r="A8808">
        <v>20190430</v>
      </c>
      <c r="B8808">
        <v>2019</v>
      </c>
      <c r="C8808">
        <v>4</v>
      </c>
      <c r="D8808">
        <v>1</v>
      </c>
      <c r="E8808">
        <v>13730</v>
      </c>
      <c r="F8808">
        <v>150661.76000000001</v>
      </c>
      <c r="G8808">
        <v>0</v>
      </c>
      <c r="H8808">
        <v>0</v>
      </c>
      <c r="I8808">
        <v>0</v>
      </c>
      <c r="J8808">
        <v>0</v>
      </c>
      <c r="K8808">
        <v>0</v>
      </c>
      <c r="L8808">
        <v>16380778.050000001</v>
      </c>
      <c r="M8808">
        <v>16380778.050000001</v>
      </c>
      <c r="N8808">
        <v>16380778.050000001</v>
      </c>
      <c r="O8808">
        <v>16380778.050000001</v>
      </c>
      <c r="P8808">
        <v>16380778.050000001</v>
      </c>
      <c r="Q8808">
        <v>16380778.050000001</v>
      </c>
      <c r="R8808" s="14">
        <f>_xlfn.XLOOKUP(Table2[[#This Row],[LoanID]],Table1[G-L ID],Table1[ManagerCode],-99)</f>
        <v>119</v>
      </c>
      <c r="T8808"/>
    </row>
    <row r="8809" spans="1:20" x14ac:dyDescent="0.25">
      <c r="A8809">
        <v>20190430</v>
      </c>
      <c r="B8809">
        <v>2019</v>
      </c>
      <c r="C8809">
        <v>4</v>
      </c>
      <c r="D8809">
        <v>1</v>
      </c>
      <c r="E8809">
        <v>13740</v>
      </c>
      <c r="F8809">
        <v>-34063.730000000003</v>
      </c>
      <c r="G8809">
        <v>0</v>
      </c>
      <c r="H8809">
        <v>-380730</v>
      </c>
      <c r="I8809">
        <v>0</v>
      </c>
      <c r="J8809">
        <v>0</v>
      </c>
      <c r="K8809">
        <v>44038430.399999999</v>
      </c>
      <c r="L8809">
        <v>55048038</v>
      </c>
      <c r="M8809">
        <v>11009607.6</v>
      </c>
      <c r="N8809">
        <v>55048038</v>
      </c>
      <c r="O8809">
        <v>11009607.6</v>
      </c>
      <c r="P8809">
        <v>55048038</v>
      </c>
      <c r="Q8809">
        <v>11009607.6</v>
      </c>
      <c r="R8809" s="14">
        <f>_xlfn.XLOOKUP(Table2[[#This Row],[LoanID]],Table1[G-L ID],Table1[ManagerCode],-99)</f>
        <v>119</v>
      </c>
      <c r="T8809"/>
    </row>
    <row r="8810" spans="1:20" x14ac:dyDescent="0.25">
      <c r="A8810">
        <v>20190430</v>
      </c>
      <c r="B8810">
        <v>2019</v>
      </c>
      <c r="C8810">
        <v>4</v>
      </c>
      <c r="D8810">
        <v>1</v>
      </c>
      <c r="E8810">
        <v>13790</v>
      </c>
      <c r="F8810">
        <v>0</v>
      </c>
      <c r="G8810">
        <v>71891.710000000006</v>
      </c>
      <c r="H8810">
        <v>0</v>
      </c>
      <c r="I8810">
        <v>0</v>
      </c>
      <c r="J8810">
        <v>-20600000</v>
      </c>
      <c r="K8810">
        <v>0</v>
      </c>
      <c r="L8810">
        <v>0</v>
      </c>
      <c r="M8810">
        <v>20671891.710000001</v>
      </c>
      <c r="N8810">
        <v>0</v>
      </c>
      <c r="O8810">
        <v>20671891.710000001</v>
      </c>
      <c r="P8810">
        <v>0</v>
      </c>
      <c r="Q8810">
        <v>20671891.710000001</v>
      </c>
      <c r="R8810" s="14">
        <f>_xlfn.XLOOKUP(Table2[[#This Row],[LoanID]],Table1[G-L ID],Table1[ManagerCode],-99)</f>
        <v>219</v>
      </c>
      <c r="T8810"/>
    </row>
    <row r="8811" spans="1:20" x14ac:dyDescent="0.25">
      <c r="A8811">
        <v>20190430</v>
      </c>
      <c r="B8811">
        <v>2019</v>
      </c>
      <c r="C8811">
        <v>4</v>
      </c>
      <c r="D8811">
        <v>1</v>
      </c>
      <c r="E8811">
        <v>13800</v>
      </c>
      <c r="F8811">
        <v>293159.25</v>
      </c>
      <c r="G8811">
        <v>0</v>
      </c>
      <c r="H8811">
        <v>0</v>
      </c>
      <c r="I8811">
        <v>0</v>
      </c>
      <c r="J8811">
        <v>0</v>
      </c>
      <c r="K8811">
        <v>0</v>
      </c>
      <c r="L8811">
        <v>80700000</v>
      </c>
      <c r="M8811">
        <v>80700000</v>
      </c>
      <c r="N8811">
        <v>44870000</v>
      </c>
      <c r="O8811">
        <v>44870000</v>
      </c>
      <c r="P8811">
        <v>80700000</v>
      </c>
      <c r="Q8811">
        <v>80700000</v>
      </c>
      <c r="R8811" s="14">
        <f>_xlfn.XLOOKUP(Table2[[#This Row],[LoanID]],Table1[G-L ID],Table1[ManagerCode],-99)</f>
        <v>183</v>
      </c>
      <c r="T8811"/>
    </row>
    <row r="8812" spans="1:20" x14ac:dyDescent="0.25">
      <c r="A8812">
        <v>20190430</v>
      </c>
      <c r="B8812">
        <v>2019</v>
      </c>
      <c r="C8812">
        <v>4</v>
      </c>
      <c r="D8812">
        <v>1</v>
      </c>
      <c r="E8812">
        <v>14000</v>
      </c>
      <c r="F8812">
        <v>172739.48</v>
      </c>
      <c r="G8812">
        <v>0</v>
      </c>
      <c r="H8812">
        <v>0</v>
      </c>
      <c r="I8812">
        <v>0</v>
      </c>
      <c r="J8812">
        <v>0</v>
      </c>
      <c r="K8812">
        <v>0</v>
      </c>
      <c r="L8812">
        <v>98000000</v>
      </c>
      <c r="M8812">
        <v>98000000</v>
      </c>
      <c r="N8812">
        <v>39200000</v>
      </c>
      <c r="O8812">
        <v>39200000</v>
      </c>
      <c r="P8812">
        <v>98000000</v>
      </c>
      <c r="Q8812">
        <v>98000000</v>
      </c>
      <c r="R8812" s="14">
        <f>_xlfn.XLOOKUP(Table2[[#This Row],[LoanID]],Table1[G-L ID],Table1[ManagerCode],-99)</f>
        <v>183</v>
      </c>
      <c r="T8812"/>
    </row>
    <row r="8813" spans="1:20" x14ac:dyDescent="0.25">
      <c r="A8813">
        <v>20190430</v>
      </c>
      <c r="B8813">
        <v>2019</v>
      </c>
      <c r="C8813">
        <v>4</v>
      </c>
      <c r="D8813">
        <v>1</v>
      </c>
      <c r="E8813">
        <v>14010</v>
      </c>
      <c r="F8813">
        <v>81091.320000000007</v>
      </c>
      <c r="G8813">
        <v>0</v>
      </c>
      <c r="H8813">
        <v>0</v>
      </c>
      <c r="I8813">
        <v>0</v>
      </c>
      <c r="J8813">
        <v>0</v>
      </c>
      <c r="K8813">
        <v>0</v>
      </c>
      <c r="L8813">
        <v>9920000</v>
      </c>
      <c r="M8813">
        <v>9920000</v>
      </c>
      <c r="N8813">
        <v>9920000</v>
      </c>
      <c r="O8813">
        <v>9920000</v>
      </c>
      <c r="P8813">
        <v>9920000</v>
      </c>
      <c r="Q8813">
        <v>9920000</v>
      </c>
      <c r="R8813" s="14">
        <f>_xlfn.XLOOKUP(Table2[[#This Row],[LoanID]],Table1[G-L ID],Table1[ManagerCode],-99)</f>
        <v>119</v>
      </c>
      <c r="T8813"/>
    </row>
    <row r="8814" spans="1:20" x14ac:dyDescent="0.25">
      <c r="A8814">
        <v>20190430</v>
      </c>
      <c r="B8814">
        <v>2019</v>
      </c>
      <c r="C8814">
        <v>4</v>
      </c>
      <c r="D8814">
        <v>1</v>
      </c>
      <c r="E8814">
        <v>14020</v>
      </c>
      <c r="F8814">
        <v>294966.37</v>
      </c>
      <c r="G8814">
        <v>0</v>
      </c>
      <c r="H8814">
        <v>0</v>
      </c>
      <c r="I8814">
        <v>0</v>
      </c>
      <c r="J8814">
        <v>0</v>
      </c>
      <c r="K8814">
        <v>4549380.41</v>
      </c>
      <c r="L8814">
        <v>32900683.870000001</v>
      </c>
      <c r="M8814">
        <v>28351303.460000001</v>
      </c>
      <c r="N8814">
        <v>32900683.870000001</v>
      </c>
      <c r="O8814">
        <v>28351303.460000001</v>
      </c>
      <c r="P8814">
        <v>32900683.870000001</v>
      </c>
      <c r="Q8814">
        <v>28351303.460000001</v>
      </c>
      <c r="R8814" s="14">
        <f>_xlfn.XLOOKUP(Table2[[#This Row],[LoanID]],Table1[G-L ID],Table1[ManagerCode],-99)</f>
        <v>119</v>
      </c>
      <c r="T8814"/>
    </row>
    <row r="8815" spans="1:20" x14ac:dyDescent="0.25">
      <c r="A8815">
        <v>20190430</v>
      </c>
      <c r="B8815">
        <v>2019</v>
      </c>
      <c r="C8815">
        <v>4</v>
      </c>
      <c r="D8815">
        <v>1</v>
      </c>
      <c r="E8815">
        <v>14170</v>
      </c>
      <c r="F8815">
        <v>19073.490000000002</v>
      </c>
      <c r="G8815">
        <v>0</v>
      </c>
      <c r="H8815">
        <v>0</v>
      </c>
      <c r="I8815">
        <v>0</v>
      </c>
      <c r="J8815">
        <v>0</v>
      </c>
      <c r="K8815">
        <v>8563.48</v>
      </c>
      <c r="L8815">
        <v>5380782.0300000003</v>
      </c>
      <c r="M8815">
        <v>5368124.13</v>
      </c>
      <c r="N8815">
        <v>5380782.0300000003</v>
      </c>
      <c r="O8815">
        <v>5368124.13</v>
      </c>
      <c r="P8815">
        <v>10906207.359999999</v>
      </c>
      <c r="Q8815">
        <v>10897643.880000001</v>
      </c>
      <c r="R8815" s="14">
        <f>_xlfn.XLOOKUP(Table2[[#This Row],[LoanID]],Table1[G-L ID],Table1[ManagerCode],-99)</f>
        <v>270</v>
      </c>
      <c r="T8815"/>
    </row>
    <row r="8816" spans="1:20" x14ac:dyDescent="0.25">
      <c r="A8816">
        <v>20190430</v>
      </c>
      <c r="B8816">
        <v>2019</v>
      </c>
      <c r="C8816">
        <v>4</v>
      </c>
      <c r="D8816">
        <v>1</v>
      </c>
      <c r="E8816">
        <v>14180</v>
      </c>
      <c r="F8816">
        <v>28492.639999999999</v>
      </c>
      <c r="G8816">
        <v>0</v>
      </c>
      <c r="H8816">
        <v>0</v>
      </c>
      <c r="I8816">
        <v>0</v>
      </c>
      <c r="J8816">
        <v>0</v>
      </c>
      <c r="K8816">
        <v>11411.94</v>
      </c>
      <c r="L8816">
        <v>7631155.0099999998</v>
      </c>
      <c r="M8816">
        <v>7612297.8700000001</v>
      </c>
      <c r="N8816">
        <v>7631155.0099999998</v>
      </c>
      <c r="O8816">
        <v>7612297.8700000001</v>
      </c>
      <c r="P8816">
        <v>17118295.41</v>
      </c>
      <c r="Q8816">
        <v>17106883.469999999</v>
      </c>
      <c r="R8816" s="14">
        <f>_xlfn.XLOOKUP(Table2[[#This Row],[LoanID]],Table1[G-L ID],Table1[ManagerCode],-99)</f>
        <v>270</v>
      </c>
      <c r="T8816"/>
    </row>
    <row r="8817" spans="1:20" x14ac:dyDescent="0.25">
      <c r="A8817">
        <v>20190430</v>
      </c>
      <c r="B8817">
        <v>2019</v>
      </c>
      <c r="C8817">
        <v>4</v>
      </c>
      <c r="D8817">
        <v>1</v>
      </c>
      <c r="E8817">
        <v>14190</v>
      </c>
      <c r="F8817">
        <v>19696.12</v>
      </c>
      <c r="G8817">
        <v>0</v>
      </c>
      <c r="H8817">
        <v>0</v>
      </c>
      <c r="I8817">
        <v>0</v>
      </c>
      <c r="J8817">
        <v>0</v>
      </c>
      <c r="K8817">
        <v>7564.4</v>
      </c>
      <c r="L8817">
        <v>5182081.4400000004</v>
      </c>
      <c r="M8817">
        <v>5168212.42</v>
      </c>
      <c r="N8817">
        <v>5182081.4400000004</v>
      </c>
      <c r="O8817">
        <v>5168212.42</v>
      </c>
      <c r="P8817">
        <v>10792779.199999999</v>
      </c>
      <c r="Q8817">
        <v>10785214.800000001</v>
      </c>
      <c r="R8817" s="14">
        <f>_xlfn.XLOOKUP(Table2[[#This Row],[LoanID]],Table1[G-L ID],Table1[ManagerCode],-99)</f>
        <v>270</v>
      </c>
      <c r="T8817"/>
    </row>
    <row r="8818" spans="1:20" x14ac:dyDescent="0.25">
      <c r="A8818">
        <v>20190430</v>
      </c>
      <c r="B8818">
        <v>2019</v>
      </c>
      <c r="C8818">
        <v>4</v>
      </c>
      <c r="D8818">
        <v>1</v>
      </c>
      <c r="E8818">
        <v>14210</v>
      </c>
      <c r="F8818">
        <v>46607.64</v>
      </c>
      <c r="G8818">
        <v>0</v>
      </c>
      <c r="H8818">
        <v>0</v>
      </c>
      <c r="I8818">
        <v>0</v>
      </c>
      <c r="J8818">
        <v>0</v>
      </c>
      <c r="K8818">
        <v>0</v>
      </c>
      <c r="L8818">
        <v>7046607.6399999997</v>
      </c>
      <c r="M8818">
        <v>7046660.1399999997</v>
      </c>
      <c r="N8818">
        <v>7046607.6399999997</v>
      </c>
      <c r="O8818">
        <v>7046660.1399999997</v>
      </c>
      <c r="P8818">
        <v>9300000</v>
      </c>
      <c r="Q8818">
        <v>9300000</v>
      </c>
      <c r="R8818" s="14">
        <f>_xlfn.XLOOKUP(Table2[[#This Row],[LoanID]],Table1[G-L ID],Table1[ManagerCode],-99)</f>
        <v>270</v>
      </c>
      <c r="T8818"/>
    </row>
    <row r="8819" spans="1:20" x14ac:dyDescent="0.25">
      <c r="A8819">
        <v>20190430</v>
      </c>
      <c r="B8819">
        <v>2019</v>
      </c>
      <c r="C8819">
        <v>4</v>
      </c>
      <c r="D8819">
        <v>1</v>
      </c>
      <c r="E8819">
        <v>14230</v>
      </c>
      <c r="F8819">
        <v>145764.48000000001</v>
      </c>
      <c r="G8819">
        <v>0</v>
      </c>
      <c r="H8819">
        <v>0</v>
      </c>
      <c r="I8819">
        <v>0</v>
      </c>
      <c r="J8819">
        <v>0</v>
      </c>
      <c r="K8819">
        <v>0</v>
      </c>
      <c r="L8819">
        <v>26100788.350000001</v>
      </c>
      <c r="M8819">
        <v>26101053.34</v>
      </c>
      <c r="N8819">
        <v>26100788.350000001</v>
      </c>
      <c r="O8819">
        <v>26101053.34</v>
      </c>
      <c r="P8819">
        <v>26321000</v>
      </c>
      <c r="Q8819">
        <v>26321000</v>
      </c>
      <c r="R8819" s="14">
        <f>_xlfn.XLOOKUP(Table2[[#This Row],[LoanID]],Table1[G-L ID],Table1[ManagerCode],-99)</f>
        <v>270</v>
      </c>
      <c r="T8819"/>
    </row>
    <row r="8820" spans="1:20" x14ac:dyDescent="0.25">
      <c r="A8820">
        <v>20190430</v>
      </c>
      <c r="B8820">
        <v>2019</v>
      </c>
      <c r="C8820">
        <v>4</v>
      </c>
      <c r="D8820">
        <v>1</v>
      </c>
      <c r="E8820">
        <v>14260</v>
      </c>
      <c r="F8820">
        <v>34474.14</v>
      </c>
      <c r="G8820">
        <v>0</v>
      </c>
      <c r="H8820">
        <v>0</v>
      </c>
      <c r="I8820">
        <v>0</v>
      </c>
      <c r="J8820">
        <v>0</v>
      </c>
      <c r="K8820">
        <v>0</v>
      </c>
      <c r="L8820">
        <v>6409474.1399999997</v>
      </c>
      <c r="M8820">
        <v>6409539.2199999997</v>
      </c>
      <c r="N8820">
        <v>6409474.1399999997</v>
      </c>
      <c r="O8820">
        <v>6409539.2199999997</v>
      </c>
      <c r="P8820">
        <v>12500000</v>
      </c>
      <c r="Q8820">
        <v>12500000</v>
      </c>
      <c r="R8820" s="14">
        <f>_xlfn.XLOOKUP(Table2[[#This Row],[LoanID]],Table1[G-L ID],Table1[ManagerCode],-99)</f>
        <v>270</v>
      </c>
      <c r="T8820"/>
    </row>
    <row r="8821" spans="1:20" x14ac:dyDescent="0.25">
      <c r="A8821">
        <v>20190430</v>
      </c>
      <c r="B8821">
        <v>2019</v>
      </c>
      <c r="C8821">
        <v>4</v>
      </c>
      <c r="D8821">
        <v>1</v>
      </c>
      <c r="E8821">
        <v>14270</v>
      </c>
      <c r="F8821">
        <v>30979.32</v>
      </c>
      <c r="G8821">
        <v>0</v>
      </c>
      <c r="H8821">
        <v>0</v>
      </c>
      <c r="I8821">
        <v>0</v>
      </c>
      <c r="J8821">
        <v>0</v>
      </c>
      <c r="K8821">
        <v>0</v>
      </c>
      <c r="L8821">
        <v>5130979.32</v>
      </c>
      <c r="M8821">
        <v>5131031.37</v>
      </c>
      <c r="N8821">
        <v>5130979.32</v>
      </c>
      <c r="O8821">
        <v>5131031.37</v>
      </c>
      <c r="P8821">
        <v>10000000</v>
      </c>
      <c r="Q8821">
        <v>10000000</v>
      </c>
      <c r="R8821" s="14">
        <f>_xlfn.XLOOKUP(Table2[[#This Row],[LoanID]],Table1[G-L ID],Table1[ManagerCode],-99)</f>
        <v>270</v>
      </c>
      <c r="T8821"/>
    </row>
    <row r="8822" spans="1:20" x14ac:dyDescent="0.25">
      <c r="A8822">
        <v>20190430</v>
      </c>
      <c r="B8822">
        <v>2019</v>
      </c>
      <c r="C8822">
        <v>4</v>
      </c>
      <c r="D8822">
        <v>1</v>
      </c>
      <c r="E8822">
        <v>14380</v>
      </c>
      <c r="F8822">
        <v>52575.12</v>
      </c>
      <c r="G8822">
        <v>0</v>
      </c>
      <c r="H8822">
        <v>0</v>
      </c>
      <c r="I8822">
        <v>0</v>
      </c>
      <c r="J8822">
        <v>0</v>
      </c>
      <c r="K8822">
        <v>0</v>
      </c>
      <c r="L8822">
        <v>9916644.3399999999</v>
      </c>
      <c r="M8822">
        <v>9920075.3699999992</v>
      </c>
      <c r="N8822">
        <v>9916644.3399999999</v>
      </c>
      <c r="O8822">
        <v>9920075.3699999992</v>
      </c>
      <c r="P8822">
        <v>20955891</v>
      </c>
      <c r="Q8822">
        <v>20955891</v>
      </c>
      <c r="R8822" s="14">
        <f>_xlfn.XLOOKUP(Table2[[#This Row],[LoanID]],Table1[G-L ID],Table1[ManagerCode],-99)</f>
        <v>270</v>
      </c>
      <c r="T8822"/>
    </row>
    <row r="8823" spans="1:20" x14ac:dyDescent="0.25">
      <c r="A8823">
        <v>20190430</v>
      </c>
      <c r="B8823">
        <v>2019</v>
      </c>
      <c r="C8823">
        <v>4</v>
      </c>
      <c r="D8823">
        <v>1</v>
      </c>
      <c r="E8823">
        <v>14400</v>
      </c>
      <c r="F8823">
        <v>57600</v>
      </c>
      <c r="G8823">
        <v>0</v>
      </c>
      <c r="H8823">
        <v>0</v>
      </c>
      <c r="I8823">
        <v>0</v>
      </c>
      <c r="J8823">
        <v>0</v>
      </c>
      <c r="K8823">
        <v>0</v>
      </c>
      <c r="L8823">
        <v>15218687.99</v>
      </c>
      <c r="M8823">
        <v>15267993.59</v>
      </c>
      <c r="N8823">
        <v>15218687.99</v>
      </c>
      <c r="O8823">
        <v>15267993.59</v>
      </c>
      <c r="P8823">
        <v>25600000</v>
      </c>
      <c r="Q8823">
        <v>25600000</v>
      </c>
      <c r="R8823" s="14">
        <f>_xlfn.XLOOKUP(Table2[[#This Row],[LoanID]],Table1[G-L ID],Table1[ManagerCode],-99)</f>
        <v>270</v>
      </c>
      <c r="T8823"/>
    </row>
    <row r="8824" spans="1:20" x14ac:dyDescent="0.25">
      <c r="A8824">
        <v>20190430</v>
      </c>
      <c r="B8824">
        <v>2019</v>
      </c>
      <c r="C8824">
        <v>4</v>
      </c>
      <c r="D8824">
        <v>1</v>
      </c>
      <c r="E8824">
        <v>14420</v>
      </c>
      <c r="F8824">
        <v>45737.99</v>
      </c>
      <c r="G8824">
        <v>0</v>
      </c>
      <c r="H8824">
        <v>0</v>
      </c>
      <c r="I8824">
        <v>0</v>
      </c>
      <c r="J8824">
        <v>0</v>
      </c>
      <c r="K8824">
        <v>0</v>
      </c>
      <c r="L8824">
        <v>8011432.0700000003</v>
      </c>
      <c r="M8824">
        <v>8010351.9900000002</v>
      </c>
      <c r="N8824">
        <v>8011432.0700000003</v>
      </c>
      <c r="O8824">
        <v>8010351.9900000002</v>
      </c>
      <c r="P8824">
        <v>13485040.560000001</v>
      </c>
      <c r="Q8824">
        <v>13485040.560000001</v>
      </c>
      <c r="R8824" s="14">
        <f>_xlfn.XLOOKUP(Table2[[#This Row],[LoanID]],Table1[G-L ID],Table1[ManagerCode],-99)</f>
        <v>270</v>
      </c>
      <c r="T8824"/>
    </row>
    <row r="8825" spans="1:20" x14ac:dyDescent="0.25">
      <c r="A8825">
        <v>20190430</v>
      </c>
      <c r="B8825">
        <v>2019</v>
      </c>
      <c r="C8825">
        <v>4</v>
      </c>
      <c r="D8825">
        <v>1</v>
      </c>
      <c r="E8825">
        <v>14460</v>
      </c>
      <c r="F8825">
        <v>14166.66</v>
      </c>
      <c r="G8825">
        <v>0</v>
      </c>
      <c r="H8825">
        <v>0</v>
      </c>
      <c r="I8825">
        <v>0</v>
      </c>
      <c r="J8825">
        <v>0</v>
      </c>
      <c r="K8825">
        <v>0</v>
      </c>
      <c r="L8825">
        <v>2049706.66</v>
      </c>
      <c r="M8825">
        <v>2044526.66</v>
      </c>
      <c r="N8825">
        <v>2049706.66</v>
      </c>
      <c r="O8825">
        <v>2044526.66</v>
      </c>
      <c r="P8825">
        <v>6142857.1500000004</v>
      </c>
      <c r="Q8825">
        <v>6142857.1500000004</v>
      </c>
      <c r="R8825" s="14">
        <f>_xlfn.XLOOKUP(Table2[[#This Row],[LoanID]],Table1[G-L ID],Table1[ManagerCode],-99)</f>
        <v>270</v>
      </c>
      <c r="T8825"/>
    </row>
    <row r="8826" spans="1:20" x14ac:dyDescent="0.25">
      <c r="A8826">
        <v>20190430</v>
      </c>
      <c r="B8826">
        <v>2019</v>
      </c>
      <c r="C8826">
        <v>4</v>
      </c>
      <c r="D8826">
        <v>1</v>
      </c>
      <c r="E8826">
        <v>14550</v>
      </c>
      <c r="F8826">
        <v>30385.45</v>
      </c>
      <c r="G8826">
        <v>0</v>
      </c>
      <c r="H8826">
        <v>0</v>
      </c>
      <c r="I8826">
        <v>0</v>
      </c>
      <c r="J8826">
        <v>0</v>
      </c>
      <c r="K8826">
        <v>7338.57</v>
      </c>
      <c r="L8826">
        <v>6204134.8700000001</v>
      </c>
      <c r="M8826">
        <v>6188870.6699999999</v>
      </c>
      <c r="N8826">
        <v>6204134.8700000001</v>
      </c>
      <c r="O8826">
        <v>6188870.6699999999</v>
      </c>
      <c r="P8826">
        <v>11818586.41</v>
      </c>
      <c r="Q8826">
        <v>11811247.84</v>
      </c>
      <c r="R8826" s="14">
        <f>_xlfn.XLOOKUP(Table2[[#This Row],[LoanID]],Table1[G-L ID],Table1[ManagerCode],-99)</f>
        <v>270</v>
      </c>
      <c r="T8826"/>
    </row>
    <row r="8827" spans="1:20" x14ac:dyDescent="0.25">
      <c r="A8827">
        <v>20190430</v>
      </c>
      <c r="B8827">
        <v>2019</v>
      </c>
      <c r="C8827">
        <v>4</v>
      </c>
      <c r="D8827">
        <v>1</v>
      </c>
      <c r="E8827">
        <v>14560</v>
      </c>
      <c r="F8827">
        <v>32377.93</v>
      </c>
      <c r="G8827">
        <v>0</v>
      </c>
      <c r="H8827">
        <v>0</v>
      </c>
      <c r="I8827">
        <v>0</v>
      </c>
      <c r="J8827">
        <v>0</v>
      </c>
      <c r="K8827">
        <v>7819.79</v>
      </c>
      <c r="L8827">
        <v>6610963.4400000004</v>
      </c>
      <c r="M8827">
        <v>6594698.2999999998</v>
      </c>
      <c r="N8827">
        <v>6610963.4400000004</v>
      </c>
      <c r="O8827">
        <v>6594698.2999999998</v>
      </c>
      <c r="P8827">
        <v>12593575.859999999</v>
      </c>
      <c r="Q8827">
        <v>12585756.07</v>
      </c>
      <c r="R8827" s="14">
        <f>_xlfn.XLOOKUP(Table2[[#This Row],[LoanID]],Table1[G-L ID],Table1[ManagerCode],-99)</f>
        <v>270</v>
      </c>
      <c r="T8827"/>
    </row>
    <row r="8828" spans="1:20" x14ac:dyDescent="0.25">
      <c r="A8828">
        <v>20190430</v>
      </c>
      <c r="B8828">
        <v>2019</v>
      </c>
      <c r="C8828">
        <v>4</v>
      </c>
      <c r="D8828">
        <v>1</v>
      </c>
      <c r="E8828">
        <v>14570</v>
      </c>
      <c r="F8828">
        <v>4483.09</v>
      </c>
      <c r="G8828">
        <v>0</v>
      </c>
      <c r="H8828">
        <v>0</v>
      </c>
      <c r="I8828">
        <v>0</v>
      </c>
      <c r="J8828">
        <v>0</v>
      </c>
      <c r="K8828">
        <v>1082.75</v>
      </c>
      <c r="L8828">
        <v>915364.25</v>
      </c>
      <c r="M8828">
        <v>913112.13</v>
      </c>
      <c r="N8828">
        <v>915364.25</v>
      </c>
      <c r="O8828">
        <v>913112.13</v>
      </c>
      <c r="P8828">
        <v>1743726.04</v>
      </c>
      <c r="Q8828">
        <v>1742643.29</v>
      </c>
      <c r="R8828" s="14">
        <f>_xlfn.XLOOKUP(Table2[[#This Row],[LoanID]],Table1[G-L ID],Table1[ManagerCode],-99)</f>
        <v>270</v>
      </c>
      <c r="T8828"/>
    </row>
    <row r="8829" spans="1:20" x14ac:dyDescent="0.25">
      <c r="A8829">
        <v>20190430</v>
      </c>
      <c r="B8829">
        <v>2019</v>
      </c>
      <c r="C8829">
        <v>4</v>
      </c>
      <c r="D8829">
        <v>1</v>
      </c>
      <c r="E8829">
        <v>14580</v>
      </c>
      <c r="F8829">
        <v>61243.07</v>
      </c>
      <c r="G8829">
        <v>0</v>
      </c>
      <c r="H8829">
        <v>0</v>
      </c>
      <c r="I8829">
        <v>0</v>
      </c>
      <c r="J8829">
        <v>0</v>
      </c>
      <c r="K8829">
        <v>0</v>
      </c>
      <c r="L8829">
        <v>12229383.560000001</v>
      </c>
      <c r="M8829">
        <v>12233680.83</v>
      </c>
      <c r="N8829">
        <v>12229383.560000001</v>
      </c>
      <c r="O8829">
        <v>12233680.83</v>
      </c>
      <c r="P8829">
        <v>24060000</v>
      </c>
      <c r="Q8829">
        <v>24060000</v>
      </c>
      <c r="R8829" s="14">
        <f>_xlfn.XLOOKUP(Table2[[#This Row],[LoanID]],Table1[G-L ID],Table1[ManagerCode],-99)</f>
        <v>270</v>
      </c>
      <c r="T8829"/>
    </row>
    <row r="8830" spans="1:20" x14ac:dyDescent="0.25">
      <c r="A8830">
        <v>20190430</v>
      </c>
      <c r="B8830">
        <v>2019</v>
      </c>
      <c r="C8830">
        <v>4</v>
      </c>
      <c r="D8830">
        <v>1</v>
      </c>
      <c r="E8830">
        <v>14670</v>
      </c>
      <c r="F8830">
        <v>73492.960000000006</v>
      </c>
      <c r="G8830">
        <v>0</v>
      </c>
      <c r="H8830">
        <v>0</v>
      </c>
      <c r="I8830">
        <v>0</v>
      </c>
      <c r="J8830">
        <v>0</v>
      </c>
      <c r="K8830">
        <v>38318.300000000003</v>
      </c>
      <c r="L8830">
        <v>29704954</v>
      </c>
      <c r="M8830">
        <v>29704954</v>
      </c>
      <c r="N8830">
        <v>8656704</v>
      </c>
      <c r="O8830">
        <v>8656704</v>
      </c>
      <c r="P8830">
        <v>29516129.5</v>
      </c>
      <c r="Q8830">
        <v>29477811.199999999</v>
      </c>
      <c r="R8830" s="14">
        <f>_xlfn.XLOOKUP(Table2[[#This Row],[LoanID]],Table1[G-L ID],Table1[ManagerCode],-99)</f>
        <v>220</v>
      </c>
      <c r="T8830"/>
    </row>
    <row r="8831" spans="1:20" x14ac:dyDescent="0.25">
      <c r="A8831">
        <v>20190430</v>
      </c>
      <c r="B8831">
        <v>2019</v>
      </c>
      <c r="C8831">
        <v>4</v>
      </c>
      <c r="D8831">
        <v>1</v>
      </c>
      <c r="E8831">
        <v>14680</v>
      </c>
      <c r="F8831">
        <v>59227.73</v>
      </c>
      <c r="G8831">
        <v>0</v>
      </c>
      <c r="H8831">
        <v>0</v>
      </c>
      <c r="I8831">
        <v>0</v>
      </c>
      <c r="J8831">
        <v>0</v>
      </c>
      <c r="K8831">
        <v>0</v>
      </c>
      <c r="L8831">
        <v>28735557</v>
      </c>
      <c r="M8831">
        <v>28735557</v>
      </c>
      <c r="N8831">
        <v>7703798.0499999998</v>
      </c>
      <c r="O8831">
        <v>7703798.0499999998</v>
      </c>
      <c r="P8831">
        <v>28619645.710000001</v>
      </c>
      <c r="Q8831">
        <v>28619645.710000001</v>
      </c>
      <c r="R8831" s="14">
        <f>_xlfn.XLOOKUP(Table2[[#This Row],[LoanID]],Table1[G-L ID],Table1[ManagerCode],-99)</f>
        <v>220</v>
      </c>
      <c r="T8831"/>
    </row>
    <row r="8832" spans="1:20" x14ac:dyDescent="0.25">
      <c r="A8832">
        <v>20190430</v>
      </c>
      <c r="B8832">
        <v>2019</v>
      </c>
      <c r="C8832">
        <v>4</v>
      </c>
      <c r="D8832">
        <v>1</v>
      </c>
      <c r="E8832">
        <v>14690</v>
      </c>
      <c r="F8832">
        <v>97134.1</v>
      </c>
      <c r="G8832">
        <v>0</v>
      </c>
      <c r="H8832">
        <v>0</v>
      </c>
      <c r="I8832">
        <v>0</v>
      </c>
      <c r="J8832">
        <v>0</v>
      </c>
      <c r="K8832">
        <v>0</v>
      </c>
      <c r="L8832">
        <v>42335000</v>
      </c>
      <c r="M8832">
        <v>42335000</v>
      </c>
      <c r="N8832">
        <v>14817250</v>
      </c>
      <c r="O8832">
        <v>14817250</v>
      </c>
      <c r="P8832">
        <v>42335000</v>
      </c>
      <c r="Q8832">
        <v>42335000</v>
      </c>
      <c r="R8832" s="14">
        <f>_xlfn.XLOOKUP(Table2[[#This Row],[LoanID]],Table1[G-L ID],Table1[ManagerCode],-99)</f>
        <v>220</v>
      </c>
      <c r="T8832"/>
    </row>
    <row r="8833" spans="1:20" x14ac:dyDescent="0.25">
      <c r="A8833">
        <v>20190430</v>
      </c>
      <c r="B8833">
        <v>2019</v>
      </c>
      <c r="C8833">
        <v>4</v>
      </c>
      <c r="D8833">
        <v>1</v>
      </c>
      <c r="E8833">
        <v>14700</v>
      </c>
      <c r="F8833">
        <v>72711.69</v>
      </c>
      <c r="G8833">
        <v>0</v>
      </c>
      <c r="H8833">
        <v>0</v>
      </c>
      <c r="I8833">
        <v>0</v>
      </c>
      <c r="J8833">
        <v>0</v>
      </c>
      <c r="K8833">
        <v>0</v>
      </c>
      <c r="L8833">
        <v>35240840</v>
      </c>
      <c r="M8833">
        <v>35240840</v>
      </c>
      <c r="N8833">
        <v>10653340</v>
      </c>
      <c r="O8833">
        <v>10653340</v>
      </c>
      <c r="P8833">
        <v>35125000</v>
      </c>
      <c r="Q8833">
        <v>35125000</v>
      </c>
      <c r="R8833" s="14">
        <f>_xlfn.XLOOKUP(Table2[[#This Row],[LoanID]],Table1[G-L ID],Table1[ManagerCode],-99)</f>
        <v>220</v>
      </c>
      <c r="T8833"/>
    </row>
    <row r="8834" spans="1:20" x14ac:dyDescent="0.25">
      <c r="A8834">
        <v>20190430</v>
      </c>
      <c r="B8834">
        <v>2019</v>
      </c>
      <c r="C8834">
        <v>4</v>
      </c>
      <c r="D8834">
        <v>1</v>
      </c>
      <c r="E8834">
        <v>14710</v>
      </c>
      <c r="F8834">
        <v>66665.34</v>
      </c>
      <c r="G8834">
        <v>0</v>
      </c>
      <c r="H8834">
        <v>0</v>
      </c>
      <c r="I8834">
        <v>0</v>
      </c>
      <c r="J8834">
        <v>0</v>
      </c>
      <c r="K8834">
        <v>0</v>
      </c>
      <c r="L8834">
        <v>33650000</v>
      </c>
      <c r="M8834">
        <v>33650000</v>
      </c>
      <c r="N8834">
        <v>11777500</v>
      </c>
      <c r="O8834">
        <v>11777500</v>
      </c>
      <c r="P8834">
        <v>33650000</v>
      </c>
      <c r="Q8834">
        <v>33650000</v>
      </c>
      <c r="R8834" s="14">
        <f>_xlfn.XLOOKUP(Table2[[#This Row],[LoanID]],Table1[G-L ID],Table1[ManagerCode],-99)</f>
        <v>220</v>
      </c>
      <c r="T8834"/>
    </row>
    <row r="8835" spans="1:20" x14ac:dyDescent="0.25">
      <c r="A8835">
        <v>20190430</v>
      </c>
      <c r="B8835">
        <v>2019</v>
      </c>
      <c r="C8835">
        <v>4</v>
      </c>
      <c r="D8835">
        <v>1</v>
      </c>
      <c r="E8835">
        <v>14720</v>
      </c>
      <c r="F8835">
        <v>45092.69</v>
      </c>
      <c r="G8835">
        <v>0</v>
      </c>
      <c r="H8835">
        <v>0</v>
      </c>
      <c r="I8835">
        <v>0</v>
      </c>
      <c r="J8835">
        <v>-399857.27</v>
      </c>
      <c r="K8835">
        <v>0</v>
      </c>
      <c r="L8835">
        <v>19925763</v>
      </c>
      <c r="M8835">
        <v>21406313</v>
      </c>
      <c r="N8835">
        <v>6198763</v>
      </c>
      <c r="O8835">
        <v>7679313</v>
      </c>
      <c r="P8835">
        <v>19857567.359999999</v>
      </c>
      <c r="Q8835">
        <v>20257424.629999999</v>
      </c>
      <c r="R8835" s="14">
        <f>_xlfn.XLOOKUP(Table2[[#This Row],[LoanID]],Table1[G-L ID],Table1[ManagerCode],-99)</f>
        <v>220</v>
      </c>
      <c r="T8835"/>
    </row>
    <row r="8836" spans="1:20" x14ac:dyDescent="0.25">
      <c r="A8836">
        <v>20190430</v>
      </c>
      <c r="B8836">
        <v>2019</v>
      </c>
      <c r="C8836">
        <v>4</v>
      </c>
      <c r="D8836">
        <v>1</v>
      </c>
      <c r="E8836">
        <v>14730</v>
      </c>
      <c r="F8836">
        <v>205577.36</v>
      </c>
      <c r="G8836">
        <v>0</v>
      </c>
      <c r="H8836">
        <v>0</v>
      </c>
      <c r="I8836">
        <v>0</v>
      </c>
      <c r="J8836">
        <v>0</v>
      </c>
      <c r="K8836">
        <v>0</v>
      </c>
      <c r="L8836">
        <v>50412525</v>
      </c>
      <c r="M8836">
        <v>50350000</v>
      </c>
      <c r="N8836">
        <v>50412525</v>
      </c>
      <c r="O8836">
        <v>50350000</v>
      </c>
      <c r="P8836">
        <v>50260000</v>
      </c>
      <c r="Q8836">
        <v>50260000</v>
      </c>
      <c r="R8836" s="14">
        <f>_xlfn.XLOOKUP(Table2[[#This Row],[LoanID]],Table1[G-L ID],Table1[ManagerCode],-99)</f>
        <v>220</v>
      </c>
      <c r="T8836"/>
    </row>
    <row r="8837" spans="1:20" x14ac:dyDescent="0.25">
      <c r="A8837">
        <v>20190430</v>
      </c>
      <c r="B8837">
        <v>2019</v>
      </c>
      <c r="C8837">
        <v>4</v>
      </c>
      <c r="D8837">
        <v>1</v>
      </c>
      <c r="E8837">
        <v>14740</v>
      </c>
      <c r="F8837">
        <v>96516.06</v>
      </c>
      <c r="G8837">
        <v>0</v>
      </c>
      <c r="H8837">
        <v>0</v>
      </c>
      <c r="I8837">
        <v>0</v>
      </c>
      <c r="J8837">
        <v>0</v>
      </c>
      <c r="K8837">
        <v>0</v>
      </c>
      <c r="L8837">
        <v>35128398</v>
      </c>
      <c r="M8837">
        <v>35000000</v>
      </c>
      <c r="N8837">
        <v>14128398</v>
      </c>
      <c r="O8837">
        <v>14000000</v>
      </c>
      <c r="P8837">
        <v>35000000</v>
      </c>
      <c r="Q8837">
        <v>35000000</v>
      </c>
      <c r="R8837" s="14">
        <f>_xlfn.XLOOKUP(Table2[[#This Row],[LoanID]],Table1[G-L ID],Table1[ManagerCode],-99)</f>
        <v>220</v>
      </c>
      <c r="T8837"/>
    </row>
    <row r="8838" spans="1:20" x14ac:dyDescent="0.25">
      <c r="A8838">
        <v>20190430</v>
      </c>
      <c r="B8838">
        <v>2019</v>
      </c>
      <c r="C8838">
        <v>4</v>
      </c>
      <c r="D8838">
        <v>1</v>
      </c>
      <c r="E8838">
        <v>14750</v>
      </c>
      <c r="F8838">
        <v>120555.39</v>
      </c>
      <c r="G8838">
        <v>0</v>
      </c>
      <c r="H8838">
        <v>0</v>
      </c>
      <c r="I8838">
        <v>0</v>
      </c>
      <c r="J8838">
        <v>-997145.4</v>
      </c>
      <c r="K8838">
        <v>0</v>
      </c>
      <c r="L8838">
        <v>55000000</v>
      </c>
      <c r="M8838">
        <v>55997145.399999999</v>
      </c>
      <c r="N8838">
        <v>19250000</v>
      </c>
      <c r="O8838">
        <v>20247145.399999999</v>
      </c>
      <c r="P8838">
        <v>55000000</v>
      </c>
      <c r="Q8838">
        <v>55997145.399999999</v>
      </c>
      <c r="R8838" s="14">
        <f>_xlfn.XLOOKUP(Table2[[#This Row],[LoanID]],Table1[G-L ID],Table1[ManagerCode],-99)</f>
        <v>220</v>
      </c>
      <c r="T8838"/>
    </row>
    <row r="8839" spans="1:20" x14ac:dyDescent="0.25">
      <c r="A8839">
        <v>20190430</v>
      </c>
      <c r="B8839">
        <v>2019</v>
      </c>
      <c r="C8839">
        <v>4</v>
      </c>
      <c r="D8839">
        <v>1</v>
      </c>
      <c r="E8839">
        <v>14760</v>
      </c>
      <c r="F8839">
        <v>18608.330000000002</v>
      </c>
      <c r="G8839">
        <v>0</v>
      </c>
      <c r="H8839">
        <v>787500</v>
      </c>
      <c r="I8839">
        <v>0</v>
      </c>
      <c r="J8839">
        <v>-105000000</v>
      </c>
      <c r="K8839">
        <v>78750000</v>
      </c>
      <c r="L8839">
        <v>0</v>
      </c>
      <c r="M8839">
        <v>105000000</v>
      </c>
      <c r="N8839">
        <v>0</v>
      </c>
      <c r="O8839">
        <v>26250000</v>
      </c>
      <c r="P8839">
        <v>0</v>
      </c>
      <c r="Q8839">
        <v>105000000</v>
      </c>
      <c r="R8839" s="14">
        <f>_xlfn.XLOOKUP(Table2[[#This Row],[LoanID]],Table1[G-L ID],Table1[ManagerCode],-99)</f>
        <v>220</v>
      </c>
      <c r="T8839"/>
    </row>
    <row r="8840" spans="1:20" x14ac:dyDescent="0.25">
      <c r="A8840">
        <v>20190430</v>
      </c>
      <c r="B8840">
        <v>2019</v>
      </c>
      <c r="C8840">
        <v>4</v>
      </c>
      <c r="D8840">
        <v>1</v>
      </c>
      <c r="E8840">
        <v>14790</v>
      </c>
      <c r="F8840">
        <v>185535.42</v>
      </c>
      <c r="G8840">
        <v>0</v>
      </c>
      <c r="H8840">
        <v>0</v>
      </c>
      <c r="I8840">
        <v>0</v>
      </c>
      <c r="J8840">
        <v>0</v>
      </c>
      <c r="K8840">
        <v>0</v>
      </c>
      <c r="L8840">
        <v>72883095</v>
      </c>
      <c r="M8840">
        <v>72883095</v>
      </c>
      <c r="N8840">
        <v>23551753</v>
      </c>
      <c r="O8840">
        <v>23551753</v>
      </c>
      <c r="P8840">
        <v>72200000</v>
      </c>
      <c r="Q8840">
        <v>72200000</v>
      </c>
      <c r="R8840" s="14">
        <f>_xlfn.XLOOKUP(Table2[[#This Row],[LoanID]],Table1[G-L ID],Table1[ManagerCode],-99)</f>
        <v>220</v>
      </c>
      <c r="T8840"/>
    </row>
    <row r="8841" spans="1:20" x14ac:dyDescent="0.25">
      <c r="A8841">
        <v>20190430</v>
      </c>
      <c r="B8841">
        <v>2019</v>
      </c>
      <c r="C8841">
        <v>4</v>
      </c>
      <c r="D8841">
        <v>1</v>
      </c>
      <c r="E8841">
        <v>14800</v>
      </c>
      <c r="F8841">
        <v>114213.09</v>
      </c>
      <c r="G8841">
        <v>0</v>
      </c>
      <c r="H8841">
        <v>0</v>
      </c>
      <c r="I8841">
        <v>0</v>
      </c>
      <c r="J8841">
        <v>0</v>
      </c>
      <c r="K8841">
        <v>0</v>
      </c>
      <c r="L8841">
        <v>51000000</v>
      </c>
      <c r="M8841">
        <v>51000000</v>
      </c>
      <c r="N8841">
        <v>17850000</v>
      </c>
      <c r="O8841">
        <v>17850000</v>
      </c>
      <c r="P8841">
        <v>51000000</v>
      </c>
      <c r="Q8841">
        <v>51000000</v>
      </c>
      <c r="R8841" s="14">
        <f>_xlfn.XLOOKUP(Table2[[#This Row],[LoanID]],Table1[G-L ID],Table1[ManagerCode],-99)</f>
        <v>220</v>
      </c>
      <c r="T8841"/>
    </row>
    <row r="8842" spans="1:20" x14ac:dyDescent="0.25">
      <c r="A8842">
        <v>20190430</v>
      </c>
      <c r="B8842">
        <v>2019</v>
      </c>
      <c r="C8842">
        <v>4</v>
      </c>
      <c r="D8842">
        <v>1</v>
      </c>
      <c r="E8842">
        <v>14810</v>
      </c>
      <c r="F8842">
        <v>106077.85</v>
      </c>
      <c r="G8842">
        <v>0</v>
      </c>
      <c r="H8842">
        <v>0</v>
      </c>
      <c r="I8842">
        <v>0</v>
      </c>
      <c r="J8842">
        <v>0</v>
      </c>
      <c r="K8842">
        <v>0</v>
      </c>
      <c r="L8842">
        <v>25008714</v>
      </c>
      <c r="M8842">
        <v>25008714</v>
      </c>
      <c r="N8842">
        <v>25008714</v>
      </c>
      <c r="O8842">
        <v>25008714</v>
      </c>
      <c r="P8842">
        <v>24930000</v>
      </c>
      <c r="Q8842">
        <v>24930000</v>
      </c>
      <c r="R8842" s="14">
        <f>_xlfn.XLOOKUP(Table2[[#This Row],[LoanID]],Table1[G-L ID],Table1[ManagerCode],-99)</f>
        <v>220</v>
      </c>
      <c r="T8842"/>
    </row>
    <row r="8843" spans="1:20" x14ac:dyDescent="0.25">
      <c r="A8843">
        <v>20190430</v>
      </c>
      <c r="B8843">
        <v>2019</v>
      </c>
      <c r="C8843">
        <v>4</v>
      </c>
      <c r="D8843">
        <v>1</v>
      </c>
      <c r="E8843">
        <v>14820</v>
      </c>
      <c r="F8843">
        <v>121586.69</v>
      </c>
      <c r="G8843">
        <v>0</v>
      </c>
      <c r="H8843">
        <v>0</v>
      </c>
      <c r="I8843">
        <v>0</v>
      </c>
      <c r="J8843">
        <v>0</v>
      </c>
      <c r="K8843">
        <v>0</v>
      </c>
      <c r="L8843">
        <v>22623000</v>
      </c>
      <c r="M8843">
        <v>22623000</v>
      </c>
      <c r="N8843">
        <v>22623000</v>
      </c>
      <c r="O8843">
        <v>22623000</v>
      </c>
      <c r="P8843">
        <v>22623000</v>
      </c>
      <c r="Q8843">
        <v>22623000</v>
      </c>
      <c r="R8843" s="14">
        <f>_xlfn.XLOOKUP(Table2[[#This Row],[LoanID]],Table1[G-L ID],Table1[ManagerCode],-99)</f>
        <v>220</v>
      </c>
      <c r="T8843"/>
    </row>
    <row r="8844" spans="1:20" x14ac:dyDescent="0.25">
      <c r="A8844">
        <v>20190430</v>
      </c>
      <c r="B8844">
        <v>2019</v>
      </c>
      <c r="C8844">
        <v>4</v>
      </c>
      <c r="D8844">
        <v>1</v>
      </c>
      <c r="E8844">
        <v>14830</v>
      </c>
      <c r="F8844">
        <v>81634.210000000006</v>
      </c>
      <c r="G8844">
        <v>0</v>
      </c>
      <c r="H8844">
        <v>0</v>
      </c>
      <c r="I8844">
        <v>0</v>
      </c>
      <c r="J8844">
        <v>-126808.1</v>
      </c>
      <c r="K8844">
        <v>0</v>
      </c>
      <c r="L8844">
        <v>36385428</v>
      </c>
      <c r="M8844">
        <v>36385428</v>
      </c>
      <c r="N8844">
        <v>14920372.300000001</v>
      </c>
      <c r="O8844">
        <v>14920372.300000001</v>
      </c>
      <c r="P8844">
        <v>36048512.829999998</v>
      </c>
      <c r="Q8844">
        <v>36175320.93</v>
      </c>
      <c r="R8844" s="14">
        <f>_xlfn.XLOOKUP(Table2[[#This Row],[LoanID]],Table1[G-L ID],Table1[ManagerCode],-99)</f>
        <v>220</v>
      </c>
      <c r="T8844"/>
    </row>
    <row r="8845" spans="1:20" x14ac:dyDescent="0.25">
      <c r="A8845">
        <v>20190430</v>
      </c>
      <c r="B8845">
        <v>2019</v>
      </c>
      <c r="C8845">
        <v>4</v>
      </c>
      <c r="D8845">
        <v>1</v>
      </c>
      <c r="E8845">
        <v>14840</v>
      </c>
      <c r="F8845">
        <v>82361.009999999995</v>
      </c>
      <c r="G8845">
        <v>0</v>
      </c>
      <c r="H8845">
        <v>0</v>
      </c>
      <c r="I8845">
        <v>0</v>
      </c>
      <c r="J8845">
        <v>0</v>
      </c>
      <c r="K8845">
        <v>0</v>
      </c>
      <c r="L8845">
        <v>32126758</v>
      </c>
      <c r="M8845">
        <v>32126758</v>
      </c>
      <c r="N8845">
        <v>12928224.960000001</v>
      </c>
      <c r="O8845">
        <v>12928224.960000001</v>
      </c>
      <c r="P8845">
        <v>31997555.059999999</v>
      </c>
      <c r="Q8845">
        <v>31997555.059999999</v>
      </c>
      <c r="R8845" s="14">
        <f>_xlfn.XLOOKUP(Table2[[#This Row],[LoanID]],Table1[G-L ID],Table1[ManagerCode],-99)</f>
        <v>220</v>
      </c>
      <c r="T8845"/>
    </row>
    <row r="8846" spans="1:20" x14ac:dyDescent="0.25">
      <c r="A8846">
        <v>20190430</v>
      </c>
      <c r="B8846">
        <v>2019</v>
      </c>
      <c r="C8846">
        <v>4</v>
      </c>
      <c r="D8846">
        <v>1</v>
      </c>
      <c r="E8846">
        <v>14850</v>
      </c>
      <c r="F8846">
        <v>218601.5</v>
      </c>
      <c r="G8846">
        <v>0</v>
      </c>
      <c r="H8846">
        <v>0</v>
      </c>
      <c r="I8846">
        <v>0</v>
      </c>
      <c r="J8846">
        <v>-157388.75</v>
      </c>
      <c r="K8846">
        <v>0</v>
      </c>
      <c r="L8846">
        <v>85391367</v>
      </c>
      <c r="M8846">
        <v>85391367</v>
      </c>
      <c r="N8846">
        <v>36392057.25</v>
      </c>
      <c r="O8846">
        <v>36392057.25</v>
      </c>
      <c r="P8846">
        <v>85064902.280000001</v>
      </c>
      <c r="Q8846">
        <v>85222291.030000001</v>
      </c>
      <c r="R8846" s="14">
        <f>_xlfn.XLOOKUP(Table2[[#This Row],[LoanID]],Table1[G-L ID],Table1[ManagerCode],-99)</f>
        <v>220</v>
      </c>
      <c r="T8846"/>
    </row>
    <row r="8847" spans="1:20" x14ac:dyDescent="0.25">
      <c r="A8847">
        <v>20190430</v>
      </c>
      <c r="B8847">
        <v>2019</v>
      </c>
      <c r="C8847">
        <v>4</v>
      </c>
      <c r="D8847">
        <v>1</v>
      </c>
      <c r="E8847">
        <v>14860</v>
      </c>
      <c r="F8847">
        <v>180104.32000000001</v>
      </c>
      <c r="G8847">
        <v>0</v>
      </c>
      <c r="H8847">
        <v>0</v>
      </c>
      <c r="I8847">
        <v>0</v>
      </c>
      <c r="J8847">
        <v>0</v>
      </c>
      <c r="K8847">
        <v>0</v>
      </c>
      <c r="L8847">
        <v>65575164</v>
      </c>
      <c r="M8847">
        <v>65575164</v>
      </c>
      <c r="N8847">
        <v>26716164</v>
      </c>
      <c r="O8847">
        <v>26716164</v>
      </c>
      <c r="P8847">
        <v>65000000</v>
      </c>
      <c r="Q8847">
        <v>65000000</v>
      </c>
      <c r="R8847" s="14">
        <f>_xlfn.XLOOKUP(Table2[[#This Row],[LoanID]],Table1[G-L ID],Table1[ManagerCode],-99)</f>
        <v>220</v>
      </c>
      <c r="T8847"/>
    </row>
    <row r="8848" spans="1:20" x14ac:dyDescent="0.25">
      <c r="A8848">
        <v>20190430</v>
      </c>
      <c r="B8848">
        <v>2019</v>
      </c>
      <c r="C8848">
        <v>4</v>
      </c>
      <c r="D8848">
        <v>1</v>
      </c>
      <c r="E8848">
        <v>14870</v>
      </c>
      <c r="F8848">
        <v>244213.47</v>
      </c>
      <c r="G8848">
        <v>0</v>
      </c>
      <c r="H8848">
        <v>0</v>
      </c>
      <c r="I8848">
        <v>0</v>
      </c>
      <c r="J8848">
        <v>0</v>
      </c>
      <c r="K8848">
        <v>0</v>
      </c>
      <c r="L8848">
        <v>121791293</v>
      </c>
      <c r="M8848">
        <v>121791293</v>
      </c>
      <c r="N8848">
        <v>121791293</v>
      </c>
      <c r="O8848">
        <v>121791293</v>
      </c>
      <c r="P8848">
        <v>121557000</v>
      </c>
      <c r="Q8848">
        <v>121557000</v>
      </c>
      <c r="R8848" s="14">
        <f>_xlfn.XLOOKUP(Table2[[#This Row],[LoanID]],Table1[G-L ID],Table1[ManagerCode],-99)</f>
        <v>220</v>
      </c>
      <c r="T8848"/>
    </row>
    <row r="8849" spans="1:20" x14ac:dyDescent="0.25">
      <c r="A8849">
        <v>20190430</v>
      </c>
      <c r="B8849">
        <v>2019</v>
      </c>
      <c r="C8849">
        <v>4</v>
      </c>
      <c r="D8849">
        <v>1</v>
      </c>
      <c r="E8849">
        <v>14880</v>
      </c>
      <c r="F8849">
        <v>135123.60999999999</v>
      </c>
      <c r="G8849">
        <v>0</v>
      </c>
      <c r="H8849">
        <v>0</v>
      </c>
      <c r="I8849">
        <v>0</v>
      </c>
      <c r="J8849">
        <v>0</v>
      </c>
      <c r="K8849">
        <v>0</v>
      </c>
      <c r="L8849">
        <v>18080261</v>
      </c>
      <c r="M8849">
        <v>18080261</v>
      </c>
      <c r="N8849">
        <v>18080261</v>
      </c>
      <c r="O8849">
        <v>18080261</v>
      </c>
      <c r="P8849">
        <v>17951257</v>
      </c>
      <c r="Q8849">
        <v>17951257</v>
      </c>
      <c r="R8849" s="14">
        <f>_xlfn.XLOOKUP(Table2[[#This Row],[LoanID]],Table1[G-L ID],Table1[ManagerCode],-99)</f>
        <v>220</v>
      </c>
      <c r="T8849"/>
    </row>
    <row r="8850" spans="1:20" x14ac:dyDescent="0.25">
      <c r="A8850">
        <v>20190430</v>
      </c>
      <c r="B8850">
        <v>2019</v>
      </c>
      <c r="C8850">
        <v>4</v>
      </c>
      <c r="D8850">
        <v>1</v>
      </c>
      <c r="E8850">
        <v>14890</v>
      </c>
      <c r="F8850">
        <v>70388.490000000005</v>
      </c>
      <c r="G8850">
        <v>0</v>
      </c>
      <c r="H8850">
        <v>0</v>
      </c>
      <c r="I8850">
        <v>0</v>
      </c>
      <c r="J8850">
        <v>0</v>
      </c>
      <c r="K8850">
        <v>0</v>
      </c>
      <c r="L8850">
        <v>34000000</v>
      </c>
      <c r="M8850">
        <v>34000000</v>
      </c>
      <c r="N8850">
        <v>11900000</v>
      </c>
      <c r="O8850">
        <v>11900000</v>
      </c>
      <c r="P8850">
        <v>34000000</v>
      </c>
      <c r="Q8850">
        <v>34000000</v>
      </c>
      <c r="R8850" s="14">
        <f>_xlfn.XLOOKUP(Table2[[#This Row],[LoanID]],Table1[G-L ID],Table1[ManagerCode],-99)</f>
        <v>220</v>
      </c>
      <c r="T8850"/>
    </row>
    <row r="8851" spans="1:20" x14ac:dyDescent="0.25">
      <c r="A8851">
        <v>20190430</v>
      </c>
      <c r="B8851">
        <v>2019</v>
      </c>
      <c r="C8851">
        <v>4</v>
      </c>
      <c r="D8851">
        <v>1</v>
      </c>
      <c r="E8851">
        <v>14900</v>
      </c>
      <c r="F8851">
        <v>119728.67</v>
      </c>
      <c r="G8851">
        <v>0</v>
      </c>
      <c r="H8851">
        <v>0</v>
      </c>
      <c r="I8851">
        <v>0</v>
      </c>
      <c r="J8851">
        <v>-501934.36</v>
      </c>
      <c r="K8851">
        <v>0</v>
      </c>
      <c r="L8851">
        <v>64197984</v>
      </c>
      <c r="M8851">
        <v>64197984</v>
      </c>
      <c r="N8851">
        <v>22597984</v>
      </c>
      <c r="O8851">
        <v>22597984</v>
      </c>
      <c r="P8851">
        <v>64000000</v>
      </c>
      <c r="Q8851">
        <v>64501934.359999999</v>
      </c>
      <c r="R8851" s="14">
        <f>_xlfn.XLOOKUP(Table2[[#This Row],[LoanID]],Table1[G-L ID],Table1[ManagerCode],-99)</f>
        <v>220</v>
      </c>
      <c r="T8851"/>
    </row>
    <row r="8852" spans="1:20" x14ac:dyDescent="0.25">
      <c r="A8852">
        <v>20190430</v>
      </c>
      <c r="B8852">
        <v>2019</v>
      </c>
      <c r="C8852">
        <v>4</v>
      </c>
      <c r="D8852">
        <v>1</v>
      </c>
      <c r="E8852">
        <v>14910</v>
      </c>
      <c r="F8852">
        <v>57864.47</v>
      </c>
      <c r="G8852">
        <v>0</v>
      </c>
      <c r="H8852">
        <v>0</v>
      </c>
      <c r="I8852">
        <v>0</v>
      </c>
      <c r="J8852">
        <v>0</v>
      </c>
      <c r="K8852">
        <v>0</v>
      </c>
      <c r="L8852">
        <v>38117796</v>
      </c>
      <c r="M8852">
        <v>38117796</v>
      </c>
      <c r="N8852">
        <v>11517796</v>
      </c>
      <c r="O8852">
        <v>11517796</v>
      </c>
      <c r="P8852">
        <v>38000000</v>
      </c>
      <c r="Q8852">
        <v>38000000</v>
      </c>
      <c r="R8852" s="14">
        <f>_xlfn.XLOOKUP(Table2[[#This Row],[LoanID]],Table1[G-L ID],Table1[ManagerCode],-99)</f>
        <v>220</v>
      </c>
      <c r="T8852"/>
    </row>
    <row r="8853" spans="1:20" x14ac:dyDescent="0.25">
      <c r="A8853">
        <v>20190430</v>
      </c>
      <c r="B8853">
        <v>2019</v>
      </c>
      <c r="C8853">
        <v>4</v>
      </c>
      <c r="D8853">
        <v>1</v>
      </c>
      <c r="E8853">
        <v>14920</v>
      </c>
      <c r="F8853">
        <v>105997.45</v>
      </c>
      <c r="G8853">
        <v>0</v>
      </c>
      <c r="H8853">
        <v>0</v>
      </c>
      <c r="I8853">
        <v>0</v>
      </c>
      <c r="J8853">
        <v>0</v>
      </c>
      <c r="K8853">
        <v>0</v>
      </c>
      <c r="L8853">
        <v>70211536</v>
      </c>
      <c r="M8853">
        <v>70211536</v>
      </c>
      <c r="N8853">
        <v>21211536</v>
      </c>
      <c r="O8853">
        <v>21211536</v>
      </c>
      <c r="P8853">
        <v>70000000</v>
      </c>
      <c r="Q8853">
        <v>70000000</v>
      </c>
      <c r="R8853" s="14">
        <f>_xlfn.XLOOKUP(Table2[[#This Row],[LoanID]],Table1[G-L ID],Table1[ManagerCode],-99)</f>
        <v>220</v>
      </c>
      <c r="T8853"/>
    </row>
    <row r="8854" spans="1:20" x14ac:dyDescent="0.25">
      <c r="A8854">
        <v>20190430</v>
      </c>
      <c r="B8854">
        <v>2019</v>
      </c>
      <c r="C8854">
        <v>4</v>
      </c>
      <c r="D8854">
        <v>1</v>
      </c>
      <c r="E8854">
        <v>14930</v>
      </c>
      <c r="F8854">
        <v>97697.57</v>
      </c>
      <c r="G8854">
        <v>0</v>
      </c>
      <c r="H8854">
        <v>0</v>
      </c>
      <c r="I8854">
        <v>0</v>
      </c>
      <c r="J8854">
        <v>0</v>
      </c>
      <c r="K8854">
        <v>0</v>
      </c>
      <c r="L8854">
        <v>55000000</v>
      </c>
      <c r="M8854">
        <v>55000000</v>
      </c>
      <c r="N8854">
        <v>19250000</v>
      </c>
      <c r="O8854">
        <v>19250000</v>
      </c>
      <c r="P8854">
        <v>55000000</v>
      </c>
      <c r="Q8854">
        <v>55000000</v>
      </c>
      <c r="R8854" s="14">
        <f>_xlfn.XLOOKUP(Table2[[#This Row],[LoanID]],Table1[G-L ID],Table1[ManagerCode],-99)</f>
        <v>220</v>
      </c>
      <c r="T8854"/>
    </row>
    <row r="8855" spans="1:20" x14ac:dyDescent="0.25">
      <c r="A8855">
        <v>20190430</v>
      </c>
      <c r="B8855">
        <v>2019</v>
      </c>
      <c r="C8855">
        <v>4</v>
      </c>
      <c r="D8855">
        <v>1</v>
      </c>
      <c r="E8855">
        <v>14940</v>
      </c>
      <c r="F8855">
        <v>140578.23999999999</v>
      </c>
      <c r="G8855">
        <v>0</v>
      </c>
      <c r="H8855">
        <v>0</v>
      </c>
      <c r="I8855">
        <v>0</v>
      </c>
      <c r="J8855">
        <v>-272912.44</v>
      </c>
      <c r="K8855">
        <v>0</v>
      </c>
      <c r="L8855">
        <v>67922304</v>
      </c>
      <c r="M8855">
        <v>69058061.459999993</v>
      </c>
      <c r="N8855">
        <v>30676307.02</v>
      </c>
      <c r="O8855">
        <v>31812064.48</v>
      </c>
      <c r="P8855">
        <v>67719993.760000005</v>
      </c>
      <c r="Q8855">
        <v>67992906.200000003</v>
      </c>
      <c r="R8855" s="14">
        <f>_xlfn.XLOOKUP(Table2[[#This Row],[LoanID]],Table1[G-L ID],Table1[ManagerCode],-99)</f>
        <v>220</v>
      </c>
      <c r="T8855"/>
    </row>
    <row r="8856" spans="1:20" x14ac:dyDescent="0.25">
      <c r="A8856">
        <v>20190430</v>
      </c>
      <c r="B8856">
        <v>2019</v>
      </c>
      <c r="C8856">
        <v>4</v>
      </c>
      <c r="D8856">
        <v>1</v>
      </c>
      <c r="E8856">
        <v>14950</v>
      </c>
      <c r="F8856">
        <v>211458.33</v>
      </c>
      <c r="G8856">
        <v>0</v>
      </c>
      <c r="H8856">
        <v>0</v>
      </c>
      <c r="I8856">
        <v>0</v>
      </c>
      <c r="J8856">
        <v>0</v>
      </c>
      <c r="K8856">
        <v>0</v>
      </c>
      <c r="L8856">
        <v>35000000</v>
      </c>
      <c r="M8856">
        <v>35000000</v>
      </c>
      <c r="N8856">
        <v>35000000</v>
      </c>
      <c r="O8856">
        <v>35000000</v>
      </c>
      <c r="P8856">
        <v>35000000</v>
      </c>
      <c r="Q8856">
        <v>35000000</v>
      </c>
      <c r="R8856" s="14">
        <f>_xlfn.XLOOKUP(Table2[[#This Row],[LoanID]],Table1[G-L ID],Table1[ManagerCode],-99)</f>
        <v>220</v>
      </c>
      <c r="T8856"/>
    </row>
    <row r="8857" spans="1:20" x14ac:dyDescent="0.25">
      <c r="A8857">
        <v>20190430</v>
      </c>
      <c r="B8857">
        <v>2019</v>
      </c>
      <c r="C8857">
        <v>4</v>
      </c>
      <c r="D8857">
        <v>1</v>
      </c>
      <c r="E8857">
        <v>14960</v>
      </c>
      <c r="F8857">
        <v>66701.460000000006</v>
      </c>
      <c r="G8857">
        <v>0</v>
      </c>
      <c r="H8857">
        <v>0</v>
      </c>
      <c r="I8857">
        <v>0</v>
      </c>
      <c r="J8857">
        <v>0</v>
      </c>
      <c r="K8857">
        <v>0</v>
      </c>
      <c r="L8857">
        <v>14888095</v>
      </c>
      <c r="M8857">
        <v>14888095</v>
      </c>
      <c r="N8857">
        <v>14888095</v>
      </c>
      <c r="O8857">
        <v>14888095</v>
      </c>
      <c r="P8857">
        <v>14805000</v>
      </c>
      <c r="Q8857">
        <v>14805000</v>
      </c>
      <c r="R8857" s="14">
        <f>_xlfn.XLOOKUP(Table2[[#This Row],[LoanID]],Table1[G-L ID],Table1[ManagerCode],-99)</f>
        <v>220</v>
      </c>
      <c r="T8857"/>
    </row>
    <row r="8858" spans="1:20" x14ac:dyDescent="0.25">
      <c r="A8858">
        <v>20190430</v>
      </c>
      <c r="B8858">
        <v>2019</v>
      </c>
      <c r="C8858">
        <v>4</v>
      </c>
      <c r="D8858">
        <v>1</v>
      </c>
      <c r="E8858">
        <v>14970</v>
      </c>
      <c r="F8858">
        <v>57304.5</v>
      </c>
      <c r="G8858">
        <v>0</v>
      </c>
      <c r="H8858">
        <v>0</v>
      </c>
      <c r="I8858">
        <v>0</v>
      </c>
      <c r="J8858">
        <v>0</v>
      </c>
      <c r="K8858">
        <v>0</v>
      </c>
      <c r="L8858">
        <v>29787156</v>
      </c>
      <c r="M8858">
        <v>29787156</v>
      </c>
      <c r="N8858">
        <v>10482156</v>
      </c>
      <c r="O8858">
        <v>10482156</v>
      </c>
      <c r="P8858">
        <v>29700000</v>
      </c>
      <c r="Q8858">
        <v>29700000</v>
      </c>
      <c r="R8858" s="14">
        <f>_xlfn.XLOOKUP(Table2[[#This Row],[LoanID]],Table1[G-L ID],Table1[ManagerCode],-99)</f>
        <v>220</v>
      </c>
      <c r="T8858"/>
    </row>
    <row r="8859" spans="1:20" x14ac:dyDescent="0.25">
      <c r="A8859">
        <v>20190430</v>
      </c>
      <c r="B8859">
        <v>2019</v>
      </c>
      <c r="C8859">
        <v>4</v>
      </c>
      <c r="D8859">
        <v>1</v>
      </c>
      <c r="E8859">
        <v>15030</v>
      </c>
      <c r="F8859">
        <v>87100.61</v>
      </c>
      <c r="G8859">
        <v>0</v>
      </c>
      <c r="H8859">
        <v>0</v>
      </c>
      <c r="I8859">
        <v>0</v>
      </c>
      <c r="J8859">
        <v>-171240.37</v>
      </c>
      <c r="K8859">
        <v>0</v>
      </c>
      <c r="L8859">
        <v>39302298</v>
      </c>
      <c r="M8859">
        <v>39302298</v>
      </c>
      <c r="N8859">
        <v>14547580.59</v>
      </c>
      <c r="O8859">
        <v>14547580.59</v>
      </c>
      <c r="P8859">
        <v>39059717.490000002</v>
      </c>
      <c r="Q8859">
        <v>39230957.859999999</v>
      </c>
      <c r="R8859" s="14">
        <f>_xlfn.XLOOKUP(Table2[[#This Row],[LoanID]],Table1[G-L ID],Table1[ManagerCode],-99)</f>
        <v>220</v>
      </c>
      <c r="T8859"/>
    </row>
    <row r="8860" spans="1:20" x14ac:dyDescent="0.25">
      <c r="A8860">
        <v>20190430</v>
      </c>
      <c r="B8860">
        <v>2019</v>
      </c>
      <c r="C8860">
        <v>4</v>
      </c>
      <c r="D8860">
        <v>1</v>
      </c>
      <c r="E8860">
        <v>15540</v>
      </c>
      <c r="F8860">
        <v>278895.21000000002</v>
      </c>
      <c r="G8860">
        <v>-6043.35</v>
      </c>
      <c r="H8860">
        <v>0</v>
      </c>
      <c r="I8860">
        <v>-3154.41</v>
      </c>
      <c r="J8860">
        <v>0</v>
      </c>
      <c r="K8860">
        <v>0</v>
      </c>
      <c r="L8860">
        <v>57288091.380000003</v>
      </c>
      <c r="M8860">
        <v>57282048.030000001</v>
      </c>
      <c r="N8860">
        <v>57288091.380000003</v>
      </c>
      <c r="O8860">
        <v>57282048.030000001</v>
      </c>
      <c r="P8860">
        <v>57288091.380000003</v>
      </c>
      <c r="Q8860">
        <v>57282048.030000001</v>
      </c>
      <c r="R8860" s="14">
        <f>_xlfn.XLOOKUP(Table2[[#This Row],[LoanID]],Table1[G-L ID],Table1[ManagerCode],-99)</f>
        <v>212</v>
      </c>
      <c r="T8860"/>
    </row>
    <row r="8861" spans="1:20" x14ac:dyDescent="0.25">
      <c r="A8861">
        <v>20190430</v>
      </c>
      <c r="B8861">
        <v>2019</v>
      </c>
      <c r="C8861">
        <v>4</v>
      </c>
      <c r="D8861">
        <v>1</v>
      </c>
      <c r="E8861">
        <v>15560</v>
      </c>
      <c r="F8861">
        <v>296308.33</v>
      </c>
      <c r="G8861">
        <v>-9583.33</v>
      </c>
      <c r="H8861">
        <v>0</v>
      </c>
      <c r="I8861">
        <v>0</v>
      </c>
      <c r="J8861">
        <v>0</v>
      </c>
      <c r="K8861">
        <v>0</v>
      </c>
      <c r="L8861">
        <v>50162491.670000002</v>
      </c>
      <c r="M8861">
        <v>50152908.340000004</v>
      </c>
      <c r="N8861">
        <v>50162491.670000002</v>
      </c>
      <c r="O8861">
        <v>50152908.340000004</v>
      </c>
      <c r="P8861">
        <v>50162491.670000002</v>
      </c>
      <c r="Q8861">
        <v>50152908.340000004</v>
      </c>
      <c r="R8861" s="14">
        <f>_xlfn.XLOOKUP(Table2[[#This Row],[LoanID]],Table1[G-L ID],Table1[ManagerCode],-99)</f>
        <v>212</v>
      </c>
      <c r="T8861"/>
    </row>
    <row r="8862" spans="1:20" x14ac:dyDescent="0.25">
      <c r="A8862">
        <v>20190430</v>
      </c>
      <c r="B8862">
        <v>2019</v>
      </c>
      <c r="C8862">
        <v>4</v>
      </c>
      <c r="D8862">
        <v>1</v>
      </c>
      <c r="E8862">
        <v>15580</v>
      </c>
      <c r="F8862">
        <v>115137.03</v>
      </c>
      <c r="G8862">
        <v>-3777.8</v>
      </c>
      <c r="H8862">
        <v>0</v>
      </c>
      <c r="I8862">
        <v>0</v>
      </c>
      <c r="J8862">
        <v>0</v>
      </c>
      <c r="K8862">
        <v>8264.2800000000007</v>
      </c>
      <c r="L8862">
        <v>14570004.369999999</v>
      </c>
      <c r="M8862">
        <v>14557962.289999999</v>
      </c>
      <c r="N8862">
        <v>14570004.369999999</v>
      </c>
      <c r="O8862">
        <v>14557962.289999999</v>
      </c>
      <c r="P8862">
        <v>14570004.369999999</v>
      </c>
      <c r="Q8862">
        <v>14557962.289999999</v>
      </c>
      <c r="R8862" s="14">
        <f>_xlfn.XLOOKUP(Table2[[#This Row],[LoanID]],Table1[G-L ID],Table1[ManagerCode],-99)</f>
        <v>212</v>
      </c>
      <c r="T8862"/>
    </row>
    <row r="8863" spans="1:20" x14ac:dyDescent="0.25">
      <c r="A8863">
        <v>20190430</v>
      </c>
      <c r="B8863">
        <v>2019</v>
      </c>
      <c r="C8863">
        <v>4</v>
      </c>
      <c r="D8863">
        <v>1</v>
      </c>
      <c r="E8863">
        <v>15610</v>
      </c>
      <c r="F8863">
        <v>962156.84</v>
      </c>
      <c r="G8863">
        <v>-38391.269999999997</v>
      </c>
      <c r="H8863">
        <v>0</v>
      </c>
      <c r="I8863">
        <v>-9085.73</v>
      </c>
      <c r="J8863">
        <v>0</v>
      </c>
      <c r="K8863">
        <v>0</v>
      </c>
      <c r="L8863">
        <v>213022396.40000001</v>
      </c>
      <c r="M8863">
        <v>212984005.09999999</v>
      </c>
      <c r="N8863">
        <v>213022396.40000001</v>
      </c>
      <c r="O8863">
        <v>212984005.09999999</v>
      </c>
      <c r="P8863">
        <v>213022396.40000001</v>
      </c>
      <c r="Q8863">
        <v>212984005.09999999</v>
      </c>
      <c r="R8863" s="14">
        <f>_xlfn.XLOOKUP(Table2[[#This Row],[LoanID]],Table1[G-L ID],Table1[ManagerCode],-99)</f>
        <v>212</v>
      </c>
      <c r="T8863"/>
    </row>
    <row r="8864" spans="1:20" x14ac:dyDescent="0.25">
      <c r="A8864">
        <v>20190430</v>
      </c>
      <c r="B8864">
        <v>2019</v>
      </c>
      <c r="C8864">
        <v>4</v>
      </c>
      <c r="D8864">
        <v>1</v>
      </c>
      <c r="E8864">
        <v>15620</v>
      </c>
      <c r="F8864">
        <v>359888.98</v>
      </c>
      <c r="G8864">
        <v>-11870.6</v>
      </c>
      <c r="H8864">
        <v>0</v>
      </c>
      <c r="I8864">
        <v>-3374.8</v>
      </c>
      <c r="J8864">
        <v>0</v>
      </c>
      <c r="K8864">
        <v>0</v>
      </c>
      <c r="L8864">
        <v>78742407.989999995</v>
      </c>
      <c r="M8864">
        <v>78730537.390000001</v>
      </c>
      <c r="N8864">
        <v>78742407.989999995</v>
      </c>
      <c r="O8864">
        <v>78730537.390000001</v>
      </c>
      <c r="P8864">
        <v>78742407.989999995</v>
      </c>
      <c r="Q8864">
        <v>78730537.390000001</v>
      </c>
      <c r="R8864" s="14">
        <f>_xlfn.XLOOKUP(Table2[[#This Row],[LoanID]],Table1[G-L ID],Table1[ManagerCode],-99)</f>
        <v>212</v>
      </c>
      <c r="T8864"/>
    </row>
    <row r="8865" spans="1:20" x14ac:dyDescent="0.25">
      <c r="A8865">
        <v>20190531</v>
      </c>
      <c r="B8865">
        <v>2019</v>
      </c>
      <c r="C8865">
        <v>5</v>
      </c>
      <c r="D8865">
        <v>1</v>
      </c>
      <c r="E8865">
        <v>10010</v>
      </c>
      <c r="F8865">
        <v>200644.61</v>
      </c>
      <c r="G8865">
        <v>0</v>
      </c>
      <c r="H8865">
        <v>0</v>
      </c>
      <c r="I8865">
        <v>0</v>
      </c>
      <c r="J8865">
        <v>0</v>
      </c>
      <c r="K8865">
        <v>32489.439999999999</v>
      </c>
      <c r="L8865">
        <v>18231810.460000001</v>
      </c>
      <c r="M8865">
        <v>18199321.02</v>
      </c>
      <c r="N8865">
        <v>18231810.460000001</v>
      </c>
      <c r="O8865">
        <v>18199321.02</v>
      </c>
      <c r="P8865">
        <v>18231810.460000001</v>
      </c>
      <c r="Q8865">
        <v>18199321.02</v>
      </c>
      <c r="R8865" s="14">
        <f>_xlfn.XLOOKUP(Table2[[#This Row],[LoanID]],Table1[G-L ID],Table1[ManagerCode],-99)</f>
        <v>119</v>
      </c>
      <c r="T8865"/>
    </row>
    <row r="8866" spans="1:20" x14ac:dyDescent="0.25">
      <c r="A8866">
        <v>20190531</v>
      </c>
      <c r="B8866">
        <v>2019</v>
      </c>
      <c r="C8866">
        <v>5</v>
      </c>
      <c r="D8866">
        <v>1</v>
      </c>
      <c r="E8866">
        <v>10050</v>
      </c>
      <c r="F8866">
        <v>149013.89000000001</v>
      </c>
      <c r="G8866">
        <v>0</v>
      </c>
      <c r="H8866">
        <v>0</v>
      </c>
      <c r="I8866">
        <v>-69.45</v>
      </c>
      <c r="J8866">
        <v>0</v>
      </c>
      <c r="K8866">
        <v>0</v>
      </c>
      <c r="L8866">
        <v>36346139</v>
      </c>
      <c r="M8866">
        <v>37011339</v>
      </c>
      <c r="N8866">
        <v>36346139</v>
      </c>
      <c r="O8866">
        <v>37011339</v>
      </c>
      <c r="P8866">
        <v>33333334</v>
      </c>
      <c r="Q8866">
        <v>33333334</v>
      </c>
      <c r="R8866" s="14">
        <f>_xlfn.XLOOKUP(Table2[[#This Row],[LoanID]],Table1[G-L ID],Table1[ManagerCode],-99)</f>
        <v>103</v>
      </c>
      <c r="T8866"/>
    </row>
    <row r="8867" spans="1:20" x14ac:dyDescent="0.25">
      <c r="A8867">
        <v>20190531</v>
      </c>
      <c r="B8867">
        <v>2019</v>
      </c>
      <c r="C8867">
        <v>5</v>
      </c>
      <c r="D8867">
        <v>1</v>
      </c>
      <c r="E8867">
        <v>10220</v>
      </c>
      <c r="F8867">
        <v>1101388.8899999999</v>
      </c>
      <c r="G8867">
        <v>0</v>
      </c>
      <c r="H8867">
        <v>0</v>
      </c>
      <c r="I8867">
        <v>0</v>
      </c>
      <c r="J8867">
        <v>0</v>
      </c>
      <c r="K8867">
        <v>0</v>
      </c>
      <c r="L8867">
        <v>108713446</v>
      </c>
      <c r="M8867">
        <v>109612930</v>
      </c>
      <c r="N8867">
        <v>108713446</v>
      </c>
      <c r="O8867">
        <v>109612930</v>
      </c>
      <c r="P8867">
        <v>100000000</v>
      </c>
      <c r="Q8867">
        <v>100000000</v>
      </c>
      <c r="R8867" s="14">
        <f>_xlfn.XLOOKUP(Table2[[#This Row],[LoanID]],Table1[G-L ID],Table1[ManagerCode],-99)</f>
        <v>103</v>
      </c>
      <c r="T8867"/>
    </row>
    <row r="8868" spans="1:20" x14ac:dyDescent="0.25">
      <c r="A8868">
        <v>20190531</v>
      </c>
      <c r="B8868">
        <v>2019</v>
      </c>
      <c r="C8868">
        <v>5</v>
      </c>
      <c r="D8868">
        <v>1</v>
      </c>
      <c r="E8868">
        <v>10250</v>
      </c>
      <c r="F8868">
        <v>59387.5</v>
      </c>
      <c r="G8868">
        <v>0</v>
      </c>
      <c r="H8868">
        <v>0</v>
      </c>
      <c r="I8868">
        <v>0</v>
      </c>
      <c r="J8868">
        <v>0</v>
      </c>
      <c r="K8868">
        <v>5000000</v>
      </c>
      <c r="L8868">
        <v>5000000</v>
      </c>
      <c r="M8868">
        <v>0</v>
      </c>
      <c r="N8868">
        <v>5000000</v>
      </c>
      <c r="O8868">
        <v>0</v>
      </c>
      <c r="P8868">
        <v>5000000</v>
      </c>
      <c r="Q8868">
        <v>0</v>
      </c>
      <c r="R8868" s="14">
        <f>_xlfn.XLOOKUP(Table2[[#This Row],[LoanID]],Table1[G-L ID],Table1[ManagerCode],-99)</f>
        <v>119</v>
      </c>
      <c r="T8868"/>
    </row>
    <row r="8869" spans="1:20" x14ac:dyDescent="0.25">
      <c r="A8869">
        <v>20190531</v>
      </c>
      <c r="B8869">
        <v>2019</v>
      </c>
      <c r="C8869">
        <v>5</v>
      </c>
      <c r="D8869">
        <v>1</v>
      </c>
      <c r="E8869">
        <v>10270</v>
      </c>
      <c r="F8869">
        <v>50872.5</v>
      </c>
      <c r="G8869">
        <v>0</v>
      </c>
      <c r="H8869">
        <v>0</v>
      </c>
      <c r="I8869">
        <v>0</v>
      </c>
      <c r="J8869">
        <v>0</v>
      </c>
      <c r="K8869">
        <v>0</v>
      </c>
      <c r="L8869">
        <v>4500000</v>
      </c>
      <c r="M8869">
        <v>4500000</v>
      </c>
      <c r="N8869">
        <v>4500000</v>
      </c>
      <c r="O8869">
        <v>4500000</v>
      </c>
      <c r="P8869">
        <v>4500000</v>
      </c>
      <c r="Q8869">
        <v>4500000</v>
      </c>
      <c r="R8869" s="14">
        <f>_xlfn.XLOOKUP(Table2[[#This Row],[LoanID]],Table1[G-L ID],Table1[ManagerCode],-99)</f>
        <v>119</v>
      </c>
      <c r="T8869"/>
    </row>
    <row r="8870" spans="1:20" x14ac:dyDescent="0.25">
      <c r="A8870">
        <v>20190531</v>
      </c>
      <c r="B8870">
        <v>2019</v>
      </c>
      <c r="C8870">
        <v>5</v>
      </c>
      <c r="D8870">
        <v>1</v>
      </c>
      <c r="E8870">
        <v>10360</v>
      </c>
      <c r="F8870">
        <v>57858.96</v>
      </c>
      <c r="G8870">
        <v>0</v>
      </c>
      <c r="H8870">
        <v>0</v>
      </c>
      <c r="I8870">
        <v>0</v>
      </c>
      <c r="J8870">
        <v>0</v>
      </c>
      <c r="K8870">
        <v>0</v>
      </c>
      <c r="L8870">
        <v>5909000</v>
      </c>
      <c r="M8870">
        <v>5909000</v>
      </c>
      <c r="N8870">
        <v>5909000</v>
      </c>
      <c r="O8870">
        <v>5909000</v>
      </c>
      <c r="P8870">
        <v>5909000</v>
      </c>
      <c r="Q8870">
        <v>5909000</v>
      </c>
      <c r="R8870" s="14">
        <f>_xlfn.XLOOKUP(Table2[[#This Row],[LoanID]],Table1[G-L ID],Table1[ManagerCode],-99)</f>
        <v>183</v>
      </c>
      <c r="T8870"/>
    </row>
    <row r="8871" spans="1:20" x14ac:dyDescent="0.25">
      <c r="A8871">
        <v>20190531</v>
      </c>
      <c r="B8871">
        <v>2019</v>
      </c>
      <c r="C8871">
        <v>5</v>
      </c>
      <c r="D8871">
        <v>1</v>
      </c>
      <c r="E8871">
        <v>10730</v>
      </c>
      <c r="F8871">
        <v>112147.5</v>
      </c>
      <c r="G8871">
        <v>0</v>
      </c>
      <c r="H8871">
        <v>0</v>
      </c>
      <c r="I8871">
        <v>0</v>
      </c>
      <c r="J8871">
        <v>0</v>
      </c>
      <c r="K8871">
        <v>0</v>
      </c>
      <c r="L8871">
        <v>9500000</v>
      </c>
      <c r="M8871">
        <v>9500000</v>
      </c>
      <c r="N8871">
        <v>9500000</v>
      </c>
      <c r="O8871">
        <v>9500000</v>
      </c>
      <c r="P8871">
        <v>9500000</v>
      </c>
      <c r="Q8871">
        <v>9500000</v>
      </c>
      <c r="R8871" s="14">
        <f>_xlfn.XLOOKUP(Table2[[#This Row],[LoanID]],Table1[G-L ID],Table1[ManagerCode],-99)</f>
        <v>119</v>
      </c>
      <c r="T8871"/>
    </row>
    <row r="8872" spans="1:20" x14ac:dyDescent="0.25">
      <c r="A8872">
        <v>20190531</v>
      </c>
      <c r="B8872">
        <v>2019</v>
      </c>
      <c r="C8872">
        <v>5</v>
      </c>
      <c r="D8872">
        <v>1</v>
      </c>
      <c r="E8872">
        <v>10790</v>
      </c>
      <c r="F8872">
        <v>19845.12</v>
      </c>
      <c r="G8872">
        <v>0</v>
      </c>
      <c r="H8872">
        <v>0</v>
      </c>
      <c r="I8872">
        <v>0</v>
      </c>
      <c r="J8872">
        <v>0</v>
      </c>
      <c r="K8872">
        <v>49623.13</v>
      </c>
      <c r="L8872">
        <v>4303270</v>
      </c>
      <c r="M8872">
        <v>4251409</v>
      </c>
      <c r="N8872">
        <v>4303270</v>
      </c>
      <c r="O8872">
        <v>4251409</v>
      </c>
      <c r="P8872">
        <v>4237392.6399999997</v>
      </c>
      <c r="Q8872">
        <v>4187769.51</v>
      </c>
      <c r="R8872" s="14">
        <f>_xlfn.XLOOKUP(Table2[[#This Row],[LoanID]],Table1[G-L ID],Table1[ManagerCode],-99)</f>
        <v>103</v>
      </c>
      <c r="T8872"/>
    </row>
    <row r="8873" spans="1:20" x14ac:dyDescent="0.25">
      <c r="A8873">
        <v>20190531</v>
      </c>
      <c r="B8873">
        <v>2019</v>
      </c>
      <c r="C8873">
        <v>5</v>
      </c>
      <c r="D8873">
        <v>1</v>
      </c>
      <c r="E8873">
        <v>10810</v>
      </c>
      <c r="F8873">
        <v>110020.1</v>
      </c>
      <c r="G8873">
        <v>0</v>
      </c>
      <c r="H8873">
        <v>0</v>
      </c>
      <c r="I8873">
        <v>0</v>
      </c>
      <c r="J8873">
        <v>0</v>
      </c>
      <c r="K8873">
        <v>173292.12</v>
      </c>
      <c r="L8873">
        <v>10313292.119999999</v>
      </c>
      <c r="M8873">
        <v>10140000</v>
      </c>
      <c r="N8873">
        <v>10313292.119999999</v>
      </c>
      <c r="O8873">
        <v>10140000</v>
      </c>
      <c r="P8873">
        <v>10313292.119999999</v>
      </c>
      <c r="Q8873">
        <v>10140000</v>
      </c>
      <c r="R8873" s="14">
        <f>_xlfn.XLOOKUP(Table2[[#This Row],[LoanID]],Table1[G-L ID],Table1[ManagerCode],-99)</f>
        <v>119</v>
      </c>
      <c r="T8873"/>
    </row>
    <row r="8874" spans="1:20" x14ac:dyDescent="0.25">
      <c r="A8874">
        <v>20190531</v>
      </c>
      <c r="B8874">
        <v>2019</v>
      </c>
      <c r="C8874">
        <v>5</v>
      </c>
      <c r="D8874">
        <v>1</v>
      </c>
      <c r="E8874">
        <v>10830</v>
      </c>
      <c r="F8874">
        <v>61798</v>
      </c>
      <c r="G8874">
        <v>0</v>
      </c>
      <c r="H8874">
        <v>0</v>
      </c>
      <c r="I8874">
        <v>0</v>
      </c>
      <c r="J8874">
        <v>0</v>
      </c>
      <c r="K8874">
        <v>0</v>
      </c>
      <c r="L8874">
        <v>7806043.1399999997</v>
      </c>
      <c r="M8874">
        <v>7806043.1399999997</v>
      </c>
      <c r="N8874">
        <v>7806043.1399999997</v>
      </c>
      <c r="O8874">
        <v>7806043.1399999997</v>
      </c>
      <c r="P8874">
        <v>7806043.1399999997</v>
      </c>
      <c r="Q8874">
        <v>7806043.1399999997</v>
      </c>
      <c r="R8874" s="14">
        <f>_xlfn.XLOOKUP(Table2[[#This Row],[LoanID]],Table1[G-L ID],Table1[ManagerCode],-99)</f>
        <v>220</v>
      </c>
      <c r="T8874"/>
    </row>
    <row r="8875" spans="1:20" x14ac:dyDescent="0.25">
      <c r="A8875">
        <v>20190531</v>
      </c>
      <c r="B8875">
        <v>2019</v>
      </c>
      <c r="C8875">
        <v>5</v>
      </c>
      <c r="D8875">
        <v>1</v>
      </c>
      <c r="E8875">
        <v>10840</v>
      </c>
      <c r="F8875">
        <v>100614</v>
      </c>
      <c r="G8875">
        <v>0</v>
      </c>
      <c r="H8875">
        <v>0</v>
      </c>
      <c r="I8875">
        <v>0</v>
      </c>
      <c r="J8875">
        <v>0</v>
      </c>
      <c r="K8875">
        <v>0</v>
      </c>
      <c r="L8875">
        <v>12709189</v>
      </c>
      <c r="M8875">
        <v>12709189</v>
      </c>
      <c r="N8875">
        <v>12709189</v>
      </c>
      <c r="O8875">
        <v>12709189</v>
      </c>
      <c r="P8875">
        <v>12709189</v>
      </c>
      <c r="Q8875">
        <v>12709189</v>
      </c>
      <c r="R8875" s="14">
        <f>_xlfn.XLOOKUP(Table2[[#This Row],[LoanID]],Table1[G-L ID],Table1[ManagerCode],-99)</f>
        <v>220</v>
      </c>
      <c r="T8875"/>
    </row>
    <row r="8876" spans="1:20" x14ac:dyDescent="0.25">
      <c r="A8876">
        <v>20190531</v>
      </c>
      <c r="B8876">
        <v>2019</v>
      </c>
      <c r="C8876">
        <v>5</v>
      </c>
      <c r="D8876">
        <v>1</v>
      </c>
      <c r="E8876">
        <v>10910</v>
      </c>
      <c r="F8876">
        <v>27039.49</v>
      </c>
      <c r="G8876">
        <v>0</v>
      </c>
      <c r="H8876">
        <v>0</v>
      </c>
      <c r="I8876">
        <v>0</v>
      </c>
      <c r="J8876">
        <v>0</v>
      </c>
      <c r="K8876">
        <v>0</v>
      </c>
      <c r="L8876">
        <v>3075000</v>
      </c>
      <c r="M8876">
        <v>3075000</v>
      </c>
      <c r="N8876">
        <v>3075000</v>
      </c>
      <c r="O8876">
        <v>3075000</v>
      </c>
      <c r="P8876">
        <v>3075000</v>
      </c>
      <c r="Q8876">
        <v>3075000</v>
      </c>
      <c r="R8876" s="14">
        <f>_xlfn.XLOOKUP(Table2[[#This Row],[LoanID]],Table1[G-L ID],Table1[ManagerCode],-99)</f>
        <v>119</v>
      </c>
      <c r="T8876"/>
    </row>
    <row r="8877" spans="1:20" x14ac:dyDescent="0.25">
      <c r="A8877">
        <v>20190531</v>
      </c>
      <c r="B8877">
        <v>2019</v>
      </c>
      <c r="C8877">
        <v>5</v>
      </c>
      <c r="D8877">
        <v>1</v>
      </c>
      <c r="E8877">
        <v>11060</v>
      </c>
      <c r="F8877">
        <v>544149.47</v>
      </c>
      <c r="G8877">
        <v>0</v>
      </c>
      <c r="H8877">
        <v>37500</v>
      </c>
      <c r="I8877">
        <v>0</v>
      </c>
      <c r="J8877">
        <v>0</v>
      </c>
      <c r="K8877">
        <v>7000000</v>
      </c>
      <c r="L8877">
        <v>22000000</v>
      </c>
      <c r="M8877">
        <v>15000000</v>
      </c>
      <c r="N8877">
        <v>22000000</v>
      </c>
      <c r="O8877">
        <v>15000000</v>
      </c>
      <c r="P8877">
        <v>22000000</v>
      </c>
      <c r="Q8877">
        <v>15000000</v>
      </c>
      <c r="R8877" s="14">
        <f>_xlfn.XLOOKUP(Table2[[#This Row],[LoanID]],Table1[G-L ID],Table1[ManagerCode],-99)</f>
        <v>119</v>
      </c>
      <c r="T8877"/>
    </row>
    <row r="8878" spans="1:20" x14ac:dyDescent="0.25">
      <c r="A8878">
        <v>20190531</v>
      </c>
      <c r="B8878">
        <v>2019</v>
      </c>
      <c r="C8878">
        <v>5</v>
      </c>
      <c r="D8878">
        <v>1</v>
      </c>
      <c r="E8878">
        <v>11150</v>
      </c>
      <c r="F8878">
        <v>120563.41</v>
      </c>
      <c r="G8878">
        <v>0</v>
      </c>
      <c r="H8878">
        <v>0</v>
      </c>
      <c r="I8878">
        <v>0</v>
      </c>
      <c r="J8878">
        <v>0</v>
      </c>
      <c r="K8878">
        <v>0</v>
      </c>
      <c r="L8878">
        <v>9840573.1300000008</v>
      </c>
      <c r="M8878">
        <v>9840573.1300000008</v>
      </c>
      <c r="N8878">
        <v>9840573.1300000008</v>
      </c>
      <c r="O8878">
        <v>9840573.1300000008</v>
      </c>
      <c r="P8878">
        <v>9840573.1300000008</v>
      </c>
      <c r="Q8878">
        <v>9840573.1300000008</v>
      </c>
      <c r="R8878" s="14">
        <f>_xlfn.XLOOKUP(Table2[[#This Row],[LoanID]],Table1[G-L ID],Table1[ManagerCode],-99)</f>
        <v>119</v>
      </c>
      <c r="T8878"/>
    </row>
    <row r="8879" spans="1:20" x14ac:dyDescent="0.25">
      <c r="A8879">
        <v>20190531</v>
      </c>
      <c r="B8879">
        <v>2019</v>
      </c>
      <c r="C8879">
        <v>5</v>
      </c>
      <c r="D8879">
        <v>1</v>
      </c>
      <c r="E8879">
        <v>11210</v>
      </c>
      <c r="F8879">
        <v>79364.62</v>
      </c>
      <c r="G8879">
        <v>0</v>
      </c>
      <c r="H8879">
        <v>0</v>
      </c>
      <c r="I8879">
        <v>0</v>
      </c>
      <c r="J8879">
        <v>0</v>
      </c>
      <c r="K8879">
        <v>0</v>
      </c>
      <c r="L8879">
        <v>9500000</v>
      </c>
      <c r="M8879">
        <v>9500000</v>
      </c>
      <c r="N8879">
        <v>9500000</v>
      </c>
      <c r="O8879">
        <v>9500000</v>
      </c>
      <c r="P8879">
        <v>9500000</v>
      </c>
      <c r="Q8879">
        <v>9500000</v>
      </c>
      <c r="R8879" s="14">
        <f>_xlfn.XLOOKUP(Table2[[#This Row],[LoanID]],Table1[G-L ID],Table1[ManagerCode],-99)</f>
        <v>119</v>
      </c>
      <c r="T8879"/>
    </row>
    <row r="8880" spans="1:20" x14ac:dyDescent="0.25">
      <c r="A8880">
        <v>20190531</v>
      </c>
      <c r="B8880">
        <v>2019</v>
      </c>
      <c r="C8880">
        <v>5</v>
      </c>
      <c r="D8880">
        <v>1</v>
      </c>
      <c r="E8880">
        <v>11340</v>
      </c>
      <c r="F8880">
        <v>275547.87</v>
      </c>
      <c r="G8880">
        <v>0</v>
      </c>
      <c r="H8880">
        <v>6499.32</v>
      </c>
      <c r="I8880">
        <v>0</v>
      </c>
      <c r="J8880">
        <v>0</v>
      </c>
      <c r="K8880">
        <v>70657.8</v>
      </c>
      <c r="L8880">
        <v>51499117</v>
      </c>
      <c r="M8880">
        <v>51901078</v>
      </c>
      <c r="N8880">
        <v>51499117</v>
      </c>
      <c r="O8880">
        <v>51901078</v>
      </c>
      <c r="P8880">
        <v>47236778.020000003</v>
      </c>
      <c r="Q8880">
        <v>47166120.219999999</v>
      </c>
      <c r="R8880" s="14">
        <f>_xlfn.XLOOKUP(Table2[[#This Row],[LoanID]],Table1[G-L ID],Table1[ManagerCode],-99)</f>
        <v>103</v>
      </c>
      <c r="T8880"/>
    </row>
    <row r="8881" spans="1:20" x14ac:dyDescent="0.25">
      <c r="A8881">
        <v>20190531</v>
      </c>
      <c r="B8881">
        <v>2019</v>
      </c>
      <c r="C8881">
        <v>5</v>
      </c>
      <c r="D8881">
        <v>1</v>
      </c>
      <c r="E8881">
        <v>11360</v>
      </c>
      <c r="F8881">
        <v>75497.36</v>
      </c>
      <c r="G8881">
        <v>0</v>
      </c>
      <c r="H8881">
        <v>0</v>
      </c>
      <c r="I8881">
        <v>0</v>
      </c>
      <c r="J8881">
        <v>0</v>
      </c>
      <c r="K8881">
        <v>0</v>
      </c>
      <c r="L8881">
        <v>8705036</v>
      </c>
      <c r="M8881">
        <v>8705036</v>
      </c>
      <c r="N8881">
        <v>8705036</v>
      </c>
      <c r="O8881">
        <v>8705036</v>
      </c>
      <c r="P8881">
        <v>8705036</v>
      </c>
      <c r="Q8881">
        <v>8705036</v>
      </c>
      <c r="R8881" s="14">
        <f>_xlfn.XLOOKUP(Table2[[#This Row],[LoanID]],Table1[G-L ID],Table1[ManagerCode],-99)</f>
        <v>119</v>
      </c>
      <c r="T8881"/>
    </row>
    <row r="8882" spans="1:20" x14ac:dyDescent="0.25">
      <c r="A8882">
        <v>20190531</v>
      </c>
      <c r="B8882">
        <v>2019</v>
      </c>
      <c r="C8882">
        <v>5</v>
      </c>
      <c r="D8882">
        <v>1</v>
      </c>
      <c r="E8882">
        <v>11450</v>
      </c>
      <c r="F8882">
        <v>164501.64000000001</v>
      </c>
      <c r="G8882">
        <v>0</v>
      </c>
      <c r="H8882">
        <v>0</v>
      </c>
      <c r="I8882">
        <v>0</v>
      </c>
      <c r="J8882">
        <v>0</v>
      </c>
      <c r="K8882">
        <v>0</v>
      </c>
      <c r="L8882">
        <v>17217002.82</v>
      </c>
      <c r="M8882">
        <v>17217002.82</v>
      </c>
      <c r="N8882">
        <v>17217002.82</v>
      </c>
      <c r="O8882">
        <v>17217002.82</v>
      </c>
      <c r="P8882">
        <v>17217002.82</v>
      </c>
      <c r="Q8882">
        <v>17217002.82</v>
      </c>
      <c r="R8882" s="14">
        <f>_xlfn.XLOOKUP(Table2[[#This Row],[LoanID]],Table1[G-L ID],Table1[ManagerCode],-99)</f>
        <v>119</v>
      </c>
      <c r="T8882"/>
    </row>
    <row r="8883" spans="1:20" x14ac:dyDescent="0.25">
      <c r="A8883">
        <v>20190531</v>
      </c>
      <c r="B8883">
        <v>2019</v>
      </c>
      <c r="C8883">
        <v>5</v>
      </c>
      <c r="D8883">
        <v>1</v>
      </c>
      <c r="E8883">
        <v>11520</v>
      </c>
      <c r="F8883">
        <v>60471.05</v>
      </c>
      <c r="G8883">
        <v>0</v>
      </c>
      <c r="H8883">
        <v>0</v>
      </c>
      <c r="I8883">
        <v>0</v>
      </c>
      <c r="J8883">
        <v>0</v>
      </c>
      <c r="K8883">
        <v>0</v>
      </c>
      <c r="L8883">
        <v>6074949.0099999998</v>
      </c>
      <c r="M8883">
        <v>6074949.0099999998</v>
      </c>
      <c r="N8883">
        <v>6074949.0099999998</v>
      </c>
      <c r="O8883">
        <v>6074949.0099999998</v>
      </c>
      <c r="P8883">
        <v>6074949.0099999998</v>
      </c>
      <c r="Q8883">
        <v>6074949.0099999998</v>
      </c>
      <c r="R8883" s="14">
        <f>_xlfn.XLOOKUP(Table2[[#This Row],[LoanID]],Table1[G-L ID],Table1[ManagerCode],-99)</f>
        <v>119</v>
      </c>
      <c r="T8883"/>
    </row>
    <row r="8884" spans="1:20" x14ac:dyDescent="0.25">
      <c r="A8884">
        <v>20190531</v>
      </c>
      <c r="B8884">
        <v>2019</v>
      </c>
      <c r="C8884">
        <v>5</v>
      </c>
      <c r="D8884">
        <v>1</v>
      </c>
      <c r="E8884">
        <v>11530</v>
      </c>
      <c r="F8884">
        <v>121187.5</v>
      </c>
      <c r="G8884">
        <v>0</v>
      </c>
      <c r="H8884">
        <v>0</v>
      </c>
      <c r="I8884">
        <v>0</v>
      </c>
      <c r="J8884">
        <v>0</v>
      </c>
      <c r="K8884">
        <v>0</v>
      </c>
      <c r="L8884">
        <v>15000000</v>
      </c>
      <c r="M8884">
        <v>15000000</v>
      </c>
      <c r="N8884">
        <v>15000000</v>
      </c>
      <c r="O8884">
        <v>15000000</v>
      </c>
      <c r="P8884">
        <v>15000000</v>
      </c>
      <c r="Q8884">
        <v>15000000</v>
      </c>
      <c r="R8884" s="14">
        <f>_xlfn.XLOOKUP(Table2[[#This Row],[LoanID]],Table1[G-L ID],Table1[ManagerCode],-99)</f>
        <v>119</v>
      </c>
      <c r="T8884"/>
    </row>
    <row r="8885" spans="1:20" x14ac:dyDescent="0.25">
      <c r="A8885">
        <v>20190531</v>
      </c>
      <c r="B8885">
        <v>2019</v>
      </c>
      <c r="C8885">
        <v>5</v>
      </c>
      <c r="D8885">
        <v>1</v>
      </c>
      <c r="E8885">
        <v>11680</v>
      </c>
      <c r="F8885">
        <v>50325.78</v>
      </c>
      <c r="G8885">
        <v>0</v>
      </c>
      <c r="H8885">
        <v>0</v>
      </c>
      <c r="I8885">
        <v>0</v>
      </c>
      <c r="J8885">
        <v>0</v>
      </c>
      <c r="K8885">
        <v>0</v>
      </c>
      <c r="L8885">
        <v>6600000</v>
      </c>
      <c r="M8885">
        <v>6600000</v>
      </c>
      <c r="N8885">
        <v>6600000</v>
      </c>
      <c r="O8885">
        <v>6600000</v>
      </c>
      <c r="P8885">
        <v>6600000</v>
      </c>
      <c r="Q8885">
        <v>6600000</v>
      </c>
      <c r="R8885" s="14">
        <f>_xlfn.XLOOKUP(Table2[[#This Row],[LoanID]],Table1[G-L ID],Table1[ManagerCode],-99)</f>
        <v>183</v>
      </c>
      <c r="T8885"/>
    </row>
    <row r="8886" spans="1:20" x14ac:dyDescent="0.25">
      <c r="A8886">
        <v>20190531</v>
      </c>
      <c r="B8886">
        <v>2019</v>
      </c>
      <c r="C8886">
        <v>5</v>
      </c>
      <c r="D8886">
        <v>1</v>
      </c>
      <c r="E8886">
        <v>11830</v>
      </c>
      <c r="F8886">
        <v>115363.25</v>
      </c>
      <c r="G8886">
        <v>0</v>
      </c>
      <c r="H8886">
        <v>0</v>
      </c>
      <c r="I8886">
        <v>0</v>
      </c>
      <c r="J8886">
        <v>-6120.14</v>
      </c>
      <c r="K8886">
        <v>0</v>
      </c>
      <c r="L8886">
        <v>10801131.15</v>
      </c>
      <c r="M8886">
        <v>10807251.289999999</v>
      </c>
      <c r="N8886">
        <v>10801131.15</v>
      </c>
      <c r="O8886">
        <v>10807251.289999999</v>
      </c>
      <c r="P8886">
        <v>10801131.15</v>
      </c>
      <c r="Q8886">
        <v>10807251.289999999</v>
      </c>
      <c r="R8886" s="14">
        <f>_xlfn.XLOOKUP(Table2[[#This Row],[LoanID]],Table1[G-L ID],Table1[ManagerCode],-99)</f>
        <v>119</v>
      </c>
      <c r="T8886"/>
    </row>
    <row r="8887" spans="1:20" x14ac:dyDescent="0.25">
      <c r="A8887">
        <v>20190531</v>
      </c>
      <c r="B8887">
        <v>2019</v>
      </c>
      <c r="C8887">
        <v>5</v>
      </c>
      <c r="D8887">
        <v>1</v>
      </c>
      <c r="E8887">
        <v>12180</v>
      </c>
      <c r="F8887">
        <v>0</v>
      </c>
      <c r="G8887">
        <v>0</v>
      </c>
      <c r="H8887">
        <v>0</v>
      </c>
      <c r="I8887">
        <v>0</v>
      </c>
      <c r="J8887">
        <v>0</v>
      </c>
      <c r="K8887">
        <v>0</v>
      </c>
      <c r="L8887">
        <v>1</v>
      </c>
      <c r="M8887">
        <v>1</v>
      </c>
      <c r="N8887">
        <v>1</v>
      </c>
      <c r="O8887">
        <v>1</v>
      </c>
      <c r="P8887">
        <v>30654511</v>
      </c>
      <c r="Q8887">
        <v>30909711</v>
      </c>
      <c r="R8887" s="14">
        <f>_xlfn.XLOOKUP(Table2[[#This Row],[LoanID]],Table1[G-L ID],Table1[ManagerCode],-99)</f>
        <v>220</v>
      </c>
      <c r="T8887"/>
    </row>
    <row r="8888" spans="1:20" x14ac:dyDescent="0.25">
      <c r="A8888">
        <v>20190531</v>
      </c>
      <c r="B8888">
        <v>2019</v>
      </c>
      <c r="C8888">
        <v>5</v>
      </c>
      <c r="D8888">
        <v>1</v>
      </c>
      <c r="E8888">
        <v>12220</v>
      </c>
      <c r="F8888">
        <v>206258.94</v>
      </c>
      <c r="G8888">
        <v>0</v>
      </c>
      <c r="H8888">
        <v>0</v>
      </c>
      <c r="I8888">
        <v>0</v>
      </c>
      <c r="J8888">
        <v>0</v>
      </c>
      <c r="K8888">
        <v>0</v>
      </c>
      <c r="L8888">
        <v>54500000</v>
      </c>
      <c r="M8888">
        <v>54500000</v>
      </c>
      <c r="N8888">
        <v>27250000</v>
      </c>
      <c r="O8888">
        <v>27250000</v>
      </c>
      <c r="P8888">
        <v>54500000</v>
      </c>
      <c r="Q8888">
        <v>54500000</v>
      </c>
      <c r="R8888" s="14">
        <f>_xlfn.XLOOKUP(Table2[[#This Row],[LoanID]],Table1[G-L ID],Table1[ManagerCode],-99)</f>
        <v>183</v>
      </c>
      <c r="T8888"/>
    </row>
    <row r="8889" spans="1:20" x14ac:dyDescent="0.25">
      <c r="A8889">
        <v>20190531</v>
      </c>
      <c r="B8889">
        <v>2019</v>
      </c>
      <c r="C8889">
        <v>5</v>
      </c>
      <c r="D8889">
        <v>1</v>
      </c>
      <c r="E8889">
        <v>12250</v>
      </c>
      <c r="F8889">
        <v>123772</v>
      </c>
      <c r="G8889">
        <v>0</v>
      </c>
      <c r="H8889">
        <v>0</v>
      </c>
      <c r="I8889">
        <v>0</v>
      </c>
      <c r="J8889">
        <v>0</v>
      </c>
      <c r="K8889">
        <v>1127012.73</v>
      </c>
      <c r="L8889">
        <v>13273249.26</v>
      </c>
      <c r="M8889">
        <v>12146236.529999999</v>
      </c>
      <c r="N8889">
        <v>13273249.26</v>
      </c>
      <c r="O8889">
        <v>12146236.529999999</v>
      </c>
      <c r="P8889">
        <v>13273249.26</v>
      </c>
      <c r="Q8889">
        <v>12146236.529999999</v>
      </c>
      <c r="R8889" s="14">
        <f>_xlfn.XLOOKUP(Table2[[#This Row],[LoanID]],Table1[G-L ID],Table1[ManagerCode],-99)</f>
        <v>119</v>
      </c>
      <c r="T8889"/>
    </row>
    <row r="8890" spans="1:20" x14ac:dyDescent="0.25">
      <c r="A8890">
        <v>20190531</v>
      </c>
      <c r="B8890">
        <v>2019</v>
      </c>
      <c r="C8890">
        <v>5</v>
      </c>
      <c r="D8890">
        <v>1</v>
      </c>
      <c r="E8890">
        <v>12260</v>
      </c>
      <c r="F8890">
        <v>154018.57999999999</v>
      </c>
      <c r="G8890">
        <v>0</v>
      </c>
      <c r="H8890">
        <v>0</v>
      </c>
      <c r="I8890">
        <v>0</v>
      </c>
      <c r="J8890">
        <v>-459936.08</v>
      </c>
      <c r="K8890">
        <v>0</v>
      </c>
      <c r="L8890">
        <v>16270588.15</v>
      </c>
      <c r="M8890">
        <v>16730524.23</v>
      </c>
      <c r="N8890">
        <v>16270588.15</v>
      </c>
      <c r="O8890">
        <v>16730524.23</v>
      </c>
      <c r="P8890">
        <v>16270588.15</v>
      </c>
      <c r="Q8890">
        <v>16730524.23</v>
      </c>
      <c r="R8890" s="14">
        <f>_xlfn.XLOOKUP(Table2[[#This Row],[LoanID]],Table1[G-L ID],Table1[ManagerCode],-99)</f>
        <v>119</v>
      </c>
      <c r="T8890"/>
    </row>
    <row r="8891" spans="1:20" x14ac:dyDescent="0.25">
      <c r="A8891">
        <v>20190531</v>
      </c>
      <c r="B8891">
        <v>2019</v>
      </c>
      <c r="C8891">
        <v>5</v>
      </c>
      <c r="D8891">
        <v>1</v>
      </c>
      <c r="E8891">
        <v>12280</v>
      </c>
      <c r="F8891">
        <v>189843.4</v>
      </c>
      <c r="G8891">
        <v>0</v>
      </c>
      <c r="H8891">
        <v>0</v>
      </c>
      <c r="I8891">
        <v>0</v>
      </c>
      <c r="J8891">
        <v>-531617.51</v>
      </c>
      <c r="K8891">
        <v>0</v>
      </c>
      <c r="L8891">
        <v>17732184.879999999</v>
      </c>
      <c r="M8891">
        <v>18263802.390000001</v>
      </c>
      <c r="N8891">
        <v>17732184.879999999</v>
      </c>
      <c r="O8891">
        <v>18263802.390000001</v>
      </c>
      <c r="P8891">
        <v>17732184.879999999</v>
      </c>
      <c r="Q8891">
        <v>18263802.390000001</v>
      </c>
      <c r="R8891" s="14">
        <f>_xlfn.XLOOKUP(Table2[[#This Row],[LoanID]],Table1[G-L ID],Table1[ManagerCode],-99)</f>
        <v>119</v>
      </c>
      <c r="T8891"/>
    </row>
    <row r="8892" spans="1:20" x14ac:dyDescent="0.25">
      <c r="A8892">
        <v>20190531</v>
      </c>
      <c r="B8892">
        <v>2019</v>
      </c>
      <c r="C8892">
        <v>5</v>
      </c>
      <c r="D8892">
        <v>1</v>
      </c>
      <c r="E8892">
        <v>12310</v>
      </c>
      <c r="F8892">
        <v>95124.19</v>
      </c>
      <c r="G8892">
        <v>0</v>
      </c>
      <c r="H8892">
        <v>0</v>
      </c>
      <c r="I8892">
        <v>0</v>
      </c>
      <c r="J8892">
        <v>0</v>
      </c>
      <c r="K8892">
        <v>0</v>
      </c>
      <c r="L8892">
        <v>13100000</v>
      </c>
      <c r="M8892">
        <v>13100000</v>
      </c>
      <c r="N8892">
        <v>13100000</v>
      </c>
      <c r="O8892">
        <v>13100000</v>
      </c>
      <c r="P8892">
        <v>13100000</v>
      </c>
      <c r="Q8892">
        <v>13100000</v>
      </c>
      <c r="R8892" s="14">
        <f>_xlfn.XLOOKUP(Table2[[#This Row],[LoanID]],Table1[G-L ID],Table1[ManagerCode],-99)</f>
        <v>119</v>
      </c>
      <c r="T8892"/>
    </row>
    <row r="8893" spans="1:20" x14ac:dyDescent="0.25">
      <c r="A8893">
        <v>20190531</v>
      </c>
      <c r="B8893">
        <v>2019</v>
      </c>
      <c r="C8893">
        <v>5</v>
      </c>
      <c r="D8893">
        <v>1</v>
      </c>
      <c r="E8893">
        <v>12330</v>
      </c>
      <c r="F8893">
        <v>220307.5</v>
      </c>
      <c r="G8893">
        <v>0</v>
      </c>
      <c r="H8893">
        <v>0</v>
      </c>
      <c r="I8893">
        <v>0</v>
      </c>
      <c r="J8893">
        <v>0</v>
      </c>
      <c r="K8893">
        <v>0</v>
      </c>
      <c r="L8893">
        <v>19976500</v>
      </c>
      <c r="M8893">
        <v>19976500</v>
      </c>
      <c r="N8893">
        <v>19976500</v>
      </c>
      <c r="O8893">
        <v>19976500</v>
      </c>
      <c r="P8893">
        <v>19976500</v>
      </c>
      <c r="Q8893">
        <v>19976500</v>
      </c>
      <c r="R8893" s="14">
        <f>_xlfn.XLOOKUP(Table2[[#This Row],[LoanID]],Table1[G-L ID],Table1[ManagerCode],-99)</f>
        <v>119</v>
      </c>
      <c r="T8893"/>
    </row>
    <row r="8894" spans="1:20" x14ac:dyDescent="0.25">
      <c r="A8894">
        <v>20190531</v>
      </c>
      <c r="B8894">
        <v>2019</v>
      </c>
      <c r="C8894">
        <v>5</v>
      </c>
      <c r="D8894">
        <v>1</v>
      </c>
      <c r="E8894">
        <v>12340</v>
      </c>
      <c r="F8894">
        <v>59539.08</v>
      </c>
      <c r="G8894">
        <v>0</v>
      </c>
      <c r="H8894">
        <v>0</v>
      </c>
      <c r="I8894">
        <v>0</v>
      </c>
      <c r="J8894">
        <v>0</v>
      </c>
      <c r="K8894">
        <v>0</v>
      </c>
      <c r="L8894">
        <v>24180000</v>
      </c>
      <c r="M8894">
        <v>24180000</v>
      </c>
      <c r="N8894">
        <v>12180000</v>
      </c>
      <c r="O8894">
        <v>12180000</v>
      </c>
      <c r="P8894">
        <v>24180000</v>
      </c>
      <c r="Q8894">
        <v>24180000</v>
      </c>
      <c r="R8894" s="14">
        <f>_xlfn.XLOOKUP(Table2[[#This Row],[LoanID]],Table1[G-L ID],Table1[ManagerCode],-99)</f>
        <v>183</v>
      </c>
      <c r="T8894"/>
    </row>
    <row r="8895" spans="1:20" x14ac:dyDescent="0.25">
      <c r="A8895">
        <v>20190531</v>
      </c>
      <c r="B8895">
        <v>2019</v>
      </c>
      <c r="C8895">
        <v>5</v>
      </c>
      <c r="D8895">
        <v>1</v>
      </c>
      <c r="E8895">
        <v>12350</v>
      </c>
      <c r="F8895">
        <v>252182.77</v>
      </c>
      <c r="G8895">
        <v>0</v>
      </c>
      <c r="H8895">
        <v>0</v>
      </c>
      <c r="I8895">
        <v>0</v>
      </c>
      <c r="J8895">
        <v>0</v>
      </c>
      <c r="K8895">
        <v>0</v>
      </c>
      <c r="L8895">
        <v>78414236.340000004</v>
      </c>
      <c r="M8895">
        <v>78414236.340000004</v>
      </c>
      <c r="N8895">
        <v>40914236.340000004</v>
      </c>
      <c r="O8895">
        <v>40914236.340000004</v>
      </c>
      <c r="P8895">
        <v>78414236.340000004</v>
      </c>
      <c r="Q8895">
        <v>78414236.340000004</v>
      </c>
      <c r="R8895" s="14">
        <f>_xlfn.XLOOKUP(Table2[[#This Row],[LoanID]],Table1[G-L ID],Table1[ManagerCode],-99)</f>
        <v>183</v>
      </c>
      <c r="T8895"/>
    </row>
    <row r="8896" spans="1:20" x14ac:dyDescent="0.25">
      <c r="A8896">
        <v>20190531</v>
      </c>
      <c r="B8896">
        <v>2019</v>
      </c>
      <c r="C8896">
        <v>5</v>
      </c>
      <c r="D8896">
        <v>1</v>
      </c>
      <c r="E8896">
        <v>12360</v>
      </c>
      <c r="F8896">
        <v>130170.84</v>
      </c>
      <c r="G8896">
        <v>0</v>
      </c>
      <c r="H8896">
        <v>0</v>
      </c>
      <c r="I8896">
        <v>0</v>
      </c>
      <c r="J8896">
        <v>0</v>
      </c>
      <c r="K8896">
        <v>0</v>
      </c>
      <c r="L8896">
        <v>60000000</v>
      </c>
      <c r="M8896">
        <v>60000000</v>
      </c>
      <c r="N8896">
        <v>19000000</v>
      </c>
      <c r="O8896">
        <v>19000000</v>
      </c>
      <c r="P8896">
        <v>60000000</v>
      </c>
      <c r="Q8896">
        <v>60000000</v>
      </c>
      <c r="R8896" s="14">
        <f>_xlfn.XLOOKUP(Table2[[#This Row],[LoanID]],Table1[G-L ID],Table1[ManagerCode],-99)</f>
        <v>183</v>
      </c>
      <c r="T8896"/>
    </row>
    <row r="8897" spans="1:20" x14ac:dyDescent="0.25">
      <c r="A8897">
        <v>20190531</v>
      </c>
      <c r="B8897">
        <v>2019</v>
      </c>
      <c r="C8897">
        <v>5</v>
      </c>
      <c r="D8897">
        <v>1</v>
      </c>
      <c r="E8897">
        <v>12370</v>
      </c>
      <c r="F8897">
        <v>300481.3</v>
      </c>
      <c r="G8897">
        <v>0</v>
      </c>
      <c r="H8897">
        <v>0</v>
      </c>
      <c r="I8897">
        <v>0</v>
      </c>
      <c r="J8897">
        <v>0</v>
      </c>
      <c r="K8897">
        <v>0</v>
      </c>
      <c r="L8897">
        <v>81600000</v>
      </c>
      <c r="M8897">
        <v>81600000</v>
      </c>
      <c r="N8897">
        <v>36461538.549999997</v>
      </c>
      <c r="O8897">
        <v>36461538.549999997</v>
      </c>
      <c r="P8897">
        <v>81600000</v>
      </c>
      <c r="Q8897">
        <v>81600000</v>
      </c>
      <c r="R8897" s="14">
        <f>_xlfn.XLOOKUP(Table2[[#This Row],[LoanID]],Table1[G-L ID],Table1[ManagerCode],-99)</f>
        <v>183</v>
      </c>
      <c r="T8897"/>
    </row>
    <row r="8898" spans="1:20" x14ac:dyDescent="0.25">
      <c r="A8898">
        <v>20190531</v>
      </c>
      <c r="B8898">
        <v>2019</v>
      </c>
      <c r="C8898">
        <v>5</v>
      </c>
      <c r="D8898">
        <v>1</v>
      </c>
      <c r="E8898">
        <v>12380</v>
      </c>
      <c r="F8898">
        <v>91700.77</v>
      </c>
      <c r="G8898">
        <v>0</v>
      </c>
      <c r="H8898">
        <v>0</v>
      </c>
      <c r="I8898">
        <v>0</v>
      </c>
      <c r="J8898">
        <v>0</v>
      </c>
      <c r="K8898">
        <v>0</v>
      </c>
      <c r="L8898">
        <v>32500000</v>
      </c>
      <c r="M8898">
        <v>32500000</v>
      </c>
      <c r="N8898">
        <v>12350000</v>
      </c>
      <c r="O8898">
        <v>12350000</v>
      </c>
      <c r="P8898">
        <v>32500000</v>
      </c>
      <c r="Q8898">
        <v>32500000</v>
      </c>
      <c r="R8898" s="14">
        <f>_xlfn.XLOOKUP(Table2[[#This Row],[LoanID]],Table1[G-L ID],Table1[ManagerCode],-99)</f>
        <v>183</v>
      </c>
      <c r="T8898"/>
    </row>
    <row r="8899" spans="1:20" x14ac:dyDescent="0.25">
      <c r="A8899">
        <v>20190531</v>
      </c>
      <c r="B8899">
        <v>2019</v>
      </c>
      <c r="C8899">
        <v>5</v>
      </c>
      <c r="D8899">
        <v>1</v>
      </c>
      <c r="E8899">
        <v>12390</v>
      </c>
      <c r="F8899">
        <v>991801.85</v>
      </c>
      <c r="G8899">
        <v>557284.17000000004</v>
      </c>
      <c r="H8899">
        <v>0</v>
      </c>
      <c r="I8899">
        <v>0</v>
      </c>
      <c r="J8899">
        <v>-3811363.05</v>
      </c>
      <c r="K8899">
        <v>0</v>
      </c>
      <c r="L8899">
        <v>134962926.5</v>
      </c>
      <c r="M8899">
        <v>139331573.80000001</v>
      </c>
      <c r="N8899">
        <v>134962926.5</v>
      </c>
      <c r="O8899">
        <v>139331573.80000001</v>
      </c>
      <c r="P8899">
        <v>134962926.5</v>
      </c>
      <c r="Q8899">
        <v>139331573.80000001</v>
      </c>
      <c r="R8899" s="14">
        <f>_xlfn.XLOOKUP(Table2[[#This Row],[LoanID]],Table1[G-L ID],Table1[ManagerCode],-99)</f>
        <v>183</v>
      </c>
      <c r="T8899"/>
    </row>
    <row r="8900" spans="1:20" x14ac:dyDescent="0.25">
      <c r="A8900">
        <v>20190531</v>
      </c>
      <c r="B8900">
        <v>2019</v>
      </c>
      <c r="C8900">
        <v>5</v>
      </c>
      <c r="D8900">
        <v>1</v>
      </c>
      <c r="E8900">
        <v>12400</v>
      </c>
      <c r="F8900">
        <v>227416.66</v>
      </c>
      <c r="G8900">
        <v>128877.26</v>
      </c>
      <c r="H8900">
        <v>0</v>
      </c>
      <c r="I8900">
        <v>0</v>
      </c>
      <c r="J8900">
        <v>-3337898.37</v>
      </c>
      <c r="K8900">
        <v>0</v>
      </c>
      <c r="L8900">
        <v>41482798.530000001</v>
      </c>
      <c r="M8900">
        <v>44949574.159999996</v>
      </c>
      <c r="N8900">
        <v>41482798.530000001</v>
      </c>
      <c r="O8900">
        <v>44949574.159999996</v>
      </c>
      <c r="P8900">
        <v>41482798.530000001</v>
      </c>
      <c r="Q8900">
        <v>44949574.159999996</v>
      </c>
      <c r="R8900" s="14">
        <f>_xlfn.XLOOKUP(Table2[[#This Row],[LoanID]],Table1[G-L ID],Table1[ManagerCode],-99)</f>
        <v>183</v>
      </c>
      <c r="T8900"/>
    </row>
    <row r="8901" spans="1:20" x14ac:dyDescent="0.25">
      <c r="A8901">
        <v>20190531</v>
      </c>
      <c r="B8901">
        <v>2019</v>
      </c>
      <c r="C8901">
        <v>5</v>
      </c>
      <c r="D8901">
        <v>1</v>
      </c>
      <c r="E8901">
        <v>12410</v>
      </c>
      <c r="F8901">
        <v>313431.90000000002</v>
      </c>
      <c r="G8901">
        <v>0</v>
      </c>
      <c r="H8901">
        <v>0</v>
      </c>
      <c r="I8901">
        <v>0</v>
      </c>
      <c r="J8901">
        <v>0</v>
      </c>
      <c r="K8901">
        <v>0</v>
      </c>
      <c r="L8901">
        <v>73737245</v>
      </c>
      <c r="M8901">
        <v>73871014</v>
      </c>
      <c r="N8901">
        <v>73737245</v>
      </c>
      <c r="O8901">
        <v>73871014</v>
      </c>
      <c r="P8901">
        <v>80388431.040000007</v>
      </c>
      <c r="Q8901">
        <v>80388431.040000007</v>
      </c>
      <c r="R8901" s="14">
        <f>_xlfn.XLOOKUP(Table2[[#This Row],[LoanID]],Table1[G-L ID],Table1[ManagerCode],-99)</f>
        <v>103</v>
      </c>
      <c r="T8901"/>
    </row>
    <row r="8902" spans="1:20" x14ac:dyDescent="0.25">
      <c r="A8902">
        <v>20190531</v>
      </c>
      <c r="B8902">
        <v>2019</v>
      </c>
      <c r="C8902">
        <v>5</v>
      </c>
      <c r="D8902">
        <v>1</v>
      </c>
      <c r="E8902">
        <v>12430</v>
      </c>
      <c r="F8902">
        <v>87622.93</v>
      </c>
      <c r="G8902">
        <v>0</v>
      </c>
      <c r="H8902">
        <v>0</v>
      </c>
      <c r="I8902">
        <v>0</v>
      </c>
      <c r="J8902">
        <v>-87622.93</v>
      </c>
      <c r="K8902">
        <v>0</v>
      </c>
      <c r="L8902">
        <v>24526589</v>
      </c>
      <c r="M8902">
        <v>24691405</v>
      </c>
      <c r="N8902">
        <v>24526589</v>
      </c>
      <c r="O8902">
        <v>24691405</v>
      </c>
      <c r="P8902">
        <v>26286880.18</v>
      </c>
      <c r="Q8902">
        <v>26374503.109999999</v>
      </c>
      <c r="R8902" s="14">
        <f>_xlfn.XLOOKUP(Table2[[#This Row],[LoanID]],Table1[G-L ID],Table1[ManagerCode],-99)</f>
        <v>103</v>
      </c>
      <c r="T8902"/>
    </row>
    <row r="8903" spans="1:20" x14ac:dyDescent="0.25">
      <c r="A8903">
        <v>20190531</v>
      </c>
      <c r="B8903">
        <v>2019</v>
      </c>
      <c r="C8903">
        <v>5</v>
      </c>
      <c r="D8903">
        <v>1</v>
      </c>
      <c r="E8903">
        <v>12440</v>
      </c>
      <c r="F8903">
        <v>27854.09</v>
      </c>
      <c r="G8903">
        <v>0</v>
      </c>
      <c r="H8903">
        <v>0</v>
      </c>
      <c r="I8903">
        <v>0</v>
      </c>
      <c r="J8903">
        <v>0</v>
      </c>
      <c r="K8903">
        <v>55512.18</v>
      </c>
      <c r="L8903">
        <v>3735774</v>
      </c>
      <c r="M8903">
        <v>3691585</v>
      </c>
      <c r="N8903">
        <v>3735774</v>
      </c>
      <c r="O8903">
        <v>3691585</v>
      </c>
      <c r="P8903">
        <v>3342490.83</v>
      </c>
      <c r="Q8903">
        <v>3286978.65</v>
      </c>
      <c r="R8903" s="14">
        <f>_xlfn.XLOOKUP(Table2[[#This Row],[LoanID]],Table1[G-L ID],Table1[ManagerCode],-99)</f>
        <v>103</v>
      </c>
      <c r="T8903"/>
    </row>
    <row r="8904" spans="1:20" x14ac:dyDescent="0.25">
      <c r="A8904">
        <v>20190531</v>
      </c>
      <c r="B8904">
        <v>2019</v>
      </c>
      <c r="C8904">
        <v>5</v>
      </c>
      <c r="D8904">
        <v>1</v>
      </c>
      <c r="E8904">
        <v>12450</v>
      </c>
      <c r="F8904">
        <v>70508.55</v>
      </c>
      <c r="G8904">
        <v>37775.86</v>
      </c>
      <c r="H8904">
        <v>0</v>
      </c>
      <c r="I8904">
        <v>0</v>
      </c>
      <c r="J8904">
        <v>-845912.82</v>
      </c>
      <c r="K8904">
        <v>0</v>
      </c>
      <c r="L8904">
        <v>13066994.09</v>
      </c>
      <c r="M8904">
        <v>13950682.77</v>
      </c>
      <c r="N8904">
        <v>13066994.09</v>
      </c>
      <c r="O8904">
        <v>13950682.77</v>
      </c>
      <c r="P8904">
        <v>13066994.09</v>
      </c>
      <c r="Q8904">
        <v>13950682.77</v>
      </c>
      <c r="R8904" s="14">
        <f>_xlfn.XLOOKUP(Table2[[#This Row],[LoanID]],Table1[G-L ID],Table1[ManagerCode],-99)</f>
        <v>183</v>
      </c>
      <c r="T8904"/>
    </row>
    <row r="8905" spans="1:20" x14ac:dyDescent="0.25">
      <c r="A8905">
        <v>20190531</v>
      </c>
      <c r="B8905">
        <v>2019</v>
      </c>
      <c r="C8905">
        <v>5</v>
      </c>
      <c r="D8905">
        <v>1</v>
      </c>
      <c r="E8905">
        <v>12460</v>
      </c>
      <c r="F8905">
        <v>42250</v>
      </c>
      <c r="G8905">
        <v>50089.54</v>
      </c>
      <c r="H8905">
        <v>0</v>
      </c>
      <c r="I8905">
        <v>0</v>
      </c>
      <c r="J8905">
        <v>0</v>
      </c>
      <c r="K8905">
        <v>0</v>
      </c>
      <c r="L8905">
        <v>9226474.8800000008</v>
      </c>
      <c r="M8905">
        <v>9284043.0399999991</v>
      </c>
      <c r="N8905">
        <v>9226474.8800000008</v>
      </c>
      <c r="O8905">
        <v>9284043.0399999991</v>
      </c>
      <c r="P8905">
        <v>9226474.8800000008</v>
      </c>
      <c r="Q8905">
        <v>9284043.0399999991</v>
      </c>
      <c r="R8905" s="14">
        <f>_xlfn.XLOOKUP(Table2[[#This Row],[LoanID]],Table1[G-L ID],Table1[ManagerCode],-99)</f>
        <v>183</v>
      </c>
      <c r="T8905"/>
    </row>
    <row r="8906" spans="1:20" x14ac:dyDescent="0.25">
      <c r="A8906">
        <v>20190531</v>
      </c>
      <c r="B8906">
        <v>2019</v>
      </c>
      <c r="C8906">
        <v>5</v>
      </c>
      <c r="D8906">
        <v>1</v>
      </c>
      <c r="E8906">
        <v>12470</v>
      </c>
      <c r="F8906">
        <v>360735.83</v>
      </c>
      <c r="G8906">
        <v>0</v>
      </c>
      <c r="H8906">
        <v>0</v>
      </c>
      <c r="I8906">
        <v>0</v>
      </c>
      <c r="J8906">
        <v>0</v>
      </c>
      <c r="K8906">
        <v>0</v>
      </c>
      <c r="L8906">
        <v>115000000</v>
      </c>
      <c r="M8906">
        <v>115000000</v>
      </c>
      <c r="N8906">
        <v>46000000</v>
      </c>
      <c r="O8906">
        <v>46000000</v>
      </c>
      <c r="P8906">
        <v>115000000</v>
      </c>
      <c r="Q8906">
        <v>115000000</v>
      </c>
      <c r="R8906" s="14">
        <f>_xlfn.XLOOKUP(Table2[[#This Row],[LoanID]],Table1[G-L ID],Table1[ManagerCode],-99)</f>
        <v>183</v>
      </c>
      <c r="T8906"/>
    </row>
    <row r="8907" spans="1:20" x14ac:dyDescent="0.25">
      <c r="A8907">
        <v>20190531</v>
      </c>
      <c r="B8907">
        <v>2019</v>
      </c>
      <c r="C8907">
        <v>5</v>
      </c>
      <c r="D8907">
        <v>1</v>
      </c>
      <c r="E8907">
        <v>12490</v>
      </c>
      <c r="F8907">
        <v>137892.07999999999</v>
      </c>
      <c r="G8907">
        <v>0</v>
      </c>
      <c r="H8907">
        <v>0</v>
      </c>
      <c r="I8907">
        <v>0</v>
      </c>
      <c r="J8907">
        <v>0</v>
      </c>
      <c r="K8907">
        <v>0</v>
      </c>
      <c r="L8907">
        <v>50200000</v>
      </c>
      <c r="M8907">
        <v>50200000</v>
      </c>
      <c r="N8907">
        <v>19600000</v>
      </c>
      <c r="O8907">
        <v>19600000</v>
      </c>
      <c r="P8907">
        <v>50200000</v>
      </c>
      <c r="Q8907">
        <v>50200000</v>
      </c>
      <c r="R8907" s="14">
        <f>_xlfn.XLOOKUP(Table2[[#This Row],[LoanID]],Table1[G-L ID],Table1[ManagerCode],-99)</f>
        <v>183</v>
      </c>
      <c r="T8907"/>
    </row>
    <row r="8908" spans="1:20" x14ac:dyDescent="0.25">
      <c r="A8908">
        <v>20190531</v>
      </c>
      <c r="B8908">
        <v>2019</v>
      </c>
      <c r="C8908">
        <v>5</v>
      </c>
      <c r="D8908">
        <v>1</v>
      </c>
      <c r="E8908">
        <v>12510</v>
      </c>
      <c r="F8908">
        <v>340811.32</v>
      </c>
      <c r="G8908">
        <v>0</v>
      </c>
      <c r="H8908">
        <v>0</v>
      </c>
      <c r="I8908">
        <v>0</v>
      </c>
      <c r="J8908">
        <v>0</v>
      </c>
      <c r="K8908">
        <v>0</v>
      </c>
      <c r="L8908">
        <v>131500000</v>
      </c>
      <c r="M8908">
        <v>131500000</v>
      </c>
      <c r="N8908">
        <v>46025000</v>
      </c>
      <c r="O8908">
        <v>46025000</v>
      </c>
      <c r="P8908">
        <v>131500000</v>
      </c>
      <c r="Q8908">
        <v>131500000</v>
      </c>
      <c r="R8908" s="14">
        <f>_xlfn.XLOOKUP(Table2[[#This Row],[LoanID]],Table1[G-L ID],Table1[ManagerCode],-99)</f>
        <v>183</v>
      </c>
      <c r="T8908"/>
    </row>
    <row r="8909" spans="1:20" x14ac:dyDescent="0.25">
      <c r="A8909">
        <v>20190531</v>
      </c>
      <c r="B8909">
        <v>2019</v>
      </c>
      <c r="C8909">
        <v>5</v>
      </c>
      <c r="D8909">
        <v>1</v>
      </c>
      <c r="E8909">
        <v>12520</v>
      </c>
      <c r="F8909">
        <v>196278.1</v>
      </c>
      <c r="G8909">
        <v>0</v>
      </c>
      <c r="H8909">
        <v>0</v>
      </c>
      <c r="I8909">
        <v>0</v>
      </c>
      <c r="J8909">
        <v>0</v>
      </c>
      <c r="K8909">
        <v>0</v>
      </c>
      <c r="L8909">
        <v>46985581.969999999</v>
      </c>
      <c r="M8909">
        <v>46985581.969999999</v>
      </c>
      <c r="N8909">
        <v>22235581.969999999</v>
      </c>
      <c r="O8909">
        <v>22235581.969999999</v>
      </c>
      <c r="P8909">
        <v>46985581.969999999</v>
      </c>
      <c r="Q8909">
        <v>46985581.969999999</v>
      </c>
      <c r="R8909" s="14">
        <f>_xlfn.XLOOKUP(Table2[[#This Row],[LoanID]],Table1[G-L ID],Table1[ManagerCode],-99)</f>
        <v>183</v>
      </c>
      <c r="T8909"/>
    </row>
    <row r="8910" spans="1:20" x14ac:dyDescent="0.25">
      <c r="A8910">
        <v>20190531</v>
      </c>
      <c r="B8910">
        <v>2019</v>
      </c>
      <c r="C8910">
        <v>5</v>
      </c>
      <c r="D8910">
        <v>1</v>
      </c>
      <c r="E8910">
        <v>12530</v>
      </c>
      <c r="F8910">
        <v>161765.94</v>
      </c>
      <c r="G8910">
        <v>0</v>
      </c>
      <c r="H8910">
        <v>0</v>
      </c>
      <c r="I8910">
        <v>0</v>
      </c>
      <c r="J8910">
        <v>0</v>
      </c>
      <c r="K8910">
        <v>0</v>
      </c>
      <c r="L8910">
        <v>19875000</v>
      </c>
      <c r="M8910">
        <v>19875000</v>
      </c>
      <c r="N8910">
        <v>19875000</v>
      </c>
      <c r="O8910">
        <v>19875000</v>
      </c>
      <c r="P8910">
        <v>19875000</v>
      </c>
      <c r="Q8910">
        <v>19875000</v>
      </c>
      <c r="R8910" s="14">
        <f>_xlfn.XLOOKUP(Table2[[#This Row],[LoanID]],Table1[G-L ID],Table1[ManagerCode],-99)</f>
        <v>119</v>
      </c>
      <c r="T8910"/>
    </row>
    <row r="8911" spans="1:20" x14ac:dyDescent="0.25">
      <c r="A8911">
        <v>20190531</v>
      </c>
      <c r="B8911">
        <v>2019</v>
      </c>
      <c r="C8911">
        <v>5</v>
      </c>
      <c r="D8911">
        <v>1</v>
      </c>
      <c r="E8911">
        <v>12540</v>
      </c>
      <c r="F8911">
        <v>146921.42000000001</v>
      </c>
      <c r="G8911">
        <v>0</v>
      </c>
      <c r="H8911">
        <v>0</v>
      </c>
      <c r="I8911">
        <v>0</v>
      </c>
      <c r="J8911">
        <v>0</v>
      </c>
      <c r="K8911">
        <v>0</v>
      </c>
      <c r="L8911">
        <v>15785271.65</v>
      </c>
      <c r="M8911">
        <v>15785271.65</v>
      </c>
      <c r="N8911">
        <v>15785271.65</v>
      </c>
      <c r="O8911">
        <v>15785271.65</v>
      </c>
      <c r="P8911">
        <v>15785271.65</v>
      </c>
      <c r="Q8911">
        <v>15785271.65</v>
      </c>
      <c r="R8911" s="14">
        <f>_xlfn.XLOOKUP(Table2[[#This Row],[LoanID]],Table1[G-L ID],Table1[ManagerCode],-99)</f>
        <v>119</v>
      </c>
      <c r="T8911"/>
    </row>
    <row r="8912" spans="1:20" x14ac:dyDescent="0.25">
      <c r="A8912">
        <v>20190531</v>
      </c>
      <c r="B8912">
        <v>2019</v>
      </c>
      <c r="C8912">
        <v>5</v>
      </c>
      <c r="D8912">
        <v>1</v>
      </c>
      <c r="E8912">
        <v>12550</v>
      </c>
      <c r="F8912">
        <v>77152.149999999994</v>
      </c>
      <c r="G8912">
        <v>0</v>
      </c>
      <c r="H8912">
        <v>0</v>
      </c>
      <c r="I8912">
        <v>0</v>
      </c>
      <c r="J8912">
        <v>0</v>
      </c>
      <c r="K8912">
        <v>0</v>
      </c>
      <c r="L8912">
        <v>7416099.1500000004</v>
      </c>
      <c r="M8912">
        <v>7416099.1500000004</v>
      </c>
      <c r="N8912">
        <v>7416099.1500000004</v>
      </c>
      <c r="O8912">
        <v>7416099.1500000004</v>
      </c>
      <c r="P8912">
        <v>7416099.1500000004</v>
      </c>
      <c r="Q8912">
        <v>7416099.1500000004</v>
      </c>
      <c r="R8912" s="14">
        <f>_xlfn.XLOOKUP(Table2[[#This Row],[LoanID]],Table1[G-L ID],Table1[ManagerCode],-99)</f>
        <v>119</v>
      </c>
      <c r="T8912"/>
    </row>
    <row r="8913" spans="1:20" x14ac:dyDescent="0.25">
      <c r="A8913">
        <v>20190531</v>
      </c>
      <c r="B8913">
        <v>2019</v>
      </c>
      <c r="C8913">
        <v>5</v>
      </c>
      <c r="D8913">
        <v>1</v>
      </c>
      <c r="E8913">
        <v>12560</v>
      </c>
      <c r="F8913">
        <v>185358.29</v>
      </c>
      <c r="G8913">
        <v>0</v>
      </c>
      <c r="H8913">
        <v>0</v>
      </c>
      <c r="I8913">
        <v>0</v>
      </c>
      <c r="J8913">
        <v>-808977.08</v>
      </c>
      <c r="K8913">
        <v>0</v>
      </c>
      <c r="L8913">
        <v>24190044.859999999</v>
      </c>
      <c r="M8913">
        <v>24999021.940000001</v>
      </c>
      <c r="N8913">
        <v>24190044.859999999</v>
      </c>
      <c r="O8913">
        <v>24999021.940000001</v>
      </c>
      <c r="P8913">
        <v>24190044.859999999</v>
      </c>
      <c r="Q8913">
        <v>24999021.940000001</v>
      </c>
      <c r="R8913" s="14">
        <f>_xlfn.XLOOKUP(Table2[[#This Row],[LoanID]],Table1[G-L ID],Table1[ManagerCode],-99)</f>
        <v>119</v>
      </c>
      <c r="T8913"/>
    </row>
    <row r="8914" spans="1:20" x14ac:dyDescent="0.25">
      <c r="A8914">
        <v>20190531</v>
      </c>
      <c r="B8914">
        <v>2019</v>
      </c>
      <c r="C8914">
        <v>5</v>
      </c>
      <c r="D8914">
        <v>1</v>
      </c>
      <c r="E8914">
        <v>12570</v>
      </c>
      <c r="F8914">
        <v>96666.16</v>
      </c>
      <c r="G8914">
        <v>0</v>
      </c>
      <c r="H8914">
        <v>0</v>
      </c>
      <c r="I8914">
        <v>0</v>
      </c>
      <c r="J8914">
        <v>-378294.52</v>
      </c>
      <c r="K8914">
        <v>0</v>
      </c>
      <c r="L8914">
        <v>8551676.1400000006</v>
      </c>
      <c r="M8914">
        <v>8929970.6600000001</v>
      </c>
      <c r="N8914">
        <v>8551676.1400000006</v>
      </c>
      <c r="O8914">
        <v>8929970.6600000001</v>
      </c>
      <c r="P8914">
        <v>8551676.1400000006</v>
      </c>
      <c r="Q8914">
        <v>8929970.6600000001</v>
      </c>
      <c r="R8914" s="14">
        <f>_xlfn.XLOOKUP(Table2[[#This Row],[LoanID]],Table1[G-L ID],Table1[ManagerCode],-99)</f>
        <v>119</v>
      </c>
      <c r="T8914"/>
    </row>
    <row r="8915" spans="1:20" x14ac:dyDescent="0.25">
      <c r="A8915">
        <v>20190531</v>
      </c>
      <c r="B8915">
        <v>2019</v>
      </c>
      <c r="C8915">
        <v>5</v>
      </c>
      <c r="D8915">
        <v>1</v>
      </c>
      <c r="E8915">
        <v>12580</v>
      </c>
      <c r="F8915">
        <v>219225.51</v>
      </c>
      <c r="G8915">
        <v>0</v>
      </c>
      <c r="H8915">
        <v>0</v>
      </c>
      <c r="I8915">
        <v>0</v>
      </c>
      <c r="J8915">
        <v>-1579382.45</v>
      </c>
      <c r="K8915">
        <v>0</v>
      </c>
      <c r="L8915">
        <v>23224091.559999999</v>
      </c>
      <c r="M8915">
        <v>24803474.010000002</v>
      </c>
      <c r="N8915">
        <v>23224091.559999999</v>
      </c>
      <c r="O8915">
        <v>24803474.010000002</v>
      </c>
      <c r="P8915">
        <v>23224091.559999999</v>
      </c>
      <c r="Q8915">
        <v>24803474.010000002</v>
      </c>
      <c r="R8915" s="14">
        <f>_xlfn.XLOOKUP(Table2[[#This Row],[LoanID]],Table1[G-L ID],Table1[ManagerCode],-99)</f>
        <v>119</v>
      </c>
      <c r="T8915"/>
    </row>
    <row r="8916" spans="1:20" x14ac:dyDescent="0.25">
      <c r="A8916">
        <v>20190531</v>
      </c>
      <c r="B8916">
        <v>2019</v>
      </c>
      <c r="C8916">
        <v>5</v>
      </c>
      <c r="D8916">
        <v>1</v>
      </c>
      <c r="E8916">
        <v>12590</v>
      </c>
      <c r="F8916">
        <v>69820</v>
      </c>
      <c r="G8916">
        <v>0</v>
      </c>
      <c r="H8916">
        <v>0</v>
      </c>
      <c r="I8916">
        <v>0</v>
      </c>
      <c r="J8916">
        <v>0</v>
      </c>
      <c r="K8916">
        <v>0</v>
      </c>
      <c r="L8916">
        <v>8000000</v>
      </c>
      <c r="M8916">
        <v>8000000</v>
      </c>
      <c r="N8916">
        <v>8000000</v>
      </c>
      <c r="O8916">
        <v>8000000</v>
      </c>
      <c r="P8916">
        <v>8000000</v>
      </c>
      <c r="Q8916">
        <v>8000000</v>
      </c>
      <c r="R8916" s="14">
        <f>_xlfn.XLOOKUP(Table2[[#This Row],[LoanID]],Table1[G-L ID],Table1[ManagerCode],-99)</f>
        <v>119</v>
      </c>
      <c r="T8916"/>
    </row>
    <row r="8917" spans="1:20" x14ac:dyDescent="0.25">
      <c r="A8917">
        <v>20190531</v>
      </c>
      <c r="B8917">
        <v>2019</v>
      </c>
      <c r="C8917">
        <v>5</v>
      </c>
      <c r="D8917">
        <v>1</v>
      </c>
      <c r="E8917">
        <v>12600</v>
      </c>
      <c r="F8917">
        <v>249125.62</v>
      </c>
      <c r="G8917">
        <v>0</v>
      </c>
      <c r="H8917">
        <v>0</v>
      </c>
      <c r="I8917">
        <v>0</v>
      </c>
      <c r="J8917">
        <v>0</v>
      </c>
      <c r="K8917">
        <v>0</v>
      </c>
      <c r="L8917">
        <v>27750000</v>
      </c>
      <c r="M8917">
        <v>27750000</v>
      </c>
      <c r="N8917">
        <v>27750000</v>
      </c>
      <c r="O8917">
        <v>27750000</v>
      </c>
      <c r="P8917">
        <v>27750000</v>
      </c>
      <c r="Q8917">
        <v>27750000</v>
      </c>
      <c r="R8917" s="14">
        <f>_xlfn.XLOOKUP(Table2[[#This Row],[LoanID]],Table1[G-L ID],Table1[ManagerCode],-99)</f>
        <v>119</v>
      </c>
      <c r="T8917"/>
    </row>
    <row r="8918" spans="1:20" x14ac:dyDescent="0.25">
      <c r="A8918">
        <v>20190531</v>
      </c>
      <c r="B8918">
        <v>2019</v>
      </c>
      <c r="C8918">
        <v>5</v>
      </c>
      <c r="D8918">
        <v>1</v>
      </c>
      <c r="E8918">
        <v>12610</v>
      </c>
      <c r="F8918">
        <v>82975.62</v>
      </c>
      <c r="G8918">
        <v>0</v>
      </c>
      <c r="H8918">
        <v>0</v>
      </c>
      <c r="I8918">
        <v>0</v>
      </c>
      <c r="J8918">
        <v>0</v>
      </c>
      <c r="K8918">
        <v>0</v>
      </c>
      <c r="L8918">
        <v>9305225.2899999991</v>
      </c>
      <c r="M8918">
        <v>9305225.2899999991</v>
      </c>
      <c r="N8918">
        <v>9305225.2899999991</v>
      </c>
      <c r="O8918">
        <v>9305225.2899999991</v>
      </c>
      <c r="P8918">
        <v>9305225.2899999991</v>
      </c>
      <c r="Q8918">
        <v>9305225.2899999991</v>
      </c>
      <c r="R8918" s="14">
        <f>_xlfn.XLOOKUP(Table2[[#This Row],[LoanID]],Table1[G-L ID],Table1[ManagerCode],-99)</f>
        <v>119</v>
      </c>
      <c r="T8918"/>
    </row>
    <row r="8919" spans="1:20" x14ac:dyDescent="0.25">
      <c r="A8919">
        <v>20190531</v>
      </c>
      <c r="B8919">
        <v>2019</v>
      </c>
      <c r="C8919">
        <v>5</v>
      </c>
      <c r="D8919">
        <v>1</v>
      </c>
      <c r="E8919">
        <v>12620</v>
      </c>
      <c r="F8919">
        <v>16158.29</v>
      </c>
      <c r="G8919">
        <v>0</v>
      </c>
      <c r="H8919">
        <v>0</v>
      </c>
      <c r="I8919">
        <v>0</v>
      </c>
      <c r="J8919">
        <v>0</v>
      </c>
      <c r="K8919">
        <v>0</v>
      </c>
      <c r="L8919">
        <v>1661094.29</v>
      </c>
      <c r="M8919">
        <v>1661094.29</v>
      </c>
      <c r="N8919">
        <v>1661094.29</v>
      </c>
      <c r="O8919">
        <v>1661094.29</v>
      </c>
      <c r="P8919">
        <v>1661094.29</v>
      </c>
      <c r="Q8919">
        <v>1661094.29</v>
      </c>
      <c r="R8919" s="14">
        <f>_xlfn.XLOOKUP(Table2[[#This Row],[LoanID]],Table1[G-L ID],Table1[ManagerCode],-99)</f>
        <v>119</v>
      </c>
      <c r="T8919"/>
    </row>
    <row r="8920" spans="1:20" x14ac:dyDescent="0.25">
      <c r="A8920">
        <v>20190531</v>
      </c>
      <c r="B8920">
        <v>2019</v>
      </c>
      <c r="C8920">
        <v>5</v>
      </c>
      <c r="D8920">
        <v>1</v>
      </c>
      <c r="E8920">
        <v>12630</v>
      </c>
      <c r="F8920">
        <v>121523.83</v>
      </c>
      <c r="G8920">
        <v>0</v>
      </c>
      <c r="H8920">
        <v>0</v>
      </c>
      <c r="I8920">
        <v>0</v>
      </c>
      <c r="J8920">
        <v>0</v>
      </c>
      <c r="K8920">
        <v>0</v>
      </c>
      <c r="L8920">
        <v>13290976.189999999</v>
      </c>
      <c r="M8920">
        <v>13290976.189999999</v>
      </c>
      <c r="N8920">
        <v>13290976.189999999</v>
      </c>
      <c r="O8920">
        <v>13290976.189999999</v>
      </c>
      <c r="P8920">
        <v>13290976.189999999</v>
      </c>
      <c r="Q8920">
        <v>13290976.189999999</v>
      </c>
      <c r="R8920" s="14">
        <f>_xlfn.XLOOKUP(Table2[[#This Row],[LoanID]],Table1[G-L ID],Table1[ManagerCode],-99)</f>
        <v>119</v>
      </c>
      <c r="T8920"/>
    </row>
    <row r="8921" spans="1:20" x14ac:dyDescent="0.25">
      <c r="A8921">
        <v>20190531</v>
      </c>
      <c r="B8921">
        <v>2019</v>
      </c>
      <c r="C8921">
        <v>5</v>
      </c>
      <c r="D8921">
        <v>1</v>
      </c>
      <c r="E8921">
        <v>12640</v>
      </c>
      <c r="F8921">
        <v>102962.26</v>
      </c>
      <c r="G8921">
        <v>0</v>
      </c>
      <c r="H8921">
        <v>0</v>
      </c>
      <c r="I8921">
        <v>0</v>
      </c>
      <c r="J8921">
        <v>0</v>
      </c>
      <c r="K8921">
        <v>0</v>
      </c>
      <c r="L8921">
        <v>8818849.0800000001</v>
      </c>
      <c r="M8921">
        <v>8818849.0800000001</v>
      </c>
      <c r="N8921">
        <v>8818849.0800000001</v>
      </c>
      <c r="O8921">
        <v>8818849.0800000001</v>
      </c>
      <c r="P8921">
        <v>8818849.0800000001</v>
      </c>
      <c r="Q8921">
        <v>8818849.0800000001</v>
      </c>
      <c r="R8921" s="14">
        <f>_xlfn.XLOOKUP(Table2[[#This Row],[LoanID]],Table1[G-L ID],Table1[ManagerCode],-99)</f>
        <v>119</v>
      </c>
      <c r="T8921"/>
    </row>
    <row r="8922" spans="1:20" x14ac:dyDescent="0.25">
      <c r="A8922">
        <v>20190531</v>
      </c>
      <c r="B8922">
        <v>2019</v>
      </c>
      <c r="C8922">
        <v>5</v>
      </c>
      <c r="D8922">
        <v>1</v>
      </c>
      <c r="E8922">
        <v>12650</v>
      </c>
      <c r="F8922">
        <v>393507.24</v>
      </c>
      <c r="G8922">
        <v>0</v>
      </c>
      <c r="H8922">
        <v>0</v>
      </c>
      <c r="I8922">
        <v>0</v>
      </c>
      <c r="J8922">
        <v>0</v>
      </c>
      <c r="K8922">
        <v>0</v>
      </c>
      <c r="L8922">
        <v>123200000</v>
      </c>
      <c r="M8922">
        <v>123200000</v>
      </c>
      <c r="N8922">
        <v>49280000</v>
      </c>
      <c r="O8922">
        <v>49280000</v>
      </c>
      <c r="P8922">
        <v>123200000</v>
      </c>
      <c r="Q8922">
        <v>123200000</v>
      </c>
      <c r="R8922" s="14">
        <f>_xlfn.XLOOKUP(Table2[[#This Row],[LoanID]],Table1[G-L ID],Table1[ManagerCode],-99)</f>
        <v>183</v>
      </c>
      <c r="T8922"/>
    </row>
    <row r="8923" spans="1:20" x14ac:dyDescent="0.25">
      <c r="A8923">
        <v>20190531</v>
      </c>
      <c r="B8923">
        <v>2019</v>
      </c>
      <c r="C8923">
        <v>5</v>
      </c>
      <c r="D8923">
        <v>1</v>
      </c>
      <c r="E8923">
        <v>12660</v>
      </c>
      <c r="F8923">
        <v>121534.87</v>
      </c>
      <c r="G8923">
        <v>0</v>
      </c>
      <c r="H8923">
        <v>0</v>
      </c>
      <c r="I8923">
        <v>0</v>
      </c>
      <c r="J8923">
        <v>0</v>
      </c>
      <c r="K8923">
        <v>0</v>
      </c>
      <c r="L8923">
        <v>47000000</v>
      </c>
      <c r="M8923">
        <v>47000000</v>
      </c>
      <c r="N8923">
        <v>19000000</v>
      </c>
      <c r="O8923">
        <v>19000000</v>
      </c>
      <c r="P8923">
        <v>47000000</v>
      </c>
      <c r="Q8923">
        <v>47000000</v>
      </c>
      <c r="R8923" s="14">
        <f>_xlfn.XLOOKUP(Table2[[#This Row],[LoanID]],Table1[G-L ID],Table1[ManagerCode],-99)</f>
        <v>183</v>
      </c>
      <c r="T8923"/>
    </row>
    <row r="8924" spans="1:20" x14ac:dyDescent="0.25">
      <c r="A8924">
        <v>20190531</v>
      </c>
      <c r="B8924">
        <v>2019</v>
      </c>
      <c r="C8924">
        <v>5</v>
      </c>
      <c r="D8924">
        <v>1</v>
      </c>
      <c r="E8924">
        <v>12670</v>
      </c>
      <c r="F8924">
        <v>93203.65</v>
      </c>
      <c r="G8924">
        <v>0</v>
      </c>
      <c r="H8924">
        <v>0</v>
      </c>
      <c r="I8924">
        <v>0</v>
      </c>
      <c r="J8924">
        <v>0</v>
      </c>
      <c r="K8924">
        <v>0</v>
      </c>
      <c r="L8924">
        <v>15500000</v>
      </c>
      <c r="M8924">
        <v>15500000</v>
      </c>
      <c r="N8924">
        <v>15500000</v>
      </c>
      <c r="O8924">
        <v>15500000</v>
      </c>
      <c r="P8924">
        <v>15500000</v>
      </c>
      <c r="Q8924">
        <v>15500000</v>
      </c>
      <c r="R8924" s="14">
        <f>_xlfn.XLOOKUP(Table2[[#This Row],[LoanID]],Table1[G-L ID],Table1[ManagerCode],-99)</f>
        <v>183</v>
      </c>
      <c r="T8924"/>
    </row>
    <row r="8925" spans="1:20" x14ac:dyDescent="0.25">
      <c r="A8925">
        <v>20190531</v>
      </c>
      <c r="B8925">
        <v>2019</v>
      </c>
      <c r="C8925">
        <v>5</v>
      </c>
      <c r="D8925">
        <v>1</v>
      </c>
      <c r="E8925">
        <v>12680</v>
      </c>
      <c r="F8925">
        <v>151922.10999999999</v>
      </c>
      <c r="G8925">
        <v>0</v>
      </c>
      <c r="H8925">
        <v>0</v>
      </c>
      <c r="I8925">
        <v>0</v>
      </c>
      <c r="J8925">
        <v>0</v>
      </c>
      <c r="K8925">
        <v>0</v>
      </c>
      <c r="L8925">
        <v>16126000</v>
      </c>
      <c r="M8925">
        <v>16126000</v>
      </c>
      <c r="N8925">
        <v>16126000</v>
      </c>
      <c r="O8925">
        <v>16126000</v>
      </c>
      <c r="P8925">
        <v>16126000</v>
      </c>
      <c r="Q8925">
        <v>16126000</v>
      </c>
      <c r="R8925" s="14">
        <f>_xlfn.XLOOKUP(Table2[[#This Row],[LoanID]],Table1[G-L ID],Table1[ManagerCode],-99)</f>
        <v>119</v>
      </c>
      <c r="T8925"/>
    </row>
    <row r="8926" spans="1:20" x14ac:dyDescent="0.25">
      <c r="A8926">
        <v>20190531</v>
      </c>
      <c r="B8926">
        <v>2019</v>
      </c>
      <c r="C8926">
        <v>5</v>
      </c>
      <c r="D8926">
        <v>1</v>
      </c>
      <c r="E8926">
        <v>12690</v>
      </c>
      <c r="F8926">
        <v>96027.199999999997</v>
      </c>
      <c r="G8926">
        <v>0</v>
      </c>
      <c r="H8926">
        <v>0</v>
      </c>
      <c r="I8926">
        <v>0</v>
      </c>
      <c r="J8926">
        <v>0</v>
      </c>
      <c r="K8926">
        <v>0</v>
      </c>
      <c r="L8926">
        <v>10175500</v>
      </c>
      <c r="M8926">
        <v>10175500</v>
      </c>
      <c r="N8926">
        <v>10175500</v>
      </c>
      <c r="O8926">
        <v>10175500</v>
      </c>
      <c r="P8926">
        <v>10175500</v>
      </c>
      <c r="Q8926">
        <v>10175500</v>
      </c>
      <c r="R8926" s="14">
        <f>_xlfn.XLOOKUP(Table2[[#This Row],[LoanID]],Table1[G-L ID],Table1[ManagerCode],-99)</f>
        <v>119</v>
      </c>
      <c r="T8926"/>
    </row>
    <row r="8927" spans="1:20" x14ac:dyDescent="0.25">
      <c r="A8927">
        <v>20190531</v>
      </c>
      <c r="B8927">
        <v>2019</v>
      </c>
      <c r="C8927">
        <v>5</v>
      </c>
      <c r="D8927">
        <v>1</v>
      </c>
      <c r="E8927">
        <v>12710</v>
      </c>
      <c r="F8927">
        <v>56994.62</v>
      </c>
      <c r="G8927">
        <v>0</v>
      </c>
      <c r="H8927">
        <v>0</v>
      </c>
      <c r="I8927">
        <v>0</v>
      </c>
      <c r="J8927">
        <v>0</v>
      </c>
      <c r="K8927">
        <v>0</v>
      </c>
      <c r="L8927">
        <v>7791180</v>
      </c>
      <c r="M8927">
        <v>7791180</v>
      </c>
      <c r="N8927">
        <v>7791180</v>
      </c>
      <c r="O8927">
        <v>7791180</v>
      </c>
      <c r="P8927">
        <v>7791180</v>
      </c>
      <c r="Q8927">
        <v>7791180</v>
      </c>
      <c r="R8927" s="14">
        <f>_xlfn.XLOOKUP(Table2[[#This Row],[LoanID]],Table1[G-L ID],Table1[ManagerCode],-99)</f>
        <v>119</v>
      </c>
      <c r="T8927"/>
    </row>
    <row r="8928" spans="1:20" x14ac:dyDescent="0.25">
      <c r="A8928">
        <v>20190531</v>
      </c>
      <c r="B8928">
        <v>2019</v>
      </c>
      <c r="C8928">
        <v>5</v>
      </c>
      <c r="D8928">
        <v>1</v>
      </c>
      <c r="E8928">
        <v>12720</v>
      </c>
      <c r="F8928">
        <v>566033.31999999995</v>
      </c>
      <c r="G8928">
        <v>0</v>
      </c>
      <c r="H8928">
        <v>0</v>
      </c>
      <c r="I8928">
        <v>0</v>
      </c>
      <c r="J8928">
        <v>-463462.63</v>
      </c>
      <c r="K8928">
        <v>0</v>
      </c>
      <c r="L8928">
        <v>194685762.19999999</v>
      </c>
      <c r="M8928">
        <v>195149224.80000001</v>
      </c>
      <c r="N8928">
        <v>92804762.200000003</v>
      </c>
      <c r="O8928">
        <v>93268224.799999997</v>
      </c>
      <c r="P8928">
        <v>194685762.19999999</v>
      </c>
      <c r="Q8928">
        <v>195149224.80000001</v>
      </c>
      <c r="R8928" s="14">
        <f>_xlfn.XLOOKUP(Table2[[#This Row],[LoanID]],Table1[G-L ID],Table1[ManagerCode],-99)</f>
        <v>183</v>
      </c>
      <c r="T8928"/>
    </row>
    <row r="8929" spans="1:20" x14ac:dyDescent="0.25">
      <c r="A8929">
        <v>20190531</v>
      </c>
      <c r="B8929">
        <v>2019</v>
      </c>
      <c r="C8929">
        <v>5</v>
      </c>
      <c r="D8929">
        <v>1</v>
      </c>
      <c r="E8929">
        <v>12730</v>
      </c>
      <c r="F8929">
        <v>85016.79</v>
      </c>
      <c r="G8929">
        <v>0</v>
      </c>
      <c r="H8929">
        <v>0</v>
      </c>
      <c r="I8929">
        <v>0</v>
      </c>
      <c r="J8929">
        <v>0</v>
      </c>
      <c r="K8929">
        <v>0</v>
      </c>
      <c r="L8929">
        <v>38460000</v>
      </c>
      <c r="M8929">
        <v>38460000</v>
      </c>
      <c r="N8929">
        <v>13460000</v>
      </c>
      <c r="O8929">
        <v>13460000</v>
      </c>
      <c r="P8929">
        <v>38460000</v>
      </c>
      <c r="Q8929">
        <v>38460000</v>
      </c>
      <c r="R8929" s="14">
        <f>_xlfn.XLOOKUP(Table2[[#This Row],[LoanID]],Table1[G-L ID],Table1[ManagerCode],-99)</f>
        <v>183</v>
      </c>
      <c r="T8929"/>
    </row>
    <row r="8930" spans="1:20" x14ac:dyDescent="0.25">
      <c r="A8930">
        <v>20190531</v>
      </c>
      <c r="B8930">
        <v>2019</v>
      </c>
      <c r="C8930">
        <v>5</v>
      </c>
      <c r="D8930">
        <v>1</v>
      </c>
      <c r="E8930">
        <v>12740</v>
      </c>
      <c r="F8930">
        <v>131016.44</v>
      </c>
      <c r="G8930">
        <v>72216.66</v>
      </c>
      <c r="H8930">
        <v>0</v>
      </c>
      <c r="I8930">
        <v>0</v>
      </c>
      <c r="J8930">
        <v>-1150829.1200000001</v>
      </c>
      <c r="K8930">
        <v>0</v>
      </c>
      <c r="L8930">
        <v>25398575.550000001</v>
      </c>
      <c r="M8930">
        <v>26621621.329999998</v>
      </c>
      <c r="N8930">
        <v>25398575.550000001</v>
      </c>
      <c r="O8930">
        <v>26621621.329999998</v>
      </c>
      <c r="P8930">
        <v>25398575.550000001</v>
      </c>
      <c r="Q8930">
        <v>26621621.329999998</v>
      </c>
      <c r="R8930" s="14">
        <f>_xlfn.XLOOKUP(Table2[[#This Row],[LoanID]],Table1[G-L ID],Table1[ManagerCode],-99)</f>
        <v>183</v>
      </c>
      <c r="T8930"/>
    </row>
    <row r="8931" spans="1:20" x14ac:dyDescent="0.25">
      <c r="A8931">
        <v>20190531</v>
      </c>
      <c r="B8931">
        <v>2019</v>
      </c>
      <c r="C8931">
        <v>5</v>
      </c>
      <c r="D8931">
        <v>1</v>
      </c>
      <c r="E8931">
        <v>12930</v>
      </c>
      <c r="F8931">
        <v>174358.72</v>
      </c>
      <c r="G8931">
        <v>0</v>
      </c>
      <c r="H8931">
        <v>0</v>
      </c>
      <c r="I8931">
        <v>0</v>
      </c>
      <c r="J8931">
        <v>0</v>
      </c>
      <c r="K8931">
        <v>0</v>
      </c>
      <c r="L8931">
        <v>19000000</v>
      </c>
      <c r="M8931">
        <v>19000000</v>
      </c>
      <c r="N8931">
        <v>19000000</v>
      </c>
      <c r="O8931">
        <v>19000000</v>
      </c>
      <c r="P8931">
        <v>19000000</v>
      </c>
      <c r="Q8931">
        <v>19000000</v>
      </c>
      <c r="R8931" s="14">
        <f>_xlfn.XLOOKUP(Table2[[#This Row],[LoanID]],Table1[G-L ID],Table1[ManagerCode],-99)</f>
        <v>119</v>
      </c>
      <c r="T8931"/>
    </row>
    <row r="8932" spans="1:20" x14ac:dyDescent="0.25">
      <c r="A8932">
        <v>20190531</v>
      </c>
      <c r="B8932">
        <v>2019</v>
      </c>
      <c r="C8932">
        <v>5</v>
      </c>
      <c r="D8932">
        <v>1</v>
      </c>
      <c r="E8932">
        <v>12940</v>
      </c>
      <c r="F8932">
        <v>176843.65</v>
      </c>
      <c r="G8932">
        <v>0</v>
      </c>
      <c r="H8932">
        <v>0</v>
      </c>
      <c r="I8932">
        <v>0</v>
      </c>
      <c r="J8932">
        <v>0</v>
      </c>
      <c r="K8932">
        <v>0</v>
      </c>
      <c r="L8932">
        <v>19795866.109999999</v>
      </c>
      <c r="M8932">
        <v>19795866.109999999</v>
      </c>
      <c r="N8932">
        <v>19795866.109999999</v>
      </c>
      <c r="O8932">
        <v>19795866.109999999</v>
      </c>
      <c r="P8932">
        <v>19795866.109999999</v>
      </c>
      <c r="Q8932">
        <v>19795866.109999999</v>
      </c>
      <c r="R8932" s="14">
        <f>_xlfn.XLOOKUP(Table2[[#This Row],[LoanID]],Table1[G-L ID],Table1[ManagerCode],-99)</f>
        <v>119</v>
      </c>
      <c r="T8932"/>
    </row>
    <row r="8933" spans="1:20" x14ac:dyDescent="0.25">
      <c r="A8933">
        <v>20190531</v>
      </c>
      <c r="B8933">
        <v>2019</v>
      </c>
      <c r="C8933">
        <v>5</v>
      </c>
      <c r="D8933">
        <v>1</v>
      </c>
      <c r="E8933">
        <v>12950</v>
      </c>
      <c r="F8933">
        <v>236007.49</v>
      </c>
      <c r="G8933">
        <v>0</v>
      </c>
      <c r="H8933">
        <v>0</v>
      </c>
      <c r="I8933">
        <v>0</v>
      </c>
      <c r="J8933">
        <v>0</v>
      </c>
      <c r="K8933">
        <v>0</v>
      </c>
      <c r="L8933">
        <v>26842466.629999999</v>
      </c>
      <c r="M8933">
        <v>26842466.629999999</v>
      </c>
      <c r="N8933">
        <v>26842466.629999999</v>
      </c>
      <c r="O8933">
        <v>26842466.629999999</v>
      </c>
      <c r="P8933">
        <v>26842466.629999999</v>
      </c>
      <c r="Q8933">
        <v>26842466.629999999</v>
      </c>
      <c r="R8933" s="14">
        <f>_xlfn.XLOOKUP(Table2[[#This Row],[LoanID]],Table1[G-L ID],Table1[ManagerCode],-99)</f>
        <v>119</v>
      </c>
      <c r="T8933"/>
    </row>
    <row r="8934" spans="1:20" x14ac:dyDescent="0.25">
      <c r="A8934">
        <v>20190531</v>
      </c>
      <c r="B8934">
        <v>2019</v>
      </c>
      <c r="C8934">
        <v>5</v>
      </c>
      <c r="D8934">
        <v>1</v>
      </c>
      <c r="E8934">
        <v>12960</v>
      </c>
      <c r="F8934">
        <v>78808.94</v>
      </c>
      <c r="G8934">
        <v>0</v>
      </c>
      <c r="H8934">
        <v>0</v>
      </c>
      <c r="I8934">
        <v>0</v>
      </c>
      <c r="J8934">
        <v>-41663.89</v>
      </c>
      <c r="K8934">
        <v>0</v>
      </c>
      <c r="L8934">
        <v>8920082.4299999997</v>
      </c>
      <c r="M8934">
        <v>8961746.3200000003</v>
      </c>
      <c r="N8934">
        <v>8920082.4299999997</v>
      </c>
      <c r="O8934">
        <v>8961746.3200000003</v>
      </c>
      <c r="P8934">
        <v>8920082.4299999997</v>
      </c>
      <c r="Q8934">
        <v>8961746.3200000003</v>
      </c>
      <c r="R8934" s="14">
        <f>_xlfn.XLOOKUP(Table2[[#This Row],[LoanID]],Table1[G-L ID],Table1[ManagerCode],-99)</f>
        <v>119</v>
      </c>
      <c r="T8934"/>
    </row>
    <row r="8935" spans="1:20" x14ac:dyDescent="0.25">
      <c r="A8935">
        <v>20190531</v>
      </c>
      <c r="B8935">
        <v>2019</v>
      </c>
      <c r="C8935">
        <v>5</v>
      </c>
      <c r="D8935">
        <v>1</v>
      </c>
      <c r="E8935">
        <v>12970</v>
      </c>
      <c r="F8935">
        <v>90909.53</v>
      </c>
      <c r="G8935">
        <v>0</v>
      </c>
      <c r="H8935">
        <v>0</v>
      </c>
      <c r="I8935">
        <v>0</v>
      </c>
      <c r="J8935">
        <v>-25202.53</v>
      </c>
      <c r="K8935">
        <v>0</v>
      </c>
      <c r="L8935">
        <v>10007439.51</v>
      </c>
      <c r="M8935">
        <v>10032642.039999999</v>
      </c>
      <c r="N8935">
        <v>10007439.51</v>
      </c>
      <c r="O8935">
        <v>10032642.039999999</v>
      </c>
      <c r="P8935">
        <v>10007439.51</v>
      </c>
      <c r="Q8935">
        <v>10032642.039999999</v>
      </c>
      <c r="R8935" s="14">
        <f>_xlfn.XLOOKUP(Table2[[#This Row],[LoanID]],Table1[G-L ID],Table1[ManagerCode],-99)</f>
        <v>119</v>
      </c>
      <c r="T8935"/>
    </row>
    <row r="8936" spans="1:20" x14ac:dyDescent="0.25">
      <c r="A8936">
        <v>20190531</v>
      </c>
      <c r="B8936">
        <v>2019</v>
      </c>
      <c r="C8936">
        <v>5</v>
      </c>
      <c r="D8936">
        <v>1</v>
      </c>
      <c r="E8936">
        <v>12980</v>
      </c>
      <c r="F8936">
        <v>128722.92</v>
      </c>
      <c r="G8936">
        <v>0</v>
      </c>
      <c r="H8936">
        <v>0</v>
      </c>
      <c r="I8936">
        <v>0</v>
      </c>
      <c r="J8936">
        <v>0</v>
      </c>
      <c r="K8936">
        <v>0</v>
      </c>
      <c r="L8936">
        <v>13750000</v>
      </c>
      <c r="M8936">
        <v>13750000</v>
      </c>
      <c r="N8936">
        <v>13750000</v>
      </c>
      <c r="O8936">
        <v>13750000</v>
      </c>
      <c r="P8936">
        <v>13750000</v>
      </c>
      <c r="Q8936">
        <v>13750000</v>
      </c>
      <c r="R8936" s="14">
        <f>_xlfn.XLOOKUP(Table2[[#This Row],[LoanID]],Table1[G-L ID],Table1[ManagerCode],-99)</f>
        <v>119</v>
      </c>
      <c r="T8936"/>
    </row>
    <row r="8937" spans="1:20" x14ac:dyDescent="0.25">
      <c r="A8937">
        <v>20190531</v>
      </c>
      <c r="B8937">
        <v>2019</v>
      </c>
      <c r="C8937">
        <v>5</v>
      </c>
      <c r="D8937">
        <v>1</v>
      </c>
      <c r="E8937">
        <v>12990</v>
      </c>
      <c r="F8937">
        <v>257341.09</v>
      </c>
      <c r="G8937">
        <v>0</v>
      </c>
      <c r="H8937">
        <v>0</v>
      </c>
      <c r="I8937">
        <v>0</v>
      </c>
      <c r="J8937">
        <v>0</v>
      </c>
      <c r="K8937">
        <v>0</v>
      </c>
      <c r="L8937">
        <v>29253153.550000001</v>
      </c>
      <c r="M8937">
        <v>29253153.550000001</v>
      </c>
      <c r="N8937">
        <v>29253153.550000001</v>
      </c>
      <c r="O8937">
        <v>29253153.550000001</v>
      </c>
      <c r="P8937">
        <v>29253153.550000001</v>
      </c>
      <c r="Q8937">
        <v>29253153.550000001</v>
      </c>
      <c r="R8937" s="14">
        <f>_xlfn.XLOOKUP(Table2[[#This Row],[LoanID]],Table1[G-L ID],Table1[ManagerCode],-99)</f>
        <v>119</v>
      </c>
      <c r="T8937"/>
    </row>
    <row r="8938" spans="1:20" x14ac:dyDescent="0.25">
      <c r="A8938">
        <v>20190531</v>
      </c>
      <c r="B8938">
        <v>2019</v>
      </c>
      <c r="C8938">
        <v>5</v>
      </c>
      <c r="D8938">
        <v>1</v>
      </c>
      <c r="E8938">
        <v>13000</v>
      </c>
      <c r="F8938">
        <v>139399.49</v>
      </c>
      <c r="G8938">
        <v>0</v>
      </c>
      <c r="H8938">
        <v>0</v>
      </c>
      <c r="I8938">
        <v>0</v>
      </c>
      <c r="J8938">
        <v>-2350651.4900000002</v>
      </c>
      <c r="K8938">
        <v>0</v>
      </c>
      <c r="L8938">
        <v>38618106</v>
      </c>
      <c r="M8938">
        <v>40970643</v>
      </c>
      <c r="N8938">
        <v>38618106</v>
      </c>
      <c r="O8938">
        <v>40970643</v>
      </c>
      <c r="P8938">
        <v>41921734.140000001</v>
      </c>
      <c r="Q8938">
        <v>44272385.630000003</v>
      </c>
      <c r="R8938" s="14">
        <f>_xlfn.XLOOKUP(Table2[[#This Row],[LoanID]],Table1[G-L ID],Table1[ManagerCode],-99)</f>
        <v>103</v>
      </c>
      <c r="T8938"/>
    </row>
    <row r="8939" spans="1:20" x14ac:dyDescent="0.25">
      <c r="A8939">
        <v>20190531</v>
      </c>
      <c r="B8939">
        <v>2019</v>
      </c>
      <c r="C8939">
        <v>5</v>
      </c>
      <c r="D8939">
        <v>1</v>
      </c>
      <c r="E8939">
        <v>13010</v>
      </c>
      <c r="F8939">
        <v>1400000</v>
      </c>
      <c r="G8939">
        <v>0</v>
      </c>
      <c r="H8939">
        <v>0</v>
      </c>
      <c r="I8939">
        <v>0</v>
      </c>
      <c r="J8939">
        <v>0</v>
      </c>
      <c r="K8939">
        <v>0</v>
      </c>
      <c r="L8939">
        <v>199500200</v>
      </c>
      <c r="M8939">
        <v>199500200</v>
      </c>
      <c r="N8939">
        <v>199500200</v>
      </c>
      <c r="O8939">
        <v>199500200</v>
      </c>
      <c r="P8939">
        <v>210000000</v>
      </c>
      <c r="Q8939">
        <v>210000000</v>
      </c>
      <c r="R8939" s="14">
        <f>_xlfn.XLOOKUP(Table2[[#This Row],[LoanID]],Table1[G-L ID],Table1[ManagerCode],-99)</f>
        <v>103</v>
      </c>
      <c r="T8939"/>
    </row>
    <row r="8940" spans="1:20" x14ac:dyDescent="0.25">
      <c r="A8940">
        <v>20190531</v>
      </c>
      <c r="B8940">
        <v>2019</v>
      </c>
      <c r="C8940">
        <v>5</v>
      </c>
      <c r="D8940">
        <v>1</v>
      </c>
      <c r="E8940">
        <v>13020</v>
      </c>
      <c r="F8940">
        <v>209996.55</v>
      </c>
      <c r="G8940">
        <v>0</v>
      </c>
      <c r="H8940">
        <v>0</v>
      </c>
      <c r="I8940">
        <v>0</v>
      </c>
      <c r="J8940">
        <v>0</v>
      </c>
      <c r="K8940">
        <v>0</v>
      </c>
      <c r="L8940">
        <v>21097426.07</v>
      </c>
      <c r="M8940">
        <v>20999654.719999999</v>
      </c>
      <c r="N8940">
        <v>21097426.07</v>
      </c>
      <c r="O8940">
        <v>20999654.719999999</v>
      </c>
      <c r="P8940">
        <v>21097426.07</v>
      </c>
      <c r="Q8940">
        <v>20999654.719999999</v>
      </c>
      <c r="R8940" s="14">
        <f>_xlfn.XLOOKUP(Table2[[#This Row],[LoanID]],Table1[G-L ID],Table1[ManagerCode],-99)</f>
        <v>103</v>
      </c>
      <c r="T8940"/>
    </row>
    <row r="8941" spans="1:20" x14ac:dyDescent="0.25">
      <c r="A8941">
        <v>20190531</v>
      </c>
      <c r="B8941">
        <v>2019</v>
      </c>
      <c r="C8941">
        <v>5</v>
      </c>
      <c r="D8941">
        <v>1</v>
      </c>
      <c r="E8941">
        <v>13030</v>
      </c>
      <c r="F8941">
        <v>318382.34000000003</v>
      </c>
      <c r="G8941">
        <v>0</v>
      </c>
      <c r="H8941">
        <v>0</v>
      </c>
      <c r="I8941">
        <v>0</v>
      </c>
      <c r="J8941">
        <v>0</v>
      </c>
      <c r="K8941">
        <v>0</v>
      </c>
      <c r="L8941">
        <v>114000000</v>
      </c>
      <c r="M8941">
        <v>114000000</v>
      </c>
      <c r="N8941">
        <v>51276576</v>
      </c>
      <c r="O8941">
        <v>51276576</v>
      </c>
      <c r="P8941">
        <v>114000000</v>
      </c>
      <c r="Q8941">
        <v>114000000</v>
      </c>
      <c r="R8941" s="14">
        <f>_xlfn.XLOOKUP(Table2[[#This Row],[LoanID]],Table1[G-L ID],Table1[ManagerCode],-99)</f>
        <v>183</v>
      </c>
      <c r="T8941"/>
    </row>
    <row r="8942" spans="1:20" x14ac:dyDescent="0.25">
      <c r="A8942">
        <v>20190531</v>
      </c>
      <c r="B8942">
        <v>2019</v>
      </c>
      <c r="C8942">
        <v>5</v>
      </c>
      <c r="D8942">
        <v>1</v>
      </c>
      <c r="E8942">
        <v>13040</v>
      </c>
      <c r="F8942">
        <v>79364.490000000005</v>
      </c>
      <c r="G8942">
        <v>0</v>
      </c>
      <c r="H8942">
        <v>0</v>
      </c>
      <c r="I8942">
        <v>0</v>
      </c>
      <c r="J8942">
        <v>-288772.19</v>
      </c>
      <c r="K8942">
        <v>0</v>
      </c>
      <c r="L8942">
        <v>34221123.159999996</v>
      </c>
      <c r="M8942">
        <v>34509895.350000001</v>
      </c>
      <c r="N8942">
        <v>14048736.16</v>
      </c>
      <c r="O8942">
        <v>14337508.35</v>
      </c>
      <c r="P8942">
        <v>34221123.159999996</v>
      </c>
      <c r="Q8942">
        <v>34509895.350000001</v>
      </c>
      <c r="R8942" s="14">
        <f>_xlfn.XLOOKUP(Table2[[#This Row],[LoanID]],Table1[G-L ID],Table1[ManagerCode],-99)</f>
        <v>183</v>
      </c>
      <c r="T8942"/>
    </row>
    <row r="8943" spans="1:20" x14ac:dyDescent="0.25">
      <c r="A8943">
        <v>20190531</v>
      </c>
      <c r="B8943">
        <v>2019</v>
      </c>
      <c r="C8943">
        <v>5</v>
      </c>
      <c r="D8943">
        <v>1</v>
      </c>
      <c r="E8943">
        <v>13050</v>
      </c>
      <c r="F8943">
        <v>77805.77</v>
      </c>
      <c r="G8943">
        <v>0</v>
      </c>
      <c r="H8943">
        <v>0</v>
      </c>
      <c r="I8943">
        <v>0</v>
      </c>
      <c r="J8943">
        <v>0</v>
      </c>
      <c r="K8943">
        <v>0</v>
      </c>
      <c r="L8943">
        <v>42575000</v>
      </c>
      <c r="M8943">
        <v>42575000</v>
      </c>
      <c r="N8943">
        <v>14901424</v>
      </c>
      <c r="O8943">
        <v>14901424</v>
      </c>
      <c r="P8943">
        <v>42575000</v>
      </c>
      <c r="Q8943">
        <v>42575000</v>
      </c>
      <c r="R8943" s="14">
        <f>_xlfn.XLOOKUP(Table2[[#This Row],[LoanID]],Table1[G-L ID],Table1[ManagerCode],-99)</f>
        <v>183</v>
      </c>
      <c r="T8943"/>
    </row>
    <row r="8944" spans="1:20" x14ac:dyDescent="0.25">
      <c r="A8944">
        <v>20190531</v>
      </c>
      <c r="B8944">
        <v>2019</v>
      </c>
      <c r="C8944">
        <v>5</v>
      </c>
      <c r="D8944">
        <v>1</v>
      </c>
      <c r="E8944">
        <v>13060</v>
      </c>
      <c r="F8944">
        <v>99621.63</v>
      </c>
      <c r="G8944">
        <v>0</v>
      </c>
      <c r="H8944">
        <v>0</v>
      </c>
      <c r="I8944">
        <v>0</v>
      </c>
      <c r="J8944">
        <v>0</v>
      </c>
      <c r="K8944">
        <v>0</v>
      </c>
      <c r="L8944">
        <v>42730506.350000001</v>
      </c>
      <c r="M8944">
        <v>42730506.350000001</v>
      </c>
      <c r="N8944">
        <v>17128944.350000001</v>
      </c>
      <c r="O8944">
        <v>17128944.350000001</v>
      </c>
      <c r="P8944">
        <v>42730506.350000001</v>
      </c>
      <c r="Q8944">
        <v>42730506.350000001</v>
      </c>
      <c r="R8944" s="14">
        <f>_xlfn.XLOOKUP(Table2[[#This Row],[LoanID]],Table1[G-L ID],Table1[ManagerCode],-99)</f>
        <v>183</v>
      </c>
      <c r="T8944"/>
    </row>
    <row r="8945" spans="1:20" x14ac:dyDescent="0.25">
      <c r="A8945">
        <v>20190531</v>
      </c>
      <c r="B8945">
        <v>2019</v>
      </c>
      <c r="C8945">
        <v>5</v>
      </c>
      <c r="D8945">
        <v>1</v>
      </c>
      <c r="E8945">
        <v>13070</v>
      </c>
      <c r="F8945">
        <v>371414.43</v>
      </c>
      <c r="G8945">
        <v>0</v>
      </c>
      <c r="H8945">
        <v>0</v>
      </c>
      <c r="I8945">
        <v>0</v>
      </c>
      <c r="J8945">
        <v>-1604533</v>
      </c>
      <c r="K8945">
        <v>0</v>
      </c>
      <c r="L8945">
        <v>86763472</v>
      </c>
      <c r="M8945">
        <v>88368005</v>
      </c>
      <c r="N8945">
        <v>46763472</v>
      </c>
      <c r="O8945">
        <v>48368005</v>
      </c>
      <c r="P8945">
        <v>86763472</v>
      </c>
      <c r="Q8945">
        <v>88368005</v>
      </c>
      <c r="R8945" s="14">
        <f>_xlfn.XLOOKUP(Table2[[#This Row],[LoanID]],Table1[G-L ID],Table1[ManagerCode],-99)</f>
        <v>183</v>
      </c>
      <c r="T8945"/>
    </row>
    <row r="8946" spans="1:20" x14ac:dyDescent="0.25">
      <c r="A8946">
        <v>20190531</v>
      </c>
      <c r="B8946">
        <v>2019</v>
      </c>
      <c r="C8946">
        <v>5</v>
      </c>
      <c r="D8946">
        <v>1</v>
      </c>
      <c r="E8946">
        <v>13080</v>
      </c>
      <c r="F8946">
        <v>110370.25</v>
      </c>
      <c r="G8946">
        <v>0</v>
      </c>
      <c r="H8946">
        <v>0</v>
      </c>
      <c r="I8946">
        <v>0</v>
      </c>
      <c r="J8946">
        <v>0</v>
      </c>
      <c r="K8946">
        <v>0</v>
      </c>
      <c r="L8946">
        <v>43000000</v>
      </c>
      <c r="M8946">
        <v>43000000</v>
      </c>
      <c r="N8946">
        <v>21500000</v>
      </c>
      <c r="O8946">
        <v>21500000</v>
      </c>
      <c r="P8946">
        <v>43000000</v>
      </c>
      <c r="Q8946">
        <v>43000000</v>
      </c>
      <c r="R8946" s="14">
        <f>_xlfn.XLOOKUP(Table2[[#This Row],[LoanID]],Table1[G-L ID],Table1[ManagerCode],-99)</f>
        <v>183</v>
      </c>
      <c r="T8946"/>
    </row>
    <row r="8947" spans="1:20" x14ac:dyDescent="0.25">
      <c r="A8947">
        <v>20190531</v>
      </c>
      <c r="B8947">
        <v>2019</v>
      </c>
      <c r="C8947">
        <v>5</v>
      </c>
      <c r="D8947">
        <v>1</v>
      </c>
      <c r="E8947">
        <v>13090</v>
      </c>
      <c r="F8947">
        <v>115940</v>
      </c>
      <c r="G8947">
        <v>0</v>
      </c>
      <c r="H8947">
        <v>0</v>
      </c>
      <c r="I8947">
        <v>0</v>
      </c>
      <c r="J8947">
        <v>0</v>
      </c>
      <c r="K8947">
        <v>0</v>
      </c>
      <c r="L8947">
        <v>20000000</v>
      </c>
      <c r="M8947">
        <v>20000000</v>
      </c>
      <c r="N8947">
        <v>20000000</v>
      </c>
      <c r="O8947">
        <v>20000000</v>
      </c>
      <c r="P8947">
        <v>20000000</v>
      </c>
      <c r="Q8947">
        <v>20000000</v>
      </c>
      <c r="R8947" s="14">
        <f>_xlfn.XLOOKUP(Table2[[#This Row],[LoanID]],Table1[G-L ID],Table1[ManagerCode],-99)</f>
        <v>183</v>
      </c>
      <c r="T8947"/>
    </row>
    <row r="8948" spans="1:20" x14ac:dyDescent="0.25">
      <c r="A8948">
        <v>20190531</v>
      </c>
      <c r="B8948">
        <v>2019</v>
      </c>
      <c r="C8948">
        <v>5</v>
      </c>
      <c r="D8948">
        <v>1</v>
      </c>
      <c r="E8948">
        <v>13100</v>
      </c>
      <c r="F8948">
        <v>103087.56</v>
      </c>
      <c r="G8948">
        <v>0</v>
      </c>
      <c r="H8948">
        <v>0</v>
      </c>
      <c r="I8948">
        <v>0</v>
      </c>
      <c r="J8948">
        <v>0</v>
      </c>
      <c r="K8948">
        <v>0</v>
      </c>
      <c r="L8948">
        <v>31645000</v>
      </c>
      <c r="M8948">
        <v>31645000</v>
      </c>
      <c r="N8948">
        <v>14296600</v>
      </c>
      <c r="O8948">
        <v>14296600</v>
      </c>
      <c r="P8948">
        <v>31645000</v>
      </c>
      <c r="Q8948">
        <v>31645000</v>
      </c>
      <c r="R8948" s="14">
        <f>_xlfn.XLOOKUP(Table2[[#This Row],[LoanID]],Table1[G-L ID],Table1[ManagerCode],-99)</f>
        <v>183</v>
      </c>
      <c r="T8948"/>
    </row>
    <row r="8949" spans="1:20" x14ac:dyDescent="0.25">
      <c r="A8949">
        <v>20190531</v>
      </c>
      <c r="B8949">
        <v>2019</v>
      </c>
      <c r="C8949">
        <v>5</v>
      </c>
      <c r="D8949">
        <v>1</v>
      </c>
      <c r="E8949">
        <v>13110</v>
      </c>
      <c r="F8949">
        <v>96600.76</v>
      </c>
      <c r="G8949">
        <v>0</v>
      </c>
      <c r="H8949">
        <v>0</v>
      </c>
      <c r="I8949">
        <v>0</v>
      </c>
      <c r="J8949">
        <v>-242420.43</v>
      </c>
      <c r="K8949">
        <v>0</v>
      </c>
      <c r="L8949">
        <v>44000000</v>
      </c>
      <c r="M8949">
        <v>44242420.43</v>
      </c>
      <c r="N8949">
        <v>17723750</v>
      </c>
      <c r="O8949">
        <v>17966170.43</v>
      </c>
      <c r="P8949">
        <v>44000000</v>
      </c>
      <c r="Q8949">
        <v>44242420.43</v>
      </c>
      <c r="R8949" s="14">
        <f>_xlfn.XLOOKUP(Table2[[#This Row],[LoanID]],Table1[G-L ID],Table1[ManagerCode],-99)</f>
        <v>183</v>
      </c>
      <c r="T8949"/>
    </row>
    <row r="8950" spans="1:20" x14ac:dyDescent="0.25">
      <c r="A8950">
        <v>20190531</v>
      </c>
      <c r="B8950">
        <v>2019</v>
      </c>
      <c r="C8950">
        <v>5</v>
      </c>
      <c r="D8950">
        <v>1</v>
      </c>
      <c r="E8950">
        <v>13120</v>
      </c>
      <c r="F8950">
        <v>60668.52</v>
      </c>
      <c r="G8950">
        <v>0</v>
      </c>
      <c r="H8950">
        <v>0</v>
      </c>
      <c r="I8950">
        <v>0</v>
      </c>
      <c r="J8950">
        <v>0</v>
      </c>
      <c r="K8950">
        <v>0</v>
      </c>
      <c r="L8950">
        <v>27360000</v>
      </c>
      <c r="M8950">
        <v>27360000</v>
      </c>
      <c r="N8950">
        <v>9576000</v>
      </c>
      <c r="O8950">
        <v>9576000</v>
      </c>
      <c r="P8950">
        <v>27360000</v>
      </c>
      <c r="Q8950">
        <v>27360000</v>
      </c>
      <c r="R8950" s="14">
        <f>_xlfn.XLOOKUP(Table2[[#This Row],[LoanID]],Table1[G-L ID],Table1[ManagerCode],-99)</f>
        <v>183</v>
      </c>
      <c r="T8950"/>
    </row>
    <row r="8951" spans="1:20" x14ac:dyDescent="0.25">
      <c r="A8951">
        <v>20190531</v>
      </c>
      <c r="B8951">
        <v>2019</v>
      </c>
      <c r="C8951">
        <v>5</v>
      </c>
      <c r="D8951">
        <v>1</v>
      </c>
      <c r="E8951">
        <v>13130</v>
      </c>
      <c r="F8951">
        <v>437169.06</v>
      </c>
      <c r="G8951">
        <v>0</v>
      </c>
      <c r="H8951">
        <v>0</v>
      </c>
      <c r="I8951">
        <v>0</v>
      </c>
      <c r="J8951">
        <v>0</v>
      </c>
      <c r="K8951">
        <v>0</v>
      </c>
      <c r="L8951">
        <v>190400000</v>
      </c>
      <c r="M8951">
        <v>190400000</v>
      </c>
      <c r="N8951">
        <v>90400000</v>
      </c>
      <c r="O8951">
        <v>90400000</v>
      </c>
      <c r="P8951">
        <v>190400000</v>
      </c>
      <c r="Q8951">
        <v>190400000</v>
      </c>
      <c r="R8951" s="14">
        <f>_xlfn.XLOOKUP(Table2[[#This Row],[LoanID]],Table1[G-L ID],Table1[ManagerCode],-99)</f>
        <v>183</v>
      </c>
      <c r="T8951"/>
    </row>
    <row r="8952" spans="1:20" x14ac:dyDescent="0.25">
      <c r="A8952">
        <v>20190531</v>
      </c>
      <c r="B8952">
        <v>2019</v>
      </c>
      <c r="C8952">
        <v>5</v>
      </c>
      <c r="D8952">
        <v>1</v>
      </c>
      <c r="E8952">
        <v>13140</v>
      </c>
      <c r="F8952">
        <v>293978.08</v>
      </c>
      <c r="G8952">
        <v>0</v>
      </c>
      <c r="H8952">
        <v>0</v>
      </c>
      <c r="I8952">
        <v>0</v>
      </c>
      <c r="J8952">
        <v>-55250000</v>
      </c>
      <c r="K8952">
        <v>0</v>
      </c>
      <c r="L8952">
        <v>62283234.030000001</v>
      </c>
      <c r="M8952">
        <v>117533234</v>
      </c>
      <c r="N8952">
        <v>62283234.030000001</v>
      </c>
      <c r="O8952">
        <v>117533234</v>
      </c>
      <c r="P8952">
        <v>62283234.030000001</v>
      </c>
      <c r="Q8952">
        <v>117533234</v>
      </c>
      <c r="R8952" s="14">
        <f>_xlfn.XLOOKUP(Table2[[#This Row],[LoanID]],Table1[G-L ID],Table1[ManagerCode],-99)</f>
        <v>183</v>
      </c>
      <c r="T8952"/>
    </row>
    <row r="8953" spans="1:20" x14ac:dyDescent="0.25">
      <c r="A8953">
        <v>20190531</v>
      </c>
      <c r="B8953">
        <v>2019</v>
      </c>
      <c r="C8953">
        <v>5</v>
      </c>
      <c r="D8953">
        <v>1</v>
      </c>
      <c r="E8953">
        <v>13150</v>
      </c>
      <c r="F8953">
        <v>165716.95000000001</v>
      </c>
      <c r="G8953">
        <v>0</v>
      </c>
      <c r="H8953">
        <v>0</v>
      </c>
      <c r="I8953">
        <v>0</v>
      </c>
      <c r="J8953">
        <v>0</v>
      </c>
      <c r="K8953">
        <v>0</v>
      </c>
      <c r="L8953">
        <v>85580000</v>
      </c>
      <c r="M8953">
        <v>85580000</v>
      </c>
      <c r="N8953">
        <v>29953000</v>
      </c>
      <c r="O8953">
        <v>29953000</v>
      </c>
      <c r="P8953">
        <v>85580000</v>
      </c>
      <c r="Q8953">
        <v>85580000</v>
      </c>
      <c r="R8953" s="14">
        <f>_xlfn.XLOOKUP(Table2[[#This Row],[LoanID]],Table1[G-L ID],Table1[ManagerCode],-99)</f>
        <v>183</v>
      </c>
      <c r="T8953"/>
    </row>
    <row r="8954" spans="1:20" x14ac:dyDescent="0.25">
      <c r="A8954">
        <v>20190531</v>
      </c>
      <c r="B8954">
        <v>2019</v>
      </c>
      <c r="C8954">
        <v>5</v>
      </c>
      <c r="D8954">
        <v>1</v>
      </c>
      <c r="E8954">
        <v>13160</v>
      </c>
      <c r="F8954">
        <v>83160.460000000006</v>
      </c>
      <c r="G8954">
        <v>0</v>
      </c>
      <c r="H8954">
        <v>0</v>
      </c>
      <c r="I8954">
        <v>0</v>
      </c>
      <c r="J8954">
        <v>-8500000</v>
      </c>
      <c r="K8954">
        <v>0</v>
      </c>
      <c r="L8954">
        <v>33400000</v>
      </c>
      <c r="M8954">
        <v>41900000</v>
      </c>
      <c r="N8954">
        <v>13354858</v>
      </c>
      <c r="O8954">
        <v>21854858</v>
      </c>
      <c r="P8954">
        <v>33400000</v>
      </c>
      <c r="Q8954">
        <v>41900000</v>
      </c>
      <c r="R8954" s="14">
        <f>_xlfn.XLOOKUP(Table2[[#This Row],[LoanID]],Table1[G-L ID],Table1[ManagerCode],-99)</f>
        <v>183</v>
      </c>
      <c r="T8954"/>
    </row>
    <row r="8955" spans="1:20" x14ac:dyDescent="0.25">
      <c r="A8955">
        <v>20190531</v>
      </c>
      <c r="B8955">
        <v>2019</v>
      </c>
      <c r="C8955">
        <v>5</v>
      </c>
      <c r="D8955">
        <v>1</v>
      </c>
      <c r="E8955">
        <v>13170</v>
      </c>
      <c r="F8955">
        <v>95450.33</v>
      </c>
      <c r="G8955">
        <v>0</v>
      </c>
      <c r="H8955">
        <v>0</v>
      </c>
      <c r="I8955">
        <v>0</v>
      </c>
      <c r="J8955">
        <v>0</v>
      </c>
      <c r="K8955">
        <v>0</v>
      </c>
      <c r="L8955">
        <v>50400000</v>
      </c>
      <c r="M8955">
        <v>50400000</v>
      </c>
      <c r="N8955">
        <v>17600000</v>
      </c>
      <c r="O8955">
        <v>17600000</v>
      </c>
      <c r="P8955">
        <v>50400000</v>
      </c>
      <c r="Q8955">
        <v>50400000</v>
      </c>
      <c r="R8955" s="14">
        <f>_xlfn.XLOOKUP(Table2[[#This Row],[LoanID]],Table1[G-L ID],Table1[ManagerCode],-99)</f>
        <v>183</v>
      </c>
      <c r="T8955"/>
    </row>
    <row r="8956" spans="1:20" x14ac:dyDescent="0.25">
      <c r="A8956">
        <v>20190531</v>
      </c>
      <c r="B8956">
        <v>2019</v>
      </c>
      <c r="C8956">
        <v>5</v>
      </c>
      <c r="D8956">
        <v>1</v>
      </c>
      <c r="E8956">
        <v>13180</v>
      </c>
      <c r="F8956">
        <v>84083.26</v>
      </c>
      <c r="G8956">
        <v>0</v>
      </c>
      <c r="H8956">
        <v>0</v>
      </c>
      <c r="I8956">
        <v>0</v>
      </c>
      <c r="J8956">
        <v>0</v>
      </c>
      <c r="K8956">
        <v>0</v>
      </c>
      <c r="L8956">
        <v>39780000</v>
      </c>
      <c r="M8956">
        <v>39780000</v>
      </c>
      <c r="N8956">
        <v>15930000</v>
      </c>
      <c r="O8956">
        <v>15930000</v>
      </c>
      <c r="P8956">
        <v>39780000</v>
      </c>
      <c r="Q8956">
        <v>39780000</v>
      </c>
      <c r="R8956" s="14">
        <f>_xlfn.XLOOKUP(Table2[[#This Row],[LoanID]],Table1[G-L ID],Table1[ManagerCode],-99)</f>
        <v>183</v>
      </c>
      <c r="T8956"/>
    </row>
    <row r="8957" spans="1:20" x14ac:dyDescent="0.25">
      <c r="A8957">
        <v>20190531</v>
      </c>
      <c r="B8957">
        <v>2019</v>
      </c>
      <c r="C8957">
        <v>5</v>
      </c>
      <c r="D8957">
        <v>1</v>
      </c>
      <c r="E8957">
        <v>13190</v>
      </c>
      <c r="F8957">
        <v>51029.74</v>
      </c>
      <c r="G8957">
        <v>52091.1</v>
      </c>
      <c r="H8957">
        <v>0</v>
      </c>
      <c r="I8957">
        <v>0</v>
      </c>
      <c r="J8957">
        <v>-695862.4</v>
      </c>
      <c r="K8957">
        <v>0</v>
      </c>
      <c r="L8957">
        <v>9682812.9499999993</v>
      </c>
      <c r="M8957">
        <v>10430766.449999999</v>
      </c>
      <c r="N8957">
        <v>9682812.9499999993</v>
      </c>
      <c r="O8957">
        <v>10430766.449999999</v>
      </c>
      <c r="P8957">
        <v>9682812.9499999993</v>
      </c>
      <c r="Q8957">
        <v>10430766.449999999</v>
      </c>
      <c r="R8957" s="14">
        <f>_xlfn.XLOOKUP(Table2[[#This Row],[LoanID]],Table1[G-L ID],Table1[ManagerCode],-99)</f>
        <v>183</v>
      </c>
      <c r="T8957"/>
    </row>
    <row r="8958" spans="1:20" x14ac:dyDescent="0.25">
      <c r="A8958">
        <v>20190531</v>
      </c>
      <c r="B8958">
        <v>2019</v>
      </c>
      <c r="C8958">
        <v>5</v>
      </c>
      <c r="D8958">
        <v>1</v>
      </c>
      <c r="E8958">
        <v>13200</v>
      </c>
      <c r="F8958">
        <v>20738.71</v>
      </c>
      <c r="G8958">
        <v>24195.16</v>
      </c>
      <c r="H8958">
        <v>0</v>
      </c>
      <c r="I8958">
        <v>0</v>
      </c>
      <c r="J8958">
        <v>-1571852.46</v>
      </c>
      <c r="K8958">
        <v>0</v>
      </c>
      <c r="L8958">
        <v>3162886.85</v>
      </c>
      <c r="M8958">
        <v>4758934.47</v>
      </c>
      <c r="N8958">
        <v>3162886.85</v>
      </c>
      <c r="O8958">
        <v>4758934.47</v>
      </c>
      <c r="P8958">
        <v>3162886.85</v>
      </c>
      <c r="Q8958">
        <v>4758934.47</v>
      </c>
      <c r="R8958" s="14">
        <f>_xlfn.XLOOKUP(Table2[[#This Row],[LoanID]],Table1[G-L ID],Table1[ManagerCode],-99)</f>
        <v>183</v>
      </c>
      <c r="T8958"/>
    </row>
    <row r="8959" spans="1:20" x14ac:dyDescent="0.25">
      <c r="A8959">
        <v>20190531</v>
      </c>
      <c r="B8959">
        <v>2019</v>
      </c>
      <c r="C8959">
        <v>5</v>
      </c>
      <c r="D8959">
        <v>1</v>
      </c>
      <c r="E8959">
        <v>13210</v>
      </c>
      <c r="F8959">
        <v>0</v>
      </c>
      <c r="G8959">
        <v>76520.37</v>
      </c>
      <c r="H8959">
        <v>0</v>
      </c>
      <c r="I8959">
        <v>0</v>
      </c>
      <c r="J8959">
        <v>0</v>
      </c>
      <c r="K8959">
        <v>0</v>
      </c>
      <c r="L8959">
        <v>7727806.0800000001</v>
      </c>
      <c r="M8959">
        <v>7804326.4500000002</v>
      </c>
      <c r="N8959">
        <v>7727806.0800000001</v>
      </c>
      <c r="O8959">
        <v>7804326.4500000002</v>
      </c>
      <c r="P8959">
        <v>7727806.0800000001</v>
      </c>
      <c r="Q8959">
        <v>7804326.4500000002</v>
      </c>
      <c r="R8959" s="14">
        <f>_xlfn.XLOOKUP(Table2[[#This Row],[LoanID]],Table1[G-L ID],Table1[ManagerCode],-99)</f>
        <v>183</v>
      </c>
      <c r="T8959"/>
    </row>
    <row r="8960" spans="1:20" x14ac:dyDescent="0.25">
      <c r="A8960">
        <v>20190531</v>
      </c>
      <c r="B8960">
        <v>2019</v>
      </c>
      <c r="C8960">
        <v>5</v>
      </c>
      <c r="D8960">
        <v>1</v>
      </c>
      <c r="E8960">
        <v>13220</v>
      </c>
      <c r="F8960">
        <v>70806.3</v>
      </c>
      <c r="G8960">
        <v>460.68</v>
      </c>
      <c r="H8960">
        <v>0</v>
      </c>
      <c r="I8960">
        <v>0</v>
      </c>
      <c r="J8960">
        <v>0</v>
      </c>
      <c r="K8960">
        <v>5047.45</v>
      </c>
      <c r="L8960">
        <v>9315143.4299999997</v>
      </c>
      <c r="M8960">
        <v>9310556.6600000001</v>
      </c>
      <c r="N8960">
        <v>9315143.4299999997</v>
      </c>
      <c r="O8960">
        <v>9310556.6600000001</v>
      </c>
      <c r="P8960">
        <v>9223429.3599999994</v>
      </c>
      <c r="Q8960">
        <v>9218842.5899999999</v>
      </c>
      <c r="R8960" s="14">
        <f>_xlfn.XLOOKUP(Table2[[#This Row],[LoanID]],Table1[G-L ID],Table1[ManagerCode],-99)</f>
        <v>219</v>
      </c>
      <c r="T8960"/>
    </row>
    <row r="8961" spans="1:20" x14ac:dyDescent="0.25">
      <c r="A8961">
        <v>20190531</v>
      </c>
      <c r="B8961">
        <v>2019</v>
      </c>
      <c r="C8961">
        <v>5</v>
      </c>
      <c r="D8961">
        <v>1</v>
      </c>
      <c r="E8961">
        <v>13230</v>
      </c>
      <c r="F8961">
        <v>43180.75</v>
      </c>
      <c r="G8961">
        <v>0</v>
      </c>
      <c r="H8961">
        <v>0</v>
      </c>
      <c r="I8961">
        <v>0</v>
      </c>
      <c r="J8961">
        <v>0</v>
      </c>
      <c r="K8961">
        <v>0</v>
      </c>
      <c r="L8961">
        <v>6543875</v>
      </c>
      <c r="M8961">
        <v>6543875</v>
      </c>
      <c r="N8961">
        <v>6543875</v>
      </c>
      <c r="O8961">
        <v>6543875</v>
      </c>
      <c r="P8961">
        <v>6543875</v>
      </c>
      <c r="Q8961">
        <v>6543875</v>
      </c>
      <c r="R8961" s="14">
        <f>_xlfn.XLOOKUP(Table2[[#This Row],[LoanID]],Table1[G-L ID],Table1[ManagerCode],-99)</f>
        <v>219</v>
      </c>
      <c r="T8961"/>
    </row>
    <row r="8962" spans="1:20" x14ac:dyDescent="0.25">
      <c r="A8962">
        <v>20190531</v>
      </c>
      <c r="B8962">
        <v>2019</v>
      </c>
      <c r="C8962">
        <v>5</v>
      </c>
      <c r="D8962">
        <v>1</v>
      </c>
      <c r="E8962">
        <v>13240</v>
      </c>
      <c r="F8962">
        <v>76154.990000000005</v>
      </c>
      <c r="G8962">
        <v>83.3</v>
      </c>
      <c r="H8962">
        <v>0</v>
      </c>
      <c r="I8962">
        <v>0</v>
      </c>
      <c r="J8962">
        <v>0</v>
      </c>
      <c r="K8962">
        <v>0</v>
      </c>
      <c r="L8962">
        <v>7820112.4000000004</v>
      </c>
      <c r="M8962">
        <v>7820195.7000000002</v>
      </c>
      <c r="N8962">
        <v>7820112.4000000004</v>
      </c>
      <c r="O8962">
        <v>7820195.7000000002</v>
      </c>
      <c r="P8962">
        <v>7820112.4000000004</v>
      </c>
      <c r="Q8962">
        <v>7820195.7000000002</v>
      </c>
      <c r="R8962" s="14">
        <f>_xlfn.XLOOKUP(Table2[[#This Row],[LoanID]],Table1[G-L ID],Table1[ManagerCode],-99)</f>
        <v>219</v>
      </c>
      <c r="T8962"/>
    </row>
    <row r="8963" spans="1:20" x14ac:dyDescent="0.25">
      <c r="A8963">
        <v>20190531</v>
      </c>
      <c r="B8963">
        <v>2019</v>
      </c>
      <c r="C8963">
        <v>5</v>
      </c>
      <c r="D8963">
        <v>1</v>
      </c>
      <c r="E8963">
        <v>13260</v>
      </c>
      <c r="F8963">
        <v>182383.33</v>
      </c>
      <c r="G8963">
        <v>1640.01</v>
      </c>
      <c r="H8963">
        <v>0</v>
      </c>
      <c r="I8963">
        <v>0</v>
      </c>
      <c r="J8963">
        <v>0</v>
      </c>
      <c r="K8963">
        <v>0</v>
      </c>
      <c r="L8963">
        <v>20100591.890000001</v>
      </c>
      <c r="M8963">
        <v>20102231.899999999</v>
      </c>
      <c r="N8963">
        <v>20100591.890000001</v>
      </c>
      <c r="O8963">
        <v>20102231.899999999</v>
      </c>
      <c r="P8963">
        <v>20100591.890000001</v>
      </c>
      <c r="Q8963">
        <v>20102231.899999999</v>
      </c>
      <c r="R8963" s="14">
        <f>_xlfn.XLOOKUP(Table2[[#This Row],[LoanID]],Table1[G-L ID],Table1[ManagerCode],-99)</f>
        <v>219</v>
      </c>
      <c r="T8963"/>
    </row>
    <row r="8964" spans="1:20" x14ac:dyDescent="0.25">
      <c r="A8964">
        <v>20190531</v>
      </c>
      <c r="B8964">
        <v>2019</v>
      </c>
      <c r="C8964">
        <v>5</v>
      </c>
      <c r="D8964">
        <v>1</v>
      </c>
      <c r="E8964">
        <v>13270</v>
      </c>
      <c r="F8964">
        <v>155135.42000000001</v>
      </c>
      <c r="G8964">
        <v>1209.25</v>
      </c>
      <c r="H8964">
        <v>0</v>
      </c>
      <c r="I8964">
        <v>0</v>
      </c>
      <c r="J8964">
        <v>0</v>
      </c>
      <c r="K8964">
        <v>0</v>
      </c>
      <c r="L8964">
        <v>25106607.350000001</v>
      </c>
      <c r="M8964">
        <v>25107816.600000001</v>
      </c>
      <c r="N8964">
        <v>25106607.350000001</v>
      </c>
      <c r="O8964">
        <v>25107816.600000001</v>
      </c>
      <c r="P8964">
        <v>25106607.350000001</v>
      </c>
      <c r="Q8964">
        <v>25107816.600000001</v>
      </c>
      <c r="R8964" s="14">
        <f>_xlfn.XLOOKUP(Table2[[#This Row],[LoanID]],Table1[G-L ID],Table1[ManagerCode],-99)</f>
        <v>219</v>
      </c>
      <c r="T8964"/>
    </row>
    <row r="8965" spans="1:20" x14ac:dyDescent="0.25">
      <c r="A8965">
        <v>20190531</v>
      </c>
      <c r="B8965">
        <v>2019</v>
      </c>
      <c r="C8965">
        <v>5</v>
      </c>
      <c r="D8965">
        <v>1</v>
      </c>
      <c r="E8965">
        <v>13280</v>
      </c>
      <c r="F8965">
        <v>162500</v>
      </c>
      <c r="G8965">
        <v>5416.67</v>
      </c>
      <c r="H8965">
        <v>0</v>
      </c>
      <c r="I8965">
        <v>0</v>
      </c>
      <c r="J8965">
        <v>0</v>
      </c>
      <c r="K8965">
        <v>0</v>
      </c>
      <c r="L8965">
        <v>20312500.199999999</v>
      </c>
      <c r="M8965">
        <v>20317916.870000001</v>
      </c>
      <c r="N8965">
        <v>20312500.199999999</v>
      </c>
      <c r="O8965">
        <v>20317916.870000001</v>
      </c>
      <c r="P8965">
        <v>20162500</v>
      </c>
      <c r="Q8965">
        <v>20167916.670000002</v>
      </c>
      <c r="R8965" s="14">
        <f>_xlfn.XLOOKUP(Table2[[#This Row],[LoanID]],Table1[G-L ID],Table1[ManagerCode],-99)</f>
        <v>219</v>
      </c>
      <c r="T8965"/>
    </row>
    <row r="8966" spans="1:20" x14ac:dyDescent="0.25">
      <c r="A8966">
        <v>20190531</v>
      </c>
      <c r="B8966">
        <v>2019</v>
      </c>
      <c r="C8966">
        <v>5</v>
      </c>
      <c r="D8966">
        <v>1</v>
      </c>
      <c r="E8966">
        <v>13290</v>
      </c>
      <c r="F8966">
        <v>155000</v>
      </c>
      <c r="G8966">
        <v>0</v>
      </c>
      <c r="H8966">
        <v>0</v>
      </c>
      <c r="I8966">
        <v>0</v>
      </c>
      <c r="J8966">
        <v>0</v>
      </c>
      <c r="K8966">
        <v>0</v>
      </c>
      <c r="L8966">
        <v>20000000</v>
      </c>
      <c r="M8966">
        <v>20000000</v>
      </c>
      <c r="N8966">
        <v>20000000</v>
      </c>
      <c r="O8966">
        <v>20000000</v>
      </c>
      <c r="P8966">
        <v>20000000</v>
      </c>
      <c r="Q8966">
        <v>20000000</v>
      </c>
      <c r="R8966" s="14">
        <f>_xlfn.XLOOKUP(Table2[[#This Row],[LoanID]],Table1[G-L ID],Table1[ManagerCode],-99)</f>
        <v>219</v>
      </c>
      <c r="T8966"/>
    </row>
    <row r="8967" spans="1:20" x14ac:dyDescent="0.25">
      <c r="A8967">
        <v>20190531</v>
      </c>
      <c r="B8967">
        <v>2019</v>
      </c>
      <c r="C8967">
        <v>5</v>
      </c>
      <c r="D8967">
        <v>1</v>
      </c>
      <c r="E8967">
        <v>13300</v>
      </c>
      <c r="F8967">
        <v>208333.33</v>
      </c>
      <c r="G8967">
        <v>6944.45</v>
      </c>
      <c r="H8967">
        <v>0</v>
      </c>
      <c r="I8967">
        <v>0</v>
      </c>
      <c r="J8967">
        <v>0</v>
      </c>
      <c r="K8967">
        <v>0</v>
      </c>
      <c r="L8967">
        <v>25208333.329999998</v>
      </c>
      <c r="M8967">
        <v>25215277.780000001</v>
      </c>
      <c r="N8967">
        <v>25208333.329999998</v>
      </c>
      <c r="O8967">
        <v>25215277.780000001</v>
      </c>
      <c r="P8967">
        <v>25208333.329999998</v>
      </c>
      <c r="Q8967">
        <v>25215277.780000001</v>
      </c>
      <c r="R8967" s="14">
        <f>_xlfn.XLOOKUP(Table2[[#This Row],[LoanID]],Table1[G-L ID],Table1[ManagerCode],-99)</f>
        <v>219</v>
      </c>
      <c r="T8967"/>
    </row>
    <row r="8968" spans="1:20" x14ac:dyDescent="0.25">
      <c r="A8968">
        <v>20190531</v>
      </c>
      <c r="B8968">
        <v>2019</v>
      </c>
      <c r="C8968">
        <v>5</v>
      </c>
      <c r="D8968">
        <v>1</v>
      </c>
      <c r="E8968">
        <v>13310</v>
      </c>
      <c r="F8968">
        <v>128803.34</v>
      </c>
      <c r="G8968">
        <v>0</v>
      </c>
      <c r="H8968">
        <v>0</v>
      </c>
      <c r="I8968">
        <v>0</v>
      </c>
      <c r="J8968">
        <v>0</v>
      </c>
      <c r="K8968">
        <v>0</v>
      </c>
      <c r="L8968">
        <v>15600000</v>
      </c>
      <c r="M8968">
        <v>15600000</v>
      </c>
      <c r="N8968">
        <v>15600000</v>
      </c>
      <c r="O8968">
        <v>15600000</v>
      </c>
      <c r="P8968">
        <v>15600000</v>
      </c>
      <c r="Q8968">
        <v>15600000</v>
      </c>
      <c r="R8968" s="14">
        <f>_xlfn.XLOOKUP(Table2[[#This Row],[LoanID]],Table1[G-L ID],Table1[ManagerCode],-99)</f>
        <v>119</v>
      </c>
      <c r="T8968"/>
    </row>
    <row r="8969" spans="1:20" x14ac:dyDescent="0.25">
      <c r="A8969">
        <v>20190531</v>
      </c>
      <c r="B8969">
        <v>2019</v>
      </c>
      <c r="C8969">
        <v>5</v>
      </c>
      <c r="D8969">
        <v>1</v>
      </c>
      <c r="E8969">
        <v>13320</v>
      </c>
      <c r="F8969">
        <v>142352</v>
      </c>
      <c r="G8969">
        <v>0</v>
      </c>
      <c r="H8969">
        <v>0</v>
      </c>
      <c r="I8969">
        <v>0</v>
      </c>
      <c r="J8969">
        <v>0</v>
      </c>
      <c r="K8969">
        <v>0</v>
      </c>
      <c r="L8969">
        <v>18600000</v>
      </c>
      <c r="M8969">
        <v>18600000</v>
      </c>
      <c r="N8969">
        <v>18600000</v>
      </c>
      <c r="O8969">
        <v>18600000</v>
      </c>
      <c r="P8969">
        <v>18600000</v>
      </c>
      <c r="Q8969">
        <v>18600000</v>
      </c>
      <c r="R8969" s="14">
        <f>_xlfn.XLOOKUP(Table2[[#This Row],[LoanID]],Table1[G-L ID],Table1[ManagerCode],-99)</f>
        <v>119</v>
      </c>
      <c r="T8969"/>
    </row>
    <row r="8970" spans="1:20" x14ac:dyDescent="0.25">
      <c r="A8970">
        <v>20190531</v>
      </c>
      <c r="B8970">
        <v>2019</v>
      </c>
      <c r="C8970">
        <v>5</v>
      </c>
      <c r="D8970">
        <v>1</v>
      </c>
      <c r="E8970">
        <v>13330</v>
      </c>
      <c r="F8970">
        <v>122830</v>
      </c>
      <c r="G8970">
        <v>0</v>
      </c>
      <c r="H8970">
        <v>0</v>
      </c>
      <c r="I8970">
        <v>0</v>
      </c>
      <c r="J8970">
        <v>0</v>
      </c>
      <c r="K8970">
        <v>0</v>
      </c>
      <c r="L8970">
        <v>14200000</v>
      </c>
      <c r="M8970">
        <v>14200000</v>
      </c>
      <c r="N8970">
        <v>14200000</v>
      </c>
      <c r="O8970">
        <v>14200000</v>
      </c>
      <c r="P8970">
        <v>14200000</v>
      </c>
      <c r="Q8970">
        <v>14200000</v>
      </c>
      <c r="R8970" s="14">
        <f>_xlfn.XLOOKUP(Table2[[#This Row],[LoanID]],Table1[G-L ID],Table1[ManagerCode],-99)</f>
        <v>119</v>
      </c>
      <c r="T8970"/>
    </row>
    <row r="8971" spans="1:20" x14ac:dyDescent="0.25">
      <c r="A8971">
        <v>20190531</v>
      </c>
      <c r="B8971">
        <v>2019</v>
      </c>
      <c r="C8971">
        <v>5</v>
      </c>
      <c r="D8971">
        <v>1</v>
      </c>
      <c r="E8971">
        <v>13340</v>
      </c>
      <c r="F8971">
        <v>188000</v>
      </c>
      <c r="G8971">
        <v>0</v>
      </c>
      <c r="H8971">
        <v>0</v>
      </c>
      <c r="I8971">
        <v>0</v>
      </c>
      <c r="J8971">
        <v>0</v>
      </c>
      <c r="K8971">
        <v>0</v>
      </c>
      <c r="L8971">
        <v>25000000</v>
      </c>
      <c r="M8971">
        <v>25000000</v>
      </c>
      <c r="N8971">
        <v>25000000</v>
      </c>
      <c r="O8971">
        <v>25000000</v>
      </c>
      <c r="P8971">
        <v>25000000</v>
      </c>
      <c r="Q8971">
        <v>25000000</v>
      </c>
      <c r="R8971" s="14">
        <f>_xlfn.XLOOKUP(Table2[[#This Row],[LoanID]],Table1[G-L ID],Table1[ManagerCode],-99)</f>
        <v>119</v>
      </c>
      <c r="T8971"/>
    </row>
    <row r="8972" spans="1:20" x14ac:dyDescent="0.25">
      <c r="A8972">
        <v>20190531</v>
      </c>
      <c r="B8972">
        <v>2019</v>
      </c>
      <c r="C8972">
        <v>5</v>
      </c>
      <c r="D8972">
        <v>1</v>
      </c>
      <c r="E8972">
        <v>13350</v>
      </c>
      <c r="F8972">
        <v>50087.16</v>
      </c>
      <c r="G8972">
        <v>0</v>
      </c>
      <c r="H8972">
        <v>0</v>
      </c>
      <c r="I8972">
        <v>0</v>
      </c>
      <c r="J8972">
        <v>0</v>
      </c>
      <c r="K8972">
        <v>0</v>
      </c>
      <c r="L8972">
        <v>6329715</v>
      </c>
      <c r="M8972">
        <v>6329715</v>
      </c>
      <c r="N8972">
        <v>6329715</v>
      </c>
      <c r="O8972">
        <v>6329715</v>
      </c>
      <c r="P8972">
        <v>6329715</v>
      </c>
      <c r="Q8972">
        <v>6329715</v>
      </c>
      <c r="R8972" s="14">
        <f>_xlfn.XLOOKUP(Table2[[#This Row],[LoanID]],Table1[G-L ID],Table1[ManagerCode],-99)</f>
        <v>119</v>
      </c>
      <c r="T8972"/>
    </row>
    <row r="8973" spans="1:20" x14ac:dyDescent="0.25">
      <c r="A8973">
        <v>20190531</v>
      </c>
      <c r="B8973">
        <v>2019</v>
      </c>
      <c r="C8973">
        <v>5</v>
      </c>
      <c r="D8973">
        <v>1</v>
      </c>
      <c r="E8973">
        <v>13360</v>
      </c>
      <c r="F8973">
        <v>244880.59</v>
      </c>
      <c r="G8973">
        <v>0</v>
      </c>
      <c r="H8973">
        <v>0</v>
      </c>
      <c r="I8973">
        <v>0</v>
      </c>
      <c r="J8973">
        <v>-106947.09</v>
      </c>
      <c r="K8973">
        <v>0</v>
      </c>
      <c r="L8973">
        <v>30193037.23</v>
      </c>
      <c r="M8973">
        <v>30299984.32</v>
      </c>
      <c r="N8973">
        <v>30193037.23</v>
      </c>
      <c r="O8973">
        <v>30299984.32</v>
      </c>
      <c r="P8973">
        <v>30193037.23</v>
      </c>
      <c r="Q8973">
        <v>30299984.32</v>
      </c>
      <c r="R8973" s="14">
        <f>_xlfn.XLOOKUP(Table2[[#This Row],[LoanID]],Table1[G-L ID],Table1[ManagerCode],-99)</f>
        <v>119</v>
      </c>
      <c r="T8973"/>
    </row>
    <row r="8974" spans="1:20" x14ac:dyDescent="0.25">
      <c r="A8974">
        <v>20190531</v>
      </c>
      <c r="B8974">
        <v>2019</v>
      </c>
      <c r="C8974">
        <v>5</v>
      </c>
      <c r="D8974">
        <v>1</v>
      </c>
      <c r="E8974">
        <v>13370</v>
      </c>
      <c r="F8974">
        <v>192099.07</v>
      </c>
      <c r="G8974">
        <v>0</v>
      </c>
      <c r="H8974">
        <v>0</v>
      </c>
      <c r="I8974">
        <v>0</v>
      </c>
      <c r="J8974">
        <v>0</v>
      </c>
      <c r="K8974">
        <v>0</v>
      </c>
      <c r="L8974">
        <v>42630000</v>
      </c>
      <c r="M8974">
        <v>42630000</v>
      </c>
      <c r="N8974">
        <v>42630000</v>
      </c>
      <c r="O8974">
        <v>42630000</v>
      </c>
      <c r="P8974">
        <v>42630000</v>
      </c>
      <c r="Q8974">
        <v>42630000</v>
      </c>
      <c r="R8974" s="14">
        <f>_xlfn.XLOOKUP(Table2[[#This Row],[LoanID]],Table1[G-L ID],Table1[ManagerCode],-99)</f>
        <v>183</v>
      </c>
      <c r="T8974"/>
    </row>
    <row r="8975" spans="1:20" x14ac:dyDescent="0.25">
      <c r="A8975">
        <v>20190531</v>
      </c>
      <c r="B8975">
        <v>2019</v>
      </c>
      <c r="C8975">
        <v>5</v>
      </c>
      <c r="D8975">
        <v>1</v>
      </c>
      <c r="E8975">
        <v>13380</v>
      </c>
      <c r="F8975">
        <v>64531</v>
      </c>
      <c r="G8975">
        <v>0</v>
      </c>
      <c r="H8975">
        <v>0</v>
      </c>
      <c r="I8975">
        <v>0</v>
      </c>
      <c r="J8975">
        <v>0</v>
      </c>
      <c r="K8975">
        <v>0</v>
      </c>
      <c r="L8975">
        <v>32000000</v>
      </c>
      <c r="M8975">
        <v>32000000</v>
      </c>
      <c r="N8975">
        <v>11200000</v>
      </c>
      <c r="O8975">
        <v>11200000</v>
      </c>
      <c r="P8975">
        <v>32000000</v>
      </c>
      <c r="Q8975">
        <v>32000000</v>
      </c>
      <c r="R8975" s="14">
        <f>_xlfn.XLOOKUP(Table2[[#This Row],[LoanID]],Table1[G-L ID],Table1[ManagerCode],-99)</f>
        <v>183</v>
      </c>
      <c r="T8975"/>
    </row>
    <row r="8976" spans="1:20" x14ac:dyDescent="0.25">
      <c r="A8976">
        <v>20190531</v>
      </c>
      <c r="B8976">
        <v>2019</v>
      </c>
      <c r="C8976">
        <v>5</v>
      </c>
      <c r="D8976">
        <v>1</v>
      </c>
      <c r="E8976">
        <v>13390</v>
      </c>
      <c r="F8976">
        <v>129347.42</v>
      </c>
      <c r="G8976">
        <v>0</v>
      </c>
      <c r="H8976">
        <v>0</v>
      </c>
      <c r="I8976">
        <v>0</v>
      </c>
      <c r="J8976">
        <v>0</v>
      </c>
      <c r="K8976">
        <v>0</v>
      </c>
      <c r="L8976">
        <v>48343461.420000002</v>
      </c>
      <c r="M8976">
        <v>48343461.420000002</v>
      </c>
      <c r="N8976">
        <v>19427384.420000002</v>
      </c>
      <c r="O8976">
        <v>19427384.420000002</v>
      </c>
      <c r="P8976">
        <v>48343461.420000002</v>
      </c>
      <c r="Q8976">
        <v>48343461.420000002</v>
      </c>
      <c r="R8976" s="14">
        <f>_xlfn.XLOOKUP(Table2[[#This Row],[LoanID]],Table1[G-L ID],Table1[ManagerCode],-99)</f>
        <v>183</v>
      </c>
      <c r="T8976"/>
    </row>
    <row r="8977" spans="1:20" x14ac:dyDescent="0.25">
      <c r="A8977">
        <v>20190531</v>
      </c>
      <c r="B8977">
        <v>2019</v>
      </c>
      <c r="C8977">
        <v>5</v>
      </c>
      <c r="D8977">
        <v>1</v>
      </c>
      <c r="E8977">
        <v>13400</v>
      </c>
      <c r="F8977">
        <v>66241.399999999994</v>
      </c>
      <c r="G8977">
        <v>0</v>
      </c>
      <c r="H8977">
        <v>0</v>
      </c>
      <c r="I8977">
        <v>0</v>
      </c>
      <c r="J8977">
        <v>0</v>
      </c>
      <c r="K8977">
        <v>0</v>
      </c>
      <c r="L8977">
        <v>31750000</v>
      </c>
      <c r="M8977">
        <v>31750000</v>
      </c>
      <c r="N8977">
        <v>11112500</v>
      </c>
      <c r="O8977">
        <v>11112500</v>
      </c>
      <c r="P8977">
        <v>31750000</v>
      </c>
      <c r="Q8977">
        <v>31750000</v>
      </c>
      <c r="R8977" s="14">
        <f>_xlfn.XLOOKUP(Table2[[#This Row],[LoanID]],Table1[G-L ID],Table1[ManagerCode],-99)</f>
        <v>183</v>
      </c>
      <c r="T8977"/>
    </row>
    <row r="8978" spans="1:20" x14ac:dyDescent="0.25">
      <c r="A8978">
        <v>20190531</v>
      </c>
      <c r="B8978">
        <v>2019</v>
      </c>
      <c r="C8978">
        <v>5</v>
      </c>
      <c r="D8978">
        <v>1</v>
      </c>
      <c r="E8978">
        <v>13410</v>
      </c>
      <c r="F8978">
        <v>99418.27</v>
      </c>
      <c r="G8978">
        <v>0</v>
      </c>
      <c r="H8978">
        <v>0</v>
      </c>
      <c r="I8978">
        <v>0</v>
      </c>
      <c r="J8978">
        <v>-282178.42</v>
      </c>
      <c r="K8978">
        <v>20870000</v>
      </c>
      <c r="L8978">
        <v>32983000</v>
      </c>
      <c r="M8978">
        <v>33265178.420000002</v>
      </c>
      <c r="N8978">
        <v>32983000</v>
      </c>
      <c r="O8978">
        <v>12395178.42</v>
      </c>
      <c r="P8978">
        <v>32983000</v>
      </c>
      <c r="Q8978">
        <v>33265178.420000002</v>
      </c>
      <c r="R8978" s="14">
        <f>_xlfn.XLOOKUP(Table2[[#This Row],[LoanID]],Table1[G-L ID],Table1[ManagerCode],-99)</f>
        <v>183</v>
      </c>
      <c r="T8978"/>
    </row>
    <row r="8979" spans="1:20" x14ac:dyDescent="0.25">
      <c r="A8979">
        <v>20190531</v>
      </c>
      <c r="B8979">
        <v>2019</v>
      </c>
      <c r="C8979">
        <v>5</v>
      </c>
      <c r="D8979">
        <v>1</v>
      </c>
      <c r="E8979">
        <v>13420</v>
      </c>
      <c r="F8979">
        <v>91194.33</v>
      </c>
      <c r="G8979">
        <v>0</v>
      </c>
      <c r="H8979">
        <v>0</v>
      </c>
      <c r="I8979">
        <v>0</v>
      </c>
      <c r="J8979">
        <v>0</v>
      </c>
      <c r="K8979">
        <v>16494913</v>
      </c>
      <c r="L8979">
        <v>29872783</v>
      </c>
      <c r="M8979">
        <v>29872783</v>
      </c>
      <c r="N8979">
        <v>29872783</v>
      </c>
      <c r="O8979">
        <v>13377870</v>
      </c>
      <c r="P8979">
        <v>29872783</v>
      </c>
      <c r="Q8979">
        <v>29872783</v>
      </c>
      <c r="R8979" s="14">
        <f>_xlfn.XLOOKUP(Table2[[#This Row],[LoanID]],Table1[G-L ID],Table1[ManagerCode],-99)</f>
        <v>183</v>
      </c>
      <c r="T8979"/>
    </row>
    <row r="8980" spans="1:20" x14ac:dyDescent="0.25">
      <c r="A8980">
        <v>20190531</v>
      </c>
      <c r="B8980">
        <v>2019</v>
      </c>
      <c r="C8980">
        <v>5</v>
      </c>
      <c r="D8980">
        <v>1</v>
      </c>
      <c r="E8980">
        <v>13430</v>
      </c>
      <c r="F8980">
        <v>160687.74</v>
      </c>
      <c r="G8980">
        <v>0</v>
      </c>
      <c r="H8980">
        <v>0</v>
      </c>
      <c r="I8980">
        <v>0</v>
      </c>
      <c r="J8980">
        <v>0</v>
      </c>
      <c r="K8980">
        <v>0</v>
      </c>
      <c r="L8980">
        <v>75000000</v>
      </c>
      <c r="M8980">
        <v>75000000</v>
      </c>
      <c r="N8980">
        <v>30882353</v>
      </c>
      <c r="O8980">
        <v>30882353</v>
      </c>
      <c r="P8980">
        <v>75000000</v>
      </c>
      <c r="Q8980">
        <v>75000000</v>
      </c>
      <c r="R8980" s="14">
        <f>_xlfn.XLOOKUP(Table2[[#This Row],[LoanID]],Table1[G-L ID],Table1[ManagerCode],-99)</f>
        <v>183</v>
      </c>
      <c r="T8980"/>
    </row>
    <row r="8981" spans="1:20" x14ac:dyDescent="0.25">
      <c r="A8981">
        <v>20190531</v>
      </c>
      <c r="B8981">
        <v>2019</v>
      </c>
      <c r="C8981">
        <v>5</v>
      </c>
      <c r="D8981">
        <v>1</v>
      </c>
      <c r="E8981">
        <v>13440</v>
      </c>
      <c r="F8981">
        <v>0</v>
      </c>
      <c r="G8981">
        <v>113314.82</v>
      </c>
      <c r="H8981">
        <v>0</v>
      </c>
      <c r="I8981">
        <v>0</v>
      </c>
      <c r="J8981">
        <v>0</v>
      </c>
      <c r="K8981">
        <v>0</v>
      </c>
      <c r="L8981">
        <v>11443641.300000001</v>
      </c>
      <c r="M8981">
        <v>11556956.119999999</v>
      </c>
      <c r="N8981">
        <v>11443641.300000001</v>
      </c>
      <c r="O8981">
        <v>11556956.119999999</v>
      </c>
      <c r="P8981">
        <v>11443641.300000001</v>
      </c>
      <c r="Q8981">
        <v>11556956.119999999</v>
      </c>
      <c r="R8981" s="14">
        <f>_xlfn.XLOOKUP(Table2[[#This Row],[LoanID]],Table1[G-L ID],Table1[ManagerCode],-99)</f>
        <v>183</v>
      </c>
      <c r="T8981"/>
    </row>
    <row r="8982" spans="1:20" x14ac:dyDescent="0.25">
      <c r="A8982">
        <v>20190531</v>
      </c>
      <c r="B8982">
        <v>2019</v>
      </c>
      <c r="C8982">
        <v>5</v>
      </c>
      <c r="D8982">
        <v>1</v>
      </c>
      <c r="E8982">
        <v>13450</v>
      </c>
      <c r="F8982">
        <v>0</v>
      </c>
      <c r="G8982">
        <v>60645.1</v>
      </c>
      <c r="H8982">
        <v>0</v>
      </c>
      <c r="I8982">
        <v>0</v>
      </c>
      <c r="J8982">
        <v>-1097632.05</v>
      </c>
      <c r="K8982">
        <v>0</v>
      </c>
      <c r="L8982">
        <v>5708117.3499999996</v>
      </c>
      <c r="M8982">
        <v>6866394.5</v>
      </c>
      <c r="N8982">
        <v>5708117.3499999996</v>
      </c>
      <c r="O8982">
        <v>6866394.5</v>
      </c>
      <c r="P8982">
        <v>5708117.3499999996</v>
      </c>
      <c r="Q8982">
        <v>6866394.5</v>
      </c>
      <c r="R8982" s="14">
        <f>_xlfn.XLOOKUP(Table2[[#This Row],[LoanID]],Table1[G-L ID],Table1[ManagerCode],-99)</f>
        <v>183</v>
      </c>
      <c r="T8982"/>
    </row>
    <row r="8983" spans="1:20" x14ac:dyDescent="0.25">
      <c r="A8983">
        <v>20190531</v>
      </c>
      <c r="B8983">
        <v>2019</v>
      </c>
      <c r="C8983">
        <v>5</v>
      </c>
      <c r="D8983">
        <v>1</v>
      </c>
      <c r="E8983">
        <v>13460</v>
      </c>
      <c r="F8983">
        <v>4457.53</v>
      </c>
      <c r="G8983">
        <v>6909.18</v>
      </c>
      <c r="H8983">
        <v>0</v>
      </c>
      <c r="I8983">
        <v>0</v>
      </c>
      <c r="J8983">
        <v>-634837.09</v>
      </c>
      <c r="K8983">
        <v>0</v>
      </c>
      <c r="L8983">
        <v>604299.5</v>
      </c>
      <c r="M8983">
        <v>1246045.77</v>
      </c>
      <c r="N8983">
        <v>604299.5</v>
      </c>
      <c r="O8983">
        <v>1246045.77</v>
      </c>
      <c r="P8983">
        <v>604299.5</v>
      </c>
      <c r="Q8983">
        <v>1246045.77</v>
      </c>
      <c r="R8983" s="14">
        <f>_xlfn.XLOOKUP(Table2[[#This Row],[LoanID]],Table1[G-L ID],Table1[ManagerCode],-99)</f>
        <v>183</v>
      </c>
      <c r="T8983"/>
    </row>
    <row r="8984" spans="1:20" x14ac:dyDescent="0.25">
      <c r="A8984">
        <v>20190531</v>
      </c>
      <c r="B8984">
        <v>2019</v>
      </c>
      <c r="C8984">
        <v>5</v>
      </c>
      <c r="D8984">
        <v>1</v>
      </c>
      <c r="E8984">
        <v>13470</v>
      </c>
      <c r="F8984">
        <v>345052.08</v>
      </c>
      <c r="G8984">
        <v>0</v>
      </c>
      <c r="H8984">
        <v>0</v>
      </c>
      <c r="I8984">
        <v>0</v>
      </c>
      <c r="J8984">
        <v>0</v>
      </c>
      <c r="K8984">
        <v>0</v>
      </c>
      <c r="L8984">
        <v>62500000</v>
      </c>
      <c r="M8984">
        <v>62500000</v>
      </c>
      <c r="N8984">
        <v>62500000</v>
      </c>
      <c r="O8984">
        <v>62500000</v>
      </c>
      <c r="P8984">
        <v>62500000</v>
      </c>
      <c r="Q8984">
        <v>62500000</v>
      </c>
      <c r="R8984" s="14">
        <f>_xlfn.XLOOKUP(Table2[[#This Row],[LoanID]],Table1[G-L ID],Table1[ManagerCode],-99)</f>
        <v>165</v>
      </c>
      <c r="T8984"/>
    </row>
    <row r="8985" spans="1:20" x14ac:dyDescent="0.25">
      <c r="A8985">
        <v>20190531</v>
      </c>
      <c r="B8985">
        <v>2019</v>
      </c>
      <c r="C8985">
        <v>5</v>
      </c>
      <c r="D8985">
        <v>1</v>
      </c>
      <c r="E8985">
        <v>13480</v>
      </c>
      <c r="F8985">
        <v>242450</v>
      </c>
      <c r="G8985">
        <v>0</v>
      </c>
      <c r="H8985">
        <v>0</v>
      </c>
      <c r="I8985">
        <v>0</v>
      </c>
      <c r="J8985">
        <v>0</v>
      </c>
      <c r="K8985">
        <v>0</v>
      </c>
      <c r="L8985">
        <v>39000000</v>
      </c>
      <c r="M8985">
        <v>39000000</v>
      </c>
      <c r="N8985">
        <v>39000000</v>
      </c>
      <c r="O8985">
        <v>39000000</v>
      </c>
      <c r="P8985">
        <v>39000000</v>
      </c>
      <c r="Q8985">
        <v>39000000</v>
      </c>
      <c r="R8985" s="14">
        <f>_xlfn.XLOOKUP(Table2[[#This Row],[LoanID]],Table1[G-L ID],Table1[ManagerCode],-99)</f>
        <v>165</v>
      </c>
      <c r="T8985"/>
    </row>
    <row r="8986" spans="1:20" x14ac:dyDescent="0.25">
      <c r="A8986">
        <v>20190531</v>
      </c>
      <c r="B8986">
        <v>2019</v>
      </c>
      <c r="C8986">
        <v>5</v>
      </c>
      <c r="D8986">
        <v>1</v>
      </c>
      <c r="E8986">
        <v>13490</v>
      </c>
      <c r="F8986">
        <v>294000</v>
      </c>
      <c r="G8986">
        <v>0</v>
      </c>
      <c r="H8986">
        <v>0</v>
      </c>
      <c r="I8986">
        <v>0</v>
      </c>
      <c r="J8986">
        <v>0</v>
      </c>
      <c r="K8986">
        <v>0</v>
      </c>
      <c r="L8986">
        <v>40000000</v>
      </c>
      <c r="M8986">
        <v>40000000</v>
      </c>
      <c r="N8986">
        <v>40000000</v>
      </c>
      <c r="O8986">
        <v>40000000</v>
      </c>
      <c r="P8986">
        <v>40000000</v>
      </c>
      <c r="Q8986">
        <v>40000000</v>
      </c>
      <c r="R8986" s="14">
        <f>_xlfn.XLOOKUP(Table2[[#This Row],[LoanID]],Table1[G-L ID],Table1[ManagerCode],-99)</f>
        <v>165</v>
      </c>
      <c r="T8986"/>
    </row>
    <row r="8987" spans="1:20" x14ac:dyDescent="0.25">
      <c r="A8987">
        <v>20190531</v>
      </c>
      <c r="B8987">
        <v>2019</v>
      </c>
      <c r="C8987">
        <v>5</v>
      </c>
      <c r="D8987">
        <v>1</v>
      </c>
      <c r="E8987">
        <v>13500</v>
      </c>
      <c r="F8987">
        <v>274479.17</v>
      </c>
      <c r="G8987">
        <v>0</v>
      </c>
      <c r="H8987">
        <v>0</v>
      </c>
      <c r="I8987">
        <v>0</v>
      </c>
      <c r="J8987">
        <v>0</v>
      </c>
      <c r="K8987">
        <v>0</v>
      </c>
      <c r="L8987">
        <v>42500000</v>
      </c>
      <c r="M8987">
        <v>42500000</v>
      </c>
      <c r="N8987">
        <v>42500000</v>
      </c>
      <c r="O8987">
        <v>42500000</v>
      </c>
      <c r="P8987">
        <v>42500000</v>
      </c>
      <c r="Q8987">
        <v>42500000</v>
      </c>
      <c r="R8987" s="14">
        <f>_xlfn.XLOOKUP(Table2[[#This Row],[LoanID]],Table1[G-L ID],Table1[ManagerCode],-99)</f>
        <v>165</v>
      </c>
      <c r="T8987"/>
    </row>
    <row r="8988" spans="1:20" x14ac:dyDescent="0.25">
      <c r="A8988">
        <v>20190531</v>
      </c>
      <c r="B8988">
        <v>2019</v>
      </c>
      <c r="C8988">
        <v>5</v>
      </c>
      <c r="D8988">
        <v>1</v>
      </c>
      <c r="E8988">
        <v>13510</v>
      </c>
      <c r="F8988">
        <v>300000</v>
      </c>
      <c r="G8988">
        <v>0</v>
      </c>
      <c r="H8988">
        <v>0</v>
      </c>
      <c r="I8988">
        <v>0</v>
      </c>
      <c r="J8988">
        <v>0</v>
      </c>
      <c r="K8988">
        <v>0</v>
      </c>
      <c r="L8988">
        <v>90000000</v>
      </c>
      <c r="M8988">
        <v>90000000</v>
      </c>
      <c r="N8988">
        <v>90000000</v>
      </c>
      <c r="O8988">
        <v>90000000</v>
      </c>
      <c r="P8988">
        <v>90000000</v>
      </c>
      <c r="Q8988">
        <v>90000000</v>
      </c>
      <c r="R8988" s="14">
        <f>_xlfn.XLOOKUP(Table2[[#This Row],[LoanID]],Table1[G-L ID],Table1[ManagerCode],-99)</f>
        <v>165</v>
      </c>
      <c r="T8988"/>
    </row>
    <row r="8989" spans="1:20" x14ac:dyDescent="0.25">
      <c r="A8989">
        <v>20190531</v>
      </c>
      <c r="B8989">
        <v>2019</v>
      </c>
      <c r="C8989">
        <v>5</v>
      </c>
      <c r="D8989">
        <v>1</v>
      </c>
      <c r="E8989">
        <v>13520</v>
      </c>
      <c r="F8989">
        <v>832812.5</v>
      </c>
      <c r="G8989">
        <v>0</v>
      </c>
      <c r="H8989">
        <v>0</v>
      </c>
      <c r="I8989">
        <v>0</v>
      </c>
      <c r="J8989">
        <v>0</v>
      </c>
      <c r="K8989">
        <v>0</v>
      </c>
      <c r="L8989">
        <v>195000000</v>
      </c>
      <c r="M8989">
        <v>195000000</v>
      </c>
      <c r="N8989">
        <v>195000000</v>
      </c>
      <c r="O8989">
        <v>195000000</v>
      </c>
      <c r="P8989">
        <v>195000000</v>
      </c>
      <c r="Q8989">
        <v>195000000</v>
      </c>
      <c r="R8989" s="14">
        <f>_xlfn.XLOOKUP(Table2[[#This Row],[LoanID]],Table1[G-L ID],Table1[ManagerCode],-99)</f>
        <v>165</v>
      </c>
      <c r="T8989"/>
    </row>
    <row r="8990" spans="1:20" x14ac:dyDescent="0.25">
      <c r="A8990">
        <v>20190531</v>
      </c>
      <c r="B8990">
        <v>2019</v>
      </c>
      <c r="C8990">
        <v>5</v>
      </c>
      <c r="D8990">
        <v>1</v>
      </c>
      <c r="E8990">
        <v>13530</v>
      </c>
      <c r="F8990">
        <v>390625</v>
      </c>
      <c r="G8990">
        <v>0</v>
      </c>
      <c r="H8990">
        <v>0</v>
      </c>
      <c r="I8990">
        <v>0</v>
      </c>
      <c r="J8990">
        <v>0</v>
      </c>
      <c r="K8990">
        <v>0</v>
      </c>
      <c r="L8990">
        <v>75000000</v>
      </c>
      <c r="M8990">
        <v>75000000</v>
      </c>
      <c r="N8990">
        <v>75000000</v>
      </c>
      <c r="O8990">
        <v>75000000</v>
      </c>
      <c r="P8990">
        <v>75000000</v>
      </c>
      <c r="Q8990">
        <v>75000000</v>
      </c>
      <c r="R8990" s="14">
        <f>_xlfn.XLOOKUP(Table2[[#This Row],[LoanID]],Table1[G-L ID],Table1[ManagerCode],-99)</f>
        <v>165</v>
      </c>
      <c r="T8990"/>
    </row>
    <row r="8991" spans="1:20" x14ac:dyDescent="0.25">
      <c r="A8991">
        <v>20190531</v>
      </c>
      <c r="B8991">
        <v>2019</v>
      </c>
      <c r="C8991">
        <v>5</v>
      </c>
      <c r="D8991">
        <v>1</v>
      </c>
      <c r="E8991">
        <v>13540</v>
      </c>
      <c r="F8991">
        <v>251623.17</v>
      </c>
      <c r="G8991">
        <v>0</v>
      </c>
      <c r="H8991">
        <v>0</v>
      </c>
      <c r="I8991">
        <v>0</v>
      </c>
      <c r="J8991">
        <v>0</v>
      </c>
      <c r="K8991">
        <v>210607.65</v>
      </c>
      <c r="L8991">
        <v>41647972.75</v>
      </c>
      <c r="M8991">
        <v>41437365.100000001</v>
      </c>
      <c r="N8991">
        <v>41647972.75</v>
      </c>
      <c r="O8991">
        <v>41437365.100000001</v>
      </c>
      <c r="P8991">
        <v>41647972.75</v>
      </c>
      <c r="Q8991">
        <v>41437365.100000001</v>
      </c>
      <c r="R8991" s="14">
        <f>_xlfn.XLOOKUP(Table2[[#This Row],[LoanID]],Table1[G-L ID],Table1[ManagerCode],-99)</f>
        <v>165</v>
      </c>
      <c r="T8991"/>
    </row>
    <row r="8992" spans="1:20" x14ac:dyDescent="0.25">
      <c r="A8992">
        <v>20190531</v>
      </c>
      <c r="B8992">
        <v>2019</v>
      </c>
      <c r="C8992">
        <v>5</v>
      </c>
      <c r="D8992">
        <v>1</v>
      </c>
      <c r="E8992">
        <v>13550</v>
      </c>
      <c r="F8992">
        <v>1628586.69</v>
      </c>
      <c r="G8992">
        <v>0</v>
      </c>
      <c r="H8992">
        <v>0</v>
      </c>
      <c r="I8992">
        <v>0</v>
      </c>
      <c r="J8992">
        <v>0</v>
      </c>
      <c r="K8992">
        <v>0</v>
      </c>
      <c r="L8992">
        <v>355328004.80000001</v>
      </c>
      <c r="M8992">
        <v>355328004.80000001</v>
      </c>
      <c r="N8992">
        <v>355328004.80000001</v>
      </c>
      <c r="O8992">
        <v>355328004.80000001</v>
      </c>
      <c r="P8992">
        <v>355328004.80000001</v>
      </c>
      <c r="Q8992">
        <v>355328004.80000001</v>
      </c>
      <c r="R8992" s="14">
        <f>_xlfn.XLOOKUP(Table2[[#This Row],[LoanID]],Table1[G-L ID],Table1[ManagerCode],-99)</f>
        <v>165</v>
      </c>
      <c r="T8992"/>
    </row>
    <row r="8993" spans="1:20" x14ac:dyDescent="0.25">
      <c r="A8993">
        <v>20190531</v>
      </c>
      <c r="B8993">
        <v>2019</v>
      </c>
      <c r="C8993">
        <v>5</v>
      </c>
      <c r="D8993">
        <v>1</v>
      </c>
      <c r="E8993">
        <v>13560</v>
      </c>
      <c r="F8993">
        <v>610137.5</v>
      </c>
      <c r="G8993">
        <v>18701.66</v>
      </c>
      <c r="H8993">
        <v>0</v>
      </c>
      <c r="I8993">
        <v>0</v>
      </c>
      <c r="J8993">
        <v>0</v>
      </c>
      <c r="K8993">
        <v>0</v>
      </c>
      <c r="L8993">
        <v>105325406.7</v>
      </c>
      <c r="M8993">
        <v>105344108.3</v>
      </c>
      <c r="N8993">
        <v>105325406.7</v>
      </c>
      <c r="O8993">
        <v>105344108.3</v>
      </c>
      <c r="P8993">
        <v>105325406.7</v>
      </c>
      <c r="Q8993">
        <v>105344108.3</v>
      </c>
      <c r="R8993" s="14">
        <f>_xlfn.XLOOKUP(Table2[[#This Row],[LoanID]],Table1[G-L ID],Table1[ManagerCode],-99)</f>
        <v>219</v>
      </c>
      <c r="T8993"/>
    </row>
    <row r="8994" spans="1:20" x14ac:dyDescent="0.25">
      <c r="A8994">
        <v>20190531</v>
      </c>
      <c r="B8994">
        <v>2019</v>
      </c>
      <c r="C8994">
        <v>5</v>
      </c>
      <c r="D8994">
        <v>1</v>
      </c>
      <c r="E8994">
        <v>13580</v>
      </c>
      <c r="F8994">
        <v>415625</v>
      </c>
      <c r="G8994">
        <v>0</v>
      </c>
      <c r="H8994">
        <v>0</v>
      </c>
      <c r="I8994">
        <v>0</v>
      </c>
      <c r="J8994">
        <v>0</v>
      </c>
      <c r="K8994">
        <v>0</v>
      </c>
      <c r="L8994">
        <v>63659867.219999999</v>
      </c>
      <c r="M8994">
        <v>63732778.409999996</v>
      </c>
      <c r="N8994">
        <v>63659867.219999999</v>
      </c>
      <c r="O8994">
        <v>63732778.409999996</v>
      </c>
      <c r="P8994">
        <v>66500000</v>
      </c>
      <c r="Q8994">
        <v>66500000</v>
      </c>
      <c r="R8994" s="14">
        <f>_xlfn.XLOOKUP(Table2[[#This Row],[LoanID]],Table1[G-L ID],Table1[ManagerCode],-99)</f>
        <v>298</v>
      </c>
      <c r="T8994"/>
    </row>
    <row r="8995" spans="1:20" x14ac:dyDescent="0.25">
      <c r="A8995">
        <v>20190531</v>
      </c>
      <c r="B8995">
        <v>2019</v>
      </c>
      <c r="C8995">
        <v>5</v>
      </c>
      <c r="D8995">
        <v>1</v>
      </c>
      <c r="E8995">
        <v>13590</v>
      </c>
      <c r="F8995">
        <v>299100</v>
      </c>
      <c r="G8995">
        <v>0</v>
      </c>
      <c r="H8995">
        <v>0</v>
      </c>
      <c r="I8995">
        <v>0</v>
      </c>
      <c r="J8995">
        <v>0</v>
      </c>
      <c r="K8995">
        <v>0</v>
      </c>
      <c r="L8995">
        <v>40000000</v>
      </c>
      <c r="M8995">
        <v>40000000</v>
      </c>
      <c r="N8995">
        <v>40000000</v>
      </c>
      <c r="O8995">
        <v>40000000</v>
      </c>
      <c r="P8995">
        <v>40000000</v>
      </c>
      <c r="Q8995">
        <v>40000000</v>
      </c>
      <c r="R8995" s="14">
        <f>_xlfn.XLOOKUP(Table2[[#This Row],[LoanID]],Table1[G-L ID],Table1[ManagerCode],-99)</f>
        <v>298</v>
      </c>
      <c r="T8995"/>
    </row>
    <row r="8996" spans="1:20" x14ac:dyDescent="0.25">
      <c r="A8996">
        <v>20190531</v>
      </c>
      <c r="B8996">
        <v>2019</v>
      </c>
      <c r="C8996">
        <v>5</v>
      </c>
      <c r="D8996">
        <v>1</v>
      </c>
      <c r="E8996">
        <v>13600</v>
      </c>
      <c r="F8996">
        <v>366802.29</v>
      </c>
      <c r="G8996">
        <v>0</v>
      </c>
      <c r="H8996">
        <v>0</v>
      </c>
      <c r="I8996">
        <v>0</v>
      </c>
      <c r="J8996">
        <v>0</v>
      </c>
      <c r="K8996">
        <v>0</v>
      </c>
      <c r="L8996">
        <v>45970000</v>
      </c>
      <c r="M8996">
        <v>45970000</v>
      </c>
      <c r="N8996">
        <v>45970000</v>
      </c>
      <c r="O8996">
        <v>45970000</v>
      </c>
      <c r="P8996">
        <v>45970000</v>
      </c>
      <c r="Q8996">
        <v>45970000</v>
      </c>
      <c r="R8996" s="14">
        <f>_xlfn.XLOOKUP(Table2[[#This Row],[LoanID]],Table1[G-L ID],Table1[ManagerCode],-99)</f>
        <v>298</v>
      </c>
      <c r="T8996"/>
    </row>
    <row r="8997" spans="1:20" x14ac:dyDescent="0.25">
      <c r="A8997">
        <v>20190531</v>
      </c>
      <c r="B8997">
        <v>2019</v>
      </c>
      <c r="C8997">
        <v>5</v>
      </c>
      <c r="D8997">
        <v>1</v>
      </c>
      <c r="E8997">
        <v>13610</v>
      </c>
      <c r="F8997">
        <v>61250</v>
      </c>
      <c r="G8997">
        <v>0</v>
      </c>
      <c r="H8997">
        <v>0</v>
      </c>
      <c r="I8997">
        <v>0</v>
      </c>
      <c r="J8997">
        <v>0</v>
      </c>
      <c r="K8997">
        <v>0</v>
      </c>
      <c r="L8997">
        <v>10542185</v>
      </c>
      <c r="M8997">
        <v>10542185</v>
      </c>
      <c r="N8997">
        <v>10542185</v>
      </c>
      <c r="O8997">
        <v>10542185</v>
      </c>
      <c r="P8997">
        <v>10500000</v>
      </c>
      <c r="Q8997">
        <v>10500000</v>
      </c>
      <c r="R8997" s="14">
        <f>_xlfn.XLOOKUP(Table2[[#This Row],[LoanID]],Table1[G-L ID],Table1[ManagerCode],-99)</f>
        <v>298</v>
      </c>
      <c r="T8997"/>
    </row>
    <row r="8998" spans="1:20" x14ac:dyDescent="0.25">
      <c r="A8998">
        <v>20190531</v>
      </c>
      <c r="B8998">
        <v>2019</v>
      </c>
      <c r="C8998">
        <v>5</v>
      </c>
      <c r="D8998">
        <v>1</v>
      </c>
      <c r="E8998">
        <v>13620</v>
      </c>
      <c r="F8998">
        <v>359291.67</v>
      </c>
      <c r="G8998">
        <v>0</v>
      </c>
      <c r="H8998">
        <v>0</v>
      </c>
      <c r="I8998">
        <v>0</v>
      </c>
      <c r="J8998">
        <v>0</v>
      </c>
      <c r="K8998">
        <v>0</v>
      </c>
      <c r="L8998">
        <v>49842286</v>
      </c>
      <c r="M8998">
        <v>49842286</v>
      </c>
      <c r="N8998">
        <v>49842286</v>
      </c>
      <c r="O8998">
        <v>49842286</v>
      </c>
      <c r="P8998">
        <v>50000000</v>
      </c>
      <c r="Q8998">
        <v>50000000</v>
      </c>
      <c r="R8998" s="14">
        <f>_xlfn.XLOOKUP(Table2[[#This Row],[LoanID]],Table1[G-L ID],Table1[ManagerCode],-99)</f>
        <v>298</v>
      </c>
      <c r="T8998"/>
    </row>
    <row r="8999" spans="1:20" x14ac:dyDescent="0.25">
      <c r="A8999">
        <v>20190531</v>
      </c>
      <c r="B8999">
        <v>2019</v>
      </c>
      <c r="C8999">
        <v>5</v>
      </c>
      <c r="D8999">
        <v>1</v>
      </c>
      <c r="E8999">
        <v>13630</v>
      </c>
      <c r="F8999">
        <v>211458.33</v>
      </c>
      <c r="G8999">
        <v>0</v>
      </c>
      <c r="H8999">
        <v>0</v>
      </c>
      <c r="I8999">
        <v>0</v>
      </c>
      <c r="J8999">
        <v>0</v>
      </c>
      <c r="K8999">
        <v>0</v>
      </c>
      <c r="L8999">
        <v>30700000</v>
      </c>
      <c r="M8999">
        <v>30700000</v>
      </c>
      <c r="N8999">
        <v>30700000</v>
      </c>
      <c r="O8999">
        <v>30700000</v>
      </c>
      <c r="P8999">
        <v>35000000</v>
      </c>
      <c r="Q8999">
        <v>35000000</v>
      </c>
      <c r="R8999" s="14">
        <f>_xlfn.XLOOKUP(Table2[[#This Row],[LoanID]],Table1[G-L ID],Table1[ManagerCode],-99)</f>
        <v>298</v>
      </c>
      <c r="T8999"/>
    </row>
    <row r="9000" spans="1:20" x14ac:dyDescent="0.25">
      <c r="A9000">
        <v>20190531</v>
      </c>
      <c r="B9000">
        <v>2019</v>
      </c>
      <c r="C9000">
        <v>5</v>
      </c>
      <c r="D9000">
        <v>1</v>
      </c>
      <c r="E9000">
        <v>13640</v>
      </c>
      <c r="F9000">
        <v>219661.46</v>
      </c>
      <c r="G9000">
        <v>0</v>
      </c>
      <c r="H9000">
        <v>0</v>
      </c>
      <c r="I9000">
        <v>0</v>
      </c>
      <c r="J9000">
        <v>0</v>
      </c>
      <c r="K9000">
        <v>0</v>
      </c>
      <c r="L9000">
        <v>30714705</v>
      </c>
      <c r="M9000">
        <v>30714705</v>
      </c>
      <c r="N9000">
        <v>30714705</v>
      </c>
      <c r="O9000">
        <v>30714705</v>
      </c>
      <c r="P9000">
        <v>30125000</v>
      </c>
      <c r="Q9000">
        <v>30125000</v>
      </c>
      <c r="R9000" s="14">
        <f>_xlfn.XLOOKUP(Table2[[#This Row],[LoanID]],Table1[G-L ID],Table1[ManagerCode],-99)</f>
        <v>298</v>
      </c>
      <c r="T9000"/>
    </row>
    <row r="9001" spans="1:20" x14ac:dyDescent="0.25">
      <c r="A9001">
        <v>20190531</v>
      </c>
      <c r="B9001">
        <v>2019</v>
      </c>
      <c r="C9001">
        <v>5</v>
      </c>
      <c r="D9001">
        <v>1</v>
      </c>
      <c r="E9001">
        <v>13650</v>
      </c>
      <c r="F9001">
        <v>216666.67</v>
      </c>
      <c r="G9001">
        <v>0</v>
      </c>
      <c r="H9001">
        <v>0</v>
      </c>
      <c r="I9001">
        <v>0</v>
      </c>
      <c r="J9001">
        <v>0</v>
      </c>
      <c r="K9001">
        <v>0</v>
      </c>
      <c r="L9001">
        <v>38895325</v>
      </c>
      <c r="M9001">
        <v>38895325</v>
      </c>
      <c r="N9001">
        <v>38895325</v>
      </c>
      <c r="O9001">
        <v>38895325</v>
      </c>
      <c r="P9001">
        <v>40000000</v>
      </c>
      <c r="Q9001">
        <v>40000000</v>
      </c>
      <c r="R9001" s="14">
        <f>_xlfn.XLOOKUP(Table2[[#This Row],[LoanID]],Table1[G-L ID],Table1[ManagerCode],-99)</f>
        <v>298</v>
      </c>
      <c r="T9001"/>
    </row>
    <row r="9002" spans="1:20" x14ac:dyDescent="0.25">
      <c r="A9002">
        <v>20190531</v>
      </c>
      <c r="B9002">
        <v>2019</v>
      </c>
      <c r="C9002">
        <v>5</v>
      </c>
      <c r="D9002">
        <v>1</v>
      </c>
      <c r="E9002">
        <v>13660</v>
      </c>
      <c r="F9002">
        <v>114166.67</v>
      </c>
      <c r="G9002">
        <v>0</v>
      </c>
      <c r="H9002">
        <v>0</v>
      </c>
      <c r="I9002">
        <v>0</v>
      </c>
      <c r="J9002">
        <v>0</v>
      </c>
      <c r="K9002">
        <v>0</v>
      </c>
      <c r="L9002">
        <v>19313433</v>
      </c>
      <c r="M9002">
        <v>19313433</v>
      </c>
      <c r="N9002">
        <v>19313433</v>
      </c>
      <c r="O9002">
        <v>19313433</v>
      </c>
      <c r="P9002">
        <v>20000000</v>
      </c>
      <c r="Q9002">
        <v>20000000</v>
      </c>
      <c r="R9002" s="14">
        <f>_xlfn.XLOOKUP(Table2[[#This Row],[LoanID]],Table1[G-L ID],Table1[ManagerCode],-99)</f>
        <v>298</v>
      </c>
      <c r="T9002"/>
    </row>
    <row r="9003" spans="1:20" x14ac:dyDescent="0.25">
      <c r="A9003">
        <v>20190531</v>
      </c>
      <c r="B9003">
        <v>2019</v>
      </c>
      <c r="C9003">
        <v>5</v>
      </c>
      <c r="D9003">
        <v>1</v>
      </c>
      <c r="E9003">
        <v>13670</v>
      </c>
      <c r="F9003">
        <v>350718.75</v>
      </c>
      <c r="G9003">
        <v>0</v>
      </c>
      <c r="H9003">
        <v>0</v>
      </c>
      <c r="I9003">
        <v>0</v>
      </c>
      <c r="J9003">
        <v>0</v>
      </c>
      <c r="K9003">
        <v>0</v>
      </c>
      <c r="L9003">
        <v>25000000</v>
      </c>
      <c r="M9003">
        <v>25000000</v>
      </c>
      <c r="N9003">
        <v>25000000</v>
      </c>
      <c r="O9003">
        <v>25000000</v>
      </c>
      <c r="P9003">
        <v>37500000</v>
      </c>
      <c r="Q9003">
        <v>37500000</v>
      </c>
      <c r="R9003" s="14">
        <f>_xlfn.XLOOKUP(Table2[[#This Row],[LoanID]],Table1[G-L ID],Table1[ManagerCode],-99)</f>
        <v>298</v>
      </c>
      <c r="T9003"/>
    </row>
    <row r="9004" spans="1:20" x14ac:dyDescent="0.25">
      <c r="A9004">
        <v>20190531</v>
      </c>
      <c r="B9004">
        <v>2019</v>
      </c>
      <c r="C9004">
        <v>5</v>
      </c>
      <c r="D9004">
        <v>1</v>
      </c>
      <c r="E9004">
        <v>13690</v>
      </c>
      <c r="F9004">
        <v>129166.67</v>
      </c>
      <c r="G9004">
        <v>0</v>
      </c>
      <c r="H9004">
        <v>0</v>
      </c>
      <c r="I9004">
        <v>0</v>
      </c>
      <c r="J9004">
        <v>0</v>
      </c>
      <c r="K9004">
        <v>0</v>
      </c>
      <c r="L9004">
        <v>19791063.850000001</v>
      </c>
      <c r="M9004">
        <v>19791063.850000001</v>
      </c>
      <c r="N9004">
        <v>19791063.850000001</v>
      </c>
      <c r="O9004">
        <v>19791063.850000001</v>
      </c>
      <c r="P9004">
        <v>20000000</v>
      </c>
      <c r="Q9004">
        <v>20000000</v>
      </c>
      <c r="R9004" s="14">
        <f>_xlfn.XLOOKUP(Table2[[#This Row],[LoanID]],Table1[G-L ID],Table1[ManagerCode],-99)</f>
        <v>298</v>
      </c>
      <c r="T9004"/>
    </row>
    <row r="9005" spans="1:20" x14ac:dyDescent="0.25">
      <c r="A9005">
        <v>20190531</v>
      </c>
      <c r="B9005">
        <v>2019</v>
      </c>
      <c r="C9005">
        <v>5</v>
      </c>
      <c r="D9005">
        <v>1</v>
      </c>
      <c r="E9005">
        <v>13700</v>
      </c>
      <c r="F9005">
        <v>144747.42000000001</v>
      </c>
      <c r="G9005">
        <v>0</v>
      </c>
      <c r="H9005">
        <v>0</v>
      </c>
      <c r="I9005">
        <v>0</v>
      </c>
      <c r="J9005">
        <v>-246903.72</v>
      </c>
      <c r="K9005">
        <v>0</v>
      </c>
      <c r="L9005">
        <v>23099953.329999998</v>
      </c>
      <c r="M9005">
        <v>23346857.050000001</v>
      </c>
      <c r="N9005">
        <v>23099953.329999998</v>
      </c>
      <c r="O9005">
        <v>23346857.050000001</v>
      </c>
      <c r="P9005">
        <v>23099953.329999998</v>
      </c>
      <c r="Q9005">
        <v>23346857.050000001</v>
      </c>
      <c r="R9005" s="14">
        <f>_xlfn.XLOOKUP(Table2[[#This Row],[LoanID]],Table1[G-L ID],Table1[ManagerCode],-99)</f>
        <v>119</v>
      </c>
      <c r="T9005"/>
    </row>
    <row r="9006" spans="1:20" x14ac:dyDescent="0.25">
      <c r="A9006">
        <v>20190531</v>
      </c>
      <c r="B9006">
        <v>2019</v>
      </c>
      <c r="C9006">
        <v>5</v>
      </c>
      <c r="D9006">
        <v>1</v>
      </c>
      <c r="E9006">
        <v>13710</v>
      </c>
      <c r="F9006">
        <v>147692.29</v>
      </c>
      <c r="G9006">
        <v>0</v>
      </c>
      <c r="H9006">
        <v>0</v>
      </c>
      <c r="I9006">
        <v>0</v>
      </c>
      <c r="J9006">
        <v>0</v>
      </c>
      <c r="K9006">
        <v>0</v>
      </c>
      <c r="L9006">
        <v>24500000</v>
      </c>
      <c r="M9006">
        <v>24500000</v>
      </c>
      <c r="N9006">
        <v>24500000</v>
      </c>
      <c r="O9006">
        <v>24500000</v>
      </c>
      <c r="P9006">
        <v>24500000</v>
      </c>
      <c r="Q9006">
        <v>24500000</v>
      </c>
      <c r="R9006" s="14">
        <f>_xlfn.XLOOKUP(Table2[[#This Row],[LoanID]],Table1[G-L ID],Table1[ManagerCode],-99)</f>
        <v>119</v>
      </c>
      <c r="T9006"/>
    </row>
    <row r="9007" spans="1:20" x14ac:dyDescent="0.25">
      <c r="A9007">
        <v>20190531</v>
      </c>
      <c r="B9007">
        <v>2019</v>
      </c>
      <c r="C9007">
        <v>5</v>
      </c>
      <c r="D9007">
        <v>1</v>
      </c>
      <c r="E9007">
        <v>13720</v>
      </c>
      <c r="F9007">
        <v>38347.22</v>
      </c>
      <c r="G9007">
        <v>0</v>
      </c>
      <c r="H9007">
        <v>0</v>
      </c>
      <c r="I9007">
        <v>0</v>
      </c>
      <c r="J9007">
        <v>-68781.38</v>
      </c>
      <c r="K9007">
        <v>0</v>
      </c>
      <c r="L9007">
        <v>4469275.7300000004</v>
      </c>
      <c r="M9007">
        <v>4538057.0999999996</v>
      </c>
      <c r="N9007">
        <v>4469275.7300000004</v>
      </c>
      <c r="O9007">
        <v>4538057.0999999996</v>
      </c>
      <c r="P9007">
        <v>4469275.7300000004</v>
      </c>
      <c r="Q9007">
        <v>4538057.0999999996</v>
      </c>
      <c r="R9007" s="14">
        <f>_xlfn.XLOOKUP(Table2[[#This Row],[LoanID]],Table1[G-L ID],Table1[ManagerCode],-99)</f>
        <v>119</v>
      </c>
      <c r="T9007"/>
    </row>
    <row r="9008" spans="1:20" x14ac:dyDescent="0.25">
      <c r="A9008">
        <v>20190531</v>
      </c>
      <c r="B9008">
        <v>2019</v>
      </c>
      <c r="C9008">
        <v>5</v>
      </c>
      <c r="D9008">
        <v>1</v>
      </c>
      <c r="E9008">
        <v>13730</v>
      </c>
      <c r="F9008">
        <v>122500.92</v>
      </c>
      <c r="G9008">
        <v>0</v>
      </c>
      <c r="H9008">
        <v>0</v>
      </c>
      <c r="I9008">
        <v>0</v>
      </c>
      <c r="J9008">
        <v>0</v>
      </c>
      <c r="K9008">
        <v>0</v>
      </c>
      <c r="L9008">
        <v>16380778.050000001</v>
      </c>
      <c r="M9008">
        <v>16380778.050000001</v>
      </c>
      <c r="N9008">
        <v>16380778.050000001</v>
      </c>
      <c r="O9008">
        <v>16380778.050000001</v>
      </c>
      <c r="P9008">
        <v>16380778.050000001</v>
      </c>
      <c r="Q9008">
        <v>16380778.050000001</v>
      </c>
      <c r="R9008" s="14">
        <f>_xlfn.XLOOKUP(Table2[[#This Row],[LoanID]],Table1[G-L ID],Table1[ManagerCode],-99)</f>
        <v>119</v>
      </c>
      <c r="T9008"/>
    </row>
    <row r="9009" spans="1:20" x14ac:dyDescent="0.25">
      <c r="A9009">
        <v>20190531</v>
      </c>
      <c r="B9009">
        <v>2019</v>
      </c>
      <c r="C9009">
        <v>5</v>
      </c>
      <c r="D9009">
        <v>1</v>
      </c>
      <c r="E9009">
        <v>13740</v>
      </c>
      <c r="F9009">
        <v>82263.17</v>
      </c>
      <c r="G9009">
        <v>0</v>
      </c>
      <c r="H9009">
        <v>0</v>
      </c>
      <c r="I9009">
        <v>0</v>
      </c>
      <c r="J9009">
        <v>0</v>
      </c>
      <c r="K9009">
        <v>0</v>
      </c>
      <c r="L9009">
        <v>11009607.6</v>
      </c>
      <c r="M9009">
        <v>11009607.6</v>
      </c>
      <c r="N9009">
        <v>11009607.6</v>
      </c>
      <c r="O9009">
        <v>11009607.6</v>
      </c>
      <c r="P9009">
        <v>11009607.6</v>
      </c>
      <c r="Q9009">
        <v>11009607.6</v>
      </c>
      <c r="R9009" s="14">
        <f>_xlfn.XLOOKUP(Table2[[#This Row],[LoanID]],Table1[G-L ID],Table1[ManagerCode],-99)</f>
        <v>119</v>
      </c>
      <c r="T9009"/>
    </row>
    <row r="9010" spans="1:20" x14ac:dyDescent="0.25">
      <c r="A9010">
        <v>20190531</v>
      </c>
      <c r="B9010">
        <v>2019</v>
      </c>
      <c r="C9010">
        <v>5</v>
      </c>
      <c r="D9010">
        <v>1</v>
      </c>
      <c r="E9010">
        <v>13790</v>
      </c>
      <c r="F9010">
        <v>107807.53</v>
      </c>
      <c r="G9010">
        <v>56380.91</v>
      </c>
      <c r="H9010">
        <v>0</v>
      </c>
      <c r="I9010">
        <v>0</v>
      </c>
      <c r="J9010">
        <v>0</v>
      </c>
      <c r="K9010">
        <v>0</v>
      </c>
      <c r="L9010">
        <v>20671891.710000001</v>
      </c>
      <c r="M9010">
        <v>20728272.620000001</v>
      </c>
      <c r="N9010">
        <v>20671891.710000001</v>
      </c>
      <c r="O9010">
        <v>20728272.620000001</v>
      </c>
      <c r="P9010">
        <v>20671891.710000001</v>
      </c>
      <c r="Q9010">
        <v>20728272.620000001</v>
      </c>
      <c r="R9010" s="14">
        <f>_xlfn.XLOOKUP(Table2[[#This Row],[LoanID]],Table1[G-L ID],Table1[ManagerCode],-99)</f>
        <v>219</v>
      </c>
      <c r="T9010"/>
    </row>
    <row r="9011" spans="1:20" x14ac:dyDescent="0.25">
      <c r="A9011">
        <v>20190531</v>
      </c>
      <c r="B9011">
        <v>2019</v>
      </c>
      <c r="C9011">
        <v>5</v>
      </c>
      <c r="D9011">
        <v>1</v>
      </c>
      <c r="E9011">
        <v>13800</v>
      </c>
      <c r="F9011">
        <v>261263.19</v>
      </c>
      <c r="G9011">
        <v>0</v>
      </c>
      <c r="H9011">
        <v>0</v>
      </c>
      <c r="I9011">
        <v>0</v>
      </c>
      <c r="J9011">
        <v>0</v>
      </c>
      <c r="K9011">
        <v>12590000.279999999</v>
      </c>
      <c r="L9011">
        <v>80700000</v>
      </c>
      <c r="M9011">
        <v>80700000</v>
      </c>
      <c r="N9011">
        <v>44870000</v>
      </c>
      <c r="O9011">
        <v>32279999.719999999</v>
      </c>
      <c r="P9011">
        <v>80700000</v>
      </c>
      <c r="Q9011">
        <v>80700000</v>
      </c>
      <c r="R9011" s="14">
        <f>_xlfn.XLOOKUP(Table2[[#This Row],[LoanID]],Table1[G-L ID],Table1[ManagerCode],-99)</f>
        <v>183</v>
      </c>
      <c r="T9011"/>
    </row>
    <row r="9012" spans="1:20" x14ac:dyDescent="0.25">
      <c r="A9012">
        <v>20190531</v>
      </c>
      <c r="B9012">
        <v>2019</v>
      </c>
      <c r="C9012">
        <v>5</v>
      </c>
      <c r="D9012">
        <v>1</v>
      </c>
      <c r="E9012">
        <v>13810</v>
      </c>
      <c r="F9012">
        <v>102954.21</v>
      </c>
      <c r="G9012">
        <v>0</v>
      </c>
      <c r="H9012">
        <v>296296</v>
      </c>
      <c r="I9012">
        <v>0</v>
      </c>
      <c r="J9012">
        <v>-39214000</v>
      </c>
      <c r="K9012">
        <v>23528400</v>
      </c>
      <c r="L9012">
        <v>0</v>
      </c>
      <c r="M9012">
        <v>39214000</v>
      </c>
      <c r="N9012">
        <v>0</v>
      </c>
      <c r="O9012">
        <v>15685600</v>
      </c>
      <c r="P9012">
        <v>0</v>
      </c>
      <c r="Q9012">
        <v>39214000</v>
      </c>
      <c r="R9012" s="14">
        <f>_xlfn.XLOOKUP(Table2[[#This Row],[LoanID]],Table1[G-L ID],Table1[ManagerCode],-99)</f>
        <v>183</v>
      </c>
      <c r="T9012"/>
    </row>
    <row r="9013" spans="1:20" x14ac:dyDescent="0.25">
      <c r="A9013">
        <v>20190531</v>
      </c>
      <c r="B9013">
        <v>2019</v>
      </c>
      <c r="C9013">
        <v>5</v>
      </c>
      <c r="D9013">
        <v>1</v>
      </c>
      <c r="E9013">
        <v>13820</v>
      </c>
      <c r="F9013">
        <v>211736</v>
      </c>
      <c r="G9013">
        <v>0</v>
      </c>
      <c r="H9013">
        <v>498750</v>
      </c>
      <c r="I9013">
        <v>0</v>
      </c>
      <c r="J9013">
        <v>-66500000</v>
      </c>
      <c r="K9013">
        <v>0</v>
      </c>
      <c r="L9013">
        <v>0</v>
      </c>
      <c r="M9013">
        <v>66500000</v>
      </c>
      <c r="N9013">
        <v>0</v>
      </c>
      <c r="O9013">
        <v>66500000</v>
      </c>
      <c r="P9013">
        <v>0</v>
      </c>
      <c r="Q9013">
        <v>66500000</v>
      </c>
      <c r="R9013" s="14">
        <f>_xlfn.XLOOKUP(Table2[[#This Row],[LoanID]],Table1[G-L ID],Table1[ManagerCode],-99)</f>
        <v>183</v>
      </c>
      <c r="T9013"/>
    </row>
    <row r="9014" spans="1:20" x14ac:dyDescent="0.25">
      <c r="A9014">
        <v>20190531</v>
      </c>
      <c r="B9014">
        <v>2019</v>
      </c>
      <c r="C9014">
        <v>5</v>
      </c>
      <c r="D9014">
        <v>1</v>
      </c>
      <c r="E9014">
        <v>14000</v>
      </c>
      <c r="F9014">
        <v>185470.33</v>
      </c>
      <c r="G9014">
        <v>0</v>
      </c>
      <c r="H9014">
        <v>0</v>
      </c>
      <c r="I9014">
        <v>0</v>
      </c>
      <c r="J9014">
        <v>0</v>
      </c>
      <c r="K9014">
        <v>0</v>
      </c>
      <c r="L9014">
        <v>98000000</v>
      </c>
      <c r="M9014">
        <v>98000000</v>
      </c>
      <c r="N9014">
        <v>39200000</v>
      </c>
      <c r="O9014">
        <v>39200000</v>
      </c>
      <c r="P9014">
        <v>98000000</v>
      </c>
      <c r="Q9014">
        <v>98000000</v>
      </c>
      <c r="R9014" s="14">
        <f>_xlfn.XLOOKUP(Table2[[#This Row],[LoanID]],Table1[G-L ID],Table1[ManagerCode],-99)</f>
        <v>183</v>
      </c>
      <c r="T9014"/>
    </row>
    <row r="9015" spans="1:20" x14ac:dyDescent="0.25">
      <c r="A9015">
        <v>20190531</v>
      </c>
      <c r="B9015">
        <v>2019</v>
      </c>
      <c r="C9015">
        <v>5</v>
      </c>
      <c r="D9015">
        <v>1</v>
      </c>
      <c r="E9015">
        <v>14010</v>
      </c>
      <c r="F9015">
        <v>78401.070000000007</v>
      </c>
      <c r="G9015">
        <v>0</v>
      </c>
      <c r="H9015">
        <v>0</v>
      </c>
      <c r="I9015">
        <v>0</v>
      </c>
      <c r="J9015">
        <v>-118840.31</v>
      </c>
      <c r="K9015">
        <v>0</v>
      </c>
      <c r="L9015">
        <v>9920000</v>
      </c>
      <c r="M9015">
        <v>10038840.310000001</v>
      </c>
      <c r="N9015">
        <v>9920000</v>
      </c>
      <c r="O9015">
        <v>10038840.310000001</v>
      </c>
      <c r="P9015">
        <v>9920000</v>
      </c>
      <c r="Q9015">
        <v>10038840.310000001</v>
      </c>
      <c r="R9015" s="14">
        <f>_xlfn.XLOOKUP(Table2[[#This Row],[LoanID]],Table1[G-L ID],Table1[ManagerCode],-99)</f>
        <v>119</v>
      </c>
      <c r="T9015"/>
    </row>
    <row r="9016" spans="1:20" x14ac:dyDescent="0.25">
      <c r="A9016">
        <v>20190531</v>
      </c>
      <c r="B9016">
        <v>2019</v>
      </c>
      <c r="C9016">
        <v>5</v>
      </c>
      <c r="D9016">
        <v>1</v>
      </c>
      <c r="E9016">
        <v>14020</v>
      </c>
      <c r="F9016">
        <v>269554.78000000003</v>
      </c>
      <c r="G9016">
        <v>0</v>
      </c>
      <c r="H9016">
        <v>0</v>
      </c>
      <c r="I9016">
        <v>0</v>
      </c>
      <c r="J9016">
        <v>-2483576.0299999998</v>
      </c>
      <c r="K9016">
        <v>0</v>
      </c>
      <c r="L9016">
        <v>28351303.460000001</v>
      </c>
      <c r="M9016">
        <v>30834879.489999998</v>
      </c>
      <c r="N9016">
        <v>28351303.460000001</v>
      </c>
      <c r="O9016">
        <v>30834879.489999998</v>
      </c>
      <c r="P9016">
        <v>28351303.460000001</v>
      </c>
      <c r="Q9016">
        <v>30834879.489999998</v>
      </c>
      <c r="R9016" s="14">
        <f>_xlfn.XLOOKUP(Table2[[#This Row],[LoanID]],Table1[G-L ID],Table1[ManagerCode],-99)</f>
        <v>119</v>
      </c>
      <c r="T9016"/>
    </row>
    <row r="9017" spans="1:20" x14ac:dyDescent="0.25">
      <c r="A9017">
        <v>20190531</v>
      </c>
      <c r="B9017">
        <v>2019</v>
      </c>
      <c r="C9017">
        <v>5</v>
      </c>
      <c r="D9017">
        <v>1</v>
      </c>
      <c r="E9017">
        <v>14170</v>
      </c>
      <c r="F9017">
        <v>18428.61</v>
      </c>
      <c r="G9017">
        <v>0</v>
      </c>
      <c r="H9017">
        <v>0</v>
      </c>
      <c r="I9017">
        <v>0</v>
      </c>
      <c r="J9017">
        <v>0</v>
      </c>
      <c r="K9017">
        <v>9208.3700000000008</v>
      </c>
      <c r="L9017">
        <v>5368124.13</v>
      </c>
      <c r="M9017">
        <v>5276210.08</v>
      </c>
      <c r="N9017">
        <v>5368124.13</v>
      </c>
      <c r="O9017">
        <v>5276210.08</v>
      </c>
      <c r="P9017">
        <v>10897643.880000001</v>
      </c>
      <c r="Q9017">
        <v>10888435.51</v>
      </c>
      <c r="R9017" s="14">
        <f>_xlfn.XLOOKUP(Table2[[#This Row],[LoanID]],Table1[G-L ID],Table1[ManagerCode],-99)</f>
        <v>270</v>
      </c>
      <c r="T9017"/>
    </row>
    <row r="9018" spans="1:20" x14ac:dyDescent="0.25">
      <c r="A9018">
        <v>20190531</v>
      </c>
      <c r="B9018">
        <v>2019</v>
      </c>
      <c r="C9018">
        <v>5</v>
      </c>
      <c r="D9018">
        <v>1</v>
      </c>
      <c r="E9018">
        <v>14180</v>
      </c>
      <c r="F9018">
        <v>27531.87</v>
      </c>
      <c r="G9018">
        <v>0</v>
      </c>
      <c r="H9018">
        <v>0</v>
      </c>
      <c r="I9018">
        <v>0</v>
      </c>
      <c r="J9018">
        <v>0</v>
      </c>
      <c r="K9018">
        <v>12372.7</v>
      </c>
      <c r="L9018">
        <v>7612297.8700000001</v>
      </c>
      <c r="M9018">
        <v>7589657.7000000002</v>
      </c>
      <c r="N9018">
        <v>7612297.8700000001</v>
      </c>
      <c r="O9018">
        <v>7589657.7000000002</v>
      </c>
      <c r="P9018">
        <v>17106883.469999999</v>
      </c>
      <c r="Q9018">
        <v>17094510.77</v>
      </c>
      <c r="R9018" s="14">
        <f>_xlfn.XLOOKUP(Table2[[#This Row],[LoanID]],Table1[G-L ID],Table1[ManagerCode],-99)</f>
        <v>270</v>
      </c>
      <c r="T9018"/>
    </row>
    <row r="9019" spans="1:20" x14ac:dyDescent="0.25">
      <c r="A9019">
        <v>20190531</v>
      </c>
      <c r="B9019">
        <v>2019</v>
      </c>
      <c r="C9019">
        <v>5</v>
      </c>
      <c r="D9019">
        <v>1</v>
      </c>
      <c r="E9019">
        <v>14190</v>
      </c>
      <c r="F9019">
        <v>19032.52</v>
      </c>
      <c r="G9019">
        <v>0</v>
      </c>
      <c r="H9019">
        <v>0</v>
      </c>
      <c r="I9019">
        <v>0</v>
      </c>
      <c r="J9019">
        <v>0</v>
      </c>
      <c r="K9019">
        <v>8228</v>
      </c>
      <c r="L9019">
        <v>5168212.42</v>
      </c>
      <c r="M9019">
        <v>5066191.07</v>
      </c>
      <c r="N9019">
        <v>5168212.42</v>
      </c>
      <c r="O9019">
        <v>5066191.07</v>
      </c>
      <c r="P9019">
        <v>10785214.800000001</v>
      </c>
      <c r="Q9019">
        <v>10776986.800000001</v>
      </c>
      <c r="R9019" s="14">
        <f>_xlfn.XLOOKUP(Table2[[#This Row],[LoanID]],Table1[G-L ID],Table1[ManagerCode],-99)</f>
        <v>270</v>
      </c>
      <c r="T9019"/>
    </row>
    <row r="9020" spans="1:20" x14ac:dyDescent="0.25">
      <c r="A9020">
        <v>20190531</v>
      </c>
      <c r="B9020">
        <v>2019</v>
      </c>
      <c r="C9020">
        <v>5</v>
      </c>
      <c r="D9020">
        <v>1</v>
      </c>
      <c r="E9020">
        <v>14210</v>
      </c>
      <c r="F9020">
        <v>46660.14</v>
      </c>
      <c r="G9020">
        <v>0</v>
      </c>
      <c r="H9020">
        <v>0</v>
      </c>
      <c r="I9020">
        <v>0</v>
      </c>
      <c r="J9020">
        <v>0</v>
      </c>
      <c r="K9020">
        <v>0</v>
      </c>
      <c r="L9020">
        <v>7046660.1399999997</v>
      </c>
      <c r="M9020">
        <v>7046530.3499999996</v>
      </c>
      <c r="N9020">
        <v>7046660.1399999997</v>
      </c>
      <c r="O9020">
        <v>7046530.3499999996</v>
      </c>
      <c r="P9020">
        <v>9300000</v>
      </c>
      <c r="Q9020">
        <v>9300000</v>
      </c>
      <c r="R9020" s="14">
        <f>_xlfn.XLOOKUP(Table2[[#This Row],[LoanID]],Table1[G-L ID],Table1[ManagerCode],-99)</f>
        <v>270</v>
      </c>
      <c r="T9020"/>
    </row>
    <row r="9021" spans="1:20" x14ac:dyDescent="0.25">
      <c r="A9021">
        <v>20190531</v>
      </c>
      <c r="B9021">
        <v>2019</v>
      </c>
      <c r="C9021">
        <v>5</v>
      </c>
      <c r="D9021">
        <v>1</v>
      </c>
      <c r="E9021">
        <v>14230</v>
      </c>
      <c r="F9021">
        <v>146029.47</v>
      </c>
      <c r="G9021">
        <v>0</v>
      </c>
      <c r="H9021">
        <v>0</v>
      </c>
      <c r="I9021">
        <v>0</v>
      </c>
      <c r="J9021">
        <v>0</v>
      </c>
      <c r="K9021">
        <v>0</v>
      </c>
      <c r="L9021">
        <v>26101053.34</v>
      </c>
      <c r="M9021">
        <v>26100715.48</v>
      </c>
      <c r="N9021">
        <v>26101053.34</v>
      </c>
      <c r="O9021">
        <v>26100715.48</v>
      </c>
      <c r="P9021">
        <v>26321000</v>
      </c>
      <c r="Q9021">
        <v>26321000</v>
      </c>
      <c r="R9021" s="14">
        <f>_xlfn.XLOOKUP(Table2[[#This Row],[LoanID]],Table1[G-L ID],Table1[ManagerCode],-99)</f>
        <v>270</v>
      </c>
      <c r="T9021"/>
    </row>
    <row r="9022" spans="1:20" x14ac:dyDescent="0.25">
      <c r="A9022">
        <v>20190531</v>
      </c>
      <c r="B9022">
        <v>2019</v>
      </c>
      <c r="C9022">
        <v>5</v>
      </c>
      <c r="D9022">
        <v>1</v>
      </c>
      <c r="E9022">
        <v>14260</v>
      </c>
      <c r="F9022">
        <v>34539.22</v>
      </c>
      <c r="G9022">
        <v>0</v>
      </c>
      <c r="H9022">
        <v>0</v>
      </c>
      <c r="I9022">
        <v>0</v>
      </c>
      <c r="J9022">
        <v>0</v>
      </c>
      <c r="K9022">
        <v>0</v>
      </c>
      <c r="L9022">
        <v>6409539.2199999997</v>
      </c>
      <c r="M9022">
        <v>6409456.2400000002</v>
      </c>
      <c r="N9022">
        <v>6409539.2199999997</v>
      </c>
      <c r="O9022">
        <v>6409456.2400000002</v>
      </c>
      <c r="P9022">
        <v>12500000</v>
      </c>
      <c r="Q9022">
        <v>12500000</v>
      </c>
      <c r="R9022" s="14">
        <f>_xlfn.XLOOKUP(Table2[[#This Row],[LoanID]],Table1[G-L ID],Table1[ManagerCode],-99)</f>
        <v>270</v>
      </c>
      <c r="T9022"/>
    </row>
    <row r="9023" spans="1:20" x14ac:dyDescent="0.25">
      <c r="A9023">
        <v>20190531</v>
      </c>
      <c r="B9023">
        <v>2019</v>
      </c>
      <c r="C9023">
        <v>5</v>
      </c>
      <c r="D9023">
        <v>1</v>
      </c>
      <c r="E9023">
        <v>14270</v>
      </c>
      <c r="F9023">
        <v>31031.37</v>
      </c>
      <c r="G9023">
        <v>0</v>
      </c>
      <c r="H9023">
        <v>0</v>
      </c>
      <c r="I9023">
        <v>0</v>
      </c>
      <c r="J9023">
        <v>0</v>
      </c>
      <c r="K9023">
        <v>0</v>
      </c>
      <c r="L9023">
        <v>5131031.37</v>
      </c>
      <c r="M9023">
        <v>5130965</v>
      </c>
      <c r="N9023">
        <v>5131031.37</v>
      </c>
      <c r="O9023">
        <v>5130965</v>
      </c>
      <c r="P9023">
        <v>10000000</v>
      </c>
      <c r="Q9023">
        <v>10000000</v>
      </c>
      <c r="R9023" s="14">
        <f>_xlfn.XLOOKUP(Table2[[#This Row],[LoanID]],Table1[G-L ID],Table1[ManagerCode],-99)</f>
        <v>270</v>
      </c>
      <c r="T9023"/>
    </row>
    <row r="9024" spans="1:20" x14ac:dyDescent="0.25">
      <c r="A9024">
        <v>20190531</v>
      </c>
      <c r="B9024">
        <v>2019</v>
      </c>
      <c r="C9024">
        <v>5</v>
      </c>
      <c r="D9024">
        <v>1</v>
      </c>
      <c r="E9024">
        <v>14380</v>
      </c>
      <c r="F9024">
        <v>52649.18</v>
      </c>
      <c r="G9024">
        <v>0</v>
      </c>
      <c r="H9024">
        <v>0</v>
      </c>
      <c r="I9024">
        <v>0</v>
      </c>
      <c r="J9024">
        <v>0</v>
      </c>
      <c r="K9024">
        <v>0</v>
      </c>
      <c r="L9024">
        <v>9920075.3699999992</v>
      </c>
      <c r="M9024">
        <v>9923841.6899999995</v>
      </c>
      <c r="N9024">
        <v>9920075.3699999992</v>
      </c>
      <c r="O9024">
        <v>9923841.6899999995</v>
      </c>
      <c r="P9024">
        <v>20955891</v>
      </c>
      <c r="Q9024">
        <v>20955891</v>
      </c>
      <c r="R9024" s="14">
        <f>_xlfn.XLOOKUP(Table2[[#This Row],[LoanID]],Table1[G-L ID],Table1[ManagerCode],-99)</f>
        <v>270</v>
      </c>
      <c r="T9024"/>
    </row>
    <row r="9025" spans="1:20" x14ac:dyDescent="0.25">
      <c r="A9025">
        <v>20190531</v>
      </c>
      <c r="B9025">
        <v>2019</v>
      </c>
      <c r="C9025">
        <v>5</v>
      </c>
      <c r="D9025">
        <v>1</v>
      </c>
      <c r="E9025">
        <v>14400</v>
      </c>
      <c r="F9025">
        <v>57600</v>
      </c>
      <c r="G9025">
        <v>0</v>
      </c>
      <c r="H9025">
        <v>0</v>
      </c>
      <c r="I9025">
        <v>0</v>
      </c>
      <c r="J9025">
        <v>0</v>
      </c>
      <c r="K9025">
        <v>0</v>
      </c>
      <c r="L9025">
        <v>15267993.59</v>
      </c>
      <c r="M9025">
        <v>15399936.01</v>
      </c>
      <c r="N9025">
        <v>15267993.59</v>
      </c>
      <c r="O9025">
        <v>15399936.01</v>
      </c>
      <c r="P9025">
        <v>25600000</v>
      </c>
      <c r="Q9025">
        <v>25600000</v>
      </c>
      <c r="R9025" s="14">
        <f>_xlfn.XLOOKUP(Table2[[#This Row],[LoanID]],Table1[G-L ID],Table1[ManagerCode],-99)</f>
        <v>270</v>
      </c>
      <c r="T9025"/>
    </row>
    <row r="9026" spans="1:20" x14ac:dyDescent="0.25">
      <c r="A9026">
        <v>20190531</v>
      </c>
      <c r="B9026">
        <v>2019</v>
      </c>
      <c r="C9026">
        <v>5</v>
      </c>
      <c r="D9026">
        <v>1</v>
      </c>
      <c r="E9026">
        <v>14420</v>
      </c>
      <c r="F9026">
        <v>44865.89</v>
      </c>
      <c r="G9026">
        <v>0</v>
      </c>
      <c r="H9026">
        <v>0</v>
      </c>
      <c r="I9026">
        <v>0</v>
      </c>
      <c r="J9026">
        <v>0</v>
      </c>
      <c r="K9026">
        <v>154511.45000000001</v>
      </c>
      <c r="L9026">
        <v>8010351.9900000002</v>
      </c>
      <c r="M9026">
        <v>8166317.5199999996</v>
      </c>
      <c r="N9026">
        <v>8010351.9900000002</v>
      </c>
      <c r="O9026">
        <v>8166317.5199999996</v>
      </c>
      <c r="P9026">
        <v>13485040.560000001</v>
      </c>
      <c r="Q9026">
        <v>13330529.109999999</v>
      </c>
      <c r="R9026" s="14">
        <f>_xlfn.XLOOKUP(Table2[[#This Row],[LoanID]],Table1[G-L ID],Table1[ManagerCode],-99)</f>
        <v>270</v>
      </c>
      <c r="T9026"/>
    </row>
    <row r="9027" spans="1:20" x14ac:dyDescent="0.25">
      <c r="A9027">
        <v>20190531</v>
      </c>
      <c r="B9027">
        <v>2019</v>
      </c>
      <c r="C9027">
        <v>5</v>
      </c>
      <c r="D9027">
        <v>1</v>
      </c>
      <c r="E9027">
        <v>14460</v>
      </c>
      <c r="F9027">
        <v>14166.66</v>
      </c>
      <c r="G9027">
        <v>0</v>
      </c>
      <c r="H9027">
        <v>0</v>
      </c>
      <c r="I9027">
        <v>0</v>
      </c>
      <c r="J9027">
        <v>0</v>
      </c>
      <c r="K9027">
        <v>0</v>
      </c>
      <c r="L9027">
        <v>2044526.66</v>
      </c>
      <c r="M9027">
        <v>2041606.66</v>
      </c>
      <c r="N9027">
        <v>2044526.66</v>
      </c>
      <c r="O9027">
        <v>2041606.66</v>
      </c>
      <c r="P9027">
        <v>6142857.1500000004</v>
      </c>
      <c r="Q9027">
        <v>6142857.1500000004</v>
      </c>
      <c r="R9027" s="14">
        <f>_xlfn.XLOOKUP(Table2[[#This Row],[LoanID]],Table1[G-L ID],Table1[ManagerCode],-99)</f>
        <v>270</v>
      </c>
      <c r="T9027"/>
    </row>
    <row r="9028" spans="1:20" x14ac:dyDescent="0.25">
      <c r="A9028">
        <v>20190531</v>
      </c>
      <c r="B9028">
        <v>2019</v>
      </c>
      <c r="C9028">
        <v>5</v>
      </c>
      <c r="D9028">
        <v>1</v>
      </c>
      <c r="E9028">
        <v>14550</v>
      </c>
      <c r="F9028">
        <v>30349.06</v>
      </c>
      <c r="G9028">
        <v>0</v>
      </c>
      <c r="H9028">
        <v>0</v>
      </c>
      <c r="I9028">
        <v>0</v>
      </c>
      <c r="J9028">
        <v>0</v>
      </c>
      <c r="K9028">
        <v>7374.96</v>
      </c>
      <c r="L9028">
        <v>6188870.6699999999</v>
      </c>
      <c r="M9028">
        <v>6187221.4699999997</v>
      </c>
      <c r="N9028">
        <v>6188870.6699999999</v>
      </c>
      <c r="O9028">
        <v>6187221.4699999997</v>
      </c>
      <c r="P9028">
        <v>11811247.84</v>
      </c>
      <c r="Q9028">
        <v>11803872.880000001</v>
      </c>
      <c r="R9028" s="14">
        <f>_xlfn.XLOOKUP(Table2[[#This Row],[LoanID]],Table1[G-L ID],Table1[ManagerCode],-99)</f>
        <v>270</v>
      </c>
      <c r="T9028"/>
    </row>
    <row r="9029" spans="1:20" x14ac:dyDescent="0.25">
      <c r="A9029">
        <v>20190531</v>
      </c>
      <c r="B9029">
        <v>2019</v>
      </c>
      <c r="C9029">
        <v>5</v>
      </c>
      <c r="D9029">
        <v>1</v>
      </c>
      <c r="E9029">
        <v>14560</v>
      </c>
      <c r="F9029">
        <v>32339.16</v>
      </c>
      <c r="G9029">
        <v>0</v>
      </c>
      <c r="H9029">
        <v>0</v>
      </c>
      <c r="I9029">
        <v>0</v>
      </c>
      <c r="J9029">
        <v>0</v>
      </c>
      <c r="K9029">
        <v>7858.56</v>
      </c>
      <c r="L9029">
        <v>6594698.2999999998</v>
      </c>
      <c r="M9029">
        <v>6592940.9800000004</v>
      </c>
      <c r="N9029">
        <v>6594698.2999999998</v>
      </c>
      <c r="O9029">
        <v>6592940.9800000004</v>
      </c>
      <c r="P9029">
        <v>12585756.07</v>
      </c>
      <c r="Q9029">
        <v>12577897.51</v>
      </c>
      <c r="R9029" s="14">
        <f>_xlfn.XLOOKUP(Table2[[#This Row],[LoanID]],Table1[G-L ID],Table1[ManagerCode],-99)</f>
        <v>270</v>
      </c>
      <c r="T9029"/>
    </row>
    <row r="9030" spans="1:20" x14ac:dyDescent="0.25">
      <c r="A9030">
        <v>20190531</v>
      </c>
      <c r="B9030">
        <v>2019</v>
      </c>
      <c r="C9030">
        <v>5</v>
      </c>
      <c r="D9030">
        <v>1</v>
      </c>
      <c r="E9030">
        <v>14570</v>
      </c>
      <c r="F9030">
        <v>4477.72</v>
      </c>
      <c r="G9030">
        <v>0</v>
      </c>
      <c r="H9030">
        <v>0</v>
      </c>
      <c r="I9030">
        <v>0</v>
      </c>
      <c r="J9030">
        <v>0</v>
      </c>
      <c r="K9030">
        <v>1088.1099999999999</v>
      </c>
      <c r="L9030">
        <v>913112.13</v>
      </c>
      <c r="M9030">
        <v>912868.84</v>
      </c>
      <c r="N9030">
        <v>913112.13</v>
      </c>
      <c r="O9030">
        <v>912868.84</v>
      </c>
      <c r="P9030">
        <v>1742643.29</v>
      </c>
      <c r="Q9030">
        <v>1741555.18</v>
      </c>
      <c r="R9030" s="14">
        <f>_xlfn.XLOOKUP(Table2[[#This Row],[LoanID]],Table1[G-L ID],Table1[ManagerCode],-99)</f>
        <v>270</v>
      </c>
      <c r="T9030"/>
    </row>
    <row r="9031" spans="1:20" x14ac:dyDescent="0.25">
      <c r="A9031">
        <v>20190531</v>
      </c>
      <c r="B9031">
        <v>2019</v>
      </c>
      <c r="C9031">
        <v>5</v>
      </c>
      <c r="D9031">
        <v>1</v>
      </c>
      <c r="E9031">
        <v>14580</v>
      </c>
      <c r="F9031">
        <v>61368.34</v>
      </c>
      <c r="G9031">
        <v>0</v>
      </c>
      <c r="H9031">
        <v>0</v>
      </c>
      <c r="I9031">
        <v>0</v>
      </c>
      <c r="J9031">
        <v>0</v>
      </c>
      <c r="K9031">
        <v>0</v>
      </c>
      <c r="L9031">
        <v>12233680.83</v>
      </c>
      <c r="M9031">
        <v>12256589.84</v>
      </c>
      <c r="N9031">
        <v>12233680.83</v>
      </c>
      <c r="O9031">
        <v>12256589.84</v>
      </c>
      <c r="P9031">
        <v>24060000</v>
      </c>
      <c r="Q9031">
        <v>24060000</v>
      </c>
      <c r="R9031" s="14">
        <f>_xlfn.XLOOKUP(Table2[[#This Row],[LoanID]],Table1[G-L ID],Table1[ManagerCode],-99)</f>
        <v>270</v>
      </c>
      <c r="T9031"/>
    </row>
    <row r="9032" spans="1:20" x14ac:dyDescent="0.25">
      <c r="A9032">
        <v>20190531</v>
      </c>
      <c r="B9032">
        <v>2019</v>
      </c>
      <c r="C9032">
        <v>5</v>
      </c>
      <c r="D9032">
        <v>1</v>
      </c>
      <c r="E9032">
        <v>14670</v>
      </c>
      <c r="F9032">
        <v>115497.57</v>
      </c>
      <c r="G9032">
        <v>0</v>
      </c>
      <c r="H9032">
        <v>0</v>
      </c>
      <c r="I9032">
        <v>0</v>
      </c>
      <c r="J9032">
        <v>0</v>
      </c>
      <c r="K9032">
        <v>38469.980000000003</v>
      </c>
      <c r="L9032">
        <v>29704954</v>
      </c>
      <c r="M9032">
        <v>29704954</v>
      </c>
      <c r="N9032">
        <v>8656704</v>
      </c>
      <c r="O9032">
        <v>8656704</v>
      </c>
      <c r="P9032">
        <v>29477811.199999999</v>
      </c>
      <c r="Q9032">
        <v>29439341.219999999</v>
      </c>
      <c r="R9032" s="14">
        <f>_xlfn.XLOOKUP(Table2[[#This Row],[LoanID]],Table1[G-L ID],Table1[ManagerCode],-99)</f>
        <v>220</v>
      </c>
      <c r="T9032"/>
    </row>
    <row r="9033" spans="1:20" x14ac:dyDescent="0.25">
      <c r="A9033">
        <v>20190531</v>
      </c>
      <c r="B9033">
        <v>2019</v>
      </c>
      <c r="C9033">
        <v>5</v>
      </c>
      <c r="D9033">
        <v>1</v>
      </c>
      <c r="E9033">
        <v>14680</v>
      </c>
      <c r="F9033">
        <v>49320.31</v>
      </c>
      <c r="G9033">
        <v>0</v>
      </c>
      <c r="H9033">
        <v>0</v>
      </c>
      <c r="I9033">
        <v>0</v>
      </c>
      <c r="J9033">
        <v>-600791.1</v>
      </c>
      <c r="K9033">
        <v>0</v>
      </c>
      <c r="L9033">
        <v>28735557</v>
      </c>
      <c r="M9033">
        <v>28735557</v>
      </c>
      <c r="N9033">
        <v>7703798.0499999998</v>
      </c>
      <c r="O9033">
        <v>7703798.0499999998</v>
      </c>
      <c r="P9033">
        <v>28619645.710000001</v>
      </c>
      <c r="Q9033">
        <v>29220436.809999999</v>
      </c>
      <c r="R9033" s="14">
        <f>_xlfn.XLOOKUP(Table2[[#This Row],[LoanID]],Table1[G-L ID],Table1[ManagerCode],-99)</f>
        <v>220</v>
      </c>
      <c r="T9033"/>
    </row>
    <row r="9034" spans="1:20" x14ac:dyDescent="0.25">
      <c r="A9034">
        <v>20190531</v>
      </c>
      <c r="B9034">
        <v>2019</v>
      </c>
      <c r="C9034">
        <v>5</v>
      </c>
      <c r="D9034">
        <v>1</v>
      </c>
      <c r="E9034">
        <v>14690</v>
      </c>
      <c r="F9034">
        <v>83089.850000000006</v>
      </c>
      <c r="G9034">
        <v>0</v>
      </c>
      <c r="H9034">
        <v>0</v>
      </c>
      <c r="I9034">
        <v>0</v>
      </c>
      <c r="J9034">
        <v>-60990.23</v>
      </c>
      <c r="K9034">
        <v>0</v>
      </c>
      <c r="L9034">
        <v>42335000</v>
      </c>
      <c r="M9034">
        <v>42395990.229999997</v>
      </c>
      <c r="N9034">
        <v>14817250</v>
      </c>
      <c r="O9034">
        <v>14878240.23</v>
      </c>
      <c r="P9034">
        <v>42335000</v>
      </c>
      <c r="Q9034">
        <v>42395990.229999997</v>
      </c>
      <c r="R9034" s="14">
        <f>_xlfn.XLOOKUP(Table2[[#This Row],[LoanID]],Table1[G-L ID],Table1[ManagerCode],-99)</f>
        <v>220</v>
      </c>
      <c r="T9034"/>
    </row>
    <row r="9035" spans="1:20" x14ac:dyDescent="0.25">
      <c r="A9035">
        <v>20190531</v>
      </c>
      <c r="B9035">
        <v>2019</v>
      </c>
      <c r="C9035">
        <v>5</v>
      </c>
      <c r="D9035">
        <v>1</v>
      </c>
      <c r="E9035">
        <v>14700</v>
      </c>
      <c r="F9035">
        <v>70571.98</v>
      </c>
      <c r="G9035">
        <v>0</v>
      </c>
      <c r="H9035">
        <v>0</v>
      </c>
      <c r="I9035">
        <v>0</v>
      </c>
      <c r="J9035">
        <v>0</v>
      </c>
      <c r="K9035">
        <v>0</v>
      </c>
      <c r="L9035">
        <v>35240840</v>
      </c>
      <c r="M9035">
        <v>35240840</v>
      </c>
      <c r="N9035">
        <v>10653340</v>
      </c>
      <c r="O9035">
        <v>10653340</v>
      </c>
      <c r="P9035">
        <v>35125000</v>
      </c>
      <c r="Q9035">
        <v>35125000</v>
      </c>
      <c r="R9035" s="14">
        <f>_xlfn.XLOOKUP(Table2[[#This Row],[LoanID]],Table1[G-L ID],Table1[ManagerCode],-99)</f>
        <v>220</v>
      </c>
      <c r="T9035"/>
    </row>
    <row r="9036" spans="1:20" x14ac:dyDescent="0.25">
      <c r="A9036">
        <v>20190531</v>
      </c>
      <c r="B9036">
        <v>2019</v>
      </c>
      <c r="C9036">
        <v>5</v>
      </c>
      <c r="D9036">
        <v>1</v>
      </c>
      <c r="E9036">
        <v>14710</v>
      </c>
      <c r="F9036">
        <v>60107.3</v>
      </c>
      <c r="G9036">
        <v>0</v>
      </c>
      <c r="H9036">
        <v>0</v>
      </c>
      <c r="I9036">
        <v>0</v>
      </c>
      <c r="J9036">
        <v>0</v>
      </c>
      <c r="K9036">
        <v>0</v>
      </c>
      <c r="L9036">
        <v>33650000</v>
      </c>
      <c r="M9036">
        <v>33650000</v>
      </c>
      <c r="N9036">
        <v>11777500</v>
      </c>
      <c r="O9036">
        <v>11777500</v>
      </c>
      <c r="P9036">
        <v>33650000</v>
      </c>
      <c r="Q9036">
        <v>33650000</v>
      </c>
      <c r="R9036" s="14">
        <f>_xlfn.XLOOKUP(Table2[[#This Row],[LoanID]],Table1[G-L ID],Table1[ManagerCode],-99)</f>
        <v>220</v>
      </c>
      <c r="T9036"/>
    </row>
    <row r="9037" spans="1:20" x14ac:dyDescent="0.25">
      <c r="A9037">
        <v>20190531</v>
      </c>
      <c r="B9037">
        <v>2019</v>
      </c>
      <c r="C9037">
        <v>5</v>
      </c>
      <c r="D9037">
        <v>1</v>
      </c>
      <c r="E9037">
        <v>14720</v>
      </c>
      <c r="F9037">
        <v>39432.76</v>
      </c>
      <c r="G9037">
        <v>0</v>
      </c>
      <c r="H9037">
        <v>0</v>
      </c>
      <c r="I9037">
        <v>0</v>
      </c>
      <c r="J9037">
        <v>-461075.38</v>
      </c>
      <c r="K9037">
        <v>0</v>
      </c>
      <c r="L9037">
        <v>21406313</v>
      </c>
      <c r="M9037">
        <v>21406313</v>
      </c>
      <c r="N9037">
        <v>7679313</v>
      </c>
      <c r="O9037">
        <v>7679313</v>
      </c>
      <c r="P9037">
        <v>20257424.629999999</v>
      </c>
      <c r="Q9037">
        <v>20718500.010000002</v>
      </c>
      <c r="R9037" s="14">
        <f>_xlfn.XLOOKUP(Table2[[#This Row],[LoanID]],Table1[G-L ID],Table1[ManagerCode],-99)</f>
        <v>220</v>
      </c>
      <c r="T9037"/>
    </row>
    <row r="9038" spans="1:20" x14ac:dyDescent="0.25">
      <c r="A9038">
        <v>20190531</v>
      </c>
      <c r="B9038">
        <v>2019</v>
      </c>
      <c r="C9038">
        <v>5</v>
      </c>
      <c r="D9038">
        <v>1</v>
      </c>
      <c r="E9038">
        <v>14730</v>
      </c>
      <c r="F9038">
        <v>198945.83</v>
      </c>
      <c r="G9038">
        <v>0</v>
      </c>
      <c r="H9038">
        <v>0</v>
      </c>
      <c r="I9038">
        <v>0</v>
      </c>
      <c r="J9038">
        <v>0</v>
      </c>
      <c r="K9038">
        <v>0</v>
      </c>
      <c r="L9038">
        <v>50350000</v>
      </c>
      <c r="M9038">
        <v>50350000</v>
      </c>
      <c r="N9038">
        <v>50350000</v>
      </c>
      <c r="O9038">
        <v>50350000</v>
      </c>
      <c r="P9038">
        <v>50260000</v>
      </c>
      <c r="Q9038">
        <v>50260000</v>
      </c>
      <c r="R9038" s="14">
        <f>_xlfn.XLOOKUP(Table2[[#This Row],[LoanID]],Table1[G-L ID],Table1[ManagerCode],-99)</f>
        <v>220</v>
      </c>
      <c r="T9038"/>
    </row>
    <row r="9039" spans="1:20" x14ac:dyDescent="0.25">
      <c r="A9039">
        <v>20190531</v>
      </c>
      <c r="B9039">
        <v>2019</v>
      </c>
      <c r="C9039">
        <v>5</v>
      </c>
      <c r="D9039">
        <v>1</v>
      </c>
      <c r="E9039">
        <v>14740</v>
      </c>
      <c r="F9039">
        <v>83262.850000000006</v>
      </c>
      <c r="G9039">
        <v>0</v>
      </c>
      <c r="H9039">
        <v>0</v>
      </c>
      <c r="I9039">
        <v>0</v>
      </c>
      <c r="J9039">
        <v>0</v>
      </c>
      <c r="K9039">
        <v>0</v>
      </c>
      <c r="L9039">
        <v>35000000</v>
      </c>
      <c r="M9039">
        <v>35000000</v>
      </c>
      <c r="N9039">
        <v>14000000</v>
      </c>
      <c r="O9039">
        <v>14000000</v>
      </c>
      <c r="P9039">
        <v>35000000</v>
      </c>
      <c r="Q9039">
        <v>35000000</v>
      </c>
      <c r="R9039" s="14">
        <f>_xlfn.XLOOKUP(Table2[[#This Row],[LoanID]],Table1[G-L ID],Table1[ManagerCode],-99)</f>
        <v>220</v>
      </c>
      <c r="T9039"/>
    </row>
    <row r="9040" spans="1:20" x14ac:dyDescent="0.25">
      <c r="A9040">
        <v>20190531</v>
      </c>
      <c r="B9040">
        <v>2019</v>
      </c>
      <c r="C9040">
        <v>5</v>
      </c>
      <c r="D9040">
        <v>1</v>
      </c>
      <c r="E9040">
        <v>14750</v>
      </c>
      <c r="F9040">
        <v>105049.84</v>
      </c>
      <c r="G9040">
        <v>0</v>
      </c>
      <c r="H9040">
        <v>0</v>
      </c>
      <c r="I9040">
        <v>0</v>
      </c>
      <c r="J9040">
        <v>0</v>
      </c>
      <c r="K9040">
        <v>0</v>
      </c>
      <c r="L9040">
        <v>55997145.399999999</v>
      </c>
      <c r="M9040">
        <v>55997145.399999999</v>
      </c>
      <c r="N9040">
        <v>20247145.399999999</v>
      </c>
      <c r="O9040">
        <v>20247145.399999999</v>
      </c>
      <c r="P9040">
        <v>55997145.399999999</v>
      </c>
      <c r="Q9040">
        <v>55997145.399999999</v>
      </c>
      <c r="R9040" s="14">
        <f>_xlfn.XLOOKUP(Table2[[#This Row],[LoanID]],Table1[G-L ID],Table1[ManagerCode],-99)</f>
        <v>220</v>
      </c>
      <c r="T9040"/>
    </row>
    <row r="9041" spans="1:20" x14ac:dyDescent="0.25">
      <c r="A9041">
        <v>20190531</v>
      </c>
      <c r="B9041">
        <v>2019</v>
      </c>
      <c r="C9041">
        <v>5</v>
      </c>
      <c r="D9041">
        <v>1</v>
      </c>
      <c r="E9041">
        <v>14760</v>
      </c>
      <c r="F9041">
        <v>-257009.38</v>
      </c>
      <c r="G9041">
        <v>0</v>
      </c>
      <c r="H9041">
        <v>0</v>
      </c>
      <c r="I9041">
        <v>0</v>
      </c>
      <c r="J9041">
        <v>0</v>
      </c>
      <c r="K9041">
        <v>0</v>
      </c>
      <c r="L9041">
        <v>105000000</v>
      </c>
      <c r="M9041">
        <v>105000000</v>
      </c>
      <c r="N9041">
        <v>26250000</v>
      </c>
      <c r="O9041">
        <v>26250000</v>
      </c>
      <c r="P9041">
        <v>105000000</v>
      </c>
      <c r="Q9041">
        <v>105000000</v>
      </c>
      <c r="R9041" s="14">
        <f>_xlfn.XLOOKUP(Table2[[#This Row],[LoanID]],Table1[G-L ID],Table1[ManagerCode],-99)</f>
        <v>220</v>
      </c>
      <c r="T9041"/>
    </row>
    <row r="9042" spans="1:20" x14ac:dyDescent="0.25">
      <c r="A9042">
        <v>20190531</v>
      </c>
      <c r="B9042">
        <v>2019</v>
      </c>
      <c r="C9042">
        <v>5</v>
      </c>
      <c r="D9042">
        <v>1</v>
      </c>
      <c r="E9042">
        <v>14770</v>
      </c>
      <c r="F9042">
        <v>44634</v>
      </c>
      <c r="G9042">
        <v>0</v>
      </c>
      <c r="H9042">
        <v>277500</v>
      </c>
      <c r="I9042">
        <v>0</v>
      </c>
      <c r="J9042">
        <v>-12900000</v>
      </c>
      <c r="K9042">
        <v>0</v>
      </c>
      <c r="L9042">
        <v>0</v>
      </c>
      <c r="M9042">
        <v>12900000</v>
      </c>
      <c r="N9042">
        <v>0</v>
      </c>
      <c r="O9042">
        <v>12900000</v>
      </c>
      <c r="P9042">
        <v>0</v>
      </c>
      <c r="Q9042">
        <v>12900000</v>
      </c>
      <c r="R9042" s="14">
        <f>_xlfn.XLOOKUP(Table2[[#This Row],[LoanID]],Table1[G-L ID],Table1[ManagerCode],-99)</f>
        <v>220</v>
      </c>
      <c r="T9042"/>
    </row>
    <row r="9043" spans="1:20" x14ac:dyDescent="0.25">
      <c r="A9043">
        <v>20190531</v>
      </c>
      <c r="B9043">
        <v>2019</v>
      </c>
      <c r="C9043">
        <v>5</v>
      </c>
      <c r="D9043">
        <v>1</v>
      </c>
      <c r="E9043">
        <v>14790</v>
      </c>
      <c r="F9043">
        <v>169169.36</v>
      </c>
      <c r="G9043">
        <v>0</v>
      </c>
      <c r="H9043">
        <v>0</v>
      </c>
      <c r="I9043">
        <v>0</v>
      </c>
      <c r="J9043">
        <v>0</v>
      </c>
      <c r="K9043">
        <v>0</v>
      </c>
      <c r="L9043">
        <v>72883095</v>
      </c>
      <c r="M9043">
        <v>72883095</v>
      </c>
      <c r="N9043">
        <v>23551753</v>
      </c>
      <c r="O9043">
        <v>23551753</v>
      </c>
      <c r="P9043">
        <v>72200000</v>
      </c>
      <c r="Q9043">
        <v>72200000</v>
      </c>
      <c r="R9043" s="14">
        <f>_xlfn.XLOOKUP(Table2[[#This Row],[LoanID]],Table1[G-L ID],Table1[ManagerCode],-99)</f>
        <v>220</v>
      </c>
      <c r="T9043"/>
    </row>
    <row r="9044" spans="1:20" x14ac:dyDescent="0.25">
      <c r="A9044">
        <v>20190531</v>
      </c>
      <c r="B9044">
        <v>2019</v>
      </c>
      <c r="C9044">
        <v>5</v>
      </c>
      <c r="D9044">
        <v>1</v>
      </c>
      <c r="E9044">
        <v>14800</v>
      </c>
      <c r="F9044">
        <v>103654.67</v>
      </c>
      <c r="G9044">
        <v>0</v>
      </c>
      <c r="H9044">
        <v>0</v>
      </c>
      <c r="I9044">
        <v>0</v>
      </c>
      <c r="J9044">
        <v>0</v>
      </c>
      <c r="K9044">
        <v>0</v>
      </c>
      <c r="L9044">
        <v>51000000</v>
      </c>
      <c r="M9044">
        <v>51000000</v>
      </c>
      <c r="N9044">
        <v>17850000</v>
      </c>
      <c r="O9044">
        <v>17850000</v>
      </c>
      <c r="P9044">
        <v>51000000</v>
      </c>
      <c r="Q9044">
        <v>51000000</v>
      </c>
      <c r="R9044" s="14">
        <f>_xlfn.XLOOKUP(Table2[[#This Row],[LoanID]],Table1[G-L ID],Table1[ManagerCode],-99)</f>
        <v>220</v>
      </c>
      <c r="T9044"/>
    </row>
    <row r="9045" spans="1:20" x14ac:dyDescent="0.25">
      <c r="A9045">
        <v>20190531</v>
      </c>
      <c r="B9045">
        <v>2019</v>
      </c>
      <c r="C9045">
        <v>5</v>
      </c>
      <c r="D9045">
        <v>1</v>
      </c>
      <c r="E9045">
        <v>14810</v>
      </c>
      <c r="F9045">
        <v>102174.23</v>
      </c>
      <c r="G9045">
        <v>0</v>
      </c>
      <c r="H9045">
        <v>0</v>
      </c>
      <c r="I9045">
        <v>0</v>
      </c>
      <c r="J9045">
        <v>0</v>
      </c>
      <c r="K9045">
        <v>0</v>
      </c>
      <c r="L9045">
        <v>25008714</v>
      </c>
      <c r="M9045">
        <v>25008714</v>
      </c>
      <c r="N9045">
        <v>25008714</v>
      </c>
      <c r="O9045">
        <v>25008714</v>
      </c>
      <c r="P9045">
        <v>24930000</v>
      </c>
      <c r="Q9045">
        <v>24930000</v>
      </c>
      <c r="R9045" s="14">
        <f>_xlfn.XLOOKUP(Table2[[#This Row],[LoanID]],Table1[G-L ID],Table1[ManagerCode],-99)</f>
        <v>220</v>
      </c>
      <c r="T9045"/>
    </row>
    <row r="9046" spans="1:20" x14ac:dyDescent="0.25">
      <c r="A9046">
        <v>20190531</v>
      </c>
      <c r="B9046">
        <v>2019</v>
      </c>
      <c r="C9046">
        <v>5</v>
      </c>
      <c r="D9046">
        <v>1</v>
      </c>
      <c r="E9046">
        <v>14820</v>
      </c>
      <c r="F9046">
        <v>117307.94</v>
      </c>
      <c r="G9046">
        <v>0</v>
      </c>
      <c r="H9046">
        <v>0</v>
      </c>
      <c r="I9046">
        <v>0</v>
      </c>
      <c r="J9046">
        <v>0</v>
      </c>
      <c r="K9046">
        <v>1000</v>
      </c>
      <c r="L9046">
        <v>22623000</v>
      </c>
      <c r="M9046">
        <v>22623000</v>
      </c>
      <c r="N9046">
        <v>22623000</v>
      </c>
      <c r="O9046">
        <v>22622000</v>
      </c>
      <c r="P9046">
        <v>22623000</v>
      </c>
      <c r="Q9046">
        <v>22623000</v>
      </c>
      <c r="R9046" s="14">
        <f>_xlfn.XLOOKUP(Table2[[#This Row],[LoanID]],Table1[G-L ID],Table1[ManagerCode],-99)</f>
        <v>220</v>
      </c>
      <c r="T9046"/>
    </row>
    <row r="9047" spans="1:20" x14ac:dyDescent="0.25">
      <c r="A9047">
        <v>20190531</v>
      </c>
      <c r="B9047">
        <v>2019</v>
      </c>
      <c r="C9047">
        <v>5</v>
      </c>
      <c r="D9047">
        <v>1</v>
      </c>
      <c r="E9047">
        <v>14830</v>
      </c>
      <c r="F9047">
        <v>89878.37</v>
      </c>
      <c r="G9047">
        <v>0</v>
      </c>
      <c r="H9047">
        <v>0</v>
      </c>
      <c r="I9047">
        <v>0</v>
      </c>
      <c r="J9047">
        <v>0</v>
      </c>
      <c r="K9047">
        <v>0</v>
      </c>
      <c r="L9047">
        <v>36385428</v>
      </c>
      <c r="M9047">
        <v>36385428</v>
      </c>
      <c r="N9047">
        <v>14920372.300000001</v>
      </c>
      <c r="O9047">
        <v>14920372.300000001</v>
      </c>
      <c r="P9047">
        <v>36175320.93</v>
      </c>
      <c r="Q9047">
        <v>36175320.93</v>
      </c>
      <c r="R9047" s="14">
        <f>_xlfn.XLOOKUP(Table2[[#This Row],[LoanID]],Table1[G-L ID],Table1[ManagerCode],-99)</f>
        <v>220</v>
      </c>
      <c r="T9047"/>
    </row>
    <row r="9048" spans="1:20" x14ac:dyDescent="0.25">
      <c r="A9048">
        <v>20190531</v>
      </c>
      <c r="B9048">
        <v>2019</v>
      </c>
      <c r="C9048">
        <v>5</v>
      </c>
      <c r="D9048">
        <v>1</v>
      </c>
      <c r="E9048">
        <v>14840</v>
      </c>
      <c r="F9048">
        <v>71456.12</v>
      </c>
      <c r="G9048">
        <v>0</v>
      </c>
      <c r="H9048">
        <v>0</v>
      </c>
      <c r="I9048">
        <v>0</v>
      </c>
      <c r="J9048">
        <v>0</v>
      </c>
      <c r="K9048">
        <v>0</v>
      </c>
      <c r="L9048">
        <v>32126758</v>
      </c>
      <c r="M9048">
        <v>32126758</v>
      </c>
      <c r="N9048">
        <v>12928224.960000001</v>
      </c>
      <c r="O9048">
        <v>12928224.960000001</v>
      </c>
      <c r="P9048">
        <v>31997555.059999999</v>
      </c>
      <c r="Q9048">
        <v>31997555.059999999</v>
      </c>
      <c r="R9048" s="14">
        <f>_xlfn.XLOOKUP(Table2[[#This Row],[LoanID]],Table1[G-L ID],Table1[ManagerCode],-99)</f>
        <v>220</v>
      </c>
      <c r="T9048"/>
    </row>
    <row r="9049" spans="1:20" x14ac:dyDescent="0.25">
      <c r="A9049">
        <v>20190531</v>
      </c>
      <c r="B9049">
        <v>2019</v>
      </c>
      <c r="C9049">
        <v>5</v>
      </c>
      <c r="D9049">
        <v>1</v>
      </c>
      <c r="E9049">
        <v>14850</v>
      </c>
      <c r="F9049">
        <v>190185</v>
      </c>
      <c r="G9049">
        <v>0</v>
      </c>
      <c r="H9049">
        <v>0</v>
      </c>
      <c r="I9049">
        <v>0</v>
      </c>
      <c r="J9049">
        <v>-283030.71000000002</v>
      </c>
      <c r="K9049">
        <v>0</v>
      </c>
      <c r="L9049">
        <v>85391367</v>
      </c>
      <c r="M9049">
        <v>85391367</v>
      </c>
      <c r="N9049">
        <v>36392057.25</v>
      </c>
      <c r="O9049">
        <v>36392057.25</v>
      </c>
      <c r="P9049">
        <v>85222291.030000001</v>
      </c>
      <c r="Q9049">
        <v>85505321.739999995</v>
      </c>
      <c r="R9049" s="14">
        <f>_xlfn.XLOOKUP(Table2[[#This Row],[LoanID]],Table1[G-L ID],Table1[ManagerCode],-99)</f>
        <v>220</v>
      </c>
      <c r="T9049"/>
    </row>
    <row r="9050" spans="1:20" x14ac:dyDescent="0.25">
      <c r="A9050">
        <v>20190531</v>
      </c>
      <c r="B9050">
        <v>2019</v>
      </c>
      <c r="C9050">
        <v>5</v>
      </c>
      <c r="D9050">
        <v>1</v>
      </c>
      <c r="E9050">
        <v>14860</v>
      </c>
      <c r="F9050">
        <v>156275.06</v>
      </c>
      <c r="G9050">
        <v>0</v>
      </c>
      <c r="H9050">
        <v>0</v>
      </c>
      <c r="I9050">
        <v>0</v>
      </c>
      <c r="J9050">
        <v>0</v>
      </c>
      <c r="K9050">
        <v>0</v>
      </c>
      <c r="L9050">
        <v>65575164</v>
      </c>
      <c r="M9050">
        <v>65575164</v>
      </c>
      <c r="N9050">
        <v>26716164</v>
      </c>
      <c r="O9050">
        <v>26716164</v>
      </c>
      <c r="P9050">
        <v>65000000</v>
      </c>
      <c r="Q9050">
        <v>65000000</v>
      </c>
      <c r="R9050" s="14">
        <f>_xlfn.XLOOKUP(Table2[[#This Row],[LoanID]],Table1[G-L ID],Table1[ManagerCode],-99)</f>
        <v>220</v>
      </c>
      <c r="T9050"/>
    </row>
    <row r="9051" spans="1:20" x14ac:dyDescent="0.25">
      <c r="A9051">
        <v>20190531</v>
      </c>
      <c r="B9051">
        <v>2019</v>
      </c>
      <c r="C9051">
        <v>5</v>
      </c>
      <c r="D9051">
        <v>1</v>
      </c>
      <c r="E9051">
        <v>14870</v>
      </c>
      <c r="F9051">
        <v>605538.47</v>
      </c>
      <c r="G9051">
        <v>0</v>
      </c>
      <c r="H9051">
        <v>0</v>
      </c>
      <c r="I9051">
        <v>0</v>
      </c>
      <c r="J9051">
        <v>0</v>
      </c>
      <c r="K9051">
        <v>1000</v>
      </c>
      <c r="L9051">
        <v>121791293</v>
      </c>
      <c r="M9051">
        <v>121791293</v>
      </c>
      <c r="N9051">
        <v>121791293</v>
      </c>
      <c r="O9051">
        <v>121790293</v>
      </c>
      <c r="P9051">
        <v>121557000</v>
      </c>
      <c r="Q9051">
        <v>121557000</v>
      </c>
      <c r="R9051" s="14">
        <f>_xlfn.XLOOKUP(Table2[[#This Row],[LoanID]],Table1[G-L ID],Table1[ManagerCode],-99)</f>
        <v>220</v>
      </c>
      <c r="T9051"/>
    </row>
    <row r="9052" spans="1:20" x14ac:dyDescent="0.25">
      <c r="A9052">
        <v>20190531</v>
      </c>
      <c r="B9052">
        <v>2019</v>
      </c>
      <c r="C9052">
        <v>5</v>
      </c>
      <c r="D9052">
        <v>1</v>
      </c>
      <c r="E9052">
        <v>14880</v>
      </c>
      <c r="F9052">
        <v>130179.52</v>
      </c>
      <c r="G9052">
        <v>0</v>
      </c>
      <c r="H9052">
        <v>0</v>
      </c>
      <c r="I9052">
        <v>0</v>
      </c>
      <c r="J9052">
        <v>-1714154.37</v>
      </c>
      <c r="K9052">
        <v>0</v>
      </c>
      <c r="L9052">
        <v>18080261</v>
      </c>
      <c r="M9052">
        <v>19788331</v>
      </c>
      <c r="N9052">
        <v>18080261</v>
      </c>
      <c r="O9052">
        <v>19788331</v>
      </c>
      <c r="P9052">
        <v>17951257</v>
      </c>
      <c r="Q9052">
        <v>19665411.370000001</v>
      </c>
      <c r="R9052" s="14">
        <f>_xlfn.XLOOKUP(Table2[[#This Row],[LoanID]],Table1[G-L ID],Table1[ManagerCode],-99)</f>
        <v>220</v>
      </c>
      <c r="T9052"/>
    </row>
    <row r="9053" spans="1:20" x14ac:dyDescent="0.25">
      <c r="A9053">
        <v>20190531</v>
      </c>
      <c r="B9053">
        <v>2019</v>
      </c>
      <c r="C9053">
        <v>5</v>
      </c>
      <c r="D9053">
        <v>1</v>
      </c>
      <c r="E9053">
        <v>14890</v>
      </c>
      <c r="F9053">
        <v>58661.63</v>
      </c>
      <c r="G9053">
        <v>0</v>
      </c>
      <c r="H9053">
        <v>0</v>
      </c>
      <c r="I9053">
        <v>0</v>
      </c>
      <c r="J9053">
        <v>0</v>
      </c>
      <c r="K9053">
        <v>0</v>
      </c>
      <c r="L9053">
        <v>34000000</v>
      </c>
      <c r="M9053">
        <v>34000000</v>
      </c>
      <c r="N9053">
        <v>11900000</v>
      </c>
      <c r="O9053">
        <v>11900000</v>
      </c>
      <c r="P9053">
        <v>34000000</v>
      </c>
      <c r="Q9053">
        <v>34000000</v>
      </c>
      <c r="R9053" s="14">
        <f>_xlfn.XLOOKUP(Table2[[#This Row],[LoanID]],Table1[G-L ID],Table1[ManagerCode],-99)</f>
        <v>220</v>
      </c>
      <c r="T9053"/>
    </row>
    <row r="9054" spans="1:20" x14ac:dyDescent="0.25">
      <c r="A9054">
        <v>20190531</v>
      </c>
      <c r="B9054">
        <v>2019</v>
      </c>
      <c r="C9054">
        <v>5</v>
      </c>
      <c r="D9054">
        <v>1</v>
      </c>
      <c r="E9054">
        <v>14900</v>
      </c>
      <c r="F9054">
        <v>112638.26</v>
      </c>
      <c r="G9054">
        <v>0</v>
      </c>
      <c r="H9054">
        <v>0</v>
      </c>
      <c r="I9054">
        <v>0</v>
      </c>
      <c r="J9054">
        <v>0</v>
      </c>
      <c r="K9054">
        <v>0</v>
      </c>
      <c r="L9054">
        <v>64197984</v>
      </c>
      <c r="M9054">
        <v>64197984</v>
      </c>
      <c r="N9054">
        <v>22597984</v>
      </c>
      <c r="O9054">
        <v>22597984</v>
      </c>
      <c r="P9054">
        <v>64501934.359999999</v>
      </c>
      <c r="Q9054">
        <v>64501934.359999999</v>
      </c>
      <c r="R9054" s="14">
        <f>_xlfn.XLOOKUP(Table2[[#This Row],[LoanID]],Table1[G-L ID],Table1[ManagerCode],-99)</f>
        <v>220</v>
      </c>
      <c r="T9054"/>
    </row>
    <row r="9055" spans="1:20" x14ac:dyDescent="0.25">
      <c r="A9055">
        <v>20190531</v>
      </c>
      <c r="B9055">
        <v>2019</v>
      </c>
      <c r="C9055">
        <v>5</v>
      </c>
      <c r="D9055">
        <v>1</v>
      </c>
      <c r="E9055">
        <v>14910</v>
      </c>
      <c r="F9055">
        <v>68183.350000000006</v>
      </c>
      <c r="G9055">
        <v>0</v>
      </c>
      <c r="H9055">
        <v>0</v>
      </c>
      <c r="I9055">
        <v>0</v>
      </c>
      <c r="J9055">
        <v>0</v>
      </c>
      <c r="K9055">
        <v>0</v>
      </c>
      <c r="L9055">
        <v>38117796</v>
      </c>
      <c r="M9055">
        <v>38117796</v>
      </c>
      <c r="N9055">
        <v>11517796</v>
      </c>
      <c r="O9055">
        <v>11517796</v>
      </c>
      <c r="P9055">
        <v>38000000</v>
      </c>
      <c r="Q9055">
        <v>38000000</v>
      </c>
      <c r="R9055" s="14">
        <f>_xlfn.XLOOKUP(Table2[[#This Row],[LoanID]],Table1[G-L ID],Table1[ManagerCode],-99)</f>
        <v>220</v>
      </c>
      <c r="T9055"/>
    </row>
    <row r="9056" spans="1:20" x14ac:dyDescent="0.25">
      <c r="A9056">
        <v>20190531</v>
      </c>
      <c r="B9056">
        <v>2019</v>
      </c>
      <c r="C9056">
        <v>5</v>
      </c>
      <c r="D9056">
        <v>1</v>
      </c>
      <c r="E9056">
        <v>14920</v>
      </c>
      <c r="F9056">
        <v>124924.24</v>
      </c>
      <c r="G9056">
        <v>0</v>
      </c>
      <c r="H9056">
        <v>0</v>
      </c>
      <c r="I9056">
        <v>0</v>
      </c>
      <c r="J9056">
        <v>0</v>
      </c>
      <c r="K9056">
        <v>0</v>
      </c>
      <c r="L9056">
        <v>70211536</v>
      </c>
      <c r="M9056">
        <v>70211536</v>
      </c>
      <c r="N9056">
        <v>21211536</v>
      </c>
      <c r="O9056">
        <v>21211536</v>
      </c>
      <c r="P9056">
        <v>70000000</v>
      </c>
      <c r="Q9056">
        <v>70000000</v>
      </c>
      <c r="R9056" s="14">
        <f>_xlfn.XLOOKUP(Table2[[#This Row],[LoanID]],Table1[G-L ID],Table1[ManagerCode],-99)</f>
        <v>220</v>
      </c>
      <c r="T9056"/>
    </row>
    <row r="9057" spans="1:20" x14ac:dyDescent="0.25">
      <c r="A9057">
        <v>20190531</v>
      </c>
      <c r="B9057">
        <v>2019</v>
      </c>
      <c r="C9057">
        <v>5</v>
      </c>
      <c r="D9057">
        <v>1</v>
      </c>
      <c r="E9057">
        <v>14930</v>
      </c>
      <c r="F9057">
        <v>93781.13</v>
      </c>
      <c r="G9057">
        <v>0</v>
      </c>
      <c r="H9057">
        <v>0</v>
      </c>
      <c r="I9057">
        <v>0</v>
      </c>
      <c r="J9057">
        <v>0</v>
      </c>
      <c r="K9057">
        <v>0</v>
      </c>
      <c r="L9057">
        <v>55000000</v>
      </c>
      <c r="M9057">
        <v>55000000</v>
      </c>
      <c r="N9057">
        <v>19250000</v>
      </c>
      <c r="O9057">
        <v>19250000</v>
      </c>
      <c r="P9057">
        <v>55000000</v>
      </c>
      <c r="Q9057">
        <v>55000000</v>
      </c>
      <c r="R9057" s="14">
        <f>_xlfn.XLOOKUP(Table2[[#This Row],[LoanID]],Table1[G-L ID],Table1[ManagerCode],-99)</f>
        <v>220</v>
      </c>
      <c r="T9057"/>
    </row>
    <row r="9058" spans="1:20" x14ac:dyDescent="0.25">
      <c r="A9058">
        <v>20190531</v>
      </c>
      <c r="B9058">
        <v>2019</v>
      </c>
      <c r="C9058">
        <v>5</v>
      </c>
      <c r="D9058">
        <v>1</v>
      </c>
      <c r="E9058">
        <v>14940</v>
      </c>
      <c r="F9058">
        <v>137248.53</v>
      </c>
      <c r="G9058">
        <v>0</v>
      </c>
      <c r="H9058">
        <v>0</v>
      </c>
      <c r="I9058">
        <v>0</v>
      </c>
      <c r="J9058">
        <v>-1065155.26</v>
      </c>
      <c r="K9058">
        <v>0</v>
      </c>
      <c r="L9058">
        <v>69058061.459999993</v>
      </c>
      <c r="M9058">
        <v>69058061.459999993</v>
      </c>
      <c r="N9058">
        <v>31812064.48</v>
      </c>
      <c r="O9058">
        <v>31812064.48</v>
      </c>
      <c r="P9058">
        <v>67992906.200000003</v>
      </c>
      <c r="Q9058">
        <v>69058061.459999993</v>
      </c>
      <c r="R9058" s="14">
        <f>_xlfn.XLOOKUP(Table2[[#This Row],[LoanID]],Table1[G-L ID],Table1[ManagerCode],-99)</f>
        <v>220</v>
      </c>
      <c r="T9058"/>
    </row>
    <row r="9059" spans="1:20" x14ac:dyDescent="0.25">
      <c r="A9059">
        <v>20190531</v>
      </c>
      <c r="B9059">
        <v>2019</v>
      </c>
      <c r="C9059">
        <v>5</v>
      </c>
      <c r="D9059">
        <v>1</v>
      </c>
      <c r="E9059">
        <v>14950</v>
      </c>
      <c r="F9059">
        <v>218166.66</v>
      </c>
      <c r="G9059">
        <v>0</v>
      </c>
      <c r="H9059">
        <v>0</v>
      </c>
      <c r="I9059">
        <v>0</v>
      </c>
      <c r="J9059">
        <v>0</v>
      </c>
      <c r="K9059">
        <v>0</v>
      </c>
      <c r="L9059">
        <v>35000000</v>
      </c>
      <c r="M9059">
        <v>35000000</v>
      </c>
      <c r="N9059">
        <v>35000000</v>
      </c>
      <c r="O9059">
        <v>35000000</v>
      </c>
      <c r="P9059">
        <v>35000000</v>
      </c>
      <c r="Q9059">
        <v>35000000</v>
      </c>
      <c r="R9059" s="14">
        <f>_xlfn.XLOOKUP(Table2[[#This Row],[LoanID]],Table1[G-L ID],Table1[ManagerCode],-99)</f>
        <v>220</v>
      </c>
      <c r="T9059"/>
    </row>
    <row r="9060" spans="1:20" x14ac:dyDescent="0.25">
      <c r="A9060">
        <v>20190531</v>
      </c>
      <c r="B9060">
        <v>2019</v>
      </c>
      <c r="C9060">
        <v>5</v>
      </c>
      <c r="D9060">
        <v>1</v>
      </c>
      <c r="E9060">
        <v>14960</v>
      </c>
      <c r="F9060">
        <v>64495.56</v>
      </c>
      <c r="G9060">
        <v>0</v>
      </c>
      <c r="H9060">
        <v>0</v>
      </c>
      <c r="I9060">
        <v>0</v>
      </c>
      <c r="J9060">
        <v>0</v>
      </c>
      <c r="K9060">
        <v>1000</v>
      </c>
      <c r="L9060">
        <v>14888095</v>
      </c>
      <c r="M9060">
        <v>14888095</v>
      </c>
      <c r="N9060">
        <v>14888095</v>
      </c>
      <c r="O9060">
        <v>14887095</v>
      </c>
      <c r="P9060">
        <v>14805000</v>
      </c>
      <c r="Q9060">
        <v>14805000</v>
      </c>
      <c r="R9060" s="14">
        <f>_xlfn.XLOOKUP(Table2[[#This Row],[LoanID]],Table1[G-L ID],Table1[ManagerCode],-99)</f>
        <v>220</v>
      </c>
      <c r="T9060"/>
    </row>
    <row r="9061" spans="1:20" x14ac:dyDescent="0.25">
      <c r="A9061">
        <v>20190531</v>
      </c>
      <c r="B9061">
        <v>2019</v>
      </c>
      <c r="C9061">
        <v>5</v>
      </c>
      <c r="D9061">
        <v>1</v>
      </c>
      <c r="E9061">
        <v>14970</v>
      </c>
      <c r="F9061">
        <v>55625.62</v>
      </c>
      <c r="G9061">
        <v>0</v>
      </c>
      <c r="H9061">
        <v>0</v>
      </c>
      <c r="I9061">
        <v>0</v>
      </c>
      <c r="J9061">
        <v>0</v>
      </c>
      <c r="K9061">
        <v>0</v>
      </c>
      <c r="L9061">
        <v>29787156</v>
      </c>
      <c r="M9061">
        <v>29787156</v>
      </c>
      <c r="N9061">
        <v>10482156</v>
      </c>
      <c r="O9061">
        <v>10482156</v>
      </c>
      <c r="P9061">
        <v>29700000</v>
      </c>
      <c r="Q9061">
        <v>29700000</v>
      </c>
      <c r="R9061" s="14">
        <f>_xlfn.XLOOKUP(Table2[[#This Row],[LoanID]],Table1[G-L ID],Table1[ManagerCode],-99)</f>
        <v>220</v>
      </c>
      <c r="T9061"/>
    </row>
    <row r="9062" spans="1:20" x14ac:dyDescent="0.25">
      <c r="A9062">
        <v>20190531</v>
      </c>
      <c r="B9062">
        <v>2019</v>
      </c>
      <c r="C9062">
        <v>5</v>
      </c>
      <c r="D9062">
        <v>1</v>
      </c>
      <c r="E9062">
        <v>15030</v>
      </c>
      <c r="F9062">
        <v>98228.14</v>
      </c>
      <c r="G9062">
        <v>0</v>
      </c>
      <c r="H9062">
        <v>0</v>
      </c>
      <c r="I9062">
        <v>0</v>
      </c>
      <c r="J9062">
        <v>-142946.35999999999</v>
      </c>
      <c r="K9062">
        <v>0</v>
      </c>
      <c r="L9062">
        <v>39302298</v>
      </c>
      <c r="M9062">
        <v>39302298</v>
      </c>
      <c r="N9062">
        <v>14547580.59</v>
      </c>
      <c r="O9062">
        <v>14547580.59</v>
      </c>
      <c r="P9062">
        <v>39230957.859999999</v>
      </c>
      <c r="Q9062">
        <v>39373904.219999999</v>
      </c>
      <c r="R9062" s="14">
        <f>_xlfn.XLOOKUP(Table2[[#This Row],[LoanID]],Table1[G-L ID],Table1[ManagerCode],-99)</f>
        <v>220</v>
      </c>
      <c r="T9062"/>
    </row>
    <row r="9063" spans="1:20" x14ac:dyDescent="0.25">
      <c r="A9063">
        <v>20190531</v>
      </c>
      <c r="B9063">
        <v>2019</v>
      </c>
      <c r="C9063">
        <v>5</v>
      </c>
      <c r="D9063">
        <v>1</v>
      </c>
      <c r="E9063">
        <v>15540</v>
      </c>
      <c r="F9063">
        <v>272123.90000000002</v>
      </c>
      <c r="G9063">
        <v>11052.54</v>
      </c>
      <c r="H9063">
        <v>0</v>
      </c>
      <c r="I9063">
        <v>-1653.78</v>
      </c>
      <c r="J9063">
        <v>-610566.48</v>
      </c>
      <c r="K9063">
        <v>0</v>
      </c>
      <c r="L9063">
        <v>57282048.030000001</v>
      </c>
      <c r="M9063">
        <v>57903667.049999997</v>
      </c>
      <c r="N9063">
        <v>57282048.030000001</v>
      </c>
      <c r="O9063">
        <v>57903667.049999997</v>
      </c>
      <c r="P9063">
        <v>57282048.030000001</v>
      </c>
      <c r="Q9063">
        <v>57903667.049999997</v>
      </c>
      <c r="R9063" s="14">
        <f>_xlfn.XLOOKUP(Table2[[#This Row],[LoanID]],Table1[G-L ID],Table1[ManagerCode],-99)</f>
        <v>212</v>
      </c>
      <c r="T9063"/>
    </row>
    <row r="9064" spans="1:20" x14ac:dyDescent="0.25">
      <c r="A9064">
        <v>20190531</v>
      </c>
      <c r="B9064">
        <v>2019</v>
      </c>
      <c r="C9064">
        <v>5</v>
      </c>
      <c r="D9064">
        <v>1</v>
      </c>
      <c r="E9064">
        <v>15560</v>
      </c>
      <c r="F9064">
        <v>286541.67</v>
      </c>
      <c r="G9064">
        <v>7667.22</v>
      </c>
      <c r="H9064">
        <v>0</v>
      </c>
      <c r="I9064">
        <v>0</v>
      </c>
      <c r="J9064">
        <v>0</v>
      </c>
      <c r="K9064">
        <v>493500</v>
      </c>
      <c r="L9064">
        <v>50152908.340000004</v>
      </c>
      <c r="M9064">
        <v>49667075.560000002</v>
      </c>
      <c r="N9064">
        <v>50152908.340000004</v>
      </c>
      <c r="O9064">
        <v>49667075.560000002</v>
      </c>
      <c r="P9064">
        <v>50152908.340000004</v>
      </c>
      <c r="Q9064">
        <v>49667075.560000002</v>
      </c>
      <c r="R9064" s="14">
        <f>_xlfn.XLOOKUP(Table2[[#This Row],[LoanID]],Table1[G-L ID],Table1[ManagerCode],-99)</f>
        <v>212</v>
      </c>
      <c r="T9064"/>
    </row>
    <row r="9065" spans="1:20" x14ac:dyDescent="0.25">
      <c r="A9065">
        <v>20190531</v>
      </c>
      <c r="B9065">
        <v>2019</v>
      </c>
      <c r="C9065">
        <v>5</v>
      </c>
      <c r="D9065">
        <v>1</v>
      </c>
      <c r="E9065">
        <v>15580</v>
      </c>
      <c r="F9065">
        <v>111359.23</v>
      </c>
      <c r="G9065">
        <v>3616.06</v>
      </c>
      <c r="H9065">
        <v>0</v>
      </c>
      <c r="I9065">
        <v>0</v>
      </c>
      <c r="J9065">
        <v>0</v>
      </c>
      <c r="K9065">
        <v>12042.08</v>
      </c>
      <c r="L9065">
        <v>14557962.289999999</v>
      </c>
      <c r="M9065">
        <v>14549536.27</v>
      </c>
      <c r="N9065">
        <v>14557962.289999999</v>
      </c>
      <c r="O9065">
        <v>14549536.27</v>
      </c>
      <c r="P9065">
        <v>14557962.289999999</v>
      </c>
      <c r="Q9065">
        <v>14549536.27</v>
      </c>
      <c r="R9065" s="14">
        <f>_xlfn.XLOOKUP(Table2[[#This Row],[LoanID]],Table1[G-L ID],Table1[ManagerCode],-99)</f>
        <v>212</v>
      </c>
      <c r="T9065"/>
    </row>
    <row r="9066" spans="1:20" x14ac:dyDescent="0.25">
      <c r="A9066">
        <v>20190531</v>
      </c>
      <c r="B9066">
        <v>2019</v>
      </c>
      <c r="C9066">
        <v>5</v>
      </c>
      <c r="D9066">
        <v>1</v>
      </c>
      <c r="E9066">
        <v>15610</v>
      </c>
      <c r="F9066">
        <v>923875.3</v>
      </c>
      <c r="G9066">
        <v>33212.050000000003</v>
      </c>
      <c r="H9066">
        <v>0</v>
      </c>
      <c r="I9066">
        <v>-8835.84</v>
      </c>
      <c r="J9066">
        <v>-4181185.68</v>
      </c>
      <c r="K9066">
        <v>0</v>
      </c>
      <c r="L9066">
        <v>212984005.09999999</v>
      </c>
      <c r="M9066">
        <v>217198402.80000001</v>
      </c>
      <c r="N9066">
        <v>212984005.09999999</v>
      </c>
      <c r="O9066">
        <v>217198402.80000001</v>
      </c>
      <c r="P9066">
        <v>212984005.09999999</v>
      </c>
      <c r="Q9066">
        <v>217198402.80000001</v>
      </c>
      <c r="R9066" s="14">
        <f>_xlfn.XLOOKUP(Table2[[#This Row],[LoanID]],Table1[G-L ID],Table1[ManagerCode],-99)</f>
        <v>212</v>
      </c>
      <c r="T9066"/>
    </row>
    <row r="9067" spans="1:20" x14ac:dyDescent="0.25">
      <c r="A9067">
        <v>20190531</v>
      </c>
      <c r="B9067">
        <v>2019</v>
      </c>
      <c r="C9067">
        <v>5</v>
      </c>
      <c r="D9067">
        <v>1</v>
      </c>
      <c r="E9067">
        <v>15620</v>
      </c>
      <c r="F9067">
        <v>348018.38</v>
      </c>
      <c r="G9067">
        <v>10925.65</v>
      </c>
      <c r="H9067">
        <v>0</v>
      </c>
      <c r="I9067">
        <v>-3265.94</v>
      </c>
      <c r="J9067">
        <v>0</v>
      </c>
      <c r="K9067">
        <v>0</v>
      </c>
      <c r="L9067">
        <v>78730537.390000001</v>
      </c>
      <c r="M9067">
        <v>78741463.040000007</v>
      </c>
      <c r="N9067">
        <v>78730537.390000001</v>
      </c>
      <c r="O9067">
        <v>78741463.040000007</v>
      </c>
      <c r="P9067">
        <v>78730537.390000001</v>
      </c>
      <c r="Q9067">
        <v>78741463.040000007</v>
      </c>
      <c r="R9067" s="14">
        <f>_xlfn.XLOOKUP(Table2[[#This Row],[LoanID]],Table1[G-L ID],Table1[ManagerCode],-99)</f>
        <v>212</v>
      </c>
      <c r="T9067"/>
    </row>
    <row r="9068" spans="1:20" x14ac:dyDescent="0.25">
      <c r="A9068">
        <v>20190630</v>
      </c>
      <c r="B9068">
        <v>2019</v>
      </c>
      <c r="C9068">
        <v>6</v>
      </c>
      <c r="D9068">
        <v>1</v>
      </c>
      <c r="E9068">
        <v>10010</v>
      </c>
      <c r="F9068">
        <v>206759.21</v>
      </c>
      <c r="G9068">
        <v>0</v>
      </c>
      <c r="H9068">
        <v>0</v>
      </c>
      <c r="I9068">
        <v>0</v>
      </c>
      <c r="J9068">
        <v>0</v>
      </c>
      <c r="K9068">
        <v>30253.81</v>
      </c>
      <c r="L9068">
        <v>18199321.02</v>
      </c>
      <c r="M9068">
        <v>18169067.210000001</v>
      </c>
      <c r="N9068">
        <v>18199321.02</v>
      </c>
      <c r="O9068">
        <v>18169067.210000001</v>
      </c>
      <c r="P9068">
        <v>18199321.02</v>
      </c>
      <c r="Q9068">
        <v>18169067.210000001</v>
      </c>
      <c r="R9068" s="14">
        <f>_xlfn.XLOOKUP(Table2[[#This Row],[LoanID]],Table1[G-L ID],Table1[ManagerCode],-99)</f>
        <v>119</v>
      </c>
      <c r="T9068"/>
    </row>
    <row r="9069" spans="1:20" x14ac:dyDescent="0.25">
      <c r="A9069">
        <v>20190630</v>
      </c>
      <c r="B9069">
        <v>2019</v>
      </c>
      <c r="C9069">
        <v>6</v>
      </c>
      <c r="D9069">
        <v>1</v>
      </c>
      <c r="E9069">
        <v>10050</v>
      </c>
      <c r="F9069">
        <v>153981.01999999999</v>
      </c>
      <c r="G9069">
        <v>0</v>
      </c>
      <c r="H9069">
        <v>0</v>
      </c>
      <c r="I9069">
        <v>-69.45</v>
      </c>
      <c r="J9069">
        <v>0</v>
      </c>
      <c r="K9069">
        <v>0</v>
      </c>
      <c r="L9069">
        <v>37011339</v>
      </c>
      <c r="M9069">
        <v>37194386</v>
      </c>
      <c r="N9069">
        <v>37011339</v>
      </c>
      <c r="O9069">
        <v>37194386</v>
      </c>
      <c r="P9069">
        <v>33333334</v>
      </c>
      <c r="Q9069">
        <v>33333334</v>
      </c>
      <c r="R9069" s="14">
        <f>_xlfn.XLOOKUP(Table2[[#This Row],[LoanID]],Table1[G-L ID],Table1[ManagerCode],-99)</f>
        <v>103</v>
      </c>
      <c r="T9069"/>
    </row>
    <row r="9070" spans="1:20" x14ac:dyDescent="0.25">
      <c r="A9070">
        <v>20190630</v>
      </c>
      <c r="B9070">
        <v>2019</v>
      </c>
      <c r="C9070">
        <v>6</v>
      </c>
      <c r="D9070">
        <v>1</v>
      </c>
      <c r="E9070">
        <v>10220</v>
      </c>
      <c r="F9070">
        <v>0</v>
      </c>
      <c r="G9070">
        <v>0</v>
      </c>
      <c r="H9070">
        <v>0</v>
      </c>
      <c r="I9070">
        <v>0</v>
      </c>
      <c r="J9070">
        <v>0</v>
      </c>
      <c r="K9070">
        <v>0</v>
      </c>
      <c r="L9070">
        <v>109612930</v>
      </c>
      <c r="M9070">
        <v>109798680</v>
      </c>
      <c r="N9070">
        <v>109612930</v>
      </c>
      <c r="O9070">
        <v>109798680</v>
      </c>
      <c r="P9070">
        <v>100000000</v>
      </c>
      <c r="Q9070">
        <v>100000000</v>
      </c>
      <c r="R9070" s="14">
        <f>_xlfn.XLOOKUP(Table2[[#This Row],[LoanID]],Table1[G-L ID],Table1[ManagerCode],-99)</f>
        <v>103</v>
      </c>
      <c r="T9070"/>
    </row>
    <row r="9071" spans="1:20" x14ac:dyDescent="0.25">
      <c r="A9071">
        <v>20190630</v>
      </c>
      <c r="B9071">
        <v>2019</v>
      </c>
      <c r="C9071">
        <v>6</v>
      </c>
      <c r="D9071">
        <v>1</v>
      </c>
      <c r="E9071">
        <v>10270</v>
      </c>
      <c r="F9071">
        <v>52472</v>
      </c>
      <c r="G9071">
        <v>0</v>
      </c>
      <c r="H9071">
        <v>0</v>
      </c>
      <c r="I9071">
        <v>0</v>
      </c>
      <c r="J9071">
        <v>0</v>
      </c>
      <c r="K9071">
        <v>0</v>
      </c>
      <c r="L9071">
        <v>4500000</v>
      </c>
      <c r="M9071">
        <v>4500000</v>
      </c>
      <c r="N9071">
        <v>4500000</v>
      </c>
      <c r="O9071">
        <v>4500000</v>
      </c>
      <c r="P9071">
        <v>4500000</v>
      </c>
      <c r="Q9071">
        <v>4500000</v>
      </c>
      <c r="R9071" s="14">
        <f>_xlfn.XLOOKUP(Table2[[#This Row],[LoanID]],Table1[G-L ID],Table1[ManagerCode],-99)</f>
        <v>119</v>
      </c>
      <c r="T9071"/>
    </row>
    <row r="9072" spans="1:20" x14ac:dyDescent="0.25">
      <c r="A9072">
        <v>20190630</v>
      </c>
      <c r="B9072">
        <v>2019</v>
      </c>
      <c r="C9072">
        <v>6</v>
      </c>
      <c r="D9072">
        <v>1</v>
      </c>
      <c r="E9072">
        <v>10360</v>
      </c>
      <c r="F9072">
        <v>57858.96</v>
      </c>
      <c r="G9072">
        <v>0</v>
      </c>
      <c r="H9072">
        <v>0</v>
      </c>
      <c r="I9072">
        <v>0</v>
      </c>
      <c r="J9072">
        <v>0</v>
      </c>
      <c r="K9072">
        <v>0</v>
      </c>
      <c r="L9072">
        <v>5909000</v>
      </c>
      <c r="M9072">
        <v>5909000</v>
      </c>
      <c r="N9072">
        <v>5909000</v>
      </c>
      <c r="O9072">
        <v>5909000</v>
      </c>
      <c r="P9072">
        <v>5909000</v>
      </c>
      <c r="Q9072">
        <v>5909000</v>
      </c>
      <c r="R9072" s="14">
        <f>_xlfn.XLOOKUP(Table2[[#This Row],[LoanID]],Table1[G-L ID],Table1[ManagerCode],-99)</f>
        <v>183</v>
      </c>
      <c r="T9072"/>
    </row>
    <row r="9073" spans="1:20" x14ac:dyDescent="0.25">
      <c r="A9073">
        <v>20190630</v>
      </c>
      <c r="B9073">
        <v>2019</v>
      </c>
      <c r="C9073">
        <v>6</v>
      </c>
      <c r="D9073">
        <v>1</v>
      </c>
      <c r="E9073">
        <v>10730</v>
      </c>
      <c r="F9073">
        <v>115682.55</v>
      </c>
      <c r="G9073">
        <v>0</v>
      </c>
      <c r="H9073">
        <v>0</v>
      </c>
      <c r="I9073">
        <v>0</v>
      </c>
      <c r="J9073">
        <v>0</v>
      </c>
      <c r="K9073">
        <v>0</v>
      </c>
      <c r="L9073">
        <v>9500000</v>
      </c>
      <c r="M9073">
        <v>9500000</v>
      </c>
      <c r="N9073">
        <v>9500000</v>
      </c>
      <c r="O9073">
        <v>9500000</v>
      </c>
      <c r="P9073">
        <v>9500000</v>
      </c>
      <c r="Q9073">
        <v>9500000</v>
      </c>
      <c r="R9073" s="14">
        <f>_xlfn.XLOOKUP(Table2[[#This Row],[LoanID]],Table1[G-L ID],Table1[ManagerCode],-99)</f>
        <v>119</v>
      </c>
      <c r="T9073"/>
    </row>
    <row r="9074" spans="1:20" x14ac:dyDescent="0.25">
      <c r="A9074">
        <v>20190630</v>
      </c>
      <c r="B9074">
        <v>2019</v>
      </c>
      <c r="C9074">
        <v>6</v>
      </c>
      <c r="D9074">
        <v>1</v>
      </c>
      <c r="E9074">
        <v>10790</v>
      </c>
      <c r="F9074">
        <v>19612.72</v>
      </c>
      <c r="G9074">
        <v>0</v>
      </c>
      <c r="H9074">
        <v>0</v>
      </c>
      <c r="I9074">
        <v>0</v>
      </c>
      <c r="J9074">
        <v>0</v>
      </c>
      <c r="K9074">
        <v>49855.53</v>
      </c>
      <c r="L9074">
        <v>4251409</v>
      </c>
      <c r="M9074">
        <v>4200672</v>
      </c>
      <c r="N9074">
        <v>4251409</v>
      </c>
      <c r="O9074">
        <v>4200672</v>
      </c>
      <c r="P9074">
        <v>4187769.51</v>
      </c>
      <c r="Q9074">
        <v>4137913.98</v>
      </c>
      <c r="R9074" s="14">
        <f>_xlfn.XLOOKUP(Table2[[#This Row],[LoanID]],Table1[G-L ID],Table1[ManagerCode],-99)</f>
        <v>103</v>
      </c>
      <c r="T9074"/>
    </row>
    <row r="9075" spans="1:20" x14ac:dyDescent="0.25">
      <c r="A9075">
        <v>20190630</v>
      </c>
      <c r="B9075">
        <v>2019</v>
      </c>
      <c r="C9075">
        <v>6</v>
      </c>
      <c r="D9075">
        <v>1</v>
      </c>
      <c r="E9075">
        <v>10810</v>
      </c>
      <c r="F9075">
        <v>112968.17</v>
      </c>
      <c r="G9075">
        <v>0</v>
      </c>
      <c r="H9075">
        <v>0</v>
      </c>
      <c r="I9075">
        <v>0</v>
      </c>
      <c r="J9075">
        <v>0</v>
      </c>
      <c r="K9075">
        <v>0</v>
      </c>
      <c r="L9075">
        <v>10140000</v>
      </c>
      <c r="M9075">
        <v>10140000</v>
      </c>
      <c r="N9075">
        <v>10140000</v>
      </c>
      <c r="O9075">
        <v>10140000</v>
      </c>
      <c r="P9075">
        <v>10140000</v>
      </c>
      <c r="Q9075">
        <v>10140000</v>
      </c>
      <c r="R9075" s="14">
        <f>_xlfn.XLOOKUP(Table2[[#This Row],[LoanID]],Table1[G-L ID],Table1[ManagerCode],-99)</f>
        <v>119</v>
      </c>
      <c r="T9075"/>
    </row>
    <row r="9076" spans="1:20" x14ac:dyDescent="0.25">
      <c r="A9076">
        <v>20190630</v>
      </c>
      <c r="B9076">
        <v>2019</v>
      </c>
      <c r="C9076">
        <v>6</v>
      </c>
      <c r="D9076">
        <v>1</v>
      </c>
      <c r="E9076">
        <v>10830</v>
      </c>
      <c r="F9076">
        <v>63858</v>
      </c>
      <c r="G9076">
        <v>0</v>
      </c>
      <c r="H9076">
        <v>0</v>
      </c>
      <c r="I9076">
        <v>0</v>
      </c>
      <c r="J9076">
        <v>0</v>
      </c>
      <c r="K9076">
        <v>0</v>
      </c>
      <c r="L9076">
        <v>7806043.1399999997</v>
      </c>
      <c r="M9076">
        <v>7806043.1399999997</v>
      </c>
      <c r="N9076">
        <v>7806043.1399999997</v>
      </c>
      <c r="O9076">
        <v>7806043.1399999997</v>
      </c>
      <c r="P9076">
        <v>7806043.1399999997</v>
      </c>
      <c r="Q9076">
        <v>7806043.1399999997</v>
      </c>
      <c r="R9076" s="14">
        <f>_xlfn.XLOOKUP(Table2[[#This Row],[LoanID]],Table1[G-L ID],Table1[ManagerCode],-99)</f>
        <v>220</v>
      </c>
      <c r="T9076"/>
    </row>
    <row r="9077" spans="1:20" x14ac:dyDescent="0.25">
      <c r="A9077">
        <v>20190630</v>
      </c>
      <c r="B9077">
        <v>2019</v>
      </c>
      <c r="C9077">
        <v>6</v>
      </c>
      <c r="D9077">
        <v>1</v>
      </c>
      <c r="E9077">
        <v>10840</v>
      </c>
      <c r="F9077">
        <v>103968</v>
      </c>
      <c r="G9077">
        <v>0</v>
      </c>
      <c r="H9077">
        <v>0</v>
      </c>
      <c r="I9077">
        <v>0</v>
      </c>
      <c r="J9077">
        <v>0</v>
      </c>
      <c r="K9077">
        <v>0</v>
      </c>
      <c r="L9077">
        <v>12709189</v>
      </c>
      <c r="M9077">
        <v>12709189</v>
      </c>
      <c r="N9077">
        <v>12709189</v>
      </c>
      <c r="O9077">
        <v>12709189</v>
      </c>
      <c r="P9077">
        <v>12709189</v>
      </c>
      <c r="Q9077">
        <v>12709189</v>
      </c>
      <c r="R9077" s="14">
        <f>_xlfn.XLOOKUP(Table2[[#This Row],[LoanID]],Table1[G-L ID],Table1[ManagerCode],-99)</f>
        <v>220</v>
      </c>
      <c r="T9077"/>
    </row>
    <row r="9078" spans="1:20" x14ac:dyDescent="0.25">
      <c r="A9078">
        <v>20190630</v>
      </c>
      <c r="B9078">
        <v>2019</v>
      </c>
      <c r="C9078">
        <v>6</v>
      </c>
      <c r="D9078">
        <v>1</v>
      </c>
      <c r="E9078">
        <v>10910</v>
      </c>
      <c r="F9078">
        <v>27909.040000000001</v>
      </c>
      <c r="G9078">
        <v>0</v>
      </c>
      <c r="H9078">
        <v>56250</v>
      </c>
      <c r="I9078">
        <v>0</v>
      </c>
      <c r="J9078">
        <v>0</v>
      </c>
      <c r="K9078">
        <v>0</v>
      </c>
      <c r="L9078">
        <v>3075000</v>
      </c>
      <c r="M9078">
        <v>3075000</v>
      </c>
      <c r="N9078">
        <v>3075000</v>
      </c>
      <c r="O9078">
        <v>3075000</v>
      </c>
      <c r="P9078">
        <v>3075000</v>
      </c>
      <c r="Q9078">
        <v>3075000</v>
      </c>
      <c r="R9078" s="14">
        <f>_xlfn.XLOOKUP(Table2[[#This Row],[LoanID]],Table1[G-L ID],Table1[ManagerCode],-99)</f>
        <v>119</v>
      </c>
      <c r="T9078"/>
    </row>
    <row r="9079" spans="1:20" x14ac:dyDescent="0.25">
      <c r="A9079">
        <v>20190630</v>
      </c>
      <c r="B9079">
        <v>2019</v>
      </c>
      <c r="C9079">
        <v>6</v>
      </c>
      <c r="D9079">
        <v>1</v>
      </c>
      <c r="E9079">
        <v>11060</v>
      </c>
      <c r="F9079">
        <v>-130553.75</v>
      </c>
      <c r="G9079">
        <v>0</v>
      </c>
      <c r="H9079">
        <v>0</v>
      </c>
      <c r="I9079">
        <v>0</v>
      </c>
      <c r="J9079">
        <v>0</v>
      </c>
      <c r="K9079">
        <v>0</v>
      </c>
      <c r="L9079">
        <v>15000000</v>
      </c>
      <c r="M9079">
        <v>15000000</v>
      </c>
      <c r="N9079">
        <v>15000000</v>
      </c>
      <c r="O9079">
        <v>15000000</v>
      </c>
      <c r="P9079">
        <v>15000000</v>
      </c>
      <c r="Q9079">
        <v>15000000</v>
      </c>
      <c r="R9079" s="14">
        <f>_xlfn.XLOOKUP(Table2[[#This Row],[LoanID]],Table1[G-L ID],Table1[ManagerCode],-99)</f>
        <v>119</v>
      </c>
      <c r="T9079"/>
    </row>
    <row r="9080" spans="1:20" x14ac:dyDescent="0.25">
      <c r="A9080">
        <v>20190630</v>
      </c>
      <c r="B9080">
        <v>2019</v>
      </c>
      <c r="C9080">
        <v>6</v>
      </c>
      <c r="D9080">
        <v>1</v>
      </c>
      <c r="E9080">
        <v>11150</v>
      </c>
      <c r="F9080">
        <v>124480.52</v>
      </c>
      <c r="G9080">
        <v>0</v>
      </c>
      <c r="H9080">
        <v>0</v>
      </c>
      <c r="I9080">
        <v>0</v>
      </c>
      <c r="J9080">
        <v>0</v>
      </c>
      <c r="K9080">
        <v>0</v>
      </c>
      <c r="L9080">
        <v>9840573.1300000008</v>
      </c>
      <c r="M9080">
        <v>9840573.1300000008</v>
      </c>
      <c r="N9080">
        <v>9840573.1300000008</v>
      </c>
      <c r="O9080">
        <v>9840573.1300000008</v>
      </c>
      <c r="P9080">
        <v>9840573.1300000008</v>
      </c>
      <c r="Q9080">
        <v>9840573.1300000008</v>
      </c>
      <c r="R9080" s="14">
        <f>_xlfn.XLOOKUP(Table2[[#This Row],[LoanID]],Table1[G-L ID],Table1[ManagerCode],-99)</f>
        <v>119</v>
      </c>
      <c r="T9080"/>
    </row>
    <row r="9081" spans="1:20" x14ac:dyDescent="0.25">
      <c r="A9081">
        <v>20190630</v>
      </c>
      <c r="B9081">
        <v>2019</v>
      </c>
      <c r="C9081">
        <v>6</v>
      </c>
      <c r="D9081">
        <v>1</v>
      </c>
      <c r="E9081">
        <v>11210</v>
      </c>
      <c r="F9081">
        <v>78949.25</v>
      </c>
      <c r="G9081">
        <v>0</v>
      </c>
      <c r="H9081">
        <v>0</v>
      </c>
      <c r="I9081">
        <v>0</v>
      </c>
      <c r="J9081">
        <v>0</v>
      </c>
      <c r="K9081">
        <v>0</v>
      </c>
      <c r="L9081">
        <v>9500000</v>
      </c>
      <c r="M9081">
        <v>9500000</v>
      </c>
      <c r="N9081">
        <v>9500000</v>
      </c>
      <c r="O9081">
        <v>9500000</v>
      </c>
      <c r="P9081">
        <v>9500000</v>
      </c>
      <c r="Q9081">
        <v>9500000</v>
      </c>
      <c r="R9081" s="14">
        <f>_xlfn.XLOOKUP(Table2[[#This Row],[LoanID]],Table1[G-L ID],Table1[ManagerCode],-99)</f>
        <v>119</v>
      </c>
      <c r="T9081"/>
    </row>
    <row r="9082" spans="1:20" x14ac:dyDescent="0.25">
      <c r="A9082">
        <v>20190630</v>
      </c>
      <c r="B9082">
        <v>2019</v>
      </c>
      <c r="C9082">
        <v>6</v>
      </c>
      <c r="D9082">
        <v>1</v>
      </c>
      <c r="E9082">
        <v>11340</v>
      </c>
      <c r="F9082">
        <v>284206.65999999997</v>
      </c>
      <c r="G9082">
        <v>0</v>
      </c>
      <c r="H9082">
        <v>0</v>
      </c>
      <c r="I9082">
        <v>0</v>
      </c>
      <c r="J9082">
        <v>0</v>
      </c>
      <c r="K9082">
        <v>71736.27</v>
      </c>
      <c r="L9082">
        <v>51901078</v>
      </c>
      <c r="M9082">
        <v>51907707</v>
      </c>
      <c r="N9082">
        <v>51901078</v>
      </c>
      <c r="O9082">
        <v>51907707</v>
      </c>
      <c r="P9082">
        <v>47166120.219999999</v>
      </c>
      <c r="Q9082">
        <v>47077756.399999999</v>
      </c>
      <c r="R9082" s="14">
        <f>_xlfn.XLOOKUP(Table2[[#This Row],[LoanID]],Table1[G-L ID],Table1[ManagerCode],-99)</f>
        <v>103</v>
      </c>
      <c r="T9082"/>
    </row>
    <row r="9083" spans="1:20" x14ac:dyDescent="0.25">
      <c r="A9083">
        <v>20190630</v>
      </c>
      <c r="B9083">
        <v>2019</v>
      </c>
      <c r="C9083">
        <v>6</v>
      </c>
      <c r="D9083">
        <v>1</v>
      </c>
      <c r="E9083">
        <v>11360</v>
      </c>
      <c r="F9083">
        <v>78302.36</v>
      </c>
      <c r="G9083">
        <v>0</v>
      </c>
      <c r="H9083">
        <v>0</v>
      </c>
      <c r="I9083">
        <v>0</v>
      </c>
      <c r="J9083">
        <v>0</v>
      </c>
      <c r="K9083">
        <v>0</v>
      </c>
      <c r="L9083">
        <v>8705036</v>
      </c>
      <c r="M9083">
        <v>8705036</v>
      </c>
      <c r="N9083">
        <v>8705036</v>
      </c>
      <c r="O9083">
        <v>8705036</v>
      </c>
      <c r="P9083">
        <v>8705036</v>
      </c>
      <c r="Q9083">
        <v>8705036</v>
      </c>
      <c r="R9083" s="14">
        <f>_xlfn.XLOOKUP(Table2[[#This Row],[LoanID]],Table1[G-L ID],Table1[ManagerCode],-99)</f>
        <v>119</v>
      </c>
      <c r="T9083"/>
    </row>
    <row r="9084" spans="1:20" x14ac:dyDescent="0.25">
      <c r="A9084">
        <v>20190630</v>
      </c>
      <c r="B9084">
        <v>2019</v>
      </c>
      <c r="C9084">
        <v>6</v>
      </c>
      <c r="D9084">
        <v>1</v>
      </c>
      <c r="E9084">
        <v>11450</v>
      </c>
      <c r="F9084">
        <v>169947.6</v>
      </c>
      <c r="G9084">
        <v>0</v>
      </c>
      <c r="H9084">
        <v>0</v>
      </c>
      <c r="I9084">
        <v>0</v>
      </c>
      <c r="J9084">
        <v>0</v>
      </c>
      <c r="K9084">
        <v>17217002.82</v>
      </c>
      <c r="L9084">
        <v>17217002.82</v>
      </c>
      <c r="M9084">
        <v>0</v>
      </c>
      <c r="N9084">
        <v>17217002.82</v>
      </c>
      <c r="O9084">
        <v>0</v>
      </c>
      <c r="P9084">
        <v>17217002.82</v>
      </c>
      <c r="Q9084">
        <v>0</v>
      </c>
      <c r="R9084" s="14">
        <f>_xlfn.XLOOKUP(Table2[[#This Row],[LoanID]],Table1[G-L ID],Table1[ManagerCode],-99)</f>
        <v>119</v>
      </c>
      <c r="T9084"/>
    </row>
    <row r="9085" spans="1:20" x14ac:dyDescent="0.25">
      <c r="A9085">
        <v>20190630</v>
      </c>
      <c r="B9085">
        <v>2019</v>
      </c>
      <c r="C9085">
        <v>6</v>
      </c>
      <c r="D9085">
        <v>1</v>
      </c>
      <c r="E9085">
        <v>11520</v>
      </c>
      <c r="F9085">
        <v>62460.6</v>
      </c>
      <c r="G9085">
        <v>0</v>
      </c>
      <c r="H9085">
        <v>0</v>
      </c>
      <c r="I9085">
        <v>0</v>
      </c>
      <c r="J9085">
        <v>0</v>
      </c>
      <c r="K9085">
        <v>0</v>
      </c>
      <c r="L9085">
        <v>6074949.0099999998</v>
      </c>
      <c r="M9085">
        <v>6074949.0099999998</v>
      </c>
      <c r="N9085">
        <v>6074949.0099999998</v>
      </c>
      <c r="O9085">
        <v>6074949.0099999998</v>
      </c>
      <c r="P9085">
        <v>6074949.0099999998</v>
      </c>
      <c r="Q9085">
        <v>6074949.0099999998</v>
      </c>
      <c r="R9085" s="14">
        <f>_xlfn.XLOOKUP(Table2[[#This Row],[LoanID]],Table1[G-L ID],Table1[ManagerCode],-99)</f>
        <v>119</v>
      </c>
      <c r="T9085"/>
    </row>
    <row r="9086" spans="1:20" x14ac:dyDescent="0.25">
      <c r="A9086">
        <v>20190630</v>
      </c>
      <c r="B9086">
        <v>2019</v>
      </c>
      <c r="C9086">
        <v>6</v>
      </c>
      <c r="D9086">
        <v>1</v>
      </c>
      <c r="E9086">
        <v>11530</v>
      </c>
      <c r="F9086">
        <v>125162.5</v>
      </c>
      <c r="G9086">
        <v>0</v>
      </c>
      <c r="H9086">
        <v>0</v>
      </c>
      <c r="I9086">
        <v>0</v>
      </c>
      <c r="J9086">
        <v>0</v>
      </c>
      <c r="K9086">
        <v>0</v>
      </c>
      <c r="L9086">
        <v>15000000</v>
      </c>
      <c r="M9086">
        <v>15000000</v>
      </c>
      <c r="N9086">
        <v>15000000</v>
      </c>
      <c r="O9086">
        <v>15000000</v>
      </c>
      <c r="P9086">
        <v>15000000</v>
      </c>
      <c r="Q9086">
        <v>15000000</v>
      </c>
      <c r="R9086" s="14">
        <f>_xlfn.XLOOKUP(Table2[[#This Row],[LoanID]],Table1[G-L ID],Table1[ManagerCode],-99)</f>
        <v>119</v>
      </c>
      <c r="T9086"/>
    </row>
    <row r="9087" spans="1:20" x14ac:dyDescent="0.25">
      <c r="A9087">
        <v>20190630</v>
      </c>
      <c r="B9087">
        <v>2019</v>
      </c>
      <c r="C9087">
        <v>6</v>
      </c>
      <c r="D9087">
        <v>1</v>
      </c>
      <c r="E9087">
        <v>11680</v>
      </c>
      <c r="F9087">
        <v>50325.78</v>
      </c>
      <c r="G9087">
        <v>0</v>
      </c>
      <c r="H9087">
        <v>0</v>
      </c>
      <c r="I9087">
        <v>0</v>
      </c>
      <c r="J9087">
        <v>0</v>
      </c>
      <c r="K9087">
        <v>0</v>
      </c>
      <c r="L9087">
        <v>6600000</v>
      </c>
      <c r="M9087">
        <v>6600000</v>
      </c>
      <c r="N9087">
        <v>6600000</v>
      </c>
      <c r="O9087">
        <v>6600000</v>
      </c>
      <c r="P9087">
        <v>6600000</v>
      </c>
      <c r="Q9087">
        <v>6600000</v>
      </c>
      <c r="R9087" s="14">
        <f>_xlfn.XLOOKUP(Table2[[#This Row],[LoanID]],Table1[G-L ID],Table1[ManagerCode],-99)</f>
        <v>183</v>
      </c>
      <c r="T9087"/>
    </row>
    <row r="9088" spans="1:20" x14ac:dyDescent="0.25">
      <c r="A9088">
        <v>20190630</v>
      </c>
      <c r="B9088">
        <v>2019</v>
      </c>
      <c r="C9088">
        <v>6</v>
      </c>
      <c r="D9088">
        <v>1</v>
      </c>
      <c r="E9088">
        <v>11830</v>
      </c>
      <c r="F9088">
        <v>75481.98</v>
      </c>
      <c r="G9088">
        <v>0</v>
      </c>
      <c r="H9088">
        <v>0</v>
      </c>
      <c r="I9088">
        <v>0</v>
      </c>
      <c r="J9088">
        <v>0</v>
      </c>
      <c r="K9088">
        <v>277727.33</v>
      </c>
      <c r="L9088">
        <v>10807251.289999999</v>
      </c>
      <c r="M9088">
        <v>10529523.960000001</v>
      </c>
      <c r="N9088">
        <v>10807251.289999999</v>
      </c>
      <c r="O9088">
        <v>10529523.960000001</v>
      </c>
      <c r="P9088">
        <v>10807251.289999999</v>
      </c>
      <c r="Q9088">
        <v>10529523.960000001</v>
      </c>
      <c r="R9088" s="14">
        <f>_xlfn.XLOOKUP(Table2[[#This Row],[LoanID]],Table1[G-L ID],Table1[ManagerCode],-99)</f>
        <v>119</v>
      </c>
      <c r="T9088"/>
    </row>
    <row r="9089" spans="1:20" x14ac:dyDescent="0.25">
      <c r="A9089">
        <v>20190630</v>
      </c>
      <c r="B9089">
        <v>2019</v>
      </c>
      <c r="C9089">
        <v>6</v>
      </c>
      <c r="D9089">
        <v>1</v>
      </c>
      <c r="E9089">
        <v>12180</v>
      </c>
      <c r="F9089">
        <v>0</v>
      </c>
      <c r="G9089">
        <v>0</v>
      </c>
      <c r="H9089">
        <v>0</v>
      </c>
      <c r="I9089">
        <v>0</v>
      </c>
      <c r="J9089">
        <v>0</v>
      </c>
      <c r="K9089">
        <v>0</v>
      </c>
      <c r="L9089">
        <v>1</v>
      </c>
      <c r="M9089">
        <v>1</v>
      </c>
      <c r="N9089">
        <v>1</v>
      </c>
      <c r="O9089">
        <v>1</v>
      </c>
      <c r="P9089">
        <v>30909711</v>
      </c>
      <c r="Q9089">
        <v>31174705</v>
      </c>
      <c r="R9089" s="14">
        <f>_xlfn.XLOOKUP(Table2[[#This Row],[LoanID]],Table1[G-L ID],Table1[ManagerCode],-99)</f>
        <v>220</v>
      </c>
      <c r="T9089"/>
    </row>
    <row r="9090" spans="1:20" x14ac:dyDescent="0.25">
      <c r="A9090">
        <v>20190630</v>
      </c>
      <c r="B9090">
        <v>2019</v>
      </c>
      <c r="C9090">
        <v>6</v>
      </c>
      <c r="D9090">
        <v>1</v>
      </c>
      <c r="E9090">
        <v>12220</v>
      </c>
      <c r="F9090">
        <v>208491.71</v>
      </c>
      <c r="G9090">
        <v>0</v>
      </c>
      <c r="H9090">
        <v>0</v>
      </c>
      <c r="I9090">
        <v>0</v>
      </c>
      <c r="J9090">
        <v>0</v>
      </c>
      <c r="K9090">
        <v>0</v>
      </c>
      <c r="L9090">
        <v>54500000</v>
      </c>
      <c r="M9090">
        <v>54500000</v>
      </c>
      <c r="N9090">
        <v>27250000</v>
      </c>
      <c r="O9090">
        <v>27250000</v>
      </c>
      <c r="P9090">
        <v>54500000</v>
      </c>
      <c r="Q9090">
        <v>54500000</v>
      </c>
      <c r="R9090" s="14">
        <f>_xlfn.XLOOKUP(Table2[[#This Row],[LoanID]],Table1[G-L ID],Table1[ManagerCode],-99)</f>
        <v>183</v>
      </c>
      <c r="T9090"/>
    </row>
    <row r="9091" spans="1:20" x14ac:dyDescent="0.25">
      <c r="A9091">
        <v>20190630</v>
      </c>
      <c r="B9091">
        <v>2019</v>
      </c>
      <c r="C9091">
        <v>6</v>
      </c>
      <c r="D9091">
        <v>1</v>
      </c>
      <c r="E9091">
        <v>12250</v>
      </c>
      <c r="F9091">
        <v>89444.27</v>
      </c>
      <c r="G9091">
        <v>0</v>
      </c>
      <c r="H9091">
        <v>0</v>
      </c>
      <c r="I9091">
        <v>0</v>
      </c>
      <c r="J9091">
        <v>-482859.03</v>
      </c>
      <c r="K9091">
        <v>0</v>
      </c>
      <c r="L9091">
        <v>12146236.529999999</v>
      </c>
      <c r="M9091">
        <v>12629095.560000001</v>
      </c>
      <c r="N9091">
        <v>12146236.529999999</v>
      </c>
      <c r="O9091">
        <v>12629095.560000001</v>
      </c>
      <c r="P9091">
        <v>12146236.529999999</v>
      </c>
      <c r="Q9091">
        <v>12629095.560000001</v>
      </c>
      <c r="R9091" s="14">
        <f>_xlfn.XLOOKUP(Table2[[#This Row],[LoanID]],Table1[G-L ID],Table1[ManagerCode],-99)</f>
        <v>119</v>
      </c>
      <c r="T9091"/>
    </row>
    <row r="9092" spans="1:20" x14ac:dyDescent="0.25">
      <c r="A9092">
        <v>20190630</v>
      </c>
      <c r="B9092">
        <v>2019</v>
      </c>
      <c r="C9092">
        <v>6</v>
      </c>
      <c r="D9092">
        <v>1</v>
      </c>
      <c r="E9092">
        <v>12260</v>
      </c>
      <c r="F9092">
        <v>158461.42000000001</v>
      </c>
      <c r="G9092">
        <v>0</v>
      </c>
      <c r="H9092">
        <v>0</v>
      </c>
      <c r="I9092">
        <v>0</v>
      </c>
      <c r="J9092">
        <v>-3042290.39</v>
      </c>
      <c r="K9092">
        <v>0</v>
      </c>
      <c r="L9092">
        <v>16730524.23</v>
      </c>
      <c r="M9092">
        <v>19772814.620000001</v>
      </c>
      <c r="N9092">
        <v>16730524.23</v>
      </c>
      <c r="O9092">
        <v>19772814.620000001</v>
      </c>
      <c r="P9092">
        <v>16730524.23</v>
      </c>
      <c r="Q9092">
        <v>19772814.620000001</v>
      </c>
      <c r="R9092" s="14">
        <f>_xlfn.XLOOKUP(Table2[[#This Row],[LoanID]],Table1[G-L ID],Table1[ManagerCode],-99)</f>
        <v>119</v>
      </c>
      <c r="T9092"/>
    </row>
    <row r="9093" spans="1:20" x14ac:dyDescent="0.25">
      <c r="A9093">
        <v>20190630</v>
      </c>
      <c r="B9093">
        <v>2019</v>
      </c>
      <c r="C9093">
        <v>6</v>
      </c>
      <c r="D9093">
        <v>1</v>
      </c>
      <c r="E9093">
        <v>12280</v>
      </c>
      <c r="F9093">
        <v>198933.26</v>
      </c>
      <c r="G9093">
        <v>0</v>
      </c>
      <c r="H9093">
        <v>0</v>
      </c>
      <c r="I9093">
        <v>0</v>
      </c>
      <c r="J9093">
        <v>0</v>
      </c>
      <c r="K9093">
        <v>493281.5</v>
      </c>
      <c r="L9093">
        <v>18263802.390000001</v>
      </c>
      <c r="M9093">
        <v>17770520.890000001</v>
      </c>
      <c r="N9093">
        <v>18263802.390000001</v>
      </c>
      <c r="O9093">
        <v>17770520.890000001</v>
      </c>
      <c r="P9093">
        <v>18263802.390000001</v>
      </c>
      <c r="Q9093">
        <v>17770520.890000001</v>
      </c>
      <c r="R9093" s="14">
        <f>_xlfn.XLOOKUP(Table2[[#This Row],[LoanID]],Table1[G-L ID],Table1[ManagerCode],-99)</f>
        <v>119</v>
      </c>
      <c r="T9093"/>
    </row>
    <row r="9094" spans="1:20" x14ac:dyDescent="0.25">
      <c r="A9094">
        <v>20190630</v>
      </c>
      <c r="B9094">
        <v>2019</v>
      </c>
      <c r="C9094">
        <v>6</v>
      </c>
      <c r="D9094">
        <v>1</v>
      </c>
      <c r="E9094">
        <v>12310</v>
      </c>
      <c r="F9094">
        <v>98045.5</v>
      </c>
      <c r="G9094">
        <v>0</v>
      </c>
      <c r="H9094">
        <v>0</v>
      </c>
      <c r="I9094">
        <v>0</v>
      </c>
      <c r="J9094">
        <v>0</v>
      </c>
      <c r="K9094">
        <v>0</v>
      </c>
      <c r="L9094">
        <v>13100000</v>
      </c>
      <c r="M9094">
        <v>13100000</v>
      </c>
      <c r="N9094">
        <v>13100000</v>
      </c>
      <c r="O9094">
        <v>13100000</v>
      </c>
      <c r="P9094">
        <v>13100000</v>
      </c>
      <c r="Q9094">
        <v>13100000</v>
      </c>
      <c r="R9094" s="14">
        <f>_xlfn.XLOOKUP(Table2[[#This Row],[LoanID]],Table1[G-L ID],Table1[ManagerCode],-99)</f>
        <v>119</v>
      </c>
      <c r="T9094"/>
    </row>
    <row r="9095" spans="1:20" x14ac:dyDescent="0.25">
      <c r="A9095">
        <v>20190630</v>
      </c>
      <c r="B9095">
        <v>2019</v>
      </c>
      <c r="C9095">
        <v>6</v>
      </c>
      <c r="D9095">
        <v>1</v>
      </c>
      <c r="E9095">
        <v>12330</v>
      </c>
      <c r="F9095">
        <v>227135.02</v>
      </c>
      <c r="G9095">
        <v>0</v>
      </c>
      <c r="H9095">
        <v>0</v>
      </c>
      <c r="I9095">
        <v>0</v>
      </c>
      <c r="J9095">
        <v>0</v>
      </c>
      <c r="K9095">
        <v>0</v>
      </c>
      <c r="L9095">
        <v>19976500</v>
      </c>
      <c r="M9095">
        <v>19976500</v>
      </c>
      <c r="N9095">
        <v>19976500</v>
      </c>
      <c r="O9095">
        <v>19976500</v>
      </c>
      <c r="P9095">
        <v>19976500</v>
      </c>
      <c r="Q9095">
        <v>19976500</v>
      </c>
      <c r="R9095" s="14">
        <f>_xlfn.XLOOKUP(Table2[[#This Row],[LoanID]],Table1[G-L ID],Table1[ManagerCode],-99)</f>
        <v>119</v>
      </c>
      <c r="T9095"/>
    </row>
    <row r="9096" spans="1:20" x14ac:dyDescent="0.25">
      <c r="A9096">
        <v>20190630</v>
      </c>
      <c r="B9096">
        <v>2019</v>
      </c>
      <c r="C9096">
        <v>6</v>
      </c>
      <c r="D9096">
        <v>1</v>
      </c>
      <c r="E9096">
        <v>12340</v>
      </c>
      <c r="F9096">
        <v>59133.72</v>
      </c>
      <c r="G9096">
        <v>0</v>
      </c>
      <c r="H9096">
        <v>0</v>
      </c>
      <c r="I9096">
        <v>0</v>
      </c>
      <c r="J9096">
        <v>0</v>
      </c>
      <c r="K9096">
        <v>0</v>
      </c>
      <c r="L9096">
        <v>24180000</v>
      </c>
      <c r="M9096">
        <v>24180000</v>
      </c>
      <c r="N9096">
        <v>12180000</v>
      </c>
      <c r="O9096">
        <v>12180000</v>
      </c>
      <c r="P9096">
        <v>24180000</v>
      </c>
      <c r="Q9096">
        <v>24180000</v>
      </c>
      <c r="R9096" s="14">
        <f>_xlfn.XLOOKUP(Table2[[#This Row],[LoanID]],Table1[G-L ID],Table1[ManagerCode],-99)</f>
        <v>183</v>
      </c>
      <c r="T9096"/>
    </row>
    <row r="9097" spans="1:20" x14ac:dyDescent="0.25">
      <c r="A9097">
        <v>20190630</v>
      </c>
      <c r="B9097">
        <v>2019</v>
      </c>
      <c r="C9097">
        <v>6</v>
      </c>
      <c r="D9097">
        <v>1</v>
      </c>
      <c r="E9097">
        <v>12350</v>
      </c>
      <c r="F9097">
        <v>264736.19</v>
      </c>
      <c r="G9097">
        <v>0</v>
      </c>
      <c r="H9097">
        <v>0</v>
      </c>
      <c r="I9097">
        <v>0</v>
      </c>
      <c r="J9097">
        <v>-285763.65999999997</v>
      </c>
      <c r="K9097">
        <v>285763.65999999997</v>
      </c>
      <c r="L9097">
        <v>78414236.340000004</v>
      </c>
      <c r="M9097">
        <v>78700000</v>
      </c>
      <c r="N9097">
        <v>40914236.340000004</v>
      </c>
      <c r="O9097">
        <v>40914236.340000004</v>
      </c>
      <c r="P9097">
        <v>78414236.340000004</v>
      </c>
      <c r="Q9097">
        <v>78700000</v>
      </c>
      <c r="R9097" s="14">
        <f>_xlfn.XLOOKUP(Table2[[#This Row],[LoanID]],Table1[G-L ID],Table1[ManagerCode],-99)</f>
        <v>183</v>
      </c>
      <c r="T9097"/>
    </row>
    <row r="9098" spans="1:20" x14ac:dyDescent="0.25">
      <c r="A9098">
        <v>20190630</v>
      </c>
      <c r="B9098">
        <v>2019</v>
      </c>
      <c r="C9098">
        <v>6</v>
      </c>
      <c r="D9098">
        <v>1</v>
      </c>
      <c r="E9098">
        <v>12360</v>
      </c>
      <c r="F9098">
        <v>135136.46</v>
      </c>
      <c r="G9098">
        <v>0</v>
      </c>
      <c r="H9098">
        <v>0</v>
      </c>
      <c r="I9098">
        <v>0</v>
      </c>
      <c r="J9098">
        <v>0</v>
      </c>
      <c r="K9098">
        <v>0</v>
      </c>
      <c r="L9098">
        <v>60000000</v>
      </c>
      <c r="M9098">
        <v>60000000</v>
      </c>
      <c r="N9098">
        <v>19000000</v>
      </c>
      <c r="O9098">
        <v>19000000</v>
      </c>
      <c r="P9098">
        <v>60000000</v>
      </c>
      <c r="Q9098">
        <v>60000000</v>
      </c>
      <c r="R9098" s="14">
        <f>_xlfn.XLOOKUP(Table2[[#This Row],[LoanID]],Table1[G-L ID],Table1[ManagerCode],-99)</f>
        <v>183</v>
      </c>
      <c r="T9098"/>
    </row>
    <row r="9099" spans="1:20" x14ac:dyDescent="0.25">
      <c r="A9099">
        <v>20190630</v>
      </c>
      <c r="B9099">
        <v>2019</v>
      </c>
      <c r="C9099">
        <v>6</v>
      </c>
      <c r="D9099">
        <v>1</v>
      </c>
      <c r="E9099">
        <v>12370</v>
      </c>
      <c r="F9099">
        <v>304227.69</v>
      </c>
      <c r="G9099">
        <v>0</v>
      </c>
      <c r="H9099">
        <v>0</v>
      </c>
      <c r="I9099">
        <v>0</v>
      </c>
      <c r="J9099">
        <v>0</v>
      </c>
      <c r="K9099">
        <v>0</v>
      </c>
      <c r="L9099">
        <v>81600000</v>
      </c>
      <c r="M9099">
        <v>81600000</v>
      </c>
      <c r="N9099">
        <v>36461538.549999997</v>
      </c>
      <c r="O9099">
        <v>36461538.549999997</v>
      </c>
      <c r="P9099">
        <v>81600000</v>
      </c>
      <c r="Q9099">
        <v>81600000</v>
      </c>
      <c r="R9099" s="14">
        <f>_xlfn.XLOOKUP(Table2[[#This Row],[LoanID]],Table1[G-L ID],Table1[ManagerCode],-99)</f>
        <v>183</v>
      </c>
      <c r="T9099"/>
    </row>
    <row r="9100" spans="1:20" x14ac:dyDescent="0.25">
      <c r="A9100">
        <v>20190630</v>
      </c>
      <c r="B9100">
        <v>2019</v>
      </c>
      <c r="C9100">
        <v>6</v>
      </c>
      <c r="D9100">
        <v>1</v>
      </c>
      <c r="E9100">
        <v>12380</v>
      </c>
      <c r="F9100">
        <v>88925.49</v>
      </c>
      <c r="G9100">
        <v>0</v>
      </c>
      <c r="H9100">
        <v>0</v>
      </c>
      <c r="I9100">
        <v>0</v>
      </c>
      <c r="J9100">
        <v>0</v>
      </c>
      <c r="K9100">
        <v>0</v>
      </c>
      <c r="L9100">
        <v>32500000</v>
      </c>
      <c r="M9100">
        <v>32500000</v>
      </c>
      <c r="N9100">
        <v>12350000</v>
      </c>
      <c r="O9100">
        <v>12350000</v>
      </c>
      <c r="P9100">
        <v>32500000</v>
      </c>
      <c r="Q9100">
        <v>32500000</v>
      </c>
      <c r="R9100" s="14">
        <f>_xlfn.XLOOKUP(Table2[[#This Row],[LoanID]],Table1[G-L ID],Table1[ManagerCode],-99)</f>
        <v>183</v>
      </c>
      <c r="T9100"/>
    </row>
    <row r="9101" spans="1:20" x14ac:dyDescent="0.25">
      <c r="A9101">
        <v>20190630</v>
      </c>
      <c r="B9101">
        <v>2019</v>
      </c>
      <c r="C9101">
        <v>6</v>
      </c>
      <c r="D9101">
        <v>1</v>
      </c>
      <c r="E9101">
        <v>12390</v>
      </c>
      <c r="F9101">
        <v>1006394.61</v>
      </c>
      <c r="G9101">
        <v>565375.31000000006</v>
      </c>
      <c r="H9101">
        <v>0</v>
      </c>
      <c r="I9101">
        <v>0</v>
      </c>
      <c r="J9101">
        <v>-4264783.1100000003</v>
      </c>
      <c r="K9101">
        <v>0</v>
      </c>
      <c r="L9101">
        <v>139331573.80000001</v>
      </c>
      <c r="M9101">
        <v>144161732.19999999</v>
      </c>
      <c r="N9101">
        <v>139331573.80000001</v>
      </c>
      <c r="O9101">
        <v>144161732.19999999</v>
      </c>
      <c r="P9101">
        <v>139331573.80000001</v>
      </c>
      <c r="Q9101">
        <v>144161732.19999999</v>
      </c>
      <c r="R9101" s="14">
        <f>_xlfn.XLOOKUP(Table2[[#This Row],[LoanID]],Table1[G-L ID],Table1[ManagerCode],-99)</f>
        <v>183</v>
      </c>
      <c r="T9101"/>
    </row>
    <row r="9102" spans="1:20" x14ac:dyDescent="0.25">
      <c r="A9102">
        <v>20190630</v>
      </c>
      <c r="B9102">
        <v>2019</v>
      </c>
      <c r="C9102">
        <v>6</v>
      </c>
      <c r="D9102">
        <v>1</v>
      </c>
      <c r="E9102">
        <v>12400</v>
      </c>
      <c r="F9102">
        <v>241056.21</v>
      </c>
      <c r="G9102">
        <v>130349</v>
      </c>
      <c r="H9102">
        <v>0</v>
      </c>
      <c r="I9102">
        <v>0</v>
      </c>
      <c r="J9102">
        <v>-1691157.22</v>
      </c>
      <c r="K9102">
        <v>0</v>
      </c>
      <c r="L9102">
        <v>44949574.159999996</v>
      </c>
      <c r="M9102">
        <v>46771080.380000003</v>
      </c>
      <c r="N9102">
        <v>44949574.159999996</v>
      </c>
      <c r="O9102">
        <v>46771080.380000003</v>
      </c>
      <c r="P9102">
        <v>44949574.159999996</v>
      </c>
      <c r="Q9102">
        <v>46771080.380000003</v>
      </c>
      <c r="R9102" s="14">
        <f>_xlfn.XLOOKUP(Table2[[#This Row],[LoanID]],Table1[G-L ID],Table1[ManagerCode],-99)</f>
        <v>183</v>
      </c>
      <c r="T9102"/>
    </row>
    <row r="9103" spans="1:20" x14ac:dyDescent="0.25">
      <c r="A9103">
        <v>20190630</v>
      </c>
      <c r="B9103">
        <v>2019</v>
      </c>
      <c r="C9103">
        <v>6</v>
      </c>
      <c r="D9103">
        <v>1</v>
      </c>
      <c r="E9103">
        <v>12410</v>
      </c>
      <c r="F9103">
        <v>312500</v>
      </c>
      <c r="G9103">
        <v>292551.08</v>
      </c>
      <c r="H9103">
        <v>0</v>
      </c>
      <c r="I9103">
        <v>0</v>
      </c>
      <c r="J9103">
        <v>0</v>
      </c>
      <c r="K9103">
        <v>15000000</v>
      </c>
      <c r="L9103">
        <v>73871014</v>
      </c>
      <c r="M9103">
        <v>59400000</v>
      </c>
      <c r="N9103">
        <v>73871014</v>
      </c>
      <c r="O9103">
        <v>59400000</v>
      </c>
      <c r="P9103">
        <v>80388431.040000007</v>
      </c>
      <c r="Q9103">
        <v>65680982.119999997</v>
      </c>
      <c r="R9103" s="14">
        <f>_xlfn.XLOOKUP(Table2[[#This Row],[LoanID]],Table1[G-L ID],Table1[ManagerCode],-99)</f>
        <v>103</v>
      </c>
      <c r="T9103"/>
    </row>
    <row r="9104" spans="1:20" x14ac:dyDescent="0.25">
      <c r="A9104">
        <v>20190630</v>
      </c>
      <c r="B9104">
        <v>2019</v>
      </c>
      <c r="C9104">
        <v>6</v>
      </c>
      <c r="D9104">
        <v>1</v>
      </c>
      <c r="E9104">
        <v>12430</v>
      </c>
      <c r="F9104">
        <v>87915.01</v>
      </c>
      <c r="G9104">
        <v>0</v>
      </c>
      <c r="H9104">
        <v>0</v>
      </c>
      <c r="I9104">
        <v>0</v>
      </c>
      <c r="J9104">
        <v>-87915.01</v>
      </c>
      <c r="K9104">
        <v>0</v>
      </c>
      <c r="L9104">
        <v>24691405</v>
      </c>
      <c r="M9104">
        <v>24934233</v>
      </c>
      <c r="N9104">
        <v>24691405</v>
      </c>
      <c r="O9104">
        <v>24934233</v>
      </c>
      <c r="P9104">
        <v>26374503.109999999</v>
      </c>
      <c r="Q9104">
        <v>26462418.120000001</v>
      </c>
      <c r="R9104" s="14">
        <f>_xlfn.XLOOKUP(Table2[[#This Row],[LoanID]],Table1[G-L ID],Table1[ManagerCode],-99)</f>
        <v>103</v>
      </c>
      <c r="T9104"/>
    </row>
    <row r="9105" spans="1:20" x14ac:dyDescent="0.25">
      <c r="A9105">
        <v>20190630</v>
      </c>
      <c r="B9105">
        <v>2019</v>
      </c>
      <c r="C9105">
        <v>6</v>
      </c>
      <c r="D9105">
        <v>1</v>
      </c>
      <c r="E9105">
        <v>12440</v>
      </c>
      <c r="F9105">
        <v>27391.49</v>
      </c>
      <c r="G9105">
        <v>0</v>
      </c>
      <c r="H9105">
        <v>0</v>
      </c>
      <c r="I9105">
        <v>0</v>
      </c>
      <c r="J9105">
        <v>0</v>
      </c>
      <c r="K9105">
        <v>55974.78</v>
      </c>
      <c r="L9105">
        <v>3691585</v>
      </c>
      <c r="M9105">
        <v>3630649</v>
      </c>
      <c r="N9105">
        <v>3691585</v>
      </c>
      <c r="O9105">
        <v>3630649</v>
      </c>
      <c r="P9105">
        <v>3286978.65</v>
      </c>
      <c r="Q9105">
        <v>3231003.87</v>
      </c>
      <c r="R9105" s="14">
        <f>_xlfn.XLOOKUP(Table2[[#This Row],[LoanID]],Table1[G-L ID],Table1[ManagerCode],-99)</f>
        <v>103</v>
      </c>
      <c r="T9105"/>
    </row>
    <row r="9106" spans="1:20" x14ac:dyDescent="0.25">
      <c r="A9106">
        <v>20190630</v>
      </c>
      <c r="B9106">
        <v>2019</v>
      </c>
      <c r="C9106">
        <v>6</v>
      </c>
      <c r="D9106">
        <v>1</v>
      </c>
      <c r="E9106">
        <v>12450</v>
      </c>
      <c r="F9106">
        <v>73246.289999999994</v>
      </c>
      <c r="G9106">
        <v>38224.44</v>
      </c>
      <c r="H9106">
        <v>0</v>
      </c>
      <c r="I9106">
        <v>0</v>
      </c>
      <c r="J9106">
        <v>-269015.82</v>
      </c>
      <c r="K9106">
        <v>0</v>
      </c>
      <c r="L9106">
        <v>13950682.77</v>
      </c>
      <c r="M9106">
        <v>14257923.029999999</v>
      </c>
      <c r="N9106">
        <v>13950682.77</v>
      </c>
      <c r="O9106">
        <v>14257923.029999999</v>
      </c>
      <c r="P9106">
        <v>13950682.77</v>
      </c>
      <c r="Q9106">
        <v>14257923.029999999</v>
      </c>
      <c r="R9106" s="14">
        <f>_xlfn.XLOOKUP(Table2[[#This Row],[LoanID]],Table1[G-L ID],Table1[ManagerCode],-99)</f>
        <v>183</v>
      </c>
      <c r="T9106"/>
    </row>
    <row r="9107" spans="1:20" x14ac:dyDescent="0.25">
      <c r="A9107">
        <v>20190630</v>
      </c>
      <c r="B9107">
        <v>2019</v>
      </c>
      <c r="C9107">
        <v>6</v>
      </c>
      <c r="D9107">
        <v>1</v>
      </c>
      <c r="E9107">
        <v>12460</v>
      </c>
      <c r="F9107">
        <v>42250</v>
      </c>
      <c r="G9107">
        <v>50590.43</v>
      </c>
      <c r="H9107">
        <v>0</v>
      </c>
      <c r="I9107">
        <v>0</v>
      </c>
      <c r="J9107">
        <v>0</v>
      </c>
      <c r="K9107">
        <v>0</v>
      </c>
      <c r="L9107">
        <v>9284043.0399999991</v>
      </c>
      <c r="M9107">
        <v>9334633.4700000007</v>
      </c>
      <c r="N9107">
        <v>9284043.0399999991</v>
      </c>
      <c r="O9107">
        <v>9334633.4700000007</v>
      </c>
      <c r="P9107">
        <v>9284043.0399999991</v>
      </c>
      <c r="Q9107">
        <v>9334633.4700000007</v>
      </c>
      <c r="R9107" s="14">
        <f>_xlfn.XLOOKUP(Table2[[#This Row],[LoanID]],Table1[G-L ID],Table1[ManagerCode],-99)</f>
        <v>183</v>
      </c>
      <c r="T9107"/>
    </row>
    <row r="9108" spans="1:20" x14ac:dyDescent="0.25">
      <c r="A9108">
        <v>20190630</v>
      </c>
      <c r="B9108">
        <v>2019</v>
      </c>
      <c r="C9108">
        <v>6</v>
      </c>
      <c r="D9108">
        <v>1</v>
      </c>
      <c r="E9108">
        <v>12470</v>
      </c>
      <c r="F9108">
        <v>348641.77</v>
      </c>
      <c r="G9108">
        <v>0</v>
      </c>
      <c r="H9108">
        <v>0</v>
      </c>
      <c r="I9108">
        <v>0</v>
      </c>
      <c r="J9108">
        <v>0</v>
      </c>
      <c r="K9108">
        <v>0</v>
      </c>
      <c r="L9108">
        <v>115000000</v>
      </c>
      <c r="M9108">
        <v>115000000</v>
      </c>
      <c r="N9108">
        <v>46000000</v>
      </c>
      <c r="O9108">
        <v>46000000</v>
      </c>
      <c r="P9108">
        <v>115000000</v>
      </c>
      <c r="Q9108">
        <v>115000000</v>
      </c>
      <c r="R9108" s="14">
        <f>_xlfn.XLOOKUP(Table2[[#This Row],[LoanID]],Table1[G-L ID],Table1[ManagerCode],-99)</f>
        <v>183</v>
      </c>
      <c r="T9108"/>
    </row>
    <row r="9109" spans="1:20" x14ac:dyDescent="0.25">
      <c r="A9109">
        <v>20190630</v>
      </c>
      <c r="B9109">
        <v>2019</v>
      </c>
      <c r="C9109">
        <v>6</v>
      </c>
      <c r="D9109">
        <v>1</v>
      </c>
      <c r="E9109">
        <v>12490</v>
      </c>
      <c r="F9109">
        <v>140316.15</v>
      </c>
      <c r="G9109">
        <v>0</v>
      </c>
      <c r="H9109">
        <v>0</v>
      </c>
      <c r="I9109">
        <v>0</v>
      </c>
      <c r="J9109">
        <v>0</v>
      </c>
      <c r="K9109">
        <v>0</v>
      </c>
      <c r="L9109">
        <v>50200000</v>
      </c>
      <c r="M9109">
        <v>50200000</v>
      </c>
      <c r="N9109">
        <v>19600000</v>
      </c>
      <c r="O9109">
        <v>19600000</v>
      </c>
      <c r="P9109">
        <v>50200000</v>
      </c>
      <c r="Q9109">
        <v>50200000</v>
      </c>
      <c r="R9109" s="14">
        <f>_xlfn.XLOOKUP(Table2[[#This Row],[LoanID]],Table1[G-L ID],Table1[ManagerCode],-99)</f>
        <v>183</v>
      </c>
      <c r="T9109"/>
    </row>
    <row r="9110" spans="1:20" x14ac:dyDescent="0.25">
      <c r="A9110">
        <v>20190630</v>
      </c>
      <c r="B9110">
        <v>2019</v>
      </c>
      <c r="C9110">
        <v>6</v>
      </c>
      <c r="D9110">
        <v>1</v>
      </c>
      <c r="E9110">
        <v>12510</v>
      </c>
      <c r="F9110">
        <v>327026.36</v>
      </c>
      <c r="G9110">
        <v>0</v>
      </c>
      <c r="H9110">
        <v>0</v>
      </c>
      <c r="I9110">
        <v>0</v>
      </c>
      <c r="J9110">
        <v>0</v>
      </c>
      <c r="K9110">
        <v>0</v>
      </c>
      <c r="L9110">
        <v>131500000</v>
      </c>
      <c r="M9110">
        <v>131500000</v>
      </c>
      <c r="N9110">
        <v>46025000</v>
      </c>
      <c r="O9110">
        <v>46025000</v>
      </c>
      <c r="P9110">
        <v>131500000</v>
      </c>
      <c r="Q9110">
        <v>131500000</v>
      </c>
      <c r="R9110" s="14">
        <f>_xlfn.XLOOKUP(Table2[[#This Row],[LoanID]],Table1[G-L ID],Table1[ManagerCode],-99)</f>
        <v>183</v>
      </c>
      <c r="T9110"/>
    </row>
    <row r="9111" spans="1:20" x14ac:dyDescent="0.25">
      <c r="A9111">
        <v>20190630</v>
      </c>
      <c r="B9111">
        <v>2019</v>
      </c>
      <c r="C9111">
        <v>6</v>
      </c>
      <c r="D9111">
        <v>1</v>
      </c>
      <c r="E9111">
        <v>12520</v>
      </c>
      <c r="F9111">
        <v>194440.91</v>
      </c>
      <c r="G9111">
        <v>0</v>
      </c>
      <c r="H9111">
        <v>0</v>
      </c>
      <c r="I9111">
        <v>0</v>
      </c>
      <c r="J9111">
        <v>-863296.24</v>
      </c>
      <c r="K9111">
        <v>0</v>
      </c>
      <c r="L9111">
        <v>46985581.969999999</v>
      </c>
      <c r="M9111">
        <v>47848878.210000001</v>
      </c>
      <c r="N9111">
        <v>22235581.969999999</v>
      </c>
      <c r="O9111">
        <v>23098878.210000001</v>
      </c>
      <c r="P9111">
        <v>46985581.969999999</v>
      </c>
      <c r="Q9111">
        <v>47848878.210000001</v>
      </c>
      <c r="R9111" s="14">
        <f>_xlfn.XLOOKUP(Table2[[#This Row],[LoanID]],Table1[G-L ID],Table1[ManagerCode],-99)</f>
        <v>183</v>
      </c>
      <c r="T9111"/>
    </row>
    <row r="9112" spans="1:20" x14ac:dyDescent="0.25">
      <c r="A9112">
        <v>20190630</v>
      </c>
      <c r="B9112">
        <v>2019</v>
      </c>
      <c r="C9112">
        <v>6</v>
      </c>
      <c r="D9112">
        <v>1</v>
      </c>
      <c r="E9112">
        <v>12530</v>
      </c>
      <c r="F9112">
        <v>166644.70000000001</v>
      </c>
      <c r="G9112">
        <v>0</v>
      </c>
      <c r="H9112">
        <v>0</v>
      </c>
      <c r="I9112">
        <v>0</v>
      </c>
      <c r="J9112">
        <v>0</v>
      </c>
      <c r="K9112">
        <v>0</v>
      </c>
      <c r="L9112">
        <v>19875000</v>
      </c>
      <c r="M9112">
        <v>19875000</v>
      </c>
      <c r="N9112">
        <v>19875000</v>
      </c>
      <c r="O9112">
        <v>19875000</v>
      </c>
      <c r="P9112">
        <v>19875000</v>
      </c>
      <c r="Q9112">
        <v>19875000</v>
      </c>
      <c r="R9112" s="14">
        <f>_xlfn.XLOOKUP(Table2[[#This Row],[LoanID]],Table1[G-L ID],Table1[ManagerCode],-99)</f>
        <v>119</v>
      </c>
      <c r="T9112"/>
    </row>
    <row r="9113" spans="1:20" x14ac:dyDescent="0.25">
      <c r="A9113">
        <v>20190630</v>
      </c>
      <c r="B9113">
        <v>2019</v>
      </c>
      <c r="C9113">
        <v>6</v>
      </c>
      <c r="D9113">
        <v>1</v>
      </c>
      <c r="E9113">
        <v>12540</v>
      </c>
      <c r="F9113">
        <v>151601.31</v>
      </c>
      <c r="G9113">
        <v>0</v>
      </c>
      <c r="H9113">
        <v>0</v>
      </c>
      <c r="I9113">
        <v>0</v>
      </c>
      <c r="J9113">
        <v>0</v>
      </c>
      <c r="K9113">
        <v>0</v>
      </c>
      <c r="L9113">
        <v>15785271.65</v>
      </c>
      <c r="M9113">
        <v>15785271.65</v>
      </c>
      <c r="N9113">
        <v>15785271.65</v>
      </c>
      <c r="O9113">
        <v>15785271.65</v>
      </c>
      <c r="P9113">
        <v>15785271.65</v>
      </c>
      <c r="Q9113">
        <v>15785271.65</v>
      </c>
      <c r="R9113" s="14">
        <f>_xlfn.XLOOKUP(Table2[[#This Row],[LoanID]],Table1[G-L ID],Table1[ManagerCode],-99)</f>
        <v>119</v>
      </c>
      <c r="T9113"/>
    </row>
    <row r="9114" spans="1:20" x14ac:dyDescent="0.25">
      <c r="A9114">
        <v>20190630</v>
      </c>
      <c r="B9114">
        <v>2019</v>
      </c>
      <c r="C9114">
        <v>6</v>
      </c>
      <c r="D9114">
        <v>1</v>
      </c>
      <c r="E9114">
        <v>12550</v>
      </c>
      <c r="F9114">
        <v>79532.31</v>
      </c>
      <c r="G9114">
        <v>0</v>
      </c>
      <c r="H9114">
        <v>0</v>
      </c>
      <c r="I9114">
        <v>0</v>
      </c>
      <c r="J9114">
        <v>0</v>
      </c>
      <c r="K9114">
        <v>0</v>
      </c>
      <c r="L9114">
        <v>7416099.1500000004</v>
      </c>
      <c r="M9114">
        <v>7416099.1500000004</v>
      </c>
      <c r="N9114">
        <v>7416099.1500000004</v>
      </c>
      <c r="O9114">
        <v>7416099.1500000004</v>
      </c>
      <c r="P9114">
        <v>7416099.1500000004</v>
      </c>
      <c r="Q9114">
        <v>7416099.1500000004</v>
      </c>
      <c r="R9114" s="14">
        <f>_xlfn.XLOOKUP(Table2[[#This Row],[LoanID]],Table1[G-L ID],Table1[ManagerCode],-99)</f>
        <v>119</v>
      </c>
      <c r="T9114"/>
    </row>
    <row r="9115" spans="1:20" x14ac:dyDescent="0.25">
      <c r="A9115">
        <v>20190630</v>
      </c>
      <c r="B9115">
        <v>2019</v>
      </c>
      <c r="C9115">
        <v>6</v>
      </c>
      <c r="D9115">
        <v>1</v>
      </c>
      <c r="E9115">
        <v>12560</v>
      </c>
      <c r="F9115">
        <v>194556.79</v>
      </c>
      <c r="G9115">
        <v>0</v>
      </c>
      <c r="H9115">
        <v>52162.28</v>
      </c>
      <c r="I9115">
        <v>0</v>
      </c>
      <c r="J9115">
        <v>-719907.28</v>
      </c>
      <c r="K9115">
        <v>0</v>
      </c>
      <c r="L9115">
        <v>24999021.940000001</v>
      </c>
      <c r="M9115">
        <v>25718929.219999999</v>
      </c>
      <c r="N9115">
        <v>24999021.940000001</v>
      </c>
      <c r="O9115">
        <v>25718929.219999999</v>
      </c>
      <c r="P9115">
        <v>24999021.940000001</v>
      </c>
      <c r="Q9115">
        <v>25718929.219999999</v>
      </c>
      <c r="R9115" s="14">
        <f>_xlfn.XLOOKUP(Table2[[#This Row],[LoanID]],Table1[G-L ID],Table1[ManagerCode],-99)</f>
        <v>119</v>
      </c>
      <c r="T9115"/>
    </row>
    <row r="9116" spans="1:20" x14ac:dyDescent="0.25">
      <c r="A9116">
        <v>20190630</v>
      </c>
      <c r="B9116">
        <v>2019</v>
      </c>
      <c r="C9116">
        <v>6</v>
      </c>
      <c r="D9116">
        <v>1</v>
      </c>
      <c r="E9116">
        <v>12570</v>
      </c>
      <c r="F9116">
        <v>101965.96</v>
      </c>
      <c r="G9116">
        <v>0</v>
      </c>
      <c r="H9116">
        <v>0</v>
      </c>
      <c r="I9116">
        <v>0</v>
      </c>
      <c r="J9116">
        <v>-998041.27</v>
      </c>
      <c r="K9116">
        <v>0</v>
      </c>
      <c r="L9116">
        <v>8929970.6600000001</v>
      </c>
      <c r="M9116">
        <v>9928011.9299999997</v>
      </c>
      <c r="N9116">
        <v>8929970.6600000001</v>
      </c>
      <c r="O9116">
        <v>9928011.9299999997</v>
      </c>
      <c r="P9116">
        <v>8929970.6600000001</v>
      </c>
      <c r="Q9116">
        <v>9928011.9299999997</v>
      </c>
      <c r="R9116" s="14">
        <f>_xlfn.XLOOKUP(Table2[[#This Row],[LoanID]],Table1[G-L ID],Table1[ManagerCode],-99)</f>
        <v>119</v>
      </c>
      <c r="T9116"/>
    </row>
    <row r="9117" spans="1:20" x14ac:dyDescent="0.25">
      <c r="A9117">
        <v>20190630</v>
      </c>
      <c r="B9117">
        <v>2019</v>
      </c>
      <c r="C9117">
        <v>6</v>
      </c>
      <c r="D9117">
        <v>1</v>
      </c>
      <c r="E9117">
        <v>12580</v>
      </c>
      <c r="F9117">
        <v>259376.83</v>
      </c>
      <c r="G9117">
        <v>0</v>
      </c>
      <c r="H9117">
        <v>0</v>
      </c>
      <c r="I9117">
        <v>0</v>
      </c>
      <c r="J9117">
        <v>-4336476.42</v>
      </c>
      <c r="K9117">
        <v>0</v>
      </c>
      <c r="L9117">
        <v>24803474.010000002</v>
      </c>
      <c r="M9117">
        <v>29139950.43</v>
      </c>
      <c r="N9117">
        <v>24803474.010000002</v>
      </c>
      <c r="O9117">
        <v>29139950.43</v>
      </c>
      <c r="P9117">
        <v>24803474.010000002</v>
      </c>
      <c r="Q9117">
        <v>29139950.43</v>
      </c>
      <c r="R9117" s="14">
        <f>_xlfn.XLOOKUP(Table2[[#This Row],[LoanID]],Table1[G-L ID],Table1[ManagerCode],-99)</f>
        <v>119</v>
      </c>
      <c r="T9117"/>
    </row>
    <row r="9118" spans="1:20" x14ac:dyDescent="0.25">
      <c r="A9118">
        <v>20190630</v>
      </c>
      <c r="B9118">
        <v>2019</v>
      </c>
      <c r="C9118">
        <v>6</v>
      </c>
      <c r="D9118">
        <v>1</v>
      </c>
      <c r="E9118">
        <v>12590</v>
      </c>
      <c r="F9118">
        <v>71920</v>
      </c>
      <c r="G9118">
        <v>0</v>
      </c>
      <c r="H9118">
        <v>0</v>
      </c>
      <c r="I9118">
        <v>0</v>
      </c>
      <c r="J9118">
        <v>0</v>
      </c>
      <c r="K9118">
        <v>0</v>
      </c>
      <c r="L9118">
        <v>8000000</v>
      </c>
      <c r="M9118">
        <v>8000000</v>
      </c>
      <c r="N9118">
        <v>8000000</v>
      </c>
      <c r="O9118">
        <v>8000000</v>
      </c>
      <c r="P9118">
        <v>8000000</v>
      </c>
      <c r="Q9118">
        <v>8000000</v>
      </c>
      <c r="R9118" s="14">
        <f>_xlfn.XLOOKUP(Table2[[#This Row],[LoanID]],Table1[G-L ID],Table1[ManagerCode],-99)</f>
        <v>119</v>
      </c>
      <c r="T9118"/>
    </row>
    <row r="9119" spans="1:20" x14ac:dyDescent="0.25">
      <c r="A9119">
        <v>20190630</v>
      </c>
      <c r="B9119">
        <v>2019</v>
      </c>
      <c r="C9119">
        <v>6</v>
      </c>
      <c r="D9119">
        <v>1</v>
      </c>
      <c r="E9119">
        <v>12600</v>
      </c>
      <c r="F9119">
        <v>256641.25</v>
      </c>
      <c r="G9119">
        <v>0</v>
      </c>
      <c r="H9119">
        <v>0</v>
      </c>
      <c r="I9119">
        <v>0</v>
      </c>
      <c r="J9119">
        <v>0</v>
      </c>
      <c r="K9119">
        <v>0</v>
      </c>
      <c r="L9119">
        <v>27750000</v>
      </c>
      <c r="M9119">
        <v>27750000</v>
      </c>
      <c r="N9119">
        <v>27750000</v>
      </c>
      <c r="O9119">
        <v>27750000</v>
      </c>
      <c r="P9119">
        <v>27750000</v>
      </c>
      <c r="Q9119">
        <v>27750000</v>
      </c>
      <c r="R9119" s="14">
        <f>_xlfn.XLOOKUP(Table2[[#This Row],[LoanID]],Table1[G-L ID],Table1[ManagerCode],-99)</f>
        <v>119</v>
      </c>
      <c r="T9119"/>
    </row>
    <row r="9120" spans="1:20" x14ac:dyDescent="0.25">
      <c r="A9120">
        <v>20190630</v>
      </c>
      <c r="B9120">
        <v>2019</v>
      </c>
      <c r="C9120">
        <v>6</v>
      </c>
      <c r="D9120">
        <v>1</v>
      </c>
      <c r="E9120">
        <v>12610</v>
      </c>
      <c r="F9120">
        <v>85645.32</v>
      </c>
      <c r="G9120">
        <v>0</v>
      </c>
      <c r="H9120">
        <v>0</v>
      </c>
      <c r="I9120">
        <v>0</v>
      </c>
      <c r="J9120">
        <v>-674499.5</v>
      </c>
      <c r="K9120">
        <v>0</v>
      </c>
      <c r="L9120">
        <v>9305225.2899999991</v>
      </c>
      <c r="M9120">
        <v>9979724.7899999991</v>
      </c>
      <c r="N9120">
        <v>9305225.2899999991</v>
      </c>
      <c r="O9120">
        <v>9979724.7899999991</v>
      </c>
      <c r="P9120">
        <v>9305225.2899999991</v>
      </c>
      <c r="Q9120">
        <v>9979724.7899999991</v>
      </c>
      <c r="R9120" s="14">
        <f>_xlfn.XLOOKUP(Table2[[#This Row],[LoanID]],Table1[G-L ID],Table1[ManagerCode],-99)</f>
        <v>119</v>
      </c>
      <c r="T9120"/>
    </row>
    <row r="9121" spans="1:20" x14ac:dyDescent="0.25">
      <c r="A9121">
        <v>20190630</v>
      </c>
      <c r="B9121">
        <v>2019</v>
      </c>
      <c r="C9121">
        <v>6</v>
      </c>
      <c r="D9121">
        <v>1</v>
      </c>
      <c r="E9121">
        <v>12620</v>
      </c>
      <c r="F9121">
        <v>16649.7</v>
      </c>
      <c r="G9121">
        <v>0</v>
      </c>
      <c r="H9121">
        <v>0</v>
      </c>
      <c r="I9121">
        <v>0</v>
      </c>
      <c r="J9121">
        <v>0</v>
      </c>
      <c r="K9121">
        <v>0</v>
      </c>
      <c r="L9121">
        <v>1661094.29</v>
      </c>
      <c r="M9121">
        <v>1661094.29</v>
      </c>
      <c r="N9121">
        <v>1661094.29</v>
      </c>
      <c r="O9121">
        <v>1661094.29</v>
      </c>
      <c r="P9121">
        <v>1661094.29</v>
      </c>
      <c r="Q9121">
        <v>1661094.29</v>
      </c>
      <c r="R9121" s="14">
        <f>_xlfn.XLOOKUP(Table2[[#This Row],[LoanID]],Table1[G-L ID],Table1[ManagerCode],-99)</f>
        <v>119</v>
      </c>
      <c r="T9121"/>
    </row>
    <row r="9122" spans="1:20" x14ac:dyDescent="0.25">
      <c r="A9122">
        <v>20190630</v>
      </c>
      <c r="B9122">
        <v>2019</v>
      </c>
      <c r="C9122">
        <v>6</v>
      </c>
      <c r="D9122">
        <v>1</v>
      </c>
      <c r="E9122">
        <v>12630</v>
      </c>
      <c r="F9122">
        <v>125471.61</v>
      </c>
      <c r="G9122">
        <v>0</v>
      </c>
      <c r="H9122">
        <v>0</v>
      </c>
      <c r="I9122">
        <v>0</v>
      </c>
      <c r="J9122">
        <v>0</v>
      </c>
      <c r="K9122">
        <v>0</v>
      </c>
      <c r="L9122">
        <v>13290976.189999999</v>
      </c>
      <c r="M9122">
        <v>13290976.189999999</v>
      </c>
      <c r="N9122">
        <v>13290976.189999999</v>
      </c>
      <c r="O9122">
        <v>13290976.189999999</v>
      </c>
      <c r="P9122">
        <v>13290976.189999999</v>
      </c>
      <c r="Q9122">
        <v>13290976.189999999</v>
      </c>
      <c r="R9122" s="14">
        <f>_xlfn.XLOOKUP(Table2[[#This Row],[LoanID]],Table1[G-L ID],Table1[ManagerCode],-99)</f>
        <v>119</v>
      </c>
      <c r="T9122"/>
    </row>
    <row r="9123" spans="1:20" x14ac:dyDescent="0.25">
      <c r="A9123">
        <v>20190630</v>
      </c>
      <c r="B9123">
        <v>2019</v>
      </c>
      <c r="C9123">
        <v>6</v>
      </c>
      <c r="D9123">
        <v>1</v>
      </c>
      <c r="E9123">
        <v>12640</v>
      </c>
      <c r="F9123">
        <v>106191.52</v>
      </c>
      <c r="G9123">
        <v>0</v>
      </c>
      <c r="H9123">
        <v>0</v>
      </c>
      <c r="I9123">
        <v>0</v>
      </c>
      <c r="J9123">
        <v>-651150.92000000004</v>
      </c>
      <c r="K9123">
        <v>0</v>
      </c>
      <c r="L9123">
        <v>8818849.0800000001</v>
      </c>
      <c r="M9123">
        <v>9470000</v>
      </c>
      <c r="N9123">
        <v>8818849.0800000001</v>
      </c>
      <c r="O9123">
        <v>9470000</v>
      </c>
      <c r="P9123">
        <v>8818849.0800000001</v>
      </c>
      <c r="Q9123">
        <v>9470000</v>
      </c>
      <c r="R9123" s="14">
        <f>_xlfn.XLOOKUP(Table2[[#This Row],[LoanID]],Table1[G-L ID],Table1[ManagerCode],-99)</f>
        <v>119</v>
      </c>
      <c r="T9123"/>
    </row>
    <row r="9124" spans="1:20" x14ac:dyDescent="0.25">
      <c r="A9124">
        <v>20190630</v>
      </c>
      <c r="B9124">
        <v>2019</v>
      </c>
      <c r="C9124">
        <v>6</v>
      </c>
      <c r="D9124">
        <v>1</v>
      </c>
      <c r="E9124">
        <v>12650</v>
      </c>
      <c r="F9124">
        <v>378167.53</v>
      </c>
      <c r="G9124">
        <v>0</v>
      </c>
      <c r="H9124">
        <v>0</v>
      </c>
      <c r="I9124">
        <v>0</v>
      </c>
      <c r="J9124">
        <v>0</v>
      </c>
      <c r="K9124">
        <v>0</v>
      </c>
      <c r="L9124">
        <v>123200000</v>
      </c>
      <c r="M9124">
        <v>123200000</v>
      </c>
      <c r="N9124">
        <v>49280000</v>
      </c>
      <c r="O9124">
        <v>49280000</v>
      </c>
      <c r="P9124">
        <v>123200000</v>
      </c>
      <c r="Q9124">
        <v>123200000</v>
      </c>
      <c r="R9124" s="14">
        <f>_xlfn.XLOOKUP(Table2[[#This Row],[LoanID]],Table1[G-L ID],Table1[ManagerCode],-99)</f>
        <v>183</v>
      </c>
      <c r="T9124"/>
    </row>
    <row r="9125" spans="1:20" x14ac:dyDescent="0.25">
      <c r="A9125">
        <v>20190630</v>
      </c>
      <c r="B9125">
        <v>2019</v>
      </c>
      <c r="C9125">
        <v>6</v>
      </c>
      <c r="D9125">
        <v>1</v>
      </c>
      <c r="E9125">
        <v>12660</v>
      </c>
      <c r="F9125">
        <v>18231.560000000001</v>
      </c>
      <c r="G9125">
        <v>0</v>
      </c>
      <c r="H9125">
        <v>0</v>
      </c>
      <c r="I9125">
        <v>0</v>
      </c>
      <c r="J9125">
        <v>0</v>
      </c>
      <c r="K9125">
        <v>19000000</v>
      </c>
      <c r="L9125">
        <v>47000000</v>
      </c>
      <c r="M9125">
        <v>0</v>
      </c>
      <c r="N9125">
        <v>19000000</v>
      </c>
      <c r="O9125">
        <v>0</v>
      </c>
      <c r="P9125">
        <v>47000000</v>
      </c>
      <c r="Q9125">
        <v>0</v>
      </c>
      <c r="R9125" s="14">
        <f>_xlfn.XLOOKUP(Table2[[#This Row],[LoanID]],Table1[G-L ID],Table1[ManagerCode],-99)</f>
        <v>183</v>
      </c>
      <c r="T9125"/>
    </row>
    <row r="9126" spans="1:20" x14ac:dyDescent="0.25">
      <c r="A9126">
        <v>20190630</v>
      </c>
      <c r="B9126">
        <v>2019</v>
      </c>
      <c r="C9126">
        <v>6</v>
      </c>
      <c r="D9126">
        <v>1</v>
      </c>
      <c r="E9126">
        <v>12670</v>
      </c>
      <c r="F9126">
        <v>89512.5</v>
      </c>
      <c r="G9126">
        <v>0</v>
      </c>
      <c r="H9126">
        <v>0</v>
      </c>
      <c r="I9126">
        <v>0</v>
      </c>
      <c r="J9126">
        <v>0</v>
      </c>
      <c r="K9126">
        <v>0</v>
      </c>
      <c r="L9126">
        <v>15500000</v>
      </c>
      <c r="M9126">
        <v>15500000</v>
      </c>
      <c r="N9126">
        <v>15500000</v>
      </c>
      <c r="O9126">
        <v>15500000</v>
      </c>
      <c r="P9126">
        <v>15500000</v>
      </c>
      <c r="Q9126">
        <v>15500000</v>
      </c>
      <c r="R9126" s="14">
        <f>_xlfn.XLOOKUP(Table2[[#This Row],[LoanID]],Table1[G-L ID],Table1[ManagerCode],-99)</f>
        <v>183</v>
      </c>
      <c r="T9126"/>
    </row>
    <row r="9127" spans="1:20" x14ac:dyDescent="0.25">
      <c r="A9127">
        <v>20190630</v>
      </c>
      <c r="B9127">
        <v>2019</v>
      </c>
      <c r="C9127">
        <v>6</v>
      </c>
      <c r="D9127">
        <v>1</v>
      </c>
      <c r="E9127">
        <v>12680</v>
      </c>
      <c r="F9127">
        <v>156527.93</v>
      </c>
      <c r="G9127">
        <v>0</v>
      </c>
      <c r="H9127">
        <v>0</v>
      </c>
      <c r="I9127">
        <v>0</v>
      </c>
      <c r="J9127">
        <v>0</v>
      </c>
      <c r="K9127">
        <v>0</v>
      </c>
      <c r="L9127">
        <v>16126000</v>
      </c>
      <c r="M9127">
        <v>16126000</v>
      </c>
      <c r="N9127">
        <v>16126000</v>
      </c>
      <c r="O9127">
        <v>16126000</v>
      </c>
      <c r="P9127">
        <v>16126000</v>
      </c>
      <c r="Q9127">
        <v>16126000</v>
      </c>
      <c r="R9127" s="14">
        <f>_xlfn.XLOOKUP(Table2[[#This Row],[LoanID]],Table1[G-L ID],Table1[ManagerCode],-99)</f>
        <v>119</v>
      </c>
      <c r="T9127"/>
    </row>
    <row r="9128" spans="1:20" x14ac:dyDescent="0.25">
      <c r="A9128">
        <v>20190630</v>
      </c>
      <c r="B9128">
        <v>2019</v>
      </c>
      <c r="C9128">
        <v>6</v>
      </c>
      <c r="D9128">
        <v>1</v>
      </c>
      <c r="E9128">
        <v>12690</v>
      </c>
      <c r="F9128">
        <v>99010.47</v>
      </c>
      <c r="G9128">
        <v>0</v>
      </c>
      <c r="H9128">
        <v>0</v>
      </c>
      <c r="I9128">
        <v>0</v>
      </c>
      <c r="J9128">
        <v>0</v>
      </c>
      <c r="K9128">
        <v>0</v>
      </c>
      <c r="L9128">
        <v>10175500</v>
      </c>
      <c r="M9128">
        <v>10175500</v>
      </c>
      <c r="N9128">
        <v>10175500</v>
      </c>
      <c r="O9128">
        <v>10175500</v>
      </c>
      <c r="P9128">
        <v>10175500</v>
      </c>
      <c r="Q9128">
        <v>10175500</v>
      </c>
      <c r="R9128" s="14">
        <f>_xlfn.XLOOKUP(Table2[[#This Row],[LoanID]],Table1[G-L ID],Table1[ManagerCode],-99)</f>
        <v>119</v>
      </c>
      <c r="T9128"/>
    </row>
    <row r="9129" spans="1:20" x14ac:dyDescent="0.25">
      <c r="A9129">
        <v>20190630</v>
      </c>
      <c r="B9129">
        <v>2019</v>
      </c>
      <c r="C9129">
        <v>6</v>
      </c>
      <c r="D9129">
        <v>1</v>
      </c>
      <c r="E9129">
        <v>12710</v>
      </c>
      <c r="F9129">
        <v>66684.23</v>
      </c>
      <c r="G9129">
        <v>0</v>
      </c>
      <c r="H9129">
        <v>0</v>
      </c>
      <c r="I9129">
        <v>0</v>
      </c>
      <c r="J9129">
        <v>0</v>
      </c>
      <c r="K9129">
        <v>0</v>
      </c>
      <c r="L9129">
        <v>7791180</v>
      </c>
      <c r="M9129">
        <v>7791180</v>
      </c>
      <c r="N9129">
        <v>7791180</v>
      </c>
      <c r="O9129">
        <v>7791180</v>
      </c>
      <c r="P9129">
        <v>7791180</v>
      </c>
      <c r="Q9129">
        <v>7791180</v>
      </c>
      <c r="R9129" s="14">
        <f>_xlfn.XLOOKUP(Table2[[#This Row],[LoanID]],Table1[G-L ID],Table1[ManagerCode],-99)</f>
        <v>119</v>
      </c>
      <c r="T9129"/>
    </row>
    <row r="9130" spans="1:20" x14ac:dyDescent="0.25">
      <c r="A9130">
        <v>20190630</v>
      </c>
      <c r="B9130">
        <v>2019</v>
      </c>
      <c r="C9130">
        <v>6</v>
      </c>
      <c r="D9130">
        <v>1</v>
      </c>
      <c r="E9130">
        <v>12720</v>
      </c>
      <c r="F9130">
        <v>544642.98</v>
      </c>
      <c r="G9130">
        <v>0</v>
      </c>
      <c r="H9130">
        <v>0</v>
      </c>
      <c r="I9130">
        <v>0</v>
      </c>
      <c r="J9130">
        <v>-238481.89</v>
      </c>
      <c r="K9130">
        <v>0</v>
      </c>
      <c r="L9130">
        <v>195149224.80000001</v>
      </c>
      <c r="M9130">
        <v>195387706.69999999</v>
      </c>
      <c r="N9130">
        <v>93268224.799999997</v>
      </c>
      <c r="O9130">
        <v>93506706.700000003</v>
      </c>
      <c r="P9130">
        <v>195149224.80000001</v>
      </c>
      <c r="Q9130">
        <v>195387706.69999999</v>
      </c>
      <c r="R9130" s="14">
        <f>_xlfn.XLOOKUP(Table2[[#This Row],[LoanID]],Table1[G-L ID],Table1[ManagerCode],-99)</f>
        <v>183</v>
      </c>
      <c r="T9130"/>
    </row>
    <row r="9131" spans="1:20" x14ac:dyDescent="0.25">
      <c r="A9131">
        <v>20190630</v>
      </c>
      <c r="B9131">
        <v>2019</v>
      </c>
      <c r="C9131">
        <v>6</v>
      </c>
      <c r="D9131">
        <v>1</v>
      </c>
      <c r="E9131">
        <v>12730</v>
      </c>
      <c r="F9131">
        <v>81531.5</v>
      </c>
      <c r="G9131">
        <v>0</v>
      </c>
      <c r="H9131">
        <v>0</v>
      </c>
      <c r="I9131">
        <v>0</v>
      </c>
      <c r="J9131">
        <v>0</v>
      </c>
      <c r="K9131">
        <v>0</v>
      </c>
      <c r="L9131">
        <v>38460000</v>
      </c>
      <c r="M9131">
        <v>38460000</v>
      </c>
      <c r="N9131">
        <v>13460000</v>
      </c>
      <c r="O9131">
        <v>13460000</v>
      </c>
      <c r="P9131">
        <v>38460000</v>
      </c>
      <c r="Q9131">
        <v>38460000</v>
      </c>
      <c r="R9131" s="14">
        <f>_xlfn.XLOOKUP(Table2[[#This Row],[LoanID]],Table1[G-L ID],Table1[ManagerCode],-99)</f>
        <v>183</v>
      </c>
      <c r="T9131"/>
    </row>
    <row r="9132" spans="1:20" x14ac:dyDescent="0.25">
      <c r="A9132">
        <v>20190630</v>
      </c>
      <c r="B9132">
        <v>2019</v>
      </c>
      <c r="C9132">
        <v>6</v>
      </c>
      <c r="D9132">
        <v>1</v>
      </c>
      <c r="E9132">
        <v>12740</v>
      </c>
      <c r="F9132">
        <v>132438.51</v>
      </c>
      <c r="G9132">
        <v>70708.87</v>
      </c>
      <c r="H9132">
        <v>0</v>
      </c>
      <c r="I9132">
        <v>0</v>
      </c>
      <c r="J9132">
        <v>-1384416.66</v>
      </c>
      <c r="K9132">
        <v>0</v>
      </c>
      <c r="L9132">
        <v>26621621.329999998</v>
      </c>
      <c r="M9132">
        <v>28076746.859999999</v>
      </c>
      <c r="N9132">
        <v>26621621.329999998</v>
      </c>
      <c r="O9132">
        <v>28076746.859999999</v>
      </c>
      <c r="P9132">
        <v>26621621.329999998</v>
      </c>
      <c r="Q9132">
        <v>28076746.859999999</v>
      </c>
      <c r="R9132" s="14">
        <f>_xlfn.XLOOKUP(Table2[[#This Row],[LoanID]],Table1[G-L ID],Table1[ManagerCode],-99)</f>
        <v>183</v>
      </c>
      <c r="T9132"/>
    </row>
    <row r="9133" spans="1:20" x14ac:dyDescent="0.25">
      <c r="A9133">
        <v>20190630</v>
      </c>
      <c r="B9133">
        <v>2019</v>
      </c>
      <c r="C9133">
        <v>6</v>
      </c>
      <c r="D9133">
        <v>1</v>
      </c>
      <c r="E9133">
        <v>12930</v>
      </c>
      <c r="F9133">
        <v>179630.77</v>
      </c>
      <c r="G9133">
        <v>0</v>
      </c>
      <c r="H9133">
        <v>0</v>
      </c>
      <c r="I9133">
        <v>0</v>
      </c>
      <c r="J9133">
        <v>0</v>
      </c>
      <c r="K9133">
        <v>0</v>
      </c>
      <c r="L9133">
        <v>19000000</v>
      </c>
      <c r="M9133">
        <v>19000000</v>
      </c>
      <c r="N9133">
        <v>19000000</v>
      </c>
      <c r="O9133">
        <v>19000000</v>
      </c>
      <c r="P9133">
        <v>19000000</v>
      </c>
      <c r="Q9133">
        <v>19000000</v>
      </c>
      <c r="R9133" s="14">
        <f>_xlfn.XLOOKUP(Table2[[#This Row],[LoanID]],Table1[G-L ID],Table1[ManagerCode],-99)</f>
        <v>119</v>
      </c>
      <c r="T9133"/>
    </row>
    <row r="9134" spans="1:20" x14ac:dyDescent="0.25">
      <c r="A9134">
        <v>20190630</v>
      </c>
      <c r="B9134">
        <v>2019</v>
      </c>
      <c r="C9134">
        <v>6</v>
      </c>
      <c r="D9134">
        <v>1</v>
      </c>
      <c r="E9134">
        <v>12940</v>
      </c>
      <c r="F9134">
        <v>182056.58</v>
      </c>
      <c r="G9134">
        <v>0</v>
      </c>
      <c r="H9134">
        <v>0</v>
      </c>
      <c r="I9134">
        <v>0</v>
      </c>
      <c r="J9134">
        <v>0</v>
      </c>
      <c r="K9134">
        <v>0</v>
      </c>
      <c r="L9134">
        <v>19795866.109999999</v>
      </c>
      <c r="M9134">
        <v>19795866.109999999</v>
      </c>
      <c r="N9134">
        <v>19795866.109999999</v>
      </c>
      <c r="O9134">
        <v>19795866.109999999</v>
      </c>
      <c r="P9134">
        <v>19795866.109999999</v>
      </c>
      <c r="Q9134">
        <v>19795866.109999999</v>
      </c>
      <c r="R9134" s="14">
        <f>_xlfn.XLOOKUP(Table2[[#This Row],[LoanID]],Table1[G-L ID],Table1[ManagerCode],-99)</f>
        <v>119</v>
      </c>
      <c r="T9134"/>
    </row>
    <row r="9135" spans="1:20" x14ac:dyDescent="0.25">
      <c r="A9135">
        <v>20190630</v>
      </c>
      <c r="B9135">
        <v>2019</v>
      </c>
      <c r="C9135">
        <v>6</v>
      </c>
      <c r="D9135">
        <v>1</v>
      </c>
      <c r="E9135">
        <v>12950</v>
      </c>
      <c r="F9135">
        <v>243165.46</v>
      </c>
      <c r="G9135">
        <v>0</v>
      </c>
      <c r="H9135">
        <v>0</v>
      </c>
      <c r="I9135">
        <v>0</v>
      </c>
      <c r="J9135">
        <v>0</v>
      </c>
      <c r="K9135">
        <v>0</v>
      </c>
      <c r="L9135">
        <v>26842466.629999999</v>
      </c>
      <c r="M9135">
        <v>26842466.629999999</v>
      </c>
      <c r="N9135">
        <v>26842466.629999999</v>
      </c>
      <c r="O9135">
        <v>26842466.629999999</v>
      </c>
      <c r="P9135">
        <v>26842466.629999999</v>
      </c>
      <c r="Q9135">
        <v>26842466.629999999</v>
      </c>
      <c r="R9135" s="14">
        <f>_xlfn.XLOOKUP(Table2[[#This Row],[LoanID]],Table1[G-L ID],Table1[ManagerCode],-99)</f>
        <v>119</v>
      </c>
      <c r="T9135"/>
    </row>
    <row r="9136" spans="1:20" x14ac:dyDescent="0.25">
      <c r="A9136">
        <v>20190630</v>
      </c>
      <c r="B9136">
        <v>2019</v>
      </c>
      <c r="C9136">
        <v>6</v>
      </c>
      <c r="D9136">
        <v>1</v>
      </c>
      <c r="E9136">
        <v>12960</v>
      </c>
      <c r="F9136">
        <v>81789.87</v>
      </c>
      <c r="G9136">
        <v>0</v>
      </c>
      <c r="H9136">
        <v>0</v>
      </c>
      <c r="I9136">
        <v>0</v>
      </c>
      <c r="J9136">
        <v>0</v>
      </c>
      <c r="K9136">
        <v>0</v>
      </c>
      <c r="L9136">
        <v>8961746.3200000003</v>
      </c>
      <c r="M9136">
        <v>8961746.3200000003</v>
      </c>
      <c r="N9136">
        <v>8961746.3200000003</v>
      </c>
      <c r="O9136">
        <v>8961746.3200000003</v>
      </c>
      <c r="P9136">
        <v>8961746.3200000003</v>
      </c>
      <c r="Q9136">
        <v>8961746.3200000003</v>
      </c>
      <c r="R9136" s="14">
        <f>_xlfn.XLOOKUP(Table2[[#This Row],[LoanID]],Table1[G-L ID],Table1[ManagerCode],-99)</f>
        <v>119</v>
      </c>
      <c r="T9136"/>
    </row>
    <row r="9137" spans="1:20" x14ac:dyDescent="0.25">
      <c r="A9137">
        <v>20190630</v>
      </c>
      <c r="B9137">
        <v>2019</v>
      </c>
      <c r="C9137">
        <v>6</v>
      </c>
      <c r="D9137">
        <v>1</v>
      </c>
      <c r="E9137">
        <v>12970</v>
      </c>
      <c r="F9137">
        <v>107608.4</v>
      </c>
      <c r="G9137">
        <v>0</v>
      </c>
      <c r="H9137">
        <v>0</v>
      </c>
      <c r="I9137">
        <v>0</v>
      </c>
      <c r="J9137">
        <v>0</v>
      </c>
      <c r="K9137">
        <v>0</v>
      </c>
      <c r="L9137">
        <v>10032642.039999999</v>
      </c>
      <c r="M9137">
        <v>10032642.039999999</v>
      </c>
      <c r="N9137">
        <v>10032642.039999999</v>
      </c>
      <c r="O9137">
        <v>10032642.039999999</v>
      </c>
      <c r="P9137">
        <v>10032642.039999999</v>
      </c>
      <c r="Q9137">
        <v>10032642.039999999</v>
      </c>
      <c r="R9137" s="14">
        <f>_xlfn.XLOOKUP(Table2[[#This Row],[LoanID]],Table1[G-L ID],Table1[ManagerCode],-99)</f>
        <v>119</v>
      </c>
      <c r="T9137"/>
    </row>
    <row r="9138" spans="1:20" x14ac:dyDescent="0.25">
      <c r="A9138">
        <v>20190630</v>
      </c>
      <c r="B9138">
        <v>2019</v>
      </c>
      <c r="C9138">
        <v>6</v>
      </c>
      <c r="D9138">
        <v>1</v>
      </c>
      <c r="E9138">
        <v>12980</v>
      </c>
      <c r="F9138">
        <v>132861.66</v>
      </c>
      <c r="G9138">
        <v>0</v>
      </c>
      <c r="H9138">
        <v>0</v>
      </c>
      <c r="I9138">
        <v>0</v>
      </c>
      <c r="J9138">
        <v>0</v>
      </c>
      <c r="K9138">
        <v>0</v>
      </c>
      <c r="L9138">
        <v>13750000</v>
      </c>
      <c r="M9138">
        <v>13750000</v>
      </c>
      <c r="N9138">
        <v>13750000</v>
      </c>
      <c r="O9138">
        <v>13750000</v>
      </c>
      <c r="P9138">
        <v>13750000</v>
      </c>
      <c r="Q9138">
        <v>13750000</v>
      </c>
      <c r="R9138" s="14">
        <f>_xlfn.XLOOKUP(Table2[[#This Row],[LoanID]],Table1[G-L ID],Table1[ManagerCode],-99)</f>
        <v>119</v>
      </c>
      <c r="T9138"/>
    </row>
    <row r="9139" spans="1:20" x14ac:dyDescent="0.25">
      <c r="A9139">
        <v>20190630</v>
      </c>
      <c r="B9139">
        <v>2019</v>
      </c>
      <c r="C9139">
        <v>6</v>
      </c>
      <c r="D9139">
        <v>1</v>
      </c>
      <c r="E9139">
        <v>12990</v>
      </c>
      <c r="F9139">
        <v>264749.17</v>
      </c>
      <c r="G9139">
        <v>0</v>
      </c>
      <c r="H9139">
        <v>0</v>
      </c>
      <c r="I9139">
        <v>0</v>
      </c>
      <c r="J9139">
        <v>0</v>
      </c>
      <c r="K9139">
        <v>0</v>
      </c>
      <c r="L9139">
        <v>29253153.550000001</v>
      </c>
      <c r="M9139">
        <v>29253153.550000001</v>
      </c>
      <c r="N9139">
        <v>29253153.550000001</v>
      </c>
      <c r="O9139">
        <v>29253153.550000001</v>
      </c>
      <c r="P9139">
        <v>29253153.550000001</v>
      </c>
      <c r="Q9139">
        <v>29253153.550000001</v>
      </c>
      <c r="R9139" s="14">
        <f>_xlfn.XLOOKUP(Table2[[#This Row],[LoanID]],Table1[G-L ID],Table1[ManagerCode],-99)</f>
        <v>119</v>
      </c>
      <c r="T9139"/>
    </row>
    <row r="9140" spans="1:20" x14ac:dyDescent="0.25">
      <c r="A9140">
        <v>20190630</v>
      </c>
      <c r="B9140">
        <v>2019</v>
      </c>
      <c r="C9140">
        <v>6</v>
      </c>
      <c r="D9140">
        <v>1</v>
      </c>
      <c r="E9140">
        <v>13000</v>
      </c>
      <c r="F9140">
        <v>145967.48000000001</v>
      </c>
      <c r="G9140">
        <v>0</v>
      </c>
      <c r="H9140">
        <v>0</v>
      </c>
      <c r="I9140">
        <v>0</v>
      </c>
      <c r="J9140">
        <v>-4807848.05</v>
      </c>
      <c r="K9140">
        <v>0</v>
      </c>
      <c r="L9140">
        <v>40970643</v>
      </c>
      <c r="M9140">
        <v>45745575</v>
      </c>
      <c r="N9140">
        <v>40970643</v>
      </c>
      <c r="O9140">
        <v>45745575</v>
      </c>
      <c r="P9140">
        <v>44272385.630000003</v>
      </c>
      <c r="Q9140">
        <v>49080233.68</v>
      </c>
      <c r="R9140" s="14">
        <f>_xlfn.XLOOKUP(Table2[[#This Row],[LoanID]],Table1[G-L ID],Table1[ManagerCode],-99)</f>
        <v>103</v>
      </c>
      <c r="T9140"/>
    </row>
    <row r="9141" spans="1:20" x14ac:dyDescent="0.25">
      <c r="A9141">
        <v>20190630</v>
      </c>
      <c r="B9141">
        <v>2019</v>
      </c>
      <c r="C9141">
        <v>6</v>
      </c>
      <c r="D9141">
        <v>1</v>
      </c>
      <c r="E9141">
        <v>13010</v>
      </c>
      <c r="F9141">
        <v>1400000</v>
      </c>
      <c r="G9141">
        <v>0</v>
      </c>
      <c r="H9141">
        <v>0</v>
      </c>
      <c r="I9141">
        <v>0</v>
      </c>
      <c r="J9141">
        <v>0</v>
      </c>
      <c r="K9141">
        <v>0</v>
      </c>
      <c r="L9141">
        <v>199500200</v>
      </c>
      <c r="M9141">
        <v>199500200</v>
      </c>
      <c r="N9141">
        <v>199500200</v>
      </c>
      <c r="O9141">
        <v>199500200</v>
      </c>
      <c r="P9141">
        <v>210000000</v>
      </c>
      <c r="Q9141">
        <v>210000000</v>
      </c>
      <c r="R9141" s="14">
        <f>_xlfn.XLOOKUP(Table2[[#This Row],[LoanID]],Table1[G-L ID],Table1[ManagerCode],-99)</f>
        <v>103</v>
      </c>
      <c r="T9141"/>
    </row>
    <row r="9142" spans="1:20" x14ac:dyDescent="0.25">
      <c r="A9142">
        <v>20190630</v>
      </c>
      <c r="B9142">
        <v>2019</v>
      </c>
      <c r="C9142">
        <v>6</v>
      </c>
      <c r="D9142">
        <v>1</v>
      </c>
      <c r="E9142">
        <v>13020</v>
      </c>
      <c r="F9142">
        <v>216996.43</v>
      </c>
      <c r="G9142">
        <v>0</v>
      </c>
      <c r="H9142">
        <v>0</v>
      </c>
      <c r="I9142">
        <v>0</v>
      </c>
      <c r="J9142">
        <v>0</v>
      </c>
      <c r="K9142">
        <v>0</v>
      </c>
      <c r="L9142">
        <v>20999654.719999999</v>
      </c>
      <c r="M9142">
        <v>20999654.719999999</v>
      </c>
      <c r="N9142">
        <v>20999654.719999999</v>
      </c>
      <c r="O9142">
        <v>20999654.719999999</v>
      </c>
      <c r="P9142">
        <v>20999654.719999999</v>
      </c>
      <c r="Q9142">
        <v>20999654.719999999</v>
      </c>
      <c r="R9142" s="14">
        <f>_xlfn.XLOOKUP(Table2[[#This Row],[LoanID]],Table1[G-L ID],Table1[ManagerCode],-99)</f>
        <v>103</v>
      </c>
      <c r="T9142"/>
    </row>
    <row r="9143" spans="1:20" x14ac:dyDescent="0.25">
      <c r="A9143">
        <v>20190630</v>
      </c>
      <c r="B9143">
        <v>2019</v>
      </c>
      <c r="C9143">
        <v>6</v>
      </c>
      <c r="D9143">
        <v>1</v>
      </c>
      <c r="E9143">
        <v>13030</v>
      </c>
      <c r="F9143">
        <v>291476.40000000002</v>
      </c>
      <c r="G9143">
        <v>0</v>
      </c>
      <c r="H9143">
        <v>0</v>
      </c>
      <c r="I9143">
        <v>0</v>
      </c>
      <c r="J9143">
        <v>0</v>
      </c>
      <c r="K9143">
        <v>0</v>
      </c>
      <c r="L9143">
        <v>114000000</v>
      </c>
      <c r="M9143">
        <v>114000000</v>
      </c>
      <c r="N9143">
        <v>51276576</v>
      </c>
      <c r="O9143">
        <v>51276576</v>
      </c>
      <c r="P9143">
        <v>114000000</v>
      </c>
      <c r="Q9143">
        <v>114000000</v>
      </c>
      <c r="R9143" s="14">
        <f>_xlfn.XLOOKUP(Table2[[#This Row],[LoanID]],Table1[G-L ID],Table1[ManagerCode],-99)</f>
        <v>183</v>
      </c>
      <c r="T9143"/>
    </row>
    <row r="9144" spans="1:20" x14ac:dyDescent="0.25">
      <c r="A9144">
        <v>20190630</v>
      </c>
      <c r="B9144">
        <v>2019</v>
      </c>
      <c r="C9144">
        <v>6</v>
      </c>
      <c r="D9144">
        <v>1</v>
      </c>
      <c r="E9144">
        <v>13040</v>
      </c>
      <c r="F9144">
        <v>76802.710000000006</v>
      </c>
      <c r="G9144">
        <v>0</v>
      </c>
      <c r="H9144">
        <v>0</v>
      </c>
      <c r="I9144">
        <v>0</v>
      </c>
      <c r="J9144">
        <v>-656012.07999999996</v>
      </c>
      <c r="K9144">
        <v>0</v>
      </c>
      <c r="L9144">
        <v>34509895.350000001</v>
      </c>
      <c r="M9144">
        <v>35165907.43</v>
      </c>
      <c r="N9144">
        <v>14337508.35</v>
      </c>
      <c r="O9144">
        <v>14993520.43</v>
      </c>
      <c r="P9144">
        <v>34509895.350000001</v>
      </c>
      <c r="Q9144">
        <v>35165907.43</v>
      </c>
      <c r="R9144" s="14">
        <f>_xlfn.XLOOKUP(Table2[[#This Row],[LoanID]],Table1[G-L ID],Table1[ManagerCode],-99)</f>
        <v>183</v>
      </c>
      <c r="T9144"/>
    </row>
    <row r="9145" spans="1:20" x14ac:dyDescent="0.25">
      <c r="A9145">
        <v>20190630</v>
      </c>
      <c r="B9145">
        <v>2019</v>
      </c>
      <c r="C9145">
        <v>6</v>
      </c>
      <c r="D9145">
        <v>1</v>
      </c>
      <c r="E9145">
        <v>13050</v>
      </c>
      <c r="F9145">
        <v>74389.25</v>
      </c>
      <c r="G9145">
        <v>0</v>
      </c>
      <c r="H9145">
        <v>0</v>
      </c>
      <c r="I9145">
        <v>0</v>
      </c>
      <c r="J9145">
        <v>0</v>
      </c>
      <c r="K9145">
        <v>0</v>
      </c>
      <c r="L9145">
        <v>42575000</v>
      </c>
      <c r="M9145">
        <v>42575000</v>
      </c>
      <c r="N9145">
        <v>14901424</v>
      </c>
      <c r="O9145">
        <v>14901424</v>
      </c>
      <c r="P9145">
        <v>42575000</v>
      </c>
      <c r="Q9145">
        <v>42575000</v>
      </c>
      <c r="R9145" s="14">
        <f>_xlfn.XLOOKUP(Table2[[#This Row],[LoanID]],Table1[G-L ID],Table1[ManagerCode],-99)</f>
        <v>183</v>
      </c>
      <c r="T9145"/>
    </row>
    <row r="9146" spans="1:20" x14ac:dyDescent="0.25">
      <c r="A9146">
        <v>20190630</v>
      </c>
      <c r="B9146">
        <v>2019</v>
      </c>
      <c r="C9146">
        <v>6</v>
      </c>
      <c r="D9146">
        <v>1</v>
      </c>
      <c r="E9146">
        <v>13060</v>
      </c>
      <c r="F9146">
        <v>89785.96</v>
      </c>
      <c r="G9146">
        <v>0</v>
      </c>
      <c r="H9146">
        <v>0</v>
      </c>
      <c r="I9146">
        <v>0</v>
      </c>
      <c r="J9146">
        <v>0</v>
      </c>
      <c r="K9146">
        <v>0</v>
      </c>
      <c r="L9146">
        <v>42730506.350000001</v>
      </c>
      <c r="M9146">
        <v>42730506.350000001</v>
      </c>
      <c r="N9146">
        <v>17128944.350000001</v>
      </c>
      <c r="O9146">
        <v>17128944.350000001</v>
      </c>
      <c r="P9146">
        <v>42730506.350000001</v>
      </c>
      <c r="Q9146">
        <v>42730506.350000001</v>
      </c>
      <c r="R9146" s="14">
        <f>_xlfn.XLOOKUP(Table2[[#This Row],[LoanID]],Table1[G-L ID],Table1[ManagerCode],-99)</f>
        <v>183</v>
      </c>
      <c r="T9146"/>
    </row>
    <row r="9147" spans="1:20" x14ac:dyDescent="0.25">
      <c r="A9147">
        <v>20190630</v>
      </c>
      <c r="B9147">
        <v>2019</v>
      </c>
      <c r="C9147">
        <v>6</v>
      </c>
      <c r="D9147">
        <v>1</v>
      </c>
      <c r="E9147">
        <v>13070</v>
      </c>
      <c r="F9147">
        <v>358749.38</v>
      </c>
      <c r="G9147">
        <v>0</v>
      </c>
      <c r="H9147">
        <v>0</v>
      </c>
      <c r="I9147">
        <v>0</v>
      </c>
      <c r="J9147">
        <v>0</v>
      </c>
      <c r="K9147">
        <v>0</v>
      </c>
      <c r="L9147">
        <v>88368005</v>
      </c>
      <c r="M9147">
        <v>88368005</v>
      </c>
      <c r="N9147">
        <v>48368005</v>
      </c>
      <c r="O9147">
        <v>48368005</v>
      </c>
      <c r="P9147">
        <v>88368005</v>
      </c>
      <c r="Q9147">
        <v>88368005</v>
      </c>
      <c r="R9147" s="14">
        <f>_xlfn.XLOOKUP(Table2[[#This Row],[LoanID]],Table1[G-L ID],Table1[ManagerCode],-99)</f>
        <v>183</v>
      </c>
      <c r="T9147"/>
    </row>
    <row r="9148" spans="1:20" x14ac:dyDescent="0.25">
      <c r="A9148">
        <v>20190630</v>
      </c>
      <c r="B9148">
        <v>2019</v>
      </c>
      <c r="C9148">
        <v>6</v>
      </c>
      <c r="D9148">
        <v>1</v>
      </c>
      <c r="E9148">
        <v>13080</v>
      </c>
      <c r="F9148">
        <v>101050.03</v>
      </c>
      <c r="G9148">
        <v>0</v>
      </c>
      <c r="H9148">
        <v>0</v>
      </c>
      <c r="I9148">
        <v>0</v>
      </c>
      <c r="J9148">
        <v>0</v>
      </c>
      <c r="K9148">
        <v>0</v>
      </c>
      <c r="L9148">
        <v>43000000</v>
      </c>
      <c r="M9148">
        <v>43000000</v>
      </c>
      <c r="N9148">
        <v>21500000</v>
      </c>
      <c r="O9148">
        <v>21500000</v>
      </c>
      <c r="P9148">
        <v>43000000</v>
      </c>
      <c r="Q9148">
        <v>43000000</v>
      </c>
      <c r="R9148" s="14">
        <f>_xlfn.XLOOKUP(Table2[[#This Row],[LoanID]],Table1[G-L ID],Table1[ManagerCode],-99)</f>
        <v>183</v>
      </c>
      <c r="T9148"/>
    </row>
    <row r="9149" spans="1:20" x14ac:dyDescent="0.25">
      <c r="A9149">
        <v>20190630</v>
      </c>
      <c r="B9149">
        <v>2019</v>
      </c>
      <c r="C9149">
        <v>6</v>
      </c>
      <c r="D9149">
        <v>1</v>
      </c>
      <c r="E9149">
        <v>13090</v>
      </c>
      <c r="F9149">
        <v>111500</v>
      </c>
      <c r="G9149">
        <v>0</v>
      </c>
      <c r="H9149">
        <v>0</v>
      </c>
      <c r="I9149">
        <v>0</v>
      </c>
      <c r="J9149">
        <v>0</v>
      </c>
      <c r="K9149">
        <v>0</v>
      </c>
      <c r="L9149">
        <v>20000000</v>
      </c>
      <c r="M9149">
        <v>20000000</v>
      </c>
      <c r="N9149">
        <v>20000000</v>
      </c>
      <c r="O9149">
        <v>20000000</v>
      </c>
      <c r="P9149">
        <v>20000000</v>
      </c>
      <c r="Q9149">
        <v>20000000</v>
      </c>
      <c r="R9149" s="14">
        <f>_xlfn.XLOOKUP(Table2[[#This Row],[LoanID]],Table1[G-L ID],Table1[ManagerCode],-99)</f>
        <v>183</v>
      </c>
      <c r="T9149"/>
    </row>
    <row r="9150" spans="1:20" x14ac:dyDescent="0.25">
      <c r="A9150">
        <v>20190630</v>
      </c>
      <c r="B9150">
        <v>2019</v>
      </c>
      <c r="C9150">
        <v>6</v>
      </c>
      <c r="D9150">
        <v>1</v>
      </c>
      <c r="E9150">
        <v>13100</v>
      </c>
      <c r="F9150">
        <v>101508.44</v>
      </c>
      <c r="G9150">
        <v>0</v>
      </c>
      <c r="H9150">
        <v>0</v>
      </c>
      <c r="I9150">
        <v>0</v>
      </c>
      <c r="J9150">
        <v>-79298.09</v>
      </c>
      <c r="K9150">
        <v>79298.09</v>
      </c>
      <c r="L9150">
        <v>31645000</v>
      </c>
      <c r="M9150">
        <v>31724298.09</v>
      </c>
      <c r="N9150">
        <v>14296600</v>
      </c>
      <c r="O9150">
        <v>14296600</v>
      </c>
      <c r="P9150">
        <v>31645000</v>
      </c>
      <c r="Q9150">
        <v>31724298.09</v>
      </c>
      <c r="R9150" s="14">
        <f>_xlfn.XLOOKUP(Table2[[#This Row],[LoanID]],Table1[G-L ID],Table1[ManagerCode],-99)</f>
        <v>183</v>
      </c>
      <c r="T9150"/>
    </row>
    <row r="9151" spans="1:20" x14ac:dyDescent="0.25">
      <c r="A9151">
        <v>20190630</v>
      </c>
      <c r="B9151">
        <v>2019</v>
      </c>
      <c r="C9151">
        <v>6</v>
      </c>
      <c r="D9151">
        <v>1</v>
      </c>
      <c r="E9151">
        <v>13110</v>
      </c>
      <c r="F9151">
        <v>93206.17</v>
      </c>
      <c r="G9151">
        <v>0</v>
      </c>
      <c r="H9151">
        <v>0</v>
      </c>
      <c r="I9151">
        <v>0</v>
      </c>
      <c r="J9151">
        <v>0</v>
      </c>
      <c r="K9151">
        <v>0</v>
      </c>
      <c r="L9151">
        <v>44242420.43</v>
      </c>
      <c r="M9151">
        <v>44242420.43</v>
      </c>
      <c r="N9151">
        <v>17966170.43</v>
      </c>
      <c r="O9151">
        <v>17966170.43</v>
      </c>
      <c r="P9151">
        <v>44242420.43</v>
      </c>
      <c r="Q9151">
        <v>44242420.43</v>
      </c>
      <c r="R9151" s="14">
        <f>_xlfn.XLOOKUP(Table2[[#This Row],[LoanID]],Table1[G-L ID],Table1[ManagerCode],-99)</f>
        <v>183</v>
      </c>
      <c r="T9151"/>
    </row>
    <row r="9152" spans="1:20" x14ac:dyDescent="0.25">
      <c r="A9152">
        <v>20190630</v>
      </c>
      <c r="B9152">
        <v>2019</v>
      </c>
      <c r="C9152">
        <v>6</v>
      </c>
      <c r="D9152">
        <v>1</v>
      </c>
      <c r="E9152">
        <v>13120</v>
      </c>
      <c r="F9152">
        <v>54309.599999999999</v>
      </c>
      <c r="G9152">
        <v>0</v>
      </c>
      <c r="H9152">
        <v>0</v>
      </c>
      <c r="I9152">
        <v>0</v>
      </c>
      <c r="J9152">
        <v>0</v>
      </c>
      <c r="K9152">
        <v>0</v>
      </c>
      <c r="L9152">
        <v>27360000</v>
      </c>
      <c r="M9152">
        <v>27360000</v>
      </c>
      <c r="N9152">
        <v>9576000</v>
      </c>
      <c r="O9152">
        <v>9576000</v>
      </c>
      <c r="P9152">
        <v>27360000</v>
      </c>
      <c r="Q9152">
        <v>27360000</v>
      </c>
      <c r="R9152" s="14">
        <f>_xlfn.XLOOKUP(Table2[[#This Row],[LoanID]],Table1[G-L ID],Table1[ManagerCode],-99)</f>
        <v>183</v>
      </c>
      <c r="T9152"/>
    </row>
    <row r="9153" spans="1:20" x14ac:dyDescent="0.25">
      <c r="A9153">
        <v>20190630</v>
      </c>
      <c r="B9153">
        <v>2019</v>
      </c>
      <c r="C9153">
        <v>6</v>
      </c>
      <c r="D9153">
        <v>1</v>
      </c>
      <c r="E9153">
        <v>13130</v>
      </c>
      <c r="F9153">
        <v>418187.06</v>
      </c>
      <c r="G9153">
        <v>0</v>
      </c>
      <c r="H9153">
        <v>0</v>
      </c>
      <c r="I9153">
        <v>0</v>
      </c>
      <c r="J9153">
        <v>0</v>
      </c>
      <c r="K9153">
        <v>0</v>
      </c>
      <c r="L9153">
        <v>190400000</v>
      </c>
      <c r="M9153">
        <v>190400000</v>
      </c>
      <c r="N9153">
        <v>90400000</v>
      </c>
      <c r="O9153">
        <v>90400000</v>
      </c>
      <c r="P9153">
        <v>190400000</v>
      </c>
      <c r="Q9153">
        <v>190400000</v>
      </c>
      <c r="R9153" s="14">
        <f>_xlfn.XLOOKUP(Table2[[#This Row],[LoanID]],Table1[G-L ID],Table1[ManagerCode],-99)</f>
        <v>183</v>
      </c>
      <c r="T9153"/>
    </row>
    <row r="9154" spans="1:20" x14ac:dyDescent="0.25">
      <c r="A9154">
        <v>20190630</v>
      </c>
      <c r="B9154">
        <v>2019</v>
      </c>
      <c r="C9154">
        <v>6</v>
      </c>
      <c r="D9154">
        <v>1</v>
      </c>
      <c r="E9154">
        <v>13140</v>
      </c>
      <c r="F9154">
        <v>434301.27</v>
      </c>
      <c r="G9154">
        <v>0</v>
      </c>
      <c r="H9154">
        <v>0</v>
      </c>
      <c r="I9154">
        <v>0</v>
      </c>
      <c r="J9154">
        <v>-13094612.65</v>
      </c>
      <c r="K9154">
        <v>76718100.549999997</v>
      </c>
      <c r="L9154">
        <v>117533234</v>
      </c>
      <c r="M9154">
        <v>130627846.7</v>
      </c>
      <c r="N9154">
        <v>117533234</v>
      </c>
      <c r="O9154">
        <v>53909746.149999999</v>
      </c>
      <c r="P9154">
        <v>117533234</v>
      </c>
      <c r="Q9154">
        <v>130627846.7</v>
      </c>
      <c r="R9154" s="14">
        <f>_xlfn.XLOOKUP(Table2[[#This Row],[LoanID]],Table1[G-L ID],Table1[ManagerCode],-99)</f>
        <v>183</v>
      </c>
      <c r="T9154"/>
    </row>
    <row r="9155" spans="1:20" x14ac:dyDescent="0.25">
      <c r="A9155">
        <v>20190630</v>
      </c>
      <c r="B9155">
        <v>2019</v>
      </c>
      <c r="C9155">
        <v>6</v>
      </c>
      <c r="D9155">
        <v>1</v>
      </c>
      <c r="E9155">
        <v>13150</v>
      </c>
      <c r="F9155">
        <v>158608.82999999999</v>
      </c>
      <c r="G9155">
        <v>0</v>
      </c>
      <c r="H9155">
        <v>0</v>
      </c>
      <c r="I9155">
        <v>0</v>
      </c>
      <c r="J9155">
        <v>-272604.56</v>
      </c>
      <c r="K9155">
        <v>0</v>
      </c>
      <c r="L9155">
        <v>85580000</v>
      </c>
      <c r="M9155">
        <v>85852604.560000002</v>
      </c>
      <c r="N9155">
        <v>29953000</v>
      </c>
      <c r="O9155">
        <v>30225604.559999999</v>
      </c>
      <c r="P9155">
        <v>85580000</v>
      </c>
      <c r="Q9155">
        <v>85852604.560000002</v>
      </c>
      <c r="R9155" s="14">
        <f>_xlfn.XLOOKUP(Table2[[#This Row],[LoanID]],Table1[G-L ID],Table1[ManagerCode],-99)</f>
        <v>183</v>
      </c>
      <c r="T9155"/>
    </row>
    <row r="9156" spans="1:20" x14ac:dyDescent="0.25">
      <c r="A9156">
        <v>20190630</v>
      </c>
      <c r="B9156">
        <v>2019</v>
      </c>
      <c r="C9156">
        <v>6</v>
      </c>
      <c r="D9156">
        <v>1</v>
      </c>
      <c r="E9156">
        <v>13160</v>
      </c>
      <c r="F9156">
        <v>101435.07</v>
      </c>
      <c r="G9156">
        <v>0</v>
      </c>
      <c r="H9156">
        <v>0</v>
      </c>
      <c r="I9156">
        <v>0</v>
      </c>
      <c r="J9156">
        <v>0</v>
      </c>
      <c r="K9156">
        <v>0</v>
      </c>
      <c r="L9156">
        <v>41900000</v>
      </c>
      <c r="M9156">
        <v>41900000</v>
      </c>
      <c r="N9156">
        <v>21854858</v>
      </c>
      <c r="O9156">
        <v>21854858</v>
      </c>
      <c r="P9156">
        <v>41900000</v>
      </c>
      <c r="Q9156">
        <v>41900000</v>
      </c>
      <c r="R9156" s="14">
        <f>_xlfn.XLOOKUP(Table2[[#This Row],[LoanID]],Table1[G-L ID],Table1[ManagerCode],-99)</f>
        <v>183</v>
      </c>
      <c r="T9156"/>
    </row>
    <row r="9157" spans="1:20" x14ac:dyDescent="0.25">
      <c r="A9157">
        <v>20190630</v>
      </c>
      <c r="B9157">
        <v>2019</v>
      </c>
      <c r="C9157">
        <v>6</v>
      </c>
      <c r="D9157">
        <v>1</v>
      </c>
      <c r="E9157">
        <v>13170</v>
      </c>
      <c r="F9157">
        <v>93040.1</v>
      </c>
      <c r="G9157">
        <v>0</v>
      </c>
      <c r="H9157">
        <v>0</v>
      </c>
      <c r="I9157">
        <v>0</v>
      </c>
      <c r="J9157">
        <v>0</v>
      </c>
      <c r="K9157">
        <v>0</v>
      </c>
      <c r="L9157">
        <v>50400000</v>
      </c>
      <c r="M9157">
        <v>50400000</v>
      </c>
      <c r="N9157">
        <v>17600000</v>
      </c>
      <c r="O9157">
        <v>17600000</v>
      </c>
      <c r="P9157">
        <v>50400000</v>
      </c>
      <c r="Q9157">
        <v>50400000</v>
      </c>
      <c r="R9157" s="14">
        <f>_xlfn.XLOOKUP(Table2[[#This Row],[LoanID]],Table1[G-L ID],Table1[ManagerCode],-99)</f>
        <v>183</v>
      </c>
      <c r="T9157"/>
    </row>
    <row r="9158" spans="1:20" x14ac:dyDescent="0.25">
      <c r="A9158">
        <v>20190630</v>
      </c>
      <c r="B9158">
        <v>2019</v>
      </c>
      <c r="C9158">
        <v>6</v>
      </c>
      <c r="D9158">
        <v>1</v>
      </c>
      <c r="E9158">
        <v>13180</v>
      </c>
      <c r="F9158">
        <v>80418.95</v>
      </c>
      <c r="G9158">
        <v>0</v>
      </c>
      <c r="H9158">
        <v>0</v>
      </c>
      <c r="I9158">
        <v>0</v>
      </c>
      <c r="J9158">
        <v>0</v>
      </c>
      <c r="K9158">
        <v>0</v>
      </c>
      <c r="L9158">
        <v>39780000</v>
      </c>
      <c r="M9158">
        <v>39780000</v>
      </c>
      <c r="N9158">
        <v>15930000</v>
      </c>
      <c r="O9158">
        <v>15930000</v>
      </c>
      <c r="P9158">
        <v>39780000</v>
      </c>
      <c r="Q9158">
        <v>39780000</v>
      </c>
      <c r="R9158" s="14">
        <f>_xlfn.XLOOKUP(Table2[[#This Row],[LoanID]],Table1[G-L ID],Table1[ManagerCode],-99)</f>
        <v>183</v>
      </c>
      <c r="T9158"/>
    </row>
    <row r="9159" spans="1:20" x14ac:dyDescent="0.25">
      <c r="A9159">
        <v>20190630</v>
      </c>
      <c r="B9159">
        <v>2019</v>
      </c>
      <c r="C9159">
        <v>6</v>
      </c>
      <c r="D9159">
        <v>1</v>
      </c>
      <c r="E9159">
        <v>13190</v>
      </c>
      <c r="F9159">
        <v>52609.23</v>
      </c>
      <c r="G9159">
        <v>51015.1</v>
      </c>
      <c r="H9159">
        <v>0</v>
      </c>
      <c r="I9159">
        <v>0</v>
      </c>
      <c r="J9159">
        <v>-445127.39</v>
      </c>
      <c r="K9159">
        <v>0</v>
      </c>
      <c r="L9159">
        <v>10430766.449999999</v>
      </c>
      <c r="M9159">
        <v>10926908.939999999</v>
      </c>
      <c r="N9159">
        <v>10430766.449999999</v>
      </c>
      <c r="O9159">
        <v>10926908.939999999</v>
      </c>
      <c r="P9159">
        <v>10430766.449999999</v>
      </c>
      <c r="Q9159">
        <v>10926908.939999999</v>
      </c>
      <c r="R9159" s="14">
        <f>_xlfn.XLOOKUP(Table2[[#This Row],[LoanID]],Table1[G-L ID],Table1[ManagerCode],-99)</f>
        <v>183</v>
      </c>
      <c r="T9159"/>
    </row>
    <row r="9160" spans="1:20" x14ac:dyDescent="0.25">
      <c r="A9160">
        <v>20190630</v>
      </c>
      <c r="B9160">
        <v>2019</v>
      </c>
      <c r="C9160">
        <v>6</v>
      </c>
      <c r="D9160">
        <v>1</v>
      </c>
      <c r="E9160">
        <v>13200</v>
      </c>
      <c r="F9160">
        <v>31002.67</v>
      </c>
      <c r="G9160">
        <v>36169.78</v>
      </c>
      <c r="H9160">
        <v>0</v>
      </c>
      <c r="I9160">
        <v>0</v>
      </c>
      <c r="J9160">
        <v>-2554837.7000000002</v>
      </c>
      <c r="K9160">
        <v>0</v>
      </c>
      <c r="L9160">
        <v>4758934.47</v>
      </c>
      <c r="M9160">
        <v>7349941.9500000002</v>
      </c>
      <c r="N9160">
        <v>4758934.47</v>
      </c>
      <c r="O9160">
        <v>7349941.9500000002</v>
      </c>
      <c r="P9160">
        <v>4758934.47</v>
      </c>
      <c r="Q9160">
        <v>7349941.9500000002</v>
      </c>
      <c r="R9160" s="14">
        <f>_xlfn.XLOOKUP(Table2[[#This Row],[LoanID]],Table1[G-L ID],Table1[ManagerCode],-99)</f>
        <v>183</v>
      </c>
      <c r="T9160"/>
    </row>
    <row r="9161" spans="1:20" x14ac:dyDescent="0.25">
      <c r="A9161">
        <v>20190630</v>
      </c>
      <c r="B9161">
        <v>2019</v>
      </c>
      <c r="C9161">
        <v>6</v>
      </c>
      <c r="D9161">
        <v>1</v>
      </c>
      <c r="E9161">
        <v>13210</v>
      </c>
      <c r="F9161">
        <v>0</v>
      </c>
      <c r="G9161">
        <v>77278.06</v>
      </c>
      <c r="H9161">
        <v>0</v>
      </c>
      <c r="I9161">
        <v>0</v>
      </c>
      <c r="J9161">
        <v>0</v>
      </c>
      <c r="K9161">
        <v>0</v>
      </c>
      <c r="L9161">
        <v>7804326.4500000002</v>
      </c>
      <c r="M9161">
        <v>7881604.5099999998</v>
      </c>
      <c r="N9161">
        <v>7804326.4500000002</v>
      </c>
      <c r="O9161">
        <v>7881604.5099999998</v>
      </c>
      <c r="P9161">
        <v>7804326.4500000002</v>
      </c>
      <c r="Q9161">
        <v>7881604.5099999998</v>
      </c>
      <c r="R9161" s="14">
        <f>_xlfn.XLOOKUP(Table2[[#This Row],[LoanID]],Table1[G-L ID],Table1[ManagerCode],-99)</f>
        <v>183</v>
      </c>
      <c r="T9161"/>
    </row>
    <row r="9162" spans="1:20" x14ac:dyDescent="0.25">
      <c r="A9162">
        <v>20190630</v>
      </c>
      <c r="B9162">
        <v>2019</v>
      </c>
      <c r="C9162">
        <v>6</v>
      </c>
      <c r="D9162">
        <v>1</v>
      </c>
      <c r="E9162">
        <v>13220</v>
      </c>
      <c r="F9162">
        <v>70806.3</v>
      </c>
      <c r="G9162">
        <v>460.67</v>
      </c>
      <c r="H9162">
        <v>0</v>
      </c>
      <c r="I9162">
        <v>0</v>
      </c>
      <c r="J9162">
        <v>0</v>
      </c>
      <c r="K9162">
        <v>5047.45</v>
      </c>
      <c r="L9162">
        <v>9310556.6600000001</v>
      </c>
      <c r="M9162">
        <v>9305969.8800000008</v>
      </c>
      <c r="N9162">
        <v>9310556.6600000001</v>
      </c>
      <c r="O9162">
        <v>9305969.8800000008</v>
      </c>
      <c r="P9162">
        <v>9218842.5899999999</v>
      </c>
      <c r="Q9162">
        <v>9214255.8100000005</v>
      </c>
      <c r="R9162" s="14">
        <f>_xlfn.XLOOKUP(Table2[[#This Row],[LoanID]],Table1[G-L ID],Table1[ManagerCode],-99)</f>
        <v>219</v>
      </c>
      <c r="T9162"/>
    </row>
    <row r="9163" spans="1:20" x14ac:dyDescent="0.25">
      <c r="A9163">
        <v>20190630</v>
      </c>
      <c r="B9163">
        <v>2019</v>
      </c>
      <c r="C9163">
        <v>6</v>
      </c>
      <c r="D9163">
        <v>1</v>
      </c>
      <c r="E9163">
        <v>13230</v>
      </c>
      <c r="F9163">
        <v>43180.75</v>
      </c>
      <c r="G9163">
        <v>0</v>
      </c>
      <c r="H9163">
        <v>0</v>
      </c>
      <c r="I9163">
        <v>0</v>
      </c>
      <c r="J9163">
        <v>0</v>
      </c>
      <c r="K9163">
        <v>0</v>
      </c>
      <c r="L9163">
        <v>6543875</v>
      </c>
      <c r="M9163">
        <v>6543875</v>
      </c>
      <c r="N9163">
        <v>6543875</v>
      </c>
      <c r="O9163">
        <v>6543875</v>
      </c>
      <c r="P9163">
        <v>6543875</v>
      </c>
      <c r="Q9163">
        <v>6543875</v>
      </c>
      <c r="R9163" s="14">
        <f>_xlfn.XLOOKUP(Table2[[#This Row],[LoanID]],Table1[G-L ID],Table1[ManagerCode],-99)</f>
        <v>219</v>
      </c>
      <c r="T9163"/>
    </row>
    <row r="9164" spans="1:20" x14ac:dyDescent="0.25">
      <c r="A9164">
        <v>20190630</v>
      </c>
      <c r="B9164">
        <v>2019</v>
      </c>
      <c r="C9164">
        <v>6</v>
      </c>
      <c r="D9164">
        <v>1</v>
      </c>
      <c r="E9164">
        <v>13240</v>
      </c>
      <c r="F9164">
        <v>76427.92</v>
      </c>
      <c r="G9164">
        <v>-189.62</v>
      </c>
      <c r="H9164">
        <v>0</v>
      </c>
      <c r="I9164">
        <v>0</v>
      </c>
      <c r="J9164">
        <v>0</v>
      </c>
      <c r="K9164">
        <v>0</v>
      </c>
      <c r="L9164">
        <v>7820195.7000000002</v>
      </c>
      <c r="M9164">
        <v>7820006.0800000001</v>
      </c>
      <c r="N9164">
        <v>7820195.7000000002</v>
      </c>
      <c r="O9164">
        <v>7820006.0800000001</v>
      </c>
      <c r="P9164">
        <v>7820195.7000000002</v>
      </c>
      <c r="Q9164">
        <v>7820006.0800000001</v>
      </c>
      <c r="R9164" s="14">
        <f>_xlfn.XLOOKUP(Table2[[#This Row],[LoanID]],Table1[G-L ID],Table1[ManagerCode],-99)</f>
        <v>219</v>
      </c>
      <c r="T9164"/>
    </row>
    <row r="9165" spans="1:20" x14ac:dyDescent="0.25">
      <c r="A9165">
        <v>20190630</v>
      </c>
      <c r="B9165">
        <v>2019</v>
      </c>
      <c r="C9165">
        <v>6</v>
      </c>
      <c r="D9165">
        <v>1</v>
      </c>
      <c r="E9165">
        <v>13260</v>
      </c>
      <c r="F9165">
        <v>187911.11</v>
      </c>
      <c r="G9165">
        <v>-3887.78</v>
      </c>
      <c r="H9165">
        <v>0</v>
      </c>
      <c r="I9165">
        <v>0</v>
      </c>
      <c r="J9165">
        <v>0</v>
      </c>
      <c r="K9165">
        <v>0</v>
      </c>
      <c r="L9165">
        <v>20102231.899999999</v>
      </c>
      <c r="M9165">
        <v>20098344.120000001</v>
      </c>
      <c r="N9165">
        <v>20102231.899999999</v>
      </c>
      <c r="O9165">
        <v>20098344.120000001</v>
      </c>
      <c r="P9165">
        <v>20102231.899999999</v>
      </c>
      <c r="Q9165">
        <v>20098344.120000001</v>
      </c>
      <c r="R9165" s="14">
        <f>_xlfn.XLOOKUP(Table2[[#This Row],[LoanID]],Table1[G-L ID],Table1[ManagerCode],-99)</f>
        <v>219</v>
      </c>
      <c r="T9165"/>
    </row>
    <row r="9166" spans="1:20" x14ac:dyDescent="0.25">
      <c r="A9166">
        <v>20190630</v>
      </c>
      <c r="B9166">
        <v>2019</v>
      </c>
      <c r="C9166">
        <v>6</v>
      </c>
      <c r="D9166">
        <v>1</v>
      </c>
      <c r="E9166">
        <v>13270</v>
      </c>
      <c r="F9166">
        <v>159686.81</v>
      </c>
      <c r="G9166">
        <v>-3342.13</v>
      </c>
      <c r="H9166">
        <v>0</v>
      </c>
      <c r="I9166">
        <v>0</v>
      </c>
      <c r="J9166">
        <v>0</v>
      </c>
      <c r="K9166">
        <v>0</v>
      </c>
      <c r="L9166">
        <v>25107816.600000001</v>
      </c>
      <c r="M9166">
        <v>25104474.469999999</v>
      </c>
      <c r="N9166">
        <v>25107816.600000001</v>
      </c>
      <c r="O9166">
        <v>25104474.469999999</v>
      </c>
      <c r="P9166">
        <v>25107816.600000001</v>
      </c>
      <c r="Q9166">
        <v>25104474.469999999</v>
      </c>
      <c r="R9166" s="14">
        <f>_xlfn.XLOOKUP(Table2[[#This Row],[LoanID]],Table1[G-L ID],Table1[ManagerCode],-99)</f>
        <v>219</v>
      </c>
      <c r="T9166"/>
    </row>
    <row r="9167" spans="1:20" x14ac:dyDescent="0.25">
      <c r="A9167">
        <v>20190630</v>
      </c>
      <c r="B9167">
        <v>2019</v>
      </c>
      <c r="C9167">
        <v>6</v>
      </c>
      <c r="D9167">
        <v>1</v>
      </c>
      <c r="E9167">
        <v>13280</v>
      </c>
      <c r="F9167">
        <v>167916.67</v>
      </c>
      <c r="G9167">
        <v>-5416.67</v>
      </c>
      <c r="H9167">
        <v>0</v>
      </c>
      <c r="I9167">
        <v>0</v>
      </c>
      <c r="J9167">
        <v>0</v>
      </c>
      <c r="K9167">
        <v>0</v>
      </c>
      <c r="L9167">
        <v>20317916.870000001</v>
      </c>
      <c r="M9167">
        <v>20312500.199999999</v>
      </c>
      <c r="N9167">
        <v>20317916.870000001</v>
      </c>
      <c r="O9167">
        <v>20312500.199999999</v>
      </c>
      <c r="P9167">
        <v>20167916.670000002</v>
      </c>
      <c r="Q9167">
        <v>20162500</v>
      </c>
      <c r="R9167" s="14">
        <f>_xlfn.XLOOKUP(Table2[[#This Row],[LoanID]],Table1[G-L ID],Table1[ManagerCode],-99)</f>
        <v>219</v>
      </c>
      <c r="T9167"/>
    </row>
    <row r="9168" spans="1:20" x14ac:dyDescent="0.25">
      <c r="A9168">
        <v>20190630</v>
      </c>
      <c r="B9168">
        <v>2019</v>
      </c>
      <c r="C9168">
        <v>6</v>
      </c>
      <c r="D9168">
        <v>1</v>
      </c>
      <c r="E9168">
        <v>13290</v>
      </c>
      <c r="F9168">
        <v>0</v>
      </c>
      <c r="G9168">
        <v>150000</v>
      </c>
      <c r="H9168">
        <v>0</v>
      </c>
      <c r="I9168">
        <v>0</v>
      </c>
      <c r="J9168">
        <v>0</v>
      </c>
      <c r="K9168">
        <v>0</v>
      </c>
      <c r="L9168">
        <v>20000000</v>
      </c>
      <c r="M9168">
        <v>20150000</v>
      </c>
      <c r="N9168">
        <v>20000000</v>
      </c>
      <c r="O9168">
        <v>20150000</v>
      </c>
      <c r="P9168">
        <v>20000000</v>
      </c>
      <c r="Q9168">
        <v>20150000</v>
      </c>
      <c r="R9168" s="14">
        <f>_xlfn.XLOOKUP(Table2[[#This Row],[LoanID]],Table1[G-L ID],Table1[ManagerCode],-99)</f>
        <v>219</v>
      </c>
      <c r="T9168"/>
    </row>
    <row r="9169" spans="1:20" x14ac:dyDescent="0.25">
      <c r="A9169">
        <v>20190630</v>
      </c>
      <c r="B9169">
        <v>2019</v>
      </c>
      <c r="C9169">
        <v>6</v>
      </c>
      <c r="D9169">
        <v>1</v>
      </c>
      <c r="E9169">
        <v>13300</v>
      </c>
      <c r="F9169">
        <v>215277.78</v>
      </c>
      <c r="G9169">
        <v>-6944.45</v>
      </c>
      <c r="H9169">
        <v>0</v>
      </c>
      <c r="I9169">
        <v>0</v>
      </c>
      <c r="J9169">
        <v>0</v>
      </c>
      <c r="K9169">
        <v>0</v>
      </c>
      <c r="L9169">
        <v>25215277.780000001</v>
      </c>
      <c r="M9169">
        <v>25208333.329999998</v>
      </c>
      <c r="N9169">
        <v>25215277.780000001</v>
      </c>
      <c r="O9169">
        <v>25208333.329999998</v>
      </c>
      <c r="P9169">
        <v>25215277.780000001</v>
      </c>
      <c r="Q9169">
        <v>25208333.329999998</v>
      </c>
      <c r="R9169" s="14">
        <f>_xlfn.XLOOKUP(Table2[[#This Row],[LoanID]],Table1[G-L ID],Table1[ManagerCode],-99)</f>
        <v>219</v>
      </c>
      <c r="T9169"/>
    </row>
    <row r="9170" spans="1:20" x14ac:dyDescent="0.25">
      <c r="A9170">
        <v>20190630</v>
      </c>
      <c r="B9170">
        <v>2019</v>
      </c>
      <c r="C9170">
        <v>6</v>
      </c>
      <c r="D9170">
        <v>1</v>
      </c>
      <c r="E9170">
        <v>13310</v>
      </c>
      <c r="F9170">
        <v>127116.95</v>
      </c>
      <c r="G9170">
        <v>0</v>
      </c>
      <c r="H9170">
        <v>0</v>
      </c>
      <c r="I9170">
        <v>0</v>
      </c>
      <c r="J9170">
        <v>0</v>
      </c>
      <c r="K9170">
        <v>0</v>
      </c>
      <c r="L9170">
        <v>15600000</v>
      </c>
      <c r="M9170">
        <v>15600000</v>
      </c>
      <c r="N9170">
        <v>15600000</v>
      </c>
      <c r="O9170">
        <v>15600000</v>
      </c>
      <c r="P9170">
        <v>15600000</v>
      </c>
      <c r="Q9170">
        <v>15600000</v>
      </c>
      <c r="R9170" s="14">
        <f>_xlfn.XLOOKUP(Table2[[#This Row],[LoanID]],Table1[G-L ID],Table1[ManagerCode],-99)</f>
        <v>119</v>
      </c>
      <c r="T9170"/>
    </row>
    <row r="9171" spans="1:20" x14ac:dyDescent="0.25">
      <c r="A9171">
        <v>20190630</v>
      </c>
      <c r="B9171">
        <v>2019</v>
      </c>
      <c r="C9171">
        <v>6</v>
      </c>
      <c r="D9171">
        <v>1</v>
      </c>
      <c r="E9171">
        <v>13320</v>
      </c>
      <c r="F9171">
        <v>146616.57</v>
      </c>
      <c r="G9171">
        <v>0</v>
      </c>
      <c r="H9171">
        <v>0</v>
      </c>
      <c r="I9171">
        <v>0</v>
      </c>
      <c r="J9171">
        <v>0</v>
      </c>
      <c r="K9171">
        <v>0</v>
      </c>
      <c r="L9171">
        <v>18600000</v>
      </c>
      <c r="M9171">
        <v>18600000</v>
      </c>
      <c r="N9171">
        <v>18600000</v>
      </c>
      <c r="O9171">
        <v>18600000</v>
      </c>
      <c r="P9171">
        <v>18600000</v>
      </c>
      <c r="Q9171">
        <v>18600000</v>
      </c>
      <c r="R9171" s="14">
        <f>_xlfn.XLOOKUP(Table2[[#This Row],[LoanID]],Table1[G-L ID],Table1[ManagerCode],-99)</f>
        <v>119</v>
      </c>
      <c r="T9171"/>
    </row>
    <row r="9172" spans="1:20" x14ac:dyDescent="0.25">
      <c r="A9172">
        <v>20190630</v>
      </c>
      <c r="B9172">
        <v>2019</v>
      </c>
      <c r="C9172">
        <v>6</v>
      </c>
      <c r="D9172">
        <v>1</v>
      </c>
      <c r="E9172">
        <v>13330</v>
      </c>
      <c r="F9172">
        <v>126435.22</v>
      </c>
      <c r="G9172">
        <v>0</v>
      </c>
      <c r="H9172">
        <v>0</v>
      </c>
      <c r="I9172">
        <v>0</v>
      </c>
      <c r="J9172">
        <v>0</v>
      </c>
      <c r="K9172">
        <v>0</v>
      </c>
      <c r="L9172">
        <v>14200000</v>
      </c>
      <c r="M9172">
        <v>14200000</v>
      </c>
      <c r="N9172">
        <v>14200000</v>
      </c>
      <c r="O9172">
        <v>14200000</v>
      </c>
      <c r="P9172">
        <v>14200000</v>
      </c>
      <c r="Q9172">
        <v>14200000</v>
      </c>
      <c r="R9172" s="14">
        <f>_xlfn.XLOOKUP(Table2[[#This Row],[LoanID]],Table1[G-L ID],Table1[ManagerCode],-99)</f>
        <v>119</v>
      </c>
      <c r="T9172"/>
    </row>
    <row r="9173" spans="1:20" x14ac:dyDescent="0.25">
      <c r="A9173">
        <v>20190630</v>
      </c>
      <c r="B9173">
        <v>2019</v>
      </c>
      <c r="C9173">
        <v>6</v>
      </c>
      <c r="D9173">
        <v>1</v>
      </c>
      <c r="E9173">
        <v>13340</v>
      </c>
      <c r="F9173">
        <v>193620.83</v>
      </c>
      <c r="G9173">
        <v>0</v>
      </c>
      <c r="H9173">
        <v>0</v>
      </c>
      <c r="I9173">
        <v>0</v>
      </c>
      <c r="J9173">
        <v>0</v>
      </c>
      <c r="K9173">
        <v>0</v>
      </c>
      <c r="L9173">
        <v>25000000</v>
      </c>
      <c r="M9173">
        <v>25000000</v>
      </c>
      <c r="N9173">
        <v>25000000</v>
      </c>
      <c r="O9173">
        <v>25000000</v>
      </c>
      <c r="P9173">
        <v>25000000</v>
      </c>
      <c r="Q9173">
        <v>25000000</v>
      </c>
      <c r="R9173" s="14">
        <f>_xlfn.XLOOKUP(Table2[[#This Row],[LoanID]],Table1[G-L ID],Table1[ManagerCode],-99)</f>
        <v>119</v>
      </c>
      <c r="T9173"/>
    </row>
    <row r="9174" spans="1:20" x14ac:dyDescent="0.25">
      <c r="A9174">
        <v>20190630</v>
      </c>
      <c r="B9174">
        <v>2019</v>
      </c>
      <c r="C9174">
        <v>6</v>
      </c>
      <c r="D9174">
        <v>1</v>
      </c>
      <c r="E9174">
        <v>13350</v>
      </c>
      <c r="F9174">
        <v>51460.61</v>
      </c>
      <c r="G9174">
        <v>0</v>
      </c>
      <c r="H9174">
        <v>0</v>
      </c>
      <c r="I9174">
        <v>0</v>
      </c>
      <c r="J9174">
        <v>0</v>
      </c>
      <c r="K9174">
        <v>0</v>
      </c>
      <c r="L9174">
        <v>6329715</v>
      </c>
      <c r="M9174">
        <v>6329715</v>
      </c>
      <c r="N9174">
        <v>6329715</v>
      </c>
      <c r="O9174">
        <v>6329715</v>
      </c>
      <c r="P9174">
        <v>6329715</v>
      </c>
      <c r="Q9174">
        <v>6329715</v>
      </c>
      <c r="R9174" s="14">
        <f>_xlfn.XLOOKUP(Table2[[#This Row],[LoanID]],Table1[G-L ID],Table1[ManagerCode],-99)</f>
        <v>119</v>
      </c>
      <c r="T9174"/>
    </row>
    <row r="9175" spans="1:20" x14ac:dyDescent="0.25">
      <c r="A9175">
        <v>20190630</v>
      </c>
      <c r="B9175">
        <v>2019</v>
      </c>
      <c r="C9175">
        <v>6</v>
      </c>
      <c r="D9175">
        <v>1</v>
      </c>
      <c r="E9175">
        <v>13360</v>
      </c>
      <c r="F9175">
        <v>256382.65</v>
      </c>
      <c r="G9175">
        <v>0</v>
      </c>
      <c r="H9175">
        <v>0</v>
      </c>
      <c r="I9175">
        <v>0</v>
      </c>
      <c r="J9175">
        <v>0</v>
      </c>
      <c r="K9175">
        <v>0</v>
      </c>
      <c r="L9175">
        <v>30299984.32</v>
      </c>
      <c r="M9175">
        <v>30299984.32</v>
      </c>
      <c r="N9175">
        <v>30299984.32</v>
      </c>
      <c r="O9175">
        <v>30299984.32</v>
      </c>
      <c r="P9175">
        <v>30299984.32</v>
      </c>
      <c r="Q9175">
        <v>30299984.32</v>
      </c>
      <c r="R9175" s="14">
        <f>_xlfn.XLOOKUP(Table2[[#This Row],[LoanID]],Table1[G-L ID],Table1[ManagerCode],-99)</f>
        <v>119</v>
      </c>
      <c r="T9175"/>
    </row>
    <row r="9176" spans="1:20" x14ac:dyDescent="0.25">
      <c r="A9176">
        <v>20190630</v>
      </c>
      <c r="B9176">
        <v>2019</v>
      </c>
      <c r="C9176">
        <v>6</v>
      </c>
      <c r="D9176">
        <v>1</v>
      </c>
      <c r="E9176">
        <v>13370</v>
      </c>
      <c r="F9176">
        <v>184019.5</v>
      </c>
      <c r="G9176">
        <v>0</v>
      </c>
      <c r="H9176">
        <v>0</v>
      </c>
      <c r="I9176">
        <v>0</v>
      </c>
      <c r="J9176">
        <v>0</v>
      </c>
      <c r="K9176">
        <v>0</v>
      </c>
      <c r="L9176">
        <v>42630000</v>
      </c>
      <c r="M9176">
        <v>42630000</v>
      </c>
      <c r="N9176">
        <v>42630000</v>
      </c>
      <c r="O9176">
        <v>42630000</v>
      </c>
      <c r="P9176">
        <v>42630000</v>
      </c>
      <c r="Q9176">
        <v>42630000</v>
      </c>
      <c r="R9176" s="14">
        <f>_xlfn.XLOOKUP(Table2[[#This Row],[LoanID]],Table1[G-L ID],Table1[ManagerCode],-99)</f>
        <v>183</v>
      </c>
      <c r="T9176"/>
    </row>
    <row r="9177" spans="1:20" x14ac:dyDescent="0.25">
      <c r="A9177">
        <v>20190630</v>
      </c>
      <c r="B9177">
        <v>2019</v>
      </c>
      <c r="C9177">
        <v>6</v>
      </c>
      <c r="D9177">
        <v>1</v>
      </c>
      <c r="E9177">
        <v>13380</v>
      </c>
      <c r="F9177">
        <v>59484.03</v>
      </c>
      <c r="G9177">
        <v>0</v>
      </c>
      <c r="H9177">
        <v>0</v>
      </c>
      <c r="I9177">
        <v>0</v>
      </c>
      <c r="J9177">
        <v>0</v>
      </c>
      <c r="K9177">
        <v>0</v>
      </c>
      <c r="L9177">
        <v>32000000</v>
      </c>
      <c r="M9177">
        <v>32000000</v>
      </c>
      <c r="N9177">
        <v>11200000</v>
      </c>
      <c r="O9177">
        <v>11200000</v>
      </c>
      <c r="P9177">
        <v>32000000</v>
      </c>
      <c r="Q9177">
        <v>32000000</v>
      </c>
      <c r="R9177" s="14">
        <f>_xlfn.XLOOKUP(Table2[[#This Row],[LoanID]],Table1[G-L ID],Table1[ManagerCode],-99)</f>
        <v>183</v>
      </c>
      <c r="T9177"/>
    </row>
    <row r="9178" spans="1:20" x14ac:dyDescent="0.25">
      <c r="A9178">
        <v>20190630</v>
      </c>
      <c r="B9178">
        <v>2019</v>
      </c>
      <c r="C9178">
        <v>6</v>
      </c>
      <c r="D9178">
        <v>1</v>
      </c>
      <c r="E9178">
        <v>13390</v>
      </c>
      <c r="F9178">
        <v>126217.7</v>
      </c>
      <c r="G9178">
        <v>0</v>
      </c>
      <c r="H9178">
        <v>0</v>
      </c>
      <c r="I9178">
        <v>0</v>
      </c>
      <c r="J9178">
        <v>0</v>
      </c>
      <c r="K9178">
        <v>0</v>
      </c>
      <c r="L9178">
        <v>48343461.420000002</v>
      </c>
      <c r="M9178">
        <v>48343461.420000002</v>
      </c>
      <c r="N9178">
        <v>19427384.420000002</v>
      </c>
      <c r="O9178">
        <v>19427384.420000002</v>
      </c>
      <c r="P9178">
        <v>48343461.420000002</v>
      </c>
      <c r="Q9178">
        <v>48343461.420000002</v>
      </c>
      <c r="R9178" s="14">
        <f>_xlfn.XLOOKUP(Table2[[#This Row],[LoanID]],Table1[G-L ID],Table1[ManagerCode],-99)</f>
        <v>183</v>
      </c>
      <c r="T9178"/>
    </row>
    <row r="9179" spans="1:20" x14ac:dyDescent="0.25">
      <c r="A9179">
        <v>20190630</v>
      </c>
      <c r="B9179">
        <v>2019</v>
      </c>
      <c r="C9179">
        <v>6</v>
      </c>
      <c r="D9179">
        <v>1</v>
      </c>
      <c r="E9179">
        <v>13400</v>
      </c>
      <c r="F9179">
        <v>62564.72</v>
      </c>
      <c r="G9179">
        <v>0</v>
      </c>
      <c r="H9179">
        <v>0</v>
      </c>
      <c r="I9179">
        <v>0</v>
      </c>
      <c r="J9179">
        <v>0</v>
      </c>
      <c r="K9179">
        <v>0</v>
      </c>
      <c r="L9179">
        <v>31750000</v>
      </c>
      <c r="M9179">
        <v>31750000</v>
      </c>
      <c r="N9179">
        <v>11112500</v>
      </c>
      <c r="O9179">
        <v>11112500</v>
      </c>
      <c r="P9179">
        <v>31750000</v>
      </c>
      <c r="Q9179">
        <v>31750000</v>
      </c>
      <c r="R9179" s="14">
        <f>_xlfn.XLOOKUP(Table2[[#This Row],[LoanID]],Table1[G-L ID],Table1[ManagerCode],-99)</f>
        <v>183</v>
      </c>
      <c r="T9179"/>
    </row>
    <row r="9180" spans="1:20" x14ac:dyDescent="0.25">
      <c r="A9180">
        <v>20190630</v>
      </c>
      <c r="B9180">
        <v>2019</v>
      </c>
      <c r="C9180">
        <v>6</v>
      </c>
      <c r="D9180">
        <v>1</v>
      </c>
      <c r="E9180">
        <v>13410</v>
      </c>
      <c r="F9180">
        <v>64257.61</v>
      </c>
      <c r="G9180">
        <v>0</v>
      </c>
      <c r="H9180">
        <v>0</v>
      </c>
      <c r="I9180">
        <v>0</v>
      </c>
      <c r="J9180">
        <v>-478016.01</v>
      </c>
      <c r="K9180">
        <v>0</v>
      </c>
      <c r="L9180">
        <v>33265178.420000002</v>
      </c>
      <c r="M9180">
        <v>33743194.43</v>
      </c>
      <c r="N9180">
        <v>12395178.42</v>
      </c>
      <c r="O9180">
        <v>12873194.43</v>
      </c>
      <c r="P9180">
        <v>33265178.420000002</v>
      </c>
      <c r="Q9180">
        <v>33743194.43</v>
      </c>
      <c r="R9180" s="14">
        <f>_xlfn.XLOOKUP(Table2[[#This Row],[LoanID]],Table1[G-L ID],Table1[ManagerCode],-99)</f>
        <v>183</v>
      </c>
      <c r="T9180"/>
    </row>
    <row r="9181" spans="1:20" x14ac:dyDescent="0.25">
      <c r="A9181">
        <v>20190630</v>
      </c>
      <c r="B9181">
        <v>2019</v>
      </c>
      <c r="C9181">
        <v>6</v>
      </c>
      <c r="D9181">
        <v>1</v>
      </c>
      <c r="E9181">
        <v>13420</v>
      </c>
      <c r="F9181">
        <v>61603.75</v>
      </c>
      <c r="G9181">
        <v>0</v>
      </c>
      <c r="H9181">
        <v>0</v>
      </c>
      <c r="I9181">
        <v>0</v>
      </c>
      <c r="J9181">
        <v>0</v>
      </c>
      <c r="K9181">
        <v>0</v>
      </c>
      <c r="L9181">
        <v>29872783</v>
      </c>
      <c r="M9181">
        <v>29872783</v>
      </c>
      <c r="N9181">
        <v>13377870</v>
      </c>
      <c r="O9181">
        <v>13377870</v>
      </c>
      <c r="P9181">
        <v>29872783</v>
      </c>
      <c r="Q9181">
        <v>29872783</v>
      </c>
      <c r="R9181" s="14">
        <f>_xlfn.XLOOKUP(Table2[[#This Row],[LoanID]],Table1[G-L ID],Table1[ManagerCode],-99)</f>
        <v>183</v>
      </c>
      <c r="T9181"/>
    </row>
    <row r="9182" spans="1:20" x14ac:dyDescent="0.25">
      <c r="A9182">
        <v>20190630</v>
      </c>
      <c r="B9182">
        <v>2019</v>
      </c>
      <c r="C9182">
        <v>6</v>
      </c>
      <c r="D9182">
        <v>1</v>
      </c>
      <c r="E9182">
        <v>13430</v>
      </c>
      <c r="F9182">
        <v>156965.82999999999</v>
      </c>
      <c r="G9182">
        <v>0</v>
      </c>
      <c r="H9182">
        <v>0</v>
      </c>
      <c r="I9182">
        <v>0</v>
      </c>
      <c r="J9182">
        <v>0</v>
      </c>
      <c r="K9182">
        <v>0</v>
      </c>
      <c r="L9182">
        <v>75000000</v>
      </c>
      <c r="M9182">
        <v>75000000</v>
      </c>
      <c r="N9182">
        <v>30882353</v>
      </c>
      <c r="O9182">
        <v>30882353</v>
      </c>
      <c r="P9182">
        <v>75000000</v>
      </c>
      <c r="Q9182">
        <v>75000000</v>
      </c>
      <c r="R9182" s="14">
        <f>_xlfn.XLOOKUP(Table2[[#This Row],[LoanID]],Table1[G-L ID],Table1[ManagerCode],-99)</f>
        <v>183</v>
      </c>
      <c r="T9182"/>
    </row>
    <row r="9183" spans="1:20" x14ac:dyDescent="0.25">
      <c r="A9183">
        <v>20190630</v>
      </c>
      <c r="B9183">
        <v>2019</v>
      </c>
      <c r="C9183">
        <v>6</v>
      </c>
      <c r="D9183">
        <v>1</v>
      </c>
      <c r="E9183">
        <v>13440</v>
      </c>
      <c r="F9183">
        <v>0</v>
      </c>
      <c r="G9183">
        <v>114436.41</v>
      </c>
      <c r="H9183">
        <v>0</v>
      </c>
      <c r="I9183">
        <v>0</v>
      </c>
      <c r="J9183">
        <v>0</v>
      </c>
      <c r="K9183">
        <v>0</v>
      </c>
      <c r="L9183">
        <v>11556956.119999999</v>
      </c>
      <c r="M9183">
        <v>11671392.529999999</v>
      </c>
      <c r="N9183">
        <v>11556956.119999999</v>
      </c>
      <c r="O9183">
        <v>11671392.529999999</v>
      </c>
      <c r="P9183">
        <v>11556956.119999999</v>
      </c>
      <c r="Q9183">
        <v>11671392.529999999</v>
      </c>
      <c r="R9183" s="14">
        <f>_xlfn.XLOOKUP(Table2[[#This Row],[LoanID]],Table1[G-L ID],Table1[ManagerCode],-99)</f>
        <v>183</v>
      </c>
      <c r="T9183"/>
    </row>
    <row r="9184" spans="1:20" x14ac:dyDescent="0.25">
      <c r="A9184">
        <v>20190630</v>
      </c>
      <c r="B9184">
        <v>2019</v>
      </c>
      <c r="C9184">
        <v>6</v>
      </c>
      <c r="D9184">
        <v>1</v>
      </c>
      <c r="E9184">
        <v>13450</v>
      </c>
      <c r="F9184">
        <v>0</v>
      </c>
      <c r="G9184">
        <v>75447.37</v>
      </c>
      <c r="H9184">
        <v>0</v>
      </c>
      <c r="I9184">
        <v>0</v>
      </c>
      <c r="J9184">
        <v>-2237059.6800000002</v>
      </c>
      <c r="K9184">
        <v>0</v>
      </c>
      <c r="L9184">
        <v>6866394.5</v>
      </c>
      <c r="M9184">
        <v>9178901.5500000007</v>
      </c>
      <c r="N9184">
        <v>6866394.5</v>
      </c>
      <c r="O9184">
        <v>9178901.5500000007</v>
      </c>
      <c r="P9184">
        <v>6866394.5</v>
      </c>
      <c r="Q9184">
        <v>9178901.5500000007</v>
      </c>
      <c r="R9184" s="14">
        <f>_xlfn.XLOOKUP(Table2[[#This Row],[LoanID]],Table1[G-L ID],Table1[ManagerCode],-99)</f>
        <v>183</v>
      </c>
      <c r="T9184"/>
    </row>
    <row r="9185" spans="1:20" x14ac:dyDescent="0.25">
      <c r="A9185">
        <v>20190630</v>
      </c>
      <c r="B9185">
        <v>2019</v>
      </c>
      <c r="C9185">
        <v>6</v>
      </c>
      <c r="D9185">
        <v>1</v>
      </c>
      <c r="E9185">
        <v>13460</v>
      </c>
      <c r="F9185">
        <v>6433.42</v>
      </c>
      <c r="G9185">
        <v>9971.82</v>
      </c>
      <c r="H9185">
        <v>0</v>
      </c>
      <c r="I9185">
        <v>0</v>
      </c>
      <c r="J9185">
        <v>-814262.15</v>
      </c>
      <c r="K9185">
        <v>0</v>
      </c>
      <c r="L9185">
        <v>1246045.77</v>
      </c>
      <c r="M9185">
        <v>2070279.74</v>
      </c>
      <c r="N9185">
        <v>1246045.77</v>
      </c>
      <c r="O9185">
        <v>2070279.74</v>
      </c>
      <c r="P9185">
        <v>1246045.77</v>
      </c>
      <c r="Q9185">
        <v>2070279.74</v>
      </c>
      <c r="R9185" s="14">
        <f>_xlfn.XLOOKUP(Table2[[#This Row],[LoanID]],Table1[G-L ID],Table1[ManagerCode],-99)</f>
        <v>183</v>
      </c>
      <c r="T9185"/>
    </row>
    <row r="9186" spans="1:20" x14ac:dyDescent="0.25">
      <c r="A9186">
        <v>20190630</v>
      </c>
      <c r="B9186">
        <v>2019</v>
      </c>
      <c r="C9186">
        <v>6</v>
      </c>
      <c r="D9186">
        <v>1</v>
      </c>
      <c r="E9186">
        <v>13470</v>
      </c>
      <c r="F9186">
        <v>356553.82</v>
      </c>
      <c r="G9186">
        <v>0</v>
      </c>
      <c r="H9186">
        <v>0</v>
      </c>
      <c r="I9186">
        <v>0</v>
      </c>
      <c r="J9186">
        <v>0</v>
      </c>
      <c r="K9186">
        <v>0</v>
      </c>
      <c r="L9186">
        <v>62500000</v>
      </c>
      <c r="M9186">
        <v>62500000</v>
      </c>
      <c r="N9186">
        <v>62500000</v>
      </c>
      <c r="O9186">
        <v>62500000</v>
      </c>
      <c r="P9186">
        <v>62500000</v>
      </c>
      <c r="Q9186">
        <v>62500000</v>
      </c>
      <c r="R9186" s="14">
        <f>_xlfn.XLOOKUP(Table2[[#This Row],[LoanID]],Table1[G-L ID],Table1[ManagerCode],-99)</f>
        <v>165</v>
      </c>
      <c r="T9186"/>
    </row>
    <row r="9187" spans="1:20" x14ac:dyDescent="0.25">
      <c r="A9187">
        <v>20190630</v>
      </c>
      <c r="B9187">
        <v>2019</v>
      </c>
      <c r="C9187">
        <v>6</v>
      </c>
      <c r="D9187">
        <v>1</v>
      </c>
      <c r="E9187">
        <v>13480</v>
      </c>
      <c r="F9187">
        <v>250531.67</v>
      </c>
      <c r="G9187">
        <v>0</v>
      </c>
      <c r="H9187">
        <v>0</v>
      </c>
      <c r="I9187">
        <v>0</v>
      </c>
      <c r="J9187">
        <v>0</v>
      </c>
      <c r="K9187">
        <v>0</v>
      </c>
      <c r="L9187">
        <v>39000000</v>
      </c>
      <c r="M9187">
        <v>39000000</v>
      </c>
      <c r="N9187">
        <v>39000000</v>
      </c>
      <c r="O9187">
        <v>39000000</v>
      </c>
      <c r="P9187">
        <v>39000000</v>
      </c>
      <c r="Q9187">
        <v>39000000</v>
      </c>
      <c r="R9187" s="14">
        <f>_xlfn.XLOOKUP(Table2[[#This Row],[LoanID]],Table1[G-L ID],Table1[ManagerCode],-99)</f>
        <v>165</v>
      </c>
      <c r="T9187"/>
    </row>
    <row r="9188" spans="1:20" x14ac:dyDescent="0.25">
      <c r="A9188">
        <v>20190630</v>
      </c>
      <c r="B9188">
        <v>2019</v>
      </c>
      <c r="C9188">
        <v>6</v>
      </c>
      <c r="D9188">
        <v>1</v>
      </c>
      <c r="E9188">
        <v>13490</v>
      </c>
      <c r="F9188">
        <v>303800</v>
      </c>
      <c r="G9188">
        <v>0</v>
      </c>
      <c r="H9188">
        <v>0</v>
      </c>
      <c r="I9188">
        <v>0</v>
      </c>
      <c r="J9188">
        <v>0</v>
      </c>
      <c r="K9188">
        <v>0</v>
      </c>
      <c r="L9188">
        <v>40000000</v>
      </c>
      <c r="M9188">
        <v>40000000</v>
      </c>
      <c r="N9188">
        <v>40000000</v>
      </c>
      <c r="O9188">
        <v>40000000</v>
      </c>
      <c r="P9188">
        <v>40000000</v>
      </c>
      <c r="Q9188">
        <v>40000000</v>
      </c>
      <c r="R9188" s="14">
        <f>_xlfn.XLOOKUP(Table2[[#This Row],[LoanID]],Table1[G-L ID],Table1[ManagerCode],-99)</f>
        <v>165</v>
      </c>
      <c r="T9188"/>
    </row>
    <row r="9189" spans="1:20" x14ac:dyDescent="0.25">
      <c r="A9189">
        <v>20190630</v>
      </c>
      <c r="B9189">
        <v>2019</v>
      </c>
      <c r="C9189">
        <v>6</v>
      </c>
      <c r="D9189">
        <v>1</v>
      </c>
      <c r="E9189">
        <v>13500</v>
      </c>
      <c r="F9189">
        <v>283628.46999999997</v>
      </c>
      <c r="G9189">
        <v>0</v>
      </c>
      <c r="H9189">
        <v>0</v>
      </c>
      <c r="I9189">
        <v>0</v>
      </c>
      <c r="J9189">
        <v>0</v>
      </c>
      <c r="K9189">
        <v>0</v>
      </c>
      <c r="L9189">
        <v>42500000</v>
      </c>
      <c r="M9189">
        <v>42500000</v>
      </c>
      <c r="N9189">
        <v>42500000</v>
      </c>
      <c r="O9189">
        <v>42500000</v>
      </c>
      <c r="P9189">
        <v>42500000</v>
      </c>
      <c r="Q9189">
        <v>42500000</v>
      </c>
      <c r="R9189" s="14">
        <f>_xlfn.XLOOKUP(Table2[[#This Row],[LoanID]],Table1[G-L ID],Table1[ManagerCode],-99)</f>
        <v>165</v>
      </c>
      <c r="T9189"/>
    </row>
    <row r="9190" spans="1:20" x14ac:dyDescent="0.25">
      <c r="A9190">
        <v>20190630</v>
      </c>
      <c r="B9190">
        <v>2019</v>
      </c>
      <c r="C9190">
        <v>6</v>
      </c>
      <c r="D9190">
        <v>1</v>
      </c>
      <c r="E9190">
        <v>13510</v>
      </c>
      <c r="F9190">
        <v>310000</v>
      </c>
      <c r="G9190">
        <v>0</v>
      </c>
      <c r="H9190">
        <v>0</v>
      </c>
      <c r="I9190">
        <v>0</v>
      </c>
      <c r="J9190">
        <v>0</v>
      </c>
      <c r="K9190">
        <v>0</v>
      </c>
      <c r="L9190">
        <v>90000000</v>
      </c>
      <c r="M9190">
        <v>90000000</v>
      </c>
      <c r="N9190">
        <v>90000000</v>
      </c>
      <c r="O9190">
        <v>90000000</v>
      </c>
      <c r="P9190">
        <v>90000000</v>
      </c>
      <c r="Q9190">
        <v>90000000</v>
      </c>
      <c r="R9190" s="14">
        <f>_xlfn.XLOOKUP(Table2[[#This Row],[LoanID]],Table1[G-L ID],Table1[ManagerCode],-99)</f>
        <v>165</v>
      </c>
      <c r="T9190"/>
    </row>
    <row r="9191" spans="1:20" x14ac:dyDescent="0.25">
      <c r="A9191">
        <v>20190630</v>
      </c>
      <c r="B9191">
        <v>2019</v>
      </c>
      <c r="C9191">
        <v>6</v>
      </c>
      <c r="D9191">
        <v>1</v>
      </c>
      <c r="E9191">
        <v>13520</v>
      </c>
      <c r="F9191">
        <v>860572.92</v>
      </c>
      <c r="G9191">
        <v>0</v>
      </c>
      <c r="H9191">
        <v>0</v>
      </c>
      <c r="I9191">
        <v>0</v>
      </c>
      <c r="J9191">
        <v>0</v>
      </c>
      <c r="K9191">
        <v>0</v>
      </c>
      <c r="L9191">
        <v>195000000</v>
      </c>
      <c r="M9191">
        <v>195000000</v>
      </c>
      <c r="N9191">
        <v>195000000</v>
      </c>
      <c r="O9191">
        <v>195000000</v>
      </c>
      <c r="P9191">
        <v>195000000</v>
      </c>
      <c r="Q9191">
        <v>195000000</v>
      </c>
      <c r="R9191" s="14">
        <f>_xlfn.XLOOKUP(Table2[[#This Row],[LoanID]],Table1[G-L ID],Table1[ManagerCode],-99)</f>
        <v>165</v>
      </c>
      <c r="T9191"/>
    </row>
    <row r="9192" spans="1:20" x14ac:dyDescent="0.25">
      <c r="A9192">
        <v>20190630</v>
      </c>
      <c r="B9192">
        <v>2019</v>
      </c>
      <c r="C9192">
        <v>6</v>
      </c>
      <c r="D9192">
        <v>1</v>
      </c>
      <c r="E9192">
        <v>13530</v>
      </c>
      <c r="F9192">
        <v>403645.83</v>
      </c>
      <c r="G9192">
        <v>0</v>
      </c>
      <c r="H9192">
        <v>0</v>
      </c>
      <c r="I9192">
        <v>0</v>
      </c>
      <c r="J9192">
        <v>0</v>
      </c>
      <c r="K9192">
        <v>0</v>
      </c>
      <c r="L9192">
        <v>75000000</v>
      </c>
      <c r="M9192">
        <v>75000000</v>
      </c>
      <c r="N9192">
        <v>75000000</v>
      </c>
      <c r="O9192">
        <v>75000000</v>
      </c>
      <c r="P9192">
        <v>75000000</v>
      </c>
      <c r="Q9192">
        <v>75000000</v>
      </c>
      <c r="R9192" s="14">
        <f>_xlfn.XLOOKUP(Table2[[#This Row],[LoanID]],Table1[G-L ID],Table1[ManagerCode],-99)</f>
        <v>165</v>
      </c>
      <c r="T9192"/>
    </row>
    <row r="9193" spans="1:20" x14ac:dyDescent="0.25">
      <c r="A9193">
        <v>20190630</v>
      </c>
      <c r="B9193">
        <v>2019</v>
      </c>
      <c r="C9193">
        <v>6</v>
      </c>
      <c r="D9193">
        <v>1</v>
      </c>
      <c r="E9193">
        <v>13540</v>
      </c>
      <c r="F9193">
        <v>258695.77</v>
      </c>
      <c r="G9193">
        <v>0</v>
      </c>
      <c r="H9193">
        <v>0</v>
      </c>
      <c r="I9193">
        <v>0</v>
      </c>
      <c r="J9193">
        <v>0</v>
      </c>
      <c r="K9193">
        <v>182251.57</v>
      </c>
      <c r="L9193">
        <v>41437365.100000001</v>
      </c>
      <c r="M9193">
        <v>41255113.530000001</v>
      </c>
      <c r="N9193">
        <v>41437365.100000001</v>
      </c>
      <c r="O9193">
        <v>41255113.530000001</v>
      </c>
      <c r="P9193">
        <v>41437365.100000001</v>
      </c>
      <c r="Q9193">
        <v>41255113.530000001</v>
      </c>
      <c r="R9193" s="14">
        <f>_xlfn.XLOOKUP(Table2[[#This Row],[LoanID]],Table1[G-L ID],Table1[ManagerCode],-99)</f>
        <v>165</v>
      </c>
      <c r="T9193"/>
    </row>
    <row r="9194" spans="1:20" x14ac:dyDescent="0.25">
      <c r="A9194">
        <v>20190630</v>
      </c>
      <c r="B9194">
        <v>2019</v>
      </c>
      <c r="C9194">
        <v>6</v>
      </c>
      <c r="D9194">
        <v>1</v>
      </c>
      <c r="E9194">
        <v>13550</v>
      </c>
      <c r="F9194">
        <v>1682872.91</v>
      </c>
      <c r="G9194">
        <v>0</v>
      </c>
      <c r="H9194">
        <v>0</v>
      </c>
      <c r="I9194">
        <v>0</v>
      </c>
      <c r="J9194">
        <v>0</v>
      </c>
      <c r="K9194">
        <v>0</v>
      </c>
      <c r="L9194">
        <v>355328004.80000001</v>
      </c>
      <c r="M9194">
        <v>355328004.80000001</v>
      </c>
      <c r="N9194">
        <v>355328004.80000001</v>
      </c>
      <c r="O9194">
        <v>355328004.80000001</v>
      </c>
      <c r="P9194">
        <v>355328004.80000001</v>
      </c>
      <c r="Q9194">
        <v>355328004.80000001</v>
      </c>
      <c r="R9194" s="14">
        <f>_xlfn.XLOOKUP(Table2[[#This Row],[LoanID]],Table1[G-L ID],Table1[ManagerCode],-99)</f>
        <v>165</v>
      </c>
      <c r="T9194"/>
    </row>
    <row r="9195" spans="1:20" x14ac:dyDescent="0.25">
      <c r="A9195">
        <v>20190630</v>
      </c>
      <c r="B9195">
        <v>2019</v>
      </c>
      <c r="C9195">
        <v>6</v>
      </c>
      <c r="D9195">
        <v>1</v>
      </c>
      <c r="E9195">
        <v>13560</v>
      </c>
      <c r="F9195">
        <v>627491.67000000004</v>
      </c>
      <c r="G9195">
        <v>-22376.66</v>
      </c>
      <c r="H9195">
        <v>0</v>
      </c>
      <c r="I9195">
        <v>0</v>
      </c>
      <c r="J9195">
        <v>0</v>
      </c>
      <c r="K9195">
        <v>0</v>
      </c>
      <c r="L9195">
        <v>105344108.3</v>
      </c>
      <c r="M9195">
        <v>105321731.7</v>
      </c>
      <c r="N9195">
        <v>105344108.3</v>
      </c>
      <c r="O9195">
        <v>105321731.7</v>
      </c>
      <c r="P9195">
        <v>105344108.3</v>
      </c>
      <c r="Q9195">
        <v>105321731.7</v>
      </c>
      <c r="R9195" s="14">
        <f>_xlfn.XLOOKUP(Table2[[#This Row],[LoanID]],Table1[G-L ID],Table1[ManagerCode],-99)</f>
        <v>219</v>
      </c>
      <c r="T9195"/>
    </row>
    <row r="9196" spans="1:20" x14ac:dyDescent="0.25">
      <c r="A9196">
        <v>20190630</v>
      </c>
      <c r="B9196">
        <v>2019</v>
      </c>
      <c r="C9196">
        <v>6</v>
      </c>
      <c r="D9196">
        <v>1</v>
      </c>
      <c r="E9196">
        <v>13580</v>
      </c>
      <c r="F9196">
        <v>429479.17</v>
      </c>
      <c r="G9196">
        <v>0</v>
      </c>
      <c r="H9196">
        <v>0</v>
      </c>
      <c r="I9196">
        <v>0</v>
      </c>
      <c r="J9196">
        <v>0</v>
      </c>
      <c r="K9196">
        <v>0</v>
      </c>
      <c r="L9196">
        <v>63732778.409999996</v>
      </c>
      <c r="M9196">
        <v>63776676</v>
      </c>
      <c r="N9196">
        <v>63732778.409999996</v>
      </c>
      <c r="O9196">
        <v>63776676</v>
      </c>
      <c r="P9196">
        <v>66500000</v>
      </c>
      <c r="Q9196">
        <v>66500000</v>
      </c>
      <c r="R9196" s="14">
        <f>_xlfn.XLOOKUP(Table2[[#This Row],[LoanID]],Table1[G-L ID],Table1[ManagerCode],-99)</f>
        <v>298</v>
      </c>
      <c r="T9196"/>
    </row>
    <row r="9197" spans="1:20" x14ac:dyDescent="0.25">
      <c r="A9197">
        <v>20190630</v>
      </c>
      <c r="B9197">
        <v>2019</v>
      </c>
      <c r="C9197">
        <v>6</v>
      </c>
      <c r="D9197">
        <v>1</v>
      </c>
      <c r="E9197">
        <v>13590</v>
      </c>
      <c r="F9197">
        <v>307933.33</v>
      </c>
      <c r="G9197">
        <v>0</v>
      </c>
      <c r="H9197">
        <v>0</v>
      </c>
      <c r="I9197">
        <v>0</v>
      </c>
      <c r="J9197">
        <v>0</v>
      </c>
      <c r="K9197">
        <v>0</v>
      </c>
      <c r="L9197">
        <v>40000000</v>
      </c>
      <c r="M9197">
        <v>40000000</v>
      </c>
      <c r="N9197">
        <v>40000000</v>
      </c>
      <c r="O9197">
        <v>40000000</v>
      </c>
      <c r="P9197">
        <v>40000000</v>
      </c>
      <c r="Q9197">
        <v>40000000</v>
      </c>
      <c r="R9197" s="14">
        <f>_xlfn.XLOOKUP(Table2[[#This Row],[LoanID]],Table1[G-L ID],Table1[ManagerCode],-99)</f>
        <v>298</v>
      </c>
      <c r="T9197"/>
    </row>
    <row r="9198" spans="1:20" x14ac:dyDescent="0.25">
      <c r="A9198">
        <v>20190630</v>
      </c>
      <c r="B9198">
        <v>2019</v>
      </c>
      <c r="C9198">
        <v>6</v>
      </c>
      <c r="D9198">
        <v>1</v>
      </c>
      <c r="E9198">
        <v>13600</v>
      </c>
      <c r="F9198">
        <v>379029.03</v>
      </c>
      <c r="G9198">
        <v>0</v>
      </c>
      <c r="H9198">
        <v>0</v>
      </c>
      <c r="I9198">
        <v>0</v>
      </c>
      <c r="J9198">
        <v>0</v>
      </c>
      <c r="K9198">
        <v>0</v>
      </c>
      <c r="L9198">
        <v>45970000</v>
      </c>
      <c r="M9198">
        <v>45970000</v>
      </c>
      <c r="N9198">
        <v>45970000</v>
      </c>
      <c r="O9198">
        <v>45970000</v>
      </c>
      <c r="P9198">
        <v>45970000</v>
      </c>
      <c r="Q9198">
        <v>45970000</v>
      </c>
      <c r="R9198" s="14">
        <f>_xlfn.XLOOKUP(Table2[[#This Row],[LoanID]],Table1[G-L ID],Table1[ManagerCode],-99)</f>
        <v>298</v>
      </c>
      <c r="T9198"/>
    </row>
    <row r="9199" spans="1:20" x14ac:dyDescent="0.25">
      <c r="A9199">
        <v>20190630</v>
      </c>
      <c r="B9199">
        <v>2019</v>
      </c>
      <c r="C9199">
        <v>6</v>
      </c>
      <c r="D9199">
        <v>1</v>
      </c>
      <c r="E9199">
        <v>13610</v>
      </c>
      <c r="F9199">
        <v>63291.67</v>
      </c>
      <c r="G9199">
        <v>0</v>
      </c>
      <c r="H9199">
        <v>0</v>
      </c>
      <c r="I9199">
        <v>0</v>
      </c>
      <c r="J9199">
        <v>0</v>
      </c>
      <c r="K9199">
        <v>0</v>
      </c>
      <c r="L9199">
        <v>10542185</v>
      </c>
      <c r="M9199">
        <v>10542185</v>
      </c>
      <c r="N9199">
        <v>10542185</v>
      </c>
      <c r="O9199">
        <v>10542185</v>
      </c>
      <c r="P9199">
        <v>10500000</v>
      </c>
      <c r="Q9199">
        <v>10500000</v>
      </c>
      <c r="R9199" s="14">
        <f>_xlfn.XLOOKUP(Table2[[#This Row],[LoanID]],Table1[G-L ID],Table1[ManagerCode],-99)</f>
        <v>298</v>
      </c>
      <c r="T9199"/>
    </row>
    <row r="9200" spans="1:20" x14ac:dyDescent="0.25">
      <c r="A9200">
        <v>20190630</v>
      </c>
      <c r="B9200">
        <v>2019</v>
      </c>
      <c r="C9200">
        <v>6</v>
      </c>
      <c r="D9200">
        <v>1</v>
      </c>
      <c r="E9200">
        <v>13620</v>
      </c>
      <c r="F9200">
        <v>369847.22</v>
      </c>
      <c r="G9200">
        <v>0</v>
      </c>
      <c r="H9200">
        <v>0</v>
      </c>
      <c r="I9200">
        <v>0</v>
      </c>
      <c r="J9200">
        <v>0</v>
      </c>
      <c r="K9200">
        <v>0</v>
      </c>
      <c r="L9200">
        <v>49842286</v>
      </c>
      <c r="M9200">
        <v>49842286</v>
      </c>
      <c r="N9200">
        <v>49842286</v>
      </c>
      <c r="O9200">
        <v>49842286</v>
      </c>
      <c r="P9200">
        <v>50000000</v>
      </c>
      <c r="Q9200">
        <v>50000000</v>
      </c>
      <c r="R9200" s="14">
        <f>_xlfn.XLOOKUP(Table2[[#This Row],[LoanID]],Table1[G-L ID],Table1[ManagerCode],-99)</f>
        <v>298</v>
      </c>
      <c r="T9200"/>
    </row>
    <row r="9201" spans="1:20" x14ac:dyDescent="0.25">
      <c r="A9201">
        <v>20190630</v>
      </c>
      <c r="B9201">
        <v>2019</v>
      </c>
      <c r="C9201">
        <v>6</v>
      </c>
      <c r="D9201">
        <v>1</v>
      </c>
      <c r="E9201">
        <v>13630</v>
      </c>
      <c r="F9201">
        <v>218506.94</v>
      </c>
      <c r="G9201">
        <v>0</v>
      </c>
      <c r="H9201">
        <v>0</v>
      </c>
      <c r="I9201">
        <v>0</v>
      </c>
      <c r="J9201">
        <v>0</v>
      </c>
      <c r="K9201">
        <v>0</v>
      </c>
      <c r="L9201">
        <v>30700000</v>
      </c>
      <c r="M9201">
        <v>30700000</v>
      </c>
      <c r="N9201">
        <v>30700000</v>
      </c>
      <c r="O9201">
        <v>30700000</v>
      </c>
      <c r="P9201">
        <v>35000000</v>
      </c>
      <c r="Q9201">
        <v>35000000</v>
      </c>
      <c r="R9201" s="14">
        <f>_xlfn.XLOOKUP(Table2[[#This Row],[LoanID]],Table1[G-L ID],Table1[ManagerCode],-99)</f>
        <v>298</v>
      </c>
      <c r="T9201"/>
    </row>
    <row r="9202" spans="1:20" x14ac:dyDescent="0.25">
      <c r="A9202">
        <v>20190630</v>
      </c>
      <c r="B9202">
        <v>2019</v>
      </c>
      <c r="C9202">
        <v>6</v>
      </c>
      <c r="D9202">
        <v>1</v>
      </c>
      <c r="E9202">
        <v>13640</v>
      </c>
      <c r="F9202">
        <v>226983.51</v>
      </c>
      <c r="G9202">
        <v>0</v>
      </c>
      <c r="H9202">
        <v>0</v>
      </c>
      <c r="I9202">
        <v>0</v>
      </c>
      <c r="J9202">
        <v>0</v>
      </c>
      <c r="K9202">
        <v>0</v>
      </c>
      <c r="L9202">
        <v>30714705</v>
      </c>
      <c r="M9202">
        <v>30714705</v>
      </c>
      <c r="N9202">
        <v>30714705</v>
      </c>
      <c r="O9202">
        <v>30714705</v>
      </c>
      <c r="P9202">
        <v>30125000</v>
      </c>
      <c r="Q9202">
        <v>30125000</v>
      </c>
      <c r="R9202" s="14">
        <f>_xlfn.XLOOKUP(Table2[[#This Row],[LoanID]],Table1[G-L ID],Table1[ManagerCode],-99)</f>
        <v>298</v>
      </c>
      <c r="T9202"/>
    </row>
    <row r="9203" spans="1:20" x14ac:dyDescent="0.25">
      <c r="A9203">
        <v>20190630</v>
      </c>
      <c r="B9203">
        <v>2019</v>
      </c>
      <c r="C9203">
        <v>6</v>
      </c>
      <c r="D9203">
        <v>1</v>
      </c>
      <c r="E9203">
        <v>13650</v>
      </c>
      <c r="F9203">
        <v>223888.89</v>
      </c>
      <c r="G9203">
        <v>0</v>
      </c>
      <c r="H9203">
        <v>0</v>
      </c>
      <c r="I9203">
        <v>0</v>
      </c>
      <c r="J9203">
        <v>0</v>
      </c>
      <c r="K9203">
        <v>0</v>
      </c>
      <c r="L9203">
        <v>38895325</v>
      </c>
      <c r="M9203">
        <v>38895325</v>
      </c>
      <c r="N9203">
        <v>38895325</v>
      </c>
      <c r="O9203">
        <v>38895325</v>
      </c>
      <c r="P9203">
        <v>40000000</v>
      </c>
      <c r="Q9203">
        <v>40000000</v>
      </c>
      <c r="R9203" s="14">
        <f>_xlfn.XLOOKUP(Table2[[#This Row],[LoanID]],Table1[G-L ID],Table1[ManagerCode],-99)</f>
        <v>298</v>
      </c>
      <c r="T9203"/>
    </row>
    <row r="9204" spans="1:20" x14ac:dyDescent="0.25">
      <c r="A9204">
        <v>20190630</v>
      </c>
      <c r="B9204">
        <v>2019</v>
      </c>
      <c r="C9204">
        <v>6</v>
      </c>
      <c r="D9204">
        <v>1</v>
      </c>
      <c r="E9204">
        <v>13660</v>
      </c>
      <c r="F9204">
        <v>117972.22</v>
      </c>
      <c r="G9204">
        <v>0</v>
      </c>
      <c r="H9204">
        <v>0</v>
      </c>
      <c r="I9204">
        <v>0</v>
      </c>
      <c r="J9204">
        <v>0</v>
      </c>
      <c r="K9204">
        <v>0</v>
      </c>
      <c r="L9204">
        <v>19313433</v>
      </c>
      <c r="M9204">
        <v>19313433</v>
      </c>
      <c r="N9204">
        <v>19313433</v>
      </c>
      <c r="O9204">
        <v>19313433</v>
      </c>
      <c r="P9204">
        <v>20000000</v>
      </c>
      <c r="Q9204">
        <v>20000000</v>
      </c>
      <c r="R9204" s="14">
        <f>_xlfn.XLOOKUP(Table2[[#This Row],[LoanID]],Table1[G-L ID],Table1[ManagerCode],-99)</f>
        <v>298</v>
      </c>
      <c r="T9204"/>
    </row>
    <row r="9205" spans="1:20" x14ac:dyDescent="0.25">
      <c r="A9205">
        <v>20190630</v>
      </c>
      <c r="B9205">
        <v>2019</v>
      </c>
      <c r="C9205">
        <v>6</v>
      </c>
      <c r="D9205">
        <v>1</v>
      </c>
      <c r="E9205">
        <v>13670</v>
      </c>
      <c r="F9205">
        <v>0</v>
      </c>
      <c r="G9205">
        <v>0</v>
      </c>
      <c r="H9205">
        <v>0</v>
      </c>
      <c r="I9205">
        <v>0</v>
      </c>
      <c r="J9205">
        <v>0</v>
      </c>
      <c r="K9205">
        <v>0</v>
      </c>
      <c r="L9205">
        <v>25000000</v>
      </c>
      <c r="M9205">
        <v>25000000</v>
      </c>
      <c r="N9205">
        <v>25000000</v>
      </c>
      <c r="O9205">
        <v>25000000</v>
      </c>
      <c r="P9205">
        <v>37500000</v>
      </c>
      <c r="Q9205">
        <v>37863281.25</v>
      </c>
      <c r="R9205" s="14">
        <f>_xlfn.XLOOKUP(Table2[[#This Row],[LoanID]],Table1[G-L ID],Table1[ManagerCode],-99)</f>
        <v>298</v>
      </c>
      <c r="T9205"/>
    </row>
    <row r="9206" spans="1:20" x14ac:dyDescent="0.25">
      <c r="A9206">
        <v>20190630</v>
      </c>
      <c r="B9206">
        <v>2019</v>
      </c>
      <c r="C9206">
        <v>6</v>
      </c>
      <c r="D9206">
        <v>1</v>
      </c>
      <c r="E9206">
        <v>13690</v>
      </c>
      <c r="F9206">
        <v>133472.22</v>
      </c>
      <c r="G9206">
        <v>0</v>
      </c>
      <c r="H9206">
        <v>0</v>
      </c>
      <c r="I9206">
        <v>0</v>
      </c>
      <c r="J9206">
        <v>0</v>
      </c>
      <c r="K9206">
        <v>0</v>
      </c>
      <c r="L9206">
        <v>19791063.850000001</v>
      </c>
      <c r="M9206">
        <v>19791063.850000001</v>
      </c>
      <c r="N9206">
        <v>19791063.850000001</v>
      </c>
      <c r="O9206">
        <v>19791063.850000001</v>
      </c>
      <c r="P9206">
        <v>20000000</v>
      </c>
      <c r="Q9206">
        <v>20000000</v>
      </c>
      <c r="R9206" s="14">
        <f>_xlfn.XLOOKUP(Table2[[#This Row],[LoanID]],Table1[G-L ID],Table1[ManagerCode],-99)</f>
        <v>298</v>
      </c>
      <c r="T9206"/>
    </row>
    <row r="9207" spans="1:20" x14ac:dyDescent="0.25">
      <c r="A9207">
        <v>20190630</v>
      </c>
      <c r="B9207">
        <v>2019</v>
      </c>
      <c r="C9207">
        <v>6</v>
      </c>
      <c r="D9207">
        <v>1</v>
      </c>
      <c r="E9207">
        <v>13700</v>
      </c>
      <c r="F9207">
        <v>150571.98000000001</v>
      </c>
      <c r="G9207">
        <v>0</v>
      </c>
      <c r="H9207">
        <v>0</v>
      </c>
      <c r="I9207">
        <v>0</v>
      </c>
      <c r="J9207">
        <v>-290683.90999999997</v>
      </c>
      <c r="K9207">
        <v>0</v>
      </c>
      <c r="L9207">
        <v>23346857.050000001</v>
      </c>
      <c r="M9207">
        <v>23637540.960000001</v>
      </c>
      <c r="N9207">
        <v>23346857.050000001</v>
      </c>
      <c r="O9207">
        <v>23637540.960000001</v>
      </c>
      <c r="P9207">
        <v>23346857.050000001</v>
      </c>
      <c r="Q9207">
        <v>23637540.960000001</v>
      </c>
      <c r="R9207" s="14">
        <f>_xlfn.XLOOKUP(Table2[[#This Row],[LoanID]],Table1[G-L ID],Table1[ManagerCode],-99)</f>
        <v>119</v>
      </c>
      <c r="T9207"/>
    </row>
    <row r="9208" spans="1:20" x14ac:dyDescent="0.25">
      <c r="A9208">
        <v>20190630</v>
      </c>
      <c r="B9208">
        <v>2019</v>
      </c>
      <c r="C9208">
        <v>6</v>
      </c>
      <c r="D9208">
        <v>1</v>
      </c>
      <c r="E9208">
        <v>13710</v>
      </c>
      <c r="F9208">
        <v>165210.48000000001</v>
      </c>
      <c r="G9208">
        <v>0</v>
      </c>
      <c r="H9208">
        <v>0</v>
      </c>
      <c r="I9208">
        <v>0</v>
      </c>
      <c r="J9208">
        <v>0</v>
      </c>
      <c r="K9208">
        <v>0</v>
      </c>
      <c r="L9208">
        <v>24500000</v>
      </c>
      <c r="M9208">
        <v>24500000</v>
      </c>
      <c r="N9208">
        <v>24500000</v>
      </c>
      <c r="O9208">
        <v>24500000</v>
      </c>
      <c r="P9208">
        <v>24500000</v>
      </c>
      <c r="Q9208">
        <v>24500000</v>
      </c>
      <c r="R9208" s="14">
        <f>_xlfn.XLOOKUP(Table2[[#This Row],[LoanID]],Table1[G-L ID],Table1[ManagerCode],-99)</f>
        <v>119</v>
      </c>
      <c r="T9208"/>
    </row>
    <row r="9209" spans="1:20" x14ac:dyDescent="0.25">
      <c r="A9209">
        <v>20190630</v>
      </c>
      <c r="B9209">
        <v>2019</v>
      </c>
      <c r="C9209">
        <v>6</v>
      </c>
      <c r="D9209">
        <v>1</v>
      </c>
      <c r="E9209">
        <v>13720</v>
      </c>
      <c r="F9209">
        <v>37163.43</v>
      </c>
      <c r="G9209">
        <v>0</v>
      </c>
      <c r="H9209">
        <v>0</v>
      </c>
      <c r="I9209">
        <v>0</v>
      </c>
      <c r="J9209">
        <v>-261159.6</v>
      </c>
      <c r="K9209">
        <v>0</v>
      </c>
      <c r="L9209">
        <v>4538057.0999999996</v>
      </c>
      <c r="M9209">
        <v>4799216.7</v>
      </c>
      <c r="N9209">
        <v>4538057.0999999996</v>
      </c>
      <c r="O9209">
        <v>4799216.7</v>
      </c>
      <c r="P9209">
        <v>4538057.0999999996</v>
      </c>
      <c r="Q9209">
        <v>4799216.7</v>
      </c>
      <c r="R9209" s="14">
        <f>_xlfn.XLOOKUP(Table2[[#This Row],[LoanID]],Table1[G-L ID],Table1[ManagerCode],-99)</f>
        <v>119</v>
      </c>
      <c r="T9209"/>
    </row>
    <row r="9210" spans="1:20" x14ac:dyDescent="0.25">
      <c r="A9210">
        <v>20190630</v>
      </c>
      <c r="B9210">
        <v>2019</v>
      </c>
      <c r="C9210">
        <v>6</v>
      </c>
      <c r="D9210">
        <v>1</v>
      </c>
      <c r="E9210">
        <v>13730</v>
      </c>
      <c r="F9210">
        <v>126781.75999999999</v>
      </c>
      <c r="G9210">
        <v>0</v>
      </c>
      <c r="H9210">
        <v>0</v>
      </c>
      <c r="I9210">
        <v>0</v>
      </c>
      <c r="J9210">
        <v>0</v>
      </c>
      <c r="K9210">
        <v>0</v>
      </c>
      <c r="L9210">
        <v>16380778.050000001</v>
      </c>
      <c r="M9210">
        <v>16380778.050000001</v>
      </c>
      <c r="N9210">
        <v>16380778.050000001</v>
      </c>
      <c r="O9210">
        <v>16380778.050000001</v>
      </c>
      <c r="P9210">
        <v>16380778.050000001</v>
      </c>
      <c r="Q9210">
        <v>16380778.050000001</v>
      </c>
      <c r="R9210" s="14">
        <f>_xlfn.XLOOKUP(Table2[[#This Row],[LoanID]],Table1[G-L ID],Table1[ManagerCode],-99)</f>
        <v>119</v>
      </c>
      <c r="T9210"/>
    </row>
    <row r="9211" spans="1:20" x14ac:dyDescent="0.25">
      <c r="A9211">
        <v>20190630</v>
      </c>
      <c r="B9211">
        <v>2019</v>
      </c>
      <c r="C9211">
        <v>6</v>
      </c>
      <c r="D9211">
        <v>1</v>
      </c>
      <c r="E9211">
        <v>13740</v>
      </c>
      <c r="F9211">
        <v>84770.31</v>
      </c>
      <c r="G9211">
        <v>0</v>
      </c>
      <c r="H9211">
        <v>0</v>
      </c>
      <c r="I9211">
        <v>0</v>
      </c>
      <c r="J9211">
        <v>-688117.2</v>
      </c>
      <c r="K9211">
        <v>0</v>
      </c>
      <c r="L9211">
        <v>11009607.6</v>
      </c>
      <c r="M9211">
        <v>11697724.800000001</v>
      </c>
      <c r="N9211">
        <v>11009607.6</v>
      </c>
      <c r="O9211">
        <v>11697724.800000001</v>
      </c>
      <c r="P9211">
        <v>11009607.6</v>
      </c>
      <c r="Q9211">
        <v>11697724.800000001</v>
      </c>
      <c r="R9211" s="14">
        <f>_xlfn.XLOOKUP(Table2[[#This Row],[LoanID]],Table1[G-L ID],Table1[ManagerCode],-99)</f>
        <v>119</v>
      </c>
      <c r="T9211"/>
    </row>
    <row r="9212" spans="1:20" x14ac:dyDescent="0.25">
      <c r="A9212">
        <v>20190630</v>
      </c>
      <c r="B9212">
        <v>2019</v>
      </c>
      <c r="C9212">
        <v>6</v>
      </c>
      <c r="D9212">
        <v>1</v>
      </c>
      <c r="E9212">
        <v>13790</v>
      </c>
      <c r="F9212">
        <v>159038.01</v>
      </c>
      <c r="G9212">
        <v>-5879.37</v>
      </c>
      <c r="H9212">
        <v>0</v>
      </c>
      <c r="I9212">
        <v>0</v>
      </c>
      <c r="J9212">
        <v>0</v>
      </c>
      <c r="K9212">
        <v>0</v>
      </c>
      <c r="L9212">
        <v>20728272.620000001</v>
      </c>
      <c r="M9212">
        <v>20722393.25</v>
      </c>
      <c r="N9212">
        <v>20728272.620000001</v>
      </c>
      <c r="O9212">
        <v>20722393.25</v>
      </c>
      <c r="P9212">
        <v>20728272.620000001</v>
      </c>
      <c r="Q9212">
        <v>20722393.25</v>
      </c>
      <c r="R9212" s="14">
        <f>_xlfn.XLOOKUP(Table2[[#This Row],[LoanID]],Table1[G-L ID],Table1[ManagerCode],-99)</f>
        <v>219</v>
      </c>
      <c r="T9212"/>
    </row>
    <row r="9213" spans="1:20" x14ac:dyDescent="0.25">
      <c r="A9213">
        <v>20190630</v>
      </c>
      <c r="B9213">
        <v>2019</v>
      </c>
      <c r="C9213">
        <v>6</v>
      </c>
      <c r="D9213">
        <v>1</v>
      </c>
      <c r="E9213">
        <v>13800</v>
      </c>
      <c r="F9213">
        <v>253551.07</v>
      </c>
      <c r="G9213">
        <v>0</v>
      </c>
      <c r="H9213">
        <v>0</v>
      </c>
      <c r="I9213">
        <v>0</v>
      </c>
      <c r="J9213">
        <v>0</v>
      </c>
      <c r="K9213">
        <v>0</v>
      </c>
      <c r="L9213">
        <v>80700000</v>
      </c>
      <c r="M9213">
        <v>80700000</v>
      </c>
      <c r="N9213">
        <v>32279999.719999999</v>
      </c>
      <c r="O9213">
        <v>32279999.719999999</v>
      </c>
      <c r="P9213">
        <v>80700000</v>
      </c>
      <c r="Q9213">
        <v>80700000</v>
      </c>
      <c r="R9213" s="14">
        <f>_xlfn.XLOOKUP(Table2[[#This Row],[LoanID]],Table1[G-L ID],Table1[ManagerCode],-99)</f>
        <v>183</v>
      </c>
      <c r="T9213"/>
    </row>
    <row r="9214" spans="1:20" x14ac:dyDescent="0.25">
      <c r="A9214">
        <v>20190630</v>
      </c>
      <c r="B9214">
        <v>2019</v>
      </c>
      <c r="C9214">
        <v>6</v>
      </c>
      <c r="D9214">
        <v>1</v>
      </c>
      <c r="E9214">
        <v>13810</v>
      </c>
      <c r="F9214">
        <v>121279.57</v>
      </c>
      <c r="G9214">
        <v>0</v>
      </c>
      <c r="H9214">
        <v>0</v>
      </c>
      <c r="I9214">
        <v>0</v>
      </c>
      <c r="J9214">
        <v>-131279.76</v>
      </c>
      <c r="K9214">
        <v>0</v>
      </c>
      <c r="L9214">
        <v>39214000</v>
      </c>
      <c r="M9214">
        <v>39345279.759999998</v>
      </c>
      <c r="N9214">
        <v>15685600</v>
      </c>
      <c r="O9214">
        <v>15816879.76</v>
      </c>
      <c r="P9214">
        <v>39214000</v>
      </c>
      <c r="Q9214">
        <v>39345279.759999998</v>
      </c>
      <c r="R9214" s="14">
        <f>_xlfn.XLOOKUP(Table2[[#This Row],[LoanID]],Table1[G-L ID],Table1[ManagerCode],-99)</f>
        <v>183</v>
      </c>
      <c r="T9214"/>
    </row>
    <row r="9215" spans="1:20" x14ac:dyDescent="0.25">
      <c r="A9215">
        <v>20190630</v>
      </c>
      <c r="B9215">
        <v>2019</v>
      </c>
      <c r="C9215">
        <v>6</v>
      </c>
      <c r="D9215">
        <v>1</v>
      </c>
      <c r="E9215">
        <v>13820</v>
      </c>
      <c r="F9215">
        <v>352450</v>
      </c>
      <c r="G9215">
        <v>0</v>
      </c>
      <c r="H9215">
        <v>0</v>
      </c>
      <c r="I9215">
        <v>0</v>
      </c>
      <c r="J9215">
        <v>0</v>
      </c>
      <c r="K9215">
        <v>0</v>
      </c>
      <c r="L9215">
        <v>66500000</v>
      </c>
      <c r="M9215">
        <v>66500000</v>
      </c>
      <c r="N9215">
        <v>66500000</v>
      </c>
      <c r="O9215">
        <v>66500000</v>
      </c>
      <c r="P9215">
        <v>66500000</v>
      </c>
      <c r="Q9215">
        <v>66500000</v>
      </c>
      <c r="R9215" s="14">
        <f>_xlfn.XLOOKUP(Table2[[#This Row],[LoanID]],Table1[G-L ID],Table1[ManagerCode],-99)</f>
        <v>183</v>
      </c>
      <c r="T9215"/>
    </row>
    <row r="9216" spans="1:20" x14ac:dyDescent="0.25">
      <c r="A9216">
        <v>20190630</v>
      </c>
      <c r="B9216">
        <v>2019</v>
      </c>
      <c r="C9216">
        <v>6</v>
      </c>
      <c r="D9216">
        <v>1</v>
      </c>
      <c r="E9216">
        <v>13830</v>
      </c>
      <c r="F9216">
        <v>31201.18</v>
      </c>
      <c r="G9216">
        <v>0</v>
      </c>
      <c r="H9216">
        <v>829500</v>
      </c>
      <c r="I9216">
        <v>0</v>
      </c>
      <c r="J9216">
        <v>-101000000</v>
      </c>
      <c r="K9216">
        <v>65650000</v>
      </c>
      <c r="L9216">
        <v>0</v>
      </c>
      <c r="M9216">
        <v>101000000</v>
      </c>
      <c r="N9216">
        <v>0</v>
      </c>
      <c r="O9216">
        <v>35350000</v>
      </c>
      <c r="P9216">
        <v>0</v>
      </c>
      <c r="Q9216">
        <v>101000000</v>
      </c>
      <c r="R9216" s="14">
        <f>_xlfn.XLOOKUP(Table2[[#This Row],[LoanID]],Table1[G-L ID],Table1[ManagerCode],-99)</f>
        <v>183</v>
      </c>
      <c r="T9216"/>
    </row>
    <row r="9217" spans="1:20" x14ac:dyDescent="0.25">
      <c r="A9217">
        <v>20190630</v>
      </c>
      <c r="B9217">
        <v>2019</v>
      </c>
      <c r="C9217">
        <v>6</v>
      </c>
      <c r="D9217">
        <v>1</v>
      </c>
      <c r="E9217">
        <v>14000</v>
      </c>
      <c r="F9217">
        <v>172107.53</v>
      </c>
      <c r="G9217">
        <v>0</v>
      </c>
      <c r="H9217">
        <v>0</v>
      </c>
      <c r="I9217">
        <v>0</v>
      </c>
      <c r="J9217">
        <v>0</v>
      </c>
      <c r="K9217">
        <v>0</v>
      </c>
      <c r="L9217">
        <v>98000000</v>
      </c>
      <c r="M9217">
        <v>98000000</v>
      </c>
      <c r="N9217">
        <v>39200000</v>
      </c>
      <c r="O9217">
        <v>39200000</v>
      </c>
      <c r="P9217">
        <v>98000000</v>
      </c>
      <c r="Q9217">
        <v>98000000</v>
      </c>
      <c r="R9217" s="14">
        <f>_xlfn.XLOOKUP(Table2[[#This Row],[LoanID]],Table1[G-L ID],Table1[ManagerCode],-99)</f>
        <v>183</v>
      </c>
      <c r="T9217"/>
    </row>
    <row r="9218" spans="1:20" x14ac:dyDescent="0.25">
      <c r="A9218">
        <v>20190630</v>
      </c>
      <c r="B9218">
        <v>2019</v>
      </c>
      <c r="C9218">
        <v>6</v>
      </c>
      <c r="D9218">
        <v>1</v>
      </c>
      <c r="E9218">
        <v>14010</v>
      </c>
      <c r="F9218">
        <v>81351.14</v>
      </c>
      <c r="G9218">
        <v>0</v>
      </c>
      <c r="H9218">
        <v>0</v>
      </c>
      <c r="I9218">
        <v>0</v>
      </c>
      <c r="J9218">
        <v>0</v>
      </c>
      <c r="K9218">
        <v>0</v>
      </c>
      <c r="L9218">
        <v>10038840.310000001</v>
      </c>
      <c r="M9218">
        <v>10038840.310000001</v>
      </c>
      <c r="N9218">
        <v>10038840.310000001</v>
      </c>
      <c r="O9218">
        <v>10038840.310000001</v>
      </c>
      <c r="P9218">
        <v>10038840.310000001</v>
      </c>
      <c r="Q9218">
        <v>10038840.310000001</v>
      </c>
      <c r="R9218" s="14">
        <f>_xlfn.XLOOKUP(Table2[[#This Row],[LoanID]],Table1[G-L ID],Table1[ManagerCode],-99)</f>
        <v>119</v>
      </c>
      <c r="T9218"/>
    </row>
    <row r="9219" spans="1:20" x14ac:dyDescent="0.25">
      <c r="A9219">
        <v>20190630</v>
      </c>
      <c r="B9219">
        <v>2019</v>
      </c>
      <c r="C9219">
        <v>6</v>
      </c>
      <c r="D9219">
        <v>1</v>
      </c>
      <c r="E9219">
        <v>14020</v>
      </c>
      <c r="F9219">
        <v>298422.02</v>
      </c>
      <c r="G9219">
        <v>0</v>
      </c>
      <c r="H9219">
        <v>0</v>
      </c>
      <c r="I9219">
        <v>0</v>
      </c>
      <c r="J9219">
        <v>-2145971.16</v>
      </c>
      <c r="K9219">
        <v>0</v>
      </c>
      <c r="L9219">
        <v>30834879.489999998</v>
      </c>
      <c r="M9219">
        <v>32980850.649999999</v>
      </c>
      <c r="N9219">
        <v>30834879.489999998</v>
      </c>
      <c r="O9219">
        <v>32980850.649999999</v>
      </c>
      <c r="P9219">
        <v>30834879.489999998</v>
      </c>
      <c r="Q9219">
        <v>32980850.649999999</v>
      </c>
      <c r="R9219" s="14">
        <f>_xlfn.XLOOKUP(Table2[[#This Row],[LoanID]],Table1[G-L ID],Table1[ManagerCode],-99)</f>
        <v>119</v>
      </c>
      <c r="T9219"/>
    </row>
    <row r="9220" spans="1:20" x14ac:dyDescent="0.25">
      <c r="A9220">
        <v>20190630</v>
      </c>
      <c r="B9220">
        <v>2019</v>
      </c>
      <c r="C9220">
        <v>6</v>
      </c>
      <c r="D9220">
        <v>1</v>
      </c>
      <c r="E9220">
        <v>14170</v>
      </c>
      <c r="F9220">
        <v>19009.98</v>
      </c>
      <c r="G9220">
        <v>0</v>
      </c>
      <c r="H9220">
        <v>0</v>
      </c>
      <c r="I9220">
        <v>0</v>
      </c>
      <c r="J9220">
        <v>0</v>
      </c>
      <c r="K9220">
        <v>8626.99</v>
      </c>
      <c r="L9220">
        <v>5276210.08</v>
      </c>
      <c r="M9220">
        <v>5381756.96</v>
      </c>
      <c r="N9220">
        <v>5276210.08</v>
      </c>
      <c r="O9220">
        <v>5381756.96</v>
      </c>
      <c r="P9220">
        <v>10888435.51</v>
      </c>
      <c r="Q9220">
        <v>10879808.52</v>
      </c>
      <c r="R9220" s="14">
        <f>_xlfn.XLOOKUP(Table2[[#This Row],[LoanID]],Table1[G-L ID],Table1[ManagerCode],-99)</f>
        <v>270</v>
      </c>
      <c r="T9220"/>
    </row>
    <row r="9221" spans="1:20" x14ac:dyDescent="0.25">
      <c r="A9221">
        <v>20190630</v>
      </c>
      <c r="B9221">
        <v>2019</v>
      </c>
      <c r="C9221">
        <v>6</v>
      </c>
      <c r="D9221">
        <v>1</v>
      </c>
      <c r="E9221">
        <v>14180</v>
      </c>
      <c r="F9221">
        <v>28402.93</v>
      </c>
      <c r="G9221">
        <v>0</v>
      </c>
      <c r="H9221">
        <v>0</v>
      </c>
      <c r="I9221">
        <v>0</v>
      </c>
      <c r="J9221">
        <v>0</v>
      </c>
      <c r="K9221">
        <v>11501.64</v>
      </c>
      <c r="L9221">
        <v>7589657.7000000002</v>
      </c>
      <c r="M9221">
        <v>7643995.8600000003</v>
      </c>
      <c r="N9221">
        <v>7589657.7000000002</v>
      </c>
      <c r="O9221">
        <v>7643995.8600000003</v>
      </c>
      <c r="P9221">
        <v>17094510.77</v>
      </c>
      <c r="Q9221">
        <v>17083009.129999999</v>
      </c>
      <c r="R9221" s="14">
        <f>_xlfn.XLOOKUP(Table2[[#This Row],[LoanID]],Table1[G-L ID],Table1[ManagerCode],-99)</f>
        <v>270</v>
      </c>
      <c r="T9221"/>
    </row>
    <row r="9222" spans="1:20" x14ac:dyDescent="0.25">
      <c r="A9222">
        <v>20190630</v>
      </c>
      <c r="B9222">
        <v>2019</v>
      </c>
      <c r="C9222">
        <v>6</v>
      </c>
      <c r="D9222">
        <v>1</v>
      </c>
      <c r="E9222">
        <v>14190</v>
      </c>
      <c r="F9222">
        <v>19635.2</v>
      </c>
      <c r="G9222">
        <v>0</v>
      </c>
      <c r="H9222">
        <v>0</v>
      </c>
      <c r="I9222">
        <v>0</v>
      </c>
      <c r="J9222">
        <v>0</v>
      </c>
      <c r="K9222">
        <v>7625.32</v>
      </c>
      <c r="L9222">
        <v>5066191.07</v>
      </c>
      <c r="M9222">
        <v>5187868.2</v>
      </c>
      <c r="N9222">
        <v>5066191.07</v>
      </c>
      <c r="O9222">
        <v>5187868.2</v>
      </c>
      <c r="P9222">
        <v>10776986.800000001</v>
      </c>
      <c r="Q9222">
        <v>10769361.48</v>
      </c>
      <c r="R9222" s="14">
        <f>_xlfn.XLOOKUP(Table2[[#This Row],[LoanID]],Table1[G-L ID],Table1[ManagerCode],-99)</f>
        <v>270</v>
      </c>
      <c r="T9222"/>
    </row>
    <row r="9223" spans="1:20" x14ac:dyDescent="0.25">
      <c r="A9223">
        <v>20190630</v>
      </c>
      <c r="B9223">
        <v>2019</v>
      </c>
      <c r="C9223">
        <v>6</v>
      </c>
      <c r="D9223">
        <v>1</v>
      </c>
      <c r="E9223">
        <v>14210</v>
      </c>
      <c r="F9223">
        <v>46530.35</v>
      </c>
      <c r="G9223">
        <v>0</v>
      </c>
      <c r="H9223">
        <v>0</v>
      </c>
      <c r="I9223">
        <v>0</v>
      </c>
      <c r="J9223">
        <v>0</v>
      </c>
      <c r="K9223">
        <v>0</v>
      </c>
      <c r="L9223">
        <v>7046530.3499999996</v>
      </c>
      <c r="M9223">
        <v>7046256.8600000003</v>
      </c>
      <c r="N9223">
        <v>7046530.3499999996</v>
      </c>
      <c r="O9223">
        <v>7046256.8600000003</v>
      </c>
      <c r="P9223">
        <v>9300000</v>
      </c>
      <c r="Q9223">
        <v>9300000</v>
      </c>
      <c r="R9223" s="14">
        <f>_xlfn.XLOOKUP(Table2[[#This Row],[LoanID]],Table1[G-L ID],Table1[ManagerCode],-99)</f>
        <v>270</v>
      </c>
      <c r="T9223"/>
    </row>
    <row r="9224" spans="1:20" x14ac:dyDescent="0.25">
      <c r="A9224">
        <v>20190630</v>
      </c>
      <c r="B9224">
        <v>2019</v>
      </c>
      <c r="C9224">
        <v>6</v>
      </c>
      <c r="D9224">
        <v>1</v>
      </c>
      <c r="E9224">
        <v>14230</v>
      </c>
      <c r="F9224">
        <v>145691.60999999999</v>
      </c>
      <c r="G9224">
        <v>0</v>
      </c>
      <c r="H9224">
        <v>0</v>
      </c>
      <c r="I9224">
        <v>0</v>
      </c>
      <c r="J9224">
        <v>0</v>
      </c>
      <c r="K9224">
        <v>0</v>
      </c>
      <c r="L9224">
        <v>26100715.48</v>
      </c>
      <c r="M9224">
        <v>26099723.129999999</v>
      </c>
      <c r="N9224">
        <v>26100715.48</v>
      </c>
      <c r="O9224">
        <v>26099723.129999999</v>
      </c>
      <c r="P9224">
        <v>26321000</v>
      </c>
      <c r="Q9224">
        <v>26321000</v>
      </c>
      <c r="R9224" s="14">
        <f>_xlfn.XLOOKUP(Table2[[#This Row],[LoanID]],Table1[G-L ID],Table1[ManagerCode],-99)</f>
        <v>270</v>
      </c>
      <c r="T9224"/>
    </row>
    <row r="9225" spans="1:20" x14ac:dyDescent="0.25">
      <c r="A9225">
        <v>20190630</v>
      </c>
      <c r="B9225">
        <v>2019</v>
      </c>
      <c r="C9225">
        <v>6</v>
      </c>
      <c r="D9225">
        <v>1</v>
      </c>
      <c r="E9225">
        <v>14260</v>
      </c>
      <c r="F9225">
        <v>34456.239999999998</v>
      </c>
      <c r="G9225">
        <v>0</v>
      </c>
      <c r="H9225">
        <v>0</v>
      </c>
      <c r="I9225">
        <v>0</v>
      </c>
      <c r="J9225">
        <v>0</v>
      </c>
      <c r="K9225">
        <v>0</v>
      </c>
      <c r="L9225">
        <v>6409456.2400000002</v>
      </c>
      <c r="M9225">
        <v>6409212.5</v>
      </c>
      <c r="N9225">
        <v>6409456.2400000002</v>
      </c>
      <c r="O9225">
        <v>6409212.5</v>
      </c>
      <c r="P9225">
        <v>12500000</v>
      </c>
      <c r="Q9225">
        <v>12500000</v>
      </c>
      <c r="R9225" s="14">
        <f>_xlfn.XLOOKUP(Table2[[#This Row],[LoanID]],Table1[G-L ID],Table1[ManagerCode],-99)</f>
        <v>270</v>
      </c>
      <c r="T9225"/>
    </row>
    <row r="9226" spans="1:20" x14ac:dyDescent="0.25">
      <c r="A9226">
        <v>20190630</v>
      </c>
      <c r="B9226">
        <v>2019</v>
      </c>
      <c r="C9226">
        <v>6</v>
      </c>
      <c r="D9226">
        <v>1</v>
      </c>
      <c r="E9226">
        <v>14270</v>
      </c>
      <c r="F9226">
        <v>30965</v>
      </c>
      <c r="G9226">
        <v>0</v>
      </c>
      <c r="H9226">
        <v>0</v>
      </c>
      <c r="I9226">
        <v>0</v>
      </c>
      <c r="J9226">
        <v>0</v>
      </c>
      <c r="K9226">
        <v>0</v>
      </c>
      <c r="L9226">
        <v>5130965</v>
      </c>
      <c r="M9226">
        <v>5130769.99</v>
      </c>
      <c r="N9226">
        <v>5130965</v>
      </c>
      <c r="O9226">
        <v>5130769.99</v>
      </c>
      <c r="P9226">
        <v>10000000</v>
      </c>
      <c r="Q9226">
        <v>10000000</v>
      </c>
      <c r="R9226" s="14">
        <f>_xlfn.XLOOKUP(Table2[[#This Row],[LoanID]],Table1[G-L ID],Table1[ManagerCode],-99)</f>
        <v>270</v>
      </c>
      <c r="T9226"/>
    </row>
    <row r="9227" spans="1:20" x14ac:dyDescent="0.25">
      <c r="A9227">
        <v>20190630</v>
      </c>
      <c r="B9227">
        <v>2019</v>
      </c>
      <c r="C9227">
        <v>6</v>
      </c>
      <c r="D9227">
        <v>1</v>
      </c>
      <c r="E9227">
        <v>14380</v>
      </c>
      <c r="F9227">
        <v>52466.11</v>
      </c>
      <c r="G9227">
        <v>0</v>
      </c>
      <c r="H9227">
        <v>0</v>
      </c>
      <c r="I9227">
        <v>0</v>
      </c>
      <c r="J9227">
        <v>0</v>
      </c>
      <c r="K9227">
        <v>0</v>
      </c>
      <c r="L9227">
        <v>9923841.6899999995</v>
      </c>
      <c r="M9227">
        <v>9925529.3900000006</v>
      </c>
      <c r="N9227">
        <v>9923841.6899999995</v>
      </c>
      <c r="O9227">
        <v>9925529.3900000006</v>
      </c>
      <c r="P9227">
        <v>20955891</v>
      </c>
      <c r="Q9227">
        <v>20955891</v>
      </c>
      <c r="R9227" s="14">
        <f>_xlfn.XLOOKUP(Table2[[#This Row],[LoanID]],Table1[G-L ID],Table1[ManagerCode],-99)</f>
        <v>270</v>
      </c>
      <c r="T9227"/>
    </row>
    <row r="9228" spans="1:20" x14ac:dyDescent="0.25">
      <c r="A9228">
        <v>20190630</v>
      </c>
      <c r="B9228">
        <v>2019</v>
      </c>
      <c r="C9228">
        <v>6</v>
      </c>
      <c r="D9228">
        <v>1</v>
      </c>
      <c r="E9228">
        <v>14400</v>
      </c>
      <c r="F9228">
        <v>57600</v>
      </c>
      <c r="G9228">
        <v>0</v>
      </c>
      <c r="H9228">
        <v>0</v>
      </c>
      <c r="I9228">
        <v>0</v>
      </c>
      <c r="J9228">
        <v>0</v>
      </c>
      <c r="K9228">
        <v>0</v>
      </c>
      <c r="L9228">
        <v>15399936.01</v>
      </c>
      <c r="M9228">
        <v>15369830.390000001</v>
      </c>
      <c r="N9228">
        <v>15399936.01</v>
      </c>
      <c r="O9228">
        <v>15369830.390000001</v>
      </c>
      <c r="P9228">
        <v>25600000</v>
      </c>
      <c r="Q9228">
        <v>25600000</v>
      </c>
      <c r="R9228" s="14">
        <f>_xlfn.XLOOKUP(Table2[[#This Row],[LoanID]],Table1[G-L ID],Table1[ManagerCode],-99)</f>
        <v>270</v>
      </c>
      <c r="T9228"/>
    </row>
    <row r="9229" spans="1:20" x14ac:dyDescent="0.25">
      <c r="A9229">
        <v>20190630</v>
      </c>
      <c r="B9229">
        <v>2019</v>
      </c>
      <c r="C9229">
        <v>6</v>
      </c>
      <c r="D9229">
        <v>1</v>
      </c>
      <c r="E9229">
        <v>14420</v>
      </c>
      <c r="F9229">
        <v>46166.19</v>
      </c>
      <c r="G9229">
        <v>0</v>
      </c>
      <c r="H9229">
        <v>0</v>
      </c>
      <c r="I9229">
        <v>0</v>
      </c>
      <c r="J9229">
        <v>0</v>
      </c>
      <c r="K9229">
        <v>0</v>
      </c>
      <c r="L9229">
        <v>8166317.5199999996</v>
      </c>
      <c r="M9229">
        <v>8165298.79</v>
      </c>
      <c r="N9229">
        <v>8166317.5199999996</v>
      </c>
      <c r="O9229">
        <v>8165298.79</v>
      </c>
      <c r="P9229">
        <v>13330529.109999999</v>
      </c>
      <c r="Q9229">
        <v>13330529.109999999</v>
      </c>
      <c r="R9229" s="14">
        <f>_xlfn.XLOOKUP(Table2[[#This Row],[LoanID]],Table1[G-L ID],Table1[ManagerCode],-99)</f>
        <v>270</v>
      </c>
      <c r="T9229"/>
    </row>
    <row r="9230" spans="1:20" x14ac:dyDescent="0.25">
      <c r="A9230">
        <v>20190630</v>
      </c>
      <c r="B9230">
        <v>2019</v>
      </c>
      <c r="C9230">
        <v>6</v>
      </c>
      <c r="D9230">
        <v>1</v>
      </c>
      <c r="E9230">
        <v>14460</v>
      </c>
      <c r="F9230">
        <v>14166.66</v>
      </c>
      <c r="G9230">
        <v>0</v>
      </c>
      <c r="H9230">
        <v>0</v>
      </c>
      <c r="I9230">
        <v>0</v>
      </c>
      <c r="J9230">
        <v>0</v>
      </c>
      <c r="K9230">
        <v>0</v>
      </c>
      <c r="L9230">
        <v>2041606.66</v>
      </c>
      <c r="M9230">
        <v>2038786.66</v>
      </c>
      <c r="N9230">
        <v>2041606.66</v>
      </c>
      <c r="O9230">
        <v>2038786.66</v>
      </c>
      <c r="P9230">
        <v>6142857.1500000004</v>
      </c>
      <c r="Q9230">
        <v>6142857.1500000004</v>
      </c>
      <c r="R9230" s="14">
        <f>_xlfn.XLOOKUP(Table2[[#This Row],[LoanID]],Table1[G-L ID],Table1[ManagerCode],-99)</f>
        <v>270</v>
      </c>
      <c r="T9230"/>
    </row>
    <row r="9231" spans="1:20" x14ac:dyDescent="0.25">
      <c r="A9231">
        <v>20190630</v>
      </c>
      <c r="B9231">
        <v>2019</v>
      </c>
      <c r="C9231">
        <v>6</v>
      </c>
      <c r="D9231">
        <v>1</v>
      </c>
      <c r="E9231">
        <v>14550</v>
      </c>
      <c r="F9231">
        <v>30312.48</v>
      </c>
      <c r="G9231">
        <v>0</v>
      </c>
      <c r="H9231">
        <v>0</v>
      </c>
      <c r="I9231">
        <v>0</v>
      </c>
      <c r="J9231">
        <v>0</v>
      </c>
      <c r="K9231">
        <v>7411.52</v>
      </c>
      <c r="L9231">
        <v>6187221.4699999997</v>
      </c>
      <c r="M9231">
        <v>6168607.5300000003</v>
      </c>
      <c r="N9231">
        <v>6187221.4699999997</v>
      </c>
      <c r="O9231">
        <v>6168607.5300000003</v>
      </c>
      <c r="P9231">
        <v>11803872.880000001</v>
      </c>
      <c r="Q9231">
        <v>11796461.359999999</v>
      </c>
      <c r="R9231" s="14">
        <f>_xlfn.XLOOKUP(Table2[[#This Row],[LoanID]],Table1[G-L ID],Table1[ManagerCode],-99)</f>
        <v>270</v>
      </c>
      <c r="T9231"/>
    </row>
    <row r="9232" spans="1:20" x14ac:dyDescent="0.25">
      <c r="A9232">
        <v>20190630</v>
      </c>
      <c r="B9232">
        <v>2019</v>
      </c>
      <c r="C9232">
        <v>6</v>
      </c>
      <c r="D9232">
        <v>1</v>
      </c>
      <c r="E9232">
        <v>14560</v>
      </c>
      <c r="F9232">
        <v>32300.19</v>
      </c>
      <c r="G9232">
        <v>0</v>
      </c>
      <c r="H9232">
        <v>0</v>
      </c>
      <c r="I9232">
        <v>0</v>
      </c>
      <c r="J9232">
        <v>0</v>
      </c>
      <c r="K9232">
        <v>7897.53</v>
      </c>
      <c r="L9232">
        <v>6592940.9800000004</v>
      </c>
      <c r="M9232">
        <v>6573106.4400000004</v>
      </c>
      <c r="N9232">
        <v>6592940.9800000004</v>
      </c>
      <c r="O9232">
        <v>6573106.4400000004</v>
      </c>
      <c r="P9232">
        <v>12577897.51</v>
      </c>
      <c r="Q9232">
        <v>12569999.98</v>
      </c>
      <c r="R9232" s="14">
        <f>_xlfn.XLOOKUP(Table2[[#This Row],[LoanID]],Table1[G-L ID],Table1[ManagerCode],-99)</f>
        <v>270</v>
      </c>
      <c r="T9232"/>
    </row>
    <row r="9233" spans="1:20" x14ac:dyDescent="0.25">
      <c r="A9233">
        <v>20190630</v>
      </c>
      <c r="B9233">
        <v>2019</v>
      </c>
      <c r="C9233">
        <v>6</v>
      </c>
      <c r="D9233">
        <v>1</v>
      </c>
      <c r="E9233">
        <v>14570</v>
      </c>
      <c r="F9233">
        <v>4472.34</v>
      </c>
      <c r="G9233">
        <v>0</v>
      </c>
      <c r="H9233">
        <v>0</v>
      </c>
      <c r="I9233">
        <v>0</v>
      </c>
      <c r="J9233">
        <v>0</v>
      </c>
      <c r="K9233">
        <v>1093.5</v>
      </c>
      <c r="L9233">
        <v>912868.84</v>
      </c>
      <c r="M9233">
        <v>910122.51</v>
      </c>
      <c r="N9233">
        <v>912868.84</v>
      </c>
      <c r="O9233">
        <v>910122.51</v>
      </c>
      <c r="P9233">
        <v>1741555.18</v>
      </c>
      <c r="Q9233">
        <v>1740461.68</v>
      </c>
      <c r="R9233" s="14">
        <f>_xlfn.XLOOKUP(Table2[[#This Row],[LoanID]],Table1[G-L ID],Table1[ManagerCode],-99)</f>
        <v>270</v>
      </c>
      <c r="T9233"/>
    </row>
    <row r="9234" spans="1:20" x14ac:dyDescent="0.25">
      <c r="A9234">
        <v>20190630</v>
      </c>
      <c r="B9234">
        <v>2019</v>
      </c>
      <c r="C9234">
        <v>6</v>
      </c>
      <c r="D9234">
        <v>1</v>
      </c>
      <c r="E9234">
        <v>14580</v>
      </c>
      <c r="F9234">
        <v>61208.62</v>
      </c>
      <c r="G9234">
        <v>0</v>
      </c>
      <c r="H9234">
        <v>0</v>
      </c>
      <c r="I9234">
        <v>0</v>
      </c>
      <c r="J9234">
        <v>0</v>
      </c>
      <c r="K9234">
        <v>0</v>
      </c>
      <c r="L9234">
        <v>12256589.84</v>
      </c>
      <c r="M9234">
        <v>12257961.289999999</v>
      </c>
      <c r="N9234">
        <v>12256589.84</v>
      </c>
      <c r="O9234">
        <v>12257961.289999999</v>
      </c>
      <c r="P9234">
        <v>24060000</v>
      </c>
      <c r="Q9234">
        <v>24060000</v>
      </c>
      <c r="R9234" s="14">
        <f>_xlfn.XLOOKUP(Table2[[#This Row],[LoanID]],Table1[G-L ID],Table1[ManagerCode],-99)</f>
        <v>270</v>
      </c>
      <c r="T9234"/>
    </row>
    <row r="9235" spans="1:20" x14ac:dyDescent="0.25">
      <c r="A9235">
        <v>20190630</v>
      </c>
      <c r="B9235">
        <v>2019</v>
      </c>
      <c r="C9235">
        <v>6</v>
      </c>
      <c r="D9235">
        <v>1</v>
      </c>
      <c r="E9235">
        <v>14670</v>
      </c>
      <c r="F9235">
        <v>164423.63</v>
      </c>
      <c r="G9235">
        <v>0</v>
      </c>
      <c r="H9235">
        <v>0</v>
      </c>
      <c r="I9235">
        <v>0</v>
      </c>
      <c r="J9235">
        <v>-1071099</v>
      </c>
      <c r="K9235">
        <v>-21009627.75</v>
      </c>
      <c r="L9235">
        <v>29704954</v>
      </c>
      <c r="M9235">
        <v>30469750</v>
      </c>
      <c r="N9235">
        <v>8656704</v>
      </c>
      <c r="O9235">
        <v>30469750</v>
      </c>
      <c r="P9235">
        <v>29439341.219999999</v>
      </c>
      <c r="Q9235">
        <v>30471817.969999999</v>
      </c>
      <c r="R9235" s="14">
        <f>_xlfn.XLOOKUP(Table2[[#This Row],[LoanID]],Table1[G-L ID],Table1[ManagerCode],-99)</f>
        <v>220</v>
      </c>
      <c r="T9235"/>
    </row>
    <row r="9236" spans="1:20" x14ac:dyDescent="0.25">
      <c r="A9236">
        <v>20190630</v>
      </c>
      <c r="B9236">
        <v>2019</v>
      </c>
      <c r="C9236">
        <v>6</v>
      </c>
      <c r="D9236">
        <v>1</v>
      </c>
      <c r="E9236">
        <v>14680</v>
      </c>
      <c r="F9236">
        <v>54531.31</v>
      </c>
      <c r="G9236">
        <v>0</v>
      </c>
      <c r="H9236">
        <v>0</v>
      </c>
      <c r="I9236">
        <v>0</v>
      </c>
      <c r="J9236">
        <v>-285034</v>
      </c>
      <c r="K9236">
        <v>0</v>
      </c>
      <c r="L9236">
        <v>28735557</v>
      </c>
      <c r="M9236">
        <v>29580000</v>
      </c>
      <c r="N9236">
        <v>7703798.0499999998</v>
      </c>
      <c r="O9236">
        <v>8548241.0500000007</v>
      </c>
      <c r="P9236">
        <v>29220436.809999999</v>
      </c>
      <c r="Q9236">
        <v>29505470.809999999</v>
      </c>
      <c r="R9236" s="14">
        <f>_xlfn.XLOOKUP(Table2[[#This Row],[LoanID]],Table1[G-L ID],Table1[ManagerCode],-99)</f>
        <v>220</v>
      </c>
      <c r="T9236"/>
    </row>
    <row r="9237" spans="1:20" x14ac:dyDescent="0.25">
      <c r="A9237">
        <v>20190630</v>
      </c>
      <c r="B9237">
        <v>2019</v>
      </c>
      <c r="C9237">
        <v>6</v>
      </c>
      <c r="D9237">
        <v>1</v>
      </c>
      <c r="E9237">
        <v>14690</v>
      </c>
      <c r="F9237">
        <v>87652.15</v>
      </c>
      <c r="G9237">
        <v>0</v>
      </c>
      <c r="H9237">
        <v>0</v>
      </c>
      <c r="I9237">
        <v>0</v>
      </c>
      <c r="J9237">
        <v>0</v>
      </c>
      <c r="K9237">
        <v>0</v>
      </c>
      <c r="L9237">
        <v>42395990.229999997</v>
      </c>
      <c r="M9237">
        <v>42395990.229999997</v>
      </c>
      <c r="N9237">
        <v>14878240.23</v>
      </c>
      <c r="O9237">
        <v>14878240.23</v>
      </c>
      <c r="P9237">
        <v>42395990.229999997</v>
      </c>
      <c r="Q9237">
        <v>42395990.229999997</v>
      </c>
      <c r="R9237" s="14">
        <f>_xlfn.XLOOKUP(Table2[[#This Row],[LoanID]],Table1[G-L ID],Table1[ManagerCode],-99)</f>
        <v>220</v>
      </c>
      <c r="T9237"/>
    </row>
    <row r="9238" spans="1:20" x14ac:dyDescent="0.25">
      <c r="A9238">
        <v>20190630</v>
      </c>
      <c r="B9238">
        <v>2019</v>
      </c>
      <c r="C9238">
        <v>6</v>
      </c>
      <c r="D9238">
        <v>1</v>
      </c>
      <c r="E9238">
        <v>14700</v>
      </c>
      <c r="F9238">
        <v>73771.28</v>
      </c>
      <c r="G9238">
        <v>0</v>
      </c>
      <c r="H9238">
        <v>0</v>
      </c>
      <c r="I9238">
        <v>0</v>
      </c>
      <c r="J9238">
        <v>-268493.8</v>
      </c>
      <c r="K9238">
        <v>0</v>
      </c>
      <c r="L9238">
        <v>35240840</v>
      </c>
      <c r="M9238">
        <v>35393493.799999997</v>
      </c>
      <c r="N9238">
        <v>10653340</v>
      </c>
      <c r="O9238">
        <v>10805993.800000001</v>
      </c>
      <c r="P9238">
        <v>35125000</v>
      </c>
      <c r="Q9238">
        <v>35393493.799999997</v>
      </c>
      <c r="R9238" s="14">
        <f>_xlfn.XLOOKUP(Table2[[#This Row],[LoanID]],Table1[G-L ID],Table1[ManagerCode],-99)</f>
        <v>220</v>
      </c>
      <c r="T9238"/>
    </row>
    <row r="9239" spans="1:20" x14ac:dyDescent="0.25">
      <c r="A9239">
        <v>20190630</v>
      </c>
      <c r="B9239">
        <v>2019</v>
      </c>
      <c r="C9239">
        <v>6</v>
      </c>
      <c r="D9239">
        <v>1</v>
      </c>
      <c r="E9239">
        <v>14710</v>
      </c>
      <c r="F9239">
        <v>67302.8</v>
      </c>
      <c r="G9239">
        <v>0</v>
      </c>
      <c r="H9239">
        <v>0</v>
      </c>
      <c r="I9239">
        <v>0</v>
      </c>
      <c r="J9239">
        <v>0</v>
      </c>
      <c r="K9239">
        <v>0</v>
      </c>
      <c r="L9239">
        <v>33650000</v>
      </c>
      <c r="M9239">
        <v>33650000</v>
      </c>
      <c r="N9239">
        <v>11777500</v>
      </c>
      <c r="O9239">
        <v>11777500</v>
      </c>
      <c r="P9239">
        <v>33650000</v>
      </c>
      <c r="Q9239">
        <v>33650000</v>
      </c>
      <c r="R9239" s="14">
        <f>_xlfn.XLOOKUP(Table2[[#This Row],[LoanID]],Table1[G-L ID],Table1[ManagerCode],-99)</f>
        <v>220</v>
      </c>
      <c r="T9239"/>
    </row>
    <row r="9240" spans="1:20" x14ac:dyDescent="0.25">
      <c r="A9240">
        <v>20190630</v>
      </c>
      <c r="B9240">
        <v>2019</v>
      </c>
      <c r="C9240">
        <v>6</v>
      </c>
      <c r="D9240">
        <v>1</v>
      </c>
      <c r="E9240">
        <v>14720</v>
      </c>
      <c r="F9240">
        <v>42787.12</v>
      </c>
      <c r="G9240">
        <v>0</v>
      </c>
      <c r="H9240">
        <v>0</v>
      </c>
      <c r="I9240">
        <v>0</v>
      </c>
      <c r="J9240">
        <v>-620338.01</v>
      </c>
      <c r="K9240">
        <v>0</v>
      </c>
      <c r="L9240">
        <v>21406313</v>
      </c>
      <c r="M9240">
        <v>21340000</v>
      </c>
      <c r="N9240">
        <v>7679313</v>
      </c>
      <c r="O9240">
        <v>7613000</v>
      </c>
      <c r="P9240">
        <v>20718500.010000002</v>
      </c>
      <c r="Q9240">
        <v>21338838.02</v>
      </c>
      <c r="R9240" s="14">
        <f>_xlfn.XLOOKUP(Table2[[#This Row],[LoanID]],Table1[G-L ID],Table1[ManagerCode],-99)</f>
        <v>220</v>
      </c>
      <c r="T9240"/>
    </row>
    <row r="9241" spans="1:20" x14ac:dyDescent="0.25">
      <c r="A9241">
        <v>20190630</v>
      </c>
      <c r="B9241">
        <v>2019</v>
      </c>
      <c r="C9241">
        <v>6</v>
      </c>
      <c r="D9241">
        <v>1</v>
      </c>
      <c r="E9241">
        <v>14730</v>
      </c>
      <c r="F9241">
        <v>205577.36</v>
      </c>
      <c r="G9241">
        <v>0</v>
      </c>
      <c r="H9241">
        <v>0</v>
      </c>
      <c r="I9241">
        <v>0</v>
      </c>
      <c r="J9241">
        <v>0</v>
      </c>
      <c r="K9241">
        <v>0</v>
      </c>
      <c r="L9241">
        <v>50350000</v>
      </c>
      <c r="M9241">
        <v>50350000</v>
      </c>
      <c r="N9241">
        <v>50350000</v>
      </c>
      <c r="O9241">
        <v>50350000</v>
      </c>
      <c r="P9241">
        <v>50260000</v>
      </c>
      <c r="Q9241">
        <v>50260000</v>
      </c>
      <c r="R9241" s="14">
        <f>_xlfn.XLOOKUP(Table2[[#This Row],[LoanID]],Table1[G-L ID],Table1[ManagerCode],-99)</f>
        <v>220</v>
      </c>
      <c r="T9241"/>
    </row>
    <row r="9242" spans="1:20" x14ac:dyDescent="0.25">
      <c r="A9242">
        <v>20190630</v>
      </c>
      <c r="B9242">
        <v>2019</v>
      </c>
      <c r="C9242">
        <v>6</v>
      </c>
      <c r="D9242">
        <v>1</v>
      </c>
      <c r="E9242">
        <v>14740</v>
      </c>
      <c r="F9242">
        <v>102044.05</v>
      </c>
      <c r="G9242">
        <v>0</v>
      </c>
      <c r="H9242">
        <v>0</v>
      </c>
      <c r="I9242">
        <v>0</v>
      </c>
      <c r="J9242">
        <v>0</v>
      </c>
      <c r="K9242">
        <v>0</v>
      </c>
      <c r="L9242">
        <v>35000000</v>
      </c>
      <c r="M9242">
        <v>35000000</v>
      </c>
      <c r="N9242">
        <v>14000000</v>
      </c>
      <c r="O9242">
        <v>14000000</v>
      </c>
      <c r="P9242">
        <v>35000000</v>
      </c>
      <c r="Q9242">
        <v>35000000</v>
      </c>
      <c r="R9242" s="14">
        <f>_xlfn.XLOOKUP(Table2[[#This Row],[LoanID]],Table1[G-L ID],Table1[ManagerCode],-99)</f>
        <v>220</v>
      </c>
      <c r="T9242"/>
    </row>
    <row r="9243" spans="1:20" x14ac:dyDescent="0.25">
      <c r="A9243">
        <v>20190630</v>
      </c>
      <c r="B9243">
        <v>2019</v>
      </c>
      <c r="C9243">
        <v>6</v>
      </c>
      <c r="D9243">
        <v>1</v>
      </c>
      <c r="E9243">
        <v>14750</v>
      </c>
      <c r="F9243">
        <v>110336.63</v>
      </c>
      <c r="G9243">
        <v>0</v>
      </c>
      <c r="H9243">
        <v>0</v>
      </c>
      <c r="I9243">
        <v>0</v>
      </c>
      <c r="J9243">
        <v>0</v>
      </c>
      <c r="K9243">
        <v>0</v>
      </c>
      <c r="L9243">
        <v>55997145.399999999</v>
      </c>
      <c r="M9243">
        <v>55997145.399999999</v>
      </c>
      <c r="N9243">
        <v>20247145.399999999</v>
      </c>
      <c r="O9243">
        <v>20247145.399999999</v>
      </c>
      <c r="P9243">
        <v>55997145.399999999</v>
      </c>
      <c r="Q9243">
        <v>55997145.399999999</v>
      </c>
      <c r="R9243" s="14">
        <f>_xlfn.XLOOKUP(Table2[[#This Row],[LoanID]],Table1[G-L ID],Table1[ManagerCode],-99)</f>
        <v>220</v>
      </c>
      <c r="T9243"/>
    </row>
    <row r="9244" spans="1:20" x14ac:dyDescent="0.25">
      <c r="A9244">
        <v>20190630</v>
      </c>
      <c r="B9244">
        <v>2019</v>
      </c>
      <c r="C9244">
        <v>6</v>
      </c>
      <c r="D9244">
        <v>1</v>
      </c>
      <c r="E9244">
        <v>14760</v>
      </c>
      <c r="F9244">
        <v>178864.58</v>
      </c>
      <c r="G9244">
        <v>0</v>
      </c>
      <c r="H9244">
        <v>0</v>
      </c>
      <c r="I9244">
        <v>0</v>
      </c>
      <c r="J9244">
        <v>0</v>
      </c>
      <c r="K9244">
        <v>0</v>
      </c>
      <c r="L9244">
        <v>105000000</v>
      </c>
      <c r="M9244">
        <v>105000000</v>
      </c>
      <c r="N9244">
        <v>26250000</v>
      </c>
      <c r="O9244">
        <v>26250000</v>
      </c>
      <c r="P9244">
        <v>105000000</v>
      </c>
      <c r="Q9244">
        <v>105000000</v>
      </c>
      <c r="R9244" s="14">
        <f>_xlfn.XLOOKUP(Table2[[#This Row],[LoanID]],Table1[G-L ID],Table1[ManagerCode],-99)</f>
        <v>220</v>
      </c>
      <c r="T9244"/>
    </row>
    <row r="9245" spans="1:20" x14ac:dyDescent="0.25">
      <c r="A9245">
        <v>20190630</v>
      </c>
      <c r="B9245">
        <v>2019</v>
      </c>
      <c r="C9245">
        <v>6</v>
      </c>
      <c r="D9245">
        <v>1</v>
      </c>
      <c r="E9245">
        <v>14770</v>
      </c>
      <c r="F9245">
        <v>0</v>
      </c>
      <c r="G9245">
        <v>0</v>
      </c>
      <c r="H9245">
        <v>0</v>
      </c>
      <c r="I9245">
        <v>0</v>
      </c>
      <c r="J9245">
        <v>0</v>
      </c>
      <c r="K9245">
        <v>0</v>
      </c>
      <c r="L9245">
        <v>12900000</v>
      </c>
      <c r="M9245">
        <v>12900000</v>
      </c>
      <c r="N9245">
        <v>12900000</v>
      </c>
      <c r="O9245">
        <v>12900000</v>
      </c>
      <c r="P9245">
        <v>12900000</v>
      </c>
      <c r="Q9245">
        <v>12900000</v>
      </c>
      <c r="R9245" s="14">
        <f>_xlfn.XLOOKUP(Table2[[#This Row],[LoanID]],Table1[G-L ID],Table1[ManagerCode],-99)</f>
        <v>220</v>
      </c>
      <c r="T9245"/>
    </row>
    <row r="9246" spans="1:20" x14ac:dyDescent="0.25">
      <c r="A9246">
        <v>20190630</v>
      </c>
      <c r="B9246">
        <v>2019</v>
      </c>
      <c r="C9246">
        <v>6</v>
      </c>
      <c r="D9246">
        <v>1</v>
      </c>
      <c r="E9246">
        <v>14780</v>
      </c>
      <c r="F9246">
        <v>74831.17</v>
      </c>
      <c r="G9246">
        <v>0</v>
      </c>
      <c r="H9246">
        <v>382500</v>
      </c>
      <c r="I9246">
        <v>0</v>
      </c>
      <c r="J9246">
        <v>-51000000</v>
      </c>
      <c r="K9246">
        <v>0</v>
      </c>
      <c r="L9246">
        <v>0</v>
      </c>
      <c r="M9246">
        <v>51000000</v>
      </c>
      <c r="N9246">
        <v>0</v>
      </c>
      <c r="O9246">
        <v>51000000</v>
      </c>
      <c r="P9246">
        <v>0</v>
      </c>
      <c r="Q9246">
        <v>51000000</v>
      </c>
      <c r="R9246" s="14">
        <f>_xlfn.XLOOKUP(Table2[[#This Row],[LoanID]],Table1[G-L ID],Table1[ManagerCode],-99)</f>
        <v>220</v>
      </c>
      <c r="T9246"/>
    </row>
    <row r="9247" spans="1:20" x14ac:dyDescent="0.25">
      <c r="A9247">
        <v>20190630</v>
      </c>
      <c r="B9247">
        <v>2019</v>
      </c>
      <c r="C9247">
        <v>6</v>
      </c>
      <c r="D9247">
        <v>1</v>
      </c>
      <c r="E9247">
        <v>14790</v>
      </c>
      <c r="F9247">
        <v>187527.05</v>
      </c>
      <c r="G9247">
        <v>0</v>
      </c>
      <c r="H9247">
        <v>0</v>
      </c>
      <c r="I9247">
        <v>0</v>
      </c>
      <c r="J9247">
        <v>0</v>
      </c>
      <c r="K9247">
        <v>0</v>
      </c>
      <c r="L9247">
        <v>72883095</v>
      </c>
      <c r="M9247">
        <v>72560000</v>
      </c>
      <c r="N9247">
        <v>23551753</v>
      </c>
      <c r="O9247">
        <v>23228658</v>
      </c>
      <c r="P9247">
        <v>72200000</v>
      </c>
      <c r="Q9247">
        <v>72200000</v>
      </c>
      <c r="R9247" s="14">
        <f>_xlfn.XLOOKUP(Table2[[#This Row],[LoanID]],Table1[G-L ID],Table1[ManagerCode],-99)</f>
        <v>220</v>
      </c>
      <c r="T9247"/>
    </row>
    <row r="9248" spans="1:20" x14ac:dyDescent="0.25">
      <c r="A9248">
        <v>20190630</v>
      </c>
      <c r="B9248">
        <v>2019</v>
      </c>
      <c r="C9248">
        <v>6</v>
      </c>
      <c r="D9248">
        <v>1</v>
      </c>
      <c r="E9248">
        <v>14800</v>
      </c>
      <c r="F9248">
        <v>115179.25</v>
      </c>
      <c r="G9248">
        <v>0</v>
      </c>
      <c r="H9248">
        <v>0</v>
      </c>
      <c r="I9248">
        <v>0</v>
      </c>
      <c r="J9248">
        <v>0</v>
      </c>
      <c r="K9248">
        <v>0</v>
      </c>
      <c r="L9248">
        <v>51000000</v>
      </c>
      <c r="M9248">
        <v>51000000</v>
      </c>
      <c r="N9248">
        <v>17850000</v>
      </c>
      <c r="O9248">
        <v>17850000</v>
      </c>
      <c r="P9248">
        <v>51000000</v>
      </c>
      <c r="Q9248">
        <v>51000000</v>
      </c>
      <c r="R9248" s="14">
        <f>_xlfn.XLOOKUP(Table2[[#This Row],[LoanID]],Table1[G-L ID],Table1[ManagerCode],-99)</f>
        <v>220</v>
      </c>
      <c r="T9248"/>
    </row>
    <row r="9249" spans="1:20" x14ac:dyDescent="0.25">
      <c r="A9249">
        <v>20190630</v>
      </c>
      <c r="B9249">
        <v>2019</v>
      </c>
      <c r="C9249">
        <v>6</v>
      </c>
      <c r="D9249">
        <v>1</v>
      </c>
      <c r="E9249">
        <v>14810</v>
      </c>
      <c r="F9249">
        <v>105469.83</v>
      </c>
      <c r="G9249">
        <v>0</v>
      </c>
      <c r="H9249">
        <v>0</v>
      </c>
      <c r="I9249">
        <v>0</v>
      </c>
      <c r="J9249">
        <v>0</v>
      </c>
      <c r="K9249">
        <v>0</v>
      </c>
      <c r="L9249">
        <v>25008714</v>
      </c>
      <c r="M9249">
        <v>24970000</v>
      </c>
      <c r="N9249">
        <v>25008714</v>
      </c>
      <c r="O9249">
        <v>24970000</v>
      </c>
      <c r="P9249">
        <v>24930000</v>
      </c>
      <c r="Q9249">
        <v>24930000</v>
      </c>
      <c r="R9249" s="14">
        <f>_xlfn.XLOOKUP(Table2[[#This Row],[LoanID]],Table1[G-L ID],Table1[ManagerCode],-99)</f>
        <v>220</v>
      </c>
      <c r="T9249"/>
    </row>
    <row r="9250" spans="1:20" x14ac:dyDescent="0.25">
      <c r="A9250">
        <v>20190630</v>
      </c>
      <c r="B9250">
        <v>2019</v>
      </c>
      <c r="C9250">
        <v>6</v>
      </c>
      <c r="D9250">
        <v>1</v>
      </c>
      <c r="E9250">
        <v>14820</v>
      </c>
      <c r="F9250">
        <v>121031.72</v>
      </c>
      <c r="G9250">
        <v>0</v>
      </c>
      <c r="H9250">
        <v>0</v>
      </c>
      <c r="I9250">
        <v>0</v>
      </c>
      <c r="J9250">
        <v>0</v>
      </c>
      <c r="K9250">
        <v>0</v>
      </c>
      <c r="L9250">
        <v>22623000</v>
      </c>
      <c r="M9250">
        <v>22623000</v>
      </c>
      <c r="N9250">
        <v>22622000</v>
      </c>
      <c r="O9250">
        <v>22622000</v>
      </c>
      <c r="P9250">
        <v>22623000</v>
      </c>
      <c r="Q9250">
        <v>22623000</v>
      </c>
      <c r="R9250" s="14">
        <f>_xlfn.XLOOKUP(Table2[[#This Row],[LoanID]],Table1[G-L ID],Table1[ManagerCode],-99)</f>
        <v>220</v>
      </c>
      <c r="T9250"/>
    </row>
    <row r="9251" spans="1:20" x14ac:dyDescent="0.25">
      <c r="A9251">
        <v>20190630</v>
      </c>
      <c r="B9251">
        <v>2019</v>
      </c>
      <c r="C9251">
        <v>6</v>
      </c>
      <c r="D9251">
        <v>1</v>
      </c>
      <c r="E9251">
        <v>14830</v>
      </c>
      <c r="F9251">
        <v>87911.27</v>
      </c>
      <c r="G9251">
        <v>0</v>
      </c>
      <c r="H9251">
        <v>0</v>
      </c>
      <c r="I9251">
        <v>0</v>
      </c>
      <c r="J9251">
        <v>0</v>
      </c>
      <c r="K9251">
        <v>0</v>
      </c>
      <c r="L9251">
        <v>36385428</v>
      </c>
      <c r="M9251">
        <v>36310000</v>
      </c>
      <c r="N9251">
        <v>14920372.300000001</v>
      </c>
      <c r="O9251">
        <v>14844944.300000001</v>
      </c>
      <c r="P9251">
        <v>36175320.93</v>
      </c>
      <c r="Q9251">
        <v>36175320.93</v>
      </c>
      <c r="R9251" s="14">
        <f>_xlfn.XLOOKUP(Table2[[#This Row],[LoanID]],Table1[G-L ID],Table1[ManagerCode],-99)</f>
        <v>220</v>
      </c>
      <c r="T9251"/>
    </row>
    <row r="9252" spans="1:20" x14ac:dyDescent="0.25">
      <c r="A9252">
        <v>20190630</v>
      </c>
      <c r="B9252">
        <v>2019</v>
      </c>
      <c r="C9252">
        <v>6</v>
      </c>
      <c r="D9252">
        <v>1</v>
      </c>
      <c r="E9252">
        <v>14840</v>
      </c>
      <c r="F9252">
        <v>74622.48</v>
      </c>
      <c r="G9252">
        <v>0</v>
      </c>
      <c r="H9252">
        <v>0</v>
      </c>
      <c r="I9252">
        <v>0</v>
      </c>
      <c r="J9252">
        <v>0</v>
      </c>
      <c r="K9252">
        <v>0</v>
      </c>
      <c r="L9252">
        <v>32126758</v>
      </c>
      <c r="M9252">
        <v>32050000</v>
      </c>
      <c r="N9252">
        <v>12928224.960000001</v>
      </c>
      <c r="O9252">
        <v>12851466.960000001</v>
      </c>
      <c r="P9252">
        <v>31997555.059999999</v>
      </c>
      <c r="Q9252">
        <v>31997555.059999999</v>
      </c>
      <c r="R9252" s="14">
        <f>_xlfn.XLOOKUP(Table2[[#This Row],[LoanID]],Table1[G-L ID],Table1[ManagerCode],-99)</f>
        <v>220</v>
      </c>
      <c r="T9252"/>
    </row>
    <row r="9253" spans="1:20" x14ac:dyDescent="0.25">
      <c r="A9253">
        <v>20190630</v>
      </c>
      <c r="B9253">
        <v>2019</v>
      </c>
      <c r="C9253">
        <v>6</v>
      </c>
      <c r="D9253">
        <v>1</v>
      </c>
      <c r="E9253">
        <v>14850</v>
      </c>
      <c r="F9253">
        <v>201003.55</v>
      </c>
      <c r="G9253">
        <v>0</v>
      </c>
      <c r="H9253">
        <v>0</v>
      </c>
      <c r="I9253">
        <v>0</v>
      </c>
      <c r="J9253">
        <v>-542221.39</v>
      </c>
      <c r="K9253">
        <v>0</v>
      </c>
      <c r="L9253">
        <v>85391367</v>
      </c>
      <c r="M9253">
        <v>86102221.390000001</v>
      </c>
      <c r="N9253">
        <v>36392057.25</v>
      </c>
      <c r="O9253">
        <v>37102911.640000001</v>
      </c>
      <c r="P9253">
        <v>85505321.739999995</v>
      </c>
      <c r="Q9253">
        <v>86047543.129999995</v>
      </c>
      <c r="R9253" s="14">
        <f>_xlfn.XLOOKUP(Table2[[#This Row],[LoanID]],Table1[G-L ID],Table1[ManagerCode],-99)</f>
        <v>220</v>
      </c>
      <c r="T9253"/>
    </row>
    <row r="9254" spans="1:20" x14ac:dyDescent="0.25">
      <c r="A9254">
        <v>20190630</v>
      </c>
      <c r="B9254">
        <v>2019</v>
      </c>
      <c r="C9254">
        <v>6</v>
      </c>
      <c r="D9254">
        <v>1</v>
      </c>
      <c r="E9254">
        <v>14860</v>
      </c>
      <c r="F9254">
        <v>164284.20000000001</v>
      </c>
      <c r="G9254">
        <v>0</v>
      </c>
      <c r="H9254">
        <v>0</v>
      </c>
      <c r="I9254">
        <v>0</v>
      </c>
      <c r="J9254">
        <v>0</v>
      </c>
      <c r="K9254">
        <v>0</v>
      </c>
      <c r="L9254">
        <v>65575164</v>
      </c>
      <c r="M9254">
        <v>65360000</v>
      </c>
      <c r="N9254">
        <v>26716164</v>
      </c>
      <c r="O9254">
        <v>26501000</v>
      </c>
      <c r="P9254">
        <v>65000000</v>
      </c>
      <c r="Q9254">
        <v>65000000</v>
      </c>
      <c r="R9254" s="14">
        <f>_xlfn.XLOOKUP(Table2[[#This Row],[LoanID]],Table1[G-L ID],Table1[ManagerCode],-99)</f>
        <v>220</v>
      </c>
      <c r="T9254"/>
    </row>
    <row r="9255" spans="1:20" x14ac:dyDescent="0.25">
      <c r="A9255">
        <v>20190630</v>
      </c>
      <c r="B9255">
        <v>2019</v>
      </c>
      <c r="C9255">
        <v>6</v>
      </c>
      <c r="D9255">
        <v>1</v>
      </c>
      <c r="E9255">
        <v>14870</v>
      </c>
      <c r="F9255">
        <v>567855</v>
      </c>
      <c r="G9255">
        <v>0</v>
      </c>
      <c r="H9255">
        <v>0</v>
      </c>
      <c r="I9255">
        <v>0</v>
      </c>
      <c r="J9255">
        <v>0</v>
      </c>
      <c r="K9255">
        <v>50000000</v>
      </c>
      <c r="L9255">
        <v>121791293</v>
      </c>
      <c r="M9255">
        <v>121600000</v>
      </c>
      <c r="N9255">
        <v>121790293</v>
      </c>
      <c r="O9255">
        <v>71599000</v>
      </c>
      <c r="P9255">
        <v>121557000</v>
      </c>
      <c r="Q9255">
        <v>121557000</v>
      </c>
      <c r="R9255" s="14">
        <f>_xlfn.XLOOKUP(Table2[[#This Row],[LoanID]],Table1[G-L ID],Table1[ManagerCode],-99)</f>
        <v>220</v>
      </c>
      <c r="T9255"/>
    </row>
    <row r="9256" spans="1:20" x14ac:dyDescent="0.25">
      <c r="A9256">
        <v>20190630</v>
      </c>
      <c r="B9256">
        <v>2019</v>
      </c>
      <c r="C9256">
        <v>6</v>
      </c>
      <c r="D9256">
        <v>1</v>
      </c>
      <c r="E9256">
        <v>14880</v>
      </c>
      <c r="F9256">
        <v>134685.79</v>
      </c>
      <c r="G9256">
        <v>0</v>
      </c>
      <c r="H9256">
        <v>0</v>
      </c>
      <c r="I9256">
        <v>0</v>
      </c>
      <c r="J9256">
        <v>0</v>
      </c>
      <c r="K9256">
        <v>0</v>
      </c>
      <c r="L9256">
        <v>19788331</v>
      </c>
      <c r="M9256">
        <v>19684148.73</v>
      </c>
      <c r="N9256">
        <v>19788331</v>
      </c>
      <c r="O9256">
        <v>19684148.73</v>
      </c>
      <c r="P9256">
        <v>19665411.370000001</v>
      </c>
      <c r="Q9256">
        <v>19665411.370000001</v>
      </c>
      <c r="R9256" s="14">
        <f>_xlfn.XLOOKUP(Table2[[#This Row],[LoanID]],Table1[G-L ID],Table1[ManagerCode],-99)</f>
        <v>220</v>
      </c>
      <c r="T9256"/>
    </row>
    <row r="9257" spans="1:20" x14ac:dyDescent="0.25">
      <c r="A9257">
        <v>20190630</v>
      </c>
      <c r="B9257">
        <v>2019</v>
      </c>
      <c r="C9257">
        <v>6</v>
      </c>
      <c r="D9257">
        <v>1</v>
      </c>
      <c r="E9257">
        <v>14890</v>
      </c>
      <c r="F9257">
        <v>61709.15</v>
      </c>
      <c r="G9257">
        <v>0</v>
      </c>
      <c r="H9257">
        <v>0</v>
      </c>
      <c r="I9257">
        <v>0</v>
      </c>
      <c r="J9257">
        <v>0</v>
      </c>
      <c r="K9257">
        <v>0</v>
      </c>
      <c r="L9257">
        <v>34000000</v>
      </c>
      <c r="M9257">
        <v>34000000</v>
      </c>
      <c r="N9257">
        <v>11900000</v>
      </c>
      <c r="O9257">
        <v>11900000</v>
      </c>
      <c r="P9257">
        <v>34000000</v>
      </c>
      <c r="Q9257">
        <v>34000000</v>
      </c>
      <c r="R9257" s="14">
        <f>_xlfn.XLOOKUP(Table2[[#This Row],[LoanID]],Table1[G-L ID],Table1[ManagerCode],-99)</f>
        <v>220</v>
      </c>
      <c r="T9257"/>
    </row>
    <row r="9258" spans="1:20" x14ac:dyDescent="0.25">
      <c r="A9258">
        <v>20190630</v>
      </c>
      <c r="B9258">
        <v>2019</v>
      </c>
      <c r="C9258">
        <v>6</v>
      </c>
      <c r="D9258">
        <v>1</v>
      </c>
      <c r="E9258">
        <v>14900</v>
      </c>
      <c r="F9258">
        <v>116827.29</v>
      </c>
      <c r="G9258">
        <v>0</v>
      </c>
      <c r="H9258">
        <v>0</v>
      </c>
      <c r="I9258">
        <v>0</v>
      </c>
      <c r="J9258">
        <v>-595315.17000000004</v>
      </c>
      <c r="K9258">
        <v>0</v>
      </c>
      <c r="L9258">
        <v>64197984</v>
      </c>
      <c r="M9258">
        <v>65097250</v>
      </c>
      <c r="N9258">
        <v>22597984</v>
      </c>
      <c r="O9258">
        <v>23497250</v>
      </c>
      <c r="P9258">
        <v>64501934.359999999</v>
      </c>
      <c r="Q9258">
        <v>65097249.530000001</v>
      </c>
      <c r="R9258" s="14">
        <f>_xlfn.XLOOKUP(Table2[[#This Row],[LoanID]],Table1[G-L ID],Table1[ManagerCode],-99)</f>
        <v>220</v>
      </c>
      <c r="T9258"/>
    </row>
    <row r="9259" spans="1:20" x14ac:dyDescent="0.25">
      <c r="A9259">
        <v>20190630</v>
      </c>
      <c r="B9259">
        <v>2019</v>
      </c>
      <c r="C9259">
        <v>6</v>
      </c>
      <c r="D9259">
        <v>1</v>
      </c>
      <c r="E9259">
        <v>14910</v>
      </c>
      <c r="F9259">
        <v>65070.07</v>
      </c>
      <c r="G9259">
        <v>0</v>
      </c>
      <c r="H9259">
        <v>0</v>
      </c>
      <c r="I9259">
        <v>0</v>
      </c>
      <c r="J9259">
        <v>-393859.18</v>
      </c>
      <c r="K9259">
        <v>0</v>
      </c>
      <c r="L9259">
        <v>38117796</v>
      </c>
      <c r="M9259">
        <v>38393859.18</v>
      </c>
      <c r="N9259">
        <v>11517796</v>
      </c>
      <c r="O9259">
        <v>11793859.18</v>
      </c>
      <c r="P9259">
        <v>38000000</v>
      </c>
      <c r="Q9259">
        <v>38393859.18</v>
      </c>
      <c r="R9259" s="14">
        <f>_xlfn.XLOOKUP(Table2[[#This Row],[LoanID]],Table1[G-L ID],Table1[ManagerCode],-99)</f>
        <v>220</v>
      </c>
      <c r="T9259"/>
    </row>
    <row r="9260" spans="1:20" x14ac:dyDescent="0.25">
      <c r="A9260">
        <v>20190630</v>
      </c>
      <c r="B9260">
        <v>2019</v>
      </c>
      <c r="C9260">
        <v>6</v>
      </c>
      <c r="D9260">
        <v>1</v>
      </c>
      <c r="E9260">
        <v>14920</v>
      </c>
      <c r="F9260">
        <v>118841.2</v>
      </c>
      <c r="G9260">
        <v>0</v>
      </c>
      <c r="H9260">
        <v>0</v>
      </c>
      <c r="I9260">
        <v>0</v>
      </c>
      <c r="J9260">
        <v>0</v>
      </c>
      <c r="K9260">
        <v>0</v>
      </c>
      <c r="L9260">
        <v>70211536</v>
      </c>
      <c r="M9260">
        <v>70000000</v>
      </c>
      <c r="N9260">
        <v>21211536</v>
      </c>
      <c r="O9260">
        <v>21000000</v>
      </c>
      <c r="P9260">
        <v>70000000</v>
      </c>
      <c r="Q9260">
        <v>70000000</v>
      </c>
      <c r="R9260" s="14">
        <f>_xlfn.XLOOKUP(Table2[[#This Row],[LoanID]],Table1[G-L ID],Table1[ManagerCode],-99)</f>
        <v>220</v>
      </c>
      <c r="T9260"/>
    </row>
    <row r="9261" spans="1:20" x14ac:dyDescent="0.25">
      <c r="A9261">
        <v>20190630</v>
      </c>
      <c r="B9261">
        <v>2019</v>
      </c>
      <c r="C9261">
        <v>6</v>
      </c>
      <c r="D9261">
        <v>1</v>
      </c>
      <c r="E9261">
        <v>14930</v>
      </c>
      <c r="F9261">
        <v>97895.42</v>
      </c>
      <c r="G9261">
        <v>0</v>
      </c>
      <c r="H9261">
        <v>0</v>
      </c>
      <c r="I9261">
        <v>0</v>
      </c>
      <c r="J9261">
        <v>0</v>
      </c>
      <c r="K9261">
        <v>0</v>
      </c>
      <c r="L9261">
        <v>55000000</v>
      </c>
      <c r="M9261">
        <v>55000000</v>
      </c>
      <c r="N9261">
        <v>19250000</v>
      </c>
      <c r="O9261">
        <v>19250000</v>
      </c>
      <c r="P9261">
        <v>55000000</v>
      </c>
      <c r="Q9261">
        <v>55000000</v>
      </c>
      <c r="R9261" s="14">
        <f>_xlfn.XLOOKUP(Table2[[#This Row],[LoanID]],Table1[G-L ID],Table1[ManagerCode],-99)</f>
        <v>220</v>
      </c>
      <c r="T9261"/>
    </row>
    <row r="9262" spans="1:20" x14ac:dyDescent="0.25">
      <c r="A9262">
        <v>20190630</v>
      </c>
      <c r="B9262">
        <v>2019</v>
      </c>
      <c r="C9262">
        <v>6</v>
      </c>
      <c r="D9262">
        <v>1</v>
      </c>
      <c r="E9262">
        <v>14940</v>
      </c>
      <c r="F9262">
        <v>138031.21</v>
      </c>
      <c r="G9262">
        <v>0</v>
      </c>
      <c r="H9262">
        <v>0</v>
      </c>
      <c r="I9262">
        <v>0</v>
      </c>
      <c r="J9262">
        <v>-819535.21</v>
      </c>
      <c r="K9262">
        <v>0</v>
      </c>
      <c r="L9262">
        <v>69058061.459999993</v>
      </c>
      <c r="M9262">
        <v>69930000</v>
      </c>
      <c r="N9262">
        <v>31812064.48</v>
      </c>
      <c r="O9262">
        <v>32684003.02</v>
      </c>
      <c r="P9262">
        <v>69058061.459999993</v>
      </c>
      <c r="Q9262">
        <v>69877596.670000002</v>
      </c>
      <c r="R9262" s="14">
        <f>_xlfn.XLOOKUP(Table2[[#This Row],[LoanID]],Table1[G-L ID],Table1[ManagerCode],-99)</f>
        <v>220</v>
      </c>
      <c r="T9262"/>
    </row>
    <row r="9263" spans="1:20" x14ac:dyDescent="0.25">
      <c r="A9263">
        <v>20190630</v>
      </c>
      <c r="B9263">
        <v>2019</v>
      </c>
      <c r="C9263">
        <v>6</v>
      </c>
      <c r="D9263">
        <v>1</v>
      </c>
      <c r="E9263">
        <v>14950</v>
      </c>
      <c r="F9263">
        <v>232400</v>
      </c>
      <c r="G9263">
        <v>0</v>
      </c>
      <c r="H9263">
        <v>0</v>
      </c>
      <c r="I9263">
        <v>0</v>
      </c>
      <c r="J9263">
        <v>0</v>
      </c>
      <c r="K9263">
        <v>0</v>
      </c>
      <c r="L9263">
        <v>35000000</v>
      </c>
      <c r="M9263">
        <v>35000000</v>
      </c>
      <c r="N9263">
        <v>35000000</v>
      </c>
      <c r="O9263">
        <v>35000000</v>
      </c>
      <c r="P9263">
        <v>35000000</v>
      </c>
      <c r="Q9263">
        <v>35000000</v>
      </c>
      <c r="R9263" s="14">
        <f>_xlfn.XLOOKUP(Table2[[#This Row],[LoanID]],Table1[G-L ID],Table1[ManagerCode],-99)</f>
        <v>220</v>
      </c>
      <c r="T9263"/>
    </row>
    <row r="9264" spans="1:20" x14ac:dyDescent="0.25">
      <c r="A9264">
        <v>20190630</v>
      </c>
      <c r="B9264">
        <v>2019</v>
      </c>
      <c r="C9264">
        <v>6</v>
      </c>
      <c r="D9264">
        <v>1</v>
      </c>
      <c r="E9264">
        <v>14960</v>
      </c>
      <c r="F9264">
        <v>54775.59</v>
      </c>
      <c r="G9264">
        <v>0</v>
      </c>
      <c r="H9264">
        <v>0</v>
      </c>
      <c r="I9264">
        <v>0</v>
      </c>
      <c r="J9264">
        <v>0</v>
      </c>
      <c r="K9264">
        <v>10000000</v>
      </c>
      <c r="L9264">
        <v>14888095</v>
      </c>
      <c r="M9264">
        <v>14840000</v>
      </c>
      <c r="N9264">
        <v>14887095</v>
      </c>
      <c r="O9264">
        <v>4839000</v>
      </c>
      <c r="P9264">
        <v>14805000</v>
      </c>
      <c r="Q9264">
        <v>14805000</v>
      </c>
      <c r="R9264" s="14">
        <f>_xlfn.XLOOKUP(Table2[[#This Row],[LoanID]],Table1[G-L ID],Table1[ManagerCode],-99)</f>
        <v>220</v>
      </c>
      <c r="T9264"/>
    </row>
    <row r="9265" spans="1:20" x14ac:dyDescent="0.25">
      <c r="A9265">
        <v>20190630</v>
      </c>
      <c r="B9265">
        <v>2019</v>
      </c>
      <c r="C9265">
        <v>6</v>
      </c>
      <c r="D9265">
        <v>1</v>
      </c>
      <c r="E9265">
        <v>14970</v>
      </c>
      <c r="F9265">
        <v>58144.76</v>
      </c>
      <c r="G9265">
        <v>0</v>
      </c>
      <c r="H9265">
        <v>0</v>
      </c>
      <c r="I9265">
        <v>0</v>
      </c>
      <c r="J9265">
        <v>0</v>
      </c>
      <c r="K9265">
        <v>0</v>
      </c>
      <c r="L9265">
        <v>29787156</v>
      </c>
      <c r="M9265">
        <v>29700000</v>
      </c>
      <c r="N9265">
        <v>10482156</v>
      </c>
      <c r="O9265">
        <v>10395000</v>
      </c>
      <c r="P9265">
        <v>29700000</v>
      </c>
      <c r="Q9265">
        <v>29700000</v>
      </c>
      <c r="R9265" s="14">
        <f>_xlfn.XLOOKUP(Table2[[#This Row],[LoanID]],Table1[G-L ID],Table1[ManagerCode],-99)</f>
        <v>220</v>
      </c>
      <c r="T9265"/>
    </row>
    <row r="9266" spans="1:20" x14ac:dyDescent="0.25">
      <c r="A9266">
        <v>20190630</v>
      </c>
      <c r="B9266">
        <v>2019</v>
      </c>
      <c r="C9266">
        <v>6</v>
      </c>
      <c r="D9266">
        <v>1</v>
      </c>
      <c r="E9266">
        <v>15030</v>
      </c>
      <c r="F9266">
        <v>95881.14</v>
      </c>
      <c r="G9266">
        <v>0</v>
      </c>
      <c r="H9266">
        <v>0</v>
      </c>
      <c r="I9266">
        <v>0</v>
      </c>
      <c r="J9266">
        <v>-112441.79</v>
      </c>
      <c r="K9266">
        <v>0</v>
      </c>
      <c r="L9266">
        <v>39302298</v>
      </c>
      <c r="M9266">
        <v>39512441.789999999</v>
      </c>
      <c r="N9266">
        <v>14547580.59</v>
      </c>
      <c r="O9266">
        <v>14757724.380000001</v>
      </c>
      <c r="P9266">
        <v>39373904.219999999</v>
      </c>
      <c r="Q9266">
        <v>39486346.009999998</v>
      </c>
      <c r="R9266" s="14">
        <f>_xlfn.XLOOKUP(Table2[[#This Row],[LoanID]],Table1[G-L ID],Table1[ManagerCode],-99)</f>
        <v>220</v>
      </c>
      <c r="T9266"/>
    </row>
    <row r="9267" spans="1:20" x14ac:dyDescent="0.25">
      <c r="A9267">
        <v>20190630</v>
      </c>
      <c r="B9267">
        <v>2019</v>
      </c>
      <c r="C9267">
        <v>6</v>
      </c>
      <c r="D9267">
        <v>1</v>
      </c>
      <c r="E9267">
        <v>15540</v>
      </c>
      <c r="F9267">
        <v>283904.40000000002</v>
      </c>
      <c r="G9267">
        <v>742.83</v>
      </c>
      <c r="H9267">
        <v>0</v>
      </c>
      <c r="I9267">
        <v>-2482.5500000000002</v>
      </c>
      <c r="J9267">
        <v>-2808000.52</v>
      </c>
      <c r="K9267">
        <v>0</v>
      </c>
      <c r="L9267">
        <v>57903667.049999997</v>
      </c>
      <c r="M9267">
        <v>60712410.399999999</v>
      </c>
      <c r="N9267">
        <v>57903667.049999997</v>
      </c>
      <c r="O9267">
        <v>60712410.399999999</v>
      </c>
      <c r="P9267">
        <v>57903667.049999997</v>
      </c>
      <c r="Q9267">
        <v>60712410.399999999</v>
      </c>
      <c r="R9267" s="14">
        <f>_xlfn.XLOOKUP(Table2[[#This Row],[LoanID]],Table1[G-L ID],Table1[ManagerCode],-99)</f>
        <v>212</v>
      </c>
      <c r="T9267"/>
    </row>
    <row r="9268" spans="1:20" x14ac:dyDescent="0.25">
      <c r="A9268">
        <v>20190630</v>
      </c>
      <c r="B9268">
        <v>2019</v>
      </c>
      <c r="C9268">
        <v>6</v>
      </c>
      <c r="D9268">
        <v>1</v>
      </c>
      <c r="E9268">
        <v>15560</v>
      </c>
      <c r="F9268">
        <v>292343.40999999997</v>
      </c>
      <c r="G9268">
        <v>-11168.49</v>
      </c>
      <c r="H9268">
        <v>0</v>
      </c>
      <c r="I9268">
        <v>0</v>
      </c>
      <c r="J9268">
        <v>0</v>
      </c>
      <c r="K9268">
        <v>0</v>
      </c>
      <c r="L9268">
        <v>49667075.560000002</v>
      </c>
      <c r="M9268">
        <v>49655907.07</v>
      </c>
      <c r="N9268">
        <v>49667075.560000002</v>
      </c>
      <c r="O9268">
        <v>49655907.07</v>
      </c>
      <c r="P9268">
        <v>49667075.560000002</v>
      </c>
      <c r="Q9268">
        <v>49655907.07</v>
      </c>
      <c r="R9268" s="14">
        <f>_xlfn.XLOOKUP(Table2[[#This Row],[LoanID]],Table1[G-L ID],Table1[ManagerCode],-99)</f>
        <v>212</v>
      </c>
      <c r="T9268"/>
    </row>
    <row r="9269" spans="1:20" x14ac:dyDescent="0.25">
      <c r="A9269">
        <v>20190630</v>
      </c>
      <c r="B9269">
        <v>2019</v>
      </c>
      <c r="C9269">
        <v>6</v>
      </c>
      <c r="D9269">
        <v>1</v>
      </c>
      <c r="E9269">
        <v>15580</v>
      </c>
      <c r="F9269">
        <v>114975.29</v>
      </c>
      <c r="G9269">
        <v>-3773.83</v>
      </c>
      <c r="H9269">
        <v>0</v>
      </c>
      <c r="I9269">
        <v>0</v>
      </c>
      <c r="J9269">
        <v>0</v>
      </c>
      <c r="K9269">
        <v>8426.02</v>
      </c>
      <c r="L9269">
        <v>14549536.27</v>
      </c>
      <c r="M9269">
        <v>14537336.42</v>
      </c>
      <c r="N9269">
        <v>14549536.27</v>
      </c>
      <c r="O9269">
        <v>14537336.42</v>
      </c>
      <c r="P9269">
        <v>14549536.27</v>
      </c>
      <c r="Q9269">
        <v>14537336.42</v>
      </c>
      <c r="R9269" s="14">
        <f>_xlfn.XLOOKUP(Table2[[#This Row],[LoanID]],Table1[G-L ID],Table1[ManagerCode],-99)</f>
        <v>212</v>
      </c>
      <c r="T9269"/>
    </row>
    <row r="9270" spans="1:20" x14ac:dyDescent="0.25">
      <c r="A9270">
        <v>20190630</v>
      </c>
      <c r="B9270">
        <v>2019</v>
      </c>
      <c r="C9270">
        <v>6</v>
      </c>
      <c r="D9270">
        <v>1</v>
      </c>
      <c r="E9270">
        <v>15590</v>
      </c>
      <c r="F9270">
        <v>93311.19</v>
      </c>
      <c r="G9270">
        <v>402.81</v>
      </c>
      <c r="H9270">
        <v>1134102.54</v>
      </c>
      <c r="I9270">
        <v>0</v>
      </c>
      <c r="J9270">
        <v>-103580000</v>
      </c>
      <c r="K9270">
        <v>0</v>
      </c>
      <c r="L9270">
        <v>0</v>
      </c>
      <c r="M9270">
        <v>103580402.8</v>
      </c>
      <c r="N9270">
        <v>0</v>
      </c>
      <c r="O9270">
        <v>103580402.8</v>
      </c>
      <c r="P9270">
        <v>0</v>
      </c>
      <c r="Q9270">
        <v>103580402.8</v>
      </c>
      <c r="R9270" s="14">
        <f>_xlfn.XLOOKUP(Table2[[#This Row],[LoanID]],Table1[G-L ID],Table1[ManagerCode],-99)</f>
        <v>212</v>
      </c>
      <c r="T9270"/>
    </row>
    <row r="9271" spans="1:20" x14ac:dyDescent="0.25">
      <c r="A9271">
        <v>20190630</v>
      </c>
      <c r="B9271">
        <v>2019</v>
      </c>
      <c r="C9271">
        <v>6</v>
      </c>
      <c r="D9271">
        <v>1</v>
      </c>
      <c r="E9271">
        <v>15610</v>
      </c>
      <c r="F9271">
        <v>952885.72</v>
      </c>
      <c r="G9271">
        <v>-19403.39</v>
      </c>
      <c r="H9271">
        <v>0</v>
      </c>
      <c r="I9271">
        <v>-9171.02</v>
      </c>
      <c r="J9271">
        <v>0</v>
      </c>
      <c r="K9271">
        <v>0</v>
      </c>
      <c r="L9271">
        <v>217198402.80000001</v>
      </c>
      <c r="M9271">
        <v>217178999.40000001</v>
      </c>
      <c r="N9271">
        <v>217198402.80000001</v>
      </c>
      <c r="O9271">
        <v>217178999.40000001</v>
      </c>
      <c r="P9271">
        <v>217198402.80000001</v>
      </c>
      <c r="Q9271">
        <v>217178999.40000001</v>
      </c>
      <c r="R9271" s="14">
        <f>_xlfn.XLOOKUP(Table2[[#This Row],[LoanID]],Table1[G-L ID],Table1[ManagerCode],-99)</f>
        <v>212</v>
      </c>
      <c r="T9271"/>
    </row>
    <row r="9272" spans="1:20" x14ac:dyDescent="0.25">
      <c r="A9272">
        <v>20190630</v>
      </c>
      <c r="B9272">
        <v>2019</v>
      </c>
      <c r="C9272">
        <v>6</v>
      </c>
      <c r="D9272">
        <v>1</v>
      </c>
      <c r="E9272">
        <v>15620</v>
      </c>
      <c r="F9272">
        <v>358944.03</v>
      </c>
      <c r="G9272">
        <v>-12634.58</v>
      </c>
      <c r="H9272">
        <v>0</v>
      </c>
      <c r="I9272">
        <v>-3374.8</v>
      </c>
      <c r="J9272">
        <v>-552293.4</v>
      </c>
      <c r="K9272">
        <v>0</v>
      </c>
      <c r="L9272">
        <v>78741463.040000007</v>
      </c>
      <c r="M9272">
        <v>79281121.859999999</v>
      </c>
      <c r="N9272">
        <v>78741463.040000007</v>
      </c>
      <c r="O9272">
        <v>79281121.859999999</v>
      </c>
      <c r="P9272">
        <v>78741463.040000007</v>
      </c>
      <c r="Q9272">
        <v>79281121.859999999</v>
      </c>
      <c r="R9272" s="14">
        <f>_xlfn.XLOOKUP(Table2[[#This Row],[LoanID]],Table1[G-L ID],Table1[ManagerCode],-99)</f>
        <v>212</v>
      </c>
      <c r="T9272"/>
    </row>
    <row r="9273" spans="1:20" x14ac:dyDescent="0.25">
      <c r="A9273">
        <v>20190630</v>
      </c>
      <c r="B9273">
        <v>2019</v>
      </c>
      <c r="C9273">
        <v>6</v>
      </c>
      <c r="D9273">
        <v>1</v>
      </c>
      <c r="E9273">
        <v>15630</v>
      </c>
      <c r="F9273">
        <v>0</v>
      </c>
      <c r="G9273">
        <v>36625.1</v>
      </c>
      <c r="H9273">
        <v>625000</v>
      </c>
      <c r="I9273">
        <v>0</v>
      </c>
      <c r="J9273">
        <v>-13737614</v>
      </c>
      <c r="K9273">
        <v>0</v>
      </c>
      <c r="L9273">
        <v>0</v>
      </c>
      <c r="M9273">
        <v>13774239.1</v>
      </c>
      <c r="N9273">
        <v>0</v>
      </c>
      <c r="O9273">
        <v>13774239.1</v>
      </c>
      <c r="P9273">
        <v>0</v>
      </c>
      <c r="Q9273">
        <v>13774239.1</v>
      </c>
      <c r="R9273" s="14">
        <f>_xlfn.XLOOKUP(Table2[[#This Row],[LoanID]],Table1[G-L ID],Table1[ManagerCode],-99)</f>
        <v>212</v>
      </c>
      <c r="T9273"/>
    </row>
    <row r="9274" spans="1:20" x14ac:dyDescent="0.25">
      <c r="A9274">
        <v>20190731</v>
      </c>
      <c r="B9274">
        <v>2019</v>
      </c>
      <c r="C9274">
        <v>7</v>
      </c>
      <c r="D9274">
        <v>1</v>
      </c>
      <c r="E9274">
        <v>10050</v>
      </c>
      <c r="F9274">
        <v>149013.89000000001</v>
      </c>
      <c r="G9274">
        <v>0</v>
      </c>
      <c r="H9274">
        <v>0</v>
      </c>
      <c r="I9274">
        <v>-69.44</v>
      </c>
      <c r="J9274">
        <v>0</v>
      </c>
      <c r="K9274">
        <v>0</v>
      </c>
      <c r="L9274">
        <v>37194386</v>
      </c>
      <c r="M9274">
        <v>37025344</v>
      </c>
      <c r="N9274">
        <v>37194386</v>
      </c>
      <c r="O9274">
        <v>37025344</v>
      </c>
      <c r="P9274">
        <v>33333334</v>
      </c>
      <c r="Q9274">
        <v>33333334</v>
      </c>
      <c r="R9274" s="14">
        <f>_xlfn.XLOOKUP(Table2[[#This Row],[LoanID]],Table1[G-L ID],Table1[ManagerCode],-99)</f>
        <v>103</v>
      </c>
      <c r="T9274"/>
    </row>
    <row r="9275" spans="1:20" x14ac:dyDescent="0.25">
      <c r="A9275">
        <v>20190731</v>
      </c>
      <c r="B9275">
        <v>2019</v>
      </c>
      <c r="C9275">
        <v>7</v>
      </c>
      <c r="D9275">
        <v>1</v>
      </c>
      <c r="E9275">
        <v>10220</v>
      </c>
      <c r="F9275">
        <v>541666.67000000004</v>
      </c>
      <c r="G9275">
        <v>0</v>
      </c>
      <c r="H9275">
        <v>0</v>
      </c>
      <c r="I9275">
        <v>0</v>
      </c>
      <c r="J9275">
        <v>0</v>
      </c>
      <c r="K9275">
        <v>0</v>
      </c>
      <c r="L9275">
        <v>109798680</v>
      </c>
      <c r="M9275">
        <v>109095622</v>
      </c>
      <c r="N9275">
        <v>109798680</v>
      </c>
      <c r="O9275">
        <v>109095622</v>
      </c>
      <c r="P9275">
        <v>100000000</v>
      </c>
      <c r="Q9275">
        <v>100000000</v>
      </c>
      <c r="R9275" s="14">
        <f>_xlfn.XLOOKUP(Table2[[#This Row],[LoanID]],Table1[G-L ID],Table1[ManagerCode],-99)</f>
        <v>103</v>
      </c>
      <c r="T9275"/>
    </row>
    <row r="9276" spans="1:20" x14ac:dyDescent="0.25">
      <c r="A9276">
        <v>20190731</v>
      </c>
      <c r="B9276">
        <v>2019</v>
      </c>
      <c r="C9276">
        <v>7</v>
      </c>
      <c r="D9276">
        <v>1</v>
      </c>
      <c r="E9276">
        <v>10360</v>
      </c>
      <c r="F9276">
        <v>115717.92</v>
      </c>
      <c r="G9276">
        <v>0</v>
      </c>
      <c r="H9276">
        <v>0</v>
      </c>
      <c r="I9276">
        <v>0</v>
      </c>
      <c r="J9276">
        <v>0</v>
      </c>
      <c r="K9276">
        <v>5909000</v>
      </c>
      <c r="L9276">
        <v>5909000</v>
      </c>
      <c r="M9276">
        <v>0</v>
      </c>
      <c r="N9276">
        <v>5909000</v>
      </c>
      <c r="O9276">
        <v>0</v>
      </c>
      <c r="P9276">
        <v>5909000</v>
      </c>
      <c r="Q9276">
        <v>0</v>
      </c>
      <c r="R9276" s="14">
        <f>_xlfn.XLOOKUP(Table2[[#This Row],[LoanID]],Table1[G-L ID],Table1[ManagerCode],-99)</f>
        <v>183</v>
      </c>
      <c r="T9276"/>
    </row>
    <row r="9277" spans="1:20" x14ac:dyDescent="0.25">
      <c r="A9277">
        <v>20190731</v>
      </c>
      <c r="B9277">
        <v>2019</v>
      </c>
      <c r="C9277">
        <v>7</v>
      </c>
      <c r="D9277">
        <v>1</v>
      </c>
      <c r="E9277">
        <v>10790</v>
      </c>
      <c r="F9277">
        <v>19379.23</v>
      </c>
      <c r="G9277">
        <v>0</v>
      </c>
      <c r="H9277">
        <v>0</v>
      </c>
      <c r="I9277">
        <v>0</v>
      </c>
      <c r="J9277">
        <v>0</v>
      </c>
      <c r="K9277">
        <v>50089.02</v>
      </c>
      <c r="L9277">
        <v>4200672</v>
      </c>
      <c r="M9277">
        <v>4142208</v>
      </c>
      <c r="N9277">
        <v>4200672</v>
      </c>
      <c r="O9277">
        <v>4142208</v>
      </c>
      <c r="P9277">
        <v>4137913.98</v>
      </c>
      <c r="Q9277">
        <v>4087824.96</v>
      </c>
      <c r="R9277" s="14">
        <f>_xlfn.XLOOKUP(Table2[[#This Row],[LoanID]],Table1[G-L ID],Table1[ManagerCode],-99)</f>
        <v>103</v>
      </c>
      <c r="T9277"/>
    </row>
    <row r="9278" spans="1:20" x14ac:dyDescent="0.25">
      <c r="A9278">
        <v>20190731</v>
      </c>
      <c r="B9278">
        <v>2019</v>
      </c>
      <c r="C9278">
        <v>7</v>
      </c>
      <c r="D9278">
        <v>1</v>
      </c>
      <c r="E9278">
        <v>10830</v>
      </c>
      <c r="F9278">
        <v>51498.2</v>
      </c>
      <c r="G9278">
        <v>0</v>
      </c>
      <c r="H9278">
        <v>78060.429999999993</v>
      </c>
      <c r="I9278">
        <v>0</v>
      </c>
      <c r="J9278">
        <v>0</v>
      </c>
      <c r="K9278">
        <v>7806043.1399999997</v>
      </c>
      <c r="L9278">
        <v>7806043.1399999997</v>
      </c>
      <c r="M9278">
        <v>0</v>
      </c>
      <c r="N9278">
        <v>7806043.1399999997</v>
      </c>
      <c r="O9278">
        <v>0</v>
      </c>
      <c r="P9278">
        <v>7806043.1399999997</v>
      </c>
      <c r="Q9278">
        <v>0</v>
      </c>
      <c r="R9278" s="14">
        <f>_xlfn.XLOOKUP(Table2[[#This Row],[LoanID]],Table1[G-L ID],Table1[ManagerCode],-99)</f>
        <v>220</v>
      </c>
      <c r="T9278"/>
    </row>
    <row r="9279" spans="1:20" x14ac:dyDescent="0.25">
      <c r="A9279">
        <v>20190731</v>
      </c>
      <c r="B9279">
        <v>2019</v>
      </c>
      <c r="C9279">
        <v>7</v>
      </c>
      <c r="D9279">
        <v>1</v>
      </c>
      <c r="E9279">
        <v>10840</v>
      </c>
      <c r="F9279">
        <v>83845.34</v>
      </c>
      <c r="G9279">
        <v>0</v>
      </c>
      <c r="H9279">
        <v>127091.89</v>
      </c>
      <c r="I9279">
        <v>0</v>
      </c>
      <c r="J9279">
        <v>0</v>
      </c>
      <c r="K9279">
        <v>12709189</v>
      </c>
      <c r="L9279">
        <v>12709189</v>
      </c>
      <c r="M9279">
        <v>0</v>
      </c>
      <c r="N9279">
        <v>12709189</v>
      </c>
      <c r="O9279">
        <v>0</v>
      </c>
      <c r="P9279">
        <v>12709189</v>
      </c>
      <c r="Q9279">
        <v>0</v>
      </c>
      <c r="R9279" s="14">
        <f>_xlfn.XLOOKUP(Table2[[#This Row],[LoanID]],Table1[G-L ID],Table1[ManagerCode],-99)</f>
        <v>220</v>
      </c>
      <c r="T9279"/>
    </row>
    <row r="9280" spans="1:20" x14ac:dyDescent="0.25">
      <c r="A9280">
        <v>20190731</v>
      </c>
      <c r="B9280">
        <v>2019</v>
      </c>
      <c r="C9280">
        <v>7</v>
      </c>
      <c r="D9280">
        <v>1</v>
      </c>
      <c r="E9280">
        <v>11340</v>
      </c>
      <c r="F9280">
        <v>274620.25</v>
      </c>
      <c r="G9280">
        <v>0</v>
      </c>
      <c r="H9280">
        <v>0</v>
      </c>
      <c r="I9280">
        <v>0</v>
      </c>
      <c r="J9280">
        <v>0</v>
      </c>
      <c r="K9280">
        <v>77762.009999999995</v>
      </c>
      <c r="L9280">
        <v>51907707</v>
      </c>
      <c r="M9280">
        <v>51522542</v>
      </c>
      <c r="N9280">
        <v>51907707</v>
      </c>
      <c r="O9280">
        <v>51522542</v>
      </c>
      <c r="P9280">
        <v>47077756.399999999</v>
      </c>
      <c r="Q9280">
        <v>46999994.390000001</v>
      </c>
      <c r="R9280" s="14">
        <f>_xlfn.XLOOKUP(Table2[[#This Row],[LoanID]],Table1[G-L ID],Table1[ManagerCode],-99)</f>
        <v>103</v>
      </c>
      <c r="T9280"/>
    </row>
    <row r="9281" spans="1:20" x14ac:dyDescent="0.25">
      <c r="A9281">
        <v>20190731</v>
      </c>
      <c r="B9281">
        <v>2019</v>
      </c>
      <c r="C9281">
        <v>7</v>
      </c>
      <c r="D9281">
        <v>1</v>
      </c>
      <c r="E9281">
        <v>11680</v>
      </c>
      <c r="F9281">
        <v>50325.78</v>
      </c>
      <c r="G9281">
        <v>0</v>
      </c>
      <c r="H9281">
        <v>0</v>
      </c>
      <c r="I9281">
        <v>0</v>
      </c>
      <c r="J9281">
        <v>0</v>
      </c>
      <c r="K9281">
        <v>0</v>
      </c>
      <c r="L9281">
        <v>6600000</v>
      </c>
      <c r="M9281">
        <v>6600000</v>
      </c>
      <c r="N9281">
        <v>6600000</v>
      </c>
      <c r="O9281">
        <v>6600000</v>
      </c>
      <c r="P9281">
        <v>6600000</v>
      </c>
      <c r="Q9281">
        <v>6600000</v>
      </c>
      <c r="R9281" s="14">
        <f>_xlfn.XLOOKUP(Table2[[#This Row],[LoanID]],Table1[G-L ID],Table1[ManagerCode],-99)</f>
        <v>183</v>
      </c>
      <c r="T9281"/>
    </row>
    <row r="9282" spans="1:20" x14ac:dyDescent="0.25">
      <c r="A9282">
        <v>20190731</v>
      </c>
      <c r="B9282">
        <v>2019</v>
      </c>
      <c r="C9282">
        <v>7</v>
      </c>
      <c r="D9282">
        <v>1</v>
      </c>
      <c r="E9282">
        <v>12180</v>
      </c>
      <c r="F9282">
        <v>0</v>
      </c>
      <c r="G9282">
        <v>0</v>
      </c>
      <c r="H9282">
        <v>0</v>
      </c>
      <c r="I9282">
        <v>0</v>
      </c>
      <c r="J9282">
        <v>0</v>
      </c>
      <c r="K9282">
        <v>0</v>
      </c>
      <c r="L9282">
        <v>1</v>
      </c>
      <c r="M9282">
        <v>1</v>
      </c>
      <c r="N9282">
        <v>1</v>
      </c>
      <c r="O9282">
        <v>1</v>
      </c>
      <c r="P9282">
        <v>31174705</v>
      </c>
      <c r="Q9282">
        <v>31432351.760000002</v>
      </c>
      <c r="R9282" s="14">
        <f>_xlfn.XLOOKUP(Table2[[#This Row],[LoanID]],Table1[G-L ID],Table1[ManagerCode],-99)</f>
        <v>220</v>
      </c>
      <c r="T9282"/>
    </row>
    <row r="9283" spans="1:20" x14ac:dyDescent="0.25">
      <c r="A9283">
        <v>20190731</v>
      </c>
      <c r="B9283">
        <v>2019</v>
      </c>
      <c r="C9283">
        <v>7</v>
      </c>
      <c r="D9283">
        <v>1</v>
      </c>
      <c r="E9283">
        <v>12220</v>
      </c>
      <c r="F9283">
        <v>198043.46</v>
      </c>
      <c r="G9283">
        <v>0</v>
      </c>
      <c r="H9283">
        <v>0</v>
      </c>
      <c r="I9283">
        <v>0</v>
      </c>
      <c r="J9283">
        <v>0</v>
      </c>
      <c r="K9283">
        <v>0</v>
      </c>
      <c r="L9283">
        <v>54500000</v>
      </c>
      <c r="M9283">
        <v>54500000</v>
      </c>
      <c r="N9283">
        <v>27250000</v>
      </c>
      <c r="O9283">
        <v>27250000</v>
      </c>
      <c r="P9283">
        <v>54500000</v>
      </c>
      <c r="Q9283">
        <v>54500000</v>
      </c>
      <c r="R9283" s="14">
        <f>_xlfn.XLOOKUP(Table2[[#This Row],[LoanID]],Table1[G-L ID],Table1[ManagerCode],-99)</f>
        <v>183</v>
      </c>
      <c r="T9283"/>
    </row>
    <row r="9284" spans="1:20" x14ac:dyDescent="0.25">
      <c r="A9284">
        <v>20190731</v>
      </c>
      <c r="B9284">
        <v>2019</v>
      </c>
      <c r="C9284">
        <v>7</v>
      </c>
      <c r="D9284">
        <v>1</v>
      </c>
      <c r="E9284">
        <v>12340</v>
      </c>
      <c r="F9284">
        <v>59970.66</v>
      </c>
      <c r="G9284">
        <v>0</v>
      </c>
      <c r="H9284">
        <v>0</v>
      </c>
      <c r="I9284">
        <v>0</v>
      </c>
      <c r="J9284">
        <v>0</v>
      </c>
      <c r="K9284">
        <v>0</v>
      </c>
      <c r="L9284">
        <v>24180000</v>
      </c>
      <c r="M9284">
        <v>24180000</v>
      </c>
      <c r="N9284">
        <v>12180000</v>
      </c>
      <c r="O9284">
        <v>12180000</v>
      </c>
      <c r="P9284">
        <v>24180000</v>
      </c>
      <c r="Q9284">
        <v>24180000</v>
      </c>
      <c r="R9284" s="14">
        <f>_xlfn.XLOOKUP(Table2[[#This Row],[LoanID]],Table1[G-L ID],Table1[ManagerCode],-99)</f>
        <v>183</v>
      </c>
      <c r="T9284"/>
    </row>
    <row r="9285" spans="1:20" x14ac:dyDescent="0.25">
      <c r="A9285">
        <v>20190731</v>
      </c>
      <c r="B9285">
        <v>2019</v>
      </c>
      <c r="C9285">
        <v>7</v>
      </c>
      <c r="D9285">
        <v>1</v>
      </c>
      <c r="E9285">
        <v>12350</v>
      </c>
      <c r="F9285">
        <v>256700.72</v>
      </c>
      <c r="G9285">
        <v>0</v>
      </c>
      <c r="H9285">
        <v>0</v>
      </c>
      <c r="I9285">
        <v>0</v>
      </c>
      <c r="J9285">
        <v>0</v>
      </c>
      <c r="K9285">
        <v>0</v>
      </c>
      <c r="L9285">
        <v>78700000</v>
      </c>
      <c r="M9285">
        <v>78700000</v>
      </c>
      <c r="N9285">
        <v>40914236.340000004</v>
      </c>
      <c r="O9285">
        <v>40914236.340000004</v>
      </c>
      <c r="P9285">
        <v>78700000</v>
      </c>
      <c r="Q9285">
        <v>78700000</v>
      </c>
      <c r="R9285" s="14">
        <f>_xlfn.XLOOKUP(Table2[[#This Row],[LoanID]],Table1[G-L ID],Table1[ManagerCode],-99)</f>
        <v>183</v>
      </c>
      <c r="T9285"/>
    </row>
    <row r="9286" spans="1:20" x14ac:dyDescent="0.25">
      <c r="A9286">
        <v>20190731</v>
      </c>
      <c r="B9286">
        <v>2019</v>
      </c>
      <c r="C9286">
        <v>7</v>
      </c>
      <c r="D9286">
        <v>1</v>
      </c>
      <c r="E9286">
        <v>12360</v>
      </c>
      <c r="F9286">
        <v>130387.42</v>
      </c>
      <c r="G9286">
        <v>0</v>
      </c>
      <c r="H9286">
        <v>0</v>
      </c>
      <c r="I9286">
        <v>0</v>
      </c>
      <c r="J9286">
        <v>0</v>
      </c>
      <c r="K9286">
        <v>0</v>
      </c>
      <c r="L9286">
        <v>60000000</v>
      </c>
      <c r="M9286">
        <v>60000000</v>
      </c>
      <c r="N9286">
        <v>19000000</v>
      </c>
      <c r="O9286">
        <v>19000000</v>
      </c>
      <c r="P9286">
        <v>60000000</v>
      </c>
      <c r="Q9286">
        <v>60000000</v>
      </c>
      <c r="R9286" s="14">
        <f>_xlfn.XLOOKUP(Table2[[#This Row],[LoanID]],Table1[G-L ID],Table1[ManagerCode],-99)</f>
        <v>183</v>
      </c>
      <c r="T9286"/>
    </row>
    <row r="9287" spans="1:20" x14ac:dyDescent="0.25">
      <c r="A9287">
        <v>20190731</v>
      </c>
      <c r="B9287">
        <v>2019</v>
      </c>
      <c r="C9287">
        <v>7</v>
      </c>
      <c r="D9287">
        <v>1</v>
      </c>
      <c r="E9287">
        <v>12370</v>
      </c>
      <c r="F9287">
        <v>297249.88</v>
      </c>
      <c r="G9287">
        <v>0</v>
      </c>
      <c r="H9287">
        <v>0</v>
      </c>
      <c r="I9287">
        <v>0</v>
      </c>
      <c r="J9287">
        <v>0</v>
      </c>
      <c r="K9287">
        <v>0</v>
      </c>
      <c r="L9287">
        <v>81600000</v>
      </c>
      <c r="M9287">
        <v>81600000</v>
      </c>
      <c r="N9287">
        <v>36461538.549999997</v>
      </c>
      <c r="O9287">
        <v>36461538.549999997</v>
      </c>
      <c r="P9287">
        <v>81600000</v>
      </c>
      <c r="Q9287">
        <v>81600000</v>
      </c>
      <c r="R9287" s="14">
        <f>_xlfn.XLOOKUP(Table2[[#This Row],[LoanID]],Table1[G-L ID],Table1[ManagerCode],-99)</f>
        <v>183</v>
      </c>
      <c r="T9287"/>
    </row>
    <row r="9288" spans="1:20" x14ac:dyDescent="0.25">
      <c r="A9288">
        <v>20190731</v>
      </c>
      <c r="B9288">
        <v>2019</v>
      </c>
      <c r="C9288">
        <v>7</v>
      </c>
      <c r="D9288">
        <v>1</v>
      </c>
      <c r="E9288">
        <v>12380</v>
      </c>
      <c r="F9288">
        <v>83748.710000000006</v>
      </c>
      <c r="G9288">
        <v>0</v>
      </c>
      <c r="H9288">
        <v>0</v>
      </c>
      <c r="I9288">
        <v>0</v>
      </c>
      <c r="J9288">
        <v>0</v>
      </c>
      <c r="K9288">
        <v>0</v>
      </c>
      <c r="L9288">
        <v>32500000</v>
      </c>
      <c r="M9288">
        <v>32500000</v>
      </c>
      <c r="N9288">
        <v>12350000</v>
      </c>
      <c r="O9288">
        <v>12350000</v>
      </c>
      <c r="P9288">
        <v>32500000</v>
      </c>
      <c r="Q9288">
        <v>32500000</v>
      </c>
      <c r="R9288" s="14">
        <f>_xlfn.XLOOKUP(Table2[[#This Row],[LoanID]],Table1[G-L ID],Table1[ManagerCode],-99)</f>
        <v>183</v>
      </c>
      <c r="T9288"/>
    </row>
    <row r="9289" spans="1:20" x14ac:dyDescent="0.25">
      <c r="A9289">
        <v>20190731</v>
      </c>
      <c r="B9289">
        <v>2019</v>
      </c>
      <c r="C9289">
        <v>7</v>
      </c>
      <c r="D9289">
        <v>1</v>
      </c>
      <c r="E9289">
        <v>12390</v>
      </c>
      <c r="F9289">
        <v>1047813.97</v>
      </c>
      <c r="G9289">
        <v>573588.21</v>
      </c>
      <c r="H9289">
        <v>0</v>
      </c>
      <c r="I9289">
        <v>0</v>
      </c>
      <c r="J9289">
        <v>-1006394.61</v>
      </c>
      <c r="K9289">
        <v>0</v>
      </c>
      <c r="L9289">
        <v>144161732.19999999</v>
      </c>
      <c r="M9289">
        <v>145741715</v>
      </c>
      <c r="N9289">
        <v>144161732.19999999</v>
      </c>
      <c r="O9289">
        <v>145741715</v>
      </c>
      <c r="P9289">
        <v>144161732.19999999</v>
      </c>
      <c r="Q9289">
        <v>145741715</v>
      </c>
      <c r="R9289" s="14">
        <f>_xlfn.XLOOKUP(Table2[[#This Row],[LoanID]],Table1[G-L ID],Table1[ManagerCode],-99)</f>
        <v>183</v>
      </c>
      <c r="T9289"/>
    </row>
    <row r="9290" spans="1:20" x14ac:dyDescent="0.25">
      <c r="A9290">
        <v>20190731</v>
      </c>
      <c r="B9290">
        <v>2019</v>
      </c>
      <c r="C9290">
        <v>7</v>
      </c>
      <c r="D9290">
        <v>1</v>
      </c>
      <c r="E9290">
        <v>12400</v>
      </c>
      <c r="F9290">
        <v>252403.7</v>
      </c>
      <c r="G9290">
        <v>131702.21</v>
      </c>
      <c r="H9290">
        <v>0</v>
      </c>
      <c r="I9290">
        <v>0</v>
      </c>
      <c r="J9290">
        <v>-3794289.82</v>
      </c>
      <c r="K9290">
        <v>0</v>
      </c>
      <c r="L9290">
        <v>46771080.380000003</v>
      </c>
      <c r="M9290">
        <v>50697072.409999996</v>
      </c>
      <c r="N9290">
        <v>46771080.380000003</v>
      </c>
      <c r="O9290">
        <v>50697072.409999996</v>
      </c>
      <c r="P9290">
        <v>46771080.380000003</v>
      </c>
      <c r="Q9290">
        <v>50697072.409999996</v>
      </c>
      <c r="R9290" s="14">
        <f>_xlfn.XLOOKUP(Table2[[#This Row],[LoanID]],Table1[G-L ID],Table1[ManagerCode],-99)</f>
        <v>183</v>
      </c>
      <c r="T9290"/>
    </row>
    <row r="9291" spans="1:20" x14ac:dyDescent="0.25">
      <c r="A9291">
        <v>20190731</v>
      </c>
      <c r="B9291">
        <v>2019</v>
      </c>
      <c r="C9291">
        <v>7</v>
      </c>
      <c r="D9291">
        <v>1</v>
      </c>
      <c r="E9291">
        <v>12410</v>
      </c>
      <c r="F9291">
        <v>204763.61</v>
      </c>
      <c r="G9291">
        <v>198807.54</v>
      </c>
      <c r="H9291">
        <v>0</v>
      </c>
      <c r="I9291">
        <v>0</v>
      </c>
      <c r="J9291">
        <v>0</v>
      </c>
      <c r="K9291">
        <v>0</v>
      </c>
      <c r="L9291">
        <v>59400000</v>
      </c>
      <c r="M9291">
        <v>59598807.539999999</v>
      </c>
      <c r="N9291">
        <v>59400000</v>
      </c>
      <c r="O9291">
        <v>59598807.539999999</v>
      </c>
      <c r="P9291">
        <v>65680982.119999997</v>
      </c>
      <c r="Q9291">
        <v>65879789.659999996</v>
      </c>
      <c r="R9291" s="14">
        <f>_xlfn.XLOOKUP(Table2[[#This Row],[LoanID]],Table1[G-L ID],Table1[ManagerCode],-99)</f>
        <v>103</v>
      </c>
      <c r="T9291"/>
    </row>
    <row r="9292" spans="1:20" x14ac:dyDescent="0.25">
      <c r="A9292">
        <v>20190731</v>
      </c>
      <c r="B9292">
        <v>2019</v>
      </c>
      <c r="C9292">
        <v>7</v>
      </c>
      <c r="D9292">
        <v>1</v>
      </c>
      <c r="E9292">
        <v>12430</v>
      </c>
      <c r="F9292">
        <v>88208.06</v>
      </c>
      <c r="G9292">
        <v>395619.01</v>
      </c>
      <c r="H9292">
        <v>0</v>
      </c>
      <c r="I9292">
        <v>0</v>
      </c>
      <c r="J9292">
        <v>-88208.06</v>
      </c>
      <c r="K9292">
        <v>0</v>
      </c>
      <c r="L9292">
        <v>24934233</v>
      </c>
      <c r="M9292">
        <v>25587179</v>
      </c>
      <c r="N9292">
        <v>24934233</v>
      </c>
      <c r="O9292">
        <v>25587179</v>
      </c>
      <c r="P9292">
        <v>26462418.120000001</v>
      </c>
      <c r="Q9292">
        <v>26946245.190000001</v>
      </c>
      <c r="R9292" s="14">
        <f>_xlfn.XLOOKUP(Table2[[#This Row],[LoanID]],Table1[G-L ID],Table1[ManagerCode],-99)</f>
        <v>103</v>
      </c>
      <c r="T9292"/>
    </row>
    <row r="9293" spans="1:20" x14ac:dyDescent="0.25">
      <c r="A9293">
        <v>20190731</v>
      </c>
      <c r="B9293">
        <v>2019</v>
      </c>
      <c r="C9293">
        <v>7</v>
      </c>
      <c r="D9293">
        <v>1</v>
      </c>
      <c r="E9293">
        <v>12440</v>
      </c>
      <c r="F9293">
        <v>26925.03</v>
      </c>
      <c r="G9293">
        <v>0</v>
      </c>
      <c r="H9293">
        <v>0</v>
      </c>
      <c r="I9293">
        <v>0</v>
      </c>
      <c r="J9293">
        <v>0</v>
      </c>
      <c r="K9293">
        <v>56441.24</v>
      </c>
      <c r="L9293">
        <v>3630649</v>
      </c>
      <c r="M9293">
        <v>3550769</v>
      </c>
      <c r="N9293">
        <v>3630649</v>
      </c>
      <c r="O9293">
        <v>3550769</v>
      </c>
      <c r="P9293">
        <v>3231003.87</v>
      </c>
      <c r="Q9293">
        <v>3174562.63</v>
      </c>
      <c r="R9293" s="14">
        <f>_xlfn.XLOOKUP(Table2[[#This Row],[LoanID]],Table1[G-L ID],Table1[ManagerCode],-99)</f>
        <v>103</v>
      </c>
      <c r="T9293"/>
    </row>
    <row r="9294" spans="1:20" x14ac:dyDescent="0.25">
      <c r="A9294">
        <v>20190731</v>
      </c>
      <c r="B9294">
        <v>2019</v>
      </c>
      <c r="C9294">
        <v>7</v>
      </c>
      <c r="D9294">
        <v>1</v>
      </c>
      <c r="E9294">
        <v>12450</v>
      </c>
      <c r="F9294">
        <v>74007.13</v>
      </c>
      <c r="G9294">
        <v>38637.089999999997</v>
      </c>
      <c r="H9294">
        <v>0</v>
      </c>
      <c r="I9294">
        <v>0</v>
      </c>
      <c r="J9294">
        <v>-87809.46</v>
      </c>
      <c r="K9294">
        <v>0</v>
      </c>
      <c r="L9294">
        <v>14257923.029999999</v>
      </c>
      <c r="M9294">
        <v>14384369.58</v>
      </c>
      <c r="N9294">
        <v>14257923.029999999</v>
      </c>
      <c r="O9294">
        <v>14384369.58</v>
      </c>
      <c r="P9294">
        <v>14257923.029999999</v>
      </c>
      <c r="Q9294">
        <v>14384369.58</v>
      </c>
      <c r="R9294" s="14">
        <f>_xlfn.XLOOKUP(Table2[[#This Row],[LoanID]],Table1[G-L ID],Table1[ManagerCode],-99)</f>
        <v>183</v>
      </c>
      <c r="T9294"/>
    </row>
    <row r="9295" spans="1:20" x14ac:dyDescent="0.25">
      <c r="A9295">
        <v>20190731</v>
      </c>
      <c r="B9295">
        <v>2019</v>
      </c>
      <c r="C9295">
        <v>7</v>
      </c>
      <c r="D9295">
        <v>1</v>
      </c>
      <c r="E9295">
        <v>12460</v>
      </c>
      <c r="F9295">
        <v>42250</v>
      </c>
      <c r="G9295">
        <v>51096.33</v>
      </c>
      <c r="H9295">
        <v>0</v>
      </c>
      <c r="I9295">
        <v>0</v>
      </c>
      <c r="J9295">
        <v>0</v>
      </c>
      <c r="K9295">
        <v>0</v>
      </c>
      <c r="L9295">
        <v>9334633.4700000007</v>
      </c>
      <c r="M9295">
        <v>9385729.8000000007</v>
      </c>
      <c r="N9295">
        <v>9334633.4700000007</v>
      </c>
      <c r="O9295">
        <v>9385729.8000000007</v>
      </c>
      <c r="P9295">
        <v>9334633.4700000007</v>
      </c>
      <c r="Q9295">
        <v>9385729.8000000007</v>
      </c>
      <c r="R9295" s="14">
        <f>_xlfn.XLOOKUP(Table2[[#This Row],[LoanID]],Table1[G-L ID],Table1[ManagerCode],-99)</f>
        <v>183</v>
      </c>
      <c r="T9295"/>
    </row>
    <row r="9296" spans="1:20" x14ac:dyDescent="0.25">
      <c r="A9296">
        <v>20190731</v>
      </c>
      <c r="B9296">
        <v>2019</v>
      </c>
      <c r="C9296">
        <v>7</v>
      </c>
      <c r="D9296">
        <v>1</v>
      </c>
      <c r="E9296">
        <v>12470</v>
      </c>
      <c r="F9296">
        <v>329182.71000000002</v>
      </c>
      <c r="G9296">
        <v>0</v>
      </c>
      <c r="H9296">
        <v>0</v>
      </c>
      <c r="I9296">
        <v>0</v>
      </c>
      <c r="J9296">
        <v>0</v>
      </c>
      <c r="K9296">
        <v>0</v>
      </c>
      <c r="L9296">
        <v>115000000</v>
      </c>
      <c r="M9296">
        <v>115000000</v>
      </c>
      <c r="N9296">
        <v>46000000</v>
      </c>
      <c r="O9296">
        <v>46000000</v>
      </c>
      <c r="P9296">
        <v>115000000</v>
      </c>
      <c r="Q9296">
        <v>115000000</v>
      </c>
      <c r="R9296" s="14">
        <f>_xlfn.XLOOKUP(Table2[[#This Row],[LoanID]],Table1[G-L ID],Table1[ManagerCode],-99)</f>
        <v>183</v>
      </c>
      <c r="T9296"/>
    </row>
    <row r="9297" spans="1:20" x14ac:dyDescent="0.25">
      <c r="A9297">
        <v>20190731</v>
      </c>
      <c r="B9297">
        <v>2019</v>
      </c>
      <c r="C9297">
        <v>7</v>
      </c>
      <c r="D9297">
        <v>1</v>
      </c>
      <c r="E9297">
        <v>12490</v>
      </c>
      <c r="F9297">
        <v>136927.96</v>
      </c>
      <c r="G9297">
        <v>0</v>
      </c>
      <c r="H9297">
        <v>0</v>
      </c>
      <c r="I9297">
        <v>0</v>
      </c>
      <c r="J9297">
        <v>0</v>
      </c>
      <c r="K9297">
        <v>0</v>
      </c>
      <c r="L9297">
        <v>50200000</v>
      </c>
      <c r="M9297">
        <v>50200000</v>
      </c>
      <c r="N9297">
        <v>19600000</v>
      </c>
      <c r="O9297">
        <v>19600000</v>
      </c>
      <c r="P9297">
        <v>50200000</v>
      </c>
      <c r="Q9297">
        <v>50200000</v>
      </c>
      <c r="R9297" s="14">
        <f>_xlfn.XLOOKUP(Table2[[#This Row],[LoanID]],Table1[G-L ID],Table1[ManagerCode],-99)</f>
        <v>183</v>
      </c>
      <c r="T9297"/>
    </row>
    <row r="9298" spans="1:20" x14ac:dyDescent="0.25">
      <c r="A9298">
        <v>20190731</v>
      </c>
      <c r="B9298">
        <v>2019</v>
      </c>
      <c r="C9298">
        <v>7</v>
      </c>
      <c r="D9298">
        <v>1</v>
      </c>
      <c r="E9298">
        <v>12510</v>
      </c>
      <c r="F9298">
        <v>338462.74</v>
      </c>
      <c r="G9298">
        <v>0</v>
      </c>
      <c r="H9298">
        <v>0</v>
      </c>
      <c r="I9298">
        <v>0</v>
      </c>
      <c r="J9298">
        <v>0</v>
      </c>
      <c r="K9298">
        <v>0</v>
      </c>
      <c r="L9298">
        <v>131500000</v>
      </c>
      <c r="M9298">
        <v>131500000</v>
      </c>
      <c r="N9298">
        <v>46025000</v>
      </c>
      <c r="O9298">
        <v>46025000</v>
      </c>
      <c r="P9298">
        <v>131500000</v>
      </c>
      <c r="Q9298">
        <v>131500000</v>
      </c>
      <c r="R9298" s="14">
        <f>_xlfn.XLOOKUP(Table2[[#This Row],[LoanID]],Table1[G-L ID],Table1[ManagerCode],-99)</f>
        <v>183</v>
      </c>
      <c r="T9298"/>
    </row>
    <row r="9299" spans="1:20" x14ac:dyDescent="0.25">
      <c r="A9299">
        <v>20190731</v>
      </c>
      <c r="B9299">
        <v>2019</v>
      </c>
      <c r="C9299">
        <v>7</v>
      </c>
      <c r="D9299">
        <v>1</v>
      </c>
      <c r="E9299">
        <v>12520</v>
      </c>
      <c r="F9299">
        <v>190670.95</v>
      </c>
      <c r="G9299">
        <v>0</v>
      </c>
      <c r="H9299">
        <v>0</v>
      </c>
      <c r="I9299">
        <v>0</v>
      </c>
      <c r="J9299">
        <v>0</v>
      </c>
      <c r="K9299">
        <v>0</v>
      </c>
      <c r="L9299">
        <v>47848878.210000001</v>
      </c>
      <c r="M9299">
        <v>47848878.210000001</v>
      </c>
      <c r="N9299">
        <v>23098878.210000001</v>
      </c>
      <c r="O9299">
        <v>23098878.210000001</v>
      </c>
      <c r="P9299">
        <v>47848878.210000001</v>
      </c>
      <c r="Q9299">
        <v>47848878.210000001</v>
      </c>
      <c r="R9299" s="14">
        <f>_xlfn.XLOOKUP(Table2[[#This Row],[LoanID]],Table1[G-L ID],Table1[ManagerCode],-99)</f>
        <v>183</v>
      </c>
      <c r="T9299"/>
    </row>
    <row r="9300" spans="1:20" x14ac:dyDescent="0.25">
      <c r="A9300">
        <v>20190731</v>
      </c>
      <c r="B9300">
        <v>2019</v>
      </c>
      <c r="C9300">
        <v>7</v>
      </c>
      <c r="D9300">
        <v>1</v>
      </c>
      <c r="E9300">
        <v>12650</v>
      </c>
      <c r="F9300">
        <v>390698.86</v>
      </c>
      <c r="G9300">
        <v>0</v>
      </c>
      <c r="H9300">
        <v>0</v>
      </c>
      <c r="I9300">
        <v>0</v>
      </c>
      <c r="J9300">
        <v>0</v>
      </c>
      <c r="K9300">
        <v>0</v>
      </c>
      <c r="L9300">
        <v>123200000</v>
      </c>
      <c r="M9300">
        <v>123200000</v>
      </c>
      <c r="N9300">
        <v>49280000</v>
      </c>
      <c r="O9300">
        <v>49280000</v>
      </c>
      <c r="P9300">
        <v>123200000</v>
      </c>
      <c r="Q9300">
        <v>123200000</v>
      </c>
      <c r="R9300" s="14">
        <f>_xlfn.XLOOKUP(Table2[[#This Row],[LoanID]],Table1[G-L ID],Table1[ManagerCode],-99)</f>
        <v>183</v>
      </c>
      <c r="T9300"/>
    </row>
    <row r="9301" spans="1:20" x14ac:dyDescent="0.25">
      <c r="A9301">
        <v>20190731</v>
      </c>
      <c r="B9301">
        <v>2019</v>
      </c>
      <c r="C9301">
        <v>7</v>
      </c>
      <c r="D9301">
        <v>1</v>
      </c>
      <c r="E9301">
        <v>12670</v>
      </c>
      <c r="F9301">
        <v>91932.33</v>
      </c>
      <c r="G9301">
        <v>0</v>
      </c>
      <c r="H9301">
        <v>0</v>
      </c>
      <c r="I9301">
        <v>0</v>
      </c>
      <c r="J9301">
        <v>0</v>
      </c>
      <c r="K9301">
        <v>0</v>
      </c>
      <c r="L9301">
        <v>15500000</v>
      </c>
      <c r="M9301">
        <v>15500000</v>
      </c>
      <c r="N9301">
        <v>15500000</v>
      </c>
      <c r="O9301">
        <v>15500000</v>
      </c>
      <c r="P9301">
        <v>15500000</v>
      </c>
      <c r="Q9301">
        <v>15500000</v>
      </c>
      <c r="R9301" s="14">
        <f>_xlfn.XLOOKUP(Table2[[#This Row],[LoanID]],Table1[G-L ID],Table1[ManagerCode],-99)</f>
        <v>183</v>
      </c>
      <c r="T9301"/>
    </row>
    <row r="9302" spans="1:20" x14ac:dyDescent="0.25">
      <c r="A9302">
        <v>20190731</v>
      </c>
      <c r="B9302">
        <v>2019</v>
      </c>
      <c r="C9302">
        <v>7</v>
      </c>
      <c r="D9302">
        <v>1</v>
      </c>
      <c r="E9302">
        <v>12720</v>
      </c>
      <c r="F9302">
        <v>563462.12</v>
      </c>
      <c r="G9302">
        <v>0</v>
      </c>
      <c r="H9302">
        <v>0</v>
      </c>
      <c r="I9302">
        <v>0</v>
      </c>
      <c r="J9302">
        <v>-401897.41</v>
      </c>
      <c r="K9302">
        <v>0</v>
      </c>
      <c r="L9302">
        <v>195387706.69999999</v>
      </c>
      <c r="M9302">
        <v>195789604.09999999</v>
      </c>
      <c r="N9302">
        <v>93506706.700000003</v>
      </c>
      <c r="O9302">
        <v>93908604.099999994</v>
      </c>
      <c r="P9302">
        <v>195387706.69999999</v>
      </c>
      <c r="Q9302">
        <v>195789604.09999999</v>
      </c>
      <c r="R9302" s="14">
        <f>_xlfn.XLOOKUP(Table2[[#This Row],[LoanID]],Table1[G-L ID],Table1[ManagerCode],-99)</f>
        <v>183</v>
      </c>
      <c r="T9302"/>
    </row>
    <row r="9303" spans="1:20" x14ac:dyDescent="0.25">
      <c r="A9303">
        <v>20190731</v>
      </c>
      <c r="B9303">
        <v>2019</v>
      </c>
      <c r="C9303">
        <v>7</v>
      </c>
      <c r="D9303">
        <v>1</v>
      </c>
      <c r="E9303">
        <v>12730</v>
      </c>
      <c r="F9303">
        <v>83659.839999999997</v>
      </c>
      <c r="G9303">
        <v>0</v>
      </c>
      <c r="H9303">
        <v>0</v>
      </c>
      <c r="I9303">
        <v>0</v>
      </c>
      <c r="J9303">
        <v>0</v>
      </c>
      <c r="K9303">
        <v>0</v>
      </c>
      <c r="L9303">
        <v>38460000</v>
      </c>
      <c r="M9303">
        <v>38460000</v>
      </c>
      <c r="N9303">
        <v>13460000</v>
      </c>
      <c r="O9303">
        <v>13460000</v>
      </c>
      <c r="P9303">
        <v>38460000</v>
      </c>
      <c r="Q9303">
        <v>38460000</v>
      </c>
      <c r="R9303" s="14">
        <f>_xlfn.XLOOKUP(Table2[[#This Row],[LoanID]],Table1[G-L ID],Table1[ManagerCode],-99)</f>
        <v>183</v>
      </c>
      <c r="T9303"/>
    </row>
    <row r="9304" spans="1:20" x14ac:dyDescent="0.25">
      <c r="A9304">
        <v>20190731</v>
      </c>
      <c r="B9304">
        <v>2019</v>
      </c>
      <c r="C9304">
        <v>7</v>
      </c>
      <c r="D9304">
        <v>1</v>
      </c>
      <c r="E9304">
        <v>12740</v>
      </c>
      <c r="F9304">
        <v>143251.28</v>
      </c>
      <c r="G9304">
        <v>73854.63</v>
      </c>
      <c r="H9304">
        <v>0</v>
      </c>
      <c r="I9304">
        <v>0</v>
      </c>
      <c r="J9304">
        <v>-1153327.73</v>
      </c>
      <c r="K9304">
        <v>0</v>
      </c>
      <c r="L9304">
        <v>28076746.859999999</v>
      </c>
      <c r="M9304">
        <v>29303929.219999999</v>
      </c>
      <c r="N9304">
        <v>28076746.859999999</v>
      </c>
      <c r="O9304">
        <v>29303929.219999999</v>
      </c>
      <c r="P9304">
        <v>28076746.859999999</v>
      </c>
      <c r="Q9304">
        <v>29303929.219999999</v>
      </c>
      <c r="R9304" s="14">
        <f>_xlfn.XLOOKUP(Table2[[#This Row],[LoanID]],Table1[G-L ID],Table1[ManagerCode],-99)</f>
        <v>183</v>
      </c>
      <c r="T9304"/>
    </row>
    <row r="9305" spans="1:20" x14ac:dyDescent="0.25">
      <c r="A9305">
        <v>20190731</v>
      </c>
      <c r="B9305">
        <v>2019</v>
      </c>
      <c r="C9305">
        <v>7</v>
      </c>
      <c r="D9305">
        <v>1</v>
      </c>
      <c r="E9305">
        <v>13000</v>
      </c>
      <c r="F9305">
        <v>160746.81</v>
      </c>
      <c r="G9305">
        <v>0</v>
      </c>
      <c r="H9305">
        <v>0</v>
      </c>
      <c r="I9305">
        <v>0</v>
      </c>
      <c r="J9305">
        <v>0</v>
      </c>
      <c r="K9305">
        <v>0</v>
      </c>
      <c r="L9305">
        <v>45745575</v>
      </c>
      <c r="M9305">
        <v>46185584</v>
      </c>
      <c r="N9305">
        <v>45745575</v>
      </c>
      <c r="O9305">
        <v>46185584</v>
      </c>
      <c r="P9305">
        <v>49080233.68</v>
      </c>
      <c r="Q9305">
        <v>49080233.68</v>
      </c>
      <c r="R9305" s="14">
        <f>_xlfn.XLOOKUP(Table2[[#This Row],[LoanID]],Table1[G-L ID],Table1[ManagerCode],-99)</f>
        <v>103</v>
      </c>
      <c r="T9305"/>
    </row>
    <row r="9306" spans="1:20" x14ac:dyDescent="0.25">
      <c r="A9306">
        <v>20190731</v>
      </c>
      <c r="B9306">
        <v>2019</v>
      </c>
      <c r="C9306">
        <v>7</v>
      </c>
      <c r="D9306">
        <v>1</v>
      </c>
      <c r="E9306">
        <v>13010</v>
      </c>
      <c r="F9306">
        <v>1050000</v>
      </c>
      <c r="G9306">
        <v>350000</v>
      </c>
      <c r="H9306">
        <v>0</v>
      </c>
      <c r="I9306">
        <v>0</v>
      </c>
      <c r="J9306">
        <v>0</v>
      </c>
      <c r="K9306">
        <v>0</v>
      </c>
      <c r="L9306">
        <v>199500200</v>
      </c>
      <c r="M9306">
        <v>199850200</v>
      </c>
      <c r="N9306">
        <v>199500200</v>
      </c>
      <c r="O9306">
        <v>199850200</v>
      </c>
      <c r="P9306">
        <v>210000000</v>
      </c>
      <c r="Q9306">
        <v>210350000</v>
      </c>
      <c r="R9306" s="14">
        <f>_xlfn.XLOOKUP(Table2[[#This Row],[LoanID]],Table1[G-L ID],Table1[ManagerCode],-99)</f>
        <v>103</v>
      </c>
      <c r="T9306"/>
    </row>
    <row r="9307" spans="1:20" x14ac:dyDescent="0.25">
      <c r="A9307">
        <v>20190731</v>
      </c>
      <c r="B9307">
        <v>2019</v>
      </c>
      <c r="C9307">
        <v>7</v>
      </c>
      <c r="D9307">
        <v>1</v>
      </c>
      <c r="E9307">
        <v>13020</v>
      </c>
      <c r="F9307">
        <v>385000</v>
      </c>
      <c r="G9307">
        <v>0</v>
      </c>
      <c r="H9307">
        <v>0</v>
      </c>
      <c r="I9307">
        <v>0</v>
      </c>
      <c r="J9307">
        <v>0</v>
      </c>
      <c r="K9307">
        <v>20999654.719999999</v>
      </c>
      <c r="L9307">
        <v>20999654.719999999</v>
      </c>
      <c r="M9307">
        <v>0</v>
      </c>
      <c r="N9307">
        <v>20999654.719999999</v>
      </c>
      <c r="O9307">
        <v>0</v>
      </c>
      <c r="P9307">
        <v>20999654.719999999</v>
      </c>
      <c r="Q9307">
        <v>0</v>
      </c>
      <c r="R9307" s="14">
        <f>_xlfn.XLOOKUP(Table2[[#This Row],[LoanID]],Table1[G-L ID],Table1[ManagerCode],-99)</f>
        <v>103</v>
      </c>
      <c r="T9307"/>
    </row>
    <row r="9308" spans="1:20" x14ac:dyDescent="0.25">
      <c r="A9308">
        <v>20190731</v>
      </c>
      <c r="B9308">
        <v>2019</v>
      </c>
      <c r="C9308">
        <v>7</v>
      </c>
      <c r="D9308">
        <v>1</v>
      </c>
      <c r="E9308">
        <v>13030</v>
      </c>
      <c r="F9308">
        <v>292828.46000000002</v>
      </c>
      <c r="G9308">
        <v>0</v>
      </c>
      <c r="H9308">
        <v>0</v>
      </c>
      <c r="I9308">
        <v>0</v>
      </c>
      <c r="J9308">
        <v>0</v>
      </c>
      <c r="K9308">
        <v>0</v>
      </c>
      <c r="L9308">
        <v>114000000</v>
      </c>
      <c r="M9308">
        <v>114000000</v>
      </c>
      <c r="N9308">
        <v>51276576</v>
      </c>
      <c r="O9308">
        <v>51276576</v>
      </c>
      <c r="P9308">
        <v>114000000</v>
      </c>
      <c r="Q9308">
        <v>114000000</v>
      </c>
      <c r="R9308" s="14">
        <f>_xlfn.XLOOKUP(Table2[[#This Row],[LoanID]],Table1[G-L ID],Table1[ManagerCode],-99)</f>
        <v>183</v>
      </c>
      <c r="T9308"/>
    </row>
    <row r="9309" spans="1:20" x14ac:dyDescent="0.25">
      <c r="A9309">
        <v>20190731</v>
      </c>
      <c r="B9309">
        <v>2019</v>
      </c>
      <c r="C9309">
        <v>7</v>
      </c>
      <c r="D9309">
        <v>1</v>
      </c>
      <c r="E9309">
        <v>13040</v>
      </c>
      <c r="F9309">
        <v>81566.84</v>
      </c>
      <c r="G9309">
        <v>0</v>
      </c>
      <c r="H9309">
        <v>0</v>
      </c>
      <c r="I9309">
        <v>0</v>
      </c>
      <c r="J9309">
        <v>0</v>
      </c>
      <c r="K9309">
        <v>0</v>
      </c>
      <c r="L9309">
        <v>35165907.43</v>
      </c>
      <c r="M9309">
        <v>35165907.43</v>
      </c>
      <c r="N9309">
        <v>14993520.43</v>
      </c>
      <c r="O9309">
        <v>14993520.43</v>
      </c>
      <c r="P9309">
        <v>35165907.43</v>
      </c>
      <c r="Q9309">
        <v>35165907.43</v>
      </c>
      <c r="R9309" s="14">
        <f>_xlfn.XLOOKUP(Table2[[#This Row],[LoanID]],Table1[G-L ID],Table1[ManagerCode],-99)</f>
        <v>183</v>
      </c>
      <c r="T9309"/>
    </row>
    <row r="9310" spans="1:20" x14ac:dyDescent="0.25">
      <c r="A9310">
        <v>20190731</v>
      </c>
      <c r="B9310">
        <v>2019</v>
      </c>
      <c r="C9310">
        <v>7</v>
      </c>
      <c r="D9310">
        <v>1</v>
      </c>
      <c r="E9310">
        <v>13050</v>
      </c>
      <c r="F9310">
        <v>77045.36</v>
      </c>
      <c r="G9310">
        <v>0</v>
      </c>
      <c r="H9310">
        <v>0</v>
      </c>
      <c r="I9310">
        <v>0</v>
      </c>
      <c r="J9310">
        <v>0</v>
      </c>
      <c r="K9310">
        <v>0</v>
      </c>
      <c r="L9310">
        <v>42575000</v>
      </c>
      <c r="M9310">
        <v>42575000</v>
      </c>
      <c r="N9310">
        <v>14901424</v>
      </c>
      <c r="O9310">
        <v>14901424</v>
      </c>
      <c r="P9310">
        <v>42575000</v>
      </c>
      <c r="Q9310">
        <v>42575000</v>
      </c>
      <c r="R9310" s="14">
        <f>_xlfn.XLOOKUP(Table2[[#This Row],[LoanID]],Table1[G-L ID],Table1[ManagerCode],-99)</f>
        <v>183</v>
      </c>
      <c r="T9310"/>
    </row>
    <row r="9311" spans="1:20" x14ac:dyDescent="0.25">
      <c r="A9311">
        <v>20190731</v>
      </c>
      <c r="B9311">
        <v>2019</v>
      </c>
      <c r="C9311">
        <v>7</v>
      </c>
      <c r="D9311">
        <v>1</v>
      </c>
      <c r="E9311">
        <v>13060</v>
      </c>
      <c r="F9311">
        <v>91993.33</v>
      </c>
      <c r="G9311">
        <v>0</v>
      </c>
      <c r="H9311">
        <v>0</v>
      </c>
      <c r="I9311">
        <v>0</v>
      </c>
      <c r="J9311">
        <v>-1078823.6000000001</v>
      </c>
      <c r="K9311">
        <v>0</v>
      </c>
      <c r="L9311">
        <v>42730506.350000001</v>
      </c>
      <c r="M9311">
        <v>43809329.950000003</v>
      </c>
      <c r="N9311">
        <v>17128944.350000001</v>
      </c>
      <c r="O9311">
        <v>18207767.949999999</v>
      </c>
      <c r="P9311">
        <v>42730506.350000001</v>
      </c>
      <c r="Q9311">
        <v>43809329.950000003</v>
      </c>
      <c r="R9311" s="14">
        <f>_xlfn.XLOOKUP(Table2[[#This Row],[LoanID]],Table1[G-L ID],Table1[ManagerCode],-99)</f>
        <v>183</v>
      </c>
      <c r="T9311"/>
    </row>
    <row r="9312" spans="1:20" x14ac:dyDescent="0.25">
      <c r="A9312">
        <v>20190731</v>
      </c>
      <c r="B9312">
        <v>2019</v>
      </c>
      <c r="C9312">
        <v>7</v>
      </c>
      <c r="D9312">
        <v>1</v>
      </c>
      <c r="E9312">
        <v>13070</v>
      </c>
      <c r="F9312">
        <v>376271.82</v>
      </c>
      <c r="G9312">
        <v>0</v>
      </c>
      <c r="H9312">
        <v>0</v>
      </c>
      <c r="I9312">
        <v>0</v>
      </c>
      <c r="J9312">
        <v>-1565424</v>
      </c>
      <c r="K9312">
        <v>0</v>
      </c>
      <c r="L9312">
        <v>88368005</v>
      </c>
      <c r="M9312">
        <v>89933429</v>
      </c>
      <c r="N9312">
        <v>48368005</v>
      </c>
      <c r="O9312">
        <v>49933429</v>
      </c>
      <c r="P9312">
        <v>88368005</v>
      </c>
      <c r="Q9312">
        <v>89933429</v>
      </c>
      <c r="R9312" s="14">
        <f>_xlfn.XLOOKUP(Table2[[#This Row],[LoanID]],Table1[G-L ID],Table1[ManagerCode],-99)</f>
        <v>183</v>
      </c>
      <c r="T9312"/>
    </row>
    <row r="9313" spans="1:20" x14ac:dyDescent="0.25">
      <c r="A9313">
        <v>20190731</v>
      </c>
      <c r="B9313">
        <v>2019</v>
      </c>
      <c r="C9313">
        <v>7</v>
      </c>
      <c r="D9313">
        <v>1</v>
      </c>
      <c r="E9313">
        <v>13080</v>
      </c>
      <c r="F9313">
        <v>101468.35</v>
      </c>
      <c r="G9313">
        <v>0</v>
      </c>
      <c r="H9313">
        <v>0</v>
      </c>
      <c r="I9313">
        <v>0</v>
      </c>
      <c r="J9313">
        <v>0</v>
      </c>
      <c r="K9313">
        <v>0</v>
      </c>
      <c r="L9313">
        <v>43000000</v>
      </c>
      <c r="M9313">
        <v>43000000</v>
      </c>
      <c r="N9313">
        <v>21500000</v>
      </c>
      <c r="O9313">
        <v>21500000</v>
      </c>
      <c r="P9313">
        <v>43000000</v>
      </c>
      <c r="Q9313">
        <v>43000000</v>
      </c>
      <c r="R9313" s="14">
        <f>_xlfn.XLOOKUP(Table2[[#This Row],[LoanID]],Table1[G-L ID],Table1[ManagerCode],-99)</f>
        <v>183</v>
      </c>
      <c r="T9313"/>
    </row>
    <row r="9314" spans="1:20" x14ac:dyDescent="0.25">
      <c r="A9314">
        <v>20190731</v>
      </c>
      <c r="B9314">
        <v>2019</v>
      </c>
      <c r="C9314">
        <v>7</v>
      </c>
      <c r="D9314">
        <v>1</v>
      </c>
      <c r="E9314">
        <v>13090</v>
      </c>
      <c r="F9314">
        <v>113907.78</v>
      </c>
      <c r="G9314">
        <v>0</v>
      </c>
      <c r="H9314">
        <v>0</v>
      </c>
      <c r="I9314">
        <v>0</v>
      </c>
      <c r="J9314">
        <v>0</v>
      </c>
      <c r="K9314">
        <v>0</v>
      </c>
      <c r="L9314">
        <v>20000000</v>
      </c>
      <c r="M9314">
        <v>20000000</v>
      </c>
      <c r="N9314">
        <v>20000000</v>
      </c>
      <c r="O9314">
        <v>20000000</v>
      </c>
      <c r="P9314">
        <v>20000000</v>
      </c>
      <c r="Q9314">
        <v>20000000</v>
      </c>
      <c r="R9314" s="14">
        <f>_xlfn.XLOOKUP(Table2[[#This Row],[LoanID]],Table1[G-L ID],Table1[ManagerCode],-99)</f>
        <v>183</v>
      </c>
      <c r="T9314"/>
    </row>
    <row r="9315" spans="1:20" x14ac:dyDescent="0.25">
      <c r="A9315">
        <v>20190731</v>
      </c>
      <c r="B9315">
        <v>2019</v>
      </c>
      <c r="C9315">
        <v>7</v>
      </c>
      <c r="D9315">
        <v>1</v>
      </c>
      <c r="E9315">
        <v>13100</v>
      </c>
      <c r="F9315">
        <v>101179.99</v>
      </c>
      <c r="G9315">
        <v>0</v>
      </c>
      <c r="H9315">
        <v>0</v>
      </c>
      <c r="I9315">
        <v>0</v>
      </c>
      <c r="J9315">
        <v>-86567.53</v>
      </c>
      <c r="K9315">
        <v>0</v>
      </c>
      <c r="L9315">
        <v>31724298.09</v>
      </c>
      <c r="M9315">
        <v>31810865.620000001</v>
      </c>
      <c r="N9315">
        <v>14296600</v>
      </c>
      <c r="O9315">
        <v>14383167.529999999</v>
      </c>
      <c r="P9315">
        <v>31724298.09</v>
      </c>
      <c r="Q9315">
        <v>31810865.620000001</v>
      </c>
      <c r="R9315" s="14">
        <f>_xlfn.XLOOKUP(Table2[[#This Row],[LoanID]],Table1[G-L ID],Table1[ManagerCode],-99)</f>
        <v>183</v>
      </c>
      <c r="T9315"/>
    </row>
    <row r="9316" spans="1:20" x14ac:dyDescent="0.25">
      <c r="A9316">
        <v>20190731</v>
      </c>
      <c r="B9316">
        <v>2019</v>
      </c>
      <c r="C9316">
        <v>7</v>
      </c>
      <c r="D9316">
        <v>1</v>
      </c>
      <c r="E9316">
        <v>13110</v>
      </c>
      <c r="F9316">
        <v>96529.59</v>
      </c>
      <c r="G9316">
        <v>0</v>
      </c>
      <c r="H9316">
        <v>0</v>
      </c>
      <c r="I9316">
        <v>0</v>
      </c>
      <c r="J9316">
        <v>-272789.7</v>
      </c>
      <c r="K9316">
        <v>0</v>
      </c>
      <c r="L9316">
        <v>44242420.43</v>
      </c>
      <c r="M9316">
        <v>44515210.130000003</v>
      </c>
      <c r="N9316">
        <v>17966170.43</v>
      </c>
      <c r="O9316">
        <v>18238960.129999999</v>
      </c>
      <c r="P9316">
        <v>44242420.43</v>
      </c>
      <c r="Q9316">
        <v>44515210.130000003</v>
      </c>
      <c r="R9316" s="14">
        <f>_xlfn.XLOOKUP(Table2[[#This Row],[LoanID]],Table1[G-L ID],Table1[ManagerCode],-99)</f>
        <v>183</v>
      </c>
      <c r="T9316"/>
    </row>
    <row r="9317" spans="1:20" x14ac:dyDescent="0.25">
      <c r="A9317">
        <v>20190731</v>
      </c>
      <c r="B9317">
        <v>2019</v>
      </c>
      <c r="C9317">
        <v>7</v>
      </c>
      <c r="D9317">
        <v>1</v>
      </c>
      <c r="E9317">
        <v>13120</v>
      </c>
      <c r="F9317">
        <v>53978.43</v>
      </c>
      <c r="G9317">
        <v>0</v>
      </c>
      <c r="H9317">
        <v>0</v>
      </c>
      <c r="I9317">
        <v>0</v>
      </c>
      <c r="J9317">
        <v>0</v>
      </c>
      <c r="K9317">
        <v>0</v>
      </c>
      <c r="L9317">
        <v>27360000</v>
      </c>
      <c r="M9317">
        <v>27360000</v>
      </c>
      <c r="N9317">
        <v>9576000</v>
      </c>
      <c r="O9317">
        <v>9576000</v>
      </c>
      <c r="P9317">
        <v>27360000</v>
      </c>
      <c r="Q9317">
        <v>27360000</v>
      </c>
      <c r="R9317" s="14">
        <f>_xlfn.XLOOKUP(Table2[[#This Row],[LoanID]],Table1[G-L ID],Table1[ManagerCode],-99)</f>
        <v>183</v>
      </c>
      <c r="T9317"/>
    </row>
    <row r="9318" spans="1:20" x14ac:dyDescent="0.25">
      <c r="A9318">
        <v>20190731</v>
      </c>
      <c r="B9318">
        <v>2019</v>
      </c>
      <c r="C9318">
        <v>7</v>
      </c>
      <c r="D9318">
        <v>1</v>
      </c>
      <c r="E9318">
        <v>13130</v>
      </c>
      <c r="F9318">
        <v>431423.21</v>
      </c>
      <c r="G9318">
        <v>0</v>
      </c>
      <c r="H9318">
        <v>0</v>
      </c>
      <c r="I9318">
        <v>0</v>
      </c>
      <c r="J9318">
        <v>0</v>
      </c>
      <c r="K9318">
        <v>0</v>
      </c>
      <c r="L9318">
        <v>190400000</v>
      </c>
      <c r="M9318">
        <v>190400000</v>
      </c>
      <c r="N9318">
        <v>90400000</v>
      </c>
      <c r="O9318">
        <v>90400000</v>
      </c>
      <c r="P9318">
        <v>190400000</v>
      </c>
      <c r="Q9318">
        <v>190400000</v>
      </c>
      <c r="R9318" s="14">
        <f>_xlfn.XLOOKUP(Table2[[#This Row],[LoanID]],Table1[G-L ID],Table1[ManagerCode],-99)</f>
        <v>183</v>
      </c>
      <c r="T9318"/>
    </row>
    <row r="9319" spans="1:20" x14ac:dyDescent="0.25">
      <c r="A9319">
        <v>20190731</v>
      </c>
      <c r="B9319">
        <v>2019</v>
      </c>
      <c r="C9319">
        <v>7</v>
      </c>
      <c r="D9319">
        <v>1</v>
      </c>
      <c r="E9319">
        <v>13140</v>
      </c>
      <c r="F9319">
        <v>254417.01</v>
      </c>
      <c r="G9319">
        <v>0</v>
      </c>
      <c r="H9319">
        <v>0</v>
      </c>
      <c r="I9319">
        <v>0</v>
      </c>
      <c r="J9319">
        <v>-397720.39</v>
      </c>
      <c r="K9319">
        <v>8264026.5499999998</v>
      </c>
      <c r="L9319">
        <v>130627846.7</v>
      </c>
      <c r="M9319">
        <v>131025567.09999999</v>
      </c>
      <c r="N9319">
        <v>53909746.149999999</v>
      </c>
      <c r="O9319">
        <v>46043440</v>
      </c>
      <c r="P9319">
        <v>130627846.7</v>
      </c>
      <c r="Q9319">
        <v>131025567.09999999</v>
      </c>
      <c r="R9319" s="14">
        <f>_xlfn.XLOOKUP(Table2[[#This Row],[LoanID]],Table1[G-L ID],Table1[ManagerCode],-99)</f>
        <v>183</v>
      </c>
      <c r="T9319"/>
    </row>
    <row r="9320" spans="1:20" x14ac:dyDescent="0.25">
      <c r="A9320">
        <v>20190731</v>
      </c>
      <c r="B9320">
        <v>2019</v>
      </c>
      <c r="C9320">
        <v>7</v>
      </c>
      <c r="D9320">
        <v>1</v>
      </c>
      <c r="E9320">
        <v>13150</v>
      </c>
      <c r="F9320">
        <v>158898.57</v>
      </c>
      <c r="G9320">
        <v>0</v>
      </c>
      <c r="H9320">
        <v>0</v>
      </c>
      <c r="I9320">
        <v>0</v>
      </c>
      <c r="J9320">
        <v>0</v>
      </c>
      <c r="K9320">
        <v>0</v>
      </c>
      <c r="L9320">
        <v>85852604.560000002</v>
      </c>
      <c r="M9320">
        <v>85852604.560000002</v>
      </c>
      <c r="N9320">
        <v>30225604.559999999</v>
      </c>
      <c r="O9320">
        <v>30225604.559999999</v>
      </c>
      <c r="P9320">
        <v>85852604.560000002</v>
      </c>
      <c r="Q9320">
        <v>85852604.560000002</v>
      </c>
      <c r="R9320" s="14">
        <f>_xlfn.XLOOKUP(Table2[[#This Row],[LoanID]],Table1[G-L ID],Table1[ManagerCode],-99)</f>
        <v>183</v>
      </c>
      <c r="T9320"/>
    </row>
    <row r="9321" spans="1:20" x14ac:dyDescent="0.25">
      <c r="A9321">
        <v>20190731</v>
      </c>
      <c r="B9321">
        <v>2019</v>
      </c>
      <c r="C9321">
        <v>7</v>
      </c>
      <c r="D9321">
        <v>1</v>
      </c>
      <c r="E9321">
        <v>13160</v>
      </c>
      <c r="F9321">
        <v>109984.63</v>
      </c>
      <c r="G9321">
        <v>0</v>
      </c>
      <c r="H9321">
        <v>0</v>
      </c>
      <c r="I9321">
        <v>0</v>
      </c>
      <c r="J9321">
        <v>0</v>
      </c>
      <c r="K9321">
        <v>0</v>
      </c>
      <c r="L9321">
        <v>41900000</v>
      </c>
      <c r="M9321">
        <v>41900000</v>
      </c>
      <c r="N9321">
        <v>21854858</v>
      </c>
      <c r="O9321">
        <v>21854858</v>
      </c>
      <c r="P9321">
        <v>41900000</v>
      </c>
      <c r="Q9321">
        <v>41900000</v>
      </c>
      <c r="R9321" s="14">
        <f>_xlfn.XLOOKUP(Table2[[#This Row],[LoanID]],Table1[G-L ID],Table1[ManagerCode],-99)</f>
        <v>183</v>
      </c>
      <c r="T9321"/>
    </row>
    <row r="9322" spans="1:20" x14ac:dyDescent="0.25">
      <c r="A9322">
        <v>20190731</v>
      </c>
      <c r="B9322">
        <v>2019</v>
      </c>
      <c r="C9322">
        <v>7</v>
      </c>
      <c r="D9322">
        <v>1</v>
      </c>
      <c r="E9322">
        <v>13170</v>
      </c>
      <c r="F9322">
        <v>100010.73</v>
      </c>
      <c r="G9322">
        <v>0</v>
      </c>
      <c r="H9322">
        <v>0</v>
      </c>
      <c r="I9322">
        <v>0</v>
      </c>
      <c r="J9322">
        <v>0</v>
      </c>
      <c r="K9322">
        <v>0</v>
      </c>
      <c r="L9322">
        <v>50400000</v>
      </c>
      <c r="M9322">
        <v>50400000</v>
      </c>
      <c r="N9322">
        <v>17600000</v>
      </c>
      <c r="O9322">
        <v>17600000</v>
      </c>
      <c r="P9322">
        <v>50400000</v>
      </c>
      <c r="Q9322">
        <v>50400000</v>
      </c>
      <c r="R9322" s="14">
        <f>_xlfn.XLOOKUP(Table2[[#This Row],[LoanID]],Table1[G-L ID],Table1[ManagerCode],-99)</f>
        <v>183</v>
      </c>
      <c r="T9322"/>
    </row>
    <row r="9323" spans="1:20" x14ac:dyDescent="0.25">
      <c r="A9323">
        <v>20190731</v>
      </c>
      <c r="B9323">
        <v>2019</v>
      </c>
      <c r="C9323">
        <v>7</v>
      </c>
      <c r="D9323">
        <v>1</v>
      </c>
      <c r="E9323">
        <v>13180</v>
      </c>
      <c r="F9323">
        <v>83185.06</v>
      </c>
      <c r="G9323">
        <v>0</v>
      </c>
      <c r="H9323">
        <v>0</v>
      </c>
      <c r="I9323">
        <v>0</v>
      </c>
      <c r="J9323">
        <v>0</v>
      </c>
      <c r="K9323">
        <v>0</v>
      </c>
      <c r="L9323">
        <v>39780000</v>
      </c>
      <c r="M9323">
        <v>39780000</v>
      </c>
      <c r="N9323">
        <v>15930000</v>
      </c>
      <c r="O9323">
        <v>15930000</v>
      </c>
      <c r="P9323">
        <v>39780000</v>
      </c>
      <c r="Q9323">
        <v>39780000</v>
      </c>
      <c r="R9323" s="14">
        <f>_xlfn.XLOOKUP(Table2[[#This Row],[LoanID]],Table1[G-L ID],Table1[ManagerCode],-99)</f>
        <v>183</v>
      </c>
      <c r="T9323"/>
    </row>
    <row r="9324" spans="1:20" x14ac:dyDescent="0.25">
      <c r="A9324">
        <v>20190731</v>
      </c>
      <c r="B9324">
        <v>2019</v>
      </c>
      <c r="C9324">
        <v>7</v>
      </c>
      <c r="D9324">
        <v>1</v>
      </c>
      <c r="E9324">
        <v>13190</v>
      </c>
      <c r="F9324">
        <v>56630.11</v>
      </c>
      <c r="G9324">
        <v>53295.83</v>
      </c>
      <c r="H9324">
        <v>0</v>
      </c>
      <c r="I9324">
        <v>0</v>
      </c>
      <c r="J9324">
        <v>-1650358.35</v>
      </c>
      <c r="K9324">
        <v>0</v>
      </c>
      <c r="L9324">
        <v>10926908.939999999</v>
      </c>
      <c r="M9324">
        <v>12630563.119999999</v>
      </c>
      <c r="N9324">
        <v>10926908.939999999</v>
      </c>
      <c r="O9324">
        <v>12630563.119999999</v>
      </c>
      <c r="P9324">
        <v>10926908.939999999</v>
      </c>
      <c r="Q9324">
        <v>12630563.119999999</v>
      </c>
      <c r="R9324" s="14">
        <f>_xlfn.XLOOKUP(Table2[[#This Row],[LoanID]],Table1[G-L ID],Table1[ManagerCode],-99)</f>
        <v>183</v>
      </c>
      <c r="T9324"/>
    </row>
    <row r="9325" spans="1:20" x14ac:dyDescent="0.25">
      <c r="A9325">
        <v>20190731</v>
      </c>
      <c r="B9325">
        <v>2019</v>
      </c>
      <c r="C9325">
        <v>7</v>
      </c>
      <c r="D9325">
        <v>1</v>
      </c>
      <c r="E9325">
        <v>13200</v>
      </c>
      <c r="F9325">
        <v>43481.42</v>
      </c>
      <c r="G9325">
        <v>50728.31</v>
      </c>
      <c r="H9325">
        <v>0</v>
      </c>
      <c r="I9325">
        <v>0</v>
      </c>
      <c r="J9325">
        <v>-2300201.77</v>
      </c>
      <c r="K9325">
        <v>0</v>
      </c>
      <c r="L9325">
        <v>7349941.9500000002</v>
      </c>
      <c r="M9325">
        <v>9700872.0299999993</v>
      </c>
      <c r="N9325">
        <v>7349941.9500000002</v>
      </c>
      <c r="O9325">
        <v>9700872.0299999993</v>
      </c>
      <c r="P9325">
        <v>7349941.9500000002</v>
      </c>
      <c r="Q9325">
        <v>9700872.0299999993</v>
      </c>
      <c r="R9325" s="14">
        <f>_xlfn.XLOOKUP(Table2[[#This Row],[LoanID]],Table1[G-L ID],Table1[ManagerCode],-99)</f>
        <v>183</v>
      </c>
      <c r="T9325"/>
    </row>
    <row r="9326" spans="1:20" x14ac:dyDescent="0.25">
      <c r="A9326">
        <v>20190731</v>
      </c>
      <c r="B9326">
        <v>2019</v>
      </c>
      <c r="C9326">
        <v>7</v>
      </c>
      <c r="D9326">
        <v>1</v>
      </c>
      <c r="E9326">
        <v>13210</v>
      </c>
      <c r="F9326">
        <v>0</v>
      </c>
      <c r="G9326">
        <v>78043.259999999995</v>
      </c>
      <c r="H9326">
        <v>0</v>
      </c>
      <c r="I9326">
        <v>0</v>
      </c>
      <c r="J9326">
        <v>0</v>
      </c>
      <c r="K9326">
        <v>0</v>
      </c>
      <c r="L9326">
        <v>7881604.5099999998</v>
      </c>
      <c r="M9326">
        <v>7959647.7699999996</v>
      </c>
      <c r="N9326">
        <v>7881604.5099999998</v>
      </c>
      <c r="O9326">
        <v>7959647.7699999996</v>
      </c>
      <c r="P9326">
        <v>7881604.5099999998</v>
      </c>
      <c r="Q9326">
        <v>7959647.7699999996</v>
      </c>
      <c r="R9326" s="14">
        <f>_xlfn.XLOOKUP(Table2[[#This Row],[LoanID]],Table1[G-L ID],Table1[ManagerCode],-99)</f>
        <v>183</v>
      </c>
      <c r="T9326"/>
    </row>
    <row r="9327" spans="1:20" x14ac:dyDescent="0.25">
      <c r="A9327">
        <v>20190731</v>
      </c>
      <c r="B9327">
        <v>2019</v>
      </c>
      <c r="C9327">
        <v>7</v>
      </c>
      <c r="D9327">
        <v>1</v>
      </c>
      <c r="E9327">
        <v>13220</v>
      </c>
      <c r="F9327">
        <v>71227.44</v>
      </c>
      <c r="G9327">
        <v>-1578.57</v>
      </c>
      <c r="H9327">
        <v>0</v>
      </c>
      <c r="I9327">
        <v>0</v>
      </c>
      <c r="J9327">
        <v>0</v>
      </c>
      <c r="K9327">
        <v>5126.3100000000004</v>
      </c>
      <c r="L9327">
        <v>9305969.8800000008</v>
      </c>
      <c r="M9327">
        <v>9299265</v>
      </c>
      <c r="N9327">
        <v>9305969.8800000008</v>
      </c>
      <c r="O9327">
        <v>9299265</v>
      </c>
      <c r="P9327">
        <v>9214255.8100000005</v>
      </c>
      <c r="Q9327">
        <v>9207550.9299999997</v>
      </c>
      <c r="R9327" s="14">
        <f>_xlfn.XLOOKUP(Table2[[#This Row],[LoanID]],Table1[G-L ID],Table1[ManagerCode],-99)</f>
        <v>219</v>
      </c>
      <c r="T9327"/>
    </row>
    <row r="9328" spans="1:20" x14ac:dyDescent="0.25">
      <c r="A9328">
        <v>20190731</v>
      </c>
      <c r="B9328">
        <v>2019</v>
      </c>
      <c r="C9328">
        <v>7</v>
      </c>
      <c r="D9328">
        <v>1</v>
      </c>
      <c r="E9328">
        <v>13230</v>
      </c>
      <c r="F9328">
        <v>43875</v>
      </c>
      <c r="G9328">
        <v>0</v>
      </c>
      <c r="H9328">
        <v>0</v>
      </c>
      <c r="I9328">
        <v>0</v>
      </c>
      <c r="J9328">
        <v>0</v>
      </c>
      <c r="K9328">
        <v>0</v>
      </c>
      <c r="L9328">
        <v>6543875</v>
      </c>
      <c r="M9328">
        <v>6543875</v>
      </c>
      <c r="N9328">
        <v>6543875</v>
      </c>
      <c r="O9328">
        <v>6543875</v>
      </c>
      <c r="P9328">
        <v>6543875</v>
      </c>
      <c r="Q9328">
        <v>6543875</v>
      </c>
      <c r="R9328" s="14">
        <f>_xlfn.XLOOKUP(Table2[[#This Row],[LoanID]],Table1[G-L ID],Table1[ManagerCode],-99)</f>
        <v>219</v>
      </c>
      <c r="T9328"/>
    </row>
    <row r="9329" spans="1:20" x14ac:dyDescent="0.25">
      <c r="A9329">
        <v>20190731</v>
      </c>
      <c r="B9329">
        <v>2019</v>
      </c>
      <c r="C9329">
        <v>7</v>
      </c>
      <c r="D9329">
        <v>1</v>
      </c>
      <c r="E9329">
        <v>13240</v>
      </c>
      <c r="F9329">
        <v>76631.97</v>
      </c>
      <c r="G9329">
        <v>-3013.46</v>
      </c>
      <c r="H9329">
        <v>0</v>
      </c>
      <c r="I9329">
        <v>0</v>
      </c>
      <c r="J9329">
        <v>0</v>
      </c>
      <c r="K9329">
        <v>0</v>
      </c>
      <c r="L9329">
        <v>7820006.0800000001</v>
      </c>
      <c r="M9329">
        <v>7816992.6200000001</v>
      </c>
      <c r="N9329">
        <v>7820006.0800000001</v>
      </c>
      <c r="O9329">
        <v>7816992.6200000001</v>
      </c>
      <c r="P9329">
        <v>7820006.0800000001</v>
      </c>
      <c r="Q9329">
        <v>7816992.6200000001</v>
      </c>
      <c r="R9329" s="14">
        <f>_xlfn.XLOOKUP(Table2[[#This Row],[LoanID]],Table1[G-L ID],Table1[ManagerCode],-99)</f>
        <v>219</v>
      </c>
      <c r="T9329"/>
    </row>
    <row r="9330" spans="1:20" x14ac:dyDescent="0.25">
      <c r="A9330">
        <v>20190731</v>
      </c>
      <c r="B9330">
        <v>2019</v>
      </c>
      <c r="C9330">
        <v>7</v>
      </c>
      <c r="D9330">
        <v>1</v>
      </c>
      <c r="E9330">
        <v>13260</v>
      </c>
      <c r="F9330">
        <v>181583.33</v>
      </c>
      <c r="G9330">
        <v>3891.99</v>
      </c>
      <c r="H9330">
        <v>0</v>
      </c>
      <c r="I9330">
        <v>0</v>
      </c>
      <c r="J9330">
        <v>0</v>
      </c>
      <c r="K9330">
        <v>0</v>
      </c>
      <c r="L9330">
        <v>20098344.120000001</v>
      </c>
      <c r="M9330">
        <v>20102236.109999999</v>
      </c>
      <c r="N9330">
        <v>20098344.120000001</v>
      </c>
      <c r="O9330">
        <v>20102236.109999999</v>
      </c>
      <c r="P9330">
        <v>20098344.120000001</v>
      </c>
      <c r="Q9330">
        <v>20102236.109999999</v>
      </c>
      <c r="R9330" s="14">
        <f>_xlfn.XLOOKUP(Table2[[#This Row],[LoanID]],Table1[G-L ID],Table1[ManagerCode],-99)</f>
        <v>219</v>
      </c>
      <c r="T9330"/>
    </row>
    <row r="9331" spans="1:20" x14ac:dyDescent="0.25">
      <c r="A9331">
        <v>20190731</v>
      </c>
      <c r="B9331">
        <v>2019</v>
      </c>
      <c r="C9331">
        <v>7</v>
      </c>
      <c r="D9331">
        <v>1</v>
      </c>
      <c r="E9331">
        <v>13270</v>
      </c>
      <c r="F9331">
        <v>154437.5</v>
      </c>
      <c r="G9331">
        <v>2990.11</v>
      </c>
      <c r="H9331">
        <v>0</v>
      </c>
      <c r="I9331">
        <v>0</v>
      </c>
      <c r="J9331">
        <v>0</v>
      </c>
      <c r="K9331">
        <v>0</v>
      </c>
      <c r="L9331">
        <v>25104474.469999999</v>
      </c>
      <c r="M9331">
        <v>25107464.579999998</v>
      </c>
      <c r="N9331">
        <v>25104474.469999999</v>
      </c>
      <c r="O9331">
        <v>25107464.579999998</v>
      </c>
      <c r="P9331">
        <v>25104474.469999999</v>
      </c>
      <c r="Q9331">
        <v>25107464.579999998</v>
      </c>
      <c r="R9331" s="14">
        <f>_xlfn.XLOOKUP(Table2[[#This Row],[LoanID]],Table1[G-L ID],Table1[ManagerCode],-99)</f>
        <v>219</v>
      </c>
      <c r="T9331"/>
    </row>
    <row r="9332" spans="1:20" x14ac:dyDescent="0.25">
      <c r="A9332">
        <v>20190731</v>
      </c>
      <c r="B9332">
        <v>2019</v>
      </c>
      <c r="C9332">
        <v>7</v>
      </c>
      <c r="D9332">
        <v>1</v>
      </c>
      <c r="E9332">
        <v>13280</v>
      </c>
      <c r="F9332">
        <v>330416.67</v>
      </c>
      <c r="G9332">
        <v>-162500</v>
      </c>
      <c r="H9332">
        <v>0</v>
      </c>
      <c r="I9332">
        <v>0</v>
      </c>
      <c r="J9332">
        <v>0</v>
      </c>
      <c r="K9332">
        <v>20000000</v>
      </c>
      <c r="L9332">
        <v>20312500.199999999</v>
      </c>
      <c r="M9332">
        <v>0</v>
      </c>
      <c r="N9332">
        <v>20312500.199999999</v>
      </c>
      <c r="O9332">
        <v>0</v>
      </c>
      <c r="P9332">
        <v>20162500</v>
      </c>
      <c r="Q9332">
        <v>0</v>
      </c>
      <c r="R9332" s="14">
        <f>_xlfn.XLOOKUP(Table2[[#This Row],[LoanID]],Table1[G-L ID],Table1[ManagerCode],-99)</f>
        <v>219</v>
      </c>
      <c r="T9332"/>
    </row>
    <row r="9333" spans="1:20" x14ac:dyDescent="0.25">
      <c r="A9333">
        <v>20190731</v>
      </c>
      <c r="B9333">
        <v>2019</v>
      </c>
      <c r="C9333">
        <v>7</v>
      </c>
      <c r="D9333">
        <v>1</v>
      </c>
      <c r="E9333">
        <v>13290</v>
      </c>
      <c r="F9333">
        <v>154965.28</v>
      </c>
      <c r="G9333">
        <v>-150000</v>
      </c>
      <c r="H9333">
        <v>100000</v>
      </c>
      <c r="I9333">
        <v>0</v>
      </c>
      <c r="J9333">
        <v>0</v>
      </c>
      <c r="K9333">
        <v>20000000</v>
      </c>
      <c r="L9333">
        <v>20150000</v>
      </c>
      <c r="M9333">
        <v>0</v>
      </c>
      <c r="N9333">
        <v>20150000</v>
      </c>
      <c r="O9333">
        <v>0</v>
      </c>
      <c r="P9333">
        <v>20150000</v>
      </c>
      <c r="Q9333">
        <v>0</v>
      </c>
      <c r="R9333" s="14">
        <f>_xlfn.XLOOKUP(Table2[[#This Row],[LoanID]],Table1[G-L ID],Table1[ManagerCode],-99)</f>
        <v>219</v>
      </c>
      <c r="T9333"/>
    </row>
    <row r="9334" spans="1:20" x14ac:dyDescent="0.25">
      <c r="A9334">
        <v>20190731</v>
      </c>
      <c r="B9334">
        <v>2019</v>
      </c>
      <c r="C9334">
        <v>7</v>
      </c>
      <c r="D9334">
        <v>1</v>
      </c>
      <c r="E9334">
        <v>13300</v>
      </c>
      <c r="F9334">
        <v>208333</v>
      </c>
      <c r="G9334">
        <v>6944.45</v>
      </c>
      <c r="H9334">
        <v>0</v>
      </c>
      <c r="I9334">
        <v>0</v>
      </c>
      <c r="J9334">
        <v>0</v>
      </c>
      <c r="K9334">
        <v>0</v>
      </c>
      <c r="L9334">
        <v>25208333.329999998</v>
      </c>
      <c r="M9334">
        <v>25215277.780000001</v>
      </c>
      <c r="N9334">
        <v>25208333.329999998</v>
      </c>
      <c r="O9334">
        <v>25215277.780000001</v>
      </c>
      <c r="P9334">
        <v>25208333.329999998</v>
      </c>
      <c r="Q9334">
        <v>25215277.780000001</v>
      </c>
      <c r="R9334" s="14">
        <f>_xlfn.XLOOKUP(Table2[[#This Row],[LoanID]],Table1[G-L ID],Table1[ManagerCode],-99)</f>
        <v>219</v>
      </c>
      <c r="T9334"/>
    </row>
    <row r="9335" spans="1:20" x14ac:dyDescent="0.25">
      <c r="A9335">
        <v>20190731</v>
      </c>
      <c r="B9335">
        <v>2019</v>
      </c>
      <c r="C9335">
        <v>7</v>
      </c>
      <c r="D9335">
        <v>1</v>
      </c>
      <c r="E9335">
        <v>13370</v>
      </c>
      <c r="F9335">
        <v>0</v>
      </c>
      <c r="G9335">
        <v>0</v>
      </c>
      <c r="H9335">
        <v>0</v>
      </c>
      <c r="I9335">
        <v>0</v>
      </c>
      <c r="J9335">
        <v>-36214.47</v>
      </c>
      <c r="K9335">
        <v>0</v>
      </c>
      <c r="L9335">
        <v>42630000</v>
      </c>
      <c r="M9335">
        <v>42666214.469999999</v>
      </c>
      <c r="N9335">
        <v>42630000</v>
      </c>
      <c r="O9335">
        <v>42666214.469999999</v>
      </c>
      <c r="P9335">
        <v>42630000</v>
      </c>
      <c r="Q9335">
        <v>42666214.469999999</v>
      </c>
      <c r="R9335" s="14">
        <f>_xlfn.XLOOKUP(Table2[[#This Row],[LoanID]],Table1[G-L ID],Table1[ManagerCode],-99)</f>
        <v>183</v>
      </c>
      <c r="T9335"/>
    </row>
    <row r="9336" spans="1:20" x14ac:dyDescent="0.25">
      <c r="A9336">
        <v>20190731</v>
      </c>
      <c r="B9336">
        <v>2019</v>
      </c>
      <c r="C9336">
        <v>7</v>
      </c>
      <c r="D9336">
        <v>1</v>
      </c>
      <c r="E9336">
        <v>13380</v>
      </c>
      <c r="F9336">
        <v>65665.63</v>
      </c>
      <c r="G9336">
        <v>0</v>
      </c>
      <c r="H9336">
        <v>0</v>
      </c>
      <c r="I9336">
        <v>0</v>
      </c>
      <c r="J9336">
        <v>0</v>
      </c>
      <c r="K9336">
        <v>0</v>
      </c>
      <c r="L9336">
        <v>32000000</v>
      </c>
      <c r="M9336">
        <v>32000000</v>
      </c>
      <c r="N9336">
        <v>11200000</v>
      </c>
      <c r="O9336">
        <v>11200000</v>
      </c>
      <c r="P9336">
        <v>32000000</v>
      </c>
      <c r="Q9336">
        <v>32000000</v>
      </c>
      <c r="R9336" s="14">
        <f>_xlfn.XLOOKUP(Table2[[#This Row],[LoanID]],Table1[G-L ID],Table1[ManagerCode],-99)</f>
        <v>183</v>
      </c>
      <c r="T9336"/>
    </row>
    <row r="9337" spans="1:20" x14ac:dyDescent="0.25">
      <c r="A9337">
        <v>20190731</v>
      </c>
      <c r="B9337">
        <v>2019</v>
      </c>
      <c r="C9337">
        <v>7</v>
      </c>
      <c r="D9337">
        <v>1</v>
      </c>
      <c r="E9337">
        <v>13390</v>
      </c>
      <c r="F9337">
        <v>132650.9</v>
      </c>
      <c r="G9337">
        <v>0</v>
      </c>
      <c r="H9337">
        <v>0</v>
      </c>
      <c r="I9337">
        <v>0</v>
      </c>
      <c r="J9337">
        <v>0</v>
      </c>
      <c r="K9337">
        <v>0</v>
      </c>
      <c r="L9337">
        <v>48343461.420000002</v>
      </c>
      <c r="M9337">
        <v>48343461.420000002</v>
      </c>
      <c r="N9337">
        <v>19427384.420000002</v>
      </c>
      <c r="O9337">
        <v>19427384.420000002</v>
      </c>
      <c r="P9337">
        <v>48343461.420000002</v>
      </c>
      <c r="Q9337">
        <v>48343461.420000002</v>
      </c>
      <c r="R9337" s="14">
        <f>_xlfn.XLOOKUP(Table2[[#This Row],[LoanID]],Table1[G-L ID],Table1[ManagerCode],-99)</f>
        <v>183</v>
      </c>
      <c r="T9337"/>
    </row>
    <row r="9338" spans="1:20" x14ac:dyDescent="0.25">
      <c r="A9338">
        <v>20190731</v>
      </c>
      <c r="B9338">
        <v>2019</v>
      </c>
      <c r="C9338">
        <v>7</v>
      </c>
      <c r="D9338">
        <v>1</v>
      </c>
      <c r="E9338">
        <v>13400</v>
      </c>
      <c r="F9338">
        <v>69971.34</v>
      </c>
      <c r="G9338">
        <v>0</v>
      </c>
      <c r="H9338">
        <v>0</v>
      </c>
      <c r="I9338">
        <v>0</v>
      </c>
      <c r="J9338">
        <v>0</v>
      </c>
      <c r="K9338">
        <v>0</v>
      </c>
      <c r="L9338">
        <v>31750000</v>
      </c>
      <c r="M9338">
        <v>31750000</v>
      </c>
      <c r="N9338">
        <v>11112500</v>
      </c>
      <c r="O9338">
        <v>11112500</v>
      </c>
      <c r="P9338">
        <v>31750000</v>
      </c>
      <c r="Q9338">
        <v>31750000</v>
      </c>
      <c r="R9338" s="14">
        <f>_xlfn.XLOOKUP(Table2[[#This Row],[LoanID]],Table1[G-L ID],Table1[ManagerCode],-99)</f>
        <v>183</v>
      </c>
      <c r="T9338"/>
    </row>
    <row r="9339" spans="1:20" x14ac:dyDescent="0.25">
      <c r="A9339">
        <v>20190731</v>
      </c>
      <c r="B9339">
        <v>2019</v>
      </c>
      <c r="C9339">
        <v>7</v>
      </c>
      <c r="D9339">
        <v>1</v>
      </c>
      <c r="E9339">
        <v>13410</v>
      </c>
      <c r="F9339">
        <v>74822.14</v>
      </c>
      <c r="G9339">
        <v>0</v>
      </c>
      <c r="H9339">
        <v>0</v>
      </c>
      <c r="I9339">
        <v>0</v>
      </c>
      <c r="J9339">
        <v>0</v>
      </c>
      <c r="K9339">
        <v>0</v>
      </c>
      <c r="L9339">
        <v>33743194.43</v>
      </c>
      <c r="M9339">
        <v>33743194.43</v>
      </c>
      <c r="N9339">
        <v>12873194.43</v>
      </c>
      <c r="O9339">
        <v>12873194.43</v>
      </c>
      <c r="P9339">
        <v>33743194.43</v>
      </c>
      <c r="Q9339">
        <v>33743194.43</v>
      </c>
      <c r="R9339" s="14">
        <f>_xlfn.XLOOKUP(Table2[[#This Row],[LoanID]],Table1[G-L ID],Table1[ManagerCode],-99)</f>
        <v>183</v>
      </c>
      <c r="T9339"/>
    </row>
    <row r="9340" spans="1:20" x14ac:dyDescent="0.25">
      <c r="A9340">
        <v>20190731</v>
      </c>
      <c r="B9340">
        <v>2019</v>
      </c>
      <c r="C9340">
        <v>7</v>
      </c>
      <c r="D9340">
        <v>1</v>
      </c>
      <c r="E9340">
        <v>13420</v>
      </c>
      <c r="F9340">
        <v>69270.720000000001</v>
      </c>
      <c r="G9340">
        <v>0</v>
      </c>
      <c r="H9340">
        <v>0</v>
      </c>
      <c r="I9340">
        <v>0</v>
      </c>
      <c r="J9340">
        <v>0</v>
      </c>
      <c r="K9340">
        <v>0</v>
      </c>
      <c r="L9340">
        <v>29872783</v>
      </c>
      <c r="M9340">
        <v>29872783</v>
      </c>
      <c r="N9340">
        <v>13377870</v>
      </c>
      <c r="O9340">
        <v>13377870</v>
      </c>
      <c r="P9340">
        <v>29872783</v>
      </c>
      <c r="Q9340">
        <v>29872783</v>
      </c>
      <c r="R9340" s="14">
        <f>_xlfn.XLOOKUP(Table2[[#This Row],[LoanID]],Table1[G-L ID],Table1[ManagerCode],-99)</f>
        <v>183</v>
      </c>
      <c r="T9340"/>
    </row>
    <row r="9341" spans="1:20" x14ac:dyDescent="0.25">
      <c r="A9341">
        <v>20190731</v>
      </c>
      <c r="B9341">
        <v>2019</v>
      </c>
      <c r="C9341">
        <v>7</v>
      </c>
      <c r="D9341">
        <v>1</v>
      </c>
      <c r="E9341">
        <v>13430</v>
      </c>
      <c r="F9341">
        <v>163639.22</v>
      </c>
      <c r="G9341">
        <v>0</v>
      </c>
      <c r="H9341">
        <v>0</v>
      </c>
      <c r="I9341">
        <v>0</v>
      </c>
      <c r="J9341">
        <v>0</v>
      </c>
      <c r="K9341">
        <v>0</v>
      </c>
      <c r="L9341">
        <v>75000000</v>
      </c>
      <c r="M9341">
        <v>75000000</v>
      </c>
      <c r="N9341">
        <v>30882353</v>
      </c>
      <c r="O9341">
        <v>30882353</v>
      </c>
      <c r="P9341">
        <v>75000000</v>
      </c>
      <c r="Q9341">
        <v>75000000</v>
      </c>
      <c r="R9341" s="14">
        <f>_xlfn.XLOOKUP(Table2[[#This Row],[LoanID]],Table1[G-L ID],Table1[ManagerCode],-99)</f>
        <v>183</v>
      </c>
      <c r="T9341"/>
    </row>
    <row r="9342" spans="1:20" x14ac:dyDescent="0.25">
      <c r="A9342">
        <v>20190731</v>
      </c>
      <c r="B9342">
        <v>2019</v>
      </c>
      <c r="C9342">
        <v>7</v>
      </c>
      <c r="D9342">
        <v>1</v>
      </c>
      <c r="E9342">
        <v>13440</v>
      </c>
      <c r="F9342">
        <v>0</v>
      </c>
      <c r="G9342">
        <v>115569.56</v>
      </c>
      <c r="H9342">
        <v>0</v>
      </c>
      <c r="I9342">
        <v>0</v>
      </c>
      <c r="J9342">
        <v>0</v>
      </c>
      <c r="K9342">
        <v>0</v>
      </c>
      <c r="L9342">
        <v>11671392.529999999</v>
      </c>
      <c r="M9342">
        <v>11786962.09</v>
      </c>
      <c r="N9342">
        <v>11671392.529999999</v>
      </c>
      <c r="O9342">
        <v>11786962.09</v>
      </c>
      <c r="P9342">
        <v>11671392.529999999</v>
      </c>
      <c r="Q9342">
        <v>11786962.09</v>
      </c>
      <c r="R9342" s="14">
        <f>_xlfn.XLOOKUP(Table2[[#This Row],[LoanID]],Table1[G-L ID],Table1[ManagerCode],-99)</f>
        <v>183</v>
      </c>
      <c r="T9342"/>
    </row>
    <row r="9343" spans="1:20" x14ac:dyDescent="0.25">
      <c r="A9343">
        <v>20190731</v>
      </c>
      <c r="B9343">
        <v>2019</v>
      </c>
      <c r="C9343">
        <v>7</v>
      </c>
      <c r="D9343">
        <v>1</v>
      </c>
      <c r="E9343">
        <v>13450</v>
      </c>
      <c r="F9343">
        <v>0</v>
      </c>
      <c r="G9343">
        <v>88869.73</v>
      </c>
      <c r="H9343">
        <v>0</v>
      </c>
      <c r="I9343">
        <v>0</v>
      </c>
      <c r="J9343">
        <v>0</v>
      </c>
      <c r="K9343">
        <v>0</v>
      </c>
      <c r="L9343">
        <v>9178901.5500000007</v>
      </c>
      <c r="M9343">
        <v>9267771.2799999993</v>
      </c>
      <c r="N9343">
        <v>9178901.5500000007</v>
      </c>
      <c r="O9343">
        <v>9267771.2799999993</v>
      </c>
      <c r="P9343">
        <v>9178901.5500000007</v>
      </c>
      <c r="Q9343">
        <v>9267771.2799999993</v>
      </c>
      <c r="R9343" s="14">
        <f>_xlfn.XLOOKUP(Table2[[#This Row],[LoanID]],Table1[G-L ID],Table1[ManagerCode],-99)</f>
        <v>183</v>
      </c>
      <c r="T9343"/>
    </row>
    <row r="9344" spans="1:20" x14ac:dyDescent="0.25">
      <c r="A9344">
        <v>20190731</v>
      </c>
      <c r="B9344">
        <v>2019</v>
      </c>
      <c r="C9344">
        <v>7</v>
      </c>
      <c r="D9344">
        <v>1</v>
      </c>
      <c r="E9344">
        <v>13460</v>
      </c>
      <c r="F9344">
        <v>9445.18</v>
      </c>
      <c r="G9344">
        <v>14640.05</v>
      </c>
      <c r="H9344">
        <v>0</v>
      </c>
      <c r="I9344">
        <v>0</v>
      </c>
      <c r="J9344">
        <v>-425866.95</v>
      </c>
      <c r="K9344">
        <v>0</v>
      </c>
      <c r="L9344">
        <v>2070279.74</v>
      </c>
      <c r="M9344">
        <v>2510786.7400000002</v>
      </c>
      <c r="N9344">
        <v>2070279.74</v>
      </c>
      <c r="O9344">
        <v>2510786.7400000002</v>
      </c>
      <c r="P9344">
        <v>2070279.74</v>
      </c>
      <c r="Q9344">
        <v>2510786.7400000002</v>
      </c>
      <c r="R9344" s="14">
        <f>_xlfn.XLOOKUP(Table2[[#This Row],[LoanID]],Table1[G-L ID],Table1[ManagerCode],-99)</f>
        <v>183</v>
      </c>
      <c r="T9344"/>
    </row>
    <row r="9345" spans="1:20" x14ac:dyDescent="0.25">
      <c r="A9345">
        <v>20190731</v>
      </c>
      <c r="B9345">
        <v>2019</v>
      </c>
      <c r="C9345">
        <v>7</v>
      </c>
      <c r="D9345">
        <v>1</v>
      </c>
      <c r="E9345">
        <v>13470</v>
      </c>
      <c r="F9345">
        <v>345052.08</v>
      </c>
      <c r="G9345">
        <v>0</v>
      </c>
      <c r="H9345">
        <v>0</v>
      </c>
      <c r="I9345">
        <v>0</v>
      </c>
      <c r="J9345">
        <v>0</v>
      </c>
      <c r="K9345">
        <v>0</v>
      </c>
      <c r="L9345">
        <v>62500000</v>
      </c>
      <c r="M9345">
        <v>62500000</v>
      </c>
      <c r="N9345">
        <v>62500000</v>
      </c>
      <c r="O9345">
        <v>62500000</v>
      </c>
      <c r="P9345">
        <v>62500000</v>
      </c>
      <c r="Q9345">
        <v>62500000</v>
      </c>
      <c r="R9345" s="14">
        <f>_xlfn.XLOOKUP(Table2[[#This Row],[LoanID]],Table1[G-L ID],Table1[ManagerCode],-99)</f>
        <v>165</v>
      </c>
      <c r="T9345"/>
    </row>
    <row r="9346" spans="1:20" x14ac:dyDescent="0.25">
      <c r="A9346">
        <v>20190731</v>
      </c>
      <c r="B9346">
        <v>2019</v>
      </c>
      <c r="C9346">
        <v>7</v>
      </c>
      <c r="D9346">
        <v>1</v>
      </c>
      <c r="E9346">
        <v>13480</v>
      </c>
      <c r="F9346">
        <v>242450</v>
      </c>
      <c r="G9346">
        <v>0</v>
      </c>
      <c r="H9346">
        <v>0</v>
      </c>
      <c r="I9346">
        <v>0</v>
      </c>
      <c r="J9346">
        <v>0</v>
      </c>
      <c r="K9346">
        <v>0</v>
      </c>
      <c r="L9346">
        <v>39000000</v>
      </c>
      <c r="M9346">
        <v>39000000</v>
      </c>
      <c r="N9346">
        <v>39000000</v>
      </c>
      <c r="O9346">
        <v>39000000</v>
      </c>
      <c r="P9346">
        <v>39000000</v>
      </c>
      <c r="Q9346">
        <v>39000000</v>
      </c>
      <c r="R9346" s="14">
        <f>_xlfn.XLOOKUP(Table2[[#This Row],[LoanID]],Table1[G-L ID],Table1[ManagerCode],-99)</f>
        <v>165</v>
      </c>
      <c r="T9346"/>
    </row>
    <row r="9347" spans="1:20" x14ac:dyDescent="0.25">
      <c r="A9347">
        <v>20190731</v>
      </c>
      <c r="B9347">
        <v>2019</v>
      </c>
      <c r="C9347">
        <v>7</v>
      </c>
      <c r="D9347">
        <v>1</v>
      </c>
      <c r="E9347">
        <v>13490</v>
      </c>
      <c r="F9347">
        <v>294000</v>
      </c>
      <c r="G9347">
        <v>0</v>
      </c>
      <c r="H9347">
        <v>0</v>
      </c>
      <c r="I9347">
        <v>0</v>
      </c>
      <c r="J9347">
        <v>0</v>
      </c>
      <c r="K9347">
        <v>0</v>
      </c>
      <c r="L9347">
        <v>40000000</v>
      </c>
      <c r="M9347">
        <v>40000000</v>
      </c>
      <c r="N9347">
        <v>40000000</v>
      </c>
      <c r="O9347">
        <v>40000000</v>
      </c>
      <c r="P9347">
        <v>40000000</v>
      </c>
      <c r="Q9347">
        <v>40000000</v>
      </c>
      <c r="R9347" s="14">
        <f>_xlfn.XLOOKUP(Table2[[#This Row],[LoanID]],Table1[G-L ID],Table1[ManagerCode],-99)</f>
        <v>165</v>
      </c>
      <c r="T9347"/>
    </row>
    <row r="9348" spans="1:20" x14ac:dyDescent="0.25">
      <c r="A9348">
        <v>20190731</v>
      </c>
      <c r="B9348">
        <v>2019</v>
      </c>
      <c r="C9348">
        <v>7</v>
      </c>
      <c r="D9348">
        <v>1</v>
      </c>
      <c r="E9348">
        <v>13500</v>
      </c>
      <c r="F9348">
        <v>274479.17</v>
      </c>
      <c r="G9348">
        <v>0</v>
      </c>
      <c r="H9348">
        <v>0</v>
      </c>
      <c r="I9348">
        <v>0</v>
      </c>
      <c r="J9348">
        <v>0</v>
      </c>
      <c r="K9348">
        <v>0</v>
      </c>
      <c r="L9348">
        <v>42500000</v>
      </c>
      <c r="M9348">
        <v>42500000</v>
      </c>
      <c r="N9348">
        <v>42500000</v>
      </c>
      <c r="O9348">
        <v>42500000</v>
      </c>
      <c r="P9348">
        <v>42500000</v>
      </c>
      <c r="Q9348">
        <v>42500000</v>
      </c>
      <c r="R9348" s="14">
        <f>_xlfn.XLOOKUP(Table2[[#This Row],[LoanID]],Table1[G-L ID],Table1[ManagerCode],-99)</f>
        <v>165</v>
      </c>
      <c r="T9348"/>
    </row>
    <row r="9349" spans="1:20" x14ac:dyDescent="0.25">
      <c r="A9349">
        <v>20190731</v>
      </c>
      <c r="B9349">
        <v>2019</v>
      </c>
      <c r="C9349">
        <v>7</v>
      </c>
      <c r="D9349">
        <v>1</v>
      </c>
      <c r="E9349">
        <v>13510</v>
      </c>
      <c r="F9349">
        <v>307250</v>
      </c>
      <c r="G9349">
        <v>0</v>
      </c>
      <c r="H9349">
        <v>0</v>
      </c>
      <c r="I9349">
        <v>0</v>
      </c>
      <c r="J9349">
        <v>0</v>
      </c>
      <c r="K9349">
        <v>0</v>
      </c>
      <c r="L9349">
        <v>90000000</v>
      </c>
      <c r="M9349">
        <v>90000000</v>
      </c>
      <c r="N9349">
        <v>90000000</v>
      </c>
      <c r="O9349">
        <v>90000000</v>
      </c>
      <c r="P9349">
        <v>90000000</v>
      </c>
      <c r="Q9349">
        <v>90000000</v>
      </c>
      <c r="R9349" s="14">
        <f>_xlfn.XLOOKUP(Table2[[#This Row],[LoanID]],Table1[G-L ID],Table1[ManagerCode],-99)</f>
        <v>165</v>
      </c>
      <c r="T9349"/>
    </row>
    <row r="9350" spans="1:20" x14ac:dyDescent="0.25">
      <c r="A9350">
        <v>20190731</v>
      </c>
      <c r="B9350">
        <v>2019</v>
      </c>
      <c r="C9350">
        <v>7</v>
      </c>
      <c r="D9350">
        <v>1</v>
      </c>
      <c r="E9350">
        <v>13520</v>
      </c>
      <c r="F9350">
        <v>832812.5</v>
      </c>
      <c r="G9350">
        <v>0</v>
      </c>
      <c r="H9350">
        <v>0</v>
      </c>
      <c r="I9350">
        <v>0</v>
      </c>
      <c r="J9350">
        <v>0</v>
      </c>
      <c r="K9350">
        <v>0</v>
      </c>
      <c r="L9350">
        <v>195000000</v>
      </c>
      <c r="M9350">
        <v>195000000</v>
      </c>
      <c r="N9350">
        <v>195000000</v>
      </c>
      <c r="O9350">
        <v>195000000</v>
      </c>
      <c r="P9350">
        <v>195000000</v>
      </c>
      <c r="Q9350">
        <v>195000000</v>
      </c>
      <c r="R9350" s="14">
        <f>_xlfn.XLOOKUP(Table2[[#This Row],[LoanID]],Table1[G-L ID],Table1[ManagerCode],-99)</f>
        <v>165</v>
      </c>
      <c r="T9350"/>
    </row>
    <row r="9351" spans="1:20" x14ac:dyDescent="0.25">
      <c r="A9351">
        <v>20190731</v>
      </c>
      <c r="B9351">
        <v>2019</v>
      </c>
      <c r="C9351">
        <v>7</v>
      </c>
      <c r="D9351">
        <v>1</v>
      </c>
      <c r="E9351">
        <v>13530</v>
      </c>
      <c r="F9351">
        <v>390625</v>
      </c>
      <c r="G9351">
        <v>0</v>
      </c>
      <c r="H9351">
        <v>0</v>
      </c>
      <c r="I9351">
        <v>0</v>
      </c>
      <c r="J9351">
        <v>0</v>
      </c>
      <c r="K9351">
        <v>0</v>
      </c>
      <c r="L9351">
        <v>75000000</v>
      </c>
      <c r="M9351">
        <v>75000000</v>
      </c>
      <c r="N9351">
        <v>75000000</v>
      </c>
      <c r="O9351">
        <v>75000000</v>
      </c>
      <c r="P9351">
        <v>75000000</v>
      </c>
      <c r="Q9351">
        <v>75000000</v>
      </c>
      <c r="R9351" s="14">
        <f>_xlfn.XLOOKUP(Table2[[#This Row],[LoanID]],Table1[G-L ID],Table1[ManagerCode],-99)</f>
        <v>165</v>
      </c>
      <c r="T9351"/>
    </row>
    <row r="9352" spans="1:20" x14ac:dyDescent="0.25">
      <c r="A9352">
        <v>20190731</v>
      </c>
      <c r="B9352">
        <v>2019</v>
      </c>
      <c r="C9352">
        <v>7</v>
      </c>
      <c r="D9352">
        <v>1</v>
      </c>
      <c r="E9352">
        <v>13540</v>
      </c>
      <c r="F9352">
        <v>249249.65</v>
      </c>
      <c r="G9352">
        <v>0</v>
      </c>
      <c r="H9352">
        <v>0</v>
      </c>
      <c r="I9352">
        <v>0</v>
      </c>
      <c r="J9352">
        <v>0</v>
      </c>
      <c r="K9352">
        <v>299873.59000000003</v>
      </c>
      <c r="L9352">
        <v>41255113.530000001</v>
      </c>
      <c r="M9352">
        <v>40955239.939999998</v>
      </c>
      <c r="N9352">
        <v>41255113.530000001</v>
      </c>
      <c r="O9352">
        <v>40955239.939999998</v>
      </c>
      <c r="P9352">
        <v>41255113.530000001</v>
      </c>
      <c r="Q9352">
        <v>40955239.939999998</v>
      </c>
      <c r="R9352" s="14">
        <f>_xlfn.XLOOKUP(Table2[[#This Row],[LoanID]],Table1[G-L ID],Table1[ManagerCode],-99)</f>
        <v>165</v>
      </c>
      <c r="T9352"/>
    </row>
    <row r="9353" spans="1:20" x14ac:dyDescent="0.25">
      <c r="A9353">
        <v>20190731</v>
      </c>
      <c r="B9353">
        <v>2019</v>
      </c>
      <c r="C9353">
        <v>7</v>
      </c>
      <c r="D9353">
        <v>1</v>
      </c>
      <c r="E9353">
        <v>13550</v>
      </c>
      <c r="F9353">
        <v>1628586.69</v>
      </c>
      <c r="G9353">
        <v>0</v>
      </c>
      <c r="H9353">
        <v>0</v>
      </c>
      <c r="I9353">
        <v>0</v>
      </c>
      <c r="J9353">
        <v>0</v>
      </c>
      <c r="K9353">
        <v>0</v>
      </c>
      <c r="L9353">
        <v>355328004.80000001</v>
      </c>
      <c r="M9353">
        <v>355328004.80000001</v>
      </c>
      <c r="N9353">
        <v>355328004.80000001</v>
      </c>
      <c r="O9353">
        <v>355328004.80000001</v>
      </c>
      <c r="P9353">
        <v>355328004.80000001</v>
      </c>
      <c r="Q9353">
        <v>355328004.80000001</v>
      </c>
      <c r="R9353" s="14">
        <f>_xlfn.XLOOKUP(Table2[[#This Row],[LoanID]],Table1[G-L ID],Table1[ManagerCode],-99)</f>
        <v>165</v>
      </c>
      <c r="T9353"/>
    </row>
    <row r="9354" spans="1:20" x14ac:dyDescent="0.25">
      <c r="A9354">
        <v>20190731</v>
      </c>
      <c r="B9354">
        <v>2019</v>
      </c>
      <c r="C9354">
        <v>7</v>
      </c>
      <c r="D9354">
        <v>1</v>
      </c>
      <c r="E9354">
        <v>13560</v>
      </c>
      <c r="F9354">
        <v>603225</v>
      </c>
      <c r="G9354">
        <v>16674.57</v>
      </c>
      <c r="H9354">
        <v>0</v>
      </c>
      <c r="I9354">
        <v>0</v>
      </c>
      <c r="J9354">
        <v>0</v>
      </c>
      <c r="K9354">
        <v>0</v>
      </c>
      <c r="L9354">
        <v>105321731.7</v>
      </c>
      <c r="M9354">
        <v>105338406.2</v>
      </c>
      <c r="N9354">
        <v>105321731.7</v>
      </c>
      <c r="O9354">
        <v>105338406.2</v>
      </c>
      <c r="P9354">
        <v>105321731.7</v>
      </c>
      <c r="Q9354">
        <v>105338406.2</v>
      </c>
      <c r="R9354" s="14">
        <f>_xlfn.XLOOKUP(Table2[[#This Row],[LoanID]],Table1[G-L ID],Table1[ManagerCode],-99)</f>
        <v>219</v>
      </c>
      <c r="T9354"/>
    </row>
    <row r="9355" spans="1:20" x14ac:dyDescent="0.25">
      <c r="A9355">
        <v>20190731</v>
      </c>
      <c r="B9355">
        <v>2019</v>
      </c>
      <c r="C9355">
        <v>7</v>
      </c>
      <c r="D9355">
        <v>1</v>
      </c>
      <c r="E9355">
        <v>13580</v>
      </c>
      <c r="F9355">
        <v>415625</v>
      </c>
      <c r="G9355">
        <v>0</v>
      </c>
      <c r="H9355">
        <v>0</v>
      </c>
      <c r="I9355">
        <v>0</v>
      </c>
      <c r="J9355">
        <v>0</v>
      </c>
      <c r="K9355">
        <v>0</v>
      </c>
      <c r="L9355">
        <v>63776676</v>
      </c>
      <c r="M9355">
        <v>63849587.189999998</v>
      </c>
      <c r="N9355">
        <v>63776676</v>
      </c>
      <c r="O9355">
        <v>63849587.189999998</v>
      </c>
      <c r="P9355">
        <v>66500000</v>
      </c>
      <c r="Q9355">
        <v>66500000</v>
      </c>
      <c r="R9355" s="14">
        <f>_xlfn.XLOOKUP(Table2[[#This Row],[LoanID]],Table1[G-L ID],Table1[ManagerCode],-99)</f>
        <v>298</v>
      </c>
      <c r="T9355"/>
    </row>
    <row r="9356" spans="1:20" x14ac:dyDescent="0.25">
      <c r="A9356">
        <v>20190731</v>
      </c>
      <c r="B9356">
        <v>2019</v>
      </c>
      <c r="C9356">
        <v>7</v>
      </c>
      <c r="D9356">
        <v>1</v>
      </c>
      <c r="E9356">
        <v>13590</v>
      </c>
      <c r="F9356">
        <v>296500</v>
      </c>
      <c r="G9356">
        <v>0</v>
      </c>
      <c r="H9356">
        <v>0</v>
      </c>
      <c r="I9356">
        <v>0</v>
      </c>
      <c r="J9356">
        <v>0</v>
      </c>
      <c r="K9356">
        <v>0</v>
      </c>
      <c r="L9356">
        <v>40000000</v>
      </c>
      <c r="M9356">
        <v>40000000</v>
      </c>
      <c r="N9356">
        <v>40000000</v>
      </c>
      <c r="O9356">
        <v>40000000</v>
      </c>
      <c r="P9356">
        <v>40000000</v>
      </c>
      <c r="Q9356">
        <v>40000000</v>
      </c>
      <c r="R9356" s="14">
        <f>_xlfn.XLOOKUP(Table2[[#This Row],[LoanID]],Table1[G-L ID],Table1[ManagerCode],-99)</f>
        <v>298</v>
      </c>
      <c r="T9356"/>
    </row>
    <row r="9357" spans="1:20" x14ac:dyDescent="0.25">
      <c r="A9357">
        <v>20190731</v>
      </c>
      <c r="B9357">
        <v>2019</v>
      </c>
      <c r="C9357">
        <v>7</v>
      </c>
      <c r="D9357">
        <v>1</v>
      </c>
      <c r="E9357">
        <v>13600</v>
      </c>
      <c r="F9357">
        <v>366802.29</v>
      </c>
      <c r="G9357">
        <v>0</v>
      </c>
      <c r="H9357">
        <v>0</v>
      </c>
      <c r="I9357">
        <v>0</v>
      </c>
      <c r="J9357">
        <v>0</v>
      </c>
      <c r="K9357">
        <v>0</v>
      </c>
      <c r="L9357">
        <v>45970000</v>
      </c>
      <c r="M9357">
        <v>45970000</v>
      </c>
      <c r="N9357">
        <v>45970000</v>
      </c>
      <c r="O9357">
        <v>45970000</v>
      </c>
      <c r="P9357">
        <v>45970000</v>
      </c>
      <c r="Q9357">
        <v>45970000</v>
      </c>
      <c r="R9357" s="14">
        <f>_xlfn.XLOOKUP(Table2[[#This Row],[LoanID]],Table1[G-L ID],Table1[ManagerCode],-99)</f>
        <v>298</v>
      </c>
      <c r="T9357"/>
    </row>
    <row r="9358" spans="1:20" x14ac:dyDescent="0.25">
      <c r="A9358">
        <v>20190731</v>
      </c>
      <c r="B9358">
        <v>2019</v>
      </c>
      <c r="C9358">
        <v>7</v>
      </c>
      <c r="D9358">
        <v>1</v>
      </c>
      <c r="E9358">
        <v>13610</v>
      </c>
      <c r="F9358">
        <v>61250</v>
      </c>
      <c r="G9358">
        <v>0</v>
      </c>
      <c r="H9358">
        <v>0</v>
      </c>
      <c r="I9358">
        <v>0</v>
      </c>
      <c r="J9358">
        <v>0</v>
      </c>
      <c r="K9358">
        <v>0</v>
      </c>
      <c r="L9358">
        <v>10542185</v>
      </c>
      <c r="M9358">
        <v>10542185</v>
      </c>
      <c r="N9358">
        <v>10542185</v>
      </c>
      <c r="O9358">
        <v>10542185</v>
      </c>
      <c r="P9358">
        <v>10500000</v>
      </c>
      <c r="Q9358">
        <v>10500000</v>
      </c>
      <c r="R9358" s="14">
        <f>_xlfn.XLOOKUP(Table2[[#This Row],[LoanID]],Table1[G-L ID],Table1[ManagerCode],-99)</f>
        <v>298</v>
      </c>
      <c r="T9358"/>
    </row>
    <row r="9359" spans="1:20" x14ac:dyDescent="0.25">
      <c r="A9359">
        <v>20190731</v>
      </c>
      <c r="B9359">
        <v>2019</v>
      </c>
      <c r="C9359">
        <v>7</v>
      </c>
      <c r="D9359">
        <v>1</v>
      </c>
      <c r="E9359">
        <v>13620</v>
      </c>
      <c r="F9359">
        <v>356041.67</v>
      </c>
      <c r="G9359">
        <v>0</v>
      </c>
      <c r="H9359">
        <v>0</v>
      </c>
      <c r="I9359">
        <v>0</v>
      </c>
      <c r="J9359">
        <v>0</v>
      </c>
      <c r="K9359">
        <v>0</v>
      </c>
      <c r="L9359">
        <v>49842286</v>
      </c>
      <c r="M9359">
        <v>49842286</v>
      </c>
      <c r="N9359">
        <v>49842286</v>
      </c>
      <c r="O9359">
        <v>49842286</v>
      </c>
      <c r="P9359">
        <v>50000000</v>
      </c>
      <c r="Q9359">
        <v>50000000</v>
      </c>
      <c r="R9359" s="14">
        <f>_xlfn.XLOOKUP(Table2[[#This Row],[LoanID]],Table1[G-L ID],Table1[ManagerCode],-99)</f>
        <v>298</v>
      </c>
      <c r="T9359"/>
    </row>
    <row r="9360" spans="1:20" x14ac:dyDescent="0.25">
      <c r="A9360">
        <v>20190731</v>
      </c>
      <c r="B9360">
        <v>2019</v>
      </c>
      <c r="C9360">
        <v>7</v>
      </c>
      <c r="D9360">
        <v>1</v>
      </c>
      <c r="E9360">
        <v>13630</v>
      </c>
      <c r="F9360">
        <v>211458.33</v>
      </c>
      <c r="G9360">
        <v>0</v>
      </c>
      <c r="H9360">
        <v>0</v>
      </c>
      <c r="I9360">
        <v>0</v>
      </c>
      <c r="J9360">
        <v>0</v>
      </c>
      <c r="K9360">
        <v>0</v>
      </c>
      <c r="L9360">
        <v>30700000</v>
      </c>
      <c r="M9360">
        <v>30700000</v>
      </c>
      <c r="N9360">
        <v>30700000</v>
      </c>
      <c r="O9360">
        <v>30700000</v>
      </c>
      <c r="P9360">
        <v>35000000</v>
      </c>
      <c r="Q9360">
        <v>35000000</v>
      </c>
      <c r="R9360" s="14">
        <f>_xlfn.XLOOKUP(Table2[[#This Row],[LoanID]],Table1[G-L ID],Table1[ManagerCode],-99)</f>
        <v>298</v>
      </c>
      <c r="T9360"/>
    </row>
    <row r="9361" spans="1:20" x14ac:dyDescent="0.25">
      <c r="A9361">
        <v>20190731</v>
      </c>
      <c r="B9361">
        <v>2019</v>
      </c>
      <c r="C9361">
        <v>7</v>
      </c>
      <c r="D9361">
        <v>1</v>
      </c>
      <c r="E9361">
        <v>13640</v>
      </c>
      <c r="F9361">
        <v>219661.46</v>
      </c>
      <c r="G9361">
        <v>0</v>
      </c>
      <c r="H9361">
        <v>0</v>
      </c>
      <c r="I9361">
        <v>0</v>
      </c>
      <c r="J9361">
        <v>0</v>
      </c>
      <c r="K9361">
        <v>0</v>
      </c>
      <c r="L9361">
        <v>30714705</v>
      </c>
      <c r="M9361">
        <v>30714705</v>
      </c>
      <c r="N9361">
        <v>30714705</v>
      </c>
      <c r="O9361">
        <v>30714705</v>
      </c>
      <c r="P9361">
        <v>30125000</v>
      </c>
      <c r="Q9361">
        <v>30125000</v>
      </c>
      <c r="R9361" s="14">
        <f>_xlfn.XLOOKUP(Table2[[#This Row],[LoanID]],Table1[G-L ID],Table1[ManagerCode],-99)</f>
        <v>298</v>
      </c>
      <c r="T9361"/>
    </row>
    <row r="9362" spans="1:20" x14ac:dyDescent="0.25">
      <c r="A9362">
        <v>20190731</v>
      </c>
      <c r="B9362">
        <v>2019</v>
      </c>
      <c r="C9362">
        <v>7</v>
      </c>
      <c r="D9362">
        <v>1</v>
      </c>
      <c r="E9362">
        <v>13650</v>
      </c>
      <c r="F9362">
        <v>216666.67</v>
      </c>
      <c r="G9362">
        <v>0</v>
      </c>
      <c r="H9362">
        <v>0</v>
      </c>
      <c r="I9362">
        <v>0</v>
      </c>
      <c r="J9362">
        <v>0</v>
      </c>
      <c r="K9362">
        <v>0</v>
      </c>
      <c r="L9362">
        <v>38895325</v>
      </c>
      <c r="M9362">
        <v>38895325</v>
      </c>
      <c r="N9362">
        <v>38895325</v>
      </c>
      <c r="O9362">
        <v>38895325</v>
      </c>
      <c r="P9362">
        <v>40000000</v>
      </c>
      <c r="Q9362">
        <v>40000000</v>
      </c>
      <c r="R9362" s="14">
        <f>_xlfn.XLOOKUP(Table2[[#This Row],[LoanID]],Table1[G-L ID],Table1[ManagerCode],-99)</f>
        <v>298</v>
      </c>
      <c r="T9362"/>
    </row>
    <row r="9363" spans="1:20" x14ac:dyDescent="0.25">
      <c r="A9363">
        <v>20190731</v>
      </c>
      <c r="B9363">
        <v>2019</v>
      </c>
      <c r="C9363">
        <v>7</v>
      </c>
      <c r="D9363">
        <v>1</v>
      </c>
      <c r="E9363">
        <v>13660</v>
      </c>
      <c r="F9363">
        <v>114166.67</v>
      </c>
      <c r="G9363">
        <v>0</v>
      </c>
      <c r="H9363">
        <v>0</v>
      </c>
      <c r="I9363">
        <v>0</v>
      </c>
      <c r="J9363">
        <v>0</v>
      </c>
      <c r="K9363">
        <v>0</v>
      </c>
      <c r="L9363">
        <v>19313433</v>
      </c>
      <c r="M9363">
        <v>19313433</v>
      </c>
      <c r="N9363">
        <v>19313433</v>
      </c>
      <c r="O9363">
        <v>19313433</v>
      </c>
      <c r="P9363">
        <v>20000000</v>
      </c>
      <c r="Q9363">
        <v>20000000</v>
      </c>
      <c r="R9363" s="14">
        <f>_xlfn.XLOOKUP(Table2[[#This Row],[LoanID]],Table1[G-L ID],Table1[ManagerCode],-99)</f>
        <v>298</v>
      </c>
      <c r="T9363"/>
    </row>
    <row r="9364" spans="1:20" x14ac:dyDescent="0.25">
      <c r="A9364">
        <v>20190731</v>
      </c>
      <c r="B9364">
        <v>2019</v>
      </c>
      <c r="C9364">
        <v>7</v>
      </c>
      <c r="D9364">
        <v>1</v>
      </c>
      <c r="E9364">
        <v>13670</v>
      </c>
      <c r="F9364">
        <v>0</v>
      </c>
      <c r="G9364">
        <v>0</v>
      </c>
      <c r="H9364">
        <v>0</v>
      </c>
      <c r="I9364">
        <v>0</v>
      </c>
      <c r="J9364">
        <v>0</v>
      </c>
      <c r="K9364">
        <v>0</v>
      </c>
      <c r="L9364">
        <v>25000000</v>
      </c>
      <c r="M9364">
        <v>25000000</v>
      </c>
      <c r="N9364">
        <v>25000000</v>
      </c>
      <c r="O9364">
        <v>25000000</v>
      </c>
      <c r="P9364">
        <v>37863281.25</v>
      </c>
      <c r="Q9364">
        <v>38218303.329999998</v>
      </c>
      <c r="R9364" s="14">
        <f>_xlfn.XLOOKUP(Table2[[#This Row],[LoanID]],Table1[G-L ID],Table1[ManagerCode],-99)</f>
        <v>298</v>
      </c>
      <c r="T9364"/>
    </row>
    <row r="9365" spans="1:20" x14ac:dyDescent="0.25">
      <c r="A9365">
        <v>20190731</v>
      </c>
      <c r="B9365">
        <v>2019</v>
      </c>
      <c r="C9365">
        <v>7</v>
      </c>
      <c r="D9365">
        <v>1</v>
      </c>
      <c r="E9365">
        <v>13690</v>
      </c>
      <c r="F9365">
        <v>129166.67</v>
      </c>
      <c r="G9365">
        <v>0</v>
      </c>
      <c r="H9365">
        <v>0</v>
      </c>
      <c r="I9365">
        <v>0</v>
      </c>
      <c r="J9365">
        <v>0</v>
      </c>
      <c r="K9365">
        <v>0</v>
      </c>
      <c r="L9365">
        <v>19791063.850000001</v>
      </c>
      <c r="M9365">
        <v>19791063.850000001</v>
      </c>
      <c r="N9365">
        <v>19791063.850000001</v>
      </c>
      <c r="O9365">
        <v>19791063.850000001</v>
      </c>
      <c r="P9365">
        <v>20000000</v>
      </c>
      <c r="Q9365">
        <v>20000000</v>
      </c>
      <c r="R9365" s="14">
        <f>_xlfn.XLOOKUP(Table2[[#This Row],[LoanID]],Table1[G-L ID],Table1[ManagerCode],-99)</f>
        <v>298</v>
      </c>
      <c r="T9365"/>
    </row>
    <row r="9366" spans="1:20" x14ac:dyDescent="0.25">
      <c r="A9366">
        <v>20190731</v>
      </c>
      <c r="B9366">
        <v>2019</v>
      </c>
      <c r="C9366">
        <v>7</v>
      </c>
      <c r="D9366">
        <v>1</v>
      </c>
      <c r="E9366">
        <v>13790</v>
      </c>
      <c r="F9366">
        <v>153066.57999999999</v>
      </c>
      <c r="G9366">
        <v>4353.97</v>
      </c>
      <c r="H9366">
        <v>0</v>
      </c>
      <c r="I9366">
        <v>-2087.84</v>
      </c>
      <c r="J9366">
        <v>0</v>
      </c>
      <c r="K9366">
        <v>0</v>
      </c>
      <c r="L9366">
        <v>20722393.25</v>
      </c>
      <c r="M9366">
        <v>20726747.219999999</v>
      </c>
      <c r="N9366">
        <v>20722393.25</v>
      </c>
      <c r="O9366">
        <v>20726747.219999999</v>
      </c>
      <c r="P9366">
        <v>20722393.25</v>
      </c>
      <c r="Q9366">
        <v>20726747.219999999</v>
      </c>
      <c r="R9366" s="14">
        <f>_xlfn.XLOOKUP(Table2[[#This Row],[LoanID]],Table1[G-L ID],Table1[ManagerCode],-99)</f>
        <v>219</v>
      </c>
      <c r="T9366"/>
    </row>
    <row r="9367" spans="1:20" x14ac:dyDescent="0.25">
      <c r="A9367">
        <v>20190731</v>
      </c>
      <c r="B9367">
        <v>2019</v>
      </c>
      <c r="C9367">
        <v>7</v>
      </c>
      <c r="D9367">
        <v>1</v>
      </c>
      <c r="E9367">
        <v>13800</v>
      </c>
      <c r="F9367">
        <v>268130.18</v>
      </c>
      <c r="G9367">
        <v>0</v>
      </c>
      <c r="H9367">
        <v>0</v>
      </c>
      <c r="I9367">
        <v>0</v>
      </c>
      <c r="J9367">
        <v>0</v>
      </c>
      <c r="K9367">
        <v>0</v>
      </c>
      <c r="L9367">
        <v>80700000</v>
      </c>
      <c r="M9367">
        <v>80700000</v>
      </c>
      <c r="N9367">
        <v>32279999.719999999</v>
      </c>
      <c r="O9367">
        <v>32279999.719999999</v>
      </c>
      <c r="P9367">
        <v>80700000</v>
      </c>
      <c r="Q9367">
        <v>80700000</v>
      </c>
      <c r="R9367" s="14">
        <f>_xlfn.XLOOKUP(Table2[[#This Row],[LoanID]],Table1[G-L ID],Table1[ManagerCode],-99)</f>
        <v>183</v>
      </c>
      <c r="T9367"/>
    </row>
    <row r="9368" spans="1:20" x14ac:dyDescent="0.25">
      <c r="A9368">
        <v>20190731</v>
      </c>
      <c r="B9368">
        <v>2019</v>
      </c>
      <c r="C9368">
        <v>7</v>
      </c>
      <c r="D9368">
        <v>1</v>
      </c>
      <c r="E9368">
        <v>13810</v>
      </c>
      <c r="F9368">
        <v>100070.46</v>
      </c>
      <c r="G9368">
        <v>0</v>
      </c>
      <c r="H9368">
        <v>0</v>
      </c>
      <c r="I9368">
        <v>0</v>
      </c>
      <c r="J9368">
        <v>-864296.54</v>
      </c>
      <c r="K9368">
        <v>0</v>
      </c>
      <c r="L9368">
        <v>39345279.759999998</v>
      </c>
      <c r="M9368">
        <v>40209576.299999997</v>
      </c>
      <c r="N9368">
        <v>15816879.76</v>
      </c>
      <c r="O9368">
        <v>16681176.300000001</v>
      </c>
      <c r="P9368">
        <v>39345279.759999998</v>
      </c>
      <c r="Q9368">
        <v>40209576.299999997</v>
      </c>
      <c r="R9368" s="14">
        <f>_xlfn.XLOOKUP(Table2[[#This Row],[LoanID]],Table1[G-L ID],Table1[ManagerCode],-99)</f>
        <v>183</v>
      </c>
      <c r="T9368"/>
    </row>
    <row r="9369" spans="1:20" x14ac:dyDescent="0.25">
      <c r="A9369">
        <v>20190731</v>
      </c>
      <c r="B9369">
        <v>2019</v>
      </c>
      <c r="C9369">
        <v>7</v>
      </c>
      <c r="D9369">
        <v>1</v>
      </c>
      <c r="E9369">
        <v>13820</v>
      </c>
      <c r="F9369">
        <v>361778.93</v>
      </c>
      <c r="G9369">
        <v>0</v>
      </c>
      <c r="H9369">
        <v>0</v>
      </c>
      <c r="I9369">
        <v>0</v>
      </c>
      <c r="J9369">
        <v>0</v>
      </c>
      <c r="K9369">
        <v>0</v>
      </c>
      <c r="L9369">
        <v>66500000</v>
      </c>
      <c r="M9369">
        <v>66500000</v>
      </c>
      <c r="N9369">
        <v>66500000</v>
      </c>
      <c r="O9369">
        <v>66500000</v>
      </c>
      <c r="P9369">
        <v>66500000</v>
      </c>
      <c r="Q9369">
        <v>66500000</v>
      </c>
      <c r="R9369" s="14">
        <f>_xlfn.XLOOKUP(Table2[[#This Row],[LoanID]],Table1[G-L ID],Table1[ManagerCode],-99)</f>
        <v>183</v>
      </c>
      <c r="T9369"/>
    </row>
    <row r="9370" spans="1:20" x14ac:dyDescent="0.25">
      <c r="A9370">
        <v>20190731</v>
      </c>
      <c r="B9370">
        <v>2019</v>
      </c>
      <c r="C9370">
        <v>7</v>
      </c>
      <c r="D9370">
        <v>1</v>
      </c>
      <c r="E9370">
        <v>13830</v>
      </c>
      <c r="F9370">
        <v>322472.17</v>
      </c>
      <c r="G9370">
        <v>0</v>
      </c>
      <c r="H9370">
        <v>0</v>
      </c>
      <c r="I9370">
        <v>0</v>
      </c>
      <c r="J9370">
        <v>0</v>
      </c>
      <c r="K9370">
        <v>0</v>
      </c>
      <c r="L9370">
        <v>101000000</v>
      </c>
      <c r="M9370">
        <v>101000000</v>
      </c>
      <c r="N9370">
        <v>35350000</v>
      </c>
      <c r="O9370">
        <v>35350000</v>
      </c>
      <c r="P9370">
        <v>101000000</v>
      </c>
      <c r="Q9370">
        <v>101000000</v>
      </c>
      <c r="R9370" s="14">
        <f>_xlfn.XLOOKUP(Table2[[#This Row],[LoanID]],Table1[G-L ID],Table1[ManagerCode],-99)</f>
        <v>183</v>
      </c>
      <c r="T9370"/>
    </row>
    <row r="9371" spans="1:20" x14ac:dyDescent="0.25">
      <c r="A9371">
        <v>20190731</v>
      </c>
      <c r="B9371">
        <v>2019</v>
      </c>
      <c r="C9371">
        <v>7</v>
      </c>
      <c r="D9371">
        <v>1</v>
      </c>
      <c r="E9371">
        <v>14000</v>
      </c>
      <c r="F9371">
        <v>185134.07</v>
      </c>
      <c r="G9371">
        <v>0</v>
      </c>
      <c r="H9371">
        <v>0</v>
      </c>
      <c r="I9371">
        <v>0</v>
      </c>
      <c r="J9371">
        <v>0</v>
      </c>
      <c r="K9371">
        <v>0</v>
      </c>
      <c r="L9371">
        <v>98000000</v>
      </c>
      <c r="M9371">
        <v>98000000</v>
      </c>
      <c r="N9371">
        <v>39200000</v>
      </c>
      <c r="O9371">
        <v>39200000</v>
      </c>
      <c r="P9371">
        <v>98000000</v>
      </c>
      <c r="Q9371">
        <v>98000000</v>
      </c>
      <c r="R9371" s="14">
        <f>_xlfn.XLOOKUP(Table2[[#This Row],[LoanID]],Table1[G-L ID],Table1[ManagerCode],-99)</f>
        <v>183</v>
      </c>
      <c r="T9371"/>
    </row>
    <row r="9372" spans="1:20" x14ac:dyDescent="0.25">
      <c r="A9372">
        <v>20190731</v>
      </c>
      <c r="B9372">
        <v>2019</v>
      </c>
      <c r="C9372">
        <v>7</v>
      </c>
      <c r="D9372">
        <v>1</v>
      </c>
      <c r="E9372">
        <v>14170</v>
      </c>
      <c r="F9372">
        <v>38019.519999999997</v>
      </c>
      <c r="G9372">
        <v>0</v>
      </c>
      <c r="H9372">
        <v>0</v>
      </c>
      <c r="I9372">
        <v>0</v>
      </c>
      <c r="J9372">
        <v>0</v>
      </c>
      <c r="K9372">
        <v>8563.48</v>
      </c>
      <c r="L9372">
        <v>5381756.96</v>
      </c>
      <c r="M9372">
        <v>5368124.13</v>
      </c>
      <c r="N9372">
        <v>5381756.96</v>
      </c>
      <c r="O9372">
        <v>5368124.13</v>
      </c>
      <c r="P9372">
        <v>10879808.52</v>
      </c>
      <c r="Q9372">
        <v>10843700.82</v>
      </c>
      <c r="R9372" s="14">
        <f>_xlfn.XLOOKUP(Table2[[#This Row],[LoanID]],Table1[G-L ID],Table1[ManagerCode],-99)</f>
        <v>270</v>
      </c>
      <c r="T9372"/>
    </row>
    <row r="9373" spans="1:20" x14ac:dyDescent="0.25">
      <c r="A9373">
        <v>20190731</v>
      </c>
      <c r="B9373">
        <v>2019</v>
      </c>
      <c r="C9373">
        <v>7</v>
      </c>
      <c r="D9373">
        <v>1</v>
      </c>
      <c r="E9373">
        <v>14180</v>
      </c>
      <c r="F9373">
        <v>56805.2</v>
      </c>
      <c r="G9373">
        <v>0</v>
      </c>
      <c r="H9373">
        <v>0</v>
      </c>
      <c r="I9373">
        <v>0</v>
      </c>
      <c r="J9373">
        <v>0</v>
      </c>
      <c r="K9373">
        <v>11411.94</v>
      </c>
      <c r="L9373">
        <v>7643995.8600000003</v>
      </c>
      <c r="M9373">
        <v>7612297.8700000001</v>
      </c>
      <c r="N9373">
        <v>7643995.8600000003</v>
      </c>
      <c r="O9373">
        <v>7612297.8700000001</v>
      </c>
      <c r="P9373">
        <v>17083009.129999999</v>
      </c>
      <c r="Q9373">
        <v>17026924.530000001</v>
      </c>
      <c r="R9373" s="14">
        <f>_xlfn.XLOOKUP(Table2[[#This Row],[LoanID]],Table1[G-L ID],Table1[ManagerCode],-99)</f>
        <v>270</v>
      </c>
      <c r="T9373"/>
    </row>
    <row r="9374" spans="1:20" x14ac:dyDescent="0.25">
      <c r="A9374">
        <v>20190731</v>
      </c>
      <c r="B9374">
        <v>2019</v>
      </c>
      <c r="C9374">
        <v>7</v>
      </c>
      <c r="D9374">
        <v>1</v>
      </c>
      <c r="E9374">
        <v>14190</v>
      </c>
      <c r="F9374">
        <v>39269.93</v>
      </c>
      <c r="G9374">
        <v>0</v>
      </c>
      <c r="H9374">
        <v>0</v>
      </c>
      <c r="I9374">
        <v>0</v>
      </c>
      <c r="J9374">
        <v>0</v>
      </c>
      <c r="K9374">
        <v>7564.4</v>
      </c>
      <c r="L9374">
        <v>5187868.2</v>
      </c>
      <c r="M9374">
        <v>5168212.42</v>
      </c>
      <c r="N9374">
        <v>5187868.2</v>
      </c>
      <c r="O9374">
        <v>5168212.42</v>
      </c>
      <c r="P9374">
        <v>10769361.48</v>
      </c>
      <c r="Q9374">
        <v>10735711.449999999</v>
      </c>
      <c r="R9374" s="14">
        <f>_xlfn.XLOOKUP(Table2[[#This Row],[LoanID]],Table1[G-L ID],Table1[ManagerCode],-99)</f>
        <v>270</v>
      </c>
      <c r="T9374"/>
    </row>
    <row r="9375" spans="1:20" x14ac:dyDescent="0.25">
      <c r="A9375">
        <v>20190731</v>
      </c>
      <c r="B9375">
        <v>2019</v>
      </c>
      <c r="C9375">
        <v>7</v>
      </c>
      <c r="D9375">
        <v>1</v>
      </c>
      <c r="E9375">
        <v>14210</v>
      </c>
      <c r="F9375">
        <v>92716.51</v>
      </c>
      <c r="G9375">
        <v>0</v>
      </c>
      <c r="H9375">
        <v>0</v>
      </c>
      <c r="I9375">
        <v>0</v>
      </c>
      <c r="J9375">
        <v>0</v>
      </c>
      <c r="K9375">
        <v>0</v>
      </c>
      <c r="L9375">
        <v>7046256.8600000003</v>
      </c>
      <c r="M9375">
        <v>7046660.1399999997</v>
      </c>
      <c r="N9375">
        <v>7046256.8600000003</v>
      </c>
      <c r="O9375">
        <v>7046660.1399999997</v>
      </c>
      <c r="P9375">
        <v>9300000</v>
      </c>
      <c r="Q9375">
        <v>9300000</v>
      </c>
      <c r="R9375" s="14">
        <f>_xlfn.XLOOKUP(Table2[[#This Row],[LoanID]],Table1[G-L ID],Table1[ManagerCode],-99)</f>
        <v>270</v>
      </c>
      <c r="T9375"/>
    </row>
    <row r="9376" spans="1:20" x14ac:dyDescent="0.25">
      <c r="A9376">
        <v>20190731</v>
      </c>
      <c r="B9376">
        <v>2019</v>
      </c>
      <c r="C9376">
        <v>7</v>
      </c>
      <c r="D9376">
        <v>1</v>
      </c>
      <c r="E9376">
        <v>14230</v>
      </c>
      <c r="F9376">
        <v>289650.05</v>
      </c>
      <c r="G9376">
        <v>0</v>
      </c>
      <c r="H9376">
        <v>0</v>
      </c>
      <c r="I9376">
        <v>0</v>
      </c>
      <c r="J9376">
        <v>0</v>
      </c>
      <c r="K9376">
        <v>0</v>
      </c>
      <c r="L9376">
        <v>26099723.129999999</v>
      </c>
      <c r="M9376">
        <v>26101053.34</v>
      </c>
      <c r="N9376">
        <v>26099723.129999999</v>
      </c>
      <c r="O9376">
        <v>26101053.34</v>
      </c>
      <c r="P9376">
        <v>26321000</v>
      </c>
      <c r="Q9376">
        <v>26321000</v>
      </c>
      <c r="R9376" s="14">
        <f>_xlfn.XLOOKUP(Table2[[#This Row],[LoanID]],Table1[G-L ID],Table1[ManagerCode],-99)</f>
        <v>270</v>
      </c>
      <c r="T9376"/>
    </row>
    <row r="9377" spans="1:20" x14ac:dyDescent="0.25">
      <c r="A9377">
        <v>20190731</v>
      </c>
      <c r="B9377">
        <v>2019</v>
      </c>
      <c r="C9377">
        <v>7</v>
      </c>
      <c r="D9377">
        <v>1</v>
      </c>
      <c r="E9377">
        <v>14260</v>
      </c>
      <c r="F9377">
        <v>68486.78</v>
      </c>
      <c r="G9377">
        <v>0</v>
      </c>
      <c r="H9377">
        <v>0</v>
      </c>
      <c r="I9377">
        <v>0</v>
      </c>
      <c r="J9377">
        <v>0</v>
      </c>
      <c r="K9377">
        <v>0</v>
      </c>
      <c r="L9377">
        <v>6409212.5</v>
      </c>
      <c r="M9377">
        <v>6409539.2199999997</v>
      </c>
      <c r="N9377">
        <v>6409212.5</v>
      </c>
      <c r="O9377">
        <v>6409539.2199999997</v>
      </c>
      <c r="P9377">
        <v>12500000</v>
      </c>
      <c r="Q9377">
        <v>12500000</v>
      </c>
      <c r="R9377" s="14">
        <f>_xlfn.XLOOKUP(Table2[[#This Row],[LoanID]],Table1[G-L ID],Table1[ManagerCode],-99)</f>
        <v>270</v>
      </c>
      <c r="T9377"/>
    </row>
    <row r="9378" spans="1:20" x14ac:dyDescent="0.25">
      <c r="A9378">
        <v>20190731</v>
      </c>
      <c r="B9378">
        <v>2019</v>
      </c>
      <c r="C9378">
        <v>7</v>
      </c>
      <c r="D9378">
        <v>1</v>
      </c>
      <c r="E9378">
        <v>14270</v>
      </c>
      <c r="F9378">
        <v>61589.43</v>
      </c>
      <c r="G9378">
        <v>0</v>
      </c>
      <c r="H9378">
        <v>0</v>
      </c>
      <c r="I9378">
        <v>0</v>
      </c>
      <c r="J9378">
        <v>0</v>
      </c>
      <c r="K9378">
        <v>0</v>
      </c>
      <c r="L9378">
        <v>5130769.99</v>
      </c>
      <c r="M9378">
        <v>5131031.37</v>
      </c>
      <c r="N9378">
        <v>5130769.99</v>
      </c>
      <c r="O9378">
        <v>5131031.37</v>
      </c>
      <c r="P9378">
        <v>10000000</v>
      </c>
      <c r="Q9378">
        <v>10000000</v>
      </c>
      <c r="R9378" s="14">
        <f>_xlfn.XLOOKUP(Table2[[#This Row],[LoanID]],Table1[G-L ID],Table1[ManagerCode],-99)</f>
        <v>270</v>
      </c>
      <c r="T9378"/>
    </row>
    <row r="9379" spans="1:20" x14ac:dyDescent="0.25">
      <c r="A9379">
        <v>20190731</v>
      </c>
      <c r="B9379">
        <v>2019</v>
      </c>
      <c r="C9379">
        <v>7</v>
      </c>
      <c r="D9379">
        <v>1</v>
      </c>
      <c r="E9379">
        <v>14300</v>
      </c>
      <c r="F9379">
        <v>39137.71</v>
      </c>
      <c r="G9379">
        <v>0</v>
      </c>
      <c r="H9379">
        <v>0</v>
      </c>
      <c r="I9379">
        <v>0</v>
      </c>
      <c r="J9379">
        <v>0</v>
      </c>
      <c r="K9379">
        <v>0</v>
      </c>
      <c r="L9379">
        <v>7689137.7199999997</v>
      </c>
      <c r="M9379">
        <v>7689215.8099999996</v>
      </c>
      <c r="N9379">
        <v>7689137.7199999997</v>
      </c>
      <c r="O9379">
        <v>7689215.8099999996</v>
      </c>
      <c r="P9379">
        <v>15000000</v>
      </c>
      <c r="Q9379">
        <v>15000000</v>
      </c>
      <c r="R9379" s="14">
        <f>_xlfn.XLOOKUP(Table2[[#This Row],[LoanID]],Table1[G-L ID],Table1[ManagerCode],-99)</f>
        <v>270</v>
      </c>
      <c r="T9379"/>
    </row>
    <row r="9380" spans="1:20" x14ac:dyDescent="0.25">
      <c r="A9380">
        <v>20190731</v>
      </c>
      <c r="B9380">
        <v>2019</v>
      </c>
      <c r="C9380">
        <v>7</v>
      </c>
      <c r="D9380">
        <v>1</v>
      </c>
      <c r="E9380">
        <v>14310</v>
      </c>
      <c r="F9380">
        <v>105562.34</v>
      </c>
      <c r="G9380">
        <v>0</v>
      </c>
      <c r="H9380">
        <v>0</v>
      </c>
      <c r="I9380">
        <v>0</v>
      </c>
      <c r="J9380">
        <v>-55341.25</v>
      </c>
      <c r="K9380">
        <v>0</v>
      </c>
      <c r="L9380">
        <v>10823473.560000001</v>
      </c>
      <c r="M9380">
        <v>10879104.67</v>
      </c>
      <c r="N9380">
        <v>10823473.560000001</v>
      </c>
      <c r="O9380">
        <v>10879104.67</v>
      </c>
      <c r="P9380">
        <v>21733566.739999998</v>
      </c>
      <c r="Q9380">
        <v>21788907.989999998</v>
      </c>
      <c r="R9380" s="14">
        <f>_xlfn.XLOOKUP(Table2[[#This Row],[LoanID]],Table1[G-L ID],Table1[ManagerCode],-99)</f>
        <v>270</v>
      </c>
      <c r="T9380"/>
    </row>
    <row r="9381" spans="1:20" x14ac:dyDescent="0.25">
      <c r="A9381">
        <v>20190731</v>
      </c>
      <c r="B9381">
        <v>2019</v>
      </c>
      <c r="C9381">
        <v>7</v>
      </c>
      <c r="D9381">
        <v>1</v>
      </c>
      <c r="E9381">
        <v>14320</v>
      </c>
      <c r="F9381">
        <v>138119.01</v>
      </c>
      <c r="G9381">
        <v>0</v>
      </c>
      <c r="H9381">
        <v>0</v>
      </c>
      <c r="I9381">
        <v>0</v>
      </c>
      <c r="J9381">
        <v>-100772.52</v>
      </c>
      <c r="K9381">
        <v>0</v>
      </c>
      <c r="L9381">
        <v>15215341.880000001</v>
      </c>
      <c r="M9381">
        <v>15317750.189999999</v>
      </c>
      <c r="N9381">
        <v>15215341.880000001</v>
      </c>
      <c r="O9381">
        <v>15317750.189999999</v>
      </c>
      <c r="P9381">
        <v>30018200.579999998</v>
      </c>
      <c r="Q9381">
        <v>30118973.100000001</v>
      </c>
      <c r="R9381" s="14">
        <f>_xlfn.XLOOKUP(Table2[[#This Row],[LoanID]],Table1[G-L ID],Table1[ManagerCode],-99)</f>
        <v>270</v>
      </c>
      <c r="T9381"/>
    </row>
    <row r="9382" spans="1:20" x14ac:dyDescent="0.25">
      <c r="A9382">
        <v>20190731</v>
      </c>
      <c r="B9382">
        <v>2019</v>
      </c>
      <c r="C9382">
        <v>7</v>
      </c>
      <c r="D9382">
        <v>1</v>
      </c>
      <c r="E9382">
        <v>14340</v>
      </c>
      <c r="F9382">
        <v>62072.55</v>
      </c>
      <c r="G9382">
        <v>0</v>
      </c>
      <c r="H9382">
        <v>0</v>
      </c>
      <c r="I9382">
        <v>0</v>
      </c>
      <c r="J9382">
        <v>0</v>
      </c>
      <c r="K9382">
        <v>0</v>
      </c>
      <c r="L9382">
        <v>13843478.550000001</v>
      </c>
      <c r="M9382">
        <v>13845047.140000001</v>
      </c>
      <c r="N9382">
        <v>13843478.550000001</v>
      </c>
      <c r="O9382">
        <v>13845047.140000001</v>
      </c>
      <c r="P9382">
        <v>27169350.890000001</v>
      </c>
      <c r="Q9382">
        <v>27169350.890000001</v>
      </c>
      <c r="R9382" s="14">
        <f>_xlfn.XLOOKUP(Table2[[#This Row],[LoanID]],Table1[G-L ID],Table1[ManagerCode],-99)</f>
        <v>270</v>
      </c>
      <c r="T9382"/>
    </row>
    <row r="9383" spans="1:20" x14ac:dyDescent="0.25">
      <c r="A9383">
        <v>20190731</v>
      </c>
      <c r="B9383">
        <v>2019</v>
      </c>
      <c r="C9383">
        <v>7</v>
      </c>
      <c r="D9383">
        <v>1</v>
      </c>
      <c r="E9383">
        <v>14350</v>
      </c>
      <c r="F9383">
        <v>131098.39000000001</v>
      </c>
      <c r="G9383">
        <v>0</v>
      </c>
      <c r="H9383">
        <v>0</v>
      </c>
      <c r="I9383">
        <v>0</v>
      </c>
      <c r="J9383">
        <v>-129285.59</v>
      </c>
      <c r="K9383">
        <v>0</v>
      </c>
      <c r="L9383">
        <v>29645342.579999998</v>
      </c>
      <c r="M9383">
        <v>29912354.02</v>
      </c>
      <c r="N9383">
        <v>29645342.579999998</v>
      </c>
      <c r="O9383">
        <v>29912354.02</v>
      </c>
      <c r="P9383">
        <v>44990677.350000001</v>
      </c>
      <c r="Q9383">
        <v>45119962.939999998</v>
      </c>
      <c r="R9383" s="14">
        <f>_xlfn.XLOOKUP(Table2[[#This Row],[LoanID]],Table1[G-L ID],Table1[ManagerCode],-99)</f>
        <v>270</v>
      </c>
      <c r="T9383"/>
    </row>
    <row r="9384" spans="1:20" x14ac:dyDescent="0.25">
      <c r="A9384">
        <v>20190731</v>
      </c>
      <c r="B9384">
        <v>2019</v>
      </c>
      <c r="C9384">
        <v>7</v>
      </c>
      <c r="D9384">
        <v>1</v>
      </c>
      <c r="E9384">
        <v>14360</v>
      </c>
      <c r="F9384">
        <v>104141.59</v>
      </c>
      <c r="G9384">
        <v>0</v>
      </c>
      <c r="H9384">
        <v>0</v>
      </c>
      <c r="I9384">
        <v>0</v>
      </c>
      <c r="J9384">
        <v>0</v>
      </c>
      <c r="K9384">
        <v>0</v>
      </c>
      <c r="L9384">
        <v>11477317.109999999</v>
      </c>
      <c r="M9384">
        <v>11478122.67</v>
      </c>
      <c r="N9384">
        <v>11477317.109999999</v>
      </c>
      <c r="O9384">
        <v>11478122.67</v>
      </c>
      <c r="P9384">
        <v>13904858.85</v>
      </c>
      <c r="Q9384">
        <v>13904858.85</v>
      </c>
      <c r="R9384" s="14">
        <f>_xlfn.XLOOKUP(Table2[[#This Row],[LoanID]],Table1[G-L ID],Table1[ManagerCode],-99)</f>
        <v>270</v>
      </c>
      <c r="T9384"/>
    </row>
    <row r="9385" spans="1:20" x14ac:dyDescent="0.25">
      <c r="A9385">
        <v>20190731</v>
      </c>
      <c r="B9385">
        <v>2019</v>
      </c>
      <c r="C9385">
        <v>7</v>
      </c>
      <c r="D9385">
        <v>1</v>
      </c>
      <c r="E9385">
        <v>14370</v>
      </c>
      <c r="F9385">
        <v>151097.4</v>
      </c>
      <c r="G9385">
        <v>0</v>
      </c>
      <c r="H9385">
        <v>0</v>
      </c>
      <c r="I9385">
        <v>0</v>
      </c>
      <c r="J9385">
        <v>-416349.67</v>
      </c>
      <c r="K9385">
        <v>0</v>
      </c>
      <c r="L9385">
        <v>16580563.189999999</v>
      </c>
      <c r="M9385">
        <v>16997413.649999999</v>
      </c>
      <c r="N9385">
        <v>16580563.189999999</v>
      </c>
      <c r="O9385">
        <v>16997413.649999999</v>
      </c>
      <c r="P9385">
        <v>19374176.030000001</v>
      </c>
      <c r="Q9385">
        <v>19790525.699999999</v>
      </c>
      <c r="R9385" s="14">
        <f>_xlfn.XLOOKUP(Table2[[#This Row],[LoanID]],Table1[G-L ID],Table1[ManagerCode],-99)</f>
        <v>270</v>
      </c>
      <c r="T9385"/>
    </row>
    <row r="9386" spans="1:20" x14ac:dyDescent="0.25">
      <c r="A9386">
        <v>20190731</v>
      </c>
      <c r="B9386">
        <v>2019</v>
      </c>
      <c r="C9386">
        <v>7</v>
      </c>
      <c r="D9386">
        <v>1</v>
      </c>
      <c r="E9386">
        <v>14380</v>
      </c>
      <c r="F9386">
        <v>104446.77</v>
      </c>
      <c r="G9386">
        <v>0</v>
      </c>
      <c r="H9386">
        <v>0</v>
      </c>
      <c r="I9386">
        <v>0</v>
      </c>
      <c r="J9386">
        <v>0</v>
      </c>
      <c r="K9386">
        <v>0</v>
      </c>
      <c r="L9386">
        <v>9925529.3900000006</v>
      </c>
      <c r="M9386">
        <v>9920075.3699999992</v>
      </c>
      <c r="N9386">
        <v>9925529.3900000006</v>
      </c>
      <c r="O9386">
        <v>9920075.3699999992</v>
      </c>
      <c r="P9386">
        <v>20955891</v>
      </c>
      <c r="Q9386">
        <v>20955891</v>
      </c>
      <c r="R9386" s="14">
        <f>_xlfn.XLOOKUP(Table2[[#This Row],[LoanID]],Table1[G-L ID],Table1[ManagerCode],-99)</f>
        <v>270</v>
      </c>
      <c r="T9386"/>
    </row>
    <row r="9387" spans="1:20" x14ac:dyDescent="0.25">
      <c r="A9387">
        <v>20190731</v>
      </c>
      <c r="B9387">
        <v>2019</v>
      </c>
      <c r="C9387">
        <v>7</v>
      </c>
      <c r="D9387">
        <v>1</v>
      </c>
      <c r="E9387">
        <v>14390</v>
      </c>
      <c r="F9387">
        <v>1836.48</v>
      </c>
      <c r="G9387">
        <v>0</v>
      </c>
      <c r="H9387">
        <v>0</v>
      </c>
      <c r="I9387">
        <v>0</v>
      </c>
      <c r="J9387">
        <v>-48811.11</v>
      </c>
      <c r="K9387">
        <v>0</v>
      </c>
      <c r="L9387">
        <v>150015.46</v>
      </c>
      <c r="M9387">
        <v>199108.99</v>
      </c>
      <c r="N9387">
        <v>150015.46</v>
      </c>
      <c r="O9387">
        <v>199108.99</v>
      </c>
      <c r="P9387">
        <v>420612.35</v>
      </c>
      <c r="Q9387">
        <v>469423.46</v>
      </c>
      <c r="R9387" s="14">
        <f>_xlfn.XLOOKUP(Table2[[#This Row],[LoanID]],Table1[G-L ID],Table1[ManagerCode],-99)</f>
        <v>270</v>
      </c>
      <c r="T9387"/>
    </row>
    <row r="9388" spans="1:20" x14ac:dyDescent="0.25">
      <c r="A9388">
        <v>20190731</v>
      </c>
      <c r="B9388">
        <v>2019</v>
      </c>
      <c r="C9388">
        <v>7</v>
      </c>
      <c r="D9388">
        <v>1</v>
      </c>
      <c r="E9388">
        <v>14420</v>
      </c>
      <c r="F9388">
        <v>92222.83</v>
      </c>
      <c r="G9388">
        <v>0</v>
      </c>
      <c r="H9388">
        <v>0</v>
      </c>
      <c r="I9388">
        <v>0</v>
      </c>
      <c r="J9388">
        <v>0</v>
      </c>
      <c r="K9388">
        <v>0</v>
      </c>
      <c r="L9388">
        <v>8165298.79</v>
      </c>
      <c r="M9388">
        <v>8165298.79</v>
      </c>
      <c r="N9388">
        <v>8165298.79</v>
      </c>
      <c r="O9388">
        <v>8165298.79</v>
      </c>
      <c r="P9388">
        <v>13330529.109999999</v>
      </c>
      <c r="Q9388">
        <v>13746615.060000001</v>
      </c>
      <c r="R9388" s="14">
        <f>_xlfn.XLOOKUP(Table2[[#This Row],[LoanID]],Table1[G-L ID],Table1[ManagerCode],-99)</f>
        <v>270</v>
      </c>
      <c r="T9388"/>
    </row>
    <row r="9389" spans="1:20" x14ac:dyDescent="0.25">
      <c r="A9389">
        <v>20190731</v>
      </c>
      <c r="B9389">
        <v>2019</v>
      </c>
      <c r="C9389">
        <v>7</v>
      </c>
      <c r="D9389">
        <v>1</v>
      </c>
      <c r="E9389">
        <v>14460</v>
      </c>
      <c r="F9389">
        <v>28333.32</v>
      </c>
      <c r="G9389">
        <v>0</v>
      </c>
      <c r="H9389">
        <v>0</v>
      </c>
      <c r="I9389">
        <v>0</v>
      </c>
      <c r="J9389">
        <v>0</v>
      </c>
      <c r="K9389">
        <v>0</v>
      </c>
      <c r="L9389">
        <v>2038786.66</v>
      </c>
      <c r="M9389">
        <v>2032086.66</v>
      </c>
      <c r="N9389">
        <v>2038786.66</v>
      </c>
      <c r="O9389">
        <v>2032086.66</v>
      </c>
      <c r="P9389">
        <v>6142857.1500000004</v>
      </c>
      <c r="Q9389">
        <v>6142857.1500000004</v>
      </c>
      <c r="R9389" s="14">
        <f>_xlfn.XLOOKUP(Table2[[#This Row],[LoanID]],Table1[G-L ID],Table1[ManagerCode],-99)</f>
        <v>270</v>
      </c>
      <c r="T9389"/>
    </row>
    <row r="9390" spans="1:20" x14ac:dyDescent="0.25">
      <c r="A9390">
        <v>20190731</v>
      </c>
      <c r="B9390">
        <v>2019</v>
      </c>
      <c r="C9390">
        <v>7</v>
      </c>
      <c r="D9390">
        <v>1</v>
      </c>
      <c r="E9390">
        <v>14580</v>
      </c>
      <c r="F9390">
        <v>121597.85</v>
      </c>
      <c r="G9390">
        <v>0</v>
      </c>
      <c r="H9390">
        <v>0</v>
      </c>
      <c r="I9390">
        <v>0</v>
      </c>
      <c r="J9390">
        <v>0</v>
      </c>
      <c r="K9390">
        <v>0</v>
      </c>
      <c r="L9390">
        <v>12257961.289999999</v>
      </c>
      <c r="M9390">
        <v>12233680.83</v>
      </c>
      <c r="N9390">
        <v>12257961.289999999</v>
      </c>
      <c r="O9390">
        <v>12233680.83</v>
      </c>
      <c r="P9390">
        <v>24060000</v>
      </c>
      <c r="Q9390">
        <v>24060000</v>
      </c>
      <c r="R9390" s="14">
        <f>_xlfn.XLOOKUP(Table2[[#This Row],[LoanID]],Table1[G-L ID],Table1[ManagerCode],-99)</f>
        <v>270</v>
      </c>
      <c r="T9390"/>
    </row>
    <row r="9391" spans="1:20" x14ac:dyDescent="0.25">
      <c r="A9391">
        <v>20190731</v>
      </c>
      <c r="B9391">
        <v>2019</v>
      </c>
      <c r="C9391">
        <v>7</v>
      </c>
      <c r="D9391">
        <v>1</v>
      </c>
      <c r="E9391">
        <v>14590</v>
      </c>
      <c r="F9391">
        <v>5514.72</v>
      </c>
      <c r="G9391">
        <v>0</v>
      </c>
      <c r="H9391">
        <v>0</v>
      </c>
      <c r="I9391">
        <v>0</v>
      </c>
      <c r="J9391">
        <v>0</v>
      </c>
      <c r="K9391">
        <v>0</v>
      </c>
      <c r="L9391">
        <v>607843.43000000005</v>
      </c>
      <c r="M9391">
        <v>608587.23</v>
      </c>
      <c r="N9391">
        <v>607843.43000000005</v>
      </c>
      <c r="O9391">
        <v>608587.23</v>
      </c>
      <c r="P9391">
        <v>1196075.3600000001</v>
      </c>
      <c r="Q9391">
        <v>1196075.3600000001</v>
      </c>
      <c r="R9391" s="14">
        <f>_xlfn.XLOOKUP(Table2[[#This Row],[LoanID]],Table1[G-L ID],Table1[ManagerCode],-99)</f>
        <v>270</v>
      </c>
      <c r="T9391"/>
    </row>
    <row r="9392" spans="1:20" x14ac:dyDescent="0.25">
      <c r="A9392">
        <v>20190731</v>
      </c>
      <c r="B9392">
        <v>2019</v>
      </c>
      <c r="C9392">
        <v>7</v>
      </c>
      <c r="D9392">
        <v>1</v>
      </c>
      <c r="E9392">
        <v>14670</v>
      </c>
      <c r="F9392">
        <v>158365.76999999999</v>
      </c>
      <c r="G9392">
        <v>0</v>
      </c>
      <c r="H9392">
        <v>0</v>
      </c>
      <c r="I9392">
        <v>0</v>
      </c>
      <c r="J9392">
        <v>0</v>
      </c>
      <c r="K9392">
        <v>38775.129999999997</v>
      </c>
      <c r="L9392">
        <v>30469750</v>
      </c>
      <c r="M9392">
        <v>30433042.84</v>
      </c>
      <c r="N9392">
        <v>30469750</v>
      </c>
      <c r="O9392">
        <v>30433042.84</v>
      </c>
      <c r="P9392">
        <v>30471817.969999999</v>
      </c>
      <c r="Q9392">
        <v>30433042.84</v>
      </c>
      <c r="R9392" s="14">
        <f>_xlfn.XLOOKUP(Table2[[#This Row],[LoanID]],Table1[G-L ID],Table1[ManagerCode],-99)</f>
        <v>220</v>
      </c>
      <c r="T9392"/>
    </row>
    <row r="9393" spans="1:20" x14ac:dyDescent="0.25">
      <c r="A9393">
        <v>20190731</v>
      </c>
      <c r="B9393">
        <v>2019</v>
      </c>
      <c r="C9393">
        <v>7</v>
      </c>
      <c r="D9393">
        <v>1</v>
      </c>
      <c r="E9393">
        <v>14680</v>
      </c>
      <c r="F9393">
        <v>50038.13</v>
      </c>
      <c r="G9393">
        <v>0</v>
      </c>
      <c r="H9393">
        <v>0</v>
      </c>
      <c r="I9393">
        <v>0</v>
      </c>
      <c r="J9393">
        <v>-421180.12</v>
      </c>
      <c r="K9393">
        <v>0</v>
      </c>
      <c r="L9393">
        <v>29580000</v>
      </c>
      <c r="M9393">
        <v>30001180.120000001</v>
      </c>
      <c r="N9393">
        <v>8548241.0500000007</v>
      </c>
      <c r="O9393">
        <v>8969421.1699999999</v>
      </c>
      <c r="P9393">
        <v>29505470.809999999</v>
      </c>
      <c r="Q9393">
        <v>29926650.93</v>
      </c>
      <c r="R9393" s="14">
        <f>_xlfn.XLOOKUP(Table2[[#This Row],[LoanID]],Table1[G-L ID],Table1[ManagerCode],-99)</f>
        <v>220</v>
      </c>
      <c r="T9393"/>
    </row>
    <row r="9394" spans="1:20" x14ac:dyDescent="0.25">
      <c r="A9394">
        <v>20190731</v>
      </c>
      <c r="B9394">
        <v>2019</v>
      </c>
      <c r="C9394">
        <v>7</v>
      </c>
      <c r="D9394">
        <v>1</v>
      </c>
      <c r="E9394">
        <v>14690</v>
      </c>
      <c r="F9394">
        <v>81744.509999999995</v>
      </c>
      <c r="G9394">
        <v>0</v>
      </c>
      <c r="H9394">
        <v>0</v>
      </c>
      <c r="I9394">
        <v>0</v>
      </c>
      <c r="J9394">
        <v>0</v>
      </c>
      <c r="K9394">
        <v>0</v>
      </c>
      <c r="L9394">
        <v>42395990.229999997</v>
      </c>
      <c r="M9394">
        <v>42395990</v>
      </c>
      <c r="N9394">
        <v>14878240.23</v>
      </c>
      <c r="O9394">
        <v>14878240</v>
      </c>
      <c r="P9394">
        <v>42395990.229999997</v>
      </c>
      <c r="Q9394">
        <v>42395990.229999997</v>
      </c>
      <c r="R9394" s="14">
        <f>_xlfn.XLOOKUP(Table2[[#This Row],[LoanID]],Table1[G-L ID],Table1[ManagerCode],-99)</f>
        <v>220</v>
      </c>
      <c r="T9394"/>
    </row>
    <row r="9395" spans="1:20" x14ac:dyDescent="0.25">
      <c r="A9395">
        <v>20190731</v>
      </c>
      <c r="B9395">
        <v>2019</v>
      </c>
      <c r="C9395">
        <v>7</v>
      </c>
      <c r="D9395">
        <v>1</v>
      </c>
      <c r="E9395">
        <v>14700</v>
      </c>
      <c r="F9395">
        <v>72634.63</v>
      </c>
      <c r="G9395">
        <v>0</v>
      </c>
      <c r="H9395">
        <v>0</v>
      </c>
      <c r="I9395">
        <v>0</v>
      </c>
      <c r="J9395">
        <v>0</v>
      </c>
      <c r="K9395">
        <v>0</v>
      </c>
      <c r="L9395">
        <v>35393493.799999997</v>
      </c>
      <c r="M9395">
        <v>35393493.799999997</v>
      </c>
      <c r="N9395">
        <v>10805993.800000001</v>
      </c>
      <c r="O9395">
        <v>10805993.800000001</v>
      </c>
      <c r="P9395">
        <v>35393493.799999997</v>
      </c>
      <c r="Q9395">
        <v>35393493.799999997</v>
      </c>
      <c r="R9395" s="14">
        <f>_xlfn.XLOOKUP(Table2[[#This Row],[LoanID]],Table1[G-L ID],Table1[ManagerCode],-99)</f>
        <v>220</v>
      </c>
      <c r="T9395"/>
    </row>
    <row r="9396" spans="1:20" x14ac:dyDescent="0.25">
      <c r="A9396">
        <v>20190731</v>
      </c>
      <c r="B9396">
        <v>2019</v>
      </c>
      <c r="C9396">
        <v>7</v>
      </c>
      <c r="D9396">
        <v>1</v>
      </c>
      <c r="E9396">
        <v>14710</v>
      </c>
      <c r="F9396">
        <v>61663.62</v>
      </c>
      <c r="G9396">
        <v>0</v>
      </c>
      <c r="H9396">
        <v>0</v>
      </c>
      <c r="I9396">
        <v>0</v>
      </c>
      <c r="J9396">
        <v>0</v>
      </c>
      <c r="K9396">
        <v>0</v>
      </c>
      <c r="L9396">
        <v>33650000</v>
      </c>
      <c r="M9396">
        <v>33650000</v>
      </c>
      <c r="N9396">
        <v>11777500</v>
      </c>
      <c r="O9396">
        <v>11777500</v>
      </c>
      <c r="P9396">
        <v>33650000</v>
      </c>
      <c r="Q9396">
        <v>33650000</v>
      </c>
      <c r="R9396" s="14">
        <f>_xlfn.XLOOKUP(Table2[[#This Row],[LoanID]],Table1[G-L ID],Table1[ManagerCode],-99)</f>
        <v>220</v>
      </c>
      <c r="T9396"/>
    </row>
    <row r="9397" spans="1:20" x14ac:dyDescent="0.25">
      <c r="A9397">
        <v>20190731</v>
      </c>
      <c r="B9397">
        <v>2019</v>
      </c>
      <c r="C9397">
        <v>7</v>
      </c>
      <c r="D9397">
        <v>1</v>
      </c>
      <c r="E9397">
        <v>14720</v>
      </c>
      <c r="F9397">
        <v>41988.66</v>
      </c>
      <c r="G9397">
        <v>0</v>
      </c>
      <c r="H9397">
        <v>0</v>
      </c>
      <c r="I9397">
        <v>0</v>
      </c>
      <c r="J9397">
        <v>0</v>
      </c>
      <c r="K9397">
        <v>0</v>
      </c>
      <c r="L9397">
        <v>21340000</v>
      </c>
      <c r="M9397">
        <v>21340000</v>
      </c>
      <c r="N9397">
        <v>7613000</v>
      </c>
      <c r="O9397">
        <v>7613000</v>
      </c>
      <c r="P9397">
        <v>21338838.02</v>
      </c>
      <c r="Q9397">
        <v>21338838.02</v>
      </c>
      <c r="R9397" s="14">
        <f>_xlfn.XLOOKUP(Table2[[#This Row],[LoanID]],Table1[G-L ID],Table1[ManagerCode],-99)</f>
        <v>220</v>
      </c>
      <c r="T9397"/>
    </row>
    <row r="9398" spans="1:20" x14ac:dyDescent="0.25">
      <c r="A9398">
        <v>20190731</v>
      </c>
      <c r="B9398">
        <v>2019</v>
      </c>
      <c r="C9398">
        <v>7</v>
      </c>
      <c r="D9398">
        <v>1</v>
      </c>
      <c r="E9398">
        <v>14730</v>
      </c>
      <c r="F9398">
        <v>198945.83</v>
      </c>
      <c r="G9398">
        <v>0</v>
      </c>
      <c r="H9398">
        <v>0</v>
      </c>
      <c r="I9398">
        <v>0</v>
      </c>
      <c r="J9398">
        <v>0</v>
      </c>
      <c r="K9398">
        <v>0</v>
      </c>
      <c r="L9398">
        <v>50350000</v>
      </c>
      <c r="M9398">
        <v>50350000</v>
      </c>
      <c r="N9398">
        <v>50350000</v>
      </c>
      <c r="O9398">
        <v>50350000</v>
      </c>
      <c r="P9398">
        <v>50260000</v>
      </c>
      <c r="Q9398">
        <v>50260000</v>
      </c>
      <c r="R9398" s="14">
        <f>_xlfn.XLOOKUP(Table2[[#This Row],[LoanID]],Table1[G-L ID],Table1[ManagerCode],-99)</f>
        <v>220</v>
      </c>
      <c r="T9398"/>
    </row>
    <row r="9399" spans="1:20" x14ac:dyDescent="0.25">
      <c r="A9399">
        <v>20190731</v>
      </c>
      <c r="B9399">
        <v>2019</v>
      </c>
      <c r="C9399">
        <v>7</v>
      </c>
      <c r="D9399">
        <v>1</v>
      </c>
      <c r="E9399">
        <v>14740</v>
      </c>
      <c r="F9399">
        <v>95206.41</v>
      </c>
      <c r="G9399">
        <v>0</v>
      </c>
      <c r="H9399">
        <v>0</v>
      </c>
      <c r="I9399">
        <v>0</v>
      </c>
      <c r="J9399">
        <v>0</v>
      </c>
      <c r="K9399">
        <v>0</v>
      </c>
      <c r="L9399">
        <v>35000000</v>
      </c>
      <c r="M9399">
        <v>35000000</v>
      </c>
      <c r="N9399">
        <v>14000000</v>
      </c>
      <c r="O9399">
        <v>14000000</v>
      </c>
      <c r="P9399">
        <v>35000000</v>
      </c>
      <c r="Q9399">
        <v>35000000</v>
      </c>
      <c r="R9399" s="14">
        <f>_xlfn.XLOOKUP(Table2[[#This Row],[LoanID]],Table1[G-L ID],Table1[ManagerCode],-99)</f>
        <v>220</v>
      </c>
      <c r="T9399"/>
    </row>
    <row r="9400" spans="1:20" x14ac:dyDescent="0.25">
      <c r="A9400">
        <v>20190731</v>
      </c>
      <c r="B9400">
        <v>2019</v>
      </c>
      <c r="C9400">
        <v>7</v>
      </c>
      <c r="D9400">
        <v>1</v>
      </c>
      <c r="E9400">
        <v>14750</v>
      </c>
      <c r="F9400">
        <v>100641.34</v>
      </c>
      <c r="G9400">
        <v>0</v>
      </c>
      <c r="H9400">
        <v>0</v>
      </c>
      <c r="I9400">
        <v>0</v>
      </c>
      <c r="J9400">
        <v>-941202.33</v>
      </c>
      <c r="K9400">
        <v>0</v>
      </c>
      <c r="L9400">
        <v>55997145.399999999</v>
      </c>
      <c r="M9400">
        <v>56938347.729999997</v>
      </c>
      <c r="N9400">
        <v>20247145.399999999</v>
      </c>
      <c r="O9400">
        <v>21188347.73</v>
      </c>
      <c r="P9400">
        <v>55997145.399999999</v>
      </c>
      <c r="Q9400">
        <v>56938347.729999997</v>
      </c>
      <c r="R9400" s="14">
        <f>_xlfn.XLOOKUP(Table2[[#This Row],[LoanID]],Table1[G-L ID],Table1[ManagerCode],-99)</f>
        <v>220</v>
      </c>
      <c r="T9400"/>
    </row>
    <row r="9401" spans="1:20" x14ac:dyDescent="0.25">
      <c r="A9401">
        <v>20190731</v>
      </c>
      <c r="B9401">
        <v>2019</v>
      </c>
      <c r="C9401">
        <v>7</v>
      </c>
      <c r="D9401">
        <v>1</v>
      </c>
      <c r="E9401">
        <v>14760</v>
      </c>
      <c r="F9401">
        <v>165156.25</v>
      </c>
      <c r="G9401">
        <v>0</v>
      </c>
      <c r="H9401">
        <v>0</v>
      </c>
      <c r="I9401">
        <v>0</v>
      </c>
      <c r="J9401">
        <v>0</v>
      </c>
      <c r="K9401">
        <v>0</v>
      </c>
      <c r="L9401">
        <v>105000000</v>
      </c>
      <c r="M9401">
        <v>105000000</v>
      </c>
      <c r="N9401">
        <v>26250000</v>
      </c>
      <c r="O9401">
        <v>26250000</v>
      </c>
      <c r="P9401">
        <v>105000000</v>
      </c>
      <c r="Q9401">
        <v>105000000</v>
      </c>
      <c r="R9401" s="14">
        <f>_xlfn.XLOOKUP(Table2[[#This Row],[LoanID]],Table1[G-L ID],Table1[ManagerCode],-99)</f>
        <v>220</v>
      </c>
      <c r="T9401"/>
    </row>
    <row r="9402" spans="1:20" x14ac:dyDescent="0.25">
      <c r="A9402">
        <v>20190731</v>
      </c>
      <c r="B9402">
        <v>2019</v>
      </c>
      <c r="C9402">
        <v>7</v>
      </c>
      <c r="D9402">
        <v>1</v>
      </c>
      <c r="E9402">
        <v>14770</v>
      </c>
      <c r="F9402">
        <v>55792.5</v>
      </c>
      <c r="G9402">
        <v>0</v>
      </c>
      <c r="H9402">
        <v>0</v>
      </c>
      <c r="I9402">
        <v>0</v>
      </c>
      <c r="J9402">
        <v>0</v>
      </c>
      <c r="K9402">
        <v>0</v>
      </c>
      <c r="L9402">
        <v>12900000</v>
      </c>
      <c r="M9402">
        <v>12900000</v>
      </c>
      <c r="N9402">
        <v>12900000</v>
      </c>
      <c r="O9402">
        <v>12900000</v>
      </c>
      <c r="P9402">
        <v>12900000</v>
      </c>
      <c r="Q9402">
        <v>12900000</v>
      </c>
      <c r="R9402" s="14">
        <f>_xlfn.XLOOKUP(Table2[[#This Row],[LoanID]],Table1[G-L ID],Table1[ManagerCode],-99)</f>
        <v>220</v>
      </c>
      <c r="T9402"/>
    </row>
    <row r="9403" spans="1:20" x14ac:dyDescent="0.25">
      <c r="A9403">
        <v>20190731</v>
      </c>
      <c r="B9403">
        <v>2019</v>
      </c>
      <c r="C9403">
        <v>7</v>
      </c>
      <c r="D9403">
        <v>1</v>
      </c>
      <c r="E9403">
        <v>14780</v>
      </c>
      <c r="F9403">
        <v>0</v>
      </c>
      <c r="G9403">
        <v>0</v>
      </c>
      <c r="H9403">
        <v>0</v>
      </c>
      <c r="I9403">
        <v>0</v>
      </c>
      <c r="J9403">
        <v>0</v>
      </c>
      <c r="K9403">
        <v>35700000</v>
      </c>
      <c r="L9403">
        <v>51000000</v>
      </c>
      <c r="M9403">
        <v>51000000</v>
      </c>
      <c r="N9403">
        <v>51000000</v>
      </c>
      <c r="O9403">
        <v>15300000</v>
      </c>
      <c r="P9403">
        <v>51000000</v>
      </c>
      <c r="Q9403">
        <v>51000000</v>
      </c>
      <c r="R9403" s="14">
        <f>_xlfn.XLOOKUP(Table2[[#This Row],[LoanID]],Table1[G-L ID],Table1[ManagerCode],-99)</f>
        <v>220</v>
      </c>
      <c r="T9403"/>
    </row>
    <row r="9404" spans="1:20" x14ac:dyDescent="0.25">
      <c r="A9404">
        <v>20190731</v>
      </c>
      <c r="B9404">
        <v>2019</v>
      </c>
      <c r="C9404">
        <v>7</v>
      </c>
      <c r="D9404">
        <v>1</v>
      </c>
      <c r="E9404">
        <v>14790</v>
      </c>
      <c r="F9404">
        <v>173672.67</v>
      </c>
      <c r="G9404">
        <v>0</v>
      </c>
      <c r="H9404">
        <v>0</v>
      </c>
      <c r="I9404">
        <v>0</v>
      </c>
      <c r="J9404">
        <v>0</v>
      </c>
      <c r="K9404">
        <v>0</v>
      </c>
      <c r="L9404">
        <v>72560000</v>
      </c>
      <c r="M9404">
        <v>72560000</v>
      </c>
      <c r="N9404">
        <v>23228658</v>
      </c>
      <c r="O9404">
        <v>23228658</v>
      </c>
      <c r="P9404">
        <v>72200000</v>
      </c>
      <c r="Q9404">
        <v>72200000</v>
      </c>
      <c r="R9404" s="14">
        <f>_xlfn.XLOOKUP(Table2[[#This Row],[LoanID]],Table1[G-L ID],Table1[ManagerCode],-99)</f>
        <v>220</v>
      </c>
      <c r="T9404"/>
    </row>
    <row r="9405" spans="1:20" x14ac:dyDescent="0.25">
      <c r="A9405">
        <v>20190731</v>
      </c>
      <c r="B9405">
        <v>2019</v>
      </c>
      <c r="C9405">
        <v>7</v>
      </c>
      <c r="D9405">
        <v>1</v>
      </c>
      <c r="E9405">
        <v>14800</v>
      </c>
      <c r="F9405">
        <v>106207.5</v>
      </c>
      <c r="G9405">
        <v>0</v>
      </c>
      <c r="H9405">
        <v>0</v>
      </c>
      <c r="I9405">
        <v>0</v>
      </c>
      <c r="J9405">
        <v>0</v>
      </c>
      <c r="K9405">
        <v>0</v>
      </c>
      <c r="L9405">
        <v>51000000</v>
      </c>
      <c r="M9405">
        <v>51000000</v>
      </c>
      <c r="N9405">
        <v>17850000</v>
      </c>
      <c r="O9405">
        <v>17850000</v>
      </c>
      <c r="P9405">
        <v>51000000</v>
      </c>
      <c r="Q9405">
        <v>51000000</v>
      </c>
      <c r="R9405" s="14">
        <f>_xlfn.XLOOKUP(Table2[[#This Row],[LoanID]],Table1[G-L ID],Table1[ManagerCode],-99)</f>
        <v>220</v>
      </c>
      <c r="T9405"/>
    </row>
    <row r="9406" spans="1:20" x14ac:dyDescent="0.25">
      <c r="A9406">
        <v>20190731</v>
      </c>
      <c r="B9406">
        <v>2019</v>
      </c>
      <c r="C9406">
        <v>7</v>
      </c>
      <c r="D9406">
        <v>1</v>
      </c>
      <c r="E9406">
        <v>14810</v>
      </c>
      <c r="F9406">
        <v>101153.48</v>
      </c>
      <c r="G9406">
        <v>0</v>
      </c>
      <c r="H9406">
        <v>0</v>
      </c>
      <c r="I9406">
        <v>0</v>
      </c>
      <c r="J9406">
        <v>0</v>
      </c>
      <c r="K9406">
        <v>0</v>
      </c>
      <c r="L9406">
        <v>24970000</v>
      </c>
      <c r="M9406">
        <v>24950000</v>
      </c>
      <c r="N9406">
        <v>24970000</v>
      </c>
      <c r="O9406">
        <v>24950000</v>
      </c>
      <c r="P9406">
        <v>24930000</v>
      </c>
      <c r="Q9406">
        <v>24930000</v>
      </c>
      <c r="R9406" s="14">
        <f>_xlfn.XLOOKUP(Table2[[#This Row],[LoanID]],Table1[G-L ID],Table1[ManagerCode],-99)</f>
        <v>220</v>
      </c>
      <c r="T9406"/>
    </row>
    <row r="9407" spans="1:20" x14ac:dyDescent="0.25">
      <c r="A9407">
        <v>20190731</v>
      </c>
      <c r="B9407">
        <v>2019</v>
      </c>
      <c r="C9407">
        <v>7</v>
      </c>
      <c r="D9407">
        <v>1</v>
      </c>
      <c r="E9407">
        <v>14820</v>
      </c>
      <c r="F9407">
        <v>116297.85</v>
      </c>
      <c r="G9407">
        <v>0</v>
      </c>
      <c r="H9407">
        <v>0</v>
      </c>
      <c r="I9407">
        <v>0</v>
      </c>
      <c r="J9407">
        <v>0</v>
      </c>
      <c r="K9407">
        <v>10668363.74</v>
      </c>
      <c r="L9407">
        <v>22623000</v>
      </c>
      <c r="M9407">
        <v>22623000</v>
      </c>
      <c r="N9407">
        <v>22622000</v>
      </c>
      <c r="O9407">
        <v>11953636.26</v>
      </c>
      <c r="P9407">
        <v>22623000</v>
      </c>
      <c r="Q9407">
        <v>22623000</v>
      </c>
      <c r="R9407" s="14">
        <f>_xlfn.XLOOKUP(Table2[[#This Row],[LoanID]],Table1[G-L ID],Table1[ManagerCode],-99)</f>
        <v>220</v>
      </c>
      <c r="T9407"/>
    </row>
    <row r="9408" spans="1:20" x14ac:dyDescent="0.25">
      <c r="A9408">
        <v>20190731</v>
      </c>
      <c r="B9408">
        <v>2019</v>
      </c>
      <c r="C9408">
        <v>7</v>
      </c>
      <c r="D9408">
        <v>1</v>
      </c>
      <c r="E9408">
        <v>14830</v>
      </c>
      <c r="F9408">
        <v>79915.16</v>
      </c>
      <c r="G9408">
        <v>0</v>
      </c>
      <c r="H9408">
        <v>0</v>
      </c>
      <c r="I9408">
        <v>0</v>
      </c>
      <c r="J9408">
        <v>0</v>
      </c>
      <c r="K9408">
        <v>0</v>
      </c>
      <c r="L9408">
        <v>36310000</v>
      </c>
      <c r="M9408">
        <v>36300000</v>
      </c>
      <c r="N9408">
        <v>14844944.300000001</v>
      </c>
      <c r="O9408">
        <v>14834944.300000001</v>
      </c>
      <c r="P9408">
        <v>36175320.93</v>
      </c>
      <c r="Q9408">
        <v>36175320.93</v>
      </c>
      <c r="R9408" s="14">
        <f>_xlfn.XLOOKUP(Table2[[#This Row],[LoanID]],Table1[G-L ID],Table1[ManagerCode],-99)</f>
        <v>220</v>
      </c>
      <c r="T9408"/>
    </row>
    <row r="9409" spans="1:20" x14ac:dyDescent="0.25">
      <c r="A9409">
        <v>20190731</v>
      </c>
      <c r="B9409">
        <v>2019</v>
      </c>
      <c r="C9409">
        <v>7</v>
      </c>
      <c r="D9409">
        <v>1</v>
      </c>
      <c r="E9409">
        <v>14840</v>
      </c>
      <c r="F9409">
        <v>68926.91</v>
      </c>
      <c r="G9409">
        <v>0</v>
      </c>
      <c r="H9409">
        <v>0</v>
      </c>
      <c r="I9409">
        <v>0</v>
      </c>
      <c r="J9409">
        <v>-372178.23</v>
      </c>
      <c r="K9409">
        <v>0</v>
      </c>
      <c r="L9409">
        <v>32050000</v>
      </c>
      <c r="M9409">
        <v>32422178.23</v>
      </c>
      <c r="N9409">
        <v>12851466.960000001</v>
      </c>
      <c r="O9409">
        <v>13223645.189999999</v>
      </c>
      <c r="P9409">
        <v>31997555.059999999</v>
      </c>
      <c r="Q9409">
        <v>32369733.289999999</v>
      </c>
      <c r="R9409" s="14">
        <f>_xlfn.XLOOKUP(Table2[[#This Row],[LoanID]],Table1[G-L ID],Table1[ManagerCode],-99)</f>
        <v>220</v>
      </c>
      <c r="T9409"/>
    </row>
    <row r="9410" spans="1:20" x14ac:dyDescent="0.25">
      <c r="A9410">
        <v>20190731</v>
      </c>
      <c r="B9410">
        <v>2019</v>
      </c>
      <c r="C9410">
        <v>7</v>
      </c>
      <c r="D9410">
        <v>1</v>
      </c>
      <c r="E9410">
        <v>14850</v>
      </c>
      <c r="F9410">
        <v>187562.43</v>
      </c>
      <c r="G9410">
        <v>0</v>
      </c>
      <c r="H9410">
        <v>0</v>
      </c>
      <c r="I9410">
        <v>0</v>
      </c>
      <c r="J9410">
        <v>0</v>
      </c>
      <c r="K9410">
        <v>0</v>
      </c>
      <c r="L9410">
        <v>86102221.390000001</v>
      </c>
      <c r="M9410">
        <v>86102221.390000001</v>
      </c>
      <c r="N9410">
        <v>37102911.640000001</v>
      </c>
      <c r="O9410">
        <v>37102911.640000001</v>
      </c>
      <c r="P9410">
        <v>86047543.129999995</v>
      </c>
      <c r="Q9410">
        <v>86047543.129999995</v>
      </c>
      <c r="R9410" s="14">
        <f>_xlfn.XLOOKUP(Table2[[#This Row],[LoanID]],Table1[G-L ID],Table1[ManagerCode],-99)</f>
        <v>220</v>
      </c>
      <c r="T9410"/>
    </row>
    <row r="9411" spans="1:20" x14ac:dyDescent="0.25">
      <c r="A9411">
        <v>20190731</v>
      </c>
      <c r="B9411">
        <v>2019</v>
      </c>
      <c r="C9411">
        <v>7</v>
      </c>
      <c r="D9411">
        <v>1</v>
      </c>
      <c r="E9411">
        <v>14860</v>
      </c>
      <c r="F9411">
        <v>152163.51</v>
      </c>
      <c r="G9411">
        <v>0</v>
      </c>
      <c r="H9411">
        <v>0</v>
      </c>
      <c r="I9411">
        <v>0</v>
      </c>
      <c r="J9411">
        <v>0</v>
      </c>
      <c r="K9411">
        <v>0</v>
      </c>
      <c r="L9411">
        <v>65360000</v>
      </c>
      <c r="M9411">
        <v>65250000</v>
      </c>
      <c r="N9411">
        <v>26501000</v>
      </c>
      <c r="O9411">
        <v>26391000</v>
      </c>
      <c r="P9411">
        <v>65000000</v>
      </c>
      <c r="Q9411">
        <v>65000000</v>
      </c>
      <c r="R9411" s="14">
        <f>_xlfn.XLOOKUP(Table2[[#This Row],[LoanID]],Table1[G-L ID],Table1[ManagerCode],-99)</f>
        <v>220</v>
      </c>
      <c r="T9411"/>
    </row>
    <row r="9412" spans="1:20" x14ac:dyDescent="0.25">
      <c r="A9412">
        <v>20190731</v>
      </c>
      <c r="B9412">
        <v>2019</v>
      </c>
      <c r="C9412">
        <v>7</v>
      </c>
      <c r="D9412">
        <v>1</v>
      </c>
      <c r="E9412">
        <v>14870</v>
      </c>
      <c r="F9412">
        <v>547642.78</v>
      </c>
      <c r="G9412">
        <v>0</v>
      </c>
      <c r="H9412">
        <v>0</v>
      </c>
      <c r="I9412">
        <v>0</v>
      </c>
      <c r="J9412">
        <v>0</v>
      </c>
      <c r="K9412">
        <v>5350364.67</v>
      </c>
      <c r="L9412">
        <v>121600000</v>
      </c>
      <c r="M9412">
        <v>121600000</v>
      </c>
      <c r="N9412">
        <v>71599000</v>
      </c>
      <c r="O9412">
        <v>66248635.329999998</v>
      </c>
      <c r="P9412">
        <v>121557000</v>
      </c>
      <c r="Q9412">
        <v>121557000</v>
      </c>
      <c r="R9412" s="14">
        <f>_xlfn.XLOOKUP(Table2[[#This Row],[LoanID]],Table1[G-L ID],Table1[ManagerCode],-99)</f>
        <v>220</v>
      </c>
      <c r="T9412"/>
    </row>
    <row r="9413" spans="1:20" x14ac:dyDescent="0.25">
      <c r="A9413">
        <v>20190731</v>
      </c>
      <c r="B9413">
        <v>2019</v>
      </c>
      <c r="C9413">
        <v>7</v>
      </c>
      <c r="D9413">
        <v>1</v>
      </c>
      <c r="E9413">
        <v>14880</v>
      </c>
      <c r="F9413">
        <v>146214.93</v>
      </c>
      <c r="G9413">
        <v>0</v>
      </c>
      <c r="H9413">
        <v>0</v>
      </c>
      <c r="I9413">
        <v>0</v>
      </c>
      <c r="J9413">
        <v>-250115.1</v>
      </c>
      <c r="K9413">
        <v>0</v>
      </c>
      <c r="L9413">
        <v>19684148.73</v>
      </c>
      <c r="M9413">
        <v>19934263.73</v>
      </c>
      <c r="N9413">
        <v>19684148.73</v>
      </c>
      <c r="O9413">
        <v>19934263.73</v>
      </c>
      <c r="P9413">
        <v>19665411.370000001</v>
      </c>
      <c r="Q9413">
        <v>19915526.469999999</v>
      </c>
      <c r="R9413" s="14">
        <f>_xlfn.XLOOKUP(Table2[[#This Row],[LoanID]],Table1[G-L ID],Table1[ManagerCode],-99)</f>
        <v>220</v>
      </c>
      <c r="T9413"/>
    </row>
    <row r="9414" spans="1:20" x14ac:dyDescent="0.25">
      <c r="A9414">
        <v>20190731</v>
      </c>
      <c r="B9414">
        <v>2019</v>
      </c>
      <c r="C9414">
        <v>7</v>
      </c>
      <c r="D9414">
        <v>1</v>
      </c>
      <c r="E9414">
        <v>14890</v>
      </c>
      <c r="F9414">
        <v>56011.31</v>
      </c>
      <c r="G9414">
        <v>0</v>
      </c>
      <c r="H9414">
        <v>0</v>
      </c>
      <c r="I9414">
        <v>0</v>
      </c>
      <c r="J9414">
        <v>0</v>
      </c>
      <c r="K9414">
        <v>0</v>
      </c>
      <c r="L9414">
        <v>34000000</v>
      </c>
      <c r="M9414">
        <v>34000000</v>
      </c>
      <c r="N9414">
        <v>11900000</v>
      </c>
      <c r="O9414">
        <v>11900000</v>
      </c>
      <c r="P9414">
        <v>34000000</v>
      </c>
      <c r="Q9414">
        <v>34000000</v>
      </c>
      <c r="R9414" s="14">
        <f>_xlfn.XLOOKUP(Table2[[#This Row],[LoanID]],Table1[G-L ID],Table1[ManagerCode],-99)</f>
        <v>220</v>
      </c>
      <c r="T9414"/>
    </row>
    <row r="9415" spans="1:20" x14ac:dyDescent="0.25">
      <c r="A9415">
        <v>20190731</v>
      </c>
      <c r="B9415">
        <v>2019</v>
      </c>
      <c r="C9415">
        <v>7</v>
      </c>
      <c r="D9415">
        <v>1</v>
      </c>
      <c r="E9415">
        <v>14900</v>
      </c>
      <c r="F9415">
        <v>113648.85</v>
      </c>
      <c r="G9415">
        <v>0</v>
      </c>
      <c r="H9415">
        <v>0</v>
      </c>
      <c r="I9415">
        <v>0</v>
      </c>
      <c r="J9415">
        <v>0</v>
      </c>
      <c r="K9415">
        <v>0</v>
      </c>
      <c r="L9415">
        <v>65097250</v>
      </c>
      <c r="M9415">
        <v>65097250</v>
      </c>
      <c r="N9415">
        <v>23497250</v>
      </c>
      <c r="O9415">
        <v>23497250</v>
      </c>
      <c r="P9415">
        <v>65097249.530000001</v>
      </c>
      <c r="Q9415">
        <v>65097249.530000001</v>
      </c>
      <c r="R9415" s="14">
        <f>_xlfn.XLOOKUP(Table2[[#This Row],[LoanID]],Table1[G-L ID],Table1[ManagerCode],-99)</f>
        <v>220</v>
      </c>
      <c r="T9415"/>
    </row>
    <row r="9416" spans="1:20" x14ac:dyDescent="0.25">
      <c r="A9416">
        <v>20190731</v>
      </c>
      <c r="B9416">
        <v>2019</v>
      </c>
      <c r="C9416">
        <v>7</v>
      </c>
      <c r="D9416">
        <v>1</v>
      </c>
      <c r="E9416">
        <v>14910</v>
      </c>
      <c r="F9416">
        <v>59246.96</v>
      </c>
      <c r="G9416">
        <v>0</v>
      </c>
      <c r="H9416">
        <v>0</v>
      </c>
      <c r="I9416">
        <v>0</v>
      </c>
      <c r="J9416">
        <v>0</v>
      </c>
      <c r="K9416">
        <v>0</v>
      </c>
      <c r="L9416">
        <v>38393859.18</v>
      </c>
      <c r="M9416">
        <v>38393859.18</v>
      </c>
      <c r="N9416">
        <v>11793859.18</v>
      </c>
      <c r="O9416">
        <v>11793859.18</v>
      </c>
      <c r="P9416">
        <v>38393859.18</v>
      </c>
      <c r="Q9416">
        <v>38393859.18</v>
      </c>
      <c r="R9416" s="14">
        <f>_xlfn.XLOOKUP(Table2[[#This Row],[LoanID]],Table1[G-L ID],Table1[ManagerCode],-99)</f>
        <v>220</v>
      </c>
      <c r="T9416"/>
    </row>
    <row r="9417" spans="1:20" x14ac:dyDescent="0.25">
      <c r="A9417">
        <v>20190731</v>
      </c>
      <c r="B9417">
        <v>2019</v>
      </c>
      <c r="C9417">
        <v>7</v>
      </c>
      <c r="D9417">
        <v>1</v>
      </c>
      <c r="E9417">
        <v>14920</v>
      </c>
      <c r="F9417">
        <v>106795.67</v>
      </c>
      <c r="G9417">
        <v>0</v>
      </c>
      <c r="H9417">
        <v>0</v>
      </c>
      <c r="I9417">
        <v>0</v>
      </c>
      <c r="J9417">
        <v>0</v>
      </c>
      <c r="K9417">
        <v>0</v>
      </c>
      <c r="L9417">
        <v>70000000</v>
      </c>
      <c r="M9417">
        <v>70000000</v>
      </c>
      <c r="N9417">
        <v>21000000</v>
      </c>
      <c r="O9417">
        <v>21000000</v>
      </c>
      <c r="P9417">
        <v>70000000</v>
      </c>
      <c r="Q9417">
        <v>70000000</v>
      </c>
      <c r="R9417" s="14">
        <f>_xlfn.XLOOKUP(Table2[[#This Row],[LoanID]],Table1[G-L ID],Table1[ManagerCode],-99)</f>
        <v>220</v>
      </c>
      <c r="T9417"/>
    </row>
    <row r="9418" spans="1:20" x14ac:dyDescent="0.25">
      <c r="A9418">
        <v>20190731</v>
      </c>
      <c r="B9418">
        <v>2019</v>
      </c>
      <c r="C9418">
        <v>7</v>
      </c>
      <c r="D9418">
        <v>1</v>
      </c>
      <c r="E9418">
        <v>14930</v>
      </c>
      <c r="F9418">
        <v>93912.51</v>
      </c>
      <c r="G9418">
        <v>0</v>
      </c>
      <c r="H9418">
        <v>0</v>
      </c>
      <c r="I9418">
        <v>0</v>
      </c>
      <c r="J9418">
        <v>0</v>
      </c>
      <c r="K9418">
        <v>0</v>
      </c>
      <c r="L9418">
        <v>55000000</v>
      </c>
      <c r="M9418">
        <v>55000000</v>
      </c>
      <c r="N9418">
        <v>19250000</v>
      </c>
      <c r="O9418">
        <v>19250000</v>
      </c>
      <c r="P9418">
        <v>55000000</v>
      </c>
      <c r="Q9418">
        <v>55000000</v>
      </c>
      <c r="R9418" s="14">
        <f>_xlfn.XLOOKUP(Table2[[#This Row],[LoanID]],Table1[G-L ID],Table1[ManagerCode],-99)</f>
        <v>220</v>
      </c>
      <c r="T9418"/>
    </row>
    <row r="9419" spans="1:20" x14ac:dyDescent="0.25">
      <c r="A9419">
        <v>20190731</v>
      </c>
      <c r="B9419">
        <v>2019</v>
      </c>
      <c r="C9419">
        <v>7</v>
      </c>
      <c r="D9419">
        <v>1</v>
      </c>
      <c r="E9419">
        <v>14940</v>
      </c>
      <c r="F9419">
        <v>151650.76999999999</v>
      </c>
      <c r="G9419">
        <v>0</v>
      </c>
      <c r="H9419">
        <v>0</v>
      </c>
      <c r="I9419">
        <v>0</v>
      </c>
      <c r="J9419">
        <v>-42296.7</v>
      </c>
      <c r="K9419">
        <v>0</v>
      </c>
      <c r="L9419">
        <v>69930000</v>
      </c>
      <c r="M9419">
        <v>69972296.700000003</v>
      </c>
      <c r="N9419">
        <v>32684003.02</v>
      </c>
      <c r="O9419">
        <v>32726299.719999999</v>
      </c>
      <c r="P9419">
        <v>69877596.670000002</v>
      </c>
      <c r="Q9419">
        <v>69919893.370000005</v>
      </c>
      <c r="R9419" s="14">
        <f>_xlfn.XLOOKUP(Table2[[#This Row],[LoanID]],Table1[G-L ID],Table1[ManagerCode],-99)</f>
        <v>220</v>
      </c>
      <c r="T9419"/>
    </row>
    <row r="9420" spans="1:20" x14ac:dyDescent="0.25">
      <c r="A9420">
        <v>20190731</v>
      </c>
      <c r="B9420">
        <v>2019</v>
      </c>
      <c r="C9420">
        <v>7</v>
      </c>
      <c r="D9420">
        <v>1</v>
      </c>
      <c r="E9420">
        <v>14950</v>
      </c>
      <c r="F9420">
        <v>407632.36</v>
      </c>
      <c r="G9420">
        <v>0</v>
      </c>
      <c r="H9420">
        <v>0</v>
      </c>
      <c r="I9420">
        <v>0</v>
      </c>
      <c r="J9420">
        <v>0</v>
      </c>
      <c r="K9420">
        <v>0</v>
      </c>
      <c r="L9420">
        <v>35000000</v>
      </c>
      <c r="M9420">
        <v>35000000</v>
      </c>
      <c r="N9420">
        <v>35000000</v>
      </c>
      <c r="O9420">
        <v>35000000</v>
      </c>
      <c r="P9420">
        <v>35000000</v>
      </c>
      <c r="Q9420">
        <v>35000000</v>
      </c>
      <c r="R9420" s="14">
        <f>_xlfn.XLOOKUP(Table2[[#This Row],[LoanID]],Table1[G-L ID],Table1[ManagerCode],-99)</f>
        <v>220</v>
      </c>
      <c r="T9420"/>
    </row>
    <row r="9421" spans="1:20" x14ac:dyDescent="0.25">
      <c r="A9421">
        <v>20190731</v>
      </c>
      <c r="B9421">
        <v>2019</v>
      </c>
      <c r="C9421">
        <v>7</v>
      </c>
      <c r="D9421">
        <v>1</v>
      </c>
      <c r="E9421">
        <v>14960</v>
      </c>
      <c r="F9421">
        <v>63908.25</v>
      </c>
      <c r="G9421">
        <v>0</v>
      </c>
      <c r="H9421">
        <v>0</v>
      </c>
      <c r="I9421">
        <v>0</v>
      </c>
      <c r="J9421">
        <v>0</v>
      </c>
      <c r="K9421">
        <v>-3018728.41</v>
      </c>
      <c r="L9421">
        <v>14840000</v>
      </c>
      <c r="M9421">
        <v>14840000</v>
      </c>
      <c r="N9421">
        <v>4839000</v>
      </c>
      <c r="O9421">
        <v>7857728.4100000001</v>
      </c>
      <c r="P9421">
        <v>14805000</v>
      </c>
      <c r="Q9421">
        <v>14805000</v>
      </c>
      <c r="R9421" s="14">
        <f>_xlfn.XLOOKUP(Table2[[#This Row],[LoanID]],Table1[G-L ID],Table1[ManagerCode],-99)</f>
        <v>220</v>
      </c>
      <c r="T9421"/>
    </row>
    <row r="9422" spans="1:20" x14ac:dyDescent="0.25">
      <c r="A9422">
        <v>20190731</v>
      </c>
      <c r="B9422">
        <v>2019</v>
      </c>
      <c r="C9422">
        <v>7</v>
      </c>
      <c r="D9422">
        <v>1</v>
      </c>
      <c r="E9422">
        <v>14970</v>
      </c>
      <c r="F9422">
        <v>56912.62</v>
      </c>
      <c r="G9422">
        <v>0</v>
      </c>
      <c r="H9422">
        <v>0</v>
      </c>
      <c r="I9422">
        <v>0</v>
      </c>
      <c r="J9422">
        <v>0</v>
      </c>
      <c r="K9422">
        <v>0</v>
      </c>
      <c r="L9422">
        <v>29700000</v>
      </c>
      <c r="M9422">
        <v>29700000</v>
      </c>
      <c r="N9422">
        <v>10395000</v>
      </c>
      <c r="O9422">
        <v>10395000</v>
      </c>
      <c r="P9422">
        <v>29700000</v>
      </c>
      <c r="Q9422">
        <v>29700000</v>
      </c>
      <c r="R9422" s="14">
        <f>_xlfn.XLOOKUP(Table2[[#This Row],[LoanID]],Table1[G-L ID],Table1[ManagerCode],-99)</f>
        <v>220</v>
      </c>
      <c r="T9422"/>
    </row>
    <row r="9423" spans="1:20" x14ac:dyDescent="0.25">
      <c r="A9423">
        <v>20190731</v>
      </c>
      <c r="B9423">
        <v>2019</v>
      </c>
      <c r="C9423">
        <v>7</v>
      </c>
      <c r="D9423">
        <v>1</v>
      </c>
      <c r="E9423">
        <v>15030</v>
      </c>
      <c r="F9423">
        <v>87573.08</v>
      </c>
      <c r="G9423">
        <v>0</v>
      </c>
      <c r="H9423">
        <v>0</v>
      </c>
      <c r="I9423">
        <v>0</v>
      </c>
      <c r="J9423">
        <v>-39427.69</v>
      </c>
      <c r="K9423">
        <v>0</v>
      </c>
      <c r="L9423">
        <v>39512441.789999999</v>
      </c>
      <c r="M9423">
        <v>39551869.479999997</v>
      </c>
      <c r="N9423">
        <v>14757724.380000001</v>
      </c>
      <c r="O9423">
        <v>14797152.07</v>
      </c>
      <c r="P9423">
        <v>39486346.009999998</v>
      </c>
      <c r="Q9423">
        <v>39525773.700000003</v>
      </c>
      <c r="R9423" s="14">
        <f>_xlfn.XLOOKUP(Table2[[#This Row],[LoanID]],Table1[G-L ID],Table1[ManagerCode],-99)</f>
        <v>220</v>
      </c>
      <c r="T9423"/>
    </row>
    <row r="9424" spans="1:20" x14ac:dyDescent="0.25">
      <c r="A9424">
        <v>20190731</v>
      </c>
      <c r="B9424">
        <v>2019</v>
      </c>
      <c r="C9424">
        <v>7</v>
      </c>
      <c r="D9424">
        <v>1</v>
      </c>
      <c r="E9424">
        <v>15050</v>
      </c>
      <c r="F9424">
        <v>50249.78</v>
      </c>
      <c r="G9424">
        <v>0</v>
      </c>
      <c r="H9424">
        <v>237550</v>
      </c>
      <c r="I9424">
        <v>0</v>
      </c>
      <c r="J9424">
        <v>-47510000</v>
      </c>
      <c r="K9424">
        <v>30881500</v>
      </c>
      <c r="L9424">
        <v>0</v>
      </c>
      <c r="M9424">
        <v>47510000</v>
      </c>
      <c r="N9424">
        <v>0</v>
      </c>
      <c r="O9424">
        <v>16628500</v>
      </c>
      <c r="P9424">
        <v>0</v>
      </c>
      <c r="Q9424">
        <v>47510000</v>
      </c>
      <c r="R9424" s="14">
        <f>_xlfn.XLOOKUP(Table2[[#This Row],[LoanID]],Table1[G-L ID],Table1[ManagerCode],-99)</f>
        <v>183</v>
      </c>
      <c r="T9424"/>
    </row>
    <row r="9425" spans="1:20" x14ac:dyDescent="0.25">
      <c r="A9425">
        <v>20190731</v>
      </c>
      <c r="B9425">
        <v>2019</v>
      </c>
      <c r="C9425">
        <v>7</v>
      </c>
      <c r="D9425">
        <v>1</v>
      </c>
      <c r="E9425">
        <v>15540</v>
      </c>
      <c r="F9425">
        <v>284647.23</v>
      </c>
      <c r="G9425">
        <v>9065.9699999999993</v>
      </c>
      <c r="H9425">
        <v>0</v>
      </c>
      <c r="I9425">
        <v>-3255.09</v>
      </c>
      <c r="J9425">
        <v>0</v>
      </c>
      <c r="K9425">
        <v>0</v>
      </c>
      <c r="L9425">
        <v>60712410.399999999</v>
      </c>
      <c r="M9425">
        <v>60721476.369999997</v>
      </c>
      <c r="N9425">
        <v>60712410.399999999</v>
      </c>
      <c r="O9425">
        <v>60721476.369999997</v>
      </c>
      <c r="P9425">
        <v>60712410.399999999</v>
      </c>
      <c r="Q9425">
        <v>60721476.369999997</v>
      </c>
      <c r="R9425" s="14">
        <f>_xlfn.XLOOKUP(Table2[[#This Row],[LoanID]],Table1[G-L ID],Table1[ManagerCode],-99)</f>
        <v>212</v>
      </c>
      <c r="T9425"/>
    </row>
    <row r="9426" spans="1:20" x14ac:dyDescent="0.25">
      <c r="A9426">
        <v>20190731</v>
      </c>
      <c r="B9426">
        <v>2019</v>
      </c>
      <c r="C9426">
        <v>7</v>
      </c>
      <c r="D9426">
        <v>1</v>
      </c>
      <c r="E9426">
        <v>15560</v>
      </c>
      <c r="F9426">
        <v>280289.3</v>
      </c>
      <c r="G9426">
        <v>7729.89</v>
      </c>
      <c r="H9426">
        <v>0</v>
      </c>
      <c r="I9426">
        <v>0</v>
      </c>
      <c r="J9426">
        <v>0</v>
      </c>
      <c r="K9426">
        <v>0</v>
      </c>
      <c r="L9426">
        <v>49655907.07</v>
      </c>
      <c r="M9426">
        <v>49663636.960000001</v>
      </c>
      <c r="N9426">
        <v>49655907.07</v>
      </c>
      <c r="O9426">
        <v>49663636.960000001</v>
      </c>
      <c r="P9426">
        <v>49655907.07</v>
      </c>
      <c r="Q9426">
        <v>49663636.960000001</v>
      </c>
      <c r="R9426" s="14">
        <f>_xlfn.XLOOKUP(Table2[[#This Row],[LoanID]],Table1[G-L ID],Table1[ManagerCode],-99)</f>
        <v>212</v>
      </c>
      <c r="T9426"/>
    </row>
    <row r="9427" spans="1:20" x14ac:dyDescent="0.25">
      <c r="A9427">
        <v>20190731</v>
      </c>
      <c r="B9427">
        <v>2019</v>
      </c>
      <c r="C9427">
        <v>7</v>
      </c>
      <c r="D9427">
        <v>1</v>
      </c>
      <c r="E9427">
        <v>15580</v>
      </c>
      <c r="F9427">
        <v>111201.46</v>
      </c>
      <c r="G9427">
        <v>3609.54</v>
      </c>
      <c r="H9427">
        <v>0</v>
      </c>
      <c r="I9427">
        <v>0</v>
      </c>
      <c r="J9427">
        <v>0</v>
      </c>
      <c r="K9427">
        <v>12199.85</v>
      </c>
      <c r="L9427">
        <v>14537336.42</v>
      </c>
      <c r="M9427">
        <v>14528746.109999999</v>
      </c>
      <c r="N9427">
        <v>14537336.42</v>
      </c>
      <c r="O9427">
        <v>14528746.109999999</v>
      </c>
      <c r="P9427">
        <v>14537336.42</v>
      </c>
      <c r="Q9427">
        <v>14528746.109999999</v>
      </c>
      <c r="R9427" s="14">
        <f>_xlfn.XLOOKUP(Table2[[#This Row],[LoanID]],Table1[G-L ID],Table1[ManagerCode],-99)</f>
        <v>212</v>
      </c>
      <c r="T9427"/>
    </row>
    <row r="9428" spans="1:20" x14ac:dyDescent="0.25">
      <c r="A9428">
        <v>20190731</v>
      </c>
      <c r="B9428">
        <v>2019</v>
      </c>
      <c r="C9428">
        <v>7</v>
      </c>
      <c r="D9428">
        <v>1</v>
      </c>
      <c r="E9428">
        <v>15590</v>
      </c>
      <c r="F9428">
        <v>0</v>
      </c>
      <c r="G9428">
        <v>412564.89</v>
      </c>
      <c r="H9428">
        <v>0</v>
      </c>
      <c r="I9428">
        <v>0</v>
      </c>
      <c r="J9428">
        <v>0</v>
      </c>
      <c r="K9428">
        <v>0</v>
      </c>
      <c r="L9428">
        <v>103580402.8</v>
      </c>
      <c r="M9428">
        <v>103992967.7</v>
      </c>
      <c r="N9428">
        <v>103580402.8</v>
      </c>
      <c r="O9428">
        <v>103992967.7</v>
      </c>
      <c r="P9428">
        <v>103580402.8</v>
      </c>
      <c r="Q9428">
        <v>103992967.7</v>
      </c>
      <c r="R9428" s="14">
        <f>_xlfn.XLOOKUP(Table2[[#This Row],[LoanID]],Table1[G-L ID],Table1[ManagerCode],-99)</f>
        <v>212</v>
      </c>
      <c r="T9428"/>
    </row>
    <row r="9429" spans="1:20" x14ac:dyDescent="0.25">
      <c r="A9429">
        <v>20190731</v>
      </c>
      <c r="B9429">
        <v>2019</v>
      </c>
      <c r="C9429">
        <v>7</v>
      </c>
      <c r="D9429">
        <v>1</v>
      </c>
      <c r="E9429">
        <v>15610</v>
      </c>
      <c r="F9429">
        <v>937042.81</v>
      </c>
      <c r="G9429">
        <v>22732.25</v>
      </c>
      <c r="H9429">
        <v>0</v>
      </c>
      <c r="I9429">
        <v>-9010.0499999999993</v>
      </c>
      <c r="J9429">
        <v>-1727717.98</v>
      </c>
      <c r="K9429">
        <v>0</v>
      </c>
      <c r="L9429">
        <v>217178999.40000001</v>
      </c>
      <c r="M9429">
        <v>218929449.69999999</v>
      </c>
      <c r="N9429">
        <v>217178999.40000001</v>
      </c>
      <c r="O9429">
        <v>218929449.69999999</v>
      </c>
      <c r="P9429">
        <v>217178999.40000001</v>
      </c>
      <c r="Q9429">
        <v>218929449.69999999</v>
      </c>
      <c r="R9429" s="14">
        <f>_xlfn.XLOOKUP(Table2[[#This Row],[LoanID]],Table1[G-L ID],Table1[ManagerCode],-99)</f>
        <v>212</v>
      </c>
      <c r="T9429"/>
    </row>
    <row r="9430" spans="1:20" x14ac:dyDescent="0.25">
      <c r="A9430">
        <v>20190731</v>
      </c>
      <c r="B9430">
        <v>2019</v>
      </c>
      <c r="C9430">
        <v>7</v>
      </c>
      <c r="D9430">
        <v>1</v>
      </c>
      <c r="E9430">
        <v>15620</v>
      </c>
      <c r="F9430">
        <v>346309.45</v>
      </c>
      <c r="G9430">
        <v>10640.3</v>
      </c>
      <c r="H9430">
        <v>0</v>
      </c>
      <c r="I9430">
        <v>-4692.3100000000004</v>
      </c>
      <c r="J9430">
        <v>0</v>
      </c>
      <c r="K9430">
        <v>0</v>
      </c>
      <c r="L9430">
        <v>79281121.859999999</v>
      </c>
      <c r="M9430">
        <v>79291762.159999996</v>
      </c>
      <c r="N9430">
        <v>79281121.859999999</v>
      </c>
      <c r="O9430">
        <v>79291762.159999996</v>
      </c>
      <c r="P9430">
        <v>79281121.859999999</v>
      </c>
      <c r="Q9430">
        <v>79291762.159999996</v>
      </c>
      <c r="R9430" s="14">
        <f>_xlfn.XLOOKUP(Table2[[#This Row],[LoanID]],Table1[G-L ID],Table1[ManagerCode],-99)</f>
        <v>212</v>
      </c>
      <c r="T9430"/>
    </row>
    <row r="9431" spans="1:20" x14ac:dyDescent="0.25">
      <c r="A9431">
        <v>20190731</v>
      </c>
      <c r="B9431">
        <v>2019</v>
      </c>
      <c r="C9431">
        <v>7</v>
      </c>
      <c r="D9431">
        <v>1</v>
      </c>
      <c r="E9431">
        <v>15630</v>
      </c>
      <c r="F9431">
        <v>0</v>
      </c>
      <c r="G9431">
        <v>334799.44</v>
      </c>
      <c r="H9431">
        <v>0</v>
      </c>
      <c r="I9431">
        <v>0</v>
      </c>
      <c r="J9431">
        <v>-64139494</v>
      </c>
      <c r="K9431">
        <v>0</v>
      </c>
      <c r="L9431">
        <v>13774239.1</v>
      </c>
      <c r="M9431">
        <v>78248532.540000007</v>
      </c>
      <c r="N9431">
        <v>13774239.1</v>
      </c>
      <c r="O9431">
        <v>78248532.540000007</v>
      </c>
      <c r="P9431">
        <v>13774239.1</v>
      </c>
      <c r="Q9431">
        <v>78248532.540000007</v>
      </c>
      <c r="R9431" s="14">
        <f>_xlfn.XLOOKUP(Table2[[#This Row],[LoanID]],Table1[G-L ID],Table1[ManagerCode],-99)</f>
        <v>212</v>
      </c>
      <c r="T9431"/>
    </row>
    <row r="9432" spans="1:20" x14ac:dyDescent="0.25">
      <c r="A9432">
        <v>20190731</v>
      </c>
      <c r="B9432">
        <v>2019</v>
      </c>
      <c r="C9432">
        <v>7</v>
      </c>
      <c r="D9432">
        <v>1</v>
      </c>
      <c r="E9432">
        <v>15670</v>
      </c>
      <c r="F9432">
        <v>4429.1400000000003</v>
      </c>
      <c r="G9432">
        <v>0</v>
      </c>
      <c r="H9432">
        <v>0</v>
      </c>
      <c r="I9432">
        <v>0</v>
      </c>
      <c r="J9432">
        <v>0</v>
      </c>
      <c r="K9432">
        <v>0</v>
      </c>
      <c r="L9432">
        <v>2802267.86</v>
      </c>
      <c r="M9432">
        <v>2802267.86</v>
      </c>
      <c r="N9432">
        <v>2802267.86</v>
      </c>
      <c r="O9432">
        <v>2802267.86</v>
      </c>
      <c r="P9432">
        <v>2802267.86</v>
      </c>
      <c r="Q9432">
        <v>2802267.86</v>
      </c>
      <c r="R9432" s="14">
        <f>_xlfn.XLOOKUP(Table2[[#This Row],[LoanID]],Table1[G-L ID],Table1[ManagerCode],-99)</f>
        <v>103</v>
      </c>
      <c r="T9432"/>
    </row>
    <row r="9433" spans="1:20" x14ac:dyDescent="0.25">
      <c r="A9433">
        <v>20190731</v>
      </c>
      <c r="B9433">
        <v>2019</v>
      </c>
      <c r="C9433">
        <v>7</v>
      </c>
      <c r="D9433">
        <v>1</v>
      </c>
      <c r="E9433">
        <v>15800</v>
      </c>
      <c r="F9433">
        <v>0</v>
      </c>
      <c r="G9433">
        <v>271527.78000000003</v>
      </c>
      <c r="H9433">
        <v>0</v>
      </c>
      <c r="I9433">
        <v>0</v>
      </c>
      <c r="J9433">
        <v>-85000000</v>
      </c>
      <c r="K9433">
        <v>0</v>
      </c>
      <c r="L9433">
        <v>0</v>
      </c>
      <c r="M9433">
        <v>85271527.780000001</v>
      </c>
      <c r="N9433">
        <v>0</v>
      </c>
      <c r="O9433">
        <v>85271527.780000001</v>
      </c>
      <c r="P9433">
        <v>0</v>
      </c>
      <c r="Q9433">
        <v>85271527.780000001</v>
      </c>
      <c r="R9433" s="14">
        <f>_xlfn.XLOOKUP(Table2[[#This Row],[LoanID]],Table1[G-L ID],Table1[ManagerCode],-99)</f>
        <v>212</v>
      </c>
      <c r="T9433"/>
    </row>
    <row r="9434" spans="1:20" x14ac:dyDescent="0.25">
      <c r="A9434">
        <v>20190831</v>
      </c>
      <c r="B9434">
        <v>2019</v>
      </c>
      <c r="C9434">
        <v>8</v>
      </c>
      <c r="D9434">
        <v>1</v>
      </c>
      <c r="E9434">
        <v>10050</v>
      </c>
      <c r="F9434">
        <v>153981.01999999999</v>
      </c>
      <c r="G9434">
        <v>0</v>
      </c>
      <c r="H9434">
        <v>0</v>
      </c>
      <c r="I9434">
        <v>-69.44</v>
      </c>
      <c r="J9434">
        <v>0</v>
      </c>
      <c r="K9434">
        <v>0</v>
      </c>
      <c r="L9434">
        <v>37025344</v>
      </c>
      <c r="M9434">
        <v>37586540</v>
      </c>
      <c r="N9434">
        <v>37025344</v>
      </c>
      <c r="O9434">
        <v>37586540</v>
      </c>
      <c r="P9434">
        <v>33333334</v>
      </c>
      <c r="Q9434">
        <v>33333334</v>
      </c>
      <c r="R9434" s="14">
        <f>_xlfn.XLOOKUP(Table2[[#This Row],[LoanID]],Table1[G-L ID],Table1[ManagerCode],-99)</f>
        <v>103</v>
      </c>
      <c r="T9434"/>
    </row>
    <row r="9435" spans="1:20" x14ac:dyDescent="0.25">
      <c r="A9435">
        <v>20190831</v>
      </c>
      <c r="B9435">
        <v>2019</v>
      </c>
      <c r="C9435">
        <v>8</v>
      </c>
      <c r="D9435">
        <v>1</v>
      </c>
      <c r="E9435">
        <v>10220</v>
      </c>
      <c r="F9435">
        <v>559722.22</v>
      </c>
      <c r="G9435">
        <v>0</v>
      </c>
      <c r="H9435">
        <v>0</v>
      </c>
      <c r="I9435">
        <v>0</v>
      </c>
      <c r="J9435">
        <v>0</v>
      </c>
      <c r="K9435">
        <v>0</v>
      </c>
      <c r="L9435">
        <v>109095622</v>
      </c>
      <c r="M9435">
        <v>109602854</v>
      </c>
      <c r="N9435">
        <v>109095622</v>
      </c>
      <c r="O9435">
        <v>109602854</v>
      </c>
      <c r="P9435">
        <v>100000000</v>
      </c>
      <c r="Q9435">
        <v>100000000</v>
      </c>
      <c r="R9435" s="14">
        <f>_xlfn.XLOOKUP(Table2[[#This Row],[LoanID]],Table1[G-L ID],Table1[ManagerCode],-99)</f>
        <v>103</v>
      </c>
      <c r="T9435"/>
    </row>
    <row r="9436" spans="1:20" x14ac:dyDescent="0.25">
      <c r="A9436">
        <v>20190831</v>
      </c>
      <c r="B9436">
        <v>2019</v>
      </c>
      <c r="C9436">
        <v>8</v>
      </c>
      <c r="D9436">
        <v>1</v>
      </c>
      <c r="E9436">
        <v>10790</v>
      </c>
      <c r="F9436">
        <v>19144.650000000001</v>
      </c>
      <c r="G9436">
        <v>0</v>
      </c>
      <c r="H9436">
        <v>0</v>
      </c>
      <c r="I9436">
        <v>0</v>
      </c>
      <c r="J9436">
        <v>0</v>
      </c>
      <c r="K9436">
        <v>50323.6</v>
      </c>
      <c r="L9436">
        <v>4142208</v>
      </c>
      <c r="M9436">
        <v>4086348</v>
      </c>
      <c r="N9436">
        <v>4142208</v>
      </c>
      <c r="O9436">
        <v>4086348</v>
      </c>
      <c r="P9436">
        <v>4087824.96</v>
      </c>
      <c r="Q9436">
        <v>4037501.36</v>
      </c>
      <c r="R9436" s="14">
        <f>_xlfn.XLOOKUP(Table2[[#This Row],[LoanID]],Table1[G-L ID],Table1[ManagerCode],-99)</f>
        <v>103</v>
      </c>
      <c r="T9436"/>
    </row>
    <row r="9437" spans="1:20" x14ac:dyDescent="0.25">
      <c r="A9437">
        <v>20190831</v>
      </c>
      <c r="B9437">
        <v>2019</v>
      </c>
      <c r="C9437">
        <v>8</v>
      </c>
      <c r="D9437">
        <v>1</v>
      </c>
      <c r="E9437">
        <v>11340</v>
      </c>
      <c r="F9437">
        <v>283305.52</v>
      </c>
      <c r="G9437">
        <v>0</v>
      </c>
      <c r="H9437">
        <v>0</v>
      </c>
      <c r="I9437">
        <v>0</v>
      </c>
      <c r="J9437">
        <v>0</v>
      </c>
      <c r="K9437">
        <v>72302.7</v>
      </c>
      <c r="L9437">
        <v>51522542</v>
      </c>
      <c r="M9437">
        <v>51784453</v>
      </c>
      <c r="N9437">
        <v>51522542</v>
      </c>
      <c r="O9437">
        <v>51784453</v>
      </c>
      <c r="P9437">
        <v>46999994.390000001</v>
      </c>
      <c r="Q9437">
        <v>46927691.689999998</v>
      </c>
      <c r="R9437" s="14">
        <f>_xlfn.XLOOKUP(Table2[[#This Row],[LoanID]],Table1[G-L ID],Table1[ManagerCode],-99)</f>
        <v>103</v>
      </c>
      <c r="T9437"/>
    </row>
    <row r="9438" spans="1:20" x14ac:dyDescent="0.25">
      <c r="A9438">
        <v>20190831</v>
      </c>
      <c r="B9438">
        <v>2019</v>
      </c>
      <c r="C9438">
        <v>8</v>
      </c>
      <c r="D9438">
        <v>1</v>
      </c>
      <c r="E9438">
        <v>11680</v>
      </c>
      <c r="F9438">
        <v>50325.78</v>
      </c>
      <c r="G9438">
        <v>0</v>
      </c>
      <c r="H9438">
        <v>0</v>
      </c>
      <c r="I9438">
        <v>0</v>
      </c>
      <c r="J9438">
        <v>0</v>
      </c>
      <c r="K9438">
        <v>0</v>
      </c>
      <c r="L9438">
        <v>6600000</v>
      </c>
      <c r="M9438">
        <v>6600000</v>
      </c>
      <c r="N9438">
        <v>6600000</v>
      </c>
      <c r="O9438">
        <v>6600000</v>
      </c>
      <c r="P9438">
        <v>6600000</v>
      </c>
      <c r="Q9438">
        <v>6600000</v>
      </c>
      <c r="R9438" s="14">
        <f>_xlfn.XLOOKUP(Table2[[#This Row],[LoanID]],Table1[G-L ID],Table1[ManagerCode],-99)</f>
        <v>183</v>
      </c>
      <c r="T9438"/>
    </row>
    <row r="9439" spans="1:20" x14ac:dyDescent="0.25">
      <c r="A9439">
        <v>20190831</v>
      </c>
      <c r="B9439">
        <v>2019</v>
      </c>
      <c r="C9439">
        <v>8</v>
      </c>
      <c r="D9439">
        <v>1</v>
      </c>
      <c r="E9439">
        <v>12180</v>
      </c>
      <c r="F9439">
        <v>0</v>
      </c>
      <c r="G9439">
        <v>0</v>
      </c>
      <c r="H9439">
        <v>0</v>
      </c>
      <c r="I9439">
        <v>0</v>
      </c>
      <c r="J9439">
        <v>0</v>
      </c>
      <c r="K9439">
        <v>0</v>
      </c>
      <c r="L9439">
        <v>1</v>
      </c>
      <c r="M9439">
        <v>1</v>
      </c>
      <c r="N9439">
        <v>1</v>
      </c>
      <c r="O9439">
        <v>1</v>
      </c>
      <c r="P9439">
        <v>31432351.760000002</v>
      </c>
      <c r="Q9439">
        <v>31698707.449999999</v>
      </c>
      <c r="R9439" s="14">
        <f>_xlfn.XLOOKUP(Table2[[#This Row],[LoanID]],Table1[G-L ID],Table1[ManagerCode],-99)</f>
        <v>220</v>
      </c>
      <c r="T9439"/>
    </row>
    <row r="9440" spans="1:20" x14ac:dyDescent="0.25">
      <c r="A9440">
        <v>20190831</v>
      </c>
      <c r="B9440">
        <v>2019</v>
      </c>
      <c r="C9440">
        <v>8</v>
      </c>
      <c r="D9440">
        <v>1</v>
      </c>
      <c r="E9440">
        <v>12220</v>
      </c>
      <c r="F9440">
        <v>208704.94</v>
      </c>
      <c r="G9440">
        <v>0</v>
      </c>
      <c r="H9440">
        <v>0</v>
      </c>
      <c r="I9440">
        <v>0</v>
      </c>
      <c r="J9440">
        <v>0</v>
      </c>
      <c r="K9440">
        <v>0</v>
      </c>
      <c r="L9440">
        <v>54500000</v>
      </c>
      <c r="M9440">
        <v>54500000</v>
      </c>
      <c r="N9440">
        <v>27250000</v>
      </c>
      <c r="O9440">
        <v>27250000</v>
      </c>
      <c r="P9440">
        <v>54500000</v>
      </c>
      <c r="Q9440">
        <v>54500000</v>
      </c>
      <c r="R9440" s="14">
        <f>_xlfn.XLOOKUP(Table2[[#This Row],[LoanID]],Table1[G-L ID],Table1[ManagerCode],-99)</f>
        <v>183</v>
      </c>
      <c r="T9440"/>
    </row>
    <row r="9441" spans="1:20" x14ac:dyDescent="0.25">
      <c r="A9441">
        <v>20190831</v>
      </c>
      <c r="B9441">
        <v>2019</v>
      </c>
      <c r="C9441">
        <v>8</v>
      </c>
      <c r="D9441">
        <v>1</v>
      </c>
      <c r="E9441">
        <v>12340</v>
      </c>
      <c r="F9441">
        <v>57135.05</v>
      </c>
      <c r="G9441">
        <v>0</v>
      </c>
      <c r="H9441">
        <v>0</v>
      </c>
      <c r="I9441">
        <v>0</v>
      </c>
      <c r="J9441">
        <v>0</v>
      </c>
      <c r="K9441">
        <v>0</v>
      </c>
      <c r="L9441">
        <v>24180000</v>
      </c>
      <c r="M9441">
        <v>24180000</v>
      </c>
      <c r="N9441">
        <v>12180000</v>
      </c>
      <c r="O9441">
        <v>12180000</v>
      </c>
      <c r="P9441">
        <v>24180000</v>
      </c>
      <c r="Q9441">
        <v>24180000</v>
      </c>
      <c r="R9441" s="14">
        <f>_xlfn.XLOOKUP(Table2[[#This Row],[LoanID]],Table1[G-L ID],Table1[ManagerCode],-99)</f>
        <v>183</v>
      </c>
      <c r="T9441"/>
    </row>
    <row r="9442" spans="1:20" x14ac:dyDescent="0.25">
      <c r="A9442">
        <v>20190831</v>
      </c>
      <c r="B9442">
        <v>2019</v>
      </c>
      <c r="C9442">
        <v>8</v>
      </c>
      <c r="D9442">
        <v>1</v>
      </c>
      <c r="E9442">
        <v>12350</v>
      </c>
      <c r="F9442">
        <v>247548.55</v>
      </c>
      <c r="G9442">
        <v>0</v>
      </c>
      <c r="H9442">
        <v>0</v>
      </c>
      <c r="I9442">
        <v>0</v>
      </c>
      <c r="J9442">
        <v>0</v>
      </c>
      <c r="K9442">
        <v>0</v>
      </c>
      <c r="L9442">
        <v>78700000</v>
      </c>
      <c r="M9442">
        <v>78700000</v>
      </c>
      <c r="N9442">
        <v>40914236.340000004</v>
      </c>
      <c r="O9442">
        <v>40914236.340000004</v>
      </c>
      <c r="P9442">
        <v>78700000</v>
      </c>
      <c r="Q9442">
        <v>78700000</v>
      </c>
      <c r="R9442" s="14">
        <f>_xlfn.XLOOKUP(Table2[[#This Row],[LoanID]],Table1[G-L ID],Table1[ManagerCode],-99)</f>
        <v>183</v>
      </c>
      <c r="T9442"/>
    </row>
    <row r="9443" spans="1:20" x14ac:dyDescent="0.25">
      <c r="A9443">
        <v>20190831</v>
      </c>
      <c r="B9443">
        <v>2019</v>
      </c>
      <c r="C9443">
        <v>8</v>
      </c>
      <c r="D9443">
        <v>1</v>
      </c>
      <c r="E9443">
        <v>12360</v>
      </c>
      <c r="F9443">
        <v>128228.75</v>
      </c>
      <c r="G9443">
        <v>0</v>
      </c>
      <c r="H9443">
        <v>0</v>
      </c>
      <c r="I9443">
        <v>0</v>
      </c>
      <c r="J9443">
        <v>0</v>
      </c>
      <c r="K9443">
        <v>0</v>
      </c>
      <c r="L9443">
        <v>60000000</v>
      </c>
      <c r="M9443">
        <v>60000000</v>
      </c>
      <c r="N9443">
        <v>19000000</v>
      </c>
      <c r="O9443">
        <v>19000000</v>
      </c>
      <c r="P9443">
        <v>60000000</v>
      </c>
      <c r="Q9443">
        <v>60000000</v>
      </c>
      <c r="R9443" s="14">
        <f>_xlfn.XLOOKUP(Table2[[#This Row],[LoanID]],Table1[G-L ID],Table1[ManagerCode],-99)</f>
        <v>183</v>
      </c>
      <c r="T9443"/>
    </row>
    <row r="9444" spans="1:20" x14ac:dyDescent="0.25">
      <c r="A9444">
        <v>20190831</v>
      </c>
      <c r="B9444">
        <v>2019</v>
      </c>
      <c r="C9444">
        <v>8</v>
      </c>
      <c r="D9444">
        <v>1</v>
      </c>
      <c r="E9444">
        <v>12370</v>
      </c>
      <c r="F9444">
        <v>294193.71000000002</v>
      </c>
      <c r="G9444">
        <v>0</v>
      </c>
      <c r="H9444">
        <v>0</v>
      </c>
      <c r="I9444">
        <v>0</v>
      </c>
      <c r="J9444">
        <v>0</v>
      </c>
      <c r="K9444">
        <v>0</v>
      </c>
      <c r="L9444">
        <v>81600000</v>
      </c>
      <c r="M9444">
        <v>81600000</v>
      </c>
      <c r="N9444">
        <v>36461538.549999997</v>
      </c>
      <c r="O9444">
        <v>36461538.549999997</v>
      </c>
      <c r="P9444">
        <v>81600000</v>
      </c>
      <c r="Q9444">
        <v>81600000</v>
      </c>
      <c r="R9444" s="14">
        <f>_xlfn.XLOOKUP(Table2[[#This Row],[LoanID]],Table1[G-L ID],Table1[ManagerCode],-99)</f>
        <v>183</v>
      </c>
      <c r="T9444"/>
    </row>
    <row r="9445" spans="1:20" x14ac:dyDescent="0.25">
      <c r="A9445">
        <v>20190831</v>
      </c>
      <c r="B9445">
        <v>2019</v>
      </c>
      <c r="C9445">
        <v>8</v>
      </c>
      <c r="D9445">
        <v>1</v>
      </c>
      <c r="E9445">
        <v>12380</v>
      </c>
      <c r="F9445">
        <v>87674.559999999998</v>
      </c>
      <c r="G9445">
        <v>0</v>
      </c>
      <c r="H9445">
        <v>0</v>
      </c>
      <c r="I9445">
        <v>0</v>
      </c>
      <c r="J9445">
        <v>0</v>
      </c>
      <c r="K9445">
        <v>0</v>
      </c>
      <c r="L9445">
        <v>32500000</v>
      </c>
      <c r="M9445">
        <v>32500000</v>
      </c>
      <c r="N9445">
        <v>12350000</v>
      </c>
      <c r="O9445">
        <v>12350000</v>
      </c>
      <c r="P9445">
        <v>32500000</v>
      </c>
      <c r="Q9445">
        <v>32500000</v>
      </c>
      <c r="R9445" s="14">
        <f>_xlfn.XLOOKUP(Table2[[#This Row],[LoanID]],Table1[G-L ID],Table1[ManagerCode],-99)</f>
        <v>183</v>
      </c>
      <c r="T9445"/>
    </row>
    <row r="9446" spans="1:20" x14ac:dyDescent="0.25">
      <c r="A9446">
        <v>20190831</v>
      </c>
      <c r="B9446">
        <v>2019</v>
      </c>
      <c r="C9446">
        <v>8</v>
      </c>
      <c r="D9446">
        <v>1</v>
      </c>
      <c r="E9446">
        <v>12390</v>
      </c>
      <c r="F9446">
        <v>1068687.79</v>
      </c>
      <c r="G9446">
        <v>581924.72</v>
      </c>
      <c r="H9446">
        <v>0</v>
      </c>
      <c r="I9446">
        <v>0</v>
      </c>
      <c r="J9446">
        <v>-3364003.12</v>
      </c>
      <c r="K9446">
        <v>0</v>
      </c>
      <c r="L9446">
        <v>145741715</v>
      </c>
      <c r="M9446">
        <v>149687642.80000001</v>
      </c>
      <c r="N9446">
        <v>145741715</v>
      </c>
      <c r="O9446">
        <v>149687642.80000001</v>
      </c>
      <c r="P9446">
        <v>145741715</v>
      </c>
      <c r="Q9446">
        <v>149687642.80000001</v>
      </c>
      <c r="R9446" s="14">
        <f>_xlfn.XLOOKUP(Table2[[#This Row],[LoanID]],Table1[G-L ID],Table1[ManagerCode],-99)</f>
        <v>183</v>
      </c>
      <c r="T9446"/>
    </row>
    <row r="9447" spans="1:20" x14ac:dyDescent="0.25">
      <c r="A9447">
        <v>20190831</v>
      </c>
      <c r="B9447">
        <v>2019</v>
      </c>
      <c r="C9447">
        <v>8</v>
      </c>
      <c r="D9447">
        <v>1</v>
      </c>
      <c r="E9447">
        <v>12400</v>
      </c>
      <c r="F9447">
        <v>270601.55</v>
      </c>
      <c r="G9447">
        <v>133115.60999999999</v>
      </c>
      <c r="H9447">
        <v>0</v>
      </c>
      <c r="I9447">
        <v>0</v>
      </c>
      <c r="J9447">
        <v>-1782321.09</v>
      </c>
      <c r="K9447">
        <v>0</v>
      </c>
      <c r="L9447">
        <v>50697072.409999996</v>
      </c>
      <c r="M9447">
        <v>52612509.109999999</v>
      </c>
      <c r="N9447">
        <v>50697072.409999996</v>
      </c>
      <c r="O9447">
        <v>52612509.109999999</v>
      </c>
      <c r="P9447">
        <v>50697072.409999996</v>
      </c>
      <c r="Q9447">
        <v>52612509.109999999</v>
      </c>
      <c r="R9447" s="14">
        <f>_xlfn.XLOOKUP(Table2[[#This Row],[LoanID]],Table1[G-L ID],Table1[ManagerCode],-99)</f>
        <v>183</v>
      </c>
      <c r="T9447"/>
    </row>
    <row r="9448" spans="1:20" x14ac:dyDescent="0.25">
      <c r="A9448">
        <v>20190831</v>
      </c>
      <c r="B9448">
        <v>2019</v>
      </c>
      <c r="C9448">
        <v>8</v>
      </c>
      <c r="D9448">
        <v>1</v>
      </c>
      <c r="E9448">
        <v>12410</v>
      </c>
      <c r="F9448">
        <v>250000</v>
      </c>
      <c r="G9448">
        <v>125000</v>
      </c>
      <c r="H9448">
        <v>0</v>
      </c>
      <c r="I9448">
        <v>0</v>
      </c>
      <c r="J9448">
        <v>0</v>
      </c>
      <c r="K9448">
        <v>0</v>
      </c>
      <c r="L9448">
        <v>59598807.539999999</v>
      </c>
      <c r="M9448">
        <v>59723807.539999999</v>
      </c>
      <c r="N9448">
        <v>59598807.539999999</v>
      </c>
      <c r="O9448">
        <v>59723807.539999999</v>
      </c>
      <c r="P9448">
        <v>65879789.659999996</v>
      </c>
      <c r="Q9448">
        <v>66004789.659999996</v>
      </c>
      <c r="R9448" s="14">
        <f>_xlfn.XLOOKUP(Table2[[#This Row],[LoanID]],Table1[G-L ID],Table1[ManagerCode],-99)</f>
        <v>103</v>
      </c>
      <c r="T9448"/>
    </row>
    <row r="9449" spans="1:20" x14ac:dyDescent="0.25">
      <c r="A9449">
        <v>20190831</v>
      </c>
      <c r="B9449">
        <v>2019</v>
      </c>
      <c r="C9449">
        <v>8</v>
      </c>
      <c r="D9449">
        <v>1</v>
      </c>
      <c r="E9449">
        <v>12430</v>
      </c>
      <c r="F9449">
        <v>89820.81</v>
      </c>
      <c r="G9449">
        <v>0</v>
      </c>
      <c r="H9449">
        <v>0</v>
      </c>
      <c r="I9449">
        <v>0</v>
      </c>
      <c r="J9449">
        <v>-89820.81</v>
      </c>
      <c r="K9449">
        <v>0</v>
      </c>
      <c r="L9449">
        <v>25587179</v>
      </c>
      <c r="M9449">
        <v>25637427</v>
      </c>
      <c r="N9449">
        <v>25587179</v>
      </c>
      <c r="O9449">
        <v>25637427</v>
      </c>
      <c r="P9449">
        <v>26946245.190000001</v>
      </c>
      <c r="Q9449">
        <v>27036066</v>
      </c>
      <c r="R9449" s="14">
        <f>_xlfn.XLOOKUP(Table2[[#This Row],[LoanID]],Table1[G-L ID],Table1[ManagerCode],-99)</f>
        <v>103</v>
      </c>
      <c r="T9449"/>
    </row>
    <row r="9450" spans="1:20" x14ac:dyDescent="0.25">
      <c r="A9450">
        <v>20190831</v>
      </c>
      <c r="B9450">
        <v>2019</v>
      </c>
      <c r="C9450">
        <v>8</v>
      </c>
      <c r="D9450">
        <v>1</v>
      </c>
      <c r="E9450">
        <v>12440</v>
      </c>
      <c r="F9450">
        <v>26454.69</v>
      </c>
      <c r="G9450">
        <v>0</v>
      </c>
      <c r="H9450">
        <v>0</v>
      </c>
      <c r="I9450">
        <v>0</v>
      </c>
      <c r="J9450">
        <v>0</v>
      </c>
      <c r="K9450">
        <v>56911.58</v>
      </c>
      <c r="L9450">
        <v>3550769</v>
      </c>
      <c r="M9450">
        <v>3499354</v>
      </c>
      <c r="N9450">
        <v>3550769</v>
      </c>
      <c r="O9450">
        <v>3499354</v>
      </c>
      <c r="P9450">
        <v>3174562.63</v>
      </c>
      <c r="Q9450">
        <v>3117651.05</v>
      </c>
      <c r="R9450" s="14">
        <f>_xlfn.XLOOKUP(Table2[[#This Row],[LoanID]],Table1[G-L ID],Table1[ManagerCode],-99)</f>
        <v>103</v>
      </c>
      <c r="T9450"/>
    </row>
    <row r="9451" spans="1:20" x14ac:dyDescent="0.25">
      <c r="A9451">
        <v>20190831</v>
      </c>
      <c r="B9451">
        <v>2019</v>
      </c>
      <c r="C9451">
        <v>8</v>
      </c>
      <c r="D9451">
        <v>1</v>
      </c>
      <c r="E9451">
        <v>12450</v>
      </c>
      <c r="F9451">
        <v>73742.33</v>
      </c>
      <c r="G9451">
        <v>39068.269999999997</v>
      </c>
      <c r="H9451">
        <v>0</v>
      </c>
      <c r="I9451">
        <v>0</v>
      </c>
      <c r="J9451">
        <v>-87384.82</v>
      </c>
      <c r="K9451">
        <v>0</v>
      </c>
      <c r="L9451">
        <v>14384369.58</v>
      </c>
      <c r="M9451">
        <v>14510822.67</v>
      </c>
      <c r="N9451">
        <v>14384369.58</v>
      </c>
      <c r="O9451">
        <v>14510822.67</v>
      </c>
      <c r="P9451">
        <v>14384369.58</v>
      </c>
      <c r="Q9451">
        <v>14510822.67</v>
      </c>
      <c r="R9451" s="14">
        <f>_xlfn.XLOOKUP(Table2[[#This Row],[LoanID]],Table1[G-L ID],Table1[ManagerCode],-99)</f>
        <v>183</v>
      </c>
      <c r="T9451"/>
    </row>
    <row r="9452" spans="1:20" x14ac:dyDescent="0.25">
      <c r="A9452">
        <v>20190831</v>
      </c>
      <c r="B9452">
        <v>2019</v>
      </c>
      <c r="C9452">
        <v>8</v>
      </c>
      <c r="D9452">
        <v>1</v>
      </c>
      <c r="E9452">
        <v>12460</v>
      </c>
      <c r="F9452">
        <v>42250</v>
      </c>
      <c r="G9452">
        <v>51607.3</v>
      </c>
      <c r="H9452">
        <v>0</v>
      </c>
      <c r="I9452">
        <v>0</v>
      </c>
      <c r="J9452">
        <v>0</v>
      </c>
      <c r="K9452">
        <v>0</v>
      </c>
      <c r="L9452">
        <v>9385729.8000000007</v>
      </c>
      <c r="M9452">
        <v>9437337.0999999996</v>
      </c>
      <c r="N9452">
        <v>9385729.8000000007</v>
      </c>
      <c r="O9452">
        <v>9437337.0999999996</v>
      </c>
      <c r="P9452">
        <v>9385729.8000000007</v>
      </c>
      <c r="Q9452">
        <v>9437337.0999999996</v>
      </c>
      <c r="R9452" s="14">
        <f>_xlfn.XLOOKUP(Table2[[#This Row],[LoanID]],Table1[G-L ID],Table1[ManagerCode],-99)</f>
        <v>183</v>
      </c>
      <c r="T9452"/>
    </row>
    <row r="9453" spans="1:20" x14ac:dyDescent="0.25">
      <c r="A9453">
        <v>20190831</v>
      </c>
      <c r="B9453">
        <v>2019</v>
      </c>
      <c r="C9453">
        <v>8</v>
      </c>
      <c r="D9453">
        <v>1</v>
      </c>
      <c r="E9453">
        <v>12470</v>
      </c>
      <c r="F9453">
        <v>342904.23</v>
      </c>
      <c r="G9453">
        <v>0</v>
      </c>
      <c r="H9453">
        <v>0</v>
      </c>
      <c r="I9453">
        <v>0</v>
      </c>
      <c r="J9453">
        <v>0</v>
      </c>
      <c r="K9453">
        <v>0</v>
      </c>
      <c r="L9453">
        <v>115000000</v>
      </c>
      <c r="M9453">
        <v>115000000</v>
      </c>
      <c r="N9453">
        <v>46000000</v>
      </c>
      <c r="O9453">
        <v>46000000</v>
      </c>
      <c r="P9453">
        <v>115000000</v>
      </c>
      <c r="Q9453">
        <v>115000000</v>
      </c>
      <c r="R9453" s="14">
        <f>_xlfn.XLOOKUP(Table2[[#This Row],[LoanID]],Table1[G-L ID],Table1[ManagerCode],-99)</f>
        <v>183</v>
      </c>
      <c r="T9453"/>
    </row>
    <row r="9454" spans="1:20" x14ac:dyDescent="0.25">
      <c r="A9454">
        <v>20190831</v>
      </c>
      <c r="B9454">
        <v>2019</v>
      </c>
      <c r="C9454">
        <v>8</v>
      </c>
      <c r="D9454">
        <v>1</v>
      </c>
      <c r="E9454">
        <v>12490</v>
      </c>
      <c r="F9454">
        <v>134341.93</v>
      </c>
      <c r="G9454">
        <v>0</v>
      </c>
      <c r="H9454">
        <v>0</v>
      </c>
      <c r="I9454">
        <v>0</v>
      </c>
      <c r="J9454">
        <v>0</v>
      </c>
      <c r="K9454">
        <v>0</v>
      </c>
      <c r="L9454">
        <v>50200000</v>
      </c>
      <c r="M9454">
        <v>50200000</v>
      </c>
      <c r="N9454">
        <v>19600000</v>
      </c>
      <c r="O9454">
        <v>19600000</v>
      </c>
      <c r="P9454">
        <v>50200000</v>
      </c>
      <c r="Q9454">
        <v>50200000</v>
      </c>
      <c r="R9454" s="14">
        <f>_xlfn.XLOOKUP(Table2[[#This Row],[LoanID]],Table1[G-L ID],Table1[ManagerCode],-99)</f>
        <v>183</v>
      </c>
      <c r="T9454"/>
    </row>
    <row r="9455" spans="1:20" x14ac:dyDescent="0.25">
      <c r="A9455">
        <v>20190831</v>
      </c>
      <c r="B9455">
        <v>2019</v>
      </c>
      <c r="C9455">
        <v>8</v>
      </c>
      <c r="D9455">
        <v>1</v>
      </c>
      <c r="E9455">
        <v>12510</v>
      </c>
      <c r="F9455">
        <v>599357.61</v>
      </c>
      <c r="G9455">
        <v>0</v>
      </c>
      <c r="H9455">
        <v>328750</v>
      </c>
      <c r="I9455">
        <v>0</v>
      </c>
      <c r="J9455">
        <v>0</v>
      </c>
      <c r="K9455">
        <v>46025000</v>
      </c>
      <c r="L9455">
        <v>131500000</v>
      </c>
      <c r="M9455">
        <v>0</v>
      </c>
      <c r="N9455">
        <v>46025000</v>
      </c>
      <c r="O9455">
        <v>0</v>
      </c>
      <c r="P9455">
        <v>131500000</v>
      </c>
      <c r="Q9455">
        <v>0</v>
      </c>
      <c r="R9455" s="14">
        <f>_xlfn.XLOOKUP(Table2[[#This Row],[LoanID]],Table1[G-L ID],Table1[ManagerCode],-99)</f>
        <v>183</v>
      </c>
      <c r="T9455"/>
    </row>
    <row r="9456" spans="1:20" x14ac:dyDescent="0.25">
      <c r="A9456">
        <v>20190831</v>
      </c>
      <c r="B9456">
        <v>2019</v>
      </c>
      <c r="C9456">
        <v>8</v>
      </c>
      <c r="D9456">
        <v>1</v>
      </c>
      <c r="E9456">
        <v>12520</v>
      </c>
      <c r="F9456">
        <v>194115.5</v>
      </c>
      <c r="G9456">
        <v>0</v>
      </c>
      <c r="H9456">
        <v>0</v>
      </c>
      <c r="I9456">
        <v>0</v>
      </c>
      <c r="J9456">
        <v>0</v>
      </c>
      <c r="K9456">
        <v>0</v>
      </c>
      <c r="L9456">
        <v>47848878.210000001</v>
      </c>
      <c r="M9456">
        <v>47848878.210000001</v>
      </c>
      <c r="N9456">
        <v>23098878.210000001</v>
      </c>
      <c r="O9456">
        <v>23098878.210000001</v>
      </c>
      <c r="P9456">
        <v>47848878.210000001</v>
      </c>
      <c r="Q9456">
        <v>47848878.210000001</v>
      </c>
      <c r="R9456" s="14">
        <f>_xlfn.XLOOKUP(Table2[[#This Row],[LoanID]],Table1[G-L ID],Table1[ManagerCode],-99)</f>
        <v>183</v>
      </c>
      <c r="T9456"/>
    </row>
    <row r="9457" spans="1:20" x14ac:dyDescent="0.25">
      <c r="A9457">
        <v>20190831</v>
      </c>
      <c r="B9457">
        <v>2019</v>
      </c>
      <c r="C9457">
        <v>8</v>
      </c>
      <c r="D9457">
        <v>1</v>
      </c>
      <c r="E9457">
        <v>12650</v>
      </c>
      <c r="F9457">
        <v>383729.03</v>
      </c>
      <c r="G9457">
        <v>0</v>
      </c>
      <c r="H9457">
        <v>0</v>
      </c>
      <c r="I9457">
        <v>0</v>
      </c>
      <c r="J9457">
        <v>0</v>
      </c>
      <c r="K9457">
        <v>0</v>
      </c>
      <c r="L9457">
        <v>123200000</v>
      </c>
      <c r="M9457">
        <v>123200000</v>
      </c>
      <c r="N9457">
        <v>49280000</v>
      </c>
      <c r="O9457">
        <v>49280000</v>
      </c>
      <c r="P9457">
        <v>123200000</v>
      </c>
      <c r="Q9457">
        <v>123200000</v>
      </c>
      <c r="R9457" s="14">
        <f>_xlfn.XLOOKUP(Table2[[#This Row],[LoanID]],Table1[G-L ID],Table1[ManagerCode],-99)</f>
        <v>183</v>
      </c>
      <c r="T9457"/>
    </row>
    <row r="9458" spans="1:20" x14ac:dyDescent="0.25">
      <c r="A9458">
        <v>20190831</v>
      </c>
      <c r="B9458">
        <v>2019</v>
      </c>
      <c r="C9458">
        <v>8</v>
      </c>
      <c r="D9458">
        <v>1</v>
      </c>
      <c r="E9458">
        <v>12670</v>
      </c>
      <c r="F9458">
        <v>90015.4</v>
      </c>
      <c r="G9458">
        <v>0</v>
      </c>
      <c r="H9458">
        <v>0</v>
      </c>
      <c r="I9458">
        <v>0</v>
      </c>
      <c r="J9458">
        <v>0</v>
      </c>
      <c r="K9458">
        <v>0</v>
      </c>
      <c r="L9458">
        <v>15500000</v>
      </c>
      <c r="M9458">
        <v>15500000</v>
      </c>
      <c r="N9458">
        <v>15500000</v>
      </c>
      <c r="O9458">
        <v>15500000</v>
      </c>
      <c r="P9458">
        <v>15500000</v>
      </c>
      <c r="Q9458">
        <v>15500000</v>
      </c>
      <c r="R9458" s="14">
        <f>_xlfn.XLOOKUP(Table2[[#This Row],[LoanID]],Table1[G-L ID],Table1[ManagerCode],-99)</f>
        <v>183</v>
      </c>
      <c r="T9458"/>
    </row>
    <row r="9459" spans="1:20" x14ac:dyDescent="0.25">
      <c r="A9459">
        <v>20190831</v>
      </c>
      <c r="B9459">
        <v>2019</v>
      </c>
      <c r="C9459">
        <v>8</v>
      </c>
      <c r="D9459">
        <v>1</v>
      </c>
      <c r="E9459">
        <v>12720</v>
      </c>
      <c r="F9459">
        <v>552900.1</v>
      </c>
      <c r="G9459">
        <v>0</v>
      </c>
      <c r="H9459">
        <v>0</v>
      </c>
      <c r="I9459">
        <v>0</v>
      </c>
      <c r="J9459">
        <v>-556247.42000000004</v>
      </c>
      <c r="K9459">
        <v>0</v>
      </c>
      <c r="L9459">
        <v>195789604.09999999</v>
      </c>
      <c r="M9459">
        <v>196345851.5</v>
      </c>
      <c r="N9459">
        <v>93908604.099999994</v>
      </c>
      <c r="O9459">
        <v>94464851.5</v>
      </c>
      <c r="P9459">
        <v>195789604.09999999</v>
      </c>
      <c r="Q9459">
        <v>196345851.5</v>
      </c>
      <c r="R9459" s="14">
        <f>_xlfn.XLOOKUP(Table2[[#This Row],[LoanID]],Table1[G-L ID],Table1[ManagerCode],-99)</f>
        <v>183</v>
      </c>
      <c r="T9459"/>
    </row>
    <row r="9460" spans="1:20" x14ac:dyDescent="0.25">
      <c r="A9460">
        <v>20190831</v>
      </c>
      <c r="B9460">
        <v>2019</v>
      </c>
      <c r="C9460">
        <v>8</v>
      </c>
      <c r="D9460">
        <v>1</v>
      </c>
      <c r="E9460">
        <v>12730</v>
      </c>
      <c r="F9460">
        <v>82619.72</v>
      </c>
      <c r="G9460">
        <v>0</v>
      </c>
      <c r="H9460">
        <v>0</v>
      </c>
      <c r="I9460">
        <v>0</v>
      </c>
      <c r="J9460">
        <v>0</v>
      </c>
      <c r="K9460">
        <v>0</v>
      </c>
      <c r="L9460">
        <v>38460000</v>
      </c>
      <c r="M9460">
        <v>38460000</v>
      </c>
      <c r="N9460">
        <v>13460000</v>
      </c>
      <c r="O9460">
        <v>13460000</v>
      </c>
      <c r="P9460">
        <v>38460000</v>
      </c>
      <c r="Q9460">
        <v>38460000</v>
      </c>
      <c r="R9460" s="14">
        <f>_xlfn.XLOOKUP(Table2[[#This Row],[LoanID]],Table1[G-L ID],Table1[ManagerCode],-99)</f>
        <v>183</v>
      </c>
      <c r="T9460"/>
    </row>
    <row r="9461" spans="1:20" x14ac:dyDescent="0.25">
      <c r="A9461">
        <v>20190831</v>
      </c>
      <c r="B9461">
        <v>2019</v>
      </c>
      <c r="C9461">
        <v>8</v>
      </c>
      <c r="D9461">
        <v>1</v>
      </c>
      <c r="E9461">
        <v>12740</v>
      </c>
      <c r="F9461">
        <v>149028.81</v>
      </c>
      <c r="G9461">
        <v>74681.62</v>
      </c>
      <c r="H9461">
        <v>0</v>
      </c>
      <c r="I9461">
        <v>0</v>
      </c>
      <c r="J9461">
        <v>-1219503.71</v>
      </c>
      <c r="K9461">
        <v>0</v>
      </c>
      <c r="L9461">
        <v>29303929.219999999</v>
      </c>
      <c r="M9461">
        <v>30598114.550000001</v>
      </c>
      <c r="N9461">
        <v>29303929.219999999</v>
      </c>
      <c r="O9461">
        <v>30598114.550000001</v>
      </c>
      <c r="P9461">
        <v>29303929.219999999</v>
      </c>
      <c r="Q9461">
        <v>30598114.550000001</v>
      </c>
      <c r="R9461" s="14">
        <f>_xlfn.XLOOKUP(Table2[[#This Row],[LoanID]],Table1[G-L ID],Table1[ManagerCode],-99)</f>
        <v>183</v>
      </c>
      <c r="T9461"/>
    </row>
    <row r="9462" spans="1:20" x14ac:dyDescent="0.25">
      <c r="A9462">
        <v>20190831</v>
      </c>
      <c r="B9462">
        <v>2019</v>
      </c>
      <c r="C9462">
        <v>8</v>
      </c>
      <c r="D9462">
        <v>1</v>
      </c>
      <c r="E9462">
        <v>13000</v>
      </c>
      <c r="F9462">
        <v>165415.79</v>
      </c>
      <c r="G9462">
        <v>613406.43000000005</v>
      </c>
      <c r="H9462">
        <v>0</v>
      </c>
      <c r="I9462">
        <v>0</v>
      </c>
      <c r="J9462">
        <v>0</v>
      </c>
      <c r="K9462">
        <v>0</v>
      </c>
      <c r="L9462">
        <v>46185584</v>
      </c>
      <c r="M9462">
        <v>46481160</v>
      </c>
      <c r="N9462">
        <v>46185584</v>
      </c>
      <c r="O9462">
        <v>46481160</v>
      </c>
      <c r="P9462">
        <v>49080233.68</v>
      </c>
      <c r="Q9462">
        <v>49693640.109999999</v>
      </c>
      <c r="R9462" s="14">
        <f>_xlfn.XLOOKUP(Table2[[#This Row],[LoanID]],Table1[G-L ID],Table1[ManagerCode],-99)</f>
        <v>103</v>
      </c>
      <c r="T9462"/>
    </row>
    <row r="9463" spans="1:20" x14ac:dyDescent="0.25">
      <c r="A9463">
        <v>20190831</v>
      </c>
      <c r="B9463">
        <v>2019</v>
      </c>
      <c r="C9463">
        <v>8</v>
      </c>
      <c r="D9463">
        <v>1</v>
      </c>
      <c r="E9463">
        <v>13010</v>
      </c>
      <c r="F9463">
        <v>1050000</v>
      </c>
      <c r="G9463">
        <v>350000</v>
      </c>
      <c r="H9463">
        <v>0</v>
      </c>
      <c r="I9463">
        <v>0</v>
      </c>
      <c r="J9463">
        <v>0</v>
      </c>
      <c r="K9463">
        <v>0</v>
      </c>
      <c r="L9463">
        <v>199850200</v>
      </c>
      <c r="M9463">
        <v>200200200</v>
      </c>
      <c r="N9463">
        <v>199850200</v>
      </c>
      <c r="O9463">
        <v>200200200</v>
      </c>
      <c r="P9463">
        <v>210350000</v>
      </c>
      <c r="Q9463">
        <v>210700000</v>
      </c>
      <c r="R9463" s="14">
        <f>_xlfn.XLOOKUP(Table2[[#This Row],[LoanID]],Table1[G-L ID],Table1[ManagerCode],-99)</f>
        <v>103</v>
      </c>
      <c r="T9463"/>
    </row>
    <row r="9464" spans="1:20" x14ac:dyDescent="0.25">
      <c r="A9464">
        <v>20190831</v>
      </c>
      <c r="B9464">
        <v>2019</v>
      </c>
      <c r="C9464">
        <v>8</v>
      </c>
      <c r="D9464">
        <v>1</v>
      </c>
      <c r="E9464">
        <v>13030</v>
      </c>
      <c r="F9464">
        <v>300926.86</v>
      </c>
      <c r="G9464">
        <v>0</v>
      </c>
      <c r="H9464">
        <v>0</v>
      </c>
      <c r="I9464">
        <v>0</v>
      </c>
      <c r="J9464">
        <v>0</v>
      </c>
      <c r="K9464">
        <v>0</v>
      </c>
      <c r="L9464">
        <v>114000000</v>
      </c>
      <c r="M9464">
        <v>114000000</v>
      </c>
      <c r="N9464">
        <v>51276576</v>
      </c>
      <c r="O9464">
        <v>51276576</v>
      </c>
      <c r="P9464">
        <v>114000000</v>
      </c>
      <c r="Q9464">
        <v>114000000</v>
      </c>
      <c r="R9464" s="14">
        <f>_xlfn.XLOOKUP(Table2[[#This Row],[LoanID]],Table1[G-L ID],Table1[ManagerCode],-99)</f>
        <v>183</v>
      </c>
      <c r="T9464"/>
    </row>
    <row r="9465" spans="1:20" x14ac:dyDescent="0.25">
      <c r="A9465">
        <v>20190831</v>
      </c>
      <c r="B9465">
        <v>2019</v>
      </c>
      <c r="C9465">
        <v>8</v>
      </c>
      <c r="D9465">
        <v>1</v>
      </c>
      <c r="E9465">
        <v>13040</v>
      </c>
      <c r="F9465">
        <v>79687.360000000001</v>
      </c>
      <c r="G9465">
        <v>0</v>
      </c>
      <c r="H9465">
        <v>0</v>
      </c>
      <c r="I9465">
        <v>0</v>
      </c>
      <c r="J9465">
        <v>-162131.5</v>
      </c>
      <c r="K9465">
        <v>0</v>
      </c>
      <c r="L9465">
        <v>35165907.43</v>
      </c>
      <c r="M9465">
        <v>35328038.93</v>
      </c>
      <c r="N9465">
        <v>14993520.43</v>
      </c>
      <c r="O9465">
        <v>15155651.93</v>
      </c>
      <c r="P9465">
        <v>35165907.43</v>
      </c>
      <c r="Q9465">
        <v>35328038.93</v>
      </c>
      <c r="R9465" s="14">
        <f>_xlfn.XLOOKUP(Table2[[#This Row],[LoanID]],Table1[G-L ID],Table1[ManagerCode],-99)</f>
        <v>183</v>
      </c>
      <c r="T9465"/>
    </row>
    <row r="9466" spans="1:20" x14ac:dyDescent="0.25">
      <c r="A9466">
        <v>20190831</v>
      </c>
      <c r="B9466">
        <v>2019</v>
      </c>
      <c r="C9466">
        <v>8</v>
      </c>
      <c r="D9466">
        <v>1</v>
      </c>
      <c r="E9466">
        <v>13050</v>
      </c>
      <c r="F9466">
        <v>74874.789999999994</v>
      </c>
      <c r="G9466">
        <v>0</v>
      </c>
      <c r="H9466">
        <v>0</v>
      </c>
      <c r="I9466">
        <v>0</v>
      </c>
      <c r="J9466">
        <v>0</v>
      </c>
      <c r="K9466">
        <v>0</v>
      </c>
      <c r="L9466">
        <v>42575000</v>
      </c>
      <c r="M9466">
        <v>42575000</v>
      </c>
      <c r="N9466">
        <v>14901424</v>
      </c>
      <c r="O9466">
        <v>14901424</v>
      </c>
      <c r="P9466">
        <v>42575000</v>
      </c>
      <c r="Q9466">
        <v>42575000</v>
      </c>
      <c r="R9466" s="14">
        <f>_xlfn.XLOOKUP(Table2[[#This Row],[LoanID]],Table1[G-L ID],Table1[ManagerCode],-99)</f>
        <v>183</v>
      </c>
      <c r="T9466"/>
    </row>
    <row r="9467" spans="1:20" x14ac:dyDescent="0.25">
      <c r="A9467">
        <v>20190831</v>
      </c>
      <c r="B9467">
        <v>2019</v>
      </c>
      <c r="C9467">
        <v>8</v>
      </c>
      <c r="D9467">
        <v>1</v>
      </c>
      <c r="E9467">
        <v>13060</v>
      </c>
      <c r="F9467">
        <v>97343.38</v>
      </c>
      <c r="G9467">
        <v>0</v>
      </c>
      <c r="H9467">
        <v>0</v>
      </c>
      <c r="I9467">
        <v>0</v>
      </c>
      <c r="J9467">
        <v>0</v>
      </c>
      <c r="K9467">
        <v>647294.16</v>
      </c>
      <c r="L9467">
        <v>43809329.950000003</v>
      </c>
      <c r="M9467">
        <v>43809329.950000003</v>
      </c>
      <c r="N9467">
        <v>18207767.949999999</v>
      </c>
      <c r="O9467">
        <v>17560473.789999999</v>
      </c>
      <c r="P9467">
        <v>43809329.950000003</v>
      </c>
      <c r="Q9467">
        <v>43809329.950000003</v>
      </c>
      <c r="R9467" s="14">
        <f>_xlfn.XLOOKUP(Table2[[#This Row],[LoanID]],Table1[G-L ID],Table1[ManagerCode],-99)</f>
        <v>183</v>
      </c>
      <c r="T9467"/>
    </row>
    <row r="9468" spans="1:20" x14ac:dyDescent="0.25">
      <c r="A9468">
        <v>20190831</v>
      </c>
      <c r="B9468">
        <v>2019</v>
      </c>
      <c r="C9468">
        <v>8</v>
      </c>
      <c r="D9468">
        <v>1</v>
      </c>
      <c r="E9468">
        <v>13070</v>
      </c>
      <c r="F9468">
        <v>380426.12</v>
      </c>
      <c r="G9468">
        <v>0</v>
      </c>
      <c r="H9468">
        <v>0</v>
      </c>
      <c r="I9468">
        <v>0</v>
      </c>
      <c r="J9468">
        <v>-1603084</v>
      </c>
      <c r="K9468">
        <v>0</v>
      </c>
      <c r="L9468">
        <v>89933429</v>
      </c>
      <c r="M9468">
        <v>91536513</v>
      </c>
      <c r="N9468">
        <v>49933429</v>
      </c>
      <c r="O9468">
        <v>51536513</v>
      </c>
      <c r="P9468">
        <v>89933429</v>
      </c>
      <c r="Q9468">
        <v>91536513</v>
      </c>
      <c r="R9468" s="14">
        <f>_xlfn.XLOOKUP(Table2[[#This Row],[LoanID]],Table1[G-L ID],Table1[ManagerCode],-99)</f>
        <v>183</v>
      </c>
      <c r="T9468"/>
    </row>
    <row r="9469" spans="1:20" x14ac:dyDescent="0.25">
      <c r="A9469">
        <v>20190831</v>
      </c>
      <c r="B9469">
        <v>2019</v>
      </c>
      <c r="C9469">
        <v>8</v>
      </c>
      <c r="D9469">
        <v>1</v>
      </c>
      <c r="E9469">
        <v>13080</v>
      </c>
      <c r="F9469">
        <v>103639.72</v>
      </c>
      <c r="G9469">
        <v>0</v>
      </c>
      <c r="H9469">
        <v>0</v>
      </c>
      <c r="I9469">
        <v>0</v>
      </c>
      <c r="J9469">
        <v>0</v>
      </c>
      <c r="K9469">
        <v>0</v>
      </c>
      <c r="L9469">
        <v>43000000</v>
      </c>
      <c r="M9469">
        <v>43000000</v>
      </c>
      <c r="N9469">
        <v>21500000</v>
      </c>
      <c r="O9469">
        <v>21500000</v>
      </c>
      <c r="P9469">
        <v>43000000</v>
      </c>
      <c r="Q9469">
        <v>43000000</v>
      </c>
      <c r="R9469" s="14">
        <f>_xlfn.XLOOKUP(Table2[[#This Row],[LoanID]],Table1[G-L ID],Table1[ManagerCode],-99)</f>
        <v>183</v>
      </c>
      <c r="T9469"/>
    </row>
    <row r="9470" spans="1:20" x14ac:dyDescent="0.25">
      <c r="A9470">
        <v>20190831</v>
      </c>
      <c r="B9470">
        <v>2019</v>
      </c>
      <c r="C9470">
        <v>8</v>
      </c>
      <c r="D9470">
        <v>1</v>
      </c>
      <c r="E9470">
        <v>13090</v>
      </c>
      <c r="F9470">
        <v>111634.44</v>
      </c>
      <c r="G9470">
        <v>0</v>
      </c>
      <c r="H9470">
        <v>0</v>
      </c>
      <c r="I9470">
        <v>0</v>
      </c>
      <c r="J9470">
        <v>0</v>
      </c>
      <c r="K9470">
        <v>0</v>
      </c>
      <c r="L9470">
        <v>20000000</v>
      </c>
      <c r="M9470">
        <v>20000000</v>
      </c>
      <c r="N9470">
        <v>20000000</v>
      </c>
      <c r="O9470">
        <v>20000000</v>
      </c>
      <c r="P9470">
        <v>20000000</v>
      </c>
      <c r="Q9470">
        <v>20000000</v>
      </c>
      <c r="R9470" s="14">
        <f>_xlfn.XLOOKUP(Table2[[#This Row],[LoanID]],Table1[G-L ID],Table1[ManagerCode],-99)</f>
        <v>183</v>
      </c>
      <c r="T9470"/>
    </row>
    <row r="9471" spans="1:20" x14ac:dyDescent="0.25">
      <c r="A9471">
        <v>20190831</v>
      </c>
      <c r="B9471">
        <v>2019</v>
      </c>
      <c r="C9471">
        <v>8</v>
      </c>
      <c r="D9471">
        <v>1</v>
      </c>
      <c r="E9471">
        <v>13100</v>
      </c>
      <c r="F9471">
        <v>108072.09</v>
      </c>
      <c r="G9471">
        <v>0</v>
      </c>
      <c r="H9471">
        <v>0</v>
      </c>
      <c r="I9471">
        <v>0</v>
      </c>
      <c r="J9471">
        <v>858806.37</v>
      </c>
      <c r="K9471">
        <v>331767.24</v>
      </c>
      <c r="L9471">
        <v>31810865.620000001</v>
      </c>
      <c r="M9471">
        <v>30952059.25</v>
      </c>
      <c r="N9471">
        <v>14383167.529999999</v>
      </c>
      <c r="O9471">
        <v>13192593.92</v>
      </c>
      <c r="P9471">
        <v>31810865.620000001</v>
      </c>
      <c r="Q9471">
        <v>30952059.25</v>
      </c>
      <c r="R9471" s="14">
        <f>_xlfn.XLOOKUP(Table2[[#This Row],[LoanID]],Table1[G-L ID],Table1[ManagerCode],-99)</f>
        <v>183</v>
      </c>
      <c r="T9471"/>
    </row>
    <row r="9472" spans="1:20" x14ac:dyDescent="0.25">
      <c r="A9472">
        <v>20190831</v>
      </c>
      <c r="B9472">
        <v>2019</v>
      </c>
      <c r="C9472">
        <v>8</v>
      </c>
      <c r="D9472">
        <v>1</v>
      </c>
      <c r="E9472">
        <v>13110</v>
      </c>
      <c r="F9472">
        <v>94851.68</v>
      </c>
      <c r="G9472">
        <v>0</v>
      </c>
      <c r="H9472">
        <v>0</v>
      </c>
      <c r="I9472">
        <v>0</v>
      </c>
      <c r="J9472">
        <v>0</v>
      </c>
      <c r="K9472">
        <v>0</v>
      </c>
      <c r="L9472">
        <v>44515210.130000003</v>
      </c>
      <c r="M9472">
        <v>44515210.130000003</v>
      </c>
      <c r="N9472">
        <v>18238960.129999999</v>
      </c>
      <c r="O9472">
        <v>18238960.129999999</v>
      </c>
      <c r="P9472">
        <v>44515210.130000003</v>
      </c>
      <c r="Q9472">
        <v>44515210.130000003</v>
      </c>
      <c r="R9472" s="14">
        <f>_xlfn.XLOOKUP(Table2[[#This Row],[LoanID]],Table1[G-L ID],Table1[ManagerCode],-99)</f>
        <v>183</v>
      </c>
      <c r="T9472"/>
    </row>
    <row r="9473" spans="1:20" x14ac:dyDescent="0.25">
      <c r="A9473">
        <v>20190831</v>
      </c>
      <c r="B9473">
        <v>2019</v>
      </c>
      <c r="C9473">
        <v>8</v>
      </c>
      <c r="D9473">
        <v>1</v>
      </c>
      <c r="E9473">
        <v>13120</v>
      </c>
      <c r="F9473">
        <v>56789.5</v>
      </c>
      <c r="G9473">
        <v>0</v>
      </c>
      <c r="H9473">
        <v>0</v>
      </c>
      <c r="I9473">
        <v>0</v>
      </c>
      <c r="J9473">
        <v>0</v>
      </c>
      <c r="K9473">
        <v>0</v>
      </c>
      <c r="L9473">
        <v>27360000</v>
      </c>
      <c r="M9473">
        <v>27360000</v>
      </c>
      <c r="N9473">
        <v>9576000</v>
      </c>
      <c r="O9473">
        <v>9576000</v>
      </c>
      <c r="P9473">
        <v>27360000</v>
      </c>
      <c r="Q9473">
        <v>27360000</v>
      </c>
      <c r="R9473" s="14">
        <f>_xlfn.XLOOKUP(Table2[[#This Row],[LoanID]],Table1[G-L ID],Table1[ManagerCode],-99)</f>
        <v>183</v>
      </c>
      <c r="T9473"/>
    </row>
    <row r="9474" spans="1:20" x14ac:dyDescent="0.25">
      <c r="A9474">
        <v>20190831</v>
      </c>
      <c r="B9474">
        <v>2019</v>
      </c>
      <c r="C9474">
        <v>8</v>
      </c>
      <c r="D9474">
        <v>1</v>
      </c>
      <c r="E9474">
        <v>13130</v>
      </c>
      <c r="F9474">
        <v>419059.17</v>
      </c>
      <c r="G9474">
        <v>0</v>
      </c>
      <c r="H9474">
        <v>0</v>
      </c>
      <c r="I9474">
        <v>0</v>
      </c>
      <c r="J9474">
        <v>0</v>
      </c>
      <c r="K9474">
        <v>0</v>
      </c>
      <c r="L9474">
        <v>190400000</v>
      </c>
      <c r="M9474">
        <v>190400000</v>
      </c>
      <c r="N9474">
        <v>90400000</v>
      </c>
      <c r="O9474">
        <v>90400000</v>
      </c>
      <c r="P9474">
        <v>190400000</v>
      </c>
      <c r="Q9474">
        <v>190400000</v>
      </c>
      <c r="R9474" s="14">
        <f>_xlfn.XLOOKUP(Table2[[#This Row],[LoanID]],Table1[G-L ID],Table1[ManagerCode],-99)</f>
        <v>183</v>
      </c>
      <c r="T9474"/>
    </row>
    <row r="9475" spans="1:20" x14ac:dyDescent="0.25">
      <c r="A9475">
        <v>20190831</v>
      </c>
      <c r="B9475">
        <v>2019</v>
      </c>
      <c r="C9475">
        <v>8</v>
      </c>
      <c r="D9475">
        <v>1</v>
      </c>
      <c r="E9475">
        <v>13140</v>
      </c>
      <c r="F9475">
        <v>251407.18</v>
      </c>
      <c r="G9475">
        <v>0</v>
      </c>
      <c r="H9475">
        <v>0</v>
      </c>
      <c r="I9475">
        <v>0</v>
      </c>
      <c r="J9475">
        <v>0</v>
      </c>
      <c r="K9475">
        <v>0</v>
      </c>
      <c r="L9475">
        <v>131025567.09999999</v>
      </c>
      <c r="M9475">
        <v>131025567.09999999</v>
      </c>
      <c r="N9475">
        <v>46043440</v>
      </c>
      <c r="O9475">
        <v>46043440</v>
      </c>
      <c r="P9475">
        <v>131025567.09999999</v>
      </c>
      <c r="Q9475">
        <v>131025567.09999999</v>
      </c>
      <c r="R9475" s="14">
        <f>_xlfn.XLOOKUP(Table2[[#This Row],[LoanID]],Table1[G-L ID],Table1[ManagerCode],-99)</f>
        <v>183</v>
      </c>
      <c r="T9475"/>
    </row>
    <row r="9476" spans="1:20" x14ac:dyDescent="0.25">
      <c r="A9476">
        <v>20190831</v>
      </c>
      <c r="B9476">
        <v>2019</v>
      </c>
      <c r="C9476">
        <v>8</v>
      </c>
      <c r="D9476">
        <v>1</v>
      </c>
      <c r="E9476">
        <v>13150</v>
      </c>
      <c r="F9476">
        <v>168053.68</v>
      </c>
      <c r="G9476">
        <v>0</v>
      </c>
      <c r="H9476">
        <v>0</v>
      </c>
      <c r="I9476">
        <v>0</v>
      </c>
      <c r="J9476">
        <v>-452408.47</v>
      </c>
      <c r="K9476">
        <v>0</v>
      </c>
      <c r="L9476">
        <v>85852604.560000002</v>
      </c>
      <c r="M9476">
        <v>86305013.030000001</v>
      </c>
      <c r="N9476">
        <v>30225604.559999999</v>
      </c>
      <c r="O9476">
        <v>30678013.030000001</v>
      </c>
      <c r="P9476">
        <v>85852604.560000002</v>
      </c>
      <c r="Q9476">
        <v>86305013.030000001</v>
      </c>
      <c r="R9476" s="14">
        <f>_xlfn.XLOOKUP(Table2[[#This Row],[LoanID]],Table1[G-L ID],Table1[ManagerCode],-99)</f>
        <v>183</v>
      </c>
      <c r="T9476"/>
    </row>
    <row r="9477" spans="1:20" x14ac:dyDescent="0.25">
      <c r="A9477">
        <v>20190831</v>
      </c>
      <c r="B9477">
        <v>2019</v>
      </c>
      <c r="C9477">
        <v>8</v>
      </c>
      <c r="D9477">
        <v>1</v>
      </c>
      <c r="E9477">
        <v>13160</v>
      </c>
      <c r="F9477">
        <v>104465.13</v>
      </c>
      <c r="G9477">
        <v>0</v>
      </c>
      <c r="H9477">
        <v>0</v>
      </c>
      <c r="I9477">
        <v>0</v>
      </c>
      <c r="J9477">
        <v>0</v>
      </c>
      <c r="K9477">
        <v>0</v>
      </c>
      <c r="L9477">
        <v>41900000</v>
      </c>
      <c r="M9477">
        <v>41900000</v>
      </c>
      <c r="N9477">
        <v>21854858</v>
      </c>
      <c r="O9477">
        <v>21854858</v>
      </c>
      <c r="P9477">
        <v>41900000</v>
      </c>
      <c r="Q9477">
        <v>41900000</v>
      </c>
      <c r="R9477" s="14">
        <f>_xlfn.XLOOKUP(Table2[[#This Row],[LoanID]],Table1[G-L ID],Table1[ManagerCode],-99)</f>
        <v>183</v>
      </c>
      <c r="T9477"/>
    </row>
    <row r="9478" spans="1:20" x14ac:dyDescent="0.25">
      <c r="A9478">
        <v>20190831</v>
      </c>
      <c r="B9478">
        <v>2019</v>
      </c>
      <c r="C9478">
        <v>8</v>
      </c>
      <c r="D9478">
        <v>1</v>
      </c>
      <c r="E9478">
        <v>13170</v>
      </c>
      <c r="F9478">
        <v>102684.57</v>
      </c>
      <c r="G9478">
        <v>0</v>
      </c>
      <c r="H9478">
        <v>0</v>
      </c>
      <c r="I9478">
        <v>0</v>
      </c>
      <c r="J9478">
        <v>0</v>
      </c>
      <c r="K9478">
        <v>0</v>
      </c>
      <c r="L9478">
        <v>50400000</v>
      </c>
      <c r="M9478">
        <v>50400000</v>
      </c>
      <c r="N9478">
        <v>17600000</v>
      </c>
      <c r="O9478">
        <v>17600000</v>
      </c>
      <c r="P9478">
        <v>50400000</v>
      </c>
      <c r="Q9478">
        <v>50400000</v>
      </c>
      <c r="R9478" s="14">
        <f>_xlfn.XLOOKUP(Table2[[#This Row],[LoanID]],Table1[G-L ID],Table1[ManagerCode],-99)</f>
        <v>183</v>
      </c>
      <c r="T9478"/>
    </row>
    <row r="9479" spans="1:20" x14ac:dyDescent="0.25">
      <c r="A9479">
        <v>20190831</v>
      </c>
      <c r="B9479">
        <v>2019</v>
      </c>
      <c r="C9479">
        <v>8</v>
      </c>
      <c r="D9479">
        <v>1</v>
      </c>
      <c r="E9479">
        <v>13180</v>
      </c>
      <c r="F9479">
        <v>84458.63</v>
      </c>
      <c r="G9479">
        <v>0</v>
      </c>
      <c r="H9479">
        <v>0</v>
      </c>
      <c r="I9479">
        <v>0</v>
      </c>
      <c r="J9479">
        <v>0</v>
      </c>
      <c r="K9479">
        <v>0</v>
      </c>
      <c r="L9479">
        <v>39780000</v>
      </c>
      <c r="M9479">
        <v>39780000</v>
      </c>
      <c r="N9479">
        <v>15930000</v>
      </c>
      <c r="O9479">
        <v>15930000</v>
      </c>
      <c r="P9479">
        <v>39780000</v>
      </c>
      <c r="Q9479">
        <v>39780000</v>
      </c>
      <c r="R9479" s="14">
        <f>_xlfn.XLOOKUP(Table2[[#This Row],[LoanID]],Table1[G-L ID],Table1[ManagerCode],-99)</f>
        <v>183</v>
      </c>
      <c r="T9479"/>
    </row>
    <row r="9480" spans="1:20" x14ac:dyDescent="0.25">
      <c r="A9480">
        <v>20190831</v>
      </c>
      <c r="B9480">
        <v>2019</v>
      </c>
      <c r="C9480">
        <v>8</v>
      </c>
      <c r="D9480">
        <v>1</v>
      </c>
      <c r="E9480">
        <v>13190</v>
      </c>
      <c r="F9480">
        <v>64920.73</v>
      </c>
      <c r="G9480">
        <v>53904.28</v>
      </c>
      <c r="H9480">
        <v>0</v>
      </c>
      <c r="I9480">
        <v>0</v>
      </c>
      <c r="J9480">
        <v>-56630.11</v>
      </c>
      <c r="K9480">
        <v>0</v>
      </c>
      <c r="L9480">
        <v>12630563.119999999</v>
      </c>
      <c r="M9480">
        <v>12741097.51</v>
      </c>
      <c r="N9480">
        <v>12630563.119999999</v>
      </c>
      <c r="O9480">
        <v>12741097.51</v>
      </c>
      <c r="P9480">
        <v>12630563.119999999</v>
      </c>
      <c r="Q9480">
        <v>12741097.51</v>
      </c>
      <c r="R9480" s="14">
        <f>_xlfn.XLOOKUP(Table2[[#This Row],[LoanID]],Table1[G-L ID],Table1[ManagerCode],-99)</f>
        <v>183</v>
      </c>
      <c r="T9480"/>
    </row>
    <row r="9481" spans="1:20" x14ac:dyDescent="0.25">
      <c r="A9481">
        <v>20190831</v>
      </c>
      <c r="B9481">
        <v>2019</v>
      </c>
      <c r="C9481">
        <v>8</v>
      </c>
      <c r="D9481">
        <v>1</v>
      </c>
      <c r="E9481">
        <v>13200</v>
      </c>
      <c r="F9481">
        <v>59751.02</v>
      </c>
      <c r="G9481">
        <v>61904.03</v>
      </c>
      <c r="H9481">
        <v>0</v>
      </c>
      <c r="I9481">
        <v>0</v>
      </c>
      <c r="J9481">
        <v>-3803984.29</v>
      </c>
      <c r="K9481">
        <v>0</v>
      </c>
      <c r="L9481">
        <v>9700872.0299999993</v>
      </c>
      <c r="M9481">
        <v>13566760.35</v>
      </c>
      <c r="N9481">
        <v>9700872.0299999993</v>
      </c>
      <c r="O9481">
        <v>13566760.35</v>
      </c>
      <c r="P9481">
        <v>9700872.0299999993</v>
      </c>
      <c r="Q9481">
        <v>13566760.35</v>
      </c>
      <c r="R9481" s="14">
        <f>_xlfn.XLOOKUP(Table2[[#This Row],[LoanID]],Table1[G-L ID],Table1[ManagerCode],-99)</f>
        <v>183</v>
      </c>
      <c r="T9481"/>
    </row>
    <row r="9482" spans="1:20" x14ac:dyDescent="0.25">
      <c r="A9482">
        <v>20190831</v>
      </c>
      <c r="B9482">
        <v>2019</v>
      </c>
      <c r="C9482">
        <v>8</v>
      </c>
      <c r="D9482">
        <v>1</v>
      </c>
      <c r="E9482">
        <v>13210</v>
      </c>
      <c r="F9482">
        <v>0</v>
      </c>
      <c r="G9482">
        <v>95029.27</v>
      </c>
      <c r="H9482">
        <v>0</v>
      </c>
      <c r="I9482">
        <v>0</v>
      </c>
      <c r="J9482">
        <v>-6001915.5199999996</v>
      </c>
      <c r="K9482">
        <v>0</v>
      </c>
      <c r="L9482">
        <v>7959647.7699999996</v>
      </c>
      <c r="M9482">
        <v>14056592.560000001</v>
      </c>
      <c r="N9482">
        <v>7959647.7699999996</v>
      </c>
      <c r="O9482">
        <v>14056592.560000001</v>
      </c>
      <c r="P9482">
        <v>7959647.7699999996</v>
      </c>
      <c r="Q9482">
        <v>14056592.560000001</v>
      </c>
      <c r="R9482" s="14">
        <f>_xlfn.XLOOKUP(Table2[[#This Row],[LoanID]],Table1[G-L ID],Table1[ManagerCode],-99)</f>
        <v>183</v>
      </c>
      <c r="T9482"/>
    </row>
    <row r="9483" spans="1:20" x14ac:dyDescent="0.25">
      <c r="A9483">
        <v>20190831</v>
      </c>
      <c r="B9483">
        <v>2019</v>
      </c>
      <c r="C9483">
        <v>8</v>
      </c>
      <c r="D9483">
        <v>1</v>
      </c>
      <c r="E9483">
        <v>13220</v>
      </c>
      <c r="F9483">
        <v>71187.5</v>
      </c>
      <c r="G9483">
        <v>-40.26</v>
      </c>
      <c r="H9483">
        <v>0</v>
      </c>
      <c r="I9483">
        <v>0</v>
      </c>
      <c r="J9483">
        <v>0</v>
      </c>
      <c r="K9483">
        <v>5166.25</v>
      </c>
      <c r="L9483">
        <v>9299265</v>
      </c>
      <c r="M9483">
        <v>9294058.4900000002</v>
      </c>
      <c r="N9483">
        <v>9299265</v>
      </c>
      <c r="O9483">
        <v>9294058.4900000002</v>
      </c>
      <c r="P9483">
        <v>9207550.9299999997</v>
      </c>
      <c r="Q9483">
        <v>9202344.4199999999</v>
      </c>
      <c r="R9483" s="14">
        <f>_xlfn.XLOOKUP(Table2[[#This Row],[LoanID]],Table1[G-L ID],Table1[ManagerCode],-99)</f>
        <v>219</v>
      </c>
      <c r="T9483"/>
    </row>
    <row r="9484" spans="1:20" x14ac:dyDescent="0.25">
      <c r="A9484">
        <v>20190831</v>
      </c>
      <c r="B9484">
        <v>2019</v>
      </c>
      <c r="C9484">
        <v>8</v>
      </c>
      <c r="D9484">
        <v>1</v>
      </c>
      <c r="E9484">
        <v>13230</v>
      </c>
      <c r="F9484">
        <v>43875</v>
      </c>
      <c r="G9484">
        <v>0</v>
      </c>
      <c r="H9484">
        <v>0</v>
      </c>
      <c r="I9484">
        <v>0</v>
      </c>
      <c r="J9484">
        <v>0</v>
      </c>
      <c r="K9484">
        <v>0</v>
      </c>
      <c r="L9484">
        <v>6543875</v>
      </c>
      <c r="M9484">
        <v>6543875</v>
      </c>
      <c r="N9484">
        <v>6543875</v>
      </c>
      <c r="O9484">
        <v>6543875</v>
      </c>
      <c r="P9484">
        <v>6543875</v>
      </c>
      <c r="Q9484">
        <v>6543875</v>
      </c>
      <c r="R9484" s="14">
        <f>_xlfn.XLOOKUP(Table2[[#This Row],[LoanID]],Table1[G-L ID],Table1[ManagerCode],-99)</f>
        <v>219</v>
      </c>
      <c r="T9484"/>
    </row>
    <row r="9485" spans="1:20" x14ac:dyDescent="0.25">
      <c r="A9485">
        <v>20190831</v>
      </c>
      <c r="B9485">
        <v>2019</v>
      </c>
      <c r="C9485">
        <v>8</v>
      </c>
      <c r="D9485">
        <v>1</v>
      </c>
      <c r="E9485">
        <v>13240</v>
      </c>
      <c r="F9485">
        <v>76389.3</v>
      </c>
      <c r="G9485">
        <v>-1113.55</v>
      </c>
      <c r="H9485">
        <v>0</v>
      </c>
      <c r="I9485">
        <v>0</v>
      </c>
      <c r="J9485">
        <v>0</v>
      </c>
      <c r="K9485">
        <v>0</v>
      </c>
      <c r="L9485">
        <v>7816992.6200000001</v>
      </c>
      <c r="M9485">
        <v>7815879.0700000003</v>
      </c>
      <c r="N9485">
        <v>7816992.6200000001</v>
      </c>
      <c r="O9485">
        <v>7815879.0700000003</v>
      </c>
      <c r="P9485">
        <v>7816992.6200000001</v>
      </c>
      <c r="Q9485">
        <v>7815879.0700000003</v>
      </c>
      <c r="R9485" s="14">
        <f>_xlfn.XLOOKUP(Table2[[#This Row],[LoanID]],Table1[G-L ID],Table1[ManagerCode],-99)</f>
        <v>219</v>
      </c>
      <c r="T9485"/>
    </row>
    <row r="9486" spans="1:20" x14ac:dyDescent="0.25">
      <c r="A9486">
        <v>20190831</v>
      </c>
      <c r="B9486">
        <v>2019</v>
      </c>
      <c r="C9486">
        <v>8</v>
      </c>
      <c r="D9486">
        <v>1</v>
      </c>
      <c r="E9486">
        <v>13260</v>
      </c>
      <c r="F9486">
        <v>186430.56</v>
      </c>
      <c r="G9486">
        <v>-1218.33</v>
      </c>
      <c r="H9486">
        <v>0</v>
      </c>
      <c r="I9486">
        <v>0</v>
      </c>
      <c r="J9486">
        <v>0</v>
      </c>
      <c r="K9486">
        <v>0</v>
      </c>
      <c r="L9486">
        <v>20102236.109999999</v>
      </c>
      <c r="M9486">
        <v>20101017.780000001</v>
      </c>
      <c r="N9486">
        <v>20102236.109999999</v>
      </c>
      <c r="O9486">
        <v>20101017.780000001</v>
      </c>
      <c r="P9486">
        <v>20102236.109999999</v>
      </c>
      <c r="Q9486">
        <v>20101017.780000001</v>
      </c>
      <c r="R9486" s="14">
        <f>_xlfn.XLOOKUP(Table2[[#This Row],[LoanID]],Table1[G-L ID],Table1[ManagerCode],-99)</f>
        <v>219</v>
      </c>
      <c r="T9486"/>
    </row>
    <row r="9487" spans="1:20" x14ac:dyDescent="0.25">
      <c r="A9487">
        <v>20190831</v>
      </c>
      <c r="B9487">
        <v>2019</v>
      </c>
      <c r="C9487">
        <v>8</v>
      </c>
      <c r="D9487">
        <v>1</v>
      </c>
      <c r="E9487">
        <v>13270</v>
      </c>
      <c r="F9487">
        <v>158638.19</v>
      </c>
      <c r="G9487">
        <v>-2450</v>
      </c>
      <c r="H9487">
        <v>0</v>
      </c>
      <c r="I9487">
        <v>0</v>
      </c>
      <c r="J9487">
        <v>0</v>
      </c>
      <c r="K9487">
        <v>0</v>
      </c>
      <c r="L9487">
        <v>25107464.579999998</v>
      </c>
      <c r="M9487">
        <v>25105014.579999998</v>
      </c>
      <c r="N9487">
        <v>25107464.579999998</v>
      </c>
      <c r="O9487">
        <v>25105014.579999998</v>
      </c>
      <c r="P9487">
        <v>25107464.579999998</v>
      </c>
      <c r="Q9487">
        <v>25105014.579999998</v>
      </c>
      <c r="R9487" s="14">
        <f>_xlfn.XLOOKUP(Table2[[#This Row],[LoanID]],Table1[G-L ID],Table1[ManagerCode],-99)</f>
        <v>219</v>
      </c>
      <c r="T9487"/>
    </row>
    <row r="9488" spans="1:20" x14ac:dyDescent="0.25">
      <c r="A9488">
        <v>20190831</v>
      </c>
      <c r="B9488">
        <v>2019</v>
      </c>
      <c r="C9488">
        <v>8</v>
      </c>
      <c r="D9488">
        <v>1</v>
      </c>
      <c r="E9488">
        <v>13300</v>
      </c>
      <c r="F9488">
        <v>215277.78</v>
      </c>
      <c r="G9488">
        <v>0</v>
      </c>
      <c r="H9488">
        <v>0</v>
      </c>
      <c r="I9488">
        <v>0</v>
      </c>
      <c r="J9488">
        <v>0</v>
      </c>
      <c r="K9488">
        <v>0</v>
      </c>
      <c r="L9488">
        <v>25215277.780000001</v>
      </c>
      <c r="M9488">
        <v>25215277.780000001</v>
      </c>
      <c r="N9488">
        <v>25215277.780000001</v>
      </c>
      <c r="O9488">
        <v>25215277.780000001</v>
      </c>
      <c r="P9488">
        <v>25215277.780000001</v>
      </c>
      <c r="Q9488">
        <v>25215277.780000001</v>
      </c>
      <c r="R9488" s="14">
        <f>_xlfn.XLOOKUP(Table2[[#This Row],[LoanID]],Table1[G-L ID],Table1[ManagerCode],-99)</f>
        <v>219</v>
      </c>
      <c r="T9488"/>
    </row>
    <row r="9489" spans="1:20" x14ac:dyDescent="0.25">
      <c r="A9489">
        <v>20190831</v>
      </c>
      <c r="B9489">
        <v>2019</v>
      </c>
      <c r="C9489">
        <v>8</v>
      </c>
      <c r="D9489">
        <v>1</v>
      </c>
      <c r="E9489">
        <v>13370</v>
      </c>
      <c r="F9489">
        <v>183762.57</v>
      </c>
      <c r="G9489">
        <v>0</v>
      </c>
      <c r="H9489">
        <v>0</v>
      </c>
      <c r="I9489">
        <v>0</v>
      </c>
      <c r="J9489">
        <v>-91236.91</v>
      </c>
      <c r="K9489">
        <v>0</v>
      </c>
      <c r="L9489">
        <v>42666214.469999999</v>
      </c>
      <c r="M9489">
        <v>42757451.380000003</v>
      </c>
      <c r="N9489">
        <v>42666214.469999999</v>
      </c>
      <c r="O9489">
        <v>42757451.380000003</v>
      </c>
      <c r="P9489">
        <v>42666214.469999999</v>
      </c>
      <c r="Q9489">
        <v>42757451.380000003</v>
      </c>
      <c r="R9489" s="14">
        <f>_xlfn.XLOOKUP(Table2[[#This Row],[LoanID]],Table1[G-L ID],Table1[ManagerCode],-99)</f>
        <v>183</v>
      </c>
      <c r="T9489"/>
    </row>
    <row r="9490" spans="1:20" x14ac:dyDescent="0.25">
      <c r="A9490">
        <v>20190831</v>
      </c>
      <c r="B9490">
        <v>2019</v>
      </c>
      <c r="C9490">
        <v>8</v>
      </c>
      <c r="D9490">
        <v>1</v>
      </c>
      <c r="E9490">
        <v>13380</v>
      </c>
      <c r="F9490">
        <v>55980.75</v>
      </c>
      <c r="G9490">
        <v>0</v>
      </c>
      <c r="H9490">
        <v>0</v>
      </c>
      <c r="I9490">
        <v>0</v>
      </c>
      <c r="J9490">
        <v>0</v>
      </c>
      <c r="K9490">
        <v>0</v>
      </c>
      <c r="L9490">
        <v>32000000</v>
      </c>
      <c r="M9490">
        <v>32000000</v>
      </c>
      <c r="N9490">
        <v>11200000</v>
      </c>
      <c r="O9490">
        <v>11200000</v>
      </c>
      <c r="P9490">
        <v>32000000</v>
      </c>
      <c r="Q9490">
        <v>32000000</v>
      </c>
      <c r="R9490" s="14">
        <f>_xlfn.XLOOKUP(Table2[[#This Row],[LoanID]],Table1[G-L ID],Table1[ManagerCode],-99)</f>
        <v>183</v>
      </c>
      <c r="T9490"/>
    </row>
    <row r="9491" spans="1:20" x14ac:dyDescent="0.25">
      <c r="A9491">
        <v>20190831</v>
      </c>
      <c r="B9491">
        <v>2019</v>
      </c>
      <c r="C9491">
        <v>8</v>
      </c>
      <c r="D9491">
        <v>1</v>
      </c>
      <c r="E9491">
        <v>13390</v>
      </c>
      <c r="F9491">
        <v>135863</v>
      </c>
      <c r="G9491">
        <v>0</v>
      </c>
      <c r="H9491">
        <v>0</v>
      </c>
      <c r="I9491">
        <v>0</v>
      </c>
      <c r="J9491">
        <v>0</v>
      </c>
      <c r="K9491">
        <v>0</v>
      </c>
      <c r="L9491">
        <v>48343461.420000002</v>
      </c>
      <c r="M9491">
        <v>48343461.420000002</v>
      </c>
      <c r="N9491">
        <v>19427384.420000002</v>
      </c>
      <c r="O9491">
        <v>19427384.420000002</v>
      </c>
      <c r="P9491">
        <v>48343461.420000002</v>
      </c>
      <c r="Q9491">
        <v>48343461.420000002</v>
      </c>
      <c r="R9491" s="14">
        <f>_xlfn.XLOOKUP(Table2[[#This Row],[LoanID]],Table1[G-L ID],Table1[ManagerCode],-99)</f>
        <v>183</v>
      </c>
      <c r="T9491"/>
    </row>
    <row r="9492" spans="1:20" x14ac:dyDescent="0.25">
      <c r="A9492">
        <v>20190831</v>
      </c>
      <c r="B9492">
        <v>2019</v>
      </c>
      <c r="C9492">
        <v>8</v>
      </c>
      <c r="D9492">
        <v>1</v>
      </c>
      <c r="E9492">
        <v>13400</v>
      </c>
      <c r="F9492">
        <v>64288.74</v>
      </c>
      <c r="G9492">
        <v>0</v>
      </c>
      <c r="H9492">
        <v>0</v>
      </c>
      <c r="I9492">
        <v>0</v>
      </c>
      <c r="J9492">
        <v>0</v>
      </c>
      <c r="K9492">
        <v>0</v>
      </c>
      <c r="L9492">
        <v>31750000</v>
      </c>
      <c r="M9492">
        <v>31750000</v>
      </c>
      <c r="N9492">
        <v>11112500</v>
      </c>
      <c r="O9492">
        <v>11112500</v>
      </c>
      <c r="P9492">
        <v>31750000</v>
      </c>
      <c r="Q9492">
        <v>31750000</v>
      </c>
      <c r="R9492" s="14">
        <f>_xlfn.XLOOKUP(Table2[[#This Row],[LoanID]],Table1[G-L ID],Table1[ManagerCode],-99)</f>
        <v>183</v>
      </c>
      <c r="T9492"/>
    </row>
    <row r="9493" spans="1:20" x14ac:dyDescent="0.25">
      <c r="A9493">
        <v>20190831</v>
      </c>
      <c r="B9493">
        <v>2019</v>
      </c>
      <c r="C9493">
        <v>8</v>
      </c>
      <c r="D9493">
        <v>1</v>
      </c>
      <c r="E9493">
        <v>13410</v>
      </c>
      <c r="F9493">
        <v>74515.38</v>
      </c>
      <c r="G9493">
        <v>0</v>
      </c>
      <c r="H9493">
        <v>0</v>
      </c>
      <c r="I9493">
        <v>0</v>
      </c>
      <c r="J9493">
        <v>-724914.65</v>
      </c>
      <c r="K9493">
        <v>0</v>
      </c>
      <c r="L9493">
        <v>33743194.43</v>
      </c>
      <c r="M9493">
        <v>34468109.079999998</v>
      </c>
      <c r="N9493">
        <v>12873194.43</v>
      </c>
      <c r="O9493">
        <v>13598109.08</v>
      </c>
      <c r="P9493">
        <v>33743194.43</v>
      </c>
      <c r="Q9493">
        <v>34468109.079999998</v>
      </c>
      <c r="R9493" s="14">
        <f>_xlfn.XLOOKUP(Table2[[#This Row],[LoanID]],Table1[G-L ID],Table1[ManagerCode],-99)</f>
        <v>183</v>
      </c>
      <c r="T9493"/>
    </row>
    <row r="9494" spans="1:20" x14ac:dyDescent="0.25">
      <c r="A9494">
        <v>20190831</v>
      </c>
      <c r="B9494">
        <v>2019</v>
      </c>
      <c r="C9494">
        <v>8</v>
      </c>
      <c r="D9494">
        <v>1</v>
      </c>
      <c r="E9494">
        <v>13420</v>
      </c>
      <c r="F9494">
        <v>67408.58</v>
      </c>
      <c r="G9494">
        <v>0</v>
      </c>
      <c r="H9494">
        <v>0</v>
      </c>
      <c r="I9494">
        <v>0</v>
      </c>
      <c r="J9494">
        <v>0</v>
      </c>
      <c r="K9494">
        <v>0</v>
      </c>
      <c r="L9494">
        <v>29872783</v>
      </c>
      <c r="M9494">
        <v>29872783</v>
      </c>
      <c r="N9494">
        <v>13377870</v>
      </c>
      <c r="O9494">
        <v>13377870</v>
      </c>
      <c r="P9494">
        <v>29872783</v>
      </c>
      <c r="Q9494">
        <v>29872783</v>
      </c>
      <c r="R9494" s="14">
        <f>_xlfn.XLOOKUP(Table2[[#This Row],[LoanID]],Table1[G-L ID],Table1[ManagerCode],-99)</f>
        <v>183</v>
      </c>
      <c r="T9494"/>
    </row>
    <row r="9495" spans="1:20" x14ac:dyDescent="0.25">
      <c r="A9495">
        <v>20190831</v>
      </c>
      <c r="B9495">
        <v>2019</v>
      </c>
      <c r="C9495">
        <v>8</v>
      </c>
      <c r="D9495">
        <v>1</v>
      </c>
      <c r="E9495">
        <v>13430</v>
      </c>
      <c r="F9495">
        <v>170032.01</v>
      </c>
      <c r="G9495">
        <v>0</v>
      </c>
      <c r="H9495">
        <v>0</v>
      </c>
      <c r="I9495">
        <v>0</v>
      </c>
      <c r="J9495">
        <v>0</v>
      </c>
      <c r="K9495">
        <v>0</v>
      </c>
      <c r="L9495">
        <v>75000000</v>
      </c>
      <c r="M9495">
        <v>75000000</v>
      </c>
      <c r="N9495">
        <v>30882353</v>
      </c>
      <c r="O9495">
        <v>30882353</v>
      </c>
      <c r="P9495">
        <v>75000000</v>
      </c>
      <c r="Q9495">
        <v>75000000</v>
      </c>
      <c r="R9495" s="14">
        <f>_xlfn.XLOOKUP(Table2[[#This Row],[LoanID]],Table1[G-L ID],Table1[ManagerCode],-99)</f>
        <v>183</v>
      </c>
      <c r="T9495"/>
    </row>
    <row r="9496" spans="1:20" x14ac:dyDescent="0.25">
      <c r="A9496">
        <v>20190831</v>
      </c>
      <c r="B9496">
        <v>2019</v>
      </c>
      <c r="C9496">
        <v>8</v>
      </c>
      <c r="D9496">
        <v>1</v>
      </c>
      <c r="E9496">
        <v>13440</v>
      </c>
      <c r="F9496">
        <v>0</v>
      </c>
      <c r="G9496">
        <v>116713.93</v>
      </c>
      <c r="H9496">
        <v>0</v>
      </c>
      <c r="I9496">
        <v>0</v>
      </c>
      <c r="J9496">
        <v>0</v>
      </c>
      <c r="K9496">
        <v>0</v>
      </c>
      <c r="L9496">
        <v>11786962.09</v>
      </c>
      <c r="M9496">
        <v>11903676.02</v>
      </c>
      <c r="N9496">
        <v>11786962.09</v>
      </c>
      <c r="O9496">
        <v>11903676.02</v>
      </c>
      <c r="P9496">
        <v>11786962.09</v>
      </c>
      <c r="Q9496">
        <v>11903676.02</v>
      </c>
      <c r="R9496" s="14">
        <f>_xlfn.XLOOKUP(Table2[[#This Row],[LoanID]],Table1[G-L ID],Table1[ManagerCode],-99)</f>
        <v>183</v>
      </c>
      <c r="T9496"/>
    </row>
    <row r="9497" spans="1:20" x14ac:dyDescent="0.25">
      <c r="A9497">
        <v>20190831</v>
      </c>
      <c r="B9497">
        <v>2019</v>
      </c>
      <c r="C9497">
        <v>8</v>
      </c>
      <c r="D9497">
        <v>1</v>
      </c>
      <c r="E9497">
        <v>13450</v>
      </c>
      <c r="F9497">
        <v>0</v>
      </c>
      <c r="G9497">
        <v>101572.6</v>
      </c>
      <c r="H9497">
        <v>0</v>
      </c>
      <c r="I9497">
        <v>0</v>
      </c>
      <c r="J9497">
        <v>-2005716.32</v>
      </c>
      <c r="K9497">
        <v>0</v>
      </c>
      <c r="L9497">
        <v>9267771.2799999993</v>
      </c>
      <c r="M9497">
        <v>11375060.199999999</v>
      </c>
      <c r="N9497">
        <v>9267771.2799999993</v>
      </c>
      <c r="O9497">
        <v>11375060.199999999</v>
      </c>
      <c r="P9497">
        <v>9267771.2799999993</v>
      </c>
      <c r="Q9497">
        <v>11375060.199999999</v>
      </c>
      <c r="R9497" s="14">
        <f>_xlfn.XLOOKUP(Table2[[#This Row],[LoanID]],Table1[G-L ID],Table1[ManagerCode],-99)</f>
        <v>183</v>
      </c>
      <c r="T9497"/>
    </row>
    <row r="9498" spans="1:20" x14ac:dyDescent="0.25">
      <c r="A9498">
        <v>20190831</v>
      </c>
      <c r="B9498">
        <v>2019</v>
      </c>
      <c r="C9498">
        <v>8</v>
      </c>
      <c r="D9498">
        <v>1</v>
      </c>
      <c r="E9498">
        <v>13460</v>
      </c>
      <c r="F9498">
        <v>11287.23</v>
      </c>
      <c r="G9498">
        <v>17495.189999999999</v>
      </c>
      <c r="H9498">
        <v>0</v>
      </c>
      <c r="I9498">
        <v>0</v>
      </c>
      <c r="J9498">
        <v>-217791.42</v>
      </c>
      <c r="K9498">
        <v>0</v>
      </c>
      <c r="L9498">
        <v>2510786.7400000002</v>
      </c>
      <c r="M9498">
        <v>2746073.35</v>
      </c>
      <c r="N9498">
        <v>2510786.7400000002</v>
      </c>
      <c r="O9498">
        <v>2746073.35</v>
      </c>
      <c r="P9498">
        <v>2510786.7400000002</v>
      </c>
      <c r="Q9498">
        <v>2746073.35</v>
      </c>
      <c r="R9498" s="14">
        <f>_xlfn.XLOOKUP(Table2[[#This Row],[LoanID]],Table1[G-L ID],Table1[ManagerCode],-99)</f>
        <v>183</v>
      </c>
      <c r="T9498"/>
    </row>
    <row r="9499" spans="1:20" x14ac:dyDescent="0.25">
      <c r="A9499">
        <v>20190831</v>
      </c>
      <c r="B9499">
        <v>2019</v>
      </c>
      <c r="C9499">
        <v>8</v>
      </c>
      <c r="D9499">
        <v>1</v>
      </c>
      <c r="E9499">
        <v>13470</v>
      </c>
      <c r="F9499">
        <v>356553.82</v>
      </c>
      <c r="G9499">
        <v>0</v>
      </c>
      <c r="H9499">
        <v>0</v>
      </c>
      <c r="I9499">
        <v>0</v>
      </c>
      <c r="J9499">
        <v>0</v>
      </c>
      <c r="K9499">
        <v>0</v>
      </c>
      <c r="L9499">
        <v>62500000</v>
      </c>
      <c r="M9499">
        <v>62500000</v>
      </c>
      <c r="N9499">
        <v>62500000</v>
      </c>
      <c r="O9499">
        <v>62500000</v>
      </c>
      <c r="P9499">
        <v>62500000</v>
      </c>
      <c r="Q9499">
        <v>62500000</v>
      </c>
      <c r="R9499" s="14">
        <f>_xlfn.XLOOKUP(Table2[[#This Row],[LoanID]],Table1[G-L ID],Table1[ManagerCode],-99)</f>
        <v>165</v>
      </c>
      <c r="T9499"/>
    </row>
    <row r="9500" spans="1:20" x14ac:dyDescent="0.25">
      <c r="A9500">
        <v>20190831</v>
      </c>
      <c r="B9500">
        <v>2019</v>
      </c>
      <c r="C9500">
        <v>8</v>
      </c>
      <c r="D9500">
        <v>1</v>
      </c>
      <c r="E9500">
        <v>13480</v>
      </c>
      <c r="F9500">
        <v>250531.67</v>
      </c>
      <c r="G9500">
        <v>0</v>
      </c>
      <c r="H9500">
        <v>0</v>
      </c>
      <c r="I9500">
        <v>0</v>
      </c>
      <c r="J9500">
        <v>0</v>
      </c>
      <c r="K9500">
        <v>0</v>
      </c>
      <c r="L9500">
        <v>39000000</v>
      </c>
      <c r="M9500">
        <v>39000000</v>
      </c>
      <c r="N9500">
        <v>39000000</v>
      </c>
      <c r="O9500">
        <v>39000000</v>
      </c>
      <c r="P9500">
        <v>39000000</v>
      </c>
      <c r="Q9500">
        <v>39000000</v>
      </c>
      <c r="R9500" s="14">
        <f>_xlfn.XLOOKUP(Table2[[#This Row],[LoanID]],Table1[G-L ID],Table1[ManagerCode],-99)</f>
        <v>165</v>
      </c>
      <c r="T9500"/>
    </row>
    <row r="9501" spans="1:20" x14ac:dyDescent="0.25">
      <c r="A9501">
        <v>20190831</v>
      </c>
      <c r="B9501">
        <v>2019</v>
      </c>
      <c r="C9501">
        <v>8</v>
      </c>
      <c r="D9501">
        <v>1</v>
      </c>
      <c r="E9501">
        <v>13490</v>
      </c>
      <c r="F9501">
        <v>303800</v>
      </c>
      <c r="G9501">
        <v>0</v>
      </c>
      <c r="H9501">
        <v>0</v>
      </c>
      <c r="I9501">
        <v>0</v>
      </c>
      <c r="J9501">
        <v>0</v>
      </c>
      <c r="K9501">
        <v>0</v>
      </c>
      <c r="L9501">
        <v>40000000</v>
      </c>
      <c r="M9501">
        <v>40000000</v>
      </c>
      <c r="N9501">
        <v>40000000</v>
      </c>
      <c r="O9501">
        <v>40000000</v>
      </c>
      <c r="P9501">
        <v>40000000</v>
      </c>
      <c r="Q9501">
        <v>40000000</v>
      </c>
      <c r="R9501" s="14">
        <f>_xlfn.XLOOKUP(Table2[[#This Row],[LoanID]],Table1[G-L ID],Table1[ManagerCode],-99)</f>
        <v>165</v>
      </c>
      <c r="T9501"/>
    </row>
    <row r="9502" spans="1:20" x14ac:dyDescent="0.25">
      <c r="A9502">
        <v>20190831</v>
      </c>
      <c r="B9502">
        <v>2019</v>
      </c>
      <c r="C9502">
        <v>8</v>
      </c>
      <c r="D9502">
        <v>1</v>
      </c>
      <c r="E9502">
        <v>13500</v>
      </c>
      <c r="F9502">
        <v>283628.46999999997</v>
      </c>
      <c r="G9502">
        <v>0</v>
      </c>
      <c r="H9502">
        <v>0</v>
      </c>
      <c r="I9502">
        <v>0</v>
      </c>
      <c r="J9502">
        <v>0</v>
      </c>
      <c r="K9502">
        <v>0</v>
      </c>
      <c r="L9502">
        <v>42500000</v>
      </c>
      <c r="M9502">
        <v>42500000</v>
      </c>
      <c r="N9502">
        <v>42500000</v>
      </c>
      <c r="O9502">
        <v>42500000</v>
      </c>
      <c r="P9502">
        <v>42500000</v>
      </c>
      <c r="Q9502">
        <v>42500000</v>
      </c>
      <c r="R9502" s="14">
        <f>_xlfn.XLOOKUP(Table2[[#This Row],[LoanID]],Table1[G-L ID],Table1[ManagerCode],-99)</f>
        <v>165</v>
      </c>
      <c r="T9502"/>
    </row>
    <row r="9503" spans="1:20" x14ac:dyDescent="0.25">
      <c r="A9503">
        <v>20190831</v>
      </c>
      <c r="B9503">
        <v>2019</v>
      </c>
      <c r="C9503">
        <v>8</v>
      </c>
      <c r="D9503">
        <v>1</v>
      </c>
      <c r="E9503">
        <v>13510</v>
      </c>
      <c r="F9503">
        <v>317750</v>
      </c>
      <c r="G9503">
        <v>0</v>
      </c>
      <c r="H9503">
        <v>0</v>
      </c>
      <c r="I9503">
        <v>0</v>
      </c>
      <c r="J9503">
        <v>0</v>
      </c>
      <c r="K9503">
        <v>0</v>
      </c>
      <c r="L9503">
        <v>90000000</v>
      </c>
      <c r="M9503">
        <v>90000000</v>
      </c>
      <c r="N9503">
        <v>90000000</v>
      </c>
      <c r="O9503">
        <v>90000000</v>
      </c>
      <c r="P9503">
        <v>90000000</v>
      </c>
      <c r="Q9503">
        <v>90000000</v>
      </c>
      <c r="R9503" s="14">
        <f>_xlfn.XLOOKUP(Table2[[#This Row],[LoanID]],Table1[G-L ID],Table1[ManagerCode],-99)</f>
        <v>165</v>
      </c>
      <c r="T9503"/>
    </row>
    <row r="9504" spans="1:20" x14ac:dyDescent="0.25">
      <c r="A9504">
        <v>20190831</v>
      </c>
      <c r="B9504">
        <v>2019</v>
      </c>
      <c r="C9504">
        <v>8</v>
      </c>
      <c r="D9504">
        <v>1</v>
      </c>
      <c r="E9504">
        <v>13520</v>
      </c>
      <c r="F9504">
        <v>860572.92</v>
      </c>
      <c r="G9504">
        <v>0</v>
      </c>
      <c r="H9504">
        <v>0</v>
      </c>
      <c r="I9504">
        <v>0</v>
      </c>
      <c r="J9504">
        <v>0</v>
      </c>
      <c r="K9504">
        <v>0</v>
      </c>
      <c r="L9504">
        <v>195000000</v>
      </c>
      <c r="M9504">
        <v>195000000</v>
      </c>
      <c r="N9504">
        <v>195000000</v>
      </c>
      <c r="O9504">
        <v>195000000</v>
      </c>
      <c r="P9504">
        <v>195000000</v>
      </c>
      <c r="Q9504">
        <v>195000000</v>
      </c>
      <c r="R9504" s="14">
        <f>_xlfn.XLOOKUP(Table2[[#This Row],[LoanID]],Table1[G-L ID],Table1[ManagerCode],-99)</f>
        <v>165</v>
      </c>
      <c r="T9504"/>
    </row>
    <row r="9505" spans="1:20" x14ac:dyDescent="0.25">
      <c r="A9505">
        <v>20190831</v>
      </c>
      <c r="B9505">
        <v>2019</v>
      </c>
      <c r="C9505">
        <v>8</v>
      </c>
      <c r="D9505">
        <v>1</v>
      </c>
      <c r="E9505">
        <v>13530</v>
      </c>
      <c r="F9505">
        <v>403645.83</v>
      </c>
      <c r="G9505">
        <v>0</v>
      </c>
      <c r="H9505">
        <v>0</v>
      </c>
      <c r="I9505">
        <v>0</v>
      </c>
      <c r="J9505">
        <v>0</v>
      </c>
      <c r="K9505">
        <v>0</v>
      </c>
      <c r="L9505">
        <v>75000000</v>
      </c>
      <c r="M9505">
        <v>75000000</v>
      </c>
      <c r="N9505">
        <v>75000000</v>
      </c>
      <c r="O9505">
        <v>75000000</v>
      </c>
      <c r="P9505">
        <v>75000000</v>
      </c>
      <c r="Q9505">
        <v>75000000</v>
      </c>
      <c r="R9505" s="14">
        <f>_xlfn.XLOOKUP(Table2[[#This Row],[LoanID]],Table1[G-L ID],Table1[ManagerCode],-99)</f>
        <v>165</v>
      </c>
      <c r="T9505"/>
    </row>
    <row r="9506" spans="1:20" x14ac:dyDescent="0.25">
      <c r="A9506">
        <v>20190831</v>
      </c>
      <c r="B9506">
        <v>2019</v>
      </c>
      <c r="C9506">
        <v>8</v>
      </c>
      <c r="D9506">
        <v>1</v>
      </c>
      <c r="E9506">
        <v>13540</v>
      </c>
      <c r="F9506">
        <v>255685.84</v>
      </c>
      <c r="G9506">
        <v>0</v>
      </c>
      <c r="H9506">
        <v>0</v>
      </c>
      <c r="I9506">
        <v>0</v>
      </c>
      <c r="J9506">
        <v>0</v>
      </c>
      <c r="K9506">
        <v>40955239.939999998</v>
      </c>
      <c r="L9506">
        <v>40955239.939999998</v>
      </c>
      <c r="M9506">
        <v>0</v>
      </c>
      <c r="N9506">
        <v>40955239.939999998</v>
      </c>
      <c r="O9506">
        <v>0</v>
      </c>
      <c r="P9506">
        <v>40955239.939999998</v>
      </c>
      <c r="Q9506">
        <v>0</v>
      </c>
      <c r="R9506" s="14">
        <f>_xlfn.XLOOKUP(Table2[[#This Row],[LoanID]],Table1[G-L ID],Table1[ManagerCode],-99)</f>
        <v>165</v>
      </c>
      <c r="T9506"/>
    </row>
    <row r="9507" spans="1:20" x14ac:dyDescent="0.25">
      <c r="A9507">
        <v>20190831</v>
      </c>
      <c r="B9507">
        <v>2019</v>
      </c>
      <c r="C9507">
        <v>8</v>
      </c>
      <c r="D9507">
        <v>1</v>
      </c>
      <c r="E9507">
        <v>13550</v>
      </c>
      <c r="F9507">
        <v>1682872.91</v>
      </c>
      <c r="G9507">
        <v>0</v>
      </c>
      <c r="H9507">
        <v>0</v>
      </c>
      <c r="I9507">
        <v>0</v>
      </c>
      <c r="J9507">
        <v>0</v>
      </c>
      <c r="K9507">
        <v>0</v>
      </c>
      <c r="L9507">
        <v>355328004.80000001</v>
      </c>
      <c r="M9507">
        <v>355328004.80000001</v>
      </c>
      <c r="N9507">
        <v>355328004.80000001</v>
      </c>
      <c r="O9507">
        <v>355328004.80000001</v>
      </c>
      <c r="P9507">
        <v>355328004.80000001</v>
      </c>
      <c r="Q9507">
        <v>355328004.80000001</v>
      </c>
      <c r="R9507" s="14">
        <f>_xlfn.XLOOKUP(Table2[[#This Row],[LoanID]],Table1[G-L ID],Table1[ManagerCode],-99)</f>
        <v>165</v>
      </c>
      <c r="T9507"/>
    </row>
    <row r="9508" spans="1:20" x14ac:dyDescent="0.25">
      <c r="A9508">
        <v>20190831</v>
      </c>
      <c r="B9508">
        <v>2019</v>
      </c>
      <c r="C9508">
        <v>8</v>
      </c>
      <c r="D9508">
        <v>1</v>
      </c>
      <c r="E9508">
        <v>13560</v>
      </c>
      <c r="F9508">
        <v>617093.74</v>
      </c>
      <c r="G9508">
        <v>-6445.82</v>
      </c>
      <c r="H9508">
        <v>0</v>
      </c>
      <c r="I9508">
        <v>0</v>
      </c>
      <c r="J9508">
        <v>0</v>
      </c>
      <c r="K9508">
        <v>0</v>
      </c>
      <c r="L9508">
        <v>105338406.2</v>
      </c>
      <c r="M9508">
        <v>105331960.40000001</v>
      </c>
      <c r="N9508">
        <v>105338406.2</v>
      </c>
      <c r="O9508">
        <v>105331960.40000001</v>
      </c>
      <c r="P9508">
        <v>105338406.2</v>
      </c>
      <c r="Q9508">
        <v>105331960.40000001</v>
      </c>
      <c r="R9508" s="14">
        <f>_xlfn.XLOOKUP(Table2[[#This Row],[LoanID]],Table1[G-L ID],Table1[ManagerCode],-99)</f>
        <v>219</v>
      </c>
      <c r="T9508"/>
    </row>
    <row r="9509" spans="1:20" x14ac:dyDescent="0.25">
      <c r="A9509">
        <v>20190831</v>
      </c>
      <c r="B9509">
        <v>2019</v>
      </c>
      <c r="C9509">
        <v>8</v>
      </c>
      <c r="D9509">
        <v>1</v>
      </c>
      <c r="E9509">
        <v>13580</v>
      </c>
      <c r="F9509">
        <v>429479.17</v>
      </c>
      <c r="G9509">
        <v>0</v>
      </c>
      <c r="H9509">
        <v>0</v>
      </c>
      <c r="I9509">
        <v>0</v>
      </c>
      <c r="J9509">
        <v>0</v>
      </c>
      <c r="K9509">
        <v>0</v>
      </c>
      <c r="L9509">
        <v>63849587.189999998</v>
      </c>
      <c r="M9509">
        <v>63922498.380000003</v>
      </c>
      <c r="N9509">
        <v>63849587.189999998</v>
      </c>
      <c r="O9509">
        <v>63922498.380000003</v>
      </c>
      <c r="P9509">
        <v>66500000</v>
      </c>
      <c r="Q9509">
        <v>66500000</v>
      </c>
      <c r="R9509" s="14">
        <f>_xlfn.XLOOKUP(Table2[[#This Row],[LoanID]],Table1[G-L ID],Table1[ManagerCode],-99)</f>
        <v>298</v>
      </c>
      <c r="T9509"/>
    </row>
    <row r="9510" spans="1:20" x14ac:dyDescent="0.25">
      <c r="A9510">
        <v>20190831</v>
      </c>
      <c r="B9510">
        <v>2019</v>
      </c>
      <c r="C9510">
        <v>8</v>
      </c>
      <c r="D9510">
        <v>1</v>
      </c>
      <c r="E9510">
        <v>13590</v>
      </c>
      <c r="F9510">
        <v>303972.21999999997</v>
      </c>
      <c r="G9510">
        <v>0</v>
      </c>
      <c r="H9510">
        <v>0</v>
      </c>
      <c r="I9510">
        <v>0</v>
      </c>
      <c r="J9510">
        <v>0</v>
      </c>
      <c r="K9510">
        <v>0</v>
      </c>
      <c r="L9510">
        <v>40000000</v>
      </c>
      <c r="M9510">
        <v>40000000</v>
      </c>
      <c r="N9510">
        <v>40000000</v>
      </c>
      <c r="O9510">
        <v>40000000</v>
      </c>
      <c r="P9510">
        <v>40000000</v>
      </c>
      <c r="Q9510">
        <v>40000000</v>
      </c>
      <c r="R9510" s="14">
        <f>_xlfn.XLOOKUP(Table2[[#This Row],[LoanID]],Table1[G-L ID],Table1[ManagerCode],-99)</f>
        <v>298</v>
      </c>
      <c r="T9510"/>
    </row>
    <row r="9511" spans="1:20" x14ac:dyDescent="0.25">
      <c r="A9511">
        <v>20190831</v>
      </c>
      <c r="B9511">
        <v>2019</v>
      </c>
      <c r="C9511">
        <v>8</v>
      </c>
      <c r="D9511">
        <v>1</v>
      </c>
      <c r="E9511">
        <v>13600</v>
      </c>
      <c r="F9511">
        <v>379029.03</v>
      </c>
      <c r="G9511">
        <v>0</v>
      </c>
      <c r="H9511">
        <v>0</v>
      </c>
      <c r="I9511">
        <v>0</v>
      </c>
      <c r="J9511">
        <v>0</v>
      </c>
      <c r="K9511">
        <v>0</v>
      </c>
      <c r="L9511">
        <v>45970000</v>
      </c>
      <c r="M9511">
        <v>45970000</v>
      </c>
      <c r="N9511">
        <v>45970000</v>
      </c>
      <c r="O9511">
        <v>45970000</v>
      </c>
      <c r="P9511">
        <v>45970000</v>
      </c>
      <c r="Q9511">
        <v>45970000</v>
      </c>
      <c r="R9511" s="14">
        <f>_xlfn.XLOOKUP(Table2[[#This Row],[LoanID]],Table1[G-L ID],Table1[ManagerCode],-99)</f>
        <v>298</v>
      </c>
      <c r="T9511"/>
    </row>
    <row r="9512" spans="1:20" x14ac:dyDescent="0.25">
      <c r="A9512">
        <v>20190831</v>
      </c>
      <c r="B9512">
        <v>2019</v>
      </c>
      <c r="C9512">
        <v>8</v>
      </c>
      <c r="D9512">
        <v>1</v>
      </c>
      <c r="E9512">
        <v>13610</v>
      </c>
      <c r="F9512">
        <v>63291.67</v>
      </c>
      <c r="G9512">
        <v>0</v>
      </c>
      <c r="H9512">
        <v>0</v>
      </c>
      <c r="I9512">
        <v>0</v>
      </c>
      <c r="J9512">
        <v>0</v>
      </c>
      <c r="K9512">
        <v>0</v>
      </c>
      <c r="L9512">
        <v>10542185</v>
      </c>
      <c r="M9512">
        <v>10542185</v>
      </c>
      <c r="N9512">
        <v>10542185</v>
      </c>
      <c r="O9512">
        <v>10542185</v>
      </c>
      <c r="P9512">
        <v>10500000</v>
      </c>
      <c r="Q9512">
        <v>10500000</v>
      </c>
      <c r="R9512" s="14">
        <f>_xlfn.XLOOKUP(Table2[[#This Row],[LoanID]],Table1[G-L ID],Table1[ManagerCode],-99)</f>
        <v>298</v>
      </c>
      <c r="T9512"/>
    </row>
    <row r="9513" spans="1:20" x14ac:dyDescent="0.25">
      <c r="A9513">
        <v>20190831</v>
      </c>
      <c r="B9513">
        <v>2019</v>
      </c>
      <c r="C9513">
        <v>8</v>
      </c>
      <c r="D9513">
        <v>1</v>
      </c>
      <c r="E9513">
        <v>13620</v>
      </c>
      <c r="F9513">
        <v>364895.83</v>
      </c>
      <c r="G9513">
        <v>0</v>
      </c>
      <c r="H9513">
        <v>0</v>
      </c>
      <c r="I9513">
        <v>0</v>
      </c>
      <c r="J9513">
        <v>0</v>
      </c>
      <c r="K9513">
        <v>0</v>
      </c>
      <c r="L9513">
        <v>49842286</v>
      </c>
      <c r="M9513">
        <v>49842286</v>
      </c>
      <c r="N9513">
        <v>49842286</v>
      </c>
      <c r="O9513">
        <v>49842286</v>
      </c>
      <c r="P9513">
        <v>50000000</v>
      </c>
      <c r="Q9513">
        <v>50000000</v>
      </c>
      <c r="R9513" s="14">
        <f>_xlfn.XLOOKUP(Table2[[#This Row],[LoanID]],Table1[G-L ID],Table1[ManagerCode],-99)</f>
        <v>298</v>
      </c>
      <c r="T9513"/>
    </row>
    <row r="9514" spans="1:20" x14ac:dyDescent="0.25">
      <c r="A9514">
        <v>20190831</v>
      </c>
      <c r="B9514">
        <v>2019</v>
      </c>
      <c r="C9514">
        <v>8</v>
      </c>
      <c r="D9514">
        <v>1</v>
      </c>
      <c r="E9514">
        <v>13630</v>
      </c>
      <c r="F9514">
        <v>218506.94</v>
      </c>
      <c r="G9514">
        <v>0</v>
      </c>
      <c r="H9514">
        <v>0</v>
      </c>
      <c r="I9514">
        <v>0</v>
      </c>
      <c r="J9514">
        <v>0</v>
      </c>
      <c r="K9514">
        <v>0</v>
      </c>
      <c r="L9514">
        <v>30700000</v>
      </c>
      <c r="M9514">
        <v>30700000</v>
      </c>
      <c r="N9514">
        <v>30700000</v>
      </c>
      <c r="O9514">
        <v>30700000</v>
      </c>
      <c r="P9514">
        <v>35000000</v>
      </c>
      <c r="Q9514">
        <v>35000000</v>
      </c>
      <c r="R9514" s="14">
        <f>_xlfn.XLOOKUP(Table2[[#This Row],[LoanID]],Table1[G-L ID],Table1[ManagerCode],-99)</f>
        <v>298</v>
      </c>
      <c r="T9514"/>
    </row>
    <row r="9515" spans="1:20" x14ac:dyDescent="0.25">
      <c r="A9515">
        <v>20190831</v>
      </c>
      <c r="B9515">
        <v>2019</v>
      </c>
      <c r="C9515">
        <v>8</v>
      </c>
      <c r="D9515">
        <v>1</v>
      </c>
      <c r="E9515">
        <v>13640</v>
      </c>
      <c r="F9515">
        <v>226983.51</v>
      </c>
      <c r="G9515">
        <v>0</v>
      </c>
      <c r="H9515">
        <v>0</v>
      </c>
      <c r="I9515">
        <v>0</v>
      </c>
      <c r="J9515">
        <v>0</v>
      </c>
      <c r="K9515">
        <v>0</v>
      </c>
      <c r="L9515">
        <v>30714705</v>
      </c>
      <c r="M9515">
        <v>30714705</v>
      </c>
      <c r="N9515">
        <v>30714705</v>
      </c>
      <c r="O9515">
        <v>30714705</v>
      </c>
      <c r="P9515">
        <v>30125000</v>
      </c>
      <c r="Q9515">
        <v>30125000</v>
      </c>
      <c r="R9515" s="14">
        <f>_xlfn.XLOOKUP(Table2[[#This Row],[LoanID]],Table1[G-L ID],Table1[ManagerCode],-99)</f>
        <v>298</v>
      </c>
      <c r="T9515"/>
    </row>
    <row r="9516" spans="1:20" x14ac:dyDescent="0.25">
      <c r="A9516">
        <v>20190831</v>
      </c>
      <c r="B9516">
        <v>2019</v>
      </c>
      <c r="C9516">
        <v>8</v>
      </c>
      <c r="D9516">
        <v>1</v>
      </c>
      <c r="E9516">
        <v>13650</v>
      </c>
      <c r="F9516">
        <v>223888.89</v>
      </c>
      <c r="G9516">
        <v>0</v>
      </c>
      <c r="H9516">
        <v>0</v>
      </c>
      <c r="I9516">
        <v>0</v>
      </c>
      <c r="J9516">
        <v>0</v>
      </c>
      <c r="K9516">
        <v>0</v>
      </c>
      <c r="L9516">
        <v>38895325</v>
      </c>
      <c r="M9516">
        <v>38895325</v>
      </c>
      <c r="N9516">
        <v>38895325</v>
      </c>
      <c r="O9516">
        <v>38895325</v>
      </c>
      <c r="P9516">
        <v>40000000</v>
      </c>
      <c r="Q9516">
        <v>40000000</v>
      </c>
      <c r="R9516" s="14">
        <f>_xlfn.XLOOKUP(Table2[[#This Row],[LoanID]],Table1[G-L ID],Table1[ManagerCode],-99)</f>
        <v>298</v>
      </c>
      <c r="T9516"/>
    </row>
    <row r="9517" spans="1:20" x14ac:dyDescent="0.25">
      <c r="A9517">
        <v>20190831</v>
      </c>
      <c r="B9517">
        <v>2019</v>
      </c>
      <c r="C9517">
        <v>8</v>
      </c>
      <c r="D9517">
        <v>1</v>
      </c>
      <c r="E9517">
        <v>13660</v>
      </c>
      <c r="F9517">
        <v>117972.22</v>
      </c>
      <c r="G9517">
        <v>0</v>
      </c>
      <c r="H9517">
        <v>0</v>
      </c>
      <c r="I9517">
        <v>0</v>
      </c>
      <c r="J9517">
        <v>0</v>
      </c>
      <c r="K9517">
        <v>0</v>
      </c>
      <c r="L9517">
        <v>19313433</v>
      </c>
      <c r="M9517">
        <v>19313433</v>
      </c>
      <c r="N9517">
        <v>19313433</v>
      </c>
      <c r="O9517">
        <v>19313433</v>
      </c>
      <c r="P9517">
        <v>20000000</v>
      </c>
      <c r="Q9517">
        <v>20000000</v>
      </c>
      <c r="R9517" s="14">
        <f>_xlfn.XLOOKUP(Table2[[#This Row],[LoanID]],Table1[G-L ID],Table1[ManagerCode],-99)</f>
        <v>298</v>
      </c>
      <c r="T9517"/>
    </row>
    <row r="9518" spans="1:20" x14ac:dyDescent="0.25">
      <c r="A9518">
        <v>20190831</v>
      </c>
      <c r="B9518">
        <v>2019</v>
      </c>
      <c r="C9518">
        <v>8</v>
      </c>
      <c r="D9518">
        <v>1</v>
      </c>
      <c r="E9518">
        <v>13670</v>
      </c>
      <c r="F9518">
        <v>0</v>
      </c>
      <c r="G9518">
        <v>0</v>
      </c>
      <c r="H9518">
        <v>0</v>
      </c>
      <c r="I9518">
        <v>0</v>
      </c>
      <c r="J9518">
        <v>0</v>
      </c>
      <c r="K9518">
        <v>0</v>
      </c>
      <c r="L9518">
        <v>25000000</v>
      </c>
      <c r="M9518">
        <v>25000000</v>
      </c>
      <c r="N9518">
        <v>25000000</v>
      </c>
      <c r="O9518">
        <v>25000000</v>
      </c>
      <c r="P9518">
        <v>38218303.329999998</v>
      </c>
      <c r="Q9518">
        <v>38588653.670000002</v>
      </c>
      <c r="R9518" s="14">
        <f>_xlfn.XLOOKUP(Table2[[#This Row],[LoanID]],Table1[G-L ID],Table1[ManagerCode],-99)</f>
        <v>298</v>
      </c>
      <c r="T9518"/>
    </row>
    <row r="9519" spans="1:20" x14ac:dyDescent="0.25">
      <c r="A9519">
        <v>20190831</v>
      </c>
      <c r="B9519">
        <v>2019</v>
      </c>
      <c r="C9519">
        <v>8</v>
      </c>
      <c r="D9519">
        <v>1</v>
      </c>
      <c r="E9519">
        <v>13690</v>
      </c>
      <c r="F9519">
        <v>133472.22</v>
      </c>
      <c r="G9519">
        <v>0</v>
      </c>
      <c r="H9519">
        <v>0</v>
      </c>
      <c r="I9519">
        <v>0</v>
      </c>
      <c r="J9519">
        <v>0</v>
      </c>
      <c r="K9519">
        <v>0</v>
      </c>
      <c r="L9519">
        <v>19791063.850000001</v>
      </c>
      <c r="M9519">
        <v>19791063.850000001</v>
      </c>
      <c r="N9519">
        <v>19791063.850000001</v>
      </c>
      <c r="O9519">
        <v>19791063.850000001</v>
      </c>
      <c r="P9519">
        <v>20000000</v>
      </c>
      <c r="Q9519">
        <v>20000000</v>
      </c>
      <c r="R9519" s="14">
        <f>_xlfn.XLOOKUP(Table2[[#This Row],[LoanID]],Table1[G-L ID],Table1[ManagerCode],-99)</f>
        <v>298</v>
      </c>
      <c r="T9519"/>
    </row>
    <row r="9520" spans="1:20" x14ac:dyDescent="0.25">
      <c r="A9520">
        <v>20190831</v>
      </c>
      <c r="B9520">
        <v>2019</v>
      </c>
      <c r="C9520">
        <v>8</v>
      </c>
      <c r="D9520">
        <v>1</v>
      </c>
      <c r="E9520">
        <v>13790</v>
      </c>
      <c r="F9520">
        <v>157253.82999999999</v>
      </c>
      <c r="G9520">
        <v>-1959.86</v>
      </c>
      <c r="H9520">
        <v>0</v>
      </c>
      <c r="I9520">
        <v>-27300</v>
      </c>
      <c r="J9520">
        <v>0</v>
      </c>
      <c r="K9520">
        <v>0</v>
      </c>
      <c r="L9520">
        <v>20726747.219999999</v>
      </c>
      <c r="M9520">
        <v>20724787.359999999</v>
      </c>
      <c r="N9520">
        <v>20726747.219999999</v>
      </c>
      <c r="O9520">
        <v>20724787.359999999</v>
      </c>
      <c r="P9520">
        <v>20726747.219999999</v>
      </c>
      <c r="Q9520">
        <v>20724787.359999999</v>
      </c>
      <c r="R9520" s="14">
        <f>_xlfn.XLOOKUP(Table2[[#This Row],[LoanID]],Table1[G-L ID],Table1[ManagerCode],-99)</f>
        <v>219</v>
      </c>
      <c r="T9520"/>
    </row>
    <row r="9521" spans="1:20" x14ac:dyDescent="0.25">
      <c r="A9521">
        <v>20190831</v>
      </c>
      <c r="B9521">
        <v>2019</v>
      </c>
      <c r="C9521">
        <v>8</v>
      </c>
      <c r="D9521">
        <v>1</v>
      </c>
      <c r="E9521">
        <v>13800</v>
      </c>
      <c r="F9521">
        <v>269778.93</v>
      </c>
      <c r="G9521">
        <v>0</v>
      </c>
      <c r="H9521">
        <v>0</v>
      </c>
      <c r="I9521">
        <v>0</v>
      </c>
      <c r="J9521">
        <v>0</v>
      </c>
      <c r="K9521">
        <v>0</v>
      </c>
      <c r="L9521">
        <v>80700000</v>
      </c>
      <c r="M9521">
        <v>80700000</v>
      </c>
      <c r="N9521">
        <v>32279999.719999999</v>
      </c>
      <c r="O9521">
        <v>32279999.719999999</v>
      </c>
      <c r="P9521">
        <v>80700000</v>
      </c>
      <c r="Q9521">
        <v>80700000</v>
      </c>
      <c r="R9521" s="14">
        <f>_xlfn.XLOOKUP(Table2[[#This Row],[LoanID]],Table1[G-L ID],Table1[ManagerCode],-99)</f>
        <v>183</v>
      </c>
      <c r="T9521"/>
    </row>
    <row r="9522" spans="1:20" x14ac:dyDescent="0.25">
      <c r="A9522">
        <v>20190831</v>
      </c>
      <c r="B9522">
        <v>2019</v>
      </c>
      <c r="C9522">
        <v>8</v>
      </c>
      <c r="D9522">
        <v>1</v>
      </c>
      <c r="E9522">
        <v>13810</v>
      </c>
      <c r="F9522">
        <v>110616.28</v>
      </c>
      <c r="G9522">
        <v>0</v>
      </c>
      <c r="H9522">
        <v>0</v>
      </c>
      <c r="I9522">
        <v>0</v>
      </c>
      <c r="J9522">
        <v>-1352039.85</v>
      </c>
      <c r="K9522">
        <v>0</v>
      </c>
      <c r="L9522">
        <v>40209576.299999997</v>
      </c>
      <c r="M9522">
        <v>41561616.149999999</v>
      </c>
      <c r="N9522">
        <v>16681176.300000001</v>
      </c>
      <c r="O9522">
        <v>18033216.149999999</v>
      </c>
      <c r="P9522">
        <v>40209576.299999997</v>
      </c>
      <c r="Q9522">
        <v>41561616.149999999</v>
      </c>
      <c r="R9522" s="14">
        <f>_xlfn.XLOOKUP(Table2[[#This Row],[LoanID]],Table1[G-L ID],Table1[ManagerCode],-99)</f>
        <v>183</v>
      </c>
      <c r="T9522"/>
    </row>
    <row r="9523" spans="1:20" x14ac:dyDescent="0.25">
      <c r="A9523">
        <v>20190831</v>
      </c>
      <c r="B9523">
        <v>2019</v>
      </c>
      <c r="C9523">
        <v>8</v>
      </c>
      <c r="D9523">
        <v>1</v>
      </c>
      <c r="E9523">
        <v>13820</v>
      </c>
      <c r="F9523">
        <v>353554.69</v>
      </c>
      <c r="G9523">
        <v>0</v>
      </c>
      <c r="H9523">
        <v>0</v>
      </c>
      <c r="I9523">
        <v>0</v>
      </c>
      <c r="J9523">
        <v>0</v>
      </c>
      <c r="K9523">
        <v>0</v>
      </c>
      <c r="L9523">
        <v>66500000</v>
      </c>
      <c r="M9523">
        <v>66500000</v>
      </c>
      <c r="N9523">
        <v>66500000</v>
      </c>
      <c r="O9523">
        <v>66500000</v>
      </c>
      <c r="P9523">
        <v>66500000</v>
      </c>
      <c r="Q9523">
        <v>66500000</v>
      </c>
      <c r="R9523" s="14">
        <f>_xlfn.XLOOKUP(Table2[[#This Row],[LoanID]],Table1[G-L ID],Table1[ManagerCode],-99)</f>
        <v>183</v>
      </c>
      <c r="T9523"/>
    </row>
    <row r="9524" spans="1:20" x14ac:dyDescent="0.25">
      <c r="A9524">
        <v>20190831</v>
      </c>
      <c r="B9524">
        <v>2019</v>
      </c>
      <c r="C9524">
        <v>8</v>
      </c>
      <c r="D9524">
        <v>1</v>
      </c>
      <c r="E9524">
        <v>13830</v>
      </c>
      <c r="F9524">
        <v>185349.11</v>
      </c>
      <c r="G9524">
        <v>0</v>
      </c>
      <c r="H9524">
        <v>0</v>
      </c>
      <c r="I9524">
        <v>0</v>
      </c>
      <c r="J9524">
        <v>0</v>
      </c>
      <c r="K9524">
        <v>0</v>
      </c>
      <c r="L9524">
        <v>101000000</v>
      </c>
      <c r="M9524">
        <v>101000000</v>
      </c>
      <c r="N9524">
        <v>35350000</v>
      </c>
      <c r="O9524">
        <v>35350000</v>
      </c>
      <c r="P9524">
        <v>101000000</v>
      </c>
      <c r="Q9524">
        <v>101000000</v>
      </c>
      <c r="R9524" s="14">
        <f>_xlfn.XLOOKUP(Table2[[#This Row],[LoanID]],Table1[G-L ID],Table1[ManagerCode],-99)</f>
        <v>183</v>
      </c>
      <c r="T9524"/>
    </row>
    <row r="9525" spans="1:20" x14ac:dyDescent="0.25">
      <c r="A9525">
        <v>20190831</v>
      </c>
      <c r="B9525">
        <v>2019</v>
      </c>
      <c r="C9525">
        <v>8</v>
      </c>
      <c r="D9525">
        <v>1</v>
      </c>
      <c r="E9525">
        <v>14000</v>
      </c>
      <c r="F9525">
        <v>178361.44</v>
      </c>
      <c r="G9525">
        <v>0</v>
      </c>
      <c r="H9525">
        <v>0</v>
      </c>
      <c r="I9525">
        <v>0</v>
      </c>
      <c r="J9525">
        <v>0</v>
      </c>
      <c r="K9525">
        <v>0</v>
      </c>
      <c r="L9525">
        <v>98000000</v>
      </c>
      <c r="M9525">
        <v>98000000</v>
      </c>
      <c r="N9525">
        <v>39200000</v>
      </c>
      <c r="O9525">
        <v>39200000</v>
      </c>
      <c r="P9525">
        <v>98000000</v>
      </c>
      <c r="Q9525">
        <v>98000000</v>
      </c>
      <c r="R9525" s="14">
        <f>_xlfn.XLOOKUP(Table2[[#This Row],[LoanID]],Table1[G-L ID],Table1[ManagerCode],-99)</f>
        <v>183</v>
      </c>
      <c r="T9525"/>
    </row>
    <row r="9526" spans="1:20" x14ac:dyDescent="0.25">
      <c r="A9526">
        <v>20190831</v>
      </c>
      <c r="B9526">
        <v>2019</v>
      </c>
      <c r="C9526">
        <v>8</v>
      </c>
      <c r="D9526">
        <v>1</v>
      </c>
      <c r="E9526">
        <v>14170</v>
      </c>
      <c r="F9526">
        <v>0</v>
      </c>
      <c r="G9526">
        <v>0</v>
      </c>
      <c r="H9526">
        <v>0</v>
      </c>
      <c r="I9526">
        <v>0</v>
      </c>
      <c r="J9526">
        <v>0</v>
      </c>
      <c r="K9526">
        <v>8690.9500000000007</v>
      </c>
      <c r="L9526">
        <v>5368124.13</v>
      </c>
      <c r="M9526">
        <v>5344053.32</v>
      </c>
      <c r="N9526">
        <v>5368124.13</v>
      </c>
      <c r="O9526">
        <v>5344053.32</v>
      </c>
      <c r="P9526">
        <v>10843700.82</v>
      </c>
      <c r="Q9526">
        <v>10835009.869999999</v>
      </c>
      <c r="R9526" s="14">
        <f>_xlfn.XLOOKUP(Table2[[#This Row],[LoanID]],Table1[G-L ID],Table1[ManagerCode],-99)</f>
        <v>270</v>
      </c>
      <c r="T9526"/>
    </row>
    <row r="9527" spans="1:20" x14ac:dyDescent="0.25">
      <c r="A9527">
        <v>20190831</v>
      </c>
      <c r="B9527">
        <v>2019</v>
      </c>
      <c r="C9527">
        <v>8</v>
      </c>
      <c r="D9527">
        <v>1</v>
      </c>
      <c r="E9527">
        <v>14180</v>
      </c>
      <c r="F9527">
        <v>0</v>
      </c>
      <c r="G9527">
        <v>0</v>
      </c>
      <c r="H9527">
        <v>0</v>
      </c>
      <c r="I9527">
        <v>0</v>
      </c>
      <c r="J9527">
        <v>0</v>
      </c>
      <c r="K9527">
        <v>11592.01</v>
      </c>
      <c r="L9527">
        <v>7612297.8700000001</v>
      </c>
      <c r="M9527">
        <v>7587777.96</v>
      </c>
      <c r="N9527">
        <v>7612297.8700000001</v>
      </c>
      <c r="O9527">
        <v>7587777.96</v>
      </c>
      <c r="P9527">
        <v>17026924.530000001</v>
      </c>
      <c r="Q9527">
        <v>17015332.52</v>
      </c>
      <c r="R9527" s="14">
        <f>_xlfn.XLOOKUP(Table2[[#This Row],[LoanID]],Table1[G-L ID],Table1[ManagerCode],-99)</f>
        <v>270</v>
      </c>
      <c r="T9527"/>
    </row>
    <row r="9528" spans="1:20" x14ac:dyDescent="0.25">
      <c r="A9528">
        <v>20190831</v>
      </c>
      <c r="B9528">
        <v>2019</v>
      </c>
      <c r="C9528">
        <v>8</v>
      </c>
      <c r="D9528">
        <v>1</v>
      </c>
      <c r="E9528">
        <v>14190</v>
      </c>
      <c r="F9528">
        <v>0</v>
      </c>
      <c r="G9528">
        <v>0</v>
      </c>
      <c r="H9528">
        <v>0</v>
      </c>
      <c r="I9528">
        <v>0</v>
      </c>
      <c r="J9528">
        <v>0</v>
      </c>
      <c r="K9528">
        <v>7686.71</v>
      </c>
      <c r="L9528">
        <v>5168212.42</v>
      </c>
      <c r="M9528">
        <v>5147570.87</v>
      </c>
      <c r="N9528">
        <v>5168212.42</v>
      </c>
      <c r="O9528">
        <v>5147570.87</v>
      </c>
      <c r="P9528">
        <v>10735711.449999999</v>
      </c>
      <c r="Q9528">
        <v>10728024.74</v>
      </c>
      <c r="R9528" s="14">
        <f>_xlfn.XLOOKUP(Table2[[#This Row],[LoanID]],Table1[G-L ID],Table1[ManagerCode],-99)</f>
        <v>270</v>
      </c>
      <c r="T9528"/>
    </row>
    <row r="9529" spans="1:20" x14ac:dyDescent="0.25">
      <c r="A9529">
        <v>20190831</v>
      </c>
      <c r="B9529">
        <v>2019</v>
      </c>
      <c r="C9529">
        <v>8</v>
      </c>
      <c r="D9529">
        <v>1</v>
      </c>
      <c r="E9529">
        <v>14210</v>
      </c>
      <c r="F9529">
        <v>0</v>
      </c>
      <c r="G9529">
        <v>0</v>
      </c>
      <c r="H9529">
        <v>0</v>
      </c>
      <c r="I9529">
        <v>0</v>
      </c>
      <c r="J9529">
        <v>0</v>
      </c>
      <c r="K9529">
        <v>0</v>
      </c>
      <c r="L9529">
        <v>7046660.1399999997</v>
      </c>
      <c r="M9529">
        <v>7045276.8600000003</v>
      </c>
      <c r="N9529">
        <v>7046660.1399999997</v>
      </c>
      <c r="O9529">
        <v>7045276.8600000003</v>
      </c>
      <c r="P9529">
        <v>9300000</v>
      </c>
      <c r="Q9529">
        <v>9300000</v>
      </c>
      <c r="R9529" s="14">
        <f>_xlfn.XLOOKUP(Table2[[#This Row],[LoanID]],Table1[G-L ID],Table1[ManagerCode],-99)</f>
        <v>270</v>
      </c>
      <c r="T9529"/>
    </row>
    <row r="9530" spans="1:20" x14ac:dyDescent="0.25">
      <c r="A9530">
        <v>20190831</v>
      </c>
      <c r="B9530">
        <v>2019</v>
      </c>
      <c r="C9530">
        <v>8</v>
      </c>
      <c r="D9530">
        <v>1</v>
      </c>
      <c r="E9530">
        <v>14230</v>
      </c>
      <c r="F9530">
        <v>0</v>
      </c>
      <c r="G9530">
        <v>0</v>
      </c>
      <c r="H9530">
        <v>0</v>
      </c>
      <c r="I9530">
        <v>0</v>
      </c>
      <c r="J9530">
        <v>0</v>
      </c>
      <c r="K9530">
        <v>0</v>
      </c>
      <c r="L9530">
        <v>26101053.34</v>
      </c>
      <c r="M9530">
        <v>26095175.600000001</v>
      </c>
      <c r="N9530">
        <v>26101053.34</v>
      </c>
      <c r="O9530">
        <v>26095175.600000001</v>
      </c>
      <c r="P9530">
        <v>26321000</v>
      </c>
      <c r="Q9530">
        <v>26321000</v>
      </c>
      <c r="R9530" s="14">
        <f>_xlfn.XLOOKUP(Table2[[#This Row],[LoanID]],Table1[G-L ID],Table1[ManagerCode],-99)</f>
        <v>270</v>
      </c>
      <c r="T9530"/>
    </row>
    <row r="9531" spans="1:20" x14ac:dyDescent="0.25">
      <c r="A9531">
        <v>20190831</v>
      </c>
      <c r="B9531">
        <v>2019</v>
      </c>
      <c r="C9531">
        <v>8</v>
      </c>
      <c r="D9531">
        <v>1</v>
      </c>
      <c r="E9531">
        <v>14260</v>
      </c>
      <c r="F9531">
        <v>0</v>
      </c>
      <c r="G9531">
        <v>0</v>
      </c>
      <c r="H9531">
        <v>0</v>
      </c>
      <c r="I9531">
        <v>0</v>
      </c>
      <c r="J9531">
        <v>0</v>
      </c>
      <c r="K9531">
        <v>0</v>
      </c>
      <c r="L9531">
        <v>6409539.2199999997</v>
      </c>
      <c r="M9531">
        <v>6408095.5499999998</v>
      </c>
      <c r="N9531">
        <v>6409539.2199999997</v>
      </c>
      <c r="O9531">
        <v>6408095.5499999998</v>
      </c>
      <c r="P9531">
        <v>12500000</v>
      </c>
      <c r="Q9531">
        <v>12500000</v>
      </c>
      <c r="R9531" s="14">
        <f>_xlfn.XLOOKUP(Table2[[#This Row],[LoanID]],Table1[G-L ID],Table1[ManagerCode],-99)</f>
        <v>270</v>
      </c>
      <c r="T9531"/>
    </row>
    <row r="9532" spans="1:20" x14ac:dyDescent="0.25">
      <c r="A9532">
        <v>20190831</v>
      </c>
      <c r="B9532">
        <v>2019</v>
      </c>
      <c r="C9532">
        <v>8</v>
      </c>
      <c r="D9532">
        <v>1</v>
      </c>
      <c r="E9532">
        <v>14270</v>
      </c>
      <c r="F9532">
        <v>0</v>
      </c>
      <c r="G9532">
        <v>0</v>
      </c>
      <c r="H9532">
        <v>0</v>
      </c>
      <c r="I9532">
        <v>0</v>
      </c>
      <c r="J9532">
        <v>0</v>
      </c>
      <c r="K9532">
        <v>0</v>
      </c>
      <c r="L9532">
        <v>5131031.37</v>
      </c>
      <c r="M9532">
        <v>5129876.4400000004</v>
      </c>
      <c r="N9532">
        <v>5131031.37</v>
      </c>
      <c r="O9532">
        <v>5129876.4400000004</v>
      </c>
      <c r="P9532">
        <v>10000000</v>
      </c>
      <c r="Q9532">
        <v>10000000</v>
      </c>
      <c r="R9532" s="14">
        <f>_xlfn.XLOOKUP(Table2[[#This Row],[LoanID]],Table1[G-L ID],Table1[ManagerCode],-99)</f>
        <v>270</v>
      </c>
      <c r="T9532"/>
    </row>
    <row r="9533" spans="1:20" x14ac:dyDescent="0.25">
      <c r="A9533">
        <v>20190831</v>
      </c>
      <c r="B9533">
        <v>2019</v>
      </c>
      <c r="C9533">
        <v>8</v>
      </c>
      <c r="D9533">
        <v>1</v>
      </c>
      <c r="E9533">
        <v>14300</v>
      </c>
      <c r="F9533">
        <v>38583.919999999998</v>
      </c>
      <c r="G9533">
        <v>0</v>
      </c>
      <c r="H9533">
        <v>0</v>
      </c>
      <c r="I9533">
        <v>0</v>
      </c>
      <c r="J9533">
        <v>0</v>
      </c>
      <c r="K9533">
        <v>0</v>
      </c>
      <c r="L9533">
        <v>7689215.8099999996</v>
      </c>
      <c r="M9533">
        <v>7687483.4000000004</v>
      </c>
      <c r="N9533">
        <v>7689215.8099999996</v>
      </c>
      <c r="O9533">
        <v>7687483.4000000004</v>
      </c>
      <c r="P9533">
        <v>15000000</v>
      </c>
      <c r="Q9533">
        <v>15000000</v>
      </c>
      <c r="R9533" s="14">
        <f>_xlfn.XLOOKUP(Table2[[#This Row],[LoanID]],Table1[G-L ID],Table1[ManagerCode],-99)</f>
        <v>270</v>
      </c>
      <c r="T9533"/>
    </row>
    <row r="9534" spans="1:20" x14ac:dyDescent="0.25">
      <c r="A9534">
        <v>20190831</v>
      </c>
      <c r="B9534">
        <v>2019</v>
      </c>
      <c r="C9534">
        <v>8</v>
      </c>
      <c r="D9534">
        <v>1</v>
      </c>
      <c r="E9534">
        <v>14310</v>
      </c>
      <c r="F9534">
        <v>0</v>
      </c>
      <c r="G9534">
        <v>0</v>
      </c>
      <c r="H9534">
        <v>0</v>
      </c>
      <c r="I9534">
        <v>0</v>
      </c>
      <c r="J9534">
        <v>-106750.87</v>
      </c>
      <c r="K9534">
        <v>0</v>
      </c>
      <c r="L9534">
        <v>10879104.67</v>
      </c>
      <c r="M9534">
        <v>11246053.359999999</v>
      </c>
      <c r="N9534">
        <v>10879104.67</v>
      </c>
      <c r="O9534">
        <v>11246053.359999999</v>
      </c>
      <c r="P9534">
        <v>21788907.989999998</v>
      </c>
      <c r="Q9534">
        <v>21895658.859999999</v>
      </c>
      <c r="R9534" s="14">
        <f>_xlfn.XLOOKUP(Table2[[#This Row],[LoanID]],Table1[G-L ID],Table1[ManagerCode],-99)</f>
        <v>270</v>
      </c>
      <c r="T9534"/>
    </row>
    <row r="9535" spans="1:20" x14ac:dyDescent="0.25">
      <c r="A9535">
        <v>20190831</v>
      </c>
      <c r="B9535">
        <v>2019</v>
      </c>
      <c r="C9535">
        <v>8</v>
      </c>
      <c r="D9535">
        <v>1</v>
      </c>
      <c r="E9535">
        <v>14320</v>
      </c>
      <c r="F9535">
        <v>0</v>
      </c>
      <c r="G9535">
        <v>0</v>
      </c>
      <c r="H9535">
        <v>0</v>
      </c>
      <c r="I9535">
        <v>0</v>
      </c>
      <c r="J9535">
        <v>0</v>
      </c>
      <c r="K9535">
        <v>-77772.800000000003</v>
      </c>
      <c r="L9535">
        <v>15317750.189999999</v>
      </c>
      <c r="M9535">
        <v>15638159.84</v>
      </c>
      <c r="N9535">
        <v>15317750.189999999</v>
      </c>
      <c r="O9535">
        <v>15638159.84</v>
      </c>
      <c r="P9535">
        <v>30118973.100000001</v>
      </c>
      <c r="Q9535">
        <v>30196745.899999999</v>
      </c>
      <c r="R9535" s="14">
        <f>_xlfn.XLOOKUP(Table2[[#This Row],[LoanID]],Table1[G-L ID],Table1[ManagerCode],-99)</f>
        <v>270</v>
      </c>
      <c r="T9535"/>
    </row>
    <row r="9536" spans="1:20" x14ac:dyDescent="0.25">
      <c r="A9536">
        <v>20190831</v>
      </c>
      <c r="B9536">
        <v>2019</v>
      </c>
      <c r="C9536">
        <v>8</v>
      </c>
      <c r="D9536">
        <v>1</v>
      </c>
      <c r="E9536">
        <v>14340</v>
      </c>
      <c r="F9536">
        <v>62119.03</v>
      </c>
      <c r="G9536">
        <v>0</v>
      </c>
      <c r="H9536">
        <v>0</v>
      </c>
      <c r="I9536">
        <v>0</v>
      </c>
      <c r="J9536">
        <v>0</v>
      </c>
      <c r="K9536">
        <v>0</v>
      </c>
      <c r="L9536">
        <v>13845047.140000001</v>
      </c>
      <c r="M9536">
        <v>14093629.99</v>
      </c>
      <c r="N9536">
        <v>13845047.140000001</v>
      </c>
      <c r="O9536">
        <v>14093629.99</v>
      </c>
      <c r="P9536">
        <v>27169350.890000001</v>
      </c>
      <c r="Q9536">
        <v>27169350.890000001</v>
      </c>
      <c r="R9536" s="14">
        <f>_xlfn.XLOOKUP(Table2[[#This Row],[LoanID]],Table1[G-L ID],Table1[ManagerCode],-99)</f>
        <v>270</v>
      </c>
      <c r="T9536"/>
    </row>
    <row r="9537" spans="1:20" x14ac:dyDescent="0.25">
      <c r="A9537">
        <v>20190831</v>
      </c>
      <c r="B9537">
        <v>2019</v>
      </c>
      <c r="C9537">
        <v>8</v>
      </c>
      <c r="D9537">
        <v>1</v>
      </c>
      <c r="E9537">
        <v>14350</v>
      </c>
      <c r="F9537">
        <v>0</v>
      </c>
      <c r="G9537">
        <v>0</v>
      </c>
      <c r="H9537">
        <v>0</v>
      </c>
      <c r="I9537">
        <v>0</v>
      </c>
      <c r="J9537">
        <v>-149098.01</v>
      </c>
      <c r="K9537">
        <v>0</v>
      </c>
      <c r="L9537">
        <v>29912354.02</v>
      </c>
      <c r="M9537">
        <v>30516023.390000001</v>
      </c>
      <c r="N9537">
        <v>29912354.02</v>
      </c>
      <c r="O9537">
        <v>30516023.390000001</v>
      </c>
      <c r="P9537">
        <v>45119962.939999998</v>
      </c>
      <c r="Q9537">
        <v>45269060.950000003</v>
      </c>
      <c r="R9537" s="14">
        <f>_xlfn.XLOOKUP(Table2[[#This Row],[LoanID]],Table1[G-L ID],Table1[ManagerCode],-99)</f>
        <v>270</v>
      </c>
      <c r="T9537"/>
    </row>
    <row r="9538" spans="1:20" x14ac:dyDescent="0.25">
      <c r="A9538">
        <v>20190831</v>
      </c>
      <c r="B9538">
        <v>2019</v>
      </c>
      <c r="C9538">
        <v>8</v>
      </c>
      <c r="D9538">
        <v>1</v>
      </c>
      <c r="E9538">
        <v>14360</v>
      </c>
      <c r="F9538">
        <v>0</v>
      </c>
      <c r="G9538">
        <v>0</v>
      </c>
      <c r="H9538">
        <v>0</v>
      </c>
      <c r="I9538">
        <v>0</v>
      </c>
      <c r="J9538">
        <v>0</v>
      </c>
      <c r="K9538">
        <v>0</v>
      </c>
      <c r="L9538">
        <v>11478122.67</v>
      </c>
      <c r="M9538">
        <v>11523944.33</v>
      </c>
      <c r="N9538">
        <v>11478122.67</v>
      </c>
      <c r="O9538">
        <v>11523944.33</v>
      </c>
      <c r="P9538">
        <v>13904858.85</v>
      </c>
      <c r="Q9538">
        <v>13904858.85</v>
      </c>
      <c r="R9538" s="14">
        <f>_xlfn.XLOOKUP(Table2[[#This Row],[LoanID]],Table1[G-L ID],Table1[ManagerCode],-99)</f>
        <v>270</v>
      </c>
      <c r="T9538"/>
    </row>
    <row r="9539" spans="1:20" x14ac:dyDescent="0.25">
      <c r="A9539">
        <v>20190831</v>
      </c>
      <c r="B9539">
        <v>2019</v>
      </c>
      <c r="C9539">
        <v>8</v>
      </c>
      <c r="D9539">
        <v>1</v>
      </c>
      <c r="E9539">
        <v>14370</v>
      </c>
      <c r="F9539">
        <v>0</v>
      </c>
      <c r="G9539">
        <v>0</v>
      </c>
      <c r="H9539">
        <v>0</v>
      </c>
      <c r="I9539">
        <v>0</v>
      </c>
      <c r="J9539">
        <v>0</v>
      </c>
      <c r="K9539">
        <v>0</v>
      </c>
      <c r="L9539">
        <v>16997413.649999999</v>
      </c>
      <c r="M9539">
        <v>17084900.940000001</v>
      </c>
      <c r="N9539">
        <v>16997413.649999999</v>
      </c>
      <c r="O9539">
        <v>17084900.940000001</v>
      </c>
      <c r="P9539">
        <v>19790525.699999999</v>
      </c>
      <c r="Q9539">
        <v>19790525.699999999</v>
      </c>
      <c r="R9539" s="14">
        <f>_xlfn.XLOOKUP(Table2[[#This Row],[LoanID]],Table1[G-L ID],Table1[ManagerCode],-99)</f>
        <v>270</v>
      </c>
      <c r="T9539"/>
    </row>
    <row r="9540" spans="1:20" x14ac:dyDescent="0.25">
      <c r="A9540">
        <v>20190831</v>
      </c>
      <c r="B9540">
        <v>2019</v>
      </c>
      <c r="C9540">
        <v>8</v>
      </c>
      <c r="D9540">
        <v>1</v>
      </c>
      <c r="E9540">
        <v>14380</v>
      </c>
      <c r="F9540">
        <v>0</v>
      </c>
      <c r="G9540">
        <v>0</v>
      </c>
      <c r="H9540">
        <v>0</v>
      </c>
      <c r="I9540">
        <v>0</v>
      </c>
      <c r="J9540">
        <v>0</v>
      </c>
      <c r="K9540">
        <v>0</v>
      </c>
      <c r="L9540">
        <v>9920075.3699999992</v>
      </c>
      <c r="M9540">
        <v>9924147.0999999996</v>
      </c>
      <c r="N9540">
        <v>9920075.3699999992</v>
      </c>
      <c r="O9540">
        <v>9924147.0999999996</v>
      </c>
      <c r="P9540">
        <v>20955891</v>
      </c>
      <c r="Q9540">
        <v>20955891</v>
      </c>
      <c r="R9540" s="14">
        <f>_xlfn.XLOOKUP(Table2[[#This Row],[LoanID]],Table1[G-L ID],Table1[ManagerCode],-99)</f>
        <v>270</v>
      </c>
      <c r="T9540"/>
    </row>
    <row r="9541" spans="1:20" x14ac:dyDescent="0.25">
      <c r="A9541">
        <v>20190831</v>
      </c>
      <c r="B9541">
        <v>2019</v>
      </c>
      <c r="C9541">
        <v>8</v>
      </c>
      <c r="D9541">
        <v>1</v>
      </c>
      <c r="E9541">
        <v>14390</v>
      </c>
      <c r="F9541">
        <v>0</v>
      </c>
      <c r="G9541">
        <v>0</v>
      </c>
      <c r="H9541">
        <v>0</v>
      </c>
      <c r="I9541">
        <v>0</v>
      </c>
      <c r="J9541">
        <v>0</v>
      </c>
      <c r="K9541">
        <v>0</v>
      </c>
      <c r="L9541">
        <v>199108.99</v>
      </c>
      <c r="M9541">
        <v>199190.71</v>
      </c>
      <c r="N9541">
        <v>199108.99</v>
      </c>
      <c r="O9541">
        <v>199190.71</v>
      </c>
      <c r="P9541">
        <v>469423.46</v>
      </c>
      <c r="Q9541">
        <v>469423.46</v>
      </c>
      <c r="R9541" s="14">
        <f>_xlfn.XLOOKUP(Table2[[#This Row],[LoanID]],Table1[G-L ID],Table1[ManagerCode],-99)</f>
        <v>270</v>
      </c>
      <c r="T9541"/>
    </row>
    <row r="9542" spans="1:20" x14ac:dyDescent="0.25">
      <c r="A9542">
        <v>20190831</v>
      </c>
      <c r="B9542">
        <v>2019</v>
      </c>
      <c r="C9542">
        <v>8</v>
      </c>
      <c r="D9542">
        <v>1</v>
      </c>
      <c r="E9542">
        <v>14420</v>
      </c>
      <c r="F9542">
        <v>0</v>
      </c>
      <c r="G9542">
        <v>0</v>
      </c>
      <c r="H9542">
        <v>0</v>
      </c>
      <c r="I9542">
        <v>0</v>
      </c>
      <c r="J9542">
        <v>0</v>
      </c>
      <c r="K9542">
        <v>0</v>
      </c>
      <c r="L9542">
        <v>8165298.79</v>
      </c>
      <c r="M9542">
        <v>8165363.4699999997</v>
      </c>
      <c r="N9542">
        <v>8165298.79</v>
      </c>
      <c r="O9542">
        <v>8165363.4699999997</v>
      </c>
      <c r="P9542">
        <v>13746615.060000001</v>
      </c>
      <c r="Q9542">
        <v>13746615.060000001</v>
      </c>
      <c r="R9542" s="14">
        <f>_xlfn.XLOOKUP(Table2[[#This Row],[LoanID]],Table1[G-L ID],Table1[ManagerCode],-99)</f>
        <v>270</v>
      </c>
      <c r="T9542"/>
    </row>
    <row r="9543" spans="1:20" x14ac:dyDescent="0.25">
      <c r="A9543">
        <v>20190831</v>
      </c>
      <c r="B9543">
        <v>2019</v>
      </c>
      <c r="C9543">
        <v>8</v>
      </c>
      <c r="D9543">
        <v>1</v>
      </c>
      <c r="E9543">
        <v>14460</v>
      </c>
      <c r="F9543">
        <v>0</v>
      </c>
      <c r="G9543">
        <v>0</v>
      </c>
      <c r="H9543">
        <v>0</v>
      </c>
      <c r="I9543">
        <v>0</v>
      </c>
      <c r="J9543">
        <v>0</v>
      </c>
      <c r="K9543">
        <v>0</v>
      </c>
      <c r="L9543">
        <v>2032086.66</v>
      </c>
      <c r="M9543">
        <v>2025806.66</v>
      </c>
      <c r="N9543">
        <v>2032086.66</v>
      </c>
      <c r="O9543">
        <v>2025806.66</v>
      </c>
      <c r="P9543">
        <v>6142857.1500000004</v>
      </c>
      <c r="Q9543">
        <v>6142857.1500000004</v>
      </c>
      <c r="R9543" s="14">
        <f>_xlfn.XLOOKUP(Table2[[#This Row],[LoanID]],Table1[G-L ID],Table1[ManagerCode],-99)</f>
        <v>270</v>
      </c>
      <c r="T9543"/>
    </row>
    <row r="9544" spans="1:20" x14ac:dyDescent="0.25">
      <c r="A9544">
        <v>20190831</v>
      </c>
      <c r="B9544">
        <v>2019</v>
      </c>
      <c r="C9544">
        <v>8</v>
      </c>
      <c r="D9544">
        <v>1</v>
      </c>
      <c r="E9544">
        <v>14580</v>
      </c>
      <c r="F9544">
        <v>0</v>
      </c>
      <c r="G9544">
        <v>0</v>
      </c>
      <c r="H9544">
        <v>0</v>
      </c>
      <c r="I9544">
        <v>0</v>
      </c>
      <c r="J9544">
        <v>0</v>
      </c>
      <c r="K9544">
        <v>0</v>
      </c>
      <c r="L9544">
        <v>12233680.83</v>
      </c>
      <c r="M9544">
        <v>12260596.890000001</v>
      </c>
      <c r="N9544">
        <v>12233680.83</v>
      </c>
      <c r="O9544">
        <v>12260596.890000001</v>
      </c>
      <c r="P9544">
        <v>24060000</v>
      </c>
      <c r="Q9544">
        <v>24060000</v>
      </c>
      <c r="R9544" s="14">
        <f>_xlfn.XLOOKUP(Table2[[#This Row],[LoanID]],Table1[G-L ID],Table1[ManagerCode],-99)</f>
        <v>270</v>
      </c>
      <c r="T9544"/>
    </row>
    <row r="9545" spans="1:20" x14ac:dyDescent="0.25">
      <c r="A9545">
        <v>20190831</v>
      </c>
      <c r="B9545">
        <v>2019</v>
      </c>
      <c r="C9545">
        <v>8</v>
      </c>
      <c r="D9545">
        <v>1</v>
      </c>
      <c r="E9545">
        <v>14590</v>
      </c>
      <c r="F9545">
        <v>0</v>
      </c>
      <c r="G9545">
        <v>0</v>
      </c>
      <c r="H9545">
        <v>0</v>
      </c>
      <c r="I9545">
        <v>0</v>
      </c>
      <c r="J9545">
        <v>-46009.96</v>
      </c>
      <c r="K9545">
        <v>0</v>
      </c>
      <c r="L9545">
        <v>608587.23</v>
      </c>
      <c r="M9545">
        <v>655429.68000000005</v>
      </c>
      <c r="N9545">
        <v>608587.23</v>
      </c>
      <c r="O9545">
        <v>655429.68000000005</v>
      </c>
      <c r="P9545">
        <v>1196075.3600000001</v>
      </c>
      <c r="Q9545">
        <v>1242085.32</v>
      </c>
      <c r="R9545" s="14">
        <f>_xlfn.XLOOKUP(Table2[[#This Row],[LoanID]],Table1[G-L ID],Table1[ManagerCode],-99)</f>
        <v>270</v>
      </c>
      <c r="T9545"/>
    </row>
    <row r="9546" spans="1:20" x14ac:dyDescent="0.25">
      <c r="A9546">
        <v>20190831</v>
      </c>
      <c r="B9546">
        <v>2019</v>
      </c>
      <c r="C9546">
        <v>8</v>
      </c>
      <c r="D9546">
        <v>1</v>
      </c>
      <c r="E9546">
        <v>14670</v>
      </c>
      <c r="F9546">
        <v>168270.63</v>
      </c>
      <c r="G9546">
        <v>0</v>
      </c>
      <c r="H9546">
        <v>0</v>
      </c>
      <c r="I9546">
        <v>0</v>
      </c>
      <c r="J9546">
        <v>0</v>
      </c>
      <c r="K9546">
        <v>40348.699999999997</v>
      </c>
      <c r="L9546">
        <v>30433042.84</v>
      </c>
      <c r="M9546">
        <v>30392694.140000001</v>
      </c>
      <c r="N9546">
        <v>30433042.84</v>
      </c>
      <c r="O9546">
        <v>30392694.140000001</v>
      </c>
      <c r="P9546">
        <v>30433042.84</v>
      </c>
      <c r="Q9546">
        <v>30392694.140000001</v>
      </c>
      <c r="R9546" s="14">
        <f>_xlfn.XLOOKUP(Table2[[#This Row],[LoanID]],Table1[G-L ID],Table1[ManagerCode],-99)</f>
        <v>220</v>
      </c>
      <c r="T9546"/>
    </row>
    <row r="9547" spans="1:20" x14ac:dyDescent="0.25">
      <c r="A9547">
        <v>20190831</v>
      </c>
      <c r="B9547">
        <v>2019</v>
      </c>
      <c r="C9547">
        <v>8</v>
      </c>
      <c r="D9547">
        <v>1</v>
      </c>
      <c r="E9547">
        <v>14680</v>
      </c>
      <c r="F9547">
        <v>64565.57</v>
      </c>
      <c r="G9547">
        <v>0</v>
      </c>
      <c r="H9547">
        <v>0</v>
      </c>
      <c r="I9547">
        <v>0</v>
      </c>
      <c r="J9547">
        <v>-352029.34</v>
      </c>
      <c r="K9547">
        <v>1413229.25</v>
      </c>
      <c r="L9547">
        <v>30001180.120000001</v>
      </c>
      <c r="M9547">
        <v>30353209.460000001</v>
      </c>
      <c r="N9547">
        <v>8969421.1699999999</v>
      </c>
      <c r="O9547">
        <v>7908221.2599999998</v>
      </c>
      <c r="P9547">
        <v>29926650.93</v>
      </c>
      <c r="Q9547">
        <v>30278680.27</v>
      </c>
      <c r="R9547" s="14">
        <f>_xlfn.XLOOKUP(Table2[[#This Row],[LoanID]],Table1[G-L ID],Table1[ManagerCode],-99)</f>
        <v>220</v>
      </c>
      <c r="T9547"/>
    </row>
    <row r="9548" spans="1:20" x14ac:dyDescent="0.25">
      <c r="A9548">
        <v>20190831</v>
      </c>
      <c r="B9548">
        <v>2019</v>
      </c>
      <c r="C9548">
        <v>8</v>
      </c>
      <c r="D9548">
        <v>1</v>
      </c>
      <c r="E9548">
        <v>14690</v>
      </c>
      <c r="F9548">
        <v>99008.18</v>
      </c>
      <c r="G9548">
        <v>0</v>
      </c>
      <c r="H9548">
        <v>0</v>
      </c>
      <c r="I9548">
        <v>0</v>
      </c>
      <c r="J9548">
        <v>-191542.66</v>
      </c>
      <c r="K9548">
        <v>0</v>
      </c>
      <c r="L9548">
        <v>42395990</v>
      </c>
      <c r="M9548">
        <v>42587532.890000001</v>
      </c>
      <c r="N9548">
        <v>14878240</v>
      </c>
      <c r="O9548">
        <v>15069782.890000001</v>
      </c>
      <c r="P9548">
        <v>42395990.229999997</v>
      </c>
      <c r="Q9548">
        <v>42587532.890000001</v>
      </c>
      <c r="R9548" s="14">
        <f>_xlfn.XLOOKUP(Table2[[#This Row],[LoanID]],Table1[G-L ID],Table1[ManagerCode],-99)</f>
        <v>220</v>
      </c>
      <c r="T9548"/>
    </row>
    <row r="9549" spans="1:20" x14ac:dyDescent="0.25">
      <c r="A9549">
        <v>20190831</v>
      </c>
      <c r="B9549">
        <v>2019</v>
      </c>
      <c r="C9549">
        <v>8</v>
      </c>
      <c r="D9549">
        <v>1</v>
      </c>
      <c r="E9549">
        <v>14700</v>
      </c>
      <c r="F9549">
        <v>77293.740000000005</v>
      </c>
      <c r="G9549">
        <v>0</v>
      </c>
      <c r="H9549">
        <v>0</v>
      </c>
      <c r="I9549">
        <v>0</v>
      </c>
      <c r="J9549">
        <v>0</v>
      </c>
      <c r="K9549">
        <v>0</v>
      </c>
      <c r="L9549">
        <v>35393493.799999997</v>
      </c>
      <c r="M9549">
        <v>35393493.799999997</v>
      </c>
      <c r="N9549">
        <v>10805993.800000001</v>
      </c>
      <c r="O9549">
        <v>10805993.800000001</v>
      </c>
      <c r="P9549">
        <v>35393493.799999997</v>
      </c>
      <c r="Q9549">
        <v>35393493.799999997</v>
      </c>
      <c r="R9549" s="14">
        <f>_xlfn.XLOOKUP(Table2[[#This Row],[LoanID]],Table1[G-L ID],Table1[ManagerCode],-99)</f>
        <v>220</v>
      </c>
      <c r="T9549"/>
    </row>
    <row r="9550" spans="1:20" x14ac:dyDescent="0.25">
      <c r="A9550">
        <v>20190831</v>
      </c>
      <c r="B9550">
        <v>2019</v>
      </c>
      <c r="C9550">
        <v>8</v>
      </c>
      <c r="D9550">
        <v>1</v>
      </c>
      <c r="E9550">
        <v>14710</v>
      </c>
      <c r="F9550">
        <v>64486.96</v>
      </c>
      <c r="G9550">
        <v>0</v>
      </c>
      <c r="H9550">
        <v>0</v>
      </c>
      <c r="I9550">
        <v>0</v>
      </c>
      <c r="J9550">
        <v>0</v>
      </c>
      <c r="K9550">
        <v>0</v>
      </c>
      <c r="L9550">
        <v>33650000</v>
      </c>
      <c r="M9550">
        <v>33650000</v>
      </c>
      <c r="N9550">
        <v>11777500</v>
      </c>
      <c r="O9550">
        <v>11777500</v>
      </c>
      <c r="P9550">
        <v>33650000</v>
      </c>
      <c r="Q9550">
        <v>33650000</v>
      </c>
      <c r="R9550" s="14">
        <f>_xlfn.XLOOKUP(Table2[[#This Row],[LoanID]],Table1[G-L ID],Table1[ManagerCode],-99)</f>
        <v>220</v>
      </c>
      <c r="T9550"/>
    </row>
    <row r="9551" spans="1:20" x14ac:dyDescent="0.25">
      <c r="A9551">
        <v>20190831</v>
      </c>
      <c r="B9551">
        <v>2019</v>
      </c>
      <c r="C9551">
        <v>8</v>
      </c>
      <c r="D9551">
        <v>1</v>
      </c>
      <c r="E9551">
        <v>14720</v>
      </c>
      <c r="F9551">
        <v>50296.17</v>
      </c>
      <c r="G9551">
        <v>0</v>
      </c>
      <c r="H9551">
        <v>0</v>
      </c>
      <c r="I9551">
        <v>0</v>
      </c>
      <c r="J9551">
        <v>-587316.06000000006</v>
      </c>
      <c r="K9551">
        <v>0</v>
      </c>
      <c r="L9551">
        <v>21340000</v>
      </c>
      <c r="M9551">
        <v>21927316.059999999</v>
      </c>
      <c r="N9551">
        <v>7613000</v>
      </c>
      <c r="O9551">
        <v>8200316.0599999996</v>
      </c>
      <c r="P9551">
        <v>21338838.02</v>
      </c>
      <c r="Q9551">
        <v>21926154.079999998</v>
      </c>
      <c r="R9551" s="14">
        <f>_xlfn.XLOOKUP(Table2[[#This Row],[LoanID]],Table1[G-L ID],Table1[ManagerCode],-99)</f>
        <v>220</v>
      </c>
      <c r="T9551"/>
    </row>
    <row r="9552" spans="1:20" x14ac:dyDescent="0.25">
      <c r="A9552">
        <v>20190831</v>
      </c>
      <c r="B9552">
        <v>2019</v>
      </c>
      <c r="C9552">
        <v>8</v>
      </c>
      <c r="D9552">
        <v>1</v>
      </c>
      <c r="E9552">
        <v>14730</v>
      </c>
      <c r="F9552">
        <v>205577.36</v>
      </c>
      <c r="G9552">
        <v>0</v>
      </c>
      <c r="H9552">
        <v>0</v>
      </c>
      <c r="I9552">
        <v>0</v>
      </c>
      <c r="J9552">
        <v>0</v>
      </c>
      <c r="K9552">
        <v>0</v>
      </c>
      <c r="L9552">
        <v>50350000</v>
      </c>
      <c r="M9552">
        <v>50350000</v>
      </c>
      <c r="N9552">
        <v>50350000</v>
      </c>
      <c r="O9552">
        <v>50350000</v>
      </c>
      <c r="P9552">
        <v>50260000</v>
      </c>
      <c r="Q9552">
        <v>50260000</v>
      </c>
      <c r="R9552" s="14">
        <f>_xlfn.XLOOKUP(Table2[[#This Row],[LoanID]],Table1[G-L ID],Table1[ManagerCode],-99)</f>
        <v>220</v>
      </c>
      <c r="T9552"/>
    </row>
    <row r="9553" spans="1:20" x14ac:dyDescent="0.25">
      <c r="A9553">
        <v>20190831</v>
      </c>
      <c r="B9553">
        <v>2019</v>
      </c>
      <c r="C9553">
        <v>8</v>
      </c>
      <c r="D9553">
        <v>1</v>
      </c>
      <c r="E9553">
        <v>14740</v>
      </c>
      <c r="F9553">
        <v>92888.06</v>
      </c>
      <c r="G9553">
        <v>0</v>
      </c>
      <c r="H9553">
        <v>0</v>
      </c>
      <c r="I9553">
        <v>0</v>
      </c>
      <c r="J9553">
        <v>0</v>
      </c>
      <c r="K9553">
        <v>0</v>
      </c>
      <c r="L9553">
        <v>35000000</v>
      </c>
      <c r="M9553">
        <v>35000000</v>
      </c>
      <c r="N9553">
        <v>14000000</v>
      </c>
      <c r="O9553">
        <v>14000000</v>
      </c>
      <c r="P9553">
        <v>35000000</v>
      </c>
      <c r="Q9553">
        <v>35000000</v>
      </c>
      <c r="R9553" s="14">
        <f>_xlfn.XLOOKUP(Table2[[#This Row],[LoanID]],Table1[G-L ID],Table1[ManagerCode],-99)</f>
        <v>220</v>
      </c>
      <c r="T9553"/>
    </row>
    <row r="9554" spans="1:20" x14ac:dyDescent="0.25">
      <c r="A9554">
        <v>20190831</v>
      </c>
      <c r="B9554">
        <v>2019</v>
      </c>
      <c r="C9554">
        <v>8</v>
      </c>
      <c r="D9554">
        <v>1</v>
      </c>
      <c r="E9554">
        <v>14750</v>
      </c>
      <c r="F9554">
        <v>123047.67</v>
      </c>
      <c r="G9554">
        <v>0</v>
      </c>
      <c r="H9554">
        <v>0</v>
      </c>
      <c r="I9554">
        <v>0</v>
      </c>
      <c r="J9554">
        <v>0</v>
      </c>
      <c r="K9554">
        <v>0</v>
      </c>
      <c r="L9554">
        <v>56938347.729999997</v>
      </c>
      <c r="M9554">
        <v>56938347.729999997</v>
      </c>
      <c r="N9554">
        <v>21188347.73</v>
      </c>
      <c r="O9554">
        <v>21188347.73</v>
      </c>
      <c r="P9554">
        <v>56938347.729999997</v>
      </c>
      <c r="Q9554">
        <v>56938347.729999997</v>
      </c>
      <c r="R9554" s="14">
        <f>_xlfn.XLOOKUP(Table2[[#This Row],[LoanID]],Table1[G-L ID],Table1[ManagerCode],-99)</f>
        <v>220</v>
      </c>
      <c r="T9554"/>
    </row>
    <row r="9555" spans="1:20" x14ac:dyDescent="0.25">
      <c r="A9555">
        <v>20190831</v>
      </c>
      <c r="B9555">
        <v>2019</v>
      </c>
      <c r="C9555">
        <v>8</v>
      </c>
      <c r="D9555">
        <v>1</v>
      </c>
      <c r="E9555">
        <v>14760</v>
      </c>
      <c r="F9555">
        <v>175408.33</v>
      </c>
      <c r="G9555">
        <v>0</v>
      </c>
      <c r="H9555">
        <v>0</v>
      </c>
      <c r="I9555">
        <v>0</v>
      </c>
      <c r="J9555">
        <v>0</v>
      </c>
      <c r="K9555">
        <v>0</v>
      </c>
      <c r="L9555">
        <v>105000000</v>
      </c>
      <c r="M9555">
        <v>105000000</v>
      </c>
      <c r="N9555">
        <v>26250000</v>
      </c>
      <c r="O9555">
        <v>26250000</v>
      </c>
      <c r="P9555">
        <v>105000000</v>
      </c>
      <c r="Q9555">
        <v>105000000</v>
      </c>
      <c r="R9555" s="14">
        <f>_xlfn.XLOOKUP(Table2[[#This Row],[LoanID]],Table1[G-L ID],Table1[ManagerCode],-99)</f>
        <v>220</v>
      </c>
      <c r="T9555"/>
    </row>
    <row r="9556" spans="1:20" x14ac:dyDescent="0.25">
      <c r="A9556">
        <v>20190831</v>
      </c>
      <c r="B9556">
        <v>2019</v>
      </c>
      <c r="C9556">
        <v>8</v>
      </c>
      <c r="D9556">
        <v>1</v>
      </c>
      <c r="E9556">
        <v>14770</v>
      </c>
      <c r="F9556">
        <v>89484.25</v>
      </c>
      <c r="G9556">
        <v>0</v>
      </c>
      <c r="H9556">
        <v>0</v>
      </c>
      <c r="I9556">
        <v>0</v>
      </c>
      <c r="J9556">
        <v>-27600000</v>
      </c>
      <c r="K9556">
        <v>0</v>
      </c>
      <c r="L9556">
        <v>12900000</v>
      </c>
      <c r="M9556">
        <v>40500000</v>
      </c>
      <c r="N9556">
        <v>12900000</v>
      </c>
      <c r="O9556">
        <v>40500000</v>
      </c>
      <c r="P9556">
        <v>12900000</v>
      </c>
      <c r="Q9556">
        <v>40500000</v>
      </c>
      <c r="R9556" s="14">
        <f>_xlfn.XLOOKUP(Table2[[#This Row],[LoanID]],Table1[G-L ID],Table1[ManagerCode],-99)</f>
        <v>220</v>
      </c>
      <c r="T9556"/>
    </row>
    <row r="9557" spans="1:20" x14ac:dyDescent="0.25">
      <c r="A9557">
        <v>20190831</v>
      </c>
      <c r="B9557">
        <v>2019</v>
      </c>
      <c r="C9557">
        <v>8</v>
      </c>
      <c r="D9557">
        <v>1</v>
      </c>
      <c r="E9557">
        <v>14780</v>
      </c>
      <c r="F9557">
        <v>129416.11</v>
      </c>
      <c r="G9557">
        <v>0</v>
      </c>
      <c r="H9557">
        <v>0</v>
      </c>
      <c r="I9557">
        <v>0</v>
      </c>
      <c r="J9557">
        <v>0</v>
      </c>
      <c r="K9557">
        <v>0</v>
      </c>
      <c r="L9557">
        <v>51000000</v>
      </c>
      <c r="M9557">
        <v>51000000</v>
      </c>
      <c r="N9557">
        <v>15300000</v>
      </c>
      <c r="O9557">
        <v>15300000</v>
      </c>
      <c r="P9557">
        <v>51000000</v>
      </c>
      <c r="Q9557">
        <v>51000000</v>
      </c>
      <c r="R9557" s="14">
        <f>_xlfn.XLOOKUP(Table2[[#This Row],[LoanID]],Table1[G-L ID],Table1[ManagerCode],-99)</f>
        <v>220</v>
      </c>
      <c r="T9557"/>
    </row>
    <row r="9558" spans="1:20" x14ac:dyDescent="0.25">
      <c r="A9558">
        <v>20190831</v>
      </c>
      <c r="B9558">
        <v>2019</v>
      </c>
      <c r="C9558">
        <v>8</v>
      </c>
      <c r="D9558">
        <v>1</v>
      </c>
      <c r="E9558">
        <v>14790</v>
      </c>
      <c r="F9558">
        <v>166406.01999999999</v>
      </c>
      <c r="G9558">
        <v>0</v>
      </c>
      <c r="H9558">
        <v>0</v>
      </c>
      <c r="I9558">
        <v>0</v>
      </c>
      <c r="J9558">
        <v>0</v>
      </c>
      <c r="K9558">
        <v>0</v>
      </c>
      <c r="L9558">
        <v>72560000</v>
      </c>
      <c r="M9558">
        <v>72560000</v>
      </c>
      <c r="N9558">
        <v>23228658</v>
      </c>
      <c r="O9558">
        <v>23228658</v>
      </c>
      <c r="P9558">
        <v>72200000</v>
      </c>
      <c r="Q9558">
        <v>72200000</v>
      </c>
      <c r="R9558" s="14">
        <f>_xlfn.XLOOKUP(Table2[[#This Row],[LoanID]],Table1[G-L ID],Table1[ManagerCode],-99)</f>
        <v>220</v>
      </c>
      <c r="T9558"/>
    </row>
    <row r="9559" spans="1:20" x14ac:dyDescent="0.25">
      <c r="A9559">
        <v>20190831</v>
      </c>
      <c r="B9559">
        <v>2019</v>
      </c>
      <c r="C9559">
        <v>8</v>
      </c>
      <c r="D9559">
        <v>1</v>
      </c>
      <c r="E9559">
        <v>14800</v>
      </c>
      <c r="F9559">
        <v>109462.29</v>
      </c>
      <c r="G9559">
        <v>0</v>
      </c>
      <c r="H9559">
        <v>0</v>
      </c>
      <c r="I9559">
        <v>0</v>
      </c>
      <c r="J9559">
        <v>0</v>
      </c>
      <c r="K9559">
        <v>0</v>
      </c>
      <c r="L9559">
        <v>51000000</v>
      </c>
      <c r="M9559">
        <v>51000000</v>
      </c>
      <c r="N9559">
        <v>17850000</v>
      </c>
      <c r="O9559">
        <v>17850000</v>
      </c>
      <c r="P9559">
        <v>51000000</v>
      </c>
      <c r="Q9559">
        <v>51000000</v>
      </c>
      <c r="R9559" s="14">
        <f>_xlfn.XLOOKUP(Table2[[#This Row],[LoanID]],Table1[G-L ID],Table1[ManagerCode],-99)</f>
        <v>220</v>
      </c>
      <c r="T9559"/>
    </row>
    <row r="9560" spans="1:20" x14ac:dyDescent="0.25">
      <c r="A9560">
        <v>20190831</v>
      </c>
      <c r="B9560">
        <v>2019</v>
      </c>
      <c r="C9560">
        <v>8</v>
      </c>
      <c r="D9560">
        <v>1</v>
      </c>
      <c r="E9560">
        <v>14810</v>
      </c>
      <c r="F9560">
        <v>103408.95</v>
      </c>
      <c r="G9560">
        <v>0</v>
      </c>
      <c r="H9560">
        <v>0</v>
      </c>
      <c r="I9560">
        <v>0</v>
      </c>
      <c r="J9560">
        <v>0</v>
      </c>
      <c r="K9560">
        <v>0</v>
      </c>
      <c r="L9560">
        <v>24950000</v>
      </c>
      <c r="M9560">
        <v>24950000</v>
      </c>
      <c r="N9560">
        <v>24950000</v>
      </c>
      <c r="O9560">
        <v>24950000</v>
      </c>
      <c r="P9560">
        <v>24930000</v>
      </c>
      <c r="Q9560">
        <v>24930000</v>
      </c>
      <c r="R9560" s="14">
        <f>_xlfn.XLOOKUP(Table2[[#This Row],[LoanID]],Table1[G-L ID],Table1[ManagerCode],-99)</f>
        <v>220</v>
      </c>
      <c r="T9560"/>
    </row>
    <row r="9561" spans="1:20" x14ac:dyDescent="0.25">
      <c r="A9561">
        <v>20190831</v>
      </c>
      <c r="B9561">
        <v>2019</v>
      </c>
      <c r="C9561">
        <v>8</v>
      </c>
      <c r="D9561">
        <v>1</v>
      </c>
      <c r="E9561">
        <v>14820</v>
      </c>
      <c r="F9561">
        <v>98632.07</v>
      </c>
      <c r="G9561">
        <v>0</v>
      </c>
      <c r="H9561">
        <v>0</v>
      </c>
      <c r="I9561">
        <v>0</v>
      </c>
      <c r="J9561">
        <v>0</v>
      </c>
      <c r="K9561">
        <v>0</v>
      </c>
      <c r="L9561">
        <v>22623000</v>
      </c>
      <c r="M9561">
        <v>22623000</v>
      </c>
      <c r="N9561">
        <v>11953636.26</v>
      </c>
      <c r="O9561">
        <v>11953636.26</v>
      </c>
      <c r="P9561">
        <v>22623000</v>
      </c>
      <c r="Q9561">
        <v>22623000</v>
      </c>
      <c r="R9561" s="14">
        <f>_xlfn.XLOOKUP(Table2[[#This Row],[LoanID]],Table1[G-L ID],Table1[ManagerCode],-99)</f>
        <v>220</v>
      </c>
      <c r="T9561"/>
    </row>
    <row r="9562" spans="1:20" x14ac:dyDescent="0.25">
      <c r="A9562">
        <v>20190831</v>
      </c>
      <c r="B9562">
        <v>2019</v>
      </c>
      <c r="C9562">
        <v>8</v>
      </c>
      <c r="D9562">
        <v>1</v>
      </c>
      <c r="E9562">
        <v>14830</v>
      </c>
      <c r="F9562">
        <v>93211.06</v>
      </c>
      <c r="G9562">
        <v>0</v>
      </c>
      <c r="H9562">
        <v>0</v>
      </c>
      <c r="I9562">
        <v>0</v>
      </c>
      <c r="J9562">
        <v>0</v>
      </c>
      <c r="K9562">
        <v>0</v>
      </c>
      <c r="L9562">
        <v>36300000</v>
      </c>
      <c r="M9562">
        <v>36300000</v>
      </c>
      <c r="N9562">
        <v>14834944.300000001</v>
      </c>
      <c r="O9562">
        <v>14834944.300000001</v>
      </c>
      <c r="P9562">
        <v>36175320.93</v>
      </c>
      <c r="Q9562">
        <v>36175320.93</v>
      </c>
      <c r="R9562" s="14">
        <f>_xlfn.XLOOKUP(Table2[[#This Row],[LoanID]],Table1[G-L ID],Table1[ManagerCode],-99)</f>
        <v>220</v>
      </c>
      <c r="T9562"/>
    </row>
    <row r="9563" spans="1:20" x14ac:dyDescent="0.25">
      <c r="A9563">
        <v>20190831</v>
      </c>
      <c r="B9563">
        <v>2019</v>
      </c>
      <c r="C9563">
        <v>8</v>
      </c>
      <c r="D9563">
        <v>1</v>
      </c>
      <c r="E9563">
        <v>14840</v>
      </c>
      <c r="F9563">
        <v>81442.81</v>
      </c>
      <c r="G9563">
        <v>0</v>
      </c>
      <c r="H9563">
        <v>0</v>
      </c>
      <c r="I9563">
        <v>0</v>
      </c>
      <c r="J9563">
        <v>-114935</v>
      </c>
      <c r="K9563">
        <v>0</v>
      </c>
      <c r="L9563">
        <v>32422178.23</v>
      </c>
      <c r="M9563">
        <v>32520000</v>
      </c>
      <c r="N9563">
        <v>13223645.189999999</v>
      </c>
      <c r="O9563">
        <v>13321466.960000001</v>
      </c>
      <c r="P9563">
        <v>32369733.289999999</v>
      </c>
      <c r="Q9563">
        <v>32484668.289999999</v>
      </c>
      <c r="R9563" s="14">
        <f>_xlfn.XLOOKUP(Table2[[#This Row],[LoanID]],Table1[G-L ID],Table1[ManagerCode],-99)</f>
        <v>220</v>
      </c>
      <c r="T9563"/>
    </row>
    <row r="9564" spans="1:20" x14ac:dyDescent="0.25">
      <c r="A9564">
        <v>20190831</v>
      </c>
      <c r="B9564">
        <v>2019</v>
      </c>
      <c r="C9564">
        <v>8</v>
      </c>
      <c r="D9564">
        <v>1</v>
      </c>
      <c r="E9564">
        <v>14850</v>
      </c>
      <c r="F9564">
        <v>217899.86</v>
      </c>
      <c r="G9564">
        <v>0</v>
      </c>
      <c r="H9564">
        <v>0</v>
      </c>
      <c r="I9564">
        <v>0</v>
      </c>
      <c r="J9564">
        <v>-1367362.09</v>
      </c>
      <c r="K9564">
        <v>2629216.13</v>
      </c>
      <c r="L9564">
        <v>86102221.390000001</v>
      </c>
      <c r="M9564">
        <v>87490000</v>
      </c>
      <c r="N9564">
        <v>37102911.640000001</v>
      </c>
      <c r="O9564">
        <v>35861474.119999997</v>
      </c>
      <c r="P9564">
        <v>86047543.129999995</v>
      </c>
      <c r="Q9564">
        <v>87414905.219999999</v>
      </c>
      <c r="R9564" s="14">
        <f>_xlfn.XLOOKUP(Table2[[#This Row],[LoanID]],Table1[G-L ID],Table1[ManagerCode],-99)</f>
        <v>220</v>
      </c>
      <c r="T9564"/>
    </row>
    <row r="9565" spans="1:20" x14ac:dyDescent="0.25">
      <c r="A9565">
        <v>20190831</v>
      </c>
      <c r="B9565">
        <v>2019</v>
      </c>
      <c r="C9565">
        <v>8</v>
      </c>
      <c r="D9565">
        <v>1</v>
      </c>
      <c r="E9565">
        <v>14860</v>
      </c>
      <c r="F9565">
        <v>175294.97</v>
      </c>
      <c r="G9565">
        <v>0</v>
      </c>
      <c r="H9565">
        <v>0</v>
      </c>
      <c r="I9565">
        <v>0</v>
      </c>
      <c r="J9565">
        <v>0</v>
      </c>
      <c r="K9565">
        <v>0</v>
      </c>
      <c r="L9565">
        <v>65250000</v>
      </c>
      <c r="M9565">
        <v>65250000</v>
      </c>
      <c r="N9565">
        <v>26391000</v>
      </c>
      <c r="O9565">
        <v>26391000</v>
      </c>
      <c r="P9565">
        <v>65000000</v>
      </c>
      <c r="Q9565">
        <v>65000000</v>
      </c>
      <c r="R9565" s="14">
        <f>_xlfn.XLOOKUP(Table2[[#This Row],[LoanID]],Table1[G-L ID],Table1[ManagerCode],-99)</f>
        <v>220</v>
      </c>
      <c r="T9565"/>
    </row>
    <row r="9566" spans="1:20" x14ac:dyDescent="0.25">
      <c r="A9566">
        <v>20190831</v>
      </c>
      <c r="B9566">
        <v>2019</v>
      </c>
      <c r="C9566">
        <v>8</v>
      </c>
      <c r="D9566">
        <v>1</v>
      </c>
      <c r="E9566">
        <v>14870</v>
      </c>
      <c r="F9566">
        <v>496293.7</v>
      </c>
      <c r="G9566">
        <v>0</v>
      </c>
      <c r="H9566">
        <v>0</v>
      </c>
      <c r="I9566">
        <v>0</v>
      </c>
      <c r="J9566">
        <v>0</v>
      </c>
      <c r="K9566">
        <v>0</v>
      </c>
      <c r="L9566">
        <v>121600000</v>
      </c>
      <c r="M9566">
        <v>121600000</v>
      </c>
      <c r="N9566">
        <v>66248635.329999998</v>
      </c>
      <c r="O9566">
        <v>66248635.329999998</v>
      </c>
      <c r="P9566">
        <v>121557000</v>
      </c>
      <c r="Q9566">
        <v>121557000</v>
      </c>
      <c r="R9566" s="14">
        <f>_xlfn.XLOOKUP(Table2[[#This Row],[LoanID]],Table1[G-L ID],Table1[ManagerCode],-99)</f>
        <v>220</v>
      </c>
      <c r="T9566"/>
    </row>
    <row r="9567" spans="1:20" x14ac:dyDescent="0.25">
      <c r="A9567">
        <v>20190831</v>
      </c>
      <c r="B9567">
        <v>2019</v>
      </c>
      <c r="C9567">
        <v>8</v>
      </c>
      <c r="D9567">
        <v>1</v>
      </c>
      <c r="E9567">
        <v>14880</v>
      </c>
      <c r="F9567">
        <v>147358</v>
      </c>
      <c r="G9567">
        <v>0</v>
      </c>
      <c r="H9567">
        <v>0</v>
      </c>
      <c r="I9567">
        <v>0</v>
      </c>
      <c r="J9567">
        <v>-118899.99</v>
      </c>
      <c r="K9567">
        <v>0</v>
      </c>
      <c r="L9567">
        <v>19934263.73</v>
      </c>
      <c r="M9567">
        <v>20034426.460000001</v>
      </c>
      <c r="N9567">
        <v>19934263.73</v>
      </c>
      <c r="O9567">
        <v>20034426.460000001</v>
      </c>
      <c r="P9567">
        <v>19915526.469999999</v>
      </c>
      <c r="Q9567">
        <v>20034426.460000001</v>
      </c>
      <c r="R9567" s="14">
        <f>_xlfn.XLOOKUP(Table2[[#This Row],[LoanID]],Table1[G-L ID],Table1[ManagerCode],-99)</f>
        <v>220</v>
      </c>
      <c r="T9567"/>
    </row>
    <row r="9568" spans="1:20" x14ac:dyDescent="0.25">
      <c r="A9568">
        <v>20190831</v>
      </c>
      <c r="B9568">
        <v>2019</v>
      </c>
      <c r="C9568">
        <v>8</v>
      </c>
      <c r="D9568">
        <v>1</v>
      </c>
      <c r="E9568">
        <v>14890</v>
      </c>
      <c r="F9568">
        <v>68032.320000000007</v>
      </c>
      <c r="G9568">
        <v>0</v>
      </c>
      <c r="H9568">
        <v>0</v>
      </c>
      <c r="I9568">
        <v>0</v>
      </c>
      <c r="J9568">
        <v>0</v>
      </c>
      <c r="K9568">
        <v>0</v>
      </c>
      <c r="L9568">
        <v>34000000</v>
      </c>
      <c r="M9568">
        <v>34000000</v>
      </c>
      <c r="N9568">
        <v>11900000</v>
      </c>
      <c r="O9568">
        <v>11900000</v>
      </c>
      <c r="P9568">
        <v>34000000</v>
      </c>
      <c r="Q9568">
        <v>34000000</v>
      </c>
      <c r="R9568" s="14">
        <f>_xlfn.XLOOKUP(Table2[[#This Row],[LoanID]],Table1[G-L ID],Table1[ManagerCode],-99)</f>
        <v>220</v>
      </c>
      <c r="T9568"/>
    </row>
    <row r="9569" spans="1:20" x14ac:dyDescent="0.25">
      <c r="A9569">
        <v>20190831</v>
      </c>
      <c r="B9569">
        <v>2019</v>
      </c>
      <c r="C9569">
        <v>8</v>
      </c>
      <c r="D9569">
        <v>1</v>
      </c>
      <c r="E9569">
        <v>14900</v>
      </c>
      <c r="F9569">
        <v>106948.97</v>
      </c>
      <c r="G9569">
        <v>0</v>
      </c>
      <c r="H9569">
        <v>0</v>
      </c>
      <c r="I9569">
        <v>0</v>
      </c>
      <c r="J9569">
        <v>0</v>
      </c>
      <c r="K9569">
        <v>0</v>
      </c>
      <c r="L9569">
        <v>65097250</v>
      </c>
      <c r="M9569">
        <v>65097250</v>
      </c>
      <c r="N9569">
        <v>23497250</v>
      </c>
      <c r="O9569">
        <v>23497250</v>
      </c>
      <c r="P9569">
        <v>65097249.530000001</v>
      </c>
      <c r="Q9569">
        <v>65097249.530000001</v>
      </c>
      <c r="R9569" s="14">
        <f>_xlfn.XLOOKUP(Table2[[#This Row],[LoanID]],Table1[G-L ID],Table1[ManagerCode],-99)</f>
        <v>220</v>
      </c>
      <c r="T9569"/>
    </row>
    <row r="9570" spans="1:20" x14ac:dyDescent="0.25">
      <c r="A9570">
        <v>20190831</v>
      </c>
      <c r="B9570">
        <v>2019</v>
      </c>
      <c r="C9570">
        <v>8</v>
      </c>
      <c r="D9570">
        <v>1</v>
      </c>
      <c r="E9570">
        <v>14910</v>
      </c>
      <c r="F9570">
        <v>76384.78</v>
      </c>
      <c r="G9570">
        <v>0</v>
      </c>
      <c r="H9570">
        <v>0</v>
      </c>
      <c r="I9570">
        <v>0</v>
      </c>
      <c r="J9570">
        <v>0</v>
      </c>
      <c r="K9570">
        <v>0</v>
      </c>
      <c r="L9570">
        <v>38393859.18</v>
      </c>
      <c r="M9570">
        <v>38393859.18</v>
      </c>
      <c r="N9570">
        <v>11793859.18</v>
      </c>
      <c r="O9570">
        <v>11793859.18</v>
      </c>
      <c r="P9570">
        <v>38393859.18</v>
      </c>
      <c r="Q9570">
        <v>38393859.18</v>
      </c>
      <c r="R9570" s="14">
        <f>_xlfn.XLOOKUP(Table2[[#This Row],[LoanID]],Table1[G-L ID],Table1[ManagerCode],-99)</f>
        <v>220</v>
      </c>
      <c r="T9570"/>
    </row>
    <row r="9571" spans="1:20" x14ac:dyDescent="0.25">
      <c r="A9571">
        <v>20190831</v>
      </c>
      <c r="B9571">
        <v>2019</v>
      </c>
      <c r="C9571">
        <v>8</v>
      </c>
      <c r="D9571">
        <v>1</v>
      </c>
      <c r="E9571">
        <v>14920</v>
      </c>
      <c r="F9571">
        <v>136244.4</v>
      </c>
      <c r="G9571">
        <v>0</v>
      </c>
      <c r="H9571">
        <v>0</v>
      </c>
      <c r="I9571">
        <v>0</v>
      </c>
      <c r="J9571">
        <v>0</v>
      </c>
      <c r="K9571">
        <v>0</v>
      </c>
      <c r="L9571">
        <v>70000000</v>
      </c>
      <c r="M9571">
        <v>70000000</v>
      </c>
      <c r="N9571">
        <v>21000000</v>
      </c>
      <c r="O9571">
        <v>21000000</v>
      </c>
      <c r="P9571">
        <v>70000000</v>
      </c>
      <c r="Q9571">
        <v>70000000</v>
      </c>
      <c r="R9571" s="14">
        <f>_xlfn.XLOOKUP(Table2[[#This Row],[LoanID]],Table1[G-L ID],Table1[ManagerCode],-99)</f>
        <v>220</v>
      </c>
      <c r="T9571"/>
    </row>
    <row r="9572" spans="1:20" x14ac:dyDescent="0.25">
      <c r="A9572">
        <v>20190831</v>
      </c>
      <c r="B9572">
        <v>2019</v>
      </c>
      <c r="C9572">
        <v>8</v>
      </c>
      <c r="D9572">
        <v>1</v>
      </c>
      <c r="E9572">
        <v>14930</v>
      </c>
      <c r="F9572">
        <v>96735.08</v>
      </c>
      <c r="G9572">
        <v>0</v>
      </c>
      <c r="H9572">
        <v>0</v>
      </c>
      <c r="I9572">
        <v>0</v>
      </c>
      <c r="J9572">
        <v>0</v>
      </c>
      <c r="K9572">
        <v>0</v>
      </c>
      <c r="L9572">
        <v>55000000</v>
      </c>
      <c r="M9572">
        <v>55000000</v>
      </c>
      <c r="N9572">
        <v>19250000</v>
      </c>
      <c r="O9572">
        <v>19250000</v>
      </c>
      <c r="P9572">
        <v>55000000</v>
      </c>
      <c r="Q9572">
        <v>55000000</v>
      </c>
      <c r="R9572" s="14">
        <f>_xlfn.XLOOKUP(Table2[[#This Row],[LoanID]],Table1[G-L ID],Table1[ManagerCode],-99)</f>
        <v>220</v>
      </c>
      <c r="T9572"/>
    </row>
    <row r="9573" spans="1:20" x14ac:dyDescent="0.25">
      <c r="A9573">
        <v>20190831</v>
      </c>
      <c r="B9573">
        <v>2019</v>
      </c>
      <c r="C9573">
        <v>8</v>
      </c>
      <c r="D9573">
        <v>1</v>
      </c>
      <c r="E9573">
        <v>14940</v>
      </c>
      <c r="F9573">
        <v>147483.64000000001</v>
      </c>
      <c r="G9573">
        <v>0</v>
      </c>
      <c r="H9573">
        <v>0</v>
      </c>
      <c r="I9573">
        <v>0</v>
      </c>
      <c r="J9573">
        <v>-2855403.43</v>
      </c>
      <c r="K9573">
        <v>1209944.79</v>
      </c>
      <c r="L9573">
        <v>69972296.700000003</v>
      </c>
      <c r="M9573">
        <v>73624371.540000007</v>
      </c>
      <c r="N9573">
        <v>32726299.719999999</v>
      </c>
      <c r="O9573">
        <v>35168429.770000003</v>
      </c>
      <c r="P9573">
        <v>69919893.370000005</v>
      </c>
      <c r="Q9573">
        <v>72775296.799999997</v>
      </c>
      <c r="R9573" s="14">
        <f>_xlfn.XLOOKUP(Table2[[#This Row],[LoanID]],Table1[G-L ID],Table1[ManagerCode],-99)</f>
        <v>220</v>
      </c>
      <c r="T9573"/>
    </row>
    <row r="9574" spans="1:20" x14ac:dyDescent="0.25">
      <c r="A9574">
        <v>20190831</v>
      </c>
      <c r="B9574">
        <v>2019</v>
      </c>
      <c r="C9574">
        <v>8</v>
      </c>
      <c r="D9574">
        <v>1</v>
      </c>
      <c r="E9574">
        <v>14950</v>
      </c>
      <c r="F9574">
        <v>222123.6</v>
      </c>
      <c r="G9574">
        <v>0</v>
      </c>
      <c r="H9574">
        <v>0</v>
      </c>
      <c r="I9574">
        <v>0</v>
      </c>
      <c r="J9574">
        <v>0</v>
      </c>
      <c r="K9574">
        <v>0</v>
      </c>
      <c r="L9574">
        <v>35000000</v>
      </c>
      <c r="M9574">
        <v>35000000</v>
      </c>
      <c r="N9574">
        <v>35000000</v>
      </c>
      <c r="O9574">
        <v>35000000</v>
      </c>
      <c r="P9574">
        <v>35000000</v>
      </c>
      <c r="Q9574">
        <v>35000000</v>
      </c>
      <c r="R9574" s="14">
        <f>_xlfn.XLOOKUP(Table2[[#This Row],[LoanID]],Table1[G-L ID],Table1[ManagerCode],-99)</f>
        <v>220</v>
      </c>
      <c r="T9574"/>
    </row>
    <row r="9575" spans="1:20" x14ac:dyDescent="0.25">
      <c r="A9575">
        <v>20190831</v>
      </c>
      <c r="B9575">
        <v>2019</v>
      </c>
      <c r="C9575">
        <v>8</v>
      </c>
      <c r="D9575">
        <v>1</v>
      </c>
      <c r="E9575">
        <v>14960</v>
      </c>
      <c r="F9575">
        <v>47209.31</v>
      </c>
      <c r="G9575">
        <v>0</v>
      </c>
      <c r="H9575">
        <v>0</v>
      </c>
      <c r="I9575">
        <v>0</v>
      </c>
      <c r="J9575">
        <v>0</v>
      </c>
      <c r="K9575">
        <v>0</v>
      </c>
      <c r="L9575">
        <v>14840000</v>
      </c>
      <c r="M9575">
        <v>14840000</v>
      </c>
      <c r="N9575">
        <v>7857728.4100000001</v>
      </c>
      <c r="O9575">
        <v>7857728.4100000001</v>
      </c>
      <c r="P9575">
        <v>14805000</v>
      </c>
      <c r="Q9575">
        <v>14805000</v>
      </c>
      <c r="R9575" s="14">
        <f>_xlfn.XLOOKUP(Table2[[#This Row],[LoanID]],Table1[G-L ID],Table1[ManagerCode],-99)</f>
        <v>220</v>
      </c>
      <c r="T9575"/>
    </row>
    <row r="9576" spans="1:20" x14ac:dyDescent="0.25">
      <c r="A9576">
        <v>20190831</v>
      </c>
      <c r="B9576">
        <v>2019</v>
      </c>
      <c r="C9576">
        <v>8</v>
      </c>
      <c r="D9576">
        <v>1</v>
      </c>
      <c r="E9576">
        <v>14970</v>
      </c>
      <c r="F9576">
        <v>59973.37</v>
      </c>
      <c r="G9576">
        <v>0</v>
      </c>
      <c r="H9576">
        <v>0</v>
      </c>
      <c r="I9576">
        <v>0</v>
      </c>
      <c r="J9576">
        <v>0</v>
      </c>
      <c r="K9576">
        <v>0</v>
      </c>
      <c r="L9576">
        <v>29700000</v>
      </c>
      <c r="M9576">
        <v>29700000</v>
      </c>
      <c r="N9576">
        <v>10395000</v>
      </c>
      <c r="O9576">
        <v>10395000</v>
      </c>
      <c r="P9576">
        <v>29700000</v>
      </c>
      <c r="Q9576">
        <v>29700000</v>
      </c>
      <c r="R9576" s="14">
        <f>_xlfn.XLOOKUP(Table2[[#This Row],[LoanID]],Table1[G-L ID],Table1[ManagerCode],-99)</f>
        <v>220</v>
      </c>
      <c r="T9576"/>
    </row>
    <row r="9577" spans="1:20" x14ac:dyDescent="0.25">
      <c r="A9577">
        <v>20190831</v>
      </c>
      <c r="B9577">
        <v>2019</v>
      </c>
      <c r="C9577">
        <v>8</v>
      </c>
      <c r="D9577">
        <v>1</v>
      </c>
      <c r="E9577">
        <v>14980</v>
      </c>
      <c r="F9577">
        <v>0</v>
      </c>
      <c r="G9577">
        <v>0</v>
      </c>
      <c r="H9577">
        <v>562500</v>
      </c>
      <c r="I9577">
        <v>0</v>
      </c>
      <c r="J9577">
        <v>-75000000</v>
      </c>
      <c r="K9577">
        <v>52500000</v>
      </c>
      <c r="L9577">
        <v>0</v>
      </c>
      <c r="M9577">
        <v>75000000</v>
      </c>
      <c r="N9577">
        <v>0</v>
      </c>
      <c r="O9577">
        <v>22500000</v>
      </c>
      <c r="P9577">
        <v>0</v>
      </c>
      <c r="Q9577">
        <v>75000000</v>
      </c>
      <c r="R9577" s="14">
        <f>_xlfn.XLOOKUP(Table2[[#This Row],[LoanID]],Table1[G-L ID],Table1[ManagerCode],-99)</f>
        <v>220</v>
      </c>
      <c r="T9577"/>
    </row>
    <row r="9578" spans="1:20" x14ac:dyDescent="0.25">
      <c r="A9578">
        <v>20190831</v>
      </c>
      <c r="B9578">
        <v>2019</v>
      </c>
      <c r="C9578">
        <v>8</v>
      </c>
      <c r="D9578">
        <v>1</v>
      </c>
      <c r="E9578">
        <v>15030</v>
      </c>
      <c r="F9578">
        <v>104425.83</v>
      </c>
      <c r="G9578">
        <v>0</v>
      </c>
      <c r="H9578">
        <v>0</v>
      </c>
      <c r="I9578">
        <v>0</v>
      </c>
      <c r="J9578">
        <v>-25973.34</v>
      </c>
      <c r="K9578">
        <v>0</v>
      </c>
      <c r="L9578">
        <v>39551869.479999997</v>
      </c>
      <c r="M9578">
        <v>39577842.82</v>
      </c>
      <c r="N9578">
        <v>14797152.07</v>
      </c>
      <c r="O9578">
        <v>14823125.41</v>
      </c>
      <c r="P9578">
        <v>39525773.700000003</v>
      </c>
      <c r="Q9578">
        <v>39551747.039999999</v>
      </c>
      <c r="R9578" s="14">
        <f>_xlfn.XLOOKUP(Table2[[#This Row],[LoanID]],Table1[G-L ID],Table1[ManagerCode],-99)</f>
        <v>220</v>
      </c>
      <c r="T9578"/>
    </row>
    <row r="9579" spans="1:20" x14ac:dyDescent="0.25">
      <c r="A9579">
        <v>20190831</v>
      </c>
      <c r="B9579">
        <v>2019</v>
      </c>
      <c r="C9579">
        <v>8</v>
      </c>
      <c r="D9579">
        <v>1</v>
      </c>
      <c r="E9579">
        <v>15040</v>
      </c>
      <c r="F9579">
        <v>18875.419999999998</v>
      </c>
      <c r="G9579">
        <v>0</v>
      </c>
      <c r="H9579">
        <v>290500</v>
      </c>
      <c r="I9579">
        <v>0</v>
      </c>
      <c r="J9579">
        <v>-50900000</v>
      </c>
      <c r="K9579">
        <v>0</v>
      </c>
      <c r="L9579">
        <v>0</v>
      </c>
      <c r="M9579">
        <v>50900000</v>
      </c>
      <c r="N9579">
        <v>0</v>
      </c>
      <c r="O9579">
        <v>50900000</v>
      </c>
      <c r="P9579">
        <v>0</v>
      </c>
      <c r="Q9579">
        <v>50900000</v>
      </c>
      <c r="R9579" s="14">
        <f>_xlfn.XLOOKUP(Table2[[#This Row],[LoanID]],Table1[G-L ID],Table1[ManagerCode],-99)</f>
        <v>183</v>
      </c>
      <c r="T9579"/>
    </row>
    <row r="9580" spans="1:20" x14ac:dyDescent="0.25">
      <c r="A9580">
        <v>20190831</v>
      </c>
      <c r="B9580">
        <v>2019</v>
      </c>
      <c r="C9580">
        <v>8</v>
      </c>
      <c r="D9580">
        <v>1</v>
      </c>
      <c r="E9580">
        <v>15050</v>
      </c>
      <c r="F9580">
        <v>89153.78</v>
      </c>
      <c r="G9580">
        <v>0</v>
      </c>
      <c r="H9580">
        <v>0</v>
      </c>
      <c r="I9580">
        <v>0</v>
      </c>
      <c r="J9580">
        <v>0</v>
      </c>
      <c r="K9580">
        <v>0</v>
      </c>
      <c r="L9580">
        <v>47510000</v>
      </c>
      <c r="M9580">
        <v>47510000</v>
      </c>
      <c r="N9580">
        <v>16628500</v>
      </c>
      <c r="O9580">
        <v>16628500</v>
      </c>
      <c r="P9580">
        <v>47510000</v>
      </c>
      <c r="Q9580">
        <v>47510000</v>
      </c>
      <c r="R9580" s="14">
        <f>_xlfn.XLOOKUP(Table2[[#This Row],[LoanID]],Table1[G-L ID],Table1[ManagerCode],-99)</f>
        <v>183</v>
      </c>
      <c r="T9580"/>
    </row>
    <row r="9581" spans="1:20" x14ac:dyDescent="0.25">
      <c r="A9581">
        <v>20190831</v>
      </c>
      <c r="B9581">
        <v>2019</v>
      </c>
      <c r="C9581">
        <v>8</v>
      </c>
      <c r="D9581">
        <v>1</v>
      </c>
      <c r="E9581">
        <v>15060</v>
      </c>
      <c r="F9581">
        <v>10329.66</v>
      </c>
      <c r="G9581">
        <v>0</v>
      </c>
      <c r="H9581">
        <v>223575</v>
      </c>
      <c r="I9581">
        <v>0</v>
      </c>
      <c r="J9581">
        <v>-27750000</v>
      </c>
      <c r="K9581">
        <v>0</v>
      </c>
      <c r="L9581">
        <v>0</v>
      </c>
      <c r="M9581">
        <v>27750000</v>
      </c>
      <c r="N9581">
        <v>0</v>
      </c>
      <c r="O9581">
        <v>27750000</v>
      </c>
      <c r="P9581">
        <v>0</v>
      </c>
      <c r="Q9581">
        <v>27750000</v>
      </c>
      <c r="R9581" s="14">
        <f>_xlfn.XLOOKUP(Table2[[#This Row],[LoanID]],Table1[G-L ID],Table1[ManagerCode],-99)</f>
        <v>183</v>
      </c>
      <c r="T9581"/>
    </row>
    <row r="9582" spans="1:20" x14ac:dyDescent="0.25">
      <c r="A9582">
        <v>20190831</v>
      </c>
      <c r="B9582">
        <v>2019</v>
      </c>
      <c r="C9582">
        <v>8</v>
      </c>
      <c r="D9582">
        <v>1</v>
      </c>
      <c r="E9582">
        <v>15070</v>
      </c>
      <c r="F9582">
        <v>-155540.20000000001</v>
      </c>
      <c r="G9582">
        <v>0</v>
      </c>
      <c r="H9582">
        <v>438455</v>
      </c>
      <c r="I9582">
        <v>0</v>
      </c>
      <c r="J9582">
        <v>-77501000</v>
      </c>
      <c r="K9582">
        <v>0</v>
      </c>
      <c r="L9582">
        <v>0</v>
      </c>
      <c r="M9582">
        <v>77501000</v>
      </c>
      <c r="N9582">
        <v>0</v>
      </c>
      <c r="O9582">
        <v>77501000</v>
      </c>
      <c r="P9582">
        <v>0</v>
      </c>
      <c r="Q9582">
        <v>77501000</v>
      </c>
      <c r="R9582" s="14">
        <f>_xlfn.XLOOKUP(Table2[[#This Row],[LoanID]],Table1[G-L ID],Table1[ManagerCode],-99)</f>
        <v>183</v>
      </c>
      <c r="T9582"/>
    </row>
    <row r="9583" spans="1:20" x14ac:dyDescent="0.25">
      <c r="A9583">
        <v>20190831</v>
      </c>
      <c r="B9583">
        <v>2019</v>
      </c>
      <c r="C9583">
        <v>8</v>
      </c>
      <c r="D9583">
        <v>1</v>
      </c>
      <c r="E9583">
        <v>15540</v>
      </c>
      <c r="F9583">
        <v>292957.15000000002</v>
      </c>
      <c r="G9583">
        <v>-7780.81</v>
      </c>
      <c r="H9583">
        <v>0</v>
      </c>
      <c r="I9583">
        <v>-1852.39</v>
      </c>
      <c r="J9583">
        <v>-952181.11</v>
      </c>
      <c r="K9583">
        <v>0</v>
      </c>
      <c r="L9583">
        <v>60721476.369999997</v>
      </c>
      <c r="M9583">
        <v>61665876.670000002</v>
      </c>
      <c r="N9583">
        <v>60721476.369999997</v>
      </c>
      <c r="O9583">
        <v>61665876.670000002</v>
      </c>
      <c r="P9583">
        <v>60721476.369999997</v>
      </c>
      <c r="Q9583">
        <v>61665876.670000002</v>
      </c>
      <c r="R9583" s="14">
        <f>_xlfn.XLOOKUP(Table2[[#This Row],[LoanID]],Table1[G-L ID],Table1[ManagerCode],-99)</f>
        <v>212</v>
      </c>
      <c r="T9583"/>
    </row>
    <row r="9584" spans="1:20" x14ac:dyDescent="0.25">
      <c r="A9584">
        <v>20190831</v>
      </c>
      <c r="B9584">
        <v>2019</v>
      </c>
      <c r="C9584">
        <v>8</v>
      </c>
      <c r="D9584">
        <v>1</v>
      </c>
      <c r="E9584">
        <v>15560</v>
      </c>
      <c r="F9584">
        <v>286610.21000000002</v>
      </c>
      <c r="G9584">
        <v>-2958.59</v>
      </c>
      <c r="H9584">
        <v>0</v>
      </c>
      <c r="I9584">
        <v>0</v>
      </c>
      <c r="J9584">
        <v>0</v>
      </c>
      <c r="K9584">
        <v>0</v>
      </c>
      <c r="L9584">
        <v>49663636.960000001</v>
      </c>
      <c r="M9584">
        <v>49660678.369999997</v>
      </c>
      <c r="N9584">
        <v>49663636.960000001</v>
      </c>
      <c r="O9584">
        <v>49660678.369999997</v>
      </c>
      <c r="P9584">
        <v>49663636.960000001</v>
      </c>
      <c r="Q9584">
        <v>49660678.369999997</v>
      </c>
      <c r="R9584" s="14">
        <f>_xlfn.XLOOKUP(Table2[[#This Row],[LoanID]],Table1[G-L ID],Table1[ManagerCode],-99)</f>
        <v>212</v>
      </c>
      <c r="T9584"/>
    </row>
    <row r="9585" spans="1:20" x14ac:dyDescent="0.25">
      <c r="A9585">
        <v>20190831</v>
      </c>
      <c r="B9585">
        <v>2019</v>
      </c>
      <c r="C9585">
        <v>8</v>
      </c>
      <c r="D9585">
        <v>1</v>
      </c>
      <c r="E9585">
        <v>15580</v>
      </c>
      <c r="F9585">
        <v>114811</v>
      </c>
      <c r="G9585">
        <v>-68.430000000000007</v>
      </c>
      <c r="H9585">
        <v>0</v>
      </c>
      <c r="I9585">
        <v>0</v>
      </c>
      <c r="J9585">
        <v>0</v>
      </c>
      <c r="K9585">
        <v>8590.31</v>
      </c>
      <c r="L9585">
        <v>14528746.109999999</v>
      </c>
      <c r="M9585">
        <v>14520087.369999999</v>
      </c>
      <c r="N9585">
        <v>14528746.109999999</v>
      </c>
      <c r="O9585">
        <v>14520087.369999999</v>
      </c>
      <c r="P9585">
        <v>14528746.109999999</v>
      </c>
      <c r="Q9585">
        <v>14520087.369999999</v>
      </c>
      <c r="R9585" s="14">
        <f>_xlfn.XLOOKUP(Table2[[#This Row],[LoanID]],Table1[G-L ID],Table1[ManagerCode],-99)</f>
        <v>212</v>
      </c>
      <c r="T9585"/>
    </row>
    <row r="9586" spans="1:20" x14ac:dyDescent="0.25">
      <c r="A9586">
        <v>20190831</v>
      </c>
      <c r="B9586">
        <v>2019</v>
      </c>
      <c r="C9586">
        <v>8</v>
      </c>
      <c r="D9586">
        <v>1</v>
      </c>
      <c r="E9586">
        <v>15590</v>
      </c>
      <c r="F9586">
        <v>412967.72</v>
      </c>
      <c r="G9586">
        <v>-12041.18</v>
      </c>
      <c r="H9586">
        <v>0</v>
      </c>
      <c r="I9586">
        <v>-8466.73</v>
      </c>
      <c r="J9586">
        <v>0</v>
      </c>
      <c r="K9586">
        <v>0</v>
      </c>
      <c r="L9586">
        <v>103992967.7</v>
      </c>
      <c r="M9586">
        <v>103980926.5</v>
      </c>
      <c r="N9586">
        <v>103992967.7</v>
      </c>
      <c r="O9586">
        <v>103980926.5</v>
      </c>
      <c r="P9586">
        <v>103992967.7</v>
      </c>
      <c r="Q9586">
        <v>103980926.5</v>
      </c>
      <c r="R9586" s="14">
        <f>_xlfn.XLOOKUP(Table2[[#This Row],[LoanID]],Table1[G-L ID],Table1[ManagerCode],-99)</f>
        <v>212</v>
      </c>
      <c r="T9586"/>
    </row>
    <row r="9587" spans="1:20" x14ac:dyDescent="0.25">
      <c r="A9587">
        <v>20190831</v>
      </c>
      <c r="B9587">
        <v>2019</v>
      </c>
      <c r="C9587">
        <v>8</v>
      </c>
      <c r="D9587">
        <v>1</v>
      </c>
      <c r="E9587">
        <v>15610</v>
      </c>
      <c r="F9587">
        <v>960410.66</v>
      </c>
      <c r="G9587">
        <v>-21146.57</v>
      </c>
      <c r="H9587">
        <v>0</v>
      </c>
      <c r="I9587">
        <v>-9355.23</v>
      </c>
      <c r="J9587">
        <v>-733579.89</v>
      </c>
      <c r="K9587">
        <v>0</v>
      </c>
      <c r="L9587">
        <v>218929449.69999999</v>
      </c>
      <c r="M9587">
        <v>219641883</v>
      </c>
      <c r="N9587">
        <v>218929449.69999999</v>
      </c>
      <c r="O9587">
        <v>219641883</v>
      </c>
      <c r="P9587">
        <v>218929449.69999999</v>
      </c>
      <c r="Q9587">
        <v>219641883</v>
      </c>
      <c r="R9587" s="14">
        <f>_xlfn.XLOOKUP(Table2[[#This Row],[LoanID]],Table1[G-L ID],Table1[ManagerCode],-99)</f>
        <v>212</v>
      </c>
      <c r="T9587"/>
    </row>
    <row r="9588" spans="1:20" x14ac:dyDescent="0.25">
      <c r="A9588">
        <v>20190831</v>
      </c>
      <c r="B9588">
        <v>2019</v>
      </c>
      <c r="C9588">
        <v>8</v>
      </c>
      <c r="D9588">
        <v>1</v>
      </c>
      <c r="E9588">
        <v>15620</v>
      </c>
      <c r="F9588">
        <v>355523.38</v>
      </c>
      <c r="G9588">
        <v>-10634.22</v>
      </c>
      <c r="H9588">
        <v>0</v>
      </c>
      <c r="I9588">
        <v>-1986.15</v>
      </c>
      <c r="J9588">
        <v>0</v>
      </c>
      <c r="K9588">
        <v>0</v>
      </c>
      <c r="L9588">
        <v>79291762.159999996</v>
      </c>
      <c r="M9588">
        <v>79281127.939999998</v>
      </c>
      <c r="N9588">
        <v>79291762.159999996</v>
      </c>
      <c r="O9588">
        <v>79281127.939999998</v>
      </c>
      <c r="P9588">
        <v>79291762.159999996</v>
      </c>
      <c r="Q9588">
        <v>79281127.939999998</v>
      </c>
      <c r="R9588" s="14">
        <f>_xlfn.XLOOKUP(Table2[[#This Row],[LoanID]],Table1[G-L ID],Table1[ManagerCode],-99)</f>
        <v>212</v>
      </c>
      <c r="T9588"/>
    </row>
    <row r="9589" spans="1:20" x14ac:dyDescent="0.25">
      <c r="A9589">
        <v>20190831</v>
      </c>
      <c r="B9589">
        <v>2019</v>
      </c>
      <c r="C9589">
        <v>8</v>
      </c>
      <c r="D9589">
        <v>1</v>
      </c>
      <c r="E9589">
        <v>15630</v>
      </c>
      <c r="F9589">
        <v>371424.55</v>
      </c>
      <c r="G9589">
        <v>-18842.169999999998</v>
      </c>
      <c r="H9589">
        <v>0</v>
      </c>
      <c r="I9589">
        <v>-5276.31</v>
      </c>
      <c r="J9589">
        <v>-38398240</v>
      </c>
      <c r="K9589">
        <v>0</v>
      </c>
      <c r="L9589">
        <v>78248532.540000007</v>
      </c>
      <c r="M9589">
        <v>116627930.40000001</v>
      </c>
      <c r="N9589">
        <v>78248532.540000007</v>
      </c>
      <c r="O9589">
        <v>116627930.40000001</v>
      </c>
      <c r="P9589">
        <v>78248532.540000007</v>
      </c>
      <c r="Q9589">
        <v>116627930.40000001</v>
      </c>
      <c r="R9589" s="14">
        <f>_xlfn.XLOOKUP(Table2[[#This Row],[LoanID]],Table1[G-L ID],Table1[ManagerCode],-99)</f>
        <v>212</v>
      </c>
      <c r="T9589"/>
    </row>
    <row r="9590" spans="1:20" x14ac:dyDescent="0.25">
      <c r="A9590">
        <v>20190831</v>
      </c>
      <c r="B9590">
        <v>2019</v>
      </c>
      <c r="C9590">
        <v>8</v>
      </c>
      <c r="D9590">
        <v>1</v>
      </c>
      <c r="E9590">
        <v>15670</v>
      </c>
      <c r="F9590">
        <v>13657.94</v>
      </c>
      <c r="G9590">
        <v>0</v>
      </c>
      <c r="H9590">
        <v>0</v>
      </c>
      <c r="I9590">
        <v>0</v>
      </c>
      <c r="J9590">
        <v>-3284464.72</v>
      </c>
      <c r="K9590">
        <v>0</v>
      </c>
      <c r="L9590">
        <v>2802267.86</v>
      </c>
      <c r="M9590">
        <v>6086732.5800000001</v>
      </c>
      <c r="N9590">
        <v>2802267.86</v>
      </c>
      <c r="O9590">
        <v>6086732.5800000001</v>
      </c>
      <c r="P9590">
        <v>2802267.86</v>
      </c>
      <c r="Q9590">
        <v>6086732.5800000001</v>
      </c>
      <c r="R9590" s="14">
        <f>_xlfn.XLOOKUP(Table2[[#This Row],[LoanID]],Table1[G-L ID],Table1[ManagerCode],-99)</f>
        <v>103</v>
      </c>
      <c r="T9590"/>
    </row>
    <row r="9591" spans="1:20" x14ac:dyDescent="0.25">
      <c r="A9591">
        <v>20190831</v>
      </c>
      <c r="B9591">
        <v>2019</v>
      </c>
      <c r="C9591">
        <v>8</v>
      </c>
      <c r="D9591">
        <v>1</v>
      </c>
      <c r="E9591">
        <v>15800</v>
      </c>
      <c r="F9591">
        <v>271527.78000000003</v>
      </c>
      <c r="G9591">
        <v>149340.28</v>
      </c>
      <c r="H9591">
        <v>0</v>
      </c>
      <c r="I9591">
        <v>-472.22</v>
      </c>
      <c r="J9591">
        <v>0</v>
      </c>
      <c r="K9591">
        <v>0</v>
      </c>
      <c r="L9591">
        <v>85271527.780000001</v>
      </c>
      <c r="M9591">
        <v>85420868.060000002</v>
      </c>
      <c r="N9591">
        <v>85271527.780000001</v>
      </c>
      <c r="O9591">
        <v>85420868.060000002</v>
      </c>
      <c r="P9591">
        <v>85271527.780000001</v>
      </c>
      <c r="Q9591">
        <v>85420868.060000002</v>
      </c>
      <c r="R9591" s="14">
        <f>_xlfn.XLOOKUP(Table2[[#This Row],[LoanID]],Table1[G-L ID],Table1[ManagerCode],-99)</f>
        <v>212</v>
      </c>
      <c r="T9591"/>
    </row>
    <row r="9592" spans="1:20" x14ac:dyDescent="0.25">
      <c r="A9592">
        <v>20190930</v>
      </c>
      <c r="B9592">
        <v>2019</v>
      </c>
      <c r="C9592">
        <v>9</v>
      </c>
      <c r="D9592">
        <v>1</v>
      </c>
      <c r="E9592">
        <v>10050</v>
      </c>
      <c r="F9592">
        <v>153981.01999999999</v>
      </c>
      <c r="G9592">
        <v>0</v>
      </c>
      <c r="H9592">
        <v>0</v>
      </c>
      <c r="I9592">
        <v>-69.44</v>
      </c>
      <c r="J9592">
        <v>0</v>
      </c>
      <c r="K9592">
        <v>0</v>
      </c>
      <c r="L9592">
        <v>37586540</v>
      </c>
      <c r="M9592">
        <v>37376961</v>
      </c>
      <c r="N9592">
        <v>37586540</v>
      </c>
      <c r="O9592">
        <v>37376961</v>
      </c>
      <c r="P9592">
        <v>33333334</v>
      </c>
      <c r="Q9592">
        <v>33333334</v>
      </c>
      <c r="R9592" s="14">
        <f>_xlfn.XLOOKUP(Table2[[#This Row],[LoanID]],Table1[G-L ID],Table1[ManagerCode],-99)</f>
        <v>103</v>
      </c>
      <c r="T9592"/>
    </row>
    <row r="9593" spans="1:20" x14ac:dyDescent="0.25">
      <c r="A9593">
        <v>20190930</v>
      </c>
      <c r="B9593">
        <v>2019</v>
      </c>
      <c r="C9593">
        <v>9</v>
      </c>
      <c r="D9593">
        <v>1</v>
      </c>
      <c r="E9593">
        <v>10220</v>
      </c>
      <c r="F9593">
        <v>559722.22</v>
      </c>
      <c r="G9593">
        <v>0</v>
      </c>
      <c r="H9593">
        <v>0</v>
      </c>
      <c r="I9593">
        <v>0</v>
      </c>
      <c r="J9593">
        <v>0</v>
      </c>
      <c r="K9593">
        <v>0</v>
      </c>
      <c r="L9593">
        <v>109602854</v>
      </c>
      <c r="M9593">
        <v>109183552</v>
      </c>
      <c r="N9593">
        <v>109602854</v>
      </c>
      <c r="O9593">
        <v>109183552</v>
      </c>
      <c r="P9593">
        <v>100000000</v>
      </c>
      <c r="Q9593">
        <v>100000000</v>
      </c>
      <c r="R9593" s="14">
        <f>_xlfn.XLOOKUP(Table2[[#This Row],[LoanID]],Table1[G-L ID],Table1[ManagerCode],-99)</f>
        <v>103</v>
      </c>
      <c r="T9593"/>
    </row>
    <row r="9594" spans="1:20" x14ac:dyDescent="0.25">
      <c r="A9594">
        <v>20190930</v>
      </c>
      <c r="B9594">
        <v>2019</v>
      </c>
      <c r="C9594">
        <v>9</v>
      </c>
      <c r="D9594">
        <v>1</v>
      </c>
      <c r="E9594">
        <v>10790</v>
      </c>
      <c r="F9594">
        <v>18908.96</v>
      </c>
      <c r="G9594">
        <v>0</v>
      </c>
      <c r="H9594">
        <v>0</v>
      </c>
      <c r="I9594">
        <v>0</v>
      </c>
      <c r="J9594">
        <v>0</v>
      </c>
      <c r="K9594">
        <v>50559.29</v>
      </c>
      <c r="L9594">
        <v>4086348</v>
      </c>
      <c r="M9594">
        <v>4031092</v>
      </c>
      <c r="N9594">
        <v>4086348</v>
      </c>
      <c r="O9594">
        <v>4031092</v>
      </c>
      <c r="P9594">
        <v>4037501.36</v>
      </c>
      <c r="Q9594">
        <v>3986942.07</v>
      </c>
      <c r="R9594" s="14">
        <f>_xlfn.XLOOKUP(Table2[[#This Row],[LoanID]],Table1[G-L ID],Table1[ManagerCode],-99)</f>
        <v>103</v>
      </c>
      <c r="T9594"/>
    </row>
    <row r="9595" spans="1:20" x14ac:dyDescent="0.25">
      <c r="A9595">
        <v>20190930</v>
      </c>
      <c r="B9595">
        <v>2019</v>
      </c>
      <c r="C9595">
        <v>9</v>
      </c>
      <c r="D9595">
        <v>1</v>
      </c>
      <c r="E9595">
        <v>11340</v>
      </c>
      <c r="F9595">
        <v>282869.71000000002</v>
      </c>
      <c r="G9595">
        <v>0</v>
      </c>
      <c r="H9595">
        <v>0</v>
      </c>
      <c r="I9595">
        <v>0</v>
      </c>
      <c r="J9595">
        <v>0</v>
      </c>
      <c r="K9595">
        <v>72576.649999999994</v>
      </c>
      <c r="L9595">
        <v>51784453</v>
      </c>
      <c r="M9595">
        <v>51494353</v>
      </c>
      <c r="N9595">
        <v>51784453</v>
      </c>
      <c r="O9595">
        <v>51494353</v>
      </c>
      <c r="P9595">
        <v>46927691.689999998</v>
      </c>
      <c r="Q9595">
        <v>46855115.039999999</v>
      </c>
      <c r="R9595" s="14">
        <f>_xlfn.XLOOKUP(Table2[[#This Row],[LoanID]],Table1[G-L ID],Table1[ManagerCode],-99)</f>
        <v>103</v>
      </c>
      <c r="T9595"/>
    </row>
    <row r="9596" spans="1:20" x14ac:dyDescent="0.25">
      <c r="A9596">
        <v>20190930</v>
      </c>
      <c r="B9596">
        <v>2019</v>
      </c>
      <c r="C9596">
        <v>9</v>
      </c>
      <c r="D9596">
        <v>1</v>
      </c>
      <c r="E9596">
        <v>11680</v>
      </c>
      <c r="F9596">
        <v>50325.78</v>
      </c>
      <c r="G9596">
        <v>0</v>
      </c>
      <c r="H9596">
        <v>0</v>
      </c>
      <c r="I9596">
        <v>0</v>
      </c>
      <c r="J9596">
        <v>0</v>
      </c>
      <c r="K9596">
        <v>0</v>
      </c>
      <c r="L9596">
        <v>6600000</v>
      </c>
      <c r="M9596">
        <v>6600000</v>
      </c>
      <c r="N9596">
        <v>6600000</v>
      </c>
      <c r="O9596">
        <v>6600000</v>
      </c>
      <c r="P9596">
        <v>6600000</v>
      </c>
      <c r="Q9596">
        <v>6600000</v>
      </c>
      <c r="R9596" s="14">
        <f>_xlfn.XLOOKUP(Table2[[#This Row],[LoanID]],Table1[G-L ID],Table1[ManagerCode],-99)</f>
        <v>183</v>
      </c>
      <c r="T9596"/>
    </row>
    <row r="9597" spans="1:20" x14ac:dyDescent="0.25">
      <c r="A9597">
        <v>20190930</v>
      </c>
      <c r="B9597">
        <v>2019</v>
      </c>
      <c r="C9597">
        <v>9</v>
      </c>
      <c r="D9597">
        <v>1</v>
      </c>
      <c r="E9597">
        <v>12180</v>
      </c>
      <c r="F9597">
        <v>0</v>
      </c>
      <c r="G9597">
        <v>0</v>
      </c>
      <c r="H9597">
        <v>0</v>
      </c>
      <c r="I9597">
        <v>0</v>
      </c>
      <c r="J9597">
        <v>0</v>
      </c>
      <c r="K9597">
        <v>0</v>
      </c>
      <c r="L9597">
        <v>1</v>
      </c>
      <c r="M9597">
        <v>1</v>
      </c>
      <c r="N9597">
        <v>1</v>
      </c>
      <c r="O9597">
        <v>1</v>
      </c>
      <c r="P9597">
        <v>31698707.449999999</v>
      </c>
      <c r="Q9597">
        <v>31963806.68</v>
      </c>
      <c r="R9597" s="14">
        <f>_xlfn.XLOOKUP(Table2[[#This Row],[LoanID]],Table1[G-L ID],Table1[ManagerCode],-99)</f>
        <v>220</v>
      </c>
      <c r="T9597"/>
    </row>
    <row r="9598" spans="1:20" x14ac:dyDescent="0.25">
      <c r="A9598">
        <v>20190930</v>
      </c>
      <c r="B9598">
        <v>2019</v>
      </c>
      <c r="C9598">
        <v>9</v>
      </c>
      <c r="D9598">
        <v>1</v>
      </c>
      <c r="E9598">
        <v>12220</v>
      </c>
      <c r="F9598">
        <v>200106.06</v>
      </c>
      <c r="G9598">
        <v>0</v>
      </c>
      <c r="H9598">
        <v>0</v>
      </c>
      <c r="I9598">
        <v>0</v>
      </c>
      <c r="J9598">
        <v>0</v>
      </c>
      <c r="K9598">
        <v>0</v>
      </c>
      <c r="L9598">
        <v>54500000</v>
      </c>
      <c r="M9598">
        <v>54500000</v>
      </c>
      <c r="N9598">
        <v>27250000</v>
      </c>
      <c r="O9598">
        <v>27250000</v>
      </c>
      <c r="P9598">
        <v>54500000</v>
      </c>
      <c r="Q9598">
        <v>54500000</v>
      </c>
      <c r="R9598" s="14">
        <f>_xlfn.XLOOKUP(Table2[[#This Row],[LoanID]],Table1[G-L ID],Table1[ManagerCode],-99)</f>
        <v>183</v>
      </c>
      <c r="T9598"/>
    </row>
    <row r="9599" spans="1:20" x14ac:dyDescent="0.25">
      <c r="A9599">
        <v>20190930</v>
      </c>
      <c r="B9599">
        <v>2019</v>
      </c>
      <c r="C9599">
        <v>9</v>
      </c>
      <c r="D9599">
        <v>1</v>
      </c>
      <c r="E9599">
        <v>12340</v>
      </c>
      <c r="F9599">
        <v>58271.46</v>
      </c>
      <c r="G9599">
        <v>0</v>
      </c>
      <c r="H9599">
        <v>0</v>
      </c>
      <c r="I9599">
        <v>0</v>
      </c>
      <c r="J9599">
        <v>0</v>
      </c>
      <c r="K9599">
        <v>0</v>
      </c>
      <c r="L9599">
        <v>24180000</v>
      </c>
      <c r="M9599">
        <v>24180000</v>
      </c>
      <c r="N9599">
        <v>12180000</v>
      </c>
      <c r="O9599">
        <v>12180000</v>
      </c>
      <c r="P9599">
        <v>24180000</v>
      </c>
      <c r="Q9599">
        <v>24180000</v>
      </c>
      <c r="R9599" s="14">
        <f>_xlfn.XLOOKUP(Table2[[#This Row],[LoanID]],Table1[G-L ID],Table1[ManagerCode],-99)</f>
        <v>183</v>
      </c>
      <c r="T9599"/>
    </row>
    <row r="9600" spans="1:20" x14ac:dyDescent="0.25">
      <c r="A9600">
        <v>20190930</v>
      </c>
      <c r="B9600">
        <v>2019</v>
      </c>
      <c r="C9600">
        <v>9</v>
      </c>
      <c r="D9600">
        <v>1</v>
      </c>
      <c r="E9600">
        <v>12350</v>
      </c>
      <c r="F9600">
        <v>250599.8</v>
      </c>
      <c r="G9600">
        <v>0</v>
      </c>
      <c r="H9600">
        <v>0</v>
      </c>
      <c r="I9600">
        <v>0</v>
      </c>
      <c r="J9600">
        <v>0</v>
      </c>
      <c r="K9600">
        <v>0</v>
      </c>
      <c r="L9600">
        <v>78700000</v>
      </c>
      <c r="M9600">
        <v>78700000</v>
      </c>
      <c r="N9600">
        <v>40914236.340000004</v>
      </c>
      <c r="O9600">
        <v>40914236.340000004</v>
      </c>
      <c r="P9600">
        <v>78700000</v>
      </c>
      <c r="Q9600">
        <v>78700000</v>
      </c>
      <c r="R9600" s="14">
        <f>_xlfn.XLOOKUP(Table2[[#This Row],[LoanID]],Table1[G-L ID],Table1[ManagerCode],-99)</f>
        <v>183</v>
      </c>
      <c r="T9600"/>
    </row>
    <row r="9601" spans="1:20" x14ac:dyDescent="0.25">
      <c r="A9601">
        <v>20190930</v>
      </c>
      <c r="B9601">
        <v>2019</v>
      </c>
      <c r="C9601">
        <v>9</v>
      </c>
      <c r="D9601">
        <v>1</v>
      </c>
      <c r="E9601">
        <v>12360</v>
      </c>
      <c r="F9601">
        <v>130757.88</v>
      </c>
      <c r="G9601">
        <v>0</v>
      </c>
      <c r="H9601">
        <v>0</v>
      </c>
      <c r="I9601">
        <v>0</v>
      </c>
      <c r="J9601">
        <v>0</v>
      </c>
      <c r="K9601">
        <v>0</v>
      </c>
      <c r="L9601">
        <v>60000000</v>
      </c>
      <c r="M9601">
        <v>60000000</v>
      </c>
      <c r="N9601">
        <v>19000000</v>
      </c>
      <c r="O9601">
        <v>19000000</v>
      </c>
      <c r="P9601">
        <v>60000000</v>
      </c>
      <c r="Q9601">
        <v>60000000</v>
      </c>
      <c r="R9601" s="14">
        <f>_xlfn.XLOOKUP(Table2[[#This Row],[LoanID]],Table1[G-L ID],Table1[ManagerCode],-99)</f>
        <v>183</v>
      </c>
      <c r="T9601"/>
    </row>
    <row r="9602" spans="1:20" x14ac:dyDescent="0.25">
      <c r="A9602">
        <v>20190930</v>
      </c>
      <c r="B9602">
        <v>2019</v>
      </c>
      <c r="C9602">
        <v>9</v>
      </c>
      <c r="D9602">
        <v>1</v>
      </c>
      <c r="E9602">
        <v>12370</v>
      </c>
      <c r="F9602">
        <v>249796.46</v>
      </c>
      <c r="G9602">
        <v>0</v>
      </c>
      <c r="H9602">
        <v>0</v>
      </c>
      <c r="I9602">
        <v>0</v>
      </c>
      <c r="J9602">
        <v>0</v>
      </c>
      <c r="K9602">
        <v>0</v>
      </c>
      <c r="L9602">
        <v>81600000</v>
      </c>
      <c r="M9602">
        <v>81600000</v>
      </c>
      <c r="N9602">
        <v>36461538.549999997</v>
      </c>
      <c r="O9602">
        <v>36461538.549999997</v>
      </c>
      <c r="P9602">
        <v>81600000</v>
      </c>
      <c r="Q9602">
        <v>81600000</v>
      </c>
      <c r="R9602" s="14">
        <f>_xlfn.XLOOKUP(Table2[[#This Row],[LoanID]],Table1[G-L ID],Table1[ManagerCode],-99)</f>
        <v>183</v>
      </c>
      <c r="T9602"/>
    </row>
    <row r="9603" spans="1:20" x14ac:dyDescent="0.25">
      <c r="A9603">
        <v>20190930</v>
      </c>
      <c r="B9603">
        <v>2019</v>
      </c>
      <c r="C9603">
        <v>9</v>
      </c>
      <c r="D9603">
        <v>1</v>
      </c>
      <c r="E9603">
        <v>12380</v>
      </c>
      <c r="F9603">
        <v>85979.04</v>
      </c>
      <c r="G9603">
        <v>0</v>
      </c>
      <c r="H9603">
        <v>0</v>
      </c>
      <c r="I9603">
        <v>0</v>
      </c>
      <c r="J9603">
        <v>0</v>
      </c>
      <c r="K9603">
        <v>0</v>
      </c>
      <c r="L9603">
        <v>32500000</v>
      </c>
      <c r="M9603">
        <v>32500000</v>
      </c>
      <c r="N9603">
        <v>12350000</v>
      </c>
      <c r="O9603">
        <v>12350000</v>
      </c>
      <c r="P9603">
        <v>32500000</v>
      </c>
      <c r="Q9603">
        <v>32500000</v>
      </c>
      <c r="R9603" s="14">
        <f>_xlfn.XLOOKUP(Table2[[#This Row],[LoanID]],Table1[G-L ID],Table1[ManagerCode],-99)</f>
        <v>183</v>
      </c>
      <c r="T9603"/>
    </row>
    <row r="9604" spans="1:20" x14ac:dyDescent="0.25">
      <c r="A9604">
        <v>20190930</v>
      </c>
      <c r="B9604">
        <v>2019</v>
      </c>
      <c r="C9604">
        <v>9</v>
      </c>
      <c r="D9604">
        <v>1</v>
      </c>
      <c r="E9604">
        <v>12390</v>
      </c>
      <c r="F9604">
        <v>1058287.6499999999</v>
      </c>
      <c r="G9604">
        <v>590112.1</v>
      </c>
      <c r="H9604">
        <v>0</v>
      </c>
      <c r="I9604">
        <v>0</v>
      </c>
      <c r="J9604">
        <v>-3162549.35</v>
      </c>
      <c r="K9604">
        <v>0</v>
      </c>
      <c r="L9604">
        <v>149687642.80000001</v>
      </c>
      <c r="M9604">
        <v>153440304.30000001</v>
      </c>
      <c r="N9604">
        <v>149687642.80000001</v>
      </c>
      <c r="O9604">
        <v>153440304.30000001</v>
      </c>
      <c r="P9604">
        <v>149687642.80000001</v>
      </c>
      <c r="Q9604">
        <v>153440304.30000001</v>
      </c>
      <c r="R9604" s="14">
        <f>_xlfn.XLOOKUP(Table2[[#This Row],[LoanID]],Table1[G-L ID],Table1[ManagerCode],-99)</f>
        <v>183</v>
      </c>
      <c r="T9604"/>
    </row>
    <row r="9605" spans="1:20" x14ac:dyDescent="0.25">
      <c r="A9605">
        <v>20190930</v>
      </c>
      <c r="B9605">
        <v>2019</v>
      </c>
      <c r="C9605">
        <v>9</v>
      </c>
      <c r="D9605">
        <v>1</v>
      </c>
      <c r="E9605">
        <v>12400</v>
      </c>
      <c r="F9605">
        <v>284206.87</v>
      </c>
      <c r="G9605">
        <v>134452.09</v>
      </c>
      <c r="H9605">
        <v>0</v>
      </c>
      <c r="I9605">
        <v>0</v>
      </c>
      <c r="J9605">
        <v>-3666486.26</v>
      </c>
      <c r="K9605">
        <v>0</v>
      </c>
      <c r="L9605">
        <v>52612509.109999999</v>
      </c>
      <c r="M9605">
        <v>56413447.460000001</v>
      </c>
      <c r="N9605">
        <v>52612509.109999999</v>
      </c>
      <c r="O9605">
        <v>56413447.460000001</v>
      </c>
      <c r="P9605">
        <v>52612509.109999999</v>
      </c>
      <c r="Q9605">
        <v>56413447.460000001</v>
      </c>
      <c r="R9605" s="14">
        <f>_xlfn.XLOOKUP(Table2[[#This Row],[LoanID]],Table1[G-L ID],Table1[ManagerCode],-99)</f>
        <v>183</v>
      </c>
      <c r="T9605"/>
    </row>
    <row r="9606" spans="1:20" x14ac:dyDescent="0.25">
      <c r="A9606">
        <v>20190930</v>
      </c>
      <c r="B9606">
        <v>2019</v>
      </c>
      <c r="C9606">
        <v>9</v>
      </c>
      <c r="D9606">
        <v>1</v>
      </c>
      <c r="E9606">
        <v>12410</v>
      </c>
      <c r="F9606">
        <v>250000</v>
      </c>
      <c r="G9606">
        <v>125000</v>
      </c>
      <c r="H9606">
        <v>0</v>
      </c>
      <c r="I9606">
        <v>0</v>
      </c>
      <c r="J9606">
        <v>0</v>
      </c>
      <c r="K9606">
        <v>0</v>
      </c>
      <c r="L9606">
        <v>59723807.539999999</v>
      </c>
      <c r="M9606">
        <v>59848807.539999999</v>
      </c>
      <c r="N9606">
        <v>59723807.539999999</v>
      </c>
      <c r="O9606">
        <v>59848807.539999999</v>
      </c>
      <c r="P9606">
        <v>66004789.659999996</v>
      </c>
      <c r="Q9606">
        <v>66129789.659999996</v>
      </c>
      <c r="R9606" s="14">
        <f>_xlfn.XLOOKUP(Table2[[#This Row],[LoanID]],Table1[G-L ID],Table1[ManagerCode],-99)</f>
        <v>103</v>
      </c>
      <c r="T9606"/>
    </row>
    <row r="9607" spans="1:20" x14ac:dyDescent="0.25">
      <c r="A9607">
        <v>20190930</v>
      </c>
      <c r="B9607">
        <v>2019</v>
      </c>
      <c r="C9607">
        <v>9</v>
      </c>
      <c r="D9607">
        <v>1</v>
      </c>
      <c r="E9607">
        <v>12430</v>
      </c>
      <c r="F9607">
        <v>90120.22</v>
      </c>
      <c r="G9607">
        <v>0</v>
      </c>
      <c r="H9607">
        <v>0</v>
      </c>
      <c r="I9607">
        <v>0</v>
      </c>
      <c r="J9607">
        <v>-90120.22</v>
      </c>
      <c r="K9607">
        <v>0</v>
      </c>
      <c r="L9607">
        <v>25637427</v>
      </c>
      <c r="M9607">
        <v>25769877</v>
      </c>
      <c r="N9607">
        <v>25637427</v>
      </c>
      <c r="O9607">
        <v>25769877</v>
      </c>
      <c r="P9607">
        <v>27036066</v>
      </c>
      <c r="Q9607">
        <v>27126186.23</v>
      </c>
      <c r="R9607" s="14">
        <f>_xlfn.XLOOKUP(Table2[[#This Row],[LoanID]],Table1[G-L ID],Table1[ManagerCode],-99)</f>
        <v>103</v>
      </c>
      <c r="T9607"/>
    </row>
    <row r="9608" spans="1:20" x14ac:dyDescent="0.25">
      <c r="A9608">
        <v>20190930</v>
      </c>
      <c r="B9608">
        <v>2019</v>
      </c>
      <c r="C9608">
        <v>9</v>
      </c>
      <c r="D9608">
        <v>1</v>
      </c>
      <c r="E9608">
        <v>12440</v>
      </c>
      <c r="F9608">
        <v>25980.43</v>
      </c>
      <c r="G9608">
        <v>0</v>
      </c>
      <c r="H9608">
        <v>0</v>
      </c>
      <c r="I9608">
        <v>0</v>
      </c>
      <c r="J9608">
        <v>0</v>
      </c>
      <c r="K9608">
        <v>57385.84</v>
      </c>
      <c r="L9608">
        <v>3499354</v>
      </c>
      <c r="M9608">
        <v>3422302</v>
      </c>
      <c r="N9608">
        <v>3499354</v>
      </c>
      <c r="O9608">
        <v>3422302</v>
      </c>
      <c r="P9608">
        <v>3117651.05</v>
      </c>
      <c r="Q9608">
        <v>3060265.21</v>
      </c>
      <c r="R9608" s="14">
        <f>_xlfn.XLOOKUP(Table2[[#This Row],[LoanID]],Table1[G-L ID],Table1[ManagerCode],-99)</f>
        <v>103</v>
      </c>
      <c r="T9608"/>
    </row>
    <row r="9609" spans="1:20" x14ac:dyDescent="0.25">
      <c r="A9609">
        <v>20190930</v>
      </c>
      <c r="B9609">
        <v>2019</v>
      </c>
      <c r="C9609">
        <v>9</v>
      </c>
      <c r="D9609">
        <v>1</v>
      </c>
      <c r="E9609">
        <v>12450</v>
      </c>
      <c r="F9609">
        <v>73234.73</v>
      </c>
      <c r="G9609">
        <v>39476.15</v>
      </c>
      <c r="H9609">
        <v>0</v>
      </c>
      <c r="I9609">
        <v>0</v>
      </c>
      <c r="J9609">
        <v>-89345.74</v>
      </c>
      <c r="K9609">
        <v>0</v>
      </c>
      <c r="L9609">
        <v>14510822.67</v>
      </c>
      <c r="M9609">
        <v>14639644.560000001</v>
      </c>
      <c r="N9609">
        <v>14510822.67</v>
      </c>
      <c r="O9609">
        <v>14639644.560000001</v>
      </c>
      <c r="P9609">
        <v>14510822.67</v>
      </c>
      <c r="Q9609">
        <v>14639644.560000001</v>
      </c>
      <c r="R9609" s="14">
        <f>_xlfn.XLOOKUP(Table2[[#This Row],[LoanID]],Table1[G-L ID],Table1[ManagerCode],-99)</f>
        <v>183</v>
      </c>
      <c r="T9609"/>
    </row>
    <row r="9610" spans="1:20" x14ac:dyDescent="0.25">
      <c r="A9610">
        <v>20190930</v>
      </c>
      <c r="B9610">
        <v>2019</v>
      </c>
      <c r="C9610">
        <v>9</v>
      </c>
      <c r="D9610">
        <v>1</v>
      </c>
      <c r="E9610">
        <v>12460</v>
      </c>
      <c r="F9610">
        <v>42250</v>
      </c>
      <c r="G9610">
        <v>52123.37</v>
      </c>
      <c r="H9610">
        <v>0</v>
      </c>
      <c r="I9610">
        <v>0</v>
      </c>
      <c r="J9610">
        <v>0</v>
      </c>
      <c r="K9610">
        <v>0</v>
      </c>
      <c r="L9610">
        <v>9437337.0999999996</v>
      </c>
      <c r="M9610">
        <v>9489460.4700000007</v>
      </c>
      <c r="N9610">
        <v>9437337.0999999996</v>
      </c>
      <c r="O9610">
        <v>9489460.4700000007</v>
      </c>
      <c r="P9610">
        <v>9437337.0999999996</v>
      </c>
      <c r="Q9610">
        <v>9489460.4700000007</v>
      </c>
      <c r="R9610" s="14">
        <f>_xlfn.XLOOKUP(Table2[[#This Row],[LoanID]],Table1[G-L ID],Table1[ManagerCode],-99)</f>
        <v>183</v>
      </c>
      <c r="T9610"/>
    </row>
    <row r="9611" spans="1:20" x14ac:dyDescent="0.25">
      <c r="A9611">
        <v>20190930</v>
      </c>
      <c r="B9611">
        <v>2019</v>
      </c>
      <c r="C9611">
        <v>9</v>
      </c>
      <c r="D9611">
        <v>1</v>
      </c>
      <c r="E9611">
        <v>12470</v>
      </c>
      <c r="F9611">
        <v>317037.11</v>
      </c>
      <c r="G9611">
        <v>0</v>
      </c>
      <c r="H9611">
        <v>0</v>
      </c>
      <c r="I9611">
        <v>0</v>
      </c>
      <c r="J9611">
        <v>0</v>
      </c>
      <c r="K9611">
        <v>0</v>
      </c>
      <c r="L9611">
        <v>115000000</v>
      </c>
      <c r="M9611">
        <v>115000000</v>
      </c>
      <c r="N9611">
        <v>46000000</v>
      </c>
      <c r="O9611">
        <v>46000000</v>
      </c>
      <c r="P9611">
        <v>115000000</v>
      </c>
      <c r="Q9611">
        <v>115000000</v>
      </c>
      <c r="R9611" s="14">
        <f>_xlfn.XLOOKUP(Table2[[#This Row],[LoanID]],Table1[G-L ID],Table1[ManagerCode],-99)</f>
        <v>183</v>
      </c>
      <c r="T9611"/>
    </row>
    <row r="9612" spans="1:20" x14ac:dyDescent="0.25">
      <c r="A9612">
        <v>20190930</v>
      </c>
      <c r="B9612">
        <v>2019</v>
      </c>
      <c r="C9612">
        <v>9</v>
      </c>
      <c r="D9612">
        <v>1</v>
      </c>
      <c r="E9612">
        <v>12490</v>
      </c>
      <c r="F9612">
        <v>134412.41</v>
      </c>
      <c r="G9612">
        <v>0</v>
      </c>
      <c r="H9612">
        <v>0</v>
      </c>
      <c r="I9612">
        <v>0</v>
      </c>
      <c r="J9612">
        <v>0</v>
      </c>
      <c r="K9612">
        <v>0</v>
      </c>
      <c r="L9612">
        <v>50200000</v>
      </c>
      <c r="M9612">
        <v>50200000</v>
      </c>
      <c r="N9612">
        <v>19600000</v>
      </c>
      <c r="O9612">
        <v>19600000</v>
      </c>
      <c r="P9612">
        <v>50200000</v>
      </c>
      <c r="Q9612">
        <v>50200000</v>
      </c>
      <c r="R9612" s="14">
        <f>_xlfn.XLOOKUP(Table2[[#This Row],[LoanID]],Table1[G-L ID],Table1[ManagerCode],-99)</f>
        <v>183</v>
      </c>
      <c r="T9612"/>
    </row>
    <row r="9613" spans="1:20" x14ac:dyDescent="0.25">
      <c r="A9613">
        <v>20190930</v>
      </c>
      <c r="B9613">
        <v>2019</v>
      </c>
      <c r="C9613">
        <v>9</v>
      </c>
      <c r="D9613">
        <v>1</v>
      </c>
      <c r="E9613">
        <v>12520</v>
      </c>
      <c r="F9613">
        <v>190347.82</v>
      </c>
      <c r="G9613">
        <v>0</v>
      </c>
      <c r="H9613">
        <v>0</v>
      </c>
      <c r="I9613">
        <v>0</v>
      </c>
      <c r="J9613">
        <v>0</v>
      </c>
      <c r="K9613">
        <v>0</v>
      </c>
      <c r="L9613">
        <v>47848878.210000001</v>
      </c>
      <c r="M9613">
        <v>47848878.210000001</v>
      </c>
      <c r="N9613">
        <v>23098878.210000001</v>
      </c>
      <c r="O9613">
        <v>23098878.210000001</v>
      </c>
      <c r="P9613">
        <v>47848878.210000001</v>
      </c>
      <c r="Q9613">
        <v>47848878.210000001</v>
      </c>
      <c r="R9613" s="14">
        <f>_xlfn.XLOOKUP(Table2[[#This Row],[LoanID]],Table1[G-L ID],Table1[ManagerCode],-99)</f>
        <v>183</v>
      </c>
      <c r="T9613"/>
    </row>
    <row r="9614" spans="1:20" x14ac:dyDescent="0.25">
      <c r="A9614">
        <v>20190930</v>
      </c>
      <c r="B9614">
        <v>2019</v>
      </c>
      <c r="C9614">
        <v>9</v>
      </c>
      <c r="D9614">
        <v>1</v>
      </c>
      <c r="E9614">
        <v>12650</v>
      </c>
      <c r="F9614">
        <v>363479.01</v>
      </c>
      <c r="G9614">
        <v>0</v>
      </c>
      <c r="H9614">
        <v>0</v>
      </c>
      <c r="I9614">
        <v>0</v>
      </c>
      <c r="J9614">
        <v>0</v>
      </c>
      <c r="K9614">
        <v>0</v>
      </c>
      <c r="L9614">
        <v>123200000</v>
      </c>
      <c r="M9614">
        <v>123200000</v>
      </c>
      <c r="N9614">
        <v>49280000</v>
      </c>
      <c r="O9614">
        <v>49280000</v>
      </c>
      <c r="P9614">
        <v>123200000</v>
      </c>
      <c r="Q9614">
        <v>123200000</v>
      </c>
      <c r="R9614" s="14">
        <f>_xlfn.XLOOKUP(Table2[[#This Row],[LoanID]],Table1[G-L ID],Table1[ManagerCode],-99)</f>
        <v>183</v>
      </c>
      <c r="T9614"/>
    </row>
    <row r="9615" spans="1:20" x14ac:dyDescent="0.25">
      <c r="A9615">
        <v>20190930</v>
      </c>
      <c r="B9615">
        <v>2019</v>
      </c>
      <c r="C9615">
        <v>9</v>
      </c>
      <c r="D9615">
        <v>1</v>
      </c>
      <c r="E9615">
        <v>12670</v>
      </c>
      <c r="F9615">
        <v>84822.2</v>
      </c>
      <c r="G9615">
        <v>0</v>
      </c>
      <c r="H9615">
        <v>0</v>
      </c>
      <c r="I9615">
        <v>0</v>
      </c>
      <c r="J9615">
        <v>0</v>
      </c>
      <c r="K9615">
        <v>0</v>
      </c>
      <c r="L9615">
        <v>15500000</v>
      </c>
      <c r="M9615">
        <v>15500000</v>
      </c>
      <c r="N9615">
        <v>15500000</v>
      </c>
      <c r="O9615">
        <v>15500000</v>
      </c>
      <c r="P9615">
        <v>15500000</v>
      </c>
      <c r="Q9615">
        <v>15500000</v>
      </c>
      <c r="R9615" s="14">
        <f>_xlfn.XLOOKUP(Table2[[#This Row],[LoanID]],Table1[G-L ID],Table1[ManagerCode],-99)</f>
        <v>183</v>
      </c>
      <c r="T9615"/>
    </row>
    <row r="9616" spans="1:20" x14ac:dyDescent="0.25">
      <c r="A9616">
        <v>20190930</v>
      </c>
      <c r="B9616">
        <v>2019</v>
      </c>
      <c r="C9616">
        <v>9</v>
      </c>
      <c r="D9616">
        <v>1</v>
      </c>
      <c r="E9616">
        <v>12720</v>
      </c>
      <c r="F9616">
        <v>522994.23</v>
      </c>
      <c r="G9616">
        <v>0</v>
      </c>
      <c r="H9616">
        <v>0</v>
      </c>
      <c r="I9616">
        <v>0</v>
      </c>
      <c r="J9616">
        <v>-1247788.8400000001</v>
      </c>
      <c r="K9616">
        <v>0</v>
      </c>
      <c r="L9616">
        <v>196345851.5</v>
      </c>
      <c r="M9616">
        <v>197593640.40000001</v>
      </c>
      <c r="N9616">
        <v>94464851.5</v>
      </c>
      <c r="O9616">
        <v>95712640.400000006</v>
      </c>
      <c r="P9616">
        <v>196345851.5</v>
      </c>
      <c r="Q9616">
        <v>197593640.40000001</v>
      </c>
      <c r="R9616" s="14">
        <f>_xlfn.XLOOKUP(Table2[[#This Row],[LoanID]],Table1[G-L ID],Table1[ManagerCode],-99)</f>
        <v>183</v>
      </c>
      <c r="T9616"/>
    </row>
    <row r="9617" spans="1:20" x14ac:dyDescent="0.25">
      <c r="A9617">
        <v>20190930</v>
      </c>
      <c r="B9617">
        <v>2019</v>
      </c>
      <c r="C9617">
        <v>9</v>
      </c>
      <c r="D9617">
        <v>1</v>
      </c>
      <c r="E9617">
        <v>12730</v>
      </c>
      <c r="F9617">
        <v>76971.64</v>
      </c>
      <c r="G9617">
        <v>0</v>
      </c>
      <c r="H9617">
        <v>0</v>
      </c>
      <c r="I9617">
        <v>0</v>
      </c>
      <c r="J9617">
        <v>0</v>
      </c>
      <c r="K9617">
        <v>0</v>
      </c>
      <c r="L9617">
        <v>38460000</v>
      </c>
      <c r="M9617">
        <v>38460000</v>
      </c>
      <c r="N9617">
        <v>13460000</v>
      </c>
      <c r="O9617">
        <v>13460000</v>
      </c>
      <c r="P9617">
        <v>38460000</v>
      </c>
      <c r="Q9617">
        <v>38460000</v>
      </c>
      <c r="R9617" s="14">
        <f>_xlfn.XLOOKUP(Table2[[#This Row],[LoanID]],Table1[G-L ID],Table1[ManagerCode],-99)</f>
        <v>183</v>
      </c>
      <c r="T9617"/>
    </row>
    <row r="9618" spans="1:20" x14ac:dyDescent="0.25">
      <c r="A9618">
        <v>20190930</v>
      </c>
      <c r="B9618">
        <v>2019</v>
      </c>
      <c r="C9618">
        <v>9</v>
      </c>
      <c r="D9618">
        <v>1</v>
      </c>
      <c r="E9618">
        <v>12740</v>
      </c>
      <c r="F9618">
        <v>146201.35999999999</v>
      </c>
      <c r="G9618">
        <v>73030.48</v>
      </c>
      <c r="H9618">
        <v>0</v>
      </c>
      <c r="I9618">
        <v>0</v>
      </c>
      <c r="J9618">
        <v>-536904.46</v>
      </c>
      <c r="K9618">
        <v>0</v>
      </c>
      <c r="L9618">
        <v>30598114.550000001</v>
      </c>
      <c r="M9618">
        <v>31208049.489999998</v>
      </c>
      <c r="N9618">
        <v>30598114.550000001</v>
      </c>
      <c r="O9618">
        <v>31208049.489999998</v>
      </c>
      <c r="P9618">
        <v>30598114.550000001</v>
      </c>
      <c r="Q9618">
        <v>31208049.489999998</v>
      </c>
      <c r="R9618" s="14">
        <f>_xlfn.XLOOKUP(Table2[[#This Row],[LoanID]],Table1[G-L ID],Table1[ManagerCode],-99)</f>
        <v>183</v>
      </c>
      <c r="T9618"/>
    </row>
    <row r="9619" spans="1:20" x14ac:dyDescent="0.25">
      <c r="A9619">
        <v>20190930</v>
      </c>
      <c r="B9619">
        <v>2019</v>
      </c>
      <c r="C9619">
        <v>9</v>
      </c>
      <c r="D9619">
        <v>1</v>
      </c>
      <c r="E9619">
        <v>13000</v>
      </c>
      <c r="F9619">
        <v>165645.47</v>
      </c>
      <c r="G9619">
        <v>0</v>
      </c>
      <c r="H9619">
        <v>0</v>
      </c>
      <c r="I9619">
        <v>0</v>
      </c>
      <c r="J9619">
        <v>0</v>
      </c>
      <c r="K9619">
        <v>0</v>
      </c>
      <c r="L9619">
        <v>46481160</v>
      </c>
      <c r="M9619">
        <v>46940758</v>
      </c>
      <c r="N9619">
        <v>46481160</v>
      </c>
      <c r="O9619">
        <v>46940758</v>
      </c>
      <c r="P9619">
        <v>49693640.109999999</v>
      </c>
      <c r="Q9619">
        <v>49693640.109999999</v>
      </c>
      <c r="R9619" s="14">
        <f>_xlfn.XLOOKUP(Table2[[#This Row],[LoanID]],Table1[G-L ID],Table1[ManagerCode],-99)</f>
        <v>103</v>
      </c>
      <c r="T9619"/>
    </row>
    <row r="9620" spans="1:20" x14ac:dyDescent="0.25">
      <c r="A9620">
        <v>20190930</v>
      </c>
      <c r="B9620">
        <v>2019</v>
      </c>
      <c r="C9620">
        <v>9</v>
      </c>
      <c r="D9620">
        <v>1</v>
      </c>
      <c r="E9620">
        <v>13010</v>
      </c>
      <c r="F9620">
        <v>1050000</v>
      </c>
      <c r="G9620">
        <v>350000</v>
      </c>
      <c r="H9620">
        <v>0</v>
      </c>
      <c r="I9620">
        <v>0</v>
      </c>
      <c r="J9620">
        <v>0</v>
      </c>
      <c r="K9620">
        <v>0</v>
      </c>
      <c r="L9620">
        <v>200200200</v>
      </c>
      <c r="M9620">
        <v>200550200</v>
      </c>
      <c r="N9620">
        <v>200200200</v>
      </c>
      <c r="O9620">
        <v>200550200</v>
      </c>
      <c r="P9620">
        <v>210700000</v>
      </c>
      <c r="Q9620">
        <v>211050000</v>
      </c>
      <c r="R9620" s="14">
        <f>_xlfn.XLOOKUP(Table2[[#This Row],[LoanID]],Table1[G-L ID],Table1[ManagerCode],-99)</f>
        <v>103</v>
      </c>
      <c r="T9620"/>
    </row>
    <row r="9621" spans="1:20" x14ac:dyDescent="0.25">
      <c r="A9621">
        <v>20190930</v>
      </c>
      <c r="B9621">
        <v>2019</v>
      </c>
      <c r="C9621">
        <v>9</v>
      </c>
      <c r="D9621">
        <v>1</v>
      </c>
      <c r="E9621">
        <v>13030</v>
      </c>
      <c r="F9621">
        <v>276319.8</v>
      </c>
      <c r="G9621">
        <v>0</v>
      </c>
      <c r="H9621">
        <v>0</v>
      </c>
      <c r="I9621">
        <v>0</v>
      </c>
      <c r="J9621">
        <v>0</v>
      </c>
      <c r="K9621">
        <v>0</v>
      </c>
      <c r="L9621">
        <v>114000000</v>
      </c>
      <c r="M9621">
        <v>114000000</v>
      </c>
      <c r="N9621">
        <v>51276576</v>
      </c>
      <c r="O9621">
        <v>51276576</v>
      </c>
      <c r="P9621">
        <v>114000000</v>
      </c>
      <c r="Q9621">
        <v>114000000</v>
      </c>
      <c r="R9621" s="14">
        <f>_xlfn.XLOOKUP(Table2[[#This Row],[LoanID]],Table1[G-L ID],Table1[ManagerCode],-99)</f>
        <v>183</v>
      </c>
      <c r="T9621"/>
    </row>
    <row r="9622" spans="1:20" x14ac:dyDescent="0.25">
      <c r="A9622">
        <v>20190930</v>
      </c>
      <c r="B9622">
        <v>2019</v>
      </c>
      <c r="C9622">
        <v>9</v>
      </c>
      <c r="D9622">
        <v>1</v>
      </c>
      <c r="E9622">
        <v>13040</v>
      </c>
      <c r="F9622">
        <v>76230.720000000001</v>
      </c>
      <c r="G9622">
        <v>0</v>
      </c>
      <c r="H9622">
        <v>0</v>
      </c>
      <c r="I9622">
        <v>0</v>
      </c>
      <c r="J9622">
        <v>-389175.01</v>
      </c>
      <c r="K9622">
        <v>0</v>
      </c>
      <c r="L9622">
        <v>35328038.93</v>
      </c>
      <c r="M9622">
        <v>35717213.939999998</v>
      </c>
      <c r="N9622">
        <v>15155651.93</v>
      </c>
      <c r="O9622">
        <v>15544826.939999999</v>
      </c>
      <c r="P9622">
        <v>35328038.93</v>
      </c>
      <c r="Q9622">
        <v>35717213.939999998</v>
      </c>
      <c r="R9622" s="14">
        <f>_xlfn.XLOOKUP(Table2[[#This Row],[LoanID]],Table1[G-L ID],Table1[ManagerCode],-99)</f>
        <v>183</v>
      </c>
      <c r="T9622"/>
    </row>
    <row r="9623" spans="1:20" x14ac:dyDescent="0.25">
      <c r="A9623">
        <v>20190930</v>
      </c>
      <c r="B9623">
        <v>2019</v>
      </c>
      <c r="C9623">
        <v>9</v>
      </c>
      <c r="D9623">
        <v>1</v>
      </c>
      <c r="E9623">
        <v>13050</v>
      </c>
      <c r="F9623">
        <v>69907.710000000006</v>
      </c>
      <c r="G9623">
        <v>0</v>
      </c>
      <c r="H9623">
        <v>0</v>
      </c>
      <c r="I9623">
        <v>0</v>
      </c>
      <c r="J9623">
        <v>0</v>
      </c>
      <c r="K9623">
        <v>0</v>
      </c>
      <c r="L9623">
        <v>42575000</v>
      </c>
      <c r="M9623">
        <v>42575000</v>
      </c>
      <c r="N9623">
        <v>14901424</v>
      </c>
      <c r="O9623">
        <v>14901424</v>
      </c>
      <c r="P9623">
        <v>42575000</v>
      </c>
      <c r="Q9623">
        <v>42575000</v>
      </c>
      <c r="R9623" s="14">
        <f>_xlfn.XLOOKUP(Table2[[#This Row],[LoanID]],Table1[G-L ID],Table1[ManagerCode],-99)</f>
        <v>183</v>
      </c>
      <c r="T9623"/>
    </row>
    <row r="9624" spans="1:20" x14ac:dyDescent="0.25">
      <c r="A9624">
        <v>20190930</v>
      </c>
      <c r="B9624">
        <v>2019</v>
      </c>
      <c r="C9624">
        <v>9</v>
      </c>
      <c r="D9624">
        <v>1</v>
      </c>
      <c r="E9624">
        <v>13060</v>
      </c>
      <c r="F9624">
        <v>88949.27</v>
      </c>
      <c r="G9624">
        <v>0</v>
      </c>
      <c r="H9624">
        <v>0</v>
      </c>
      <c r="I9624">
        <v>0</v>
      </c>
      <c r="J9624">
        <v>-1161503.51</v>
      </c>
      <c r="K9624">
        <v>0</v>
      </c>
      <c r="L9624">
        <v>43809329.950000003</v>
      </c>
      <c r="M9624">
        <v>44970833.460000001</v>
      </c>
      <c r="N9624">
        <v>17560473.789999999</v>
      </c>
      <c r="O9624">
        <v>18721977.300000001</v>
      </c>
      <c r="P9624">
        <v>43809329.950000003</v>
      </c>
      <c r="Q9624">
        <v>44970833.460000001</v>
      </c>
      <c r="R9624" s="14">
        <f>_xlfn.XLOOKUP(Table2[[#This Row],[LoanID]],Table1[G-L ID],Table1[ManagerCode],-99)</f>
        <v>183</v>
      </c>
      <c r="T9624"/>
    </row>
    <row r="9625" spans="1:20" x14ac:dyDescent="0.25">
      <c r="A9625">
        <v>20190930</v>
      </c>
      <c r="B9625">
        <v>2019</v>
      </c>
      <c r="C9625">
        <v>9</v>
      </c>
      <c r="D9625">
        <v>1</v>
      </c>
      <c r="E9625">
        <v>13070</v>
      </c>
      <c r="F9625">
        <v>366348.75</v>
      </c>
      <c r="G9625">
        <v>0</v>
      </c>
      <c r="H9625">
        <v>0</v>
      </c>
      <c r="I9625">
        <v>0</v>
      </c>
      <c r="J9625">
        <v>-1099269</v>
      </c>
      <c r="K9625">
        <v>0</v>
      </c>
      <c r="L9625">
        <v>91536513</v>
      </c>
      <c r="M9625">
        <v>92635782</v>
      </c>
      <c r="N9625">
        <v>51536513</v>
      </c>
      <c r="O9625">
        <v>52635782</v>
      </c>
      <c r="P9625">
        <v>91536513</v>
      </c>
      <c r="Q9625">
        <v>92635782</v>
      </c>
      <c r="R9625" s="14">
        <f>_xlfn.XLOOKUP(Table2[[#This Row],[LoanID]],Table1[G-L ID],Table1[ManagerCode],-99)</f>
        <v>183</v>
      </c>
      <c r="T9625"/>
    </row>
    <row r="9626" spans="1:20" x14ac:dyDescent="0.25">
      <c r="A9626">
        <v>20190930</v>
      </c>
      <c r="B9626">
        <v>2019</v>
      </c>
      <c r="C9626">
        <v>9</v>
      </c>
      <c r="D9626">
        <v>1</v>
      </c>
      <c r="E9626">
        <v>13080</v>
      </c>
      <c r="F9626">
        <v>100512.47</v>
      </c>
      <c r="G9626">
        <v>0</v>
      </c>
      <c r="H9626">
        <v>0</v>
      </c>
      <c r="I9626">
        <v>0</v>
      </c>
      <c r="J9626">
        <v>0</v>
      </c>
      <c r="K9626">
        <v>0</v>
      </c>
      <c r="L9626">
        <v>43000000</v>
      </c>
      <c r="M9626">
        <v>43000000</v>
      </c>
      <c r="N9626">
        <v>21500000</v>
      </c>
      <c r="O9626">
        <v>21500000</v>
      </c>
      <c r="P9626">
        <v>43000000</v>
      </c>
      <c r="Q9626">
        <v>43000000</v>
      </c>
      <c r="R9626" s="14">
        <f>_xlfn.XLOOKUP(Table2[[#This Row],[LoanID]],Table1[G-L ID],Table1[ManagerCode],-99)</f>
        <v>183</v>
      </c>
      <c r="T9626"/>
    </row>
    <row r="9627" spans="1:20" x14ac:dyDescent="0.25">
      <c r="A9627">
        <v>20190930</v>
      </c>
      <c r="B9627">
        <v>2019</v>
      </c>
      <c r="C9627">
        <v>9</v>
      </c>
      <c r="D9627">
        <v>1</v>
      </c>
      <c r="E9627">
        <v>13090</v>
      </c>
      <c r="F9627">
        <v>105683.33</v>
      </c>
      <c r="G9627">
        <v>0</v>
      </c>
      <c r="H9627">
        <v>0</v>
      </c>
      <c r="I9627">
        <v>0</v>
      </c>
      <c r="J9627">
        <v>0</v>
      </c>
      <c r="K9627">
        <v>0</v>
      </c>
      <c r="L9627">
        <v>20000000</v>
      </c>
      <c r="M9627">
        <v>20000000</v>
      </c>
      <c r="N9627">
        <v>20000000</v>
      </c>
      <c r="O9627">
        <v>20000000</v>
      </c>
      <c r="P9627">
        <v>20000000</v>
      </c>
      <c r="Q9627">
        <v>20000000</v>
      </c>
      <c r="R9627" s="14">
        <f>_xlfn.XLOOKUP(Table2[[#This Row],[LoanID]],Table1[G-L ID],Table1[ManagerCode],-99)</f>
        <v>183</v>
      </c>
      <c r="T9627"/>
    </row>
    <row r="9628" spans="1:20" x14ac:dyDescent="0.25">
      <c r="A9628">
        <v>20190930</v>
      </c>
      <c r="B9628">
        <v>2019</v>
      </c>
      <c r="C9628">
        <v>9</v>
      </c>
      <c r="D9628">
        <v>1</v>
      </c>
      <c r="E9628">
        <v>13100</v>
      </c>
      <c r="F9628">
        <v>98716.64</v>
      </c>
      <c r="G9628">
        <v>0</v>
      </c>
      <c r="H9628">
        <v>0</v>
      </c>
      <c r="I9628">
        <v>0</v>
      </c>
      <c r="J9628">
        <v>84600.51</v>
      </c>
      <c r="K9628">
        <v>293829.49</v>
      </c>
      <c r="L9628">
        <v>30952059.25</v>
      </c>
      <c r="M9628">
        <v>30867458.739999998</v>
      </c>
      <c r="N9628">
        <v>13192593.92</v>
      </c>
      <c r="O9628">
        <v>12814163.92</v>
      </c>
      <c r="P9628">
        <v>30952059.25</v>
      </c>
      <c r="Q9628">
        <v>30867458.739999998</v>
      </c>
      <c r="R9628" s="14">
        <f>_xlfn.XLOOKUP(Table2[[#This Row],[LoanID]],Table1[G-L ID],Table1[ManagerCode],-99)</f>
        <v>183</v>
      </c>
      <c r="T9628"/>
    </row>
    <row r="9629" spans="1:20" x14ac:dyDescent="0.25">
      <c r="A9629">
        <v>20190930</v>
      </c>
      <c r="B9629">
        <v>2019</v>
      </c>
      <c r="C9629">
        <v>9</v>
      </c>
      <c r="D9629">
        <v>1</v>
      </c>
      <c r="E9629">
        <v>13110</v>
      </c>
      <c r="F9629">
        <v>91797.28</v>
      </c>
      <c r="G9629">
        <v>0</v>
      </c>
      <c r="H9629">
        <v>0</v>
      </c>
      <c r="I9629">
        <v>0</v>
      </c>
      <c r="J9629">
        <v>-1559405.15</v>
      </c>
      <c r="K9629">
        <v>0</v>
      </c>
      <c r="L9629">
        <v>44515210.130000003</v>
      </c>
      <c r="M9629">
        <v>46074615.280000001</v>
      </c>
      <c r="N9629">
        <v>18238960.129999999</v>
      </c>
      <c r="O9629">
        <v>19798365.280000001</v>
      </c>
      <c r="P9629">
        <v>44515210.130000003</v>
      </c>
      <c r="Q9629">
        <v>46074615.280000001</v>
      </c>
      <c r="R9629" s="14">
        <f>_xlfn.XLOOKUP(Table2[[#This Row],[LoanID]],Table1[G-L ID],Table1[ManagerCode],-99)</f>
        <v>183</v>
      </c>
      <c r="T9629"/>
    </row>
    <row r="9630" spans="1:20" x14ac:dyDescent="0.25">
      <c r="A9630">
        <v>20190930</v>
      </c>
      <c r="B9630">
        <v>2019</v>
      </c>
      <c r="C9630">
        <v>9</v>
      </c>
      <c r="D9630">
        <v>1</v>
      </c>
      <c r="E9630">
        <v>13120</v>
      </c>
      <c r="F9630">
        <v>53409</v>
      </c>
      <c r="G9630">
        <v>0</v>
      </c>
      <c r="H9630">
        <v>0</v>
      </c>
      <c r="I9630">
        <v>0</v>
      </c>
      <c r="J9630">
        <v>0</v>
      </c>
      <c r="K9630">
        <v>0</v>
      </c>
      <c r="L9630">
        <v>27360000</v>
      </c>
      <c r="M9630">
        <v>27360000</v>
      </c>
      <c r="N9630">
        <v>9576000</v>
      </c>
      <c r="O9630">
        <v>9576000</v>
      </c>
      <c r="P9630">
        <v>27360000</v>
      </c>
      <c r="Q9630">
        <v>27360000</v>
      </c>
      <c r="R9630" s="14">
        <f>_xlfn.XLOOKUP(Table2[[#This Row],[LoanID]],Table1[G-L ID],Table1[ManagerCode],-99)</f>
        <v>183</v>
      </c>
      <c r="T9630"/>
    </row>
    <row r="9631" spans="1:20" x14ac:dyDescent="0.25">
      <c r="A9631">
        <v>20190930</v>
      </c>
      <c r="B9631">
        <v>2019</v>
      </c>
      <c r="C9631">
        <v>9</v>
      </c>
      <c r="D9631">
        <v>1</v>
      </c>
      <c r="E9631">
        <v>13130</v>
      </c>
      <c r="F9631">
        <v>391686.58</v>
      </c>
      <c r="G9631">
        <v>0</v>
      </c>
      <c r="H9631">
        <v>0</v>
      </c>
      <c r="I9631">
        <v>0</v>
      </c>
      <c r="J9631">
        <v>-6459423.2300000004</v>
      </c>
      <c r="K9631">
        <v>0</v>
      </c>
      <c r="L9631">
        <v>190400000</v>
      </c>
      <c r="M9631">
        <v>196859423.19999999</v>
      </c>
      <c r="N9631">
        <v>90400000</v>
      </c>
      <c r="O9631">
        <v>96859423.200000003</v>
      </c>
      <c r="P9631">
        <v>190400000</v>
      </c>
      <c r="Q9631">
        <v>196859423.19999999</v>
      </c>
      <c r="R9631" s="14">
        <f>_xlfn.XLOOKUP(Table2[[#This Row],[LoanID]],Table1[G-L ID],Table1[ManagerCode],-99)</f>
        <v>183</v>
      </c>
      <c r="T9631"/>
    </row>
    <row r="9632" spans="1:20" x14ac:dyDescent="0.25">
      <c r="A9632">
        <v>20190930</v>
      </c>
      <c r="B9632">
        <v>2019</v>
      </c>
      <c r="C9632">
        <v>9</v>
      </c>
      <c r="D9632">
        <v>1</v>
      </c>
      <c r="E9632">
        <v>13140</v>
      </c>
      <c r="F9632">
        <v>227232.95</v>
      </c>
      <c r="G9632">
        <v>0</v>
      </c>
      <c r="H9632">
        <v>0</v>
      </c>
      <c r="I9632">
        <v>0</v>
      </c>
      <c r="J9632">
        <v>-68440.77</v>
      </c>
      <c r="K9632">
        <v>0</v>
      </c>
      <c r="L9632">
        <v>131025567.09999999</v>
      </c>
      <c r="M9632">
        <v>131094007.8</v>
      </c>
      <c r="N9632">
        <v>46043440</v>
      </c>
      <c r="O9632">
        <v>46111880.700000003</v>
      </c>
      <c r="P9632">
        <v>131025567.09999999</v>
      </c>
      <c r="Q9632">
        <v>131094007.8</v>
      </c>
      <c r="R9632" s="14">
        <f>_xlfn.XLOOKUP(Table2[[#This Row],[LoanID]],Table1[G-L ID],Table1[ManagerCode],-99)</f>
        <v>183</v>
      </c>
      <c r="T9632"/>
    </row>
    <row r="9633" spans="1:20" x14ac:dyDescent="0.25">
      <c r="A9633">
        <v>20190930</v>
      </c>
      <c r="B9633">
        <v>2019</v>
      </c>
      <c r="C9633">
        <v>9</v>
      </c>
      <c r="D9633">
        <v>1</v>
      </c>
      <c r="E9633">
        <v>13150</v>
      </c>
      <c r="F9633">
        <v>152578.44</v>
      </c>
      <c r="G9633">
        <v>0</v>
      </c>
      <c r="H9633">
        <v>0</v>
      </c>
      <c r="I9633">
        <v>0</v>
      </c>
      <c r="J9633">
        <v>0</v>
      </c>
      <c r="K9633">
        <v>0</v>
      </c>
      <c r="L9633">
        <v>86305013.030000001</v>
      </c>
      <c r="M9633">
        <v>86305013.030000001</v>
      </c>
      <c r="N9633">
        <v>30678013.030000001</v>
      </c>
      <c r="O9633">
        <v>30678013.030000001</v>
      </c>
      <c r="P9633">
        <v>86305013.030000001</v>
      </c>
      <c r="Q9633">
        <v>86305013.030000001</v>
      </c>
      <c r="R9633" s="14">
        <f>_xlfn.XLOOKUP(Table2[[#This Row],[LoanID]],Table1[G-L ID],Table1[ManagerCode],-99)</f>
        <v>183</v>
      </c>
      <c r="T9633"/>
    </row>
    <row r="9634" spans="1:20" x14ac:dyDescent="0.25">
      <c r="A9634">
        <v>20190930</v>
      </c>
      <c r="B9634">
        <v>2019</v>
      </c>
      <c r="C9634">
        <v>9</v>
      </c>
      <c r="D9634">
        <v>1</v>
      </c>
      <c r="E9634">
        <v>13160</v>
      </c>
      <c r="F9634">
        <v>115394.78</v>
      </c>
      <c r="G9634">
        <v>0</v>
      </c>
      <c r="H9634">
        <v>0</v>
      </c>
      <c r="I9634">
        <v>0</v>
      </c>
      <c r="J9634">
        <v>0</v>
      </c>
      <c r="K9634">
        <v>0</v>
      </c>
      <c r="L9634">
        <v>41900000</v>
      </c>
      <c r="M9634">
        <v>41900000</v>
      </c>
      <c r="N9634">
        <v>21854858</v>
      </c>
      <c r="O9634">
        <v>21854858</v>
      </c>
      <c r="P9634">
        <v>41900000</v>
      </c>
      <c r="Q9634">
        <v>41900000</v>
      </c>
      <c r="R9634" s="14">
        <f>_xlfn.XLOOKUP(Table2[[#This Row],[LoanID]],Table1[G-L ID],Table1[ManagerCode],-99)</f>
        <v>183</v>
      </c>
      <c r="T9634"/>
    </row>
    <row r="9635" spans="1:20" x14ac:dyDescent="0.25">
      <c r="A9635">
        <v>20190930</v>
      </c>
      <c r="B9635">
        <v>2019</v>
      </c>
      <c r="C9635">
        <v>9</v>
      </c>
      <c r="D9635">
        <v>1</v>
      </c>
      <c r="E9635">
        <v>13170</v>
      </c>
      <c r="F9635">
        <v>105440.62</v>
      </c>
      <c r="G9635">
        <v>0</v>
      </c>
      <c r="H9635">
        <v>0</v>
      </c>
      <c r="I9635">
        <v>0</v>
      </c>
      <c r="J9635">
        <v>0</v>
      </c>
      <c r="K9635">
        <v>0</v>
      </c>
      <c r="L9635">
        <v>50400000</v>
      </c>
      <c r="M9635">
        <v>50400000</v>
      </c>
      <c r="N9635">
        <v>17600000</v>
      </c>
      <c r="O9635">
        <v>17600000</v>
      </c>
      <c r="P9635">
        <v>50400000</v>
      </c>
      <c r="Q9635">
        <v>50400000</v>
      </c>
      <c r="R9635" s="14">
        <f>_xlfn.XLOOKUP(Table2[[#This Row],[LoanID]],Table1[G-L ID],Table1[ManagerCode],-99)</f>
        <v>183</v>
      </c>
      <c r="T9635"/>
    </row>
    <row r="9636" spans="1:20" x14ac:dyDescent="0.25">
      <c r="A9636">
        <v>20190930</v>
      </c>
      <c r="B9636">
        <v>2019</v>
      </c>
      <c r="C9636">
        <v>9</v>
      </c>
      <c r="D9636">
        <v>1</v>
      </c>
      <c r="E9636">
        <v>13180</v>
      </c>
      <c r="F9636">
        <v>84980.7</v>
      </c>
      <c r="G9636">
        <v>0</v>
      </c>
      <c r="H9636">
        <v>0</v>
      </c>
      <c r="I9636">
        <v>0</v>
      </c>
      <c r="J9636">
        <v>0</v>
      </c>
      <c r="K9636">
        <v>0</v>
      </c>
      <c r="L9636">
        <v>39780000</v>
      </c>
      <c r="M9636">
        <v>39780000</v>
      </c>
      <c r="N9636">
        <v>15930000</v>
      </c>
      <c r="O9636">
        <v>15930000</v>
      </c>
      <c r="P9636">
        <v>39780000</v>
      </c>
      <c r="Q9636">
        <v>39780000</v>
      </c>
      <c r="R9636" s="14">
        <f>_xlfn.XLOOKUP(Table2[[#This Row],[LoanID]],Table1[G-L ID],Table1[ManagerCode],-99)</f>
        <v>183</v>
      </c>
      <c r="T9636"/>
    </row>
    <row r="9637" spans="1:20" x14ac:dyDescent="0.25">
      <c r="A9637">
        <v>20190930</v>
      </c>
      <c r="B9637">
        <v>2019</v>
      </c>
      <c r="C9637">
        <v>9</v>
      </c>
      <c r="D9637">
        <v>1</v>
      </c>
      <c r="E9637">
        <v>13190</v>
      </c>
      <c r="F9637">
        <v>63382.22</v>
      </c>
      <c r="G9637">
        <v>52723.199999999997</v>
      </c>
      <c r="H9637">
        <v>0</v>
      </c>
      <c r="I9637">
        <v>0</v>
      </c>
      <c r="J9637">
        <v>-64920.73</v>
      </c>
      <c r="K9637">
        <v>0</v>
      </c>
      <c r="L9637">
        <v>12741097.51</v>
      </c>
      <c r="M9637">
        <v>12858741.439999999</v>
      </c>
      <c r="N9637">
        <v>12741097.51</v>
      </c>
      <c r="O9637">
        <v>12858741.439999999</v>
      </c>
      <c r="P9637">
        <v>12741097.51</v>
      </c>
      <c r="Q9637">
        <v>12858741.439999999</v>
      </c>
      <c r="R9637" s="14">
        <f>_xlfn.XLOOKUP(Table2[[#This Row],[LoanID]],Table1[G-L ID],Table1[ManagerCode],-99)</f>
        <v>183</v>
      </c>
      <c r="T9637"/>
    </row>
    <row r="9638" spans="1:20" x14ac:dyDescent="0.25">
      <c r="A9638">
        <v>20190930</v>
      </c>
      <c r="B9638">
        <v>2019</v>
      </c>
      <c r="C9638">
        <v>9</v>
      </c>
      <c r="D9638">
        <v>1</v>
      </c>
      <c r="E9638">
        <v>13200</v>
      </c>
      <c r="F9638">
        <v>75055.31</v>
      </c>
      <c r="G9638">
        <v>64244.639999999999</v>
      </c>
      <c r="H9638">
        <v>0</v>
      </c>
      <c r="I9638">
        <v>0</v>
      </c>
      <c r="J9638">
        <v>-2443757.7200000002</v>
      </c>
      <c r="K9638">
        <v>0</v>
      </c>
      <c r="L9638">
        <v>13566760.35</v>
      </c>
      <c r="M9638">
        <v>16074762.710000001</v>
      </c>
      <c r="N9638">
        <v>13566760.35</v>
      </c>
      <c r="O9638">
        <v>16074762.710000001</v>
      </c>
      <c r="P9638">
        <v>13566760.35</v>
      </c>
      <c r="Q9638">
        <v>16074762.710000001</v>
      </c>
      <c r="R9638" s="14">
        <f>_xlfn.XLOOKUP(Table2[[#This Row],[LoanID]],Table1[G-L ID],Table1[ManagerCode],-99)</f>
        <v>183</v>
      </c>
      <c r="T9638"/>
    </row>
    <row r="9639" spans="1:20" x14ac:dyDescent="0.25">
      <c r="A9639">
        <v>20190930</v>
      </c>
      <c r="B9639">
        <v>2019</v>
      </c>
      <c r="C9639">
        <v>9</v>
      </c>
      <c r="D9639">
        <v>1</v>
      </c>
      <c r="E9639">
        <v>13210</v>
      </c>
      <c r="F9639">
        <v>0</v>
      </c>
      <c r="G9639">
        <v>144378.47</v>
      </c>
      <c r="H9639">
        <v>0</v>
      </c>
      <c r="I9639">
        <v>0</v>
      </c>
      <c r="J9639">
        <v>-585376.59</v>
      </c>
      <c r="K9639">
        <v>0</v>
      </c>
      <c r="L9639">
        <v>14056592.560000001</v>
      </c>
      <c r="M9639">
        <v>14786347.619999999</v>
      </c>
      <c r="N9639">
        <v>14056592.560000001</v>
      </c>
      <c r="O9639">
        <v>14786347.619999999</v>
      </c>
      <c r="P9639">
        <v>14056592.560000001</v>
      </c>
      <c r="Q9639">
        <v>14786347.619999999</v>
      </c>
      <c r="R9639" s="14">
        <f>_xlfn.XLOOKUP(Table2[[#This Row],[LoanID]],Table1[G-L ID],Table1[ManagerCode],-99)</f>
        <v>183</v>
      </c>
      <c r="T9639"/>
    </row>
    <row r="9640" spans="1:20" x14ac:dyDescent="0.25">
      <c r="A9640">
        <v>20190930</v>
      </c>
      <c r="B9640">
        <v>2019</v>
      </c>
      <c r="C9640">
        <v>9</v>
      </c>
      <c r="D9640">
        <v>1</v>
      </c>
      <c r="E9640">
        <v>13220</v>
      </c>
      <c r="F9640">
        <v>71147.240000000005</v>
      </c>
      <c r="G9640">
        <v>-40.56</v>
      </c>
      <c r="H9640">
        <v>0</v>
      </c>
      <c r="I9640">
        <v>0</v>
      </c>
      <c r="J9640">
        <v>0</v>
      </c>
      <c r="K9640">
        <v>5206.51</v>
      </c>
      <c r="L9640">
        <v>9294058.4900000002</v>
      </c>
      <c r="M9640">
        <v>9288811.4199999999</v>
      </c>
      <c r="N9640">
        <v>9294058.4900000002</v>
      </c>
      <c r="O9640">
        <v>9288811.4199999999</v>
      </c>
      <c r="P9640">
        <v>9202344.4199999999</v>
      </c>
      <c r="Q9640">
        <v>9197097.3499999996</v>
      </c>
      <c r="R9640" s="14">
        <f>_xlfn.XLOOKUP(Table2[[#This Row],[LoanID]],Table1[G-L ID],Table1[ManagerCode],-99)</f>
        <v>219</v>
      </c>
      <c r="T9640"/>
    </row>
    <row r="9641" spans="1:20" x14ac:dyDescent="0.25">
      <c r="A9641">
        <v>20190930</v>
      </c>
      <c r="B9641">
        <v>2019</v>
      </c>
      <c r="C9641">
        <v>9</v>
      </c>
      <c r="D9641">
        <v>1</v>
      </c>
      <c r="E9641">
        <v>13230</v>
      </c>
      <c r="F9641">
        <v>43875</v>
      </c>
      <c r="G9641">
        <v>0</v>
      </c>
      <c r="H9641">
        <v>0</v>
      </c>
      <c r="I9641">
        <v>0</v>
      </c>
      <c r="J9641">
        <v>0</v>
      </c>
      <c r="K9641">
        <v>0</v>
      </c>
      <c r="L9641">
        <v>6543875</v>
      </c>
      <c r="M9641">
        <v>6543875</v>
      </c>
      <c r="N9641">
        <v>6543875</v>
      </c>
      <c r="O9641">
        <v>6543875</v>
      </c>
      <c r="P9641">
        <v>6543875</v>
      </c>
      <c r="Q9641">
        <v>6543875</v>
      </c>
      <c r="R9641" s="14">
        <f>_xlfn.XLOOKUP(Table2[[#This Row],[LoanID]],Table1[G-L ID],Table1[ManagerCode],-99)</f>
        <v>219</v>
      </c>
      <c r="T9641"/>
    </row>
    <row r="9642" spans="1:20" x14ac:dyDescent="0.25">
      <c r="A9642">
        <v>20190930</v>
      </c>
      <c r="B9642">
        <v>2019</v>
      </c>
      <c r="C9642">
        <v>9</v>
      </c>
      <c r="D9642">
        <v>1</v>
      </c>
      <c r="E9642">
        <v>13240</v>
      </c>
      <c r="F9642">
        <v>75275.75</v>
      </c>
      <c r="G9642">
        <v>-631.72</v>
      </c>
      <c r="H9642">
        <v>0</v>
      </c>
      <c r="I9642">
        <v>0</v>
      </c>
      <c r="J9642">
        <v>-57743.91</v>
      </c>
      <c r="K9642">
        <v>0</v>
      </c>
      <c r="L9642">
        <v>7815879.0700000003</v>
      </c>
      <c r="M9642">
        <v>7872991.2599999998</v>
      </c>
      <c r="N9642">
        <v>7815879.0700000003</v>
      </c>
      <c r="O9642">
        <v>7872991.2599999998</v>
      </c>
      <c r="P9642">
        <v>7815879.0700000003</v>
      </c>
      <c r="Q9642">
        <v>7872991.2599999998</v>
      </c>
      <c r="R9642" s="14">
        <f>_xlfn.XLOOKUP(Table2[[#This Row],[LoanID]],Table1[G-L ID],Table1[ManagerCode],-99)</f>
        <v>219</v>
      </c>
      <c r="T9642"/>
    </row>
    <row r="9643" spans="1:20" x14ac:dyDescent="0.25">
      <c r="A9643">
        <v>20190930</v>
      </c>
      <c r="B9643">
        <v>2019</v>
      </c>
      <c r="C9643">
        <v>9</v>
      </c>
      <c r="D9643">
        <v>1</v>
      </c>
      <c r="E9643">
        <v>13260</v>
      </c>
      <c r="F9643">
        <v>184208.89</v>
      </c>
      <c r="G9643">
        <v>-7321.07</v>
      </c>
      <c r="H9643">
        <v>0</v>
      </c>
      <c r="I9643">
        <v>0</v>
      </c>
      <c r="J9643">
        <v>0</v>
      </c>
      <c r="K9643">
        <v>0</v>
      </c>
      <c r="L9643">
        <v>20101017.780000001</v>
      </c>
      <c r="M9643">
        <v>20093696.710000001</v>
      </c>
      <c r="N9643">
        <v>20101017.780000001</v>
      </c>
      <c r="O9643">
        <v>20093696.710000001</v>
      </c>
      <c r="P9643">
        <v>20101017.780000001</v>
      </c>
      <c r="Q9643">
        <v>20093696.710000001</v>
      </c>
      <c r="R9643" s="14">
        <f>_xlfn.XLOOKUP(Table2[[#This Row],[LoanID]],Table1[G-L ID],Table1[ManagerCode],-99)</f>
        <v>219</v>
      </c>
      <c r="T9643"/>
    </row>
    <row r="9644" spans="1:20" x14ac:dyDescent="0.25">
      <c r="A9644">
        <v>20190930</v>
      </c>
      <c r="B9644">
        <v>2019</v>
      </c>
      <c r="C9644">
        <v>9</v>
      </c>
      <c r="D9644">
        <v>1</v>
      </c>
      <c r="E9644">
        <v>13270</v>
      </c>
      <c r="F9644">
        <v>155021.51999999999</v>
      </c>
      <c r="G9644">
        <v>-7250.69</v>
      </c>
      <c r="H9644">
        <v>0</v>
      </c>
      <c r="I9644">
        <v>0</v>
      </c>
      <c r="J9644">
        <v>0</v>
      </c>
      <c r="K9644">
        <v>0</v>
      </c>
      <c r="L9644">
        <v>25105014.579999998</v>
      </c>
      <c r="M9644">
        <v>25097763.890000001</v>
      </c>
      <c r="N9644">
        <v>25105014.579999998</v>
      </c>
      <c r="O9644">
        <v>25097763.890000001</v>
      </c>
      <c r="P9644">
        <v>25105014.579999998</v>
      </c>
      <c r="Q9644">
        <v>25097763.890000001</v>
      </c>
      <c r="R9644" s="14">
        <f>_xlfn.XLOOKUP(Table2[[#This Row],[LoanID]],Table1[G-L ID],Table1[ManagerCode],-99)</f>
        <v>219</v>
      </c>
      <c r="T9644"/>
    </row>
    <row r="9645" spans="1:20" x14ac:dyDescent="0.25">
      <c r="A9645">
        <v>20190930</v>
      </c>
      <c r="B9645">
        <v>2019</v>
      </c>
      <c r="C9645">
        <v>9</v>
      </c>
      <c r="D9645">
        <v>1</v>
      </c>
      <c r="E9645">
        <v>13300</v>
      </c>
      <c r="F9645">
        <v>215277.78</v>
      </c>
      <c r="G9645">
        <v>-6944.45</v>
      </c>
      <c r="H9645">
        <v>0</v>
      </c>
      <c r="I9645">
        <v>0</v>
      </c>
      <c r="J9645">
        <v>0</v>
      </c>
      <c r="K9645">
        <v>0</v>
      </c>
      <c r="L9645">
        <v>25215277.780000001</v>
      </c>
      <c r="M9645">
        <v>25208333.329999998</v>
      </c>
      <c r="N9645">
        <v>25215277.780000001</v>
      </c>
      <c r="O9645">
        <v>25208333.329999998</v>
      </c>
      <c r="P9645">
        <v>25215277.780000001</v>
      </c>
      <c r="Q9645">
        <v>25208333.329999998</v>
      </c>
      <c r="R9645" s="14">
        <f>_xlfn.XLOOKUP(Table2[[#This Row],[LoanID]],Table1[G-L ID],Table1[ManagerCode],-99)</f>
        <v>219</v>
      </c>
      <c r="T9645"/>
    </row>
    <row r="9646" spans="1:20" x14ac:dyDescent="0.25">
      <c r="A9646">
        <v>20190930</v>
      </c>
      <c r="B9646">
        <v>2019</v>
      </c>
      <c r="C9646">
        <v>9</v>
      </c>
      <c r="D9646">
        <v>1</v>
      </c>
      <c r="E9646">
        <v>13370</v>
      </c>
      <c r="F9646">
        <v>172876.9</v>
      </c>
      <c r="G9646">
        <v>0</v>
      </c>
      <c r="H9646">
        <v>0</v>
      </c>
      <c r="I9646">
        <v>0</v>
      </c>
      <c r="J9646">
        <v>-664968.57999999996</v>
      </c>
      <c r="K9646">
        <v>0</v>
      </c>
      <c r="L9646">
        <v>42757451.380000003</v>
      </c>
      <c r="M9646">
        <v>43422419.960000001</v>
      </c>
      <c r="N9646">
        <v>42757451.380000003</v>
      </c>
      <c r="O9646">
        <v>43422419.960000001</v>
      </c>
      <c r="P9646">
        <v>42757451.380000003</v>
      </c>
      <c r="Q9646">
        <v>43422419.960000001</v>
      </c>
      <c r="R9646" s="14">
        <f>_xlfn.XLOOKUP(Table2[[#This Row],[LoanID]],Table1[G-L ID],Table1[ManagerCode],-99)</f>
        <v>183</v>
      </c>
      <c r="T9646"/>
    </row>
    <row r="9647" spans="1:20" x14ac:dyDescent="0.25">
      <c r="A9647">
        <v>20190930</v>
      </c>
      <c r="B9647">
        <v>2019</v>
      </c>
      <c r="C9647">
        <v>9</v>
      </c>
      <c r="D9647">
        <v>1</v>
      </c>
      <c r="E9647">
        <v>13380</v>
      </c>
      <c r="F9647">
        <v>64286.23</v>
      </c>
      <c r="G9647">
        <v>0</v>
      </c>
      <c r="H9647">
        <v>0</v>
      </c>
      <c r="I9647">
        <v>0</v>
      </c>
      <c r="J9647">
        <v>0</v>
      </c>
      <c r="K9647">
        <v>0</v>
      </c>
      <c r="L9647">
        <v>32000000</v>
      </c>
      <c r="M9647">
        <v>32000000</v>
      </c>
      <c r="N9647">
        <v>11200000</v>
      </c>
      <c r="O9647">
        <v>11200000</v>
      </c>
      <c r="P9647">
        <v>32000000</v>
      </c>
      <c r="Q9647">
        <v>32000000</v>
      </c>
      <c r="R9647" s="14">
        <f>_xlfn.XLOOKUP(Table2[[#This Row],[LoanID]],Table1[G-L ID],Table1[ManagerCode],-99)</f>
        <v>183</v>
      </c>
      <c r="T9647"/>
    </row>
    <row r="9648" spans="1:20" x14ac:dyDescent="0.25">
      <c r="A9648">
        <v>20190930</v>
      </c>
      <c r="B9648">
        <v>2019</v>
      </c>
      <c r="C9648">
        <v>9</v>
      </c>
      <c r="D9648">
        <v>1</v>
      </c>
      <c r="E9648">
        <v>13390</v>
      </c>
      <c r="F9648">
        <v>135528.57</v>
      </c>
      <c r="G9648">
        <v>0</v>
      </c>
      <c r="H9648">
        <v>0</v>
      </c>
      <c r="I9648">
        <v>0</v>
      </c>
      <c r="J9648">
        <v>0</v>
      </c>
      <c r="K9648">
        <v>0</v>
      </c>
      <c r="L9648">
        <v>48343461.420000002</v>
      </c>
      <c r="M9648">
        <v>48343461.420000002</v>
      </c>
      <c r="N9648">
        <v>19427384.420000002</v>
      </c>
      <c r="O9648">
        <v>19427384.420000002</v>
      </c>
      <c r="P9648">
        <v>48343461.420000002</v>
      </c>
      <c r="Q9648">
        <v>48343461.420000002</v>
      </c>
      <c r="R9648" s="14">
        <f>_xlfn.XLOOKUP(Table2[[#This Row],[LoanID]],Table1[G-L ID],Table1[ManagerCode],-99)</f>
        <v>183</v>
      </c>
      <c r="T9648"/>
    </row>
    <row r="9649" spans="1:20" x14ac:dyDescent="0.25">
      <c r="A9649">
        <v>20190930</v>
      </c>
      <c r="B9649">
        <v>2019</v>
      </c>
      <c r="C9649">
        <v>9</v>
      </c>
      <c r="D9649">
        <v>1</v>
      </c>
      <c r="E9649">
        <v>13400</v>
      </c>
      <c r="F9649">
        <v>76936.960000000006</v>
      </c>
      <c r="G9649">
        <v>0</v>
      </c>
      <c r="H9649">
        <v>0</v>
      </c>
      <c r="I9649">
        <v>0</v>
      </c>
      <c r="J9649">
        <v>0</v>
      </c>
      <c r="K9649">
        <v>0</v>
      </c>
      <c r="L9649">
        <v>31750000</v>
      </c>
      <c r="M9649">
        <v>31750000</v>
      </c>
      <c r="N9649">
        <v>11112500</v>
      </c>
      <c r="O9649">
        <v>11112500</v>
      </c>
      <c r="P9649">
        <v>31750000</v>
      </c>
      <c r="Q9649">
        <v>31750000</v>
      </c>
      <c r="R9649" s="14">
        <f>_xlfn.XLOOKUP(Table2[[#This Row],[LoanID]],Table1[G-L ID],Table1[ManagerCode],-99)</f>
        <v>183</v>
      </c>
      <c r="T9649"/>
    </row>
    <row r="9650" spans="1:20" x14ac:dyDescent="0.25">
      <c r="A9650">
        <v>20190930</v>
      </c>
      <c r="B9650">
        <v>2019</v>
      </c>
      <c r="C9650">
        <v>9</v>
      </c>
      <c r="D9650">
        <v>1</v>
      </c>
      <c r="E9650">
        <v>13410</v>
      </c>
      <c r="F9650">
        <v>70387.17</v>
      </c>
      <c r="G9650">
        <v>0</v>
      </c>
      <c r="H9650">
        <v>0</v>
      </c>
      <c r="I9650">
        <v>0</v>
      </c>
      <c r="J9650">
        <v>0</v>
      </c>
      <c r="K9650">
        <v>0</v>
      </c>
      <c r="L9650">
        <v>34468109.079999998</v>
      </c>
      <c r="M9650">
        <v>34468109.079999998</v>
      </c>
      <c r="N9650">
        <v>13598109.08</v>
      </c>
      <c r="O9650">
        <v>13598109.08</v>
      </c>
      <c r="P9650">
        <v>34468109.079999998</v>
      </c>
      <c r="Q9650">
        <v>34468109.079999998</v>
      </c>
      <c r="R9650" s="14">
        <f>_xlfn.XLOOKUP(Table2[[#This Row],[LoanID]],Table1[G-L ID],Table1[ManagerCode],-99)</f>
        <v>183</v>
      </c>
      <c r="T9650"/>
    </row>
    <row r="9651" spans="1:20" x14ac:dyDescent="0.25">
      <c r="A9651">
        <v>20190930</v>
      </c>
      <c r="B9651">
        <v>2019</v>
      </c>
      <c r="C9651">
        <v>9</v>
      </c>
      <c r="D9651">
        <v>1</v>
      </c>
      <c r="E9651">
        <v>13420</v>
      </c>
      <c r="F9651">
        <v>64612.09</v>
      </c>
      <c r="G9651">
        <v>0</v>
      </c>
      <c r="H9651">
        <v>0</v>
      </c>
      <c r="I9651">
        <v>0</v>
      </c>
      <c r="J9651">
        <v>-496313.04</v>
      </c>
      <c r="K9651">
        <v>0</v>
      </c>
      <c r="L9651">
        <v>29872783</v>
      </c>
      <c r="M9651">
        <v>30369096.039999999</v>
      </c>
      <c r="N9651">
        <v>13377870</v>
      </c>
      <c r="O9651">
        <v>13874183.039999999</v>
      </c>
      <c r="P9651">
        <v>29872783</v>
      </c>
      <c r="Q9651">
        <v>30369096.039999999</v>
      </c>
      <c r="R9651" s="14">
        <f>_xlfn.XLOOKUP(Table2[[#This Row],[LoanID]],Table1[G-L ID],Table1[ManagerCode],-99)</f>
        <v>183</v>
      </c>
      <c r="T9651"/>
    </row>
    <row r="9652" spans="1:20" x14ac:dyDescent="0.25">
      <c r="A9652">
        <v>20190930</v>
      </c>
      <c r="B9652">
        <v>2019</v>
      </c>
      <c r="C9652">
        <v>9</v>
      </c>
      <c r="D9652">
        <v>1</v>
      </c>
      <c r="E9652">
        <v>13430</v>
      </c>
      <c r="F9652">
        <v>169354.17</v>
      </c>
      <c r="G9652">
        <v>0</v>
      </c>
      <c r="H9652">
        <v>0</v>
      </c>
      <c r="I9652">
        <v>0</v>
      </c>
      <c r="J9652">
        <v>0</v>
      </c>
      <c r="K9652">
        <v>0</v>
      </c>
      <c r="L9652">
        <v>75000000</v>
      </c>
      <c r="M9652">
        <v>75000000</v>
      </c>
      <c r="N9652">
        <v>30882353</v>
      </c>
      <c r="O9652">
        <v>30882353</v>
      </c>
      <c r="P9652">
        <v>75000000</v>
      </c>
      <c r="Q9652">
        <v>75000000</v>
      </c>
      <c r="R9652" s="14">
        <f>_xlfn.XLOOKUP(Table2[[#This Row],[LoanID]],Table1[G-L ID],Table1[ManagerCode],-99)</f>
        <v>183</v>
      </c>
      <c r="T9652"/>
    </row>
    <row r="9653" spans="1:20" x14ac:dyDescent="0.25">
      <c r="A9653">
        <v>20190930</v>
      </c>
      <c r="B9653">
        <v>2019</v>
      </c>
      <c r="C9653">
        <v>9</v>
      </c>
      <c r="D9653">
        <v>1</v>
      </c>
      <c r="E9653">
        <v>13440</v>
      </c>
      <c r="F9653">
        <v>0</v>
      </c>
      <c r="G9653">
        <v>117869.62</v>
      </c>
      <c r="H9653">
        <v>0</v>
      </c>
      <c r="I9653">
        <v>0</v>
      </c>
      <c r="J9653">
        <v>0</v>
      </c>
      <c r="K9653">
        <v>0</v>
      </c>
      <c r="L9653">
        <v>11903676.02</v>
      </c>
      <c r="M9653">
        <v>12021545.640000001</v>
      </c>
      <c r="N9653">
        <v>11903676.02</v>
      </c>
      <c r="O9653">
        <v>12021545.640000001</v>
      </c>
      <c r="P9653">
        <v>11903676.02</v>
      </c>
      <c r="Q9653">
        <v>12021545.640000001</v>
      </c>
      <c r="R9653" s="14">
        <f>_xlfn.XLOOKUP(Table2[[#This Row],[LoanID]],Table1[G-L ID],Table1[ManagerCode],-99)</f>
        <v>183</v>
      </c>
      <c r="T9653"/>
    </row>
    <row r="9654" spans="1:20" x14ac:dyDescent="0.25">
      <c r="A9654">
        <v>20190930</v>
      </c>
      <c r="B9654">
        <v>2019</v>
      </c>
      <c r="C9654">
        <v>9</v>
      </c>
      <c r="D9654">
        <v>1</v>
      </c>
      <c r="E9654">
        <v>13450</v>
      </c>
      <c r="F9654">
        <v>0</v>
      </c>
      <c r="G9654">
        <v>122930.58</v>
      </c>
      <c r="H9654">
        <v>0</v>
      </c>
      <c r="I9654">
        <v>0</v>
      </c>
      <c r="J9654">
        <v>0</v>
      </c>
      <c r="K9654">
        <v>0</v>
      </c>
      <c r="L9654">
        <v>11375060.199999999</v>
      </c>
      <c r="M9654">
        <v>11497990.779999999</v>
      </c>
      <c r="N9654">
        <v>11375060.199999999</v>
      </c>
      <c r="O9654">
        <v>11497990.779999999</v>
      </c>
      <c r="P9654">
        <v>11375060.199999999</v>
      </c>
      <c r="Q9654">
        <v>11497990.779999999</v>
      </c>
      <c r="R9654" s="14">
        <f>_xlfn.XLOOKUP(Table2[[#This Row],[LoanID]],Table1[G-L ID],Table1[ManagerCode],-99)</f>
        <v>183</v>
      </c>
      <c r="T9654"/>
    </row>
    <row r="9655" spans="1:20" x14ac:dyDescent="0.25">
      <c r="A9655">
        <v>20190930</v>
      </c>
      <c r="B9655">
        <v>2019</v>
      </c>
      <c r="C9655">
        <v>9</v>
      </c>
      <c r="D9655">
        <v>1</v>
      </c>
      <c r="E9655">
        <v>13460</v>
      </c>
      <c r="F9655">
        <v>11725.76</v>
      </c>
      <c r="G9655">
        <v>18174.95</v>
      </c>
      <c r="H9655">
        <v>0</v>
      </c>
      <c r="I9655">
        <v>0</v>
      </c>
      <c r="J9655">
        <v>-162345.51</v>
      </c>
      <c r="K9655">
        <v>0</v>
      </c>
      <c r="L9655">
        <v>2746073.35</v>
      </c>
      <c r="M9655">
        <v>2926593.81</v>
      </c>
      <c r="N9655">
        <v>2746073.35</v>
      </c>
      <c r="O9655">
        <v>2926593.81</v>
      </c>
      <c r="P9655">
        <v>2746073.35</v>
      </c>
      <c r="Q9655">
        <v>2926593.81</v>
      </c>
      <c r="R9655" s="14">
        <f>_xlfn.XLOOKUP(Table2[[#This Row],[LoanID]],Table1[G-L ID],Table1[ManagerCode],-99)</f>
        <v>183</v>
      </c>
      <c r="T9655"/>
    </row>
    <row r="9656" spans="1:20" x14ac:dyDescent="0.25">
      <c r="A9656">
        <v>20190930</v>
      </c>
      <c r="B9656">
        <v>2019</v>
      </c>
      <c r="C9656">
        <v>9</v>
      </c>
      <c r="D9656">
        <v>1</v>
      </c>
      <c r="E9656">
        <v>13470</v>
      </c>
      <c r="F9656">
        <v>356553.82</v>
      </c>
      <c r="G9656">
        <v>0</v>
      </c>
      <c r="H9656">
        <v>0</v>
      </c>
      <c r="I9656">
        <v>0</v>
      </c>
      <c r="J9656">
        <v>0</v>
      </c>
      <c r="K9656">
        <v>0</v>
      </c>
      <c r="L9656">
        <v>62500000</v>
      </c>
      <c r="M9656">
        <v>62500000</v>
      </c>
      <c r="N9656">
        <v>62500000</v>
      </c>
      <c r="O9656">
        <v>62500000</v>
      </c>
      <c r="P9656">
        <v>62500000</v>
      </c>
      <c r="Q9656">
        <v>62500000</v>
      </c>
      <c r="R9656" s="14">
        <f>_xlfn.XLOOKUP(Table2[[#This Row],[LoanID]],Table1[G-L ID],Table1[ManagerCode],-99)</f>
        <v>165</v>
      </c>
      <c r="T9656"/>
    </row>
    <row r="9657" spans="1:20" x14ac:dyDescent="0.25">
      <c r="A9657">
        <v>20190930</v>
      </c>
      <c r="B9657">
        <v>2019</v>
      </c>
      <c r="C9657">
        <v>9</v>
      </c>
      <c r="D9657">
        <v>1</v>
      </c>
      <c r="E9657">
        <v>13480</v>
      </c>
      <c r="F9657">
        <v>250531.67</v>
      </c>
      <c r="G9657">
        <v>0</v>
      </c>
      <c r="H9657">
        <v>0</v>
      </c>
      <c r="I9657">
        <v>0</v>
      </c>
      <c r="J9657">
        <v>0</v>
      </c>
      <c r="K9657">
        <v>0</v>
      </c>
      <c r="L9657">
        <v>39000000</v>
      </c>
      <c r="M9657">
        <v>39000000</v>
      </c>
      <c r="N9657">
        <v>39000000</v>
      </c>
      <c r="O9657">
        <v>39000000</v>
      </c>
      <c r="P9657">
        <v>39000000</v>
      </c>
      <c r="Q9657">
        <v>39000000</v>
      </c>
      <c r="R9657" s="14">
        <f>_xlfn.XLOOKUP(Table2[[#This Row],[LoanID]],Table1[G-L ID],Table1[ManagerCode],-99)</f>
        <v>165</v>
      </c>
      <c r="T9657"/>
    </row>
    <row r="9658" spans="1:20" x14ac:dyDescent="0.25">
      <c r="A9658">
        <v>20190930</v>
      </c>
      <c r="B9658">
        <v>2019</v>
      </c>
      <c r="C9658">
        <v>9</v>
      </c>
      <c r="D9658">
        <v>1</v>
      </c>
      <c r="E9658">
        <v>13490</v>
      </c>
      <c r="F9658">
        <v>303800</v>
      </c>
      <c r="G9658">
        <v>0</v>
      </c>
      <c r="H9658">
        <v>0</v>
      </c>
      <c r="I9658">
        <v>0</v>
      </c>
      <c r="J9658">
        <v>0</v>
      </c>
      <c r="K9658">
        <v>0</v>
      </c>
      <c r="L9658">
        <v>40000000</v>
      </c>
      <c r="M9658">
        <v>40000000</v>
      </c>
      <c r="N9658">
        <v>40000000</v>
      </c>
      <c r="O9658">
        <v>40000000</v>
      </c>
      <c r="P9658">
        <v>40000000</v>
      </c>
      <c r="Q9658">
        <v>40000000</v>
      </c>
      <c r="R9658" s="14">
        <f>_xlfn.XLOOKUP(Table2[[#This Row],[LoanID]],Table1[G-L ID],Table1[ManagerCode],-99)</f>
        <v>165</v>
      </c>
      <c r="T9658"/>
    </row>
    <row r="9659" spans="1:20" x14ac:dyDescent="0.25">
      <c r="A9659">
        <v>20190930</v>
      </c>
      <c r="B9659">
        <v>2019</v>
      </c>
      <c r="C9659">
        <v>9</v>
      </c>
      <c r="D9659">
        <v>1</v>
      </c>
      <c r="E9659">
        <v>13500</v>
      </c>
      <c r="F9659">
        <v>283628.46999999997</v>
      </c>
      <c r="G9659">
        <v>0</v>
      </c>
      <c r="H9659">
        <v>0</v>
      </c>
      <c r="I9659">
        <v>0</v>
      </c>
      <c r="J9659">
        <v>0</v>
      </c>
      <c r="K9659">
        <v>0</v>
      </c>
      <c r="L9659">
        <v>42500000</v>
      </c>
      <c r="M9659">
        <v>42500000</v>
      </c>
      <c r="N9659">
        <v>42500000</v>
      </c>
      <c r="O9659">
        <v>42500000</v>
      </c>
      <c r="P9659">
        <v>42500000</v>
      </c>
      <c r="Q9659">
        <v>42500000</v>
      </c>
      <c r="R9659" s="14">
        <f>_xlfn.XLOOKUP(Table2[[#This Row],[LoanID]],Table1[G-L ID],Table1[ManagerCode],-99)</f>
        <v>165</v>
      </c>
      <c r="T9659"/>
    </row>
    <row r="9660" spans="1:20" x14ac:dyDescent="0.25">
      <c r="A9660">
        <v>20190930</v>
      </c>
      <c r="B9660">
        <v>2019</v>
      </c>
      <c r="C9660">
        <v>9</v>
      </c>
      <c r="D9660">
        <v>1</v>
      </c>
      <c r="E9660">
        <v>13510</v>
      </c>
      <c r="F9660">
        <v>317750</v>
      </c>
      <c r="G9660">
        <v>0</v>
      </c>
      <c r="H9660">
        <v>0</v>
      </c>
      <c r="I9660">
        <v>0</v>
      </c>
      <c r="J9660">
        <v>0</v>
      </c>
      <c r="K9660">
        <v>0</v>
      </c>
      <c r="L9660">
        <v>90000000</v>
      </c>
      <c r="M9660">
        <v>90000000</v>
      </c>
      <c r="N9660">
        <v>90000000</v>
      </c>
      <c r="O9660">
        <v>90000000</v>
      </c>
      <c r="P9660">
        <v>90000000</v>
      </c>
      <c r="Q9660">
        <v>90000000</v>
      </c>
      <c r="R9660" s="14">
        <f>_xlfn.XLOOKUP(Table2[[#This Row],[LoanID]],Table1[G-L ID],Table1[ManagerCode],-99)</f>
        <v>165</v>
      </c>
      <c r="T9660"/>
    </row>
    <row r="9661" spans="1:20" x14ac:dyDescent="0.25">
      <c r="A9661">
        <v>20190930</v>
      </c>
      <c r="B9661">
        <v>2019</v>
      </c>
      <c r="C9661">
        <v>9</v>
      </c>
      <c r="D9661">
        <v>1</v>
      </c>
      <c r="E9661">
        <v>13520</v>
      </c>
      <c r="F9661">
        <v>860572.92</v>
      </c>
      <c r="G9661">
        <v>0</v>
      </c>
      <c r="H9661">
        <v>0</v>
      </c>
      <c r="I9661">
        <v>0</v>
      </c>
      <c r="J9661">
        <v>0</v>
      </c>
      <c r="K9661">
        <v>0</v>
      </c>
      <c r="L9661">
        <v>195000000</v>
      </c>
      <c r="M9661">
        <v>195000000</v>
      </c>
      <c r="N9661">
        <v>195000000</v>
      </c>
      <c r="O9661">
        <v>195000000</v>
      </c>
      <c r="P9661">
        <v>195000000</v>
      </c>
      <c r="Q9661">
        <v>195000000</v>
      </c>
      <c r="R9661" s="14">
        <f>_xlfn.XLOOKUP(Table2[[#This Row],[LoanID]],Table1[G-L ID],Table1[ManagerCode],-99)</f>
        <v>165</v>
      </c>
      <c r="T9661"/>
    </row>
    <row r="9662" spans="1:20" x14ac:dyDescent="0.25">
      <c r="A9662">
        <v>20190930</v>
      </c>
      <c r="B9662">
        <v>2019</v>
      </c>
      <c r="C9662">
        <v>9</v>
      </c>
      <c r="D9662">
        <v>1</v>
      </c>
      <c r="E9662">
        <v>13530</v>
      </c>
      <c r="F9662">
        <v>403645.83</v>
      </c>
      <c r="G9662">
        <v>0</v>
      </c>
      <c r="H9662">
        <v>0</v>
      </c>
      <c r="I9662">
        <v>0</v>
      </c>
      <c r="J9662">
        <v>0</v>
      </c>
      <c r="K9662">
        <v>0</v>
      </c>
      <c r="L9662">
        <v>75000000</v>
      </c>
      <c r="M9662">
        <v>75000000</v>
      </c>
      <c r="N9662">
        <v>75000000</v>
      </c>
      <c r="O9662">
        <v>75000000</v>
      </c>
      <c r="P9662">
        <v>75000000</v>
      </c>
      <c r="Q9662">
        <v>75000000</v>
      </c>
      <c r="R9662" s="14">
        <f>_xlfn.XLOOKUP(Table2[[#This Row],[LoanID]],Table1[G-L ID],Table1[ManagerCode],-99)</f>
        <v>165</v>
      </c>
      <c r="T9662"/>
    </row>
    <row r="9663" spans="1:20" x14ac:dyDescent="0.25">
      <c r="A9663">
        <v>20190930</v>
      </c>
      <c r="B9663">
        <v>2019</v>
      </c>
      <c r="C9663">
        <v>9</v>
      </c>
      <c r="D9663">
        <v>1</v>
      </c>
      <c r="E9663">
        <v>13550</v>
      </c>
      <c r="F9663">
        <v>1682872.91</v>
      </c>
      <c r="G9663">
        <v>0</v>
      </c>
      <c r="H9663">
        <v>0</v>
      </c>
      <c r="I9663">
        <v>0</v>
      </c>
      <c r="J9663">
        <v>0</v>
      </c>
      <c r="K9663">
        <v>0</v>
      </c>
      <c r="L9663">
        <v>355328004.80000001</v>
      </c>
      <c r="M9663">
        <v>355328004.80000001</v>
      </c>
      <c r="N9663">
        <v>355328004.80000001</v>
      </c>
      <c r="O9663">
        <v>355328004.80000001</v>
      </c>
      <c r="P9663">
        <v>355328004.80000001</v>
      </c>
      <c r="Q9663">
        <v>355328004.80000001</v>
      </c>
      <c r="R9663" s="14">
        <f>_xlfn.XLOOKUP(Table2[[#This Row],[LoanID]],Table1[G-L ID],Table1[ManagerCode],-99)</f>
        <v>165</v>
      </c>
      <c r="T9663"/>
    </row>
    <row r="9664" spans="1:20" x14ac:dyDescent="0.25">
      <c r="A9664">
        <v>20190930</v>
      </c>
      <c r="B9664">
        <v>2019</v>
      </c>
      <c r="C9664">
        <v>9</v>
      </c>
      <c r="D9664">
        <v>1</v>
      </c>
      <c r="E9664">
        <v>13560</v>
      </c>
      <c r="F9664">
        <v>605339.57999999996</v>
      </c>
      <c r="G9664">
        <v>-27320.42</v>
      </c>
      <c r="H9664">
        <v>0</v>
      </c>
      <c r="I9664">
        <v>0</v>
      </c>
      <c r="J9664">
        <v>0</v>
      </c>
      <c r="K9664">
        <v>0</v>
      </c>
      <c r="L9664">
        <v>105331960.40000001</v>
      </c>
      <c r="M9664">
        <v>105304640</v>
      </c>
      <c r="N9664">
        <v>105331960.40000001</v>
      </c>
      <c r="O9664">
        <v>105304640</v>
      </c>
      <c r="P9664">
        <v>105331960.40000001</v>
      </c>
      <c r="Q9664">
        <v>105304640</v>
      </c>
      <c r="R9664" s="14">
        <f>_xlfn.XLOOKUP(Table2[[#This Row],[LoanID]],Table1[G-L ID],Table1[ManagerCode],-99)</f>
        <v>219</v>
      </c>
      <c r="T9664"/>
    </row>
    <row r="9665" spans="1:20" x14ac:dyDescent="0.25">
      <c r="A9665">
        <v>20190930</v>
      </c>
      <c r="B9665">
        <v>2019</v>
      </c>
      <c r="C9665">
        <v>9</v>
      </c>
      <c r="D9665">
        <v>1</v>
      </c>
      <c r="E9665">
        <v>13580</v>
      </c>
      <c r="F9665">
        <v>429479.17</v>
      </c>
      <c r="G9665">
        <v>0</v>
      </c>
      <c r="H9665">
        <v>0</v>
      </c>
      <c r="I9665">
        <v>0</v>
      </c>
      <c r="J9665">
        <v>0</v>
      </c>
      <c r="K9665">
        <v>0</v>
      </c>
      <c r="L9665">
        <v>63922498.380000003</v>
      </c>
      <c r="M9665">
        <v>63970444</v>
      </c>
      <c r="N9665">
        <v>63922498.380000003</v>
      </c>
      <c r="O9665">
        <v>63970444</v>
      </c>
      <c r="P9665">
        <v>66500000</v>
      </c>
      <c r="Q9665">
        <v>66500000</v>
      </c>
      <c r="R9665" s="14">
        <f>_xlfn.XLOOKUP(Table2[[#This Row],[LoanID]],Table1[G-L ID],Table1[ManagerCode],-99)</f>
        <v>298</v>
      </c>
      <c r="T9665"/>
    </row>
    <row r="9666" spans="1:20" x14ac:dyDescent="0.25">
      <c r="A9666">
        <v>20190930</v>
      </c>
      <c r="B9666">
        <v>2019</v>
      </c>
      <c r="C9666">
        <v>9</v>
      </c>
      <c r="D9666">
        <v>1</v>
      </c>
      <c r="E9666">
        <v>13590</v>
      </c>
      <c r="F9666">
        <v>300003.89</v>
      </c>
      <c r="G9666">
        <v>0</v>
      </c>
      <c r="H9666">
        <v>0</v>
      </c>
      <c r="I9666">
        <v>0</v>
      </c>
      <c r="J9666">
        <v>0</v>
      </c>
      <c r="K9666">
        <v>40000000</v>
      </c>
      <c r="L9666">
        <v>40000000</v>
      </c>
      <c r="M9666">
        <v>0</v>
      </c>
      <c r="N9666">
        <v>40000000</v>
      </c>
      <c r="O9666">
        <v>0</v>
      </c>
      <c r="P9666">
        <v>40000000</v>
      </c>
      <c r="Q9666">
        <v>0</v>
      </c>
      <c r="R9666" s="14">
        <f>_xlfn.XLOOKUP(Table2[[#This Row],[LoanID]],Table1[G-L ID],Table1[ManagerCode],-99)</f>
        <v>298</v>
      </c>
      <c r="T9666"/>
    </row>
    <row r="9667" spans="1:20" x14ac:dyDescent="0.25">
      <c r="A9667">
        <v>20190930</v>
      </c>
      <c r="B9667">
        <v>2019</v>
      </c>
      <c r="C9667">
        <v>9</v>
      </c>
      <c r="D9667">
        <v>1</v>
      </c>
      <c r="E9667">
        <v>13600</v>
      </c>
      <c r="F9667">
        <v>379029.03</v>
      </c>
      <c r="G9667">
        <v>0</v>
      </c>
      <c r="H9667">
        <v>0</v>
      </c>
      <c r="I9667">
        <v>0</v>
      </c>
      <c r="J9667">
        <v>0</v>
      </c>
      <c r="K9667">
        <v>0</v>
      </c>
      <c r="L9667">
        <v>45970000</v>
      </c>
      <c r="M9667">
        <v>45970000</v>
      </c>
      <c r="N9667">
        <v>45970000</v>
      </c>
      <c r="O9667">
        <v>45970000</v>
      </c>
      <c r="P9667">
        <v>45970000</v>
      </c>
      <c r="Q9667">
        <v>45970000</v>
      </c>
      <c r="R9667" s="14">
        <f>_xlfn.XLOOKUP(Table2[[#This Row],[LoanID]],Table1[G-L ID],Table1[ManagerCode],-99)</f>
        <v>298</v>
      </c>
      <c r="T9667"/>
    </row>
    <row r="9668" spans="1:20" x14ac:dyDescent="0.25">
      <c r="A9668">
        <v>20190930</v>
      </c>
      <c r="B9668">
        <v>2019</v>
      </c>
      <c r="C9668">
        <v>9</v>
      </c>
      <c r="D9668">
        <v>1</v>
      </c>
      <c r="E9668">
        <v>13610</v>
      </c>
      <c r="F9668">
        <v>63291.67</v>
      </c>
      <c r="G9668">
        <v>0</v>
      </c>
      <c r="H9668">
        <v>0</v>
      </c>
      <c r="I9668">
        <v>0</v>
      </c>
      <c r="J9668">
        <v>0</v>
      </c>
      <c r="K9668">
        <v>0</v>
      </c>
      <c r="L9668">
        <v>10542185</v>
      </c>
      <c r="M9668">
        <v>10542185</v>
      </c>
      <c r="N9668">
        <v>10542185</v>
      </c>
      <c r="O9668">
        <v>10542185</v>
      </c>
      <c r="P9668">
        <v>10500000</v>
      </c>
      <c r="Q9668">
        <v>10500000</v>
      </c>
      <c r="R9668" s="14">
        <f>_xlfn.XLOOKUP(Table2[[#This Row],[LoanID]],Table1[G-L ID],Table1[ManagerCode],-99)</f>
        <v>298</v>
      </c>
      <c r="T9668"/>
    </row>
    <row r="9669" spans="1:20" x14ac:dyDescent="0.25">
      <c r="A9669">
        <v>20190930</v>
      </c>
      <c r="B9669">
        <v>2019</v>
      </c>
      <c r="C9669">
        <v>9</v>
      </c>
      <c r="D9669">
        <v>1</v>
      </c>
      <c r="E9669">
        <v>13620</v>
      </c>
      <c r="F9669">
        <v>359341.67</v>
      </c>
      <c r="G9669">
        <v>0</v>
      </c>
      <c r="H9669">
        <v>0</v>
      </c>
      <c r="I9669">
        <v>0</v>
      </c>
      <c r="J9669">
        <v>0</v>
      </c>
      <c r="K9669">
        <v>0</v>
      </c>
      <c r="L9669">
        <v>49842286</v>
      </c>
      <c r="M9669">
        <v>49842286</v>
      </c>
      <c r="N9669">
        <v>49842286</v>
      </c>
      <c r="O9669">
        <v>49842286</v>
      </c>
      <c r="P9669">
        <v>50000000</v>
      </c>
      <c r="Q9669">
        <v>50000000</v>
      </c>
      <c r="R9669" s="14">
        <f>_xlfn.XLOOKUP(Table2[[#This Row],[LoanID]],Table1[G-L ID],Table1[ManagerCode],-99)</f>
        <v>298</v>
      </c>
      <c r="T9669"/>
    </row>
    <row r="9670" spans="1:20" x14ac:dyDescent="0.25">
      <c r="A9670">
        <v>20190930</v>
      </c>
      <c r="B9670">
        <v>2019</v>
      </c>
      <c r="C9670">
        <v>9</v>
      </c>
      <c r="D9670">
        <v>1</v>
      </c>
      <c r="E9670">
        <v>13630</v>
      </c>
      <c r="F9670">
        <v>218506.94</v>
      </c>
      <c r="G9670">
        <v>0</v>
      </c>
      <c r="H9670">
        <v>0</v>
      </c>
      <c r="I9670">
        <v>0</v>
      </c>
      <c r="J9670">
        <v>0</v>
      </c>
      <c r="K9670">
        <v>0</v>
      </c>
      <c r="L9670">
        <v>30700000</v>
      </c>
      <c r="M9670">
        <v>30700000</v>
      </c>
      <c r="N9670">
        <v>30700000</v>
      </c>
      <c r="O9670">
        <v>30700000</v>
      </c>
      <c r="P9670">
        <v>35000000</v>
      </c>
      <c r="Q9670">
        <v>35000000</v>
      </c>
      <c r="R9670" s="14">
        <f>_xlfn.XLOOKUP(Table2[[#This Row],[LoanID]],Table1[G-L ID],Table1[ManagerCode],-99)</f>
        <v>298</v>
      </c>
      <c r="T9670"/>
    </row>
    <row r="9671" spans="1:20" x14ac:dyDescent="0.25">
      <c r="A9671">
        <v>20190930</v>
      </c>
      <c r="B9671">
        <v>2019</v>
      </c>
      <c r="C9671">
        <v>9</v>
      </c>
      <c r="D9671">
        <v>1</v>
      </c>
      <c r="E9671">
        <v>13640</v>
      </c>
      <c r="F9671">
        <v>226983.51</v>
      </c>
      <c r="G9671">
        <v>0</v>
      </c>
      <c r="H9671">
        <v>0</v>
      </c>
      <c r="I9671">
        <v>0</v>
      </c>
      <c r="J9671">
        <v>0</v>
      </c>
      <c r="K9671">
        <v>0</v>
      </c>
      <c r="L9671">
        <v>30714705</v>
      </c>
      <c r="M9671">
        <v>30714705</v>
      </c>
      <c r="N9671">
        <v>30714705</v>
      </c>
      <c r="O9671">
        <v>30714705</v>
      </c>
      <c r="P9671">
        <v>30125000</v>
      </c>
      <c r="Q9671">
        <v>30125000</v>
      </c>
      <c r="R9671" s="14">
        <f>_xlfn.XLOOKUP(Table2[[#This Row],[LoanID]],Table1[G-L ID],Table1[ManagerCode],-99)</f>
        <v>298</v>
      </c>
      <c r="T9671"/>
    </row>
    <row r="9672" spans="1:20" x14ac:dyDescent="0.25">
      <c r="A9672">
        <v>20190930</v>
      </c>
      <c r="B9672">
        <v>2019</v>
      </c>
      <c r="C9672">
        <v>9</v>
      </c>
      <c r="D9672">
        <v>1</v>
      </c>
      <c r="E9672">
        <v>13650</v>
      </c>
      <c r="F9672">
        <v>223888.89</v>
      </c>
      <c r="G9672">
        <v>0</v>
      </c>
      <c r="H9672">
        <v>0</v>
      </c>
      <c r="I9672">
        <v>0</v>
      </c>
      <c r="J9672">
        <v>0</v>
      </c>
      <c r="K9672">
        <v>0</v>
      </c>
      <c r="L9672">
        <v>38895325</v>
      </c>
      <c r="M9672">
        <v>38895325</v>
      </c>
      <c r="N9672">
        <v>38895325</v>
      </c>
      <c r="O9672">
        <v>38895325</v>
      </c>
      <c r="P9672">
        <v>40000000</v>
      </c>
      <c r="Q9672">
        <v>40000000</v>
      </c>
      <c r="R9672" s="14">
        <f>_xlfn.XLOOKUP(Table2[[#This Row],[LoanID]],Table1[G-L ID],Table1[ManagerCode],-99)</f>
        <v>298</v>
      </c>
      <c r="T9672"/>
    </row>
    <row r="9673" spans="1:20" x14ac:dyDescent="0.25">
      <c r="A9673">
        <v>20190930</v>
      </c>
      <c r="B9673">
        <v>2019</v>
      </c>
      <c r="C9673">
        <v>9</v>
      </c>
      <c r="D9673">
        <v>1</v>
      </c>
      <c r="E9673">
        <v>13660</v>
      </c>
      <c r="F9673">
        <v>117972.22</v>
      </c>
      <c r="G9673">
        <v>0</v>
      </c>
      <c r="H9673">
        <v>0</v>
      </c>
      <c r="I9673">
        <v>0</v>
      </c>
      <c r="J9673">
        <v>0</v>
      </c>
      <c r="K9673">
        <v>0</v>
      </c>
      <c r="L9673">
        <v>19313433</v>
      </c>
      <c r="M9673">
        <v>19313433</v>
      </c>
      <c r="N9673">
        <v>19313433</v>
      </c>
      <c r="O9673">
        <v>19313433</v>
      </c>
      <c r="P9673">
        <v>20000000</v>
      </c>
      <c r="Q9673">
        <v>20000000</v>
      </c>
      <c r="R9673" s="14">
        <f>_xlfn.XLOOKUP(Table2[[#This Row],[LoanID]],Table1[G-L ID],Table1[ManagerCode],-99)</f>
        <v>298</v>
      </c>
      <c r="T9673"/>
    </row>
    <row r="9674" spans="1:20" x14ac:dyDescent="0.25">
      <c r="A9674">
        <v>20190930</v>
      </c>
      <c r="B9674">
        <v>2019</v>
      </c>
      <c r="C9674">
        <v>9</v>
      </c>
      <c r="D9674">
        <v>1</v>
      </c>
      <c r="E9674">
        <v>13670</v>
      </c>
      <c r="F9674">
        <v>0</v>
      </c>
      <c r="G9674">
        <v>0</v>
      </c>
      <c r="H9674">
        <v>0</v>
      </c>
      <c r="I9674">
        <v>0</v>
      </c>
      <c r="J9674">
        <v>0</v>
      </c>
      <c r="K9674">
        <v>0</v>
      </c>
      <c r="L9674">
        <v>25000000</v>
      </c>
      <c r="M9674">
        <v>25000000</v>
      </c>
      <c r="N9674">
        <v>25000000</v>
      </c>
      <c r="O9674">
        <v>25000000</v>
      </c>
      <c r="P9674">
        <v>38588653.670000002</v>
      </c>
      <c r="Q9674">
        <v>38962649.619999997</v>
      </c>
      <c r="R9674" s="14">
        <f>_xlfn.XLOOKUP(Table2[[#This Row],[LoanID]],Table1[G-L ID],Table1[ManagerCode],-99)</f>
        <v>298</v>
      </c>
      <c r="T9674"/>
    </row>
    <row r="9675" spans="1:20" x14ac:dyDescent="0.25">
      <c r="A9675">
        <v>20190930</v>
      </c>
      <c r="B9675">
        <v>2019</v>
      </c>
      <c r="C9675">
        <v>9</v>
      </c>
      <c r="D9675">
        <v>1</v>
      </c>
      <c r="E9675">
        <v>13690</v>
      </c>
      <c r="F9675">
        <v>133472.22</v>
      </c>
      <c r="G9675">
        <v>0</v>
      </c>
      <c r="H9675">
        <v>0</v>
      </c>
      <c r="I9675">
        <v>0</v>
      </c>
      <c r="J9675">
        <v>0</v>
      </c>
      <c r="K9675">
        <v>0</v>
      </c>
      <c r="L9675">
        <v>19791063.850000001</v>
      </c>
      <c r="M9675">
        <v>19791063.850000001</v>
      </c>
      <c r="N9675">
        <v>19791063.850000001</v>
      </c>
      <c r="O9675">
        <v>19791063.850000001</v>
      </c>
      <c r="P9675">
        <v>20000000</v>
      </c>
      <c r="Q9675">
        <v>20000000</v>
      </c>
      <c r="R9675" s="14">
        <f>_xlfn.XLOOKUP(Table2[[#This Row],[LoanID]],Table1[G-L ID],Table1[ManagerCode],-99)</f>
        <v>298</v>
      </c>
      <c r="T9675"/>
    </row>
    <row r="9676" spans="1:20" x14ac:dyDescent="0.25">
      <c r="A9676">
        <v>20190930</v>
      </c>
      <c r="B9676">
        <v>2019</v>
      </c>
      <c r="C9676">
        <v>9</v>
      </c>
      <c r="D9676">
        <v>1</v>
      </c>
      <c r="E9676">
        <v>13790</v>
      </c>
      <c r="F9676">
        <v>154736.32000000001</v>
      </c>
      <c r="G9676">
        <v>-7381.09</v>
      </c>
      <c r="H9676">
        <v>0</v>
      </c>
      <c r="I9676">
        <v>0</v>
      </c>
      <c r="J9676">
        <v>0</v>
      </c>
      <c r="K9676">
        <v>0</v>
      </c>
      <c r="L9676">
        <v>20724787.359999999</v>
      </c>
      <c r="M9676">
        <v>20717406.27</v>
      </c>
      <c r="N9676">
        <v>20724787.359999999</v>
      </c>
      <c r="O9676">
        <v>20717406.27</v>
      </c>
      <c r="P9676">
        <v>20724787.359999999</v>
      </c>
      <c r="Q9676">
        <v>20717406.27</v>
      </c>
      <c r="R9676" s="14">
        <f>_xlfn.XLOOKUP(Table2[[#This Row],[LoanID]],Table1[G-L ID],Table1[ManagerCode],-99)</f>
        <v>219</v>
      </c>
      <c r="T9676"/>
    </row>
    <row r="9677" spans="1:20" x14ac:dyDescent="0.25">
      <c r="A9677">
        <v>20190930</v>
      </c>
      <c r="B9677">
        <v>2019</v>
      </c>
      <c r="C9677">
        <v>9</v>
      </c>
      <c r="D9677">
        <v>1</v>
      </c>
      <c r="E9677">
        <v>13800</v>
      </c>
      <c r="F9677">
        <v>265635.69</v>
      </c>
      <c r="G9677">
        <v>0</v>
      </c>
      <c r="H9677">
        <v>0</v>
      </c>
      <c r="I9677">
        <v>0</v>
      </c>
      <c r="J9677">
        <v>0</v>
      </c>
      <c r="K9677">
        <v>0</v>
      </c>
      <c r="L9677">
        <v>80700000</v>
      </c>
      <c r="M9677">
        <v>80700000</v>
      </c>
      <c r="N9677">
        <v>32279999.719999999</v>
      </c>
      <c r="O9677">
        <v>32279999.719999999</v>
      </c>
      <c r="P9677">
        <v>80700000</v>
      </c>
      <c r="Q9677">
        <v>80700000</v>
      </c>
      <c r="R9677" s="14">
        <f>_xlfn.XLOOKUP(Table2[[#This Row],[LoanID]],Table1[G-L ID],Table1[ManagerCode],-99)</f>
        <v>183</v>
      </c>
      <c r="T9677"/>
    </row>
    <row r="9678" spans="1:20" x14ac:dyDescent="0.25">
      <c r="A9678">
        <v>20190930</v>
      </c>
      <c r="B9678">
        <v>2019</v>
      </c>
      <c r="C9678">
        <v>9</v>
      </c>
      <c r="D9678">
        <v>1</v>
      </c>
      <c r="E9678">
        <v>13810</v>
      </c>
      <c r="F9678">
        <v>110675.03</v>
      </c>
      <c r="G9678">
        <v>0</v>
      </c>
      <c r="H9678">
        <v>0</v>
      </c>
      <c r="I9678">
        <v>0</v>
      </c>
      <c r="J9678">
        <v>-183665.98</v>
      </c>
      <c r="K9678">
        <v>0</v>
      </c>
      <c r="L9678">
        <v>41561616.149999999</v>
      </c>
      <c r="M9678">
        <v>41745282.130000003</v>
      </c>
      <c r="N9678">
        <v>18033216.149999999</v>
      </c>
      <c r="O9678">
        <v>18216882.129999999</v>
      </c>
      <c r="P9678">
        <v>41561616.149999999</v>
      </c>
      <c r="Q9678">
        <v>41745282.130000003</v>
      </c>
      <c r="R9678" s="14">
        <f>_xlfn.XLOOKUP(Table2[[#This Row],[LoanID]],Table1[G-L ID],Table1[ManagerCode],-99)</f>
        <v>183</v>
      </c>
      <c r="T9678"/>
    </row>
    <row r="9679" spans="1:20" x14ac:dyDescent="0.25">
      <c r="A9679">
        <v>20190930</v>
      </c>
      <c r="B9679">
        <v>2019</v>
      </c>
      <c r="C9679">
        <v>9</v>
      </c>
      <c r="D9679">
        <v>1</v>
      </c>
      <c r="E9679">
        <v>13820</v>
      </c>
      <c r="F9679">
        <v>332327.09999999998</v>
      </c>
      <c r="G9679">
        <v>0</v>
      </c>
      <c r="H9679">
        <v>0</v>
      </c>
      <c r="I9679">
        <v>0</v>
      </c>
      <c r="J9679">
        <v>0</v>
      </c>
      <c r="K9679">
        <v>0</v>
      </c>
      <c r="L9679">
        <v>66500000</v>
      </c>
      <c r="M9679">
        <v>66500000</v>
      </c>
      <c r="N9679">
        <v>66500000</v>
      </c>
      <c r="O9679">
        <v>66500000</v>
      </c>
      <c r="P9679">
        <v>66500000</v>
      </c>
      <c r="Q9679">
        <v>66500000</v>
      </c>
      <c r="R9679" s="14">
        <f>_xlfn.XLOOKUP(Table2[[#This Row],[LoanID]],Table1[G-L ID],Table1[ManagerCode],-99)</f>
        <v>183</v>
      </c>
      <c r="T9679"/>
    </row>
    <row r="9680" spans="1:20" x14ac:dyDescent="0.25">
      <c r="A9680">
        <v>20190930</v>
      </c>
      <c r="B9680">
        <v>2019</v>
      </c>
      <c r="C9680">
        <v>9</v>
      </c>
      <c r="D9680">
        <v>1</v>
      </c>
      <c r="E9680">
        <v>13830</v>
      </c>
      <c r="F9680">
        <v>179918.96</v>
      </c>
      <c r="G9680">
        <v>0</v>
      </c>
      <c r="H9680">
        <v>0</v>
      </c>
      <c r="I9680">
        <v>0</v>
      </c>
      <c r="J9680">
        <v>0</v>
      </c>
      <c r="K9680">
        <v>0</v>
      </c>
      <c r="L9680">
        <v>101000000</v>
      </c>
      <c r="M9680">
        <v>101000000</v>
      </c>
      <c r="N9680">
        <v>35350000</v>
      </c>
      <c r="O9680">
        <v>35350000</v>
      </c>
      <c r="P9680">
        <v>101000000</v>
      </c>
      <c r="Q9680">
        <v>101000000</v>
      </c>
      <c r="R9680" s="14">
        <f>_xlfn.XLOOKUP(Table2[[#This Row],[LoanID]],Table1[G-L ID],Table1[ManagerCode],-99)</f>
        <v>183</v>
      </c>
      <c r="T9680"/>
    </row>
    <row r="9681" spans="1:20" x14ac:dyDescent="0.25">
      <c r="A9681">
        <v>20190930</v>
      </c>
      <c r="B9681">
        <v>2019</v>
      </c>
      <c r="C9681">
        <v>9</v>
      </c>
      <c r="D9681">
        <v>1</v>
      </c>
      <c r="E9681">
        <v>14000</v>
      </c>
      <c r="F9681">
        <v>172129.36</v>
      </c>
      <c r="G9681">
        <v>0</v>
      </c>
      <c r="H9681">
        <v>0</v>
      </c>
      <c r="I9681">
        <v>0</v>
      </c>
      <c r="J9681">
        <v>0</v>
      </c>
      <c r="K9681">
        <v>0</v>
      </c>
      <c r="L9681">
        <v>98000000</v>
      </c>
      <c r="M9681">
        <v>98000000</v>
      </c>
      <c r="N9681">
        <v>39200000</v>
      </c>
      <c r="O9681">
        <v>39200000</v>
      </c>
      <c r="P9681">
        <v>98000000</v>
      </c>
      <c r="Q9681">
        <v>98000000</v>
      </c>
      <c r="R9681" s="14">
        <f>_xlfn.XLOOKUP(Table2[[#This Row],[LoanID]],Table1[G-L ID],Table1[ManagerCode],-99)</f>
        <v>183</v>
      </c>
      <c r="T9681"/>
    </row>
    <row r="9682" spans="1:20" x14ac:dyDescent="0.25">
      <c r="A9682">
        <v>20190930</v>
      </c>
      <c r="B9682">
        <v>2019</v>
      </c>
      <c r="C9682">
        <v>9</v>
      </c>
      <c r="D9682">
        <v>1</v>
      </c>
      <c r="E9682">
        <v>14170</v>
      </c>
      <c r="F9682">
        <v>18914.97</v>
      </c>
      <c r="G9682">
        <v>0</v>
      </c>
      <c r="H9682">
        <v>0</v>
      </c>
      <c r="I9682">
        <v>0</v>
      </c>
      <c r="J9682">
        <v>0</v>
      </c>
      <c r="K9682">
        <v>8722</v>
      </c>
      <c r="L9682">
        <v>5344053.32</v>
      </c>
      <c r="M9682">
        <v>5340292.09</v>
      </c>
      <c r="N9682">
        <v>5344053.32</v>
      </c>
      <c r="O9682">
        <v>5340292.09</v>
      </c>
      <c r="P9682">
        <v>10835009.869999999</v>
      </c>
      <c r="Q9682">
        <v>10826287.869999999</v>
      </c>
      <c r="R9682" s="14">
        <f>_xlfn.XLOOKUP(Table2[[#This Row],[LoanID]],Table1[G-L ID],Table1[ManagerCode],-99)</f>
        <v>270</v>
      </c>
      <c r="T9682"/>
    </row>
    <row r="9683" spans="1:20" x14ac:dyDescent="0.25">
      <c r="A9683">
        <v>20190930</v>
      </c>
      <c r="B9683">
        <v>2019</v>
      </c>
      <c r="C9683">
        <v>9</v>
      </c>
      <c r="D9683">
        <v>1</v>
      </c>
      <c r="E9683">
        <v>14180</v>
      </c>
      <c r="F9683">
        <v>28268.84</v>
      </c>
      <c r="G9683">
        <v>0</v>
      </c>
      <c r="H9683">
        <v>0</v>
      </c>
      <c r="I9683">
        <v>0</v>
      </c>
      <c r="J9683">
        <v>0</v>
      </c>
      <c r="K9683">
        <v>11635.74</v>
      </c>
      <c r="L9683">
        <v>7587777.96</v>
      </c>
      <c r="M9683">
        <v>7582496.3600000003</v>
      </c>
      <c r="N9683">
        <v>7587777.96</v>
      </c>
      <c r="O9683">
        <v>7582496.3600000003</v>
      </c>
      <c r="P9683">
        <v>17015332.52</v>
      </c>
      <c r="Q9683">
        <v>17003696.780000001</v>
      </c>
      <c r="R9683" s="14">
        <f>_xlfn.XLOOKUP(Table2[[#This Row],[LoanID]],Table1[G-L ID],Table1[ManagerCode],-99)</f>
        <v>270</v>
      </c>
      <c r="T9683"/>
    </row>
    <row r="9684" spans="1:20" x14ac:dyDescent="0.25">
      <c r="A9684">
        <v>20190930</v>
      </c>
      <c r="B9684">
        <v>2019</v>
      </c>
      <c r="C9684">
        <v>9</v>
      </c>
      <c r="D9684">
        <v>1</v>
      </c>
      <c r="E9684">
        <v>14190</v>
      </c>
      <c r="F9684">
        <v>19544.150000000001</v>
      </c>
      <c r="G9684">
        <v>0</v>
      </c>
      <c r="H9684">
        <v>0</v>
      </c>
      <c r="I9684">
        <v>0</v>
      </c>
      <c r="J9684">
        <v>0</v>
      </c>
      <c r="K9684">
        <v>7716.37</v>
      </c>
      <c r="L9684">
        <v>5147570.87</v>
      </c>
      <c r="M9684">
        <v>5143046.6100000003</v>
      </c>
      <c r="N9684">
        <v>5147570.87</v>
      </c>
      <c r="O9684">
        <v>5143046.6100000003</v>
      </c>
      <c r="P9684">
        <v>10728024.74</v>
      </c>
      <c r="Q9684">
        <v>10720308.369999999</v>
      </c>
      <c r="R9684" s="14">
        <f>_xlfn.XLOOKUP(Table2[[#This Row],[LoanID]],Table1[G-L ID],Table1[ManagerCode],-99)</f>
        <v>270</v>
      </c>
      <c r="T9684"/>
    </row>
    <row r="9685" spans="1:20" x14ac:dyDescent="0.25">
      <c r="A9685">
        <v>20190930</v>
      </c>
      <c r="B9685">
        <v>2019</v>
      </c>
      <c r="C9685">
        <v>9</v>
      </c>
      <c r="D9685">
        <v>1</v>
      </c>
      <c r="E9685">
        <v>14210</v>
      </c>
      <c r="F9685">
        <v>45276.86</v>
      </c>
      <c r="G9685">
        <v>0</v>
      </c>
      <c r="H9685">
        <v>0</v>
      </c>
      <c r="I9685">
        <v>0</v>
      </c>
      <c r="J9685">
        <v>0</v>
      </c>
      <c r="K9685">
        <v>3749555.55</v>
      </c>
      <c r="L9685">
        <v>7045276.8600000003</v>
      </c>
      <c r="M9685">
        <v>3286282.61</v>
      </c>
      <c r="N9685">
        <v>7045276.8600000003</v>
      </c>
      <c r="O9685">
        <v>3286282.61</v>
      </c>
      <c r="P9685">
        <v>9300000</v>
      </c>
      <c r="Q9685">
        <v>5550444.4500000002</v>
      </c>
      <c r="R9685" s="14">
        <f>_xlfn.XLOOKUP(Table2[[#This Row],[LoanID]],Table1[G-L ID],Table1[ManagerCode],-99)</f>
        <v>270</v>
      </c>
      <c r="T9685"/>
    </row>
    <row r="9686" spans="1:20" x14ac:dyDescent="0.25">
      <c r="A9686">
        <v>20190930</v>
      </c>
      <c r="B9686">
        <v>2019</v>
      </c>
      <c r="C9686">
        <v>9</v>
      </c>
      <c r="D9686">
        <v>1</v>
      </c>
      <c r="E9686">
        <v>14230</v>
      </c>
      <c r="F9686">
        <v>140151.73000000001</v>
      </c>
      <c r="G9686">
        <v>0</v>
      </c>
      <c r="H9686">
        <v>0</v>
      </c>
      <c r="I9686">
        <v>0</v>
      </c>
      <c r="J9686">
        <v>0</v>
      </c>
      <c r="K9686">
        <v>0</v>
      </c>
      <c r="L9686">
        <v>26095175.600000001</v>
      </c>
      <c r="M9686">
        <v>26092374.609999999</v>
      </c>
      <c r="N9686">
        <v>26095175.600000001</v>
      </c>
      <c r="O9686">
        <v>26092374.609999999</v>
      </c>
      <c r="P9686">
        <v>26321000</v>
      </c>
      <c r="Q9686">
        <v>26321000</v>
      </c>
      <c r="R9686" s="14">
        <f>_xlfn.XLOOKUP(Table2[[#This Row],[LoanID]],Table1[G-L ID],Table1[ManagerCode],-99)</f>
        <v>270</v>
      </c>
      <c r="T9686"/>
    </row>
    <row r="9687" spans="1:20" x14ac:dyDescent="0.25">
      <c r="A9687">
        <v>20190930</v>
      </c>
      <c r="B9687">
        <v>2019</v>
      </c>
      <c r="C9687">
        <v>9</v>
      </c>
      <c r="D9687">
        <v>1</v>
      </c>
      <c r="E9687">
        <v>14260</v>
      </c>
      <c r="F9687">
        <v>33095.550000000003</v>
      </c>
      <c r="G9687">
        <v>0</v>
      </c>
      <c r="H9687">
        <v>0</v>
      </c>
      <c r="I9687">
        <v>0</v>
      </c>
      <c r="J9687">
        <v>0</v>
      </c>
      <c r="K9687">
        <v>0</v>
      </c>
      <c r="L9687">
        <v>6408095.5499999998</v>
      </c>
      <c r="M9687">
        <v>6407407.5700000003</v>
      </c>
      <c r="N9687">
        <v>6408095.5499999998</v>
      </c>
      <c r="O9687">
        <v>6407407.5700000003</v>
      </c>
      <c r="P9687">
        <v>12500000</v>
      </c>
      <c r="Q9687">
        <v>12500000</v>
      </c>
      <c r="R9687" s="14">
        <f>_xlfn.XLOOKUP(Table2[[#This Row],[LoanID]],Table1[G-L ID],Table1[ManagerCode],-99)</f>
        <v>270</v>
      </c>
      <c r="T9687"/>
    </row>
    <row r="9688" spans="1:20" x14ac:dyDescent="0.25">
      <c r="A9688">
        <v>20190930</v>
      </c>
      <c r="B9688">
        <v>2019</v>
      </c>
      <c r="C9688">
        <v>9</v>
      </c>
      <c r="D9688">
        <v>1</v>
      </c>
      <c r="E9688">
        <v>14270</v>
      </c>
      <c r="F9688">
        <v>29876.44</v>
      </c>
      <c r="G9688">
        <v>0</v>
      </c>
      <c r="H9688">
        <v>0</v>
      </c>
      <c r="I9688">
        <v>0</v>
      </c>
      <c r="J9688">
        <v>0</v>
      </c>
      <c r="K9688">
        <v>0</v>
      </c>
      <c r="L9688">
        <v>5129876.4400000004</v>
      </c>
      <c r="M9688">
        <v>5129326.0599999996</v>
      </c>
      <c r="N9688">
        <v>5129876.4400000004</v>
      </c>
      <c r="O9688">
        <v>5129326.0599999996</v>
      </c>
      <c r="P9688">
        <v>10000000</v>
      </c>
      <c r="Q9688">
        <v>10000000</v>
      </c>
      <c r="R9688" s="14">
        <f>_xlfn.XLOOKUP(Table2[[#This Row],[LoanID]],Table1[G-L ID],Table1[ManagerCode],-99)</f>
        <v>270</v>
      </c>
      <c r="T9688"/>
    </row>
    <row r="9689" spans="1:20" x14ac:dyDescent="0.25">
      <c r="A9689">
        <v>20190930</v>
      </c>
      <c r="B9689">
        <v>2019</v>
      </c>
      <c r="C9689">
        <v>9</v>
      </c>
      <c r="D9689">
        <v>1</v>
      </c>
      <c r="E9689">
        <v>14300</v>
      </c>
      <c r="F9689">
        <v>37483.4</v>
      </c>
      <c r="G9689">
        <v>0</v>
      </c>
      <c r="H9689">
        <v>0</v>
      </c>
      <c r="I9689">
        <v>0</v>
      </c>
      <c r="J9689">
        <v>0</v>
      </c>
      <c r="K9689">
        <v>0</v>
      </c>
      <c r="L9689">
        <v>7687483.4000000004</v>
      </c>
      <c r="M9689">
        <v>7686657.8499999996</v>
      </c>
      <c r="N9689">
        <v>7687483.4000000004</v>
      </c>
      <c r="O9689">
        <v>7686657.8499999996</v>
      </c>
      <c r="P9689">
        <v>15000000</v>
      </c>
      <c r="Q9689">
        <v>15000000</v>
      </c>
      <c r="R9689" s="14">
        <f>_xlfn.XLOOKUP(Table2[[#This Row],[LoanID]],Table1[G-L ID],Table1[ManagerCode],-99)</f>
        <v>270</v>
      </c>
      <c r="T9689"/>
    </row>
    <row r="9690" spans="1:20" x14ac:dyDescent="0.25">
      <c r="A9690">
        <v>20190930</v>
      </c>
      <c r="B9690">
        <v>2019</v>
      </c>
      <c r="C9690">
        <v>9</v>
      </c>
      <c r="D9690">
        <v>1</v>
      </c>
      <c r="E9690">
        <v>14310</v>
      </c>
      <c r="F9690">
        <v>51736.87</v>
      </c>
      <c r="G9690">
        <v>0</v>
      </c>
      <c r="H9690">
        <v>0</v>
      </c>
      <c r="I9690">
        <v>0</v>
      </c>
      <c r="J9690">
        <v>0</v>
      </c>
      <c r="K9690">
        <v>0</v>
      </c>
      <c r="L9690">
        <v>11246053.359999999</v>
      </c>
      <c r="M9690">
        <v>11245159.66</v>
      </c>
      <c r="N9690">
        <v>11246053.359999999</v>
      </c>
      <c r="O9690">
        <v>11245159.66</v>
      </c>
      <c r="P9690">
        <v>21895658.859999999</v>
      </c>
      <c r="Q9690">
        <v>21895658.859999999</v>
      </c>
      <c r="R9690" s="14">
        <f>_xlfn.XLOOKUP(Table2[[#This Row],[LoanID]],Table1[G-L ID],Table1[ManagerCode],-99)</f>
        <v>270</v>
      </c>
      <c r="T9690"/>
    </row>
    <row r="9691" spans="1:20" x14ac:dyDescent="0.25">
      <c r="A9691">
        <v>20190930</v>
      </c>
      <c r="B9691">
        <v>2019</v>
      </c>
      <c r="C9691">
        <v>9</v>
      </c>
      <c r="D9691">
        <v>1</v>
      </c>
      <c r="E9691">
        <v>14320</v>
      </c>
      <c r="F9691">
        <v>67122.210000000006</v>
      </c>
      <c r="G9691">
        <v>0</v>
      </c>
      <c r="H9691">
        <v>0</v>
      </c>
      <c r="I9691">
        <v>0</v>
      </c>
      <c r="J9691">
        <v>0</v>
      </c>
      <c r="K9691">
        <v>0</v>
      </c>
      <c r="L9691">
        <v>15638159.84</v>
      </c>
      <c r="M9691">
        <v>15636568.99</v>
      </c>
      <c r="N9691">
        <v>15638159.84</v>
      </c>
      <c r="O9691">
        <v>15636568.99</v>
      </c>
      <c r="P9691">
        <v>30196745.899999999</v>
      </c>
      <c r="Q9691">
        <v>30196745.899999999</v>
      </c>
      <c r="R9691" s="14">
        <f>_xlfn.XLOOKUP(Table2[[#This Row],[LoanID]],Table1[G-L ID],Table1[ManagerCode],-99)</f>
        <v>270</v>
      </c>
      <c r="T9691"/>
    </row>
    <row r="9692" spans="1:20" x14ac:dyDescent="0.25">
      <c r="A9692">
        <v>20190930</v>
      </c>
      <c r="B9692">
        <v>2019</v>
      </c>
      <c r="C9692">
        <v>9</v>
      </c>
      <c r="D9692">
        <v>1</v>
      </c>
      <c r="E9692">
        <v>14340</v>
      </c>
      <c r="F9692">
        <v>60573.1</v>
      </c>
      <c r="G9692">
        <v>0</v>
      </c>
      <c r="H9692">
        <v>0</v>
      </c>
      <c r="I9692">
        <v>0</v>
      </c>
      <c r="J9692">
        <v>0</v>
      </c>
      <c r="K9692">
        <v>0</v>
      </c>
      <c r="L9692">
        <v>14093629.99</v>
      </c>
      <c r="M9692">
        <v>14092115.59</v>
      </c>
      <c r="N9692">
        <v>14093629.99</v>
      </c>
      <c r="O9692">
        <v>14092115.59</v>
      </c>
      <c r="P9692">
        <v>27169350.890000001</v>
      </c>
      <c r="Q9692">
        <v>27169350.890000001</v>
      </c>
      <c r="R9692" s="14">
        <f>_xlfn.XLOOKUP(Table2[[#This Row],[LoanID]],Table1[G-L ID],Table1[ManagerCode],-99)</f>
        <v>270</v>
      </c>
      <c r="T9692"/>
    </row>
    <row r="9693" spans="1:20" x14ac:dyDescent="0.25">
      <c r="A9693">
        <v>20190930</v>
      </c>
      <c r="B9693">
        <v>2019</v>
      </c>
      <c r="C9693">
        <v>9</v>
      </c>
      <c r="D9693">
        <v>1</v>
      </c>
      <c r="E9693">
        <v>14350</v>
      </c>
      <c r="F9693">
        <v>127289.79</v>
      </c>
      <c r="G9693">
        <v>0</v>
      </c>
      <c r="H9693">
        <v>0</v>
      </c>
      <c r="I9693">
        <v>0</v>
      </c>
      <c r="J9693">
        <v>-166273.94</v>
      </c>
      <c r="K9693">
        <v>0</v>
      </c>
      <c r="L9693">
        <v>30516023.390000001</v>
      </c>
      <c r="M9693">
        <v>30679214.379999999</v>
      </c>
      <c r="N9693">
        <v>30516023.390000001</v>
      </c>
      <c r="O9693">
        <v>30679214.379999999</v>
      </c>
      <c r="P9693">
        <v>45269060.950000003</v>
      </c>
      <c r="Q9693">
        <v>45435334.890000001</v>
      </c>
      <c r="R9693" s="14">
        <f>_xlfn.XLOOKUP(Table2[[#This Row],[LoanID]],Table1[G-L ID],Table1[ManagerCode],-99)</f>
        <v>270</v>
      </c>
      <c r="T9693"/>
    </row>
    <row r="9694" spans="1:20" x14ac:dyDescent="0.25">
      <c r="A9694">
        <v>20190930</v>
      </c>
      <c r="B9694">
        <v>2019</v>
      </c>
      <c r="C9694">
        <v>9</v>
      </c>
      <c r="D9694">
        <v>1</v>
      </c>
      <c r="E9694">
        <v>14360</v>
      </c>
      <c r="F9694">
        <v>50004.86</v>
      </c>
      <c r="G9694">
        <v>0</v>
      </c>
      <c r="H9694">
        <v>0</v>
      </c>
      <c r="I9694">
        <v>0</v>
      </c>
      <c r="J9694">
        <v>0</v>
      </c>
      <c r="K9694">
        <v>0</v>
      </c>
      <c r="L9694">
        <v>11523944.33</v>
      </c>
      <c r="M9694">
        <v>11522706.109999999</v>
      </c>
      <c r="N9694">
        <v>11523944.33</v>
      </c>
      <c r="O9694">
        <v>11522706.109999999</v>
      </c>
      <c r="P9694">
        <v>13904858.85</v>
      </c>
      <c r="Q9694">
        <v>13904858.85</v>
      </c>
      <c r="R9694" s="14">
        <f>_xlfn.XLOOKUP(Table2[[#This Row],[LoanID]],Table1[G-L ID],Table1[ManagerCode],-99)</f>
        <v>270</v>
      </c>
      <c r="T9694"/>
    </row>
    <row r="9695" spans="1:20" x14ac:dyDescent="0.25">
      <c r="A9695">
        <v>20190930</v>
      </c>
      <c r="B9695">
        <v>2019</v>
      </c>
      <c r="C9695">
        <v>9</v>
      </c>
      <c r="D9695">
        <v>1</v>
      </c>
      <c r="E9695">
        <v>14370</v>
      </c>
      <c r="F9695">
        <v>73429.31</v>
      </c>
      <c r="G9695">
        <v>0</v>
      </c>
      <c r="H9695">
        <v>0</v>
      </c>
      <c r="I9695">
        <v>0</v>
      </c>
      <c r="J9695">
        <v>0</v>
      </c>
      <c r="K9695">
        <v>0</v>
      </c>
      <c r="L9695">
        <v>17084900.940000001</v>
      </c>
      <c r="M9695">
        <v>17083065.120000001</v>
      </c>
      <c r="N9695">
        <v>17084900.940000001</v>
      </c>
      <c r="O9695">
        <v>17083065.120000001</v>
      </c>
      <c r="P9695">
        <v>19790525.699999999</v>
      </c>
      <c r="Q9695">
        <v>19790525.699999999</v>
      </c>
      <c r="R9695" s="14">
        <f>_xlfn.XLOOKUP(Table2[[#This Row],[LoanID]],Table1[G-L ID],Table1[ManagerCode],-99)</f>
        <v>270</v>
      </c>
      <c r="T9695"/>
    </row>
    <row r="9696" spans="1:20" x14ac:dyDescent="0.25">
      <c r="A9696">
        <v>20190930</v>
      </c>
      <c r="B9696">
        <v>2019</v>
      </c>
      <c r="C9696">
        <v>9</v>
      </c>
      <c r="D9696">
        <v>1</v>
      </c>
      <c r="E9696">
        <v>14380</v>
      </c>
      <c r="F9696">
        <v>50698.1</v>
      </c>
      <c r="G9696">
        <v>0</v>
      </c>
      <c r="H9696">
        <v>0</v>
      </c>
      <c r="I9696">
        <v>0</v>
      </c>
      <c r="J9696">
        <v>0</v>
      </c>
      <c r="K9696">
        <v>0</v>
      </c>
      <c r="L9696">
        <v>9924147.0999999996</v>
      </c>
      <c r="M9696">
        <v>9923188.5600000005</v>
      </c>
      <c r="N9696">
        <v>9924147.0999999996</v>
      </c>
      <c r="O9696">
        <v>9923188.5600000005</v>
      </c>
      <c r="P9696">
        <v>20955891</v>
      </c>
      <c r="Q9696">
        <v>20955891</v>
      </c>
      <c r="R9696" s="14">
        <f>_xlfn.XLOOKUP(Table2[[#This Row],[LoanID]],Table1[G-L ID],Table1[ManagerCode],-99)</f>
        <v>270</v>
      </c>
      <c r="T9696"/>
    </row>
    <row r="9697" spans="1:20" x14ac:dyDescent="0.25">
      <c r="A9697">
        <v>20190930</v>
      </c>
      <c r="B9697">
        <v>2019</v>
      </c>
      <c r="C9697">
        <v>9</v>
      </c>
      <c r="D9697">
        <v>1</v>
      </c>
      <c r="E9697">
        <v>14390</v>
      </c>
      <c r="F9697">
        <v>1017.58</v>
      </c>
      <c r="G9697">
        <v>0</v>
      </c>
      <c r="H9697">
        <v>0</v>
      </c>
      <c r="I9697">
        <v>0</v>
      </c>
      <c r="J9697">
        <v>0</v>
      </c>
      <c r="K9697">
        <v>0</v>
      </c>
      <c r="L9697">
        <v>199190.71</v>
      </c>
      <c r="M9697">
        <v>199171.47</v>
      </c>
      <c r="N9697">
        <v>199190.71</v>
      </c>
      <c r="O9697">
        <v>199171.47</v>
      </c>
      <c r="P9697">
        <v>469423.46</v>
      </c>
      <c r="Q9697">
        <v>469423.46</v>
      </c>
      <c r="R9697" s="14">
        <f>_xlfn.XLOOKUP(Table2[[#This Row],[LoanID]],Table1[G-L ID],Table1[ManagerCode],-99)</f>
        <v>270</v>
      </c>
      <c r="T9697"/>
    </row>
    <row r="9698" spans="1:20" x14ac:dyDescent="0.25">
      <c r="A9698">
        <v>20190930</v>
      </c>
      <c r="B9698">
        <v>2019</v>
      </c>
      <c r="C9698">
        <v>9</v>
      </c>
      <c r="D9698">
        <v>1</v>
      </c>
      <c r="E9698">
        <v>14420</v>
      </c>
      <c r="F9698">
        <v>45269.919999999998</v>
      </c>
      <c r="G9698">
        <v>0</v>
      </c>
      <c r="H9698">
        <v>0</v>
      </c>
      <c r="I9698">
        <v>0</v>
      </c>
      <c r="J9698">
        <v>0</v>
      </c>
      <c r="K9698">
        <v>0</v>
      </c>
      <c r="L9698">
        <v>8165363.4699999997</v>
      </c>
      <c r="M9698">
        <v>8162987.9400000004</v>
      </c>
      <c r="N9698">
        <v>8165363.4699999997</v>
      </c>
      <c r="O9698">
        <v>8162987.9400000004</v>
      </c>
      <c r="P9698">
        <v>13746615.060000001</v>
      </c>
      <c r="Q9698">
        <v>13746615.060000001</v>
      </c>
      <c r="R9698" s="14">
        <f>_xlfn.XLOOKUP(Table2[[#This Row],[LoanID]],Table1[G-L ID],Table1[ManagerCode],-99)</f>
        <v>270</v>
      </c>
      <c r="T9698"/>
    </row>
    <row r="9699" spans="1:20" x14ac:dyDescent="0.25">
      <c r="A9699">
        <v>20190930</v>
      </c>
      <c r="B9699">
        <v>2019</v>
      </c>
      <c r="C9699">
        <v>9</v>
      </c>
      <c r="D9699">
        <v>1</v>
      </c>
      <c r="E9699">
        <v>14460</v>
      </c>
      <c r="F9699">
        <v>14166.66</v>
      </c>
      <c r="G9699">
        <v>0</v>
      </c>
      <c r="H9699">
        <v>0</v>
      </c>
      <c r="I9699">
        <v>0</v>
      </c>
      <c r="J9699">
        <v>0</v>
      </c>
      <c r="K9699">
        <v>0</v>
      </c>
      <c r="L9699">
        <v>2025806.66</v>
      </c>
      <c r="M9699">
        <v>2020866.66</v>
      </c>
      <c r="N9699">
        <v>2025806.66</v>
      </c>
      <c r="O9699">
        <v>2020866.66</v>
      </c>
      <c r="P9699">
        <v>6142857.1500000004</v>
      </c>
      <c r="Q9699">
        <v>6142857.1500000004</v>
      </c>
      <c r="R9699" s="14">
        <f>_xlfn.XLOOKUP(Table2[[#This Row],[LoanID]],Table1[G-L ID],Table1[ManagerCode],-99)</f>
        <v>270</v>
      </c>
      <c r="T9699"/>
    </row>
    <row r="9700" spans="1:20" x14ac:dyDescent="0.25">
      <c r="A9700">
        <v>20190930</v>
      </c>
      <c r="B9700">
        <v>2019</v>
      </c>
      <c r="C9700">
        <v>9</v>
      </c>
      <c r="D9700">
        <v>1</v>
      </c>
      <c r="E9700">
        <v>14580</v>
      </c>
      <c r="F9700">
        <v>58589.55</v>
      </c>
      <c r="G9700">
        <v>0</v>
      </c>
      <c r="H9700">
        <v>0</v>
      </c>
      <c r="I9700">
        <v>0</v>
      </c>
      <c r="J9700">
        <v>0</v>
      </c>
      <c r="K9700">
        <v>0</v>
      </c>
      <c r="L9700">
        <v>12260596.890000001</v>
      </c>
      <c r="M9700">
        <v>12261604.109999999</v>
      </c>
      <c r="N9700">
        <v>12260596.890000001</v>
      </c>
      <c r="O9700">
        <v>12261604.109999999</v>
      </c>
      <c r="P9700">
        <v>24060000</v>
      </c>
      <c r="Q9700">
        <v>24060000</v>
      </c>
      <c r="R9700" s="14">
        <f>_xlfn.XLOOKUP(Table2[[#This Row],[LoanID]],Table1[G-L ID],Table1[ManagerCode],-99)</f>
        <v>270</v>
      </c>
      <c r="T9700"/>
    </row>
    <row r="9701" spans="1:20" x14ac:dyDescent="0.25">
      <c r="A9701">
        <v>20190930</v>
      </c>
      <c r="B9701">
        <v>2019</v>
      </c>
      <c r="C9701">
        <v>9</v>
      </c>
      <c r="D9701">
        <v>1</v>
      </c>
      <c r="E9701">
        <v>14590</v>
      </c>
      <c r="F9701">
        <v>3088.37</v>
      </c>
      <c r="G9701">
        <v>0</v>
      </c>
      <c r="H9701">
        <v>0</v>
      </c>
      <c r="I9701">
        <v>0</v>
      </c>
      <c r="J9701">
        <v>0</v>
      </c>
      <c r="K9701">
        <v>0</v>
      </c>
      <c r="L9701">
        <v>655429.68000000005</v>
      </c>
      <c r="M9701">
        <v>655520.9</v>
      </c>
      <c r="N9701">
        <v>655429.68000000005</v>
      </c>
      <c r="O9701">
        <v>655520.9</v>
      </c>
      <c r="P9701">
        <v>1242085.32</v>
      </c>
      <c r="Q9701">
        <v>1242085.32</v>
      </c>
      <c r="R9701" s="14">
        <f>_xlfn.XLOOKUP(Table2[[#This Row],[LoanID]],Table1[G-L ID],Table1[ManagerCode],-99)</f>
        <v>270</v>
      </c>
      <c r="T9701"/>
    </row>
    <row r="9702" spans="1:20" x14ac:dyDescent="0.25">
      <c r="A9702">
        <v>20190930</v>
      </c>
      <c r="B9702">
        <v>2019</v>
      </c>
      <c r="C9702">
        <v>9</v>
      </c>
      <c r="D9702">
        <v>1</v>
      </c>
      <c r="E9702">
        <v>14660</v>
      </c>
      <c r="F9702">
        <v>0</v>
      </c>
      <c r="G9702">
        <v>4570</v>
      </c>
      <c r="H9702">
        <v>0</v>
      </c>
      <c r="I9702">
        <v>0</v>
      </c>
      <c r="J9702">
        <v>-18000000</v>
      </c>
      <c r="K9702">
        <v>0</v>
      </c>
      <c r="L9702">
        <v>0</v>
      </c>
      <c r="M9702">
        <v>18004570</v>
      </c>
      <c r="N9702">
        <v>0</v>
      </c>
      <c r="O9702">
        <v>18004570</v>
      </c>
      <c r="P9702">
        <v>0</v>
      </c>
      <c r="Q9702">
        <v>18004570</v>
      </c>
      <c r="R9702" s="14">
        <f>_xlfn.XLOOKUP(Table2[[#This Row],[LoanID]],Table1[G-L ID],Table1[ManagerCode],-99)</f>
        <v>219</v>
      </c>
      <c r="T9702"/>
    </row>
    <row r="9703" spans="1:20" x14ac:dyDescent="0.25">
      <c r="A9703">
        <v>20190930</v>
      </c>
      <c r="B9703">
        <v>2019</v>
      </c>
      <c r="C9703">
        <v>9</v>
      </c>
      <c r="D9703">
        <v>1</v>
      </c>
      <c r="E9703">
        <v>14670</v>
      </c>
      <c r="F9703">
        <v>296789.23</v>
      </c>
      <c r="G9703">
        <v>0</v>
      </c>
      <c r="H9703">
        <v>0</v>
      </c>
      <c r="I9703">
        <v>0</v>
      </c>
      <c r="J9703">
        <v>0</v>
      </c>
      <c r="K9703">
        <v>30392694.140000001</v>
      </c>
      <c r="L9703">
        <v>30392694.140000001</v>
      </c>
      <c r="M9703">
        <v>0</v>
      </c>
      <c r="N9703">
        <v>30392694.140000001</v>
      </c>
      <c r="O9703">
        <v>0</v>
      </c>
      <c r="P9703">
        <v>30392694.140000001</v>
      </c>
      <c r="Q9703">
        <v>0</v>
      </c>
      <c r="R9703" s="14">
        <f>_xlfn.XLOOKUP(Table2[[#This Row],[LoanID]],Table1[G-L ID],Table1[ManagerCode],-99)</f>
        <v>220</v>
      </c>
      <c r="T9703"/>
    </row>
    <row r="9704" spans="1:20" x14ac:dyDescent="0.25">
      <c r="A9704">
        <v>20190930</v>
      </c>
      <c r="B9704">
        <v>2019</v>
      </c>
      <c r="C9704">
        <v>9</v>
      </c>
      <c r="D9704">
        <v>1</v>
      </c>
      <c r="E9704">
        <v>14680</v>
      </c>
      <c r="F9704">
        <v>54227.54</v>
      </c>
      <c r="G9704">
        <v>0</v>
      </c>
      <c r="H9704">
        <v>0</v>
      </c>
      <c r="I9704">
        <v>0</v>
      </c>
      <c r="J9704">
        <v>0</v>
      </c>
      <c r="K9704">
        <v>0</v>
      </c>
      <c r="L9704">
        <v>30353209.460000001</v>
      </c>
      <c r="M9704">
        <v>30340000</v>
      </c>
      <c r="N9704">
        <v>7908221.2599999998</v>
      </c>
      <c r="O9704">
        <v>7895011.7999999998</v>
      </c>
      <c r="P9704">
        <v>30278680.27</v>
      </c>
      <c r="Q9704">
        <v>30278680.27</v>
      </c>
      <c r="R9704" s="14">
        <f>_xlfn.XLOOKUP(Table2[[#This Row],[LoanID]],Table1[G-L ID],Table1[ManagerCode],-99)</f>
        <v>220</v>
      </c>
      <c r="T9704"/>
    </row>
    <row r="9705" spans="1:20" x14ac:dyDescent="0.25">
      <c r="A9705">
        <v>20190930</v>
      </c>
      <c r="B9705">
        <v>2019</v>
      </c>
      <c r="C9705">
        <v>9</v>
      </c>
      <c r="D9705">
        <v>1</v>
      </c>
      <c r="E9705">
        <v>14690</v>
      </c>
      <c r="F9705">
        <v>96102.76</v>
      </c>
      <c r="G9705">
        <v>0</v>
      </c>
      <c r="H9705">
        <v>0</v>
      </c>
      <c r="I9705">
        <v>0</v>
      </c>
      <c r="J9705">
        <v>0</v>
      </c>
      <c r="K9705">
        <v>0</v>
      </c>
      <c r="L9705">
        <v>42587532.890000001</v>
      </c>
      <c r="M9705">
        <v>42587532.890000001</v>
      </c>
      <c r="N9705">
        <v>15069782.890000001</v>
      </c>
      <c r="O9705">
        <v>15069782.890000001</v>
      </c>
      <c r="P9705">
        <v>42587532.890000001</v>
      </c>
      <c r="Q9705">
        <v>42587532.890000001</v>
      </c>
      <c r="R9705" s="14">
        <f>_xlfn.XLOOKUP(Table2[[#This Row],[LoanID]],Table1[G-L ID],Table1[ManagerCode],-99)</f>
        <v>220</v>
      </c>
      <c r="T9705"/>
    </row>
    <row r="9706" spans="1:20" x14ac:dyDescent="0.25">
      <c r="A9706">
        <v>20190930</v>
      </c>
      <c r="B9706">
        <v>2019</v>
      </c>
      <c r="C9706">
        <v>9</v>
      </c>
      <c r="D9706">
        <v>1</v>
      </c>
      <c r="E9706">
        <v>14700</v>
      </c>
      <c r="F9706">
        <v>80046.17</v>
      </c>
      <c r="G9706">
        <v>0</v>
      </c>
      <c r="H9706">
        <v>0</v>
      </c>
      <c r="I9706">
        <v>0</v>
      </c>
      <c r="J9706">
        <v>-322116.61</v>
      </c>
      <c r="K9706">
        <v>0</v>
      </c>
      <c r="L9706">
        <v>35393493.799999997</v>
      </c>
      <c r="M9706">
        <v>35715610.409999996</v>
      </c>
      <c r="N9706">
        <v>10805993.800000001</v>
      </c>
      <c r="O9706">
        <v>11128110.41</v>
      </c>
      <c r="P9706">
        <v>35393493.799999997</v>
      </c>
      <c r="Q9706">
        <v>35715610.409999996</v>
      </c>
      <c r="R9706" s="14">
        <f>_xlfn.XLOOKUP(Table2[[#This Row],[LoanID]],Table1[G-L ID],Table1[ManagerCode],-99)</f>
        <v>220</v>
      </c>
      <c r="T9706"/>
    </row>
    <row r="9707" spans="1:20" x14ac:dyDescent="0.25">
      <c r="A9707">
        <v>20190930</v>
      </c>
      <c r="B9707">
        <v>2019</v>
      </c>
      <c r="C9707">
        <v>9</v>
      </c>
      <c r="D9707">
        <v>1</v>
      </c>
      <c r="E9707">
        <v>14710</v>
      </c>
      <c r="F9707">
        <v>66935.460000000006</v>
      </c>
      <c r="G9707">
        <v>0</v>
      </c>
      <c r="H9707">
        <v>0</v>
      </c>
      <c r="I9707">
        <v>0</v>
      </c>
      <c r="J9707">
        <v>0</v>
      </c>
      <c r="K9707">
        <v>0</v>
      </c>
      <c r="L9707">
        <v>33650000</v>
      </c>
      <c r="M9707">
        <v>33650000</v>
      </c>
      <c r="N9707">
        <v>11777500</v>
      </c>
      <c r="O9707">
        <v>11777500</v>
      </c>
      <c r="P9707">
        <v>33650000</v>
      </c>
      <c r="Q9707">
        <v>33650000</v>
      </c>
      <c r="R9707" s="14">
        <f>_xlfn.XLOOKUP(Table2[[#This Row],[LoanID]],Table1[G-L ID],Table1[ManagerCode],-99)</f>
        <v>220</v>
      </c>
      <c r="T9707"/>
    </row>
    <row r="9708" spans="1:20" x14ac:dyDescent="0.25">
      <c r="A9708">
        <v>20190930</v>
      </c>
      <c r="B9708">
        <v>2019</v>
      </c>
      <c r="C9708">
        <v>9</v>
      </c>
      <c r="D9708">
        <v>1</v>
      </c>
      <c r="E9708">
        <v>14720</v>
      </c>
      <c r="F9708">
        <v>47593.45</v>
      </c>
      <c r="G9708">
        <v>0</v>
      </c>
      <c r="H9708">
        <v>0</v>
      </c>
      <c r="I9708">
        <v>0</v>
      </c>
      <c r="J9708">
        <v>-345173.56</v>
      </c>
      <c r="K9708">
        <v>0</v>
      </c>
      <c r="L9708">
        <v>21927316.059999999</v>
      </c>
      <c r="M9708">
        <v>22275173.559999999</v>
      </c>
      <c r="N9708">
        <v>8200316.0599999996</v>
      </c>
      <c r="O9708">
        <v>8548173.5600000005</v>
      </c>
      <c r="P9708">
        <v>21926154.079999998</v>
      </c>
      <c r="Q9708">
        <v>22271327.640000001</v>
      </c>
      <c r="R9708" s="14">
        <f>_xlfn.XLOOKUP(Table2[[#This Row],[LoanID]],Table1[G-L ID],Table1[ManagerCode],-99)</f>
        <v>220</v>
      </c>
      <c r="T9708"/>
    </row>
    <row r="9709" spans="1:20" x14ac:dyDescent="0.25">
      <c r="A9709">
        <v>20190930</v>
      </c>
      <c r="B9709">
        <v>2019</v>
      </c>
      <c r="C9709">
        <v>9</v>
      </c>
      <c r="D9709">
        <v>1</v>
      </c>
      <c r="E9709">
        <v>14730</v>
      </c>
      <c r="F9709">
        <v>205577.36</v>
      </c>
      <c r="G9709">
        <v>0</v>
      </c>
      <c r="H9709">
        <v>0</v>
      </c>
      <c r="I9709">
        <v>0</v>
      </c>
      <c r="J9709">
        <v>0</v>
      </c>
      <c r="K9709">
        <v>0</v>
      </c>
      <c r="L9709">
        <v>50350000</v>
      </c>
      <c r="M9709">
        <v>50300000</v>
      </c>
      <c r="N9709">
        <v>50350000</v>
      </c>
      <c r="O9709">
        <v>50300000</v>
      </c>
      <c r="P9709">
        <v>50260000</v>
      </c>
      <c r="Q9709">
        <v>50260000</v>
      </c>
      <c r="R9709" s="14">
        <f>_xlfn.XLOOKUP(Table2[[#This Row],[LoanID]],Table1[G-L ID],Table1[ManagerCode],-99)</f>
        <v>220</v>
      </c>
      <c r="T9709"/>
    </row>
    <row r="9710" spans="1:20" x14ac:dyDescent="0.25">
      <c r="A9710">
        <v>20190930</v>
      </c>
      <c r="B9710">
        <v>2019</v>
      </c>
      <c r="C9710">
        <v>9</v>
      </c>
      <c r="D9710">
        <v>1</v>
      </c>
      <c r="E9710">
        <v>14740</v>
      </c>
      <c r="F9710">
        <v>88176.18</v>
      </c>
      <c r="G9710">
        <v>0</v>
      </c>
      <c r="H9710">
        <v>0</v>
      </c>
      <c r="I9710">
        <v>0</v>
      </c>
      <c r="J9710">
        <v>0</v>
      </c>
      <c r="K9710">
        <v>0</v>
      </c>
      <c r="L9710">
        <v>35000000</v>
      </c>
      <c r="M9710">
        <v>35000000</v>
      </c>
      <c r="N9710">
        <v>14000000</v>
      </c>
      <c r="O9710">
        <v>14000000</v>
      </c>
      <c r="P9710">
        <v>35000000</v>
      </c>
      <c r="Q9710">
        <v>35000000</v>
      </c>
      <c r="R9710" s="14">
        <f>_xlfn.XLOOKUP(Table2[[#This Row],[LoanID]],Table1[G-L ID],Table1[ManagerCode],-99)</f>
        <v>220</v>
      </c>
      <c r="T9710"/>
    </row>
    <row r="9711" spans="1:20" x14ac:dyDescent="0.25">
      <c r="A9711">
        <v>20190930</v>
      </c>
      <c r="B9711">
        <v>2019</v>
      </c>
      <c r="C9711">
        <v>9</v>
      </c>
      <c r="D9711">
        <v>1</v>
      </c>
      <c r="E9711">
        <v>14750</v>
      </c>
      <c r="F9711">
        <v>112455.03</v>
      </c>
      <c r="G9711">
        <v>0</v>
      </c>
      <c r="H9711">
        <v>0</v>
      </c>
      <c r="I9711">
        <v>0</v>
      </c>
      <c r="J9711">
        <v>0</v>
      </c>
      <c r="K9711">
        <v>0</v>
      </c>
      <c r="L9711">
        <v>56938347.729999997</v>
      </c>
      <c r="M9711">
        <v>56938347.729999997</v>
      </c>
      <c r="N9711">
        <v>21188347.73</v>
      </c>
      <c r="O9711">
        <v>21188347.73</v>
      </c>
      <c r="P9711">
        <v>56938347.729999997</v>
      </c>
      <c r="Q9711">
        <v>56938347.729999997</v>
      </c>
      <c r="R9711" s="14">
        <f>_xlfn.XLOOKUP(Table2[[#This Row],[LoanID]],Table1[G-L ID],Table1[ManagerCode],-99)</f>
        <v>220</v>
      </c>
      <c r="T9711"/>
    </row>
    <row r="9712" spans="1:20" x14ac:dyDescent="0.25">
      <c r="A9712">
        <v>20190930</v>
      </c>
      <c r="B9712">
        <v>2019</v>
      </c>
      <c r="C9712">
        <v>9</v>
      </c>
      <c r="D9712">
        <v>1</v>
      </c>
      <c r="E9712">
        <v>14760</v>
      </c>
      <c r="F9712">
        <v>184223.95</v>
      </c>
      <c r="G9712">
        <v>0</v>
      </c>
      <c r="H9712">
        <v>0</v>
      </c>
      <c r="I9712">
        <v>0</v>
      </c>
      <c r="J9712">
        <v>0</v>
      </c>
      <c r="K9712">
        <v>0</v>
      </c>
      <c r="L9712">
        <v>105000000</v>
      </c>
      <c r="M9712">
        <v>105000000</v>
      </c>
      <c r="N9712">
        <v>26250000</v>
      </c>
      <c r="O9712">
        <v>26250000</v>
      </c>
      <c r="P9712">
        <v>105000000</v>
      </c>
      <c r="Q9712">
        <v>105000000</v>
      </c>
      <c r="R9712" s="14">
        <f>_xlfn.XLOOKUP(Table2[[#This Row],[LoanID]],Table1[G-L ID],Table1[ManagerCode],-99)</f>
        <v>220</v>
      </c>
      <c r="T9712"/>
    </row>
    <row r="9713" spans="1:20" x14ac:dyDescent="0.25">
      <c r="A9713">
        <v>20190930</v>
      </c>
      <c r="B9713">
        <v>2019</v>
      </c>
      <c r="C9713">
        <v>9</v>
      </c>
      <c r="D9713">
        <v>1</v>
      </c>
      <c r="E9713">
        <v>14770</v>
      </c>
      <c r="F9713">
        <v>181001.25</v>
      </c>
      <c r="G9713">
        <v>0</v>
      </c>
      <c r="H9713">
        <v>0</v>
      </c>
      <c r="I9713">
        <v>0</v>
      </c>
      <c r="J9713">
        <v>0</v>
      </c>
      <c r="K9713">
        <v>0</v>
      </c>
      <c r="L9713">
        <v>40500000</v>
      </c>
      <c r="M9713">
        <v>40500000</v>
      </c>
      <c r="N9713">
        <v>40500000</v>
      </c>
      <c r="O9713">
        <v>40500000</v>
      </c>
      <c r="P9713">
        <v>40500000</v>
      </c>
      <c r="Q9713">
        <v>40500000</v>
      </c>
      <c r="R9713" s="14">
        <f>_xlfn.XLOOKUP(Table2[[#This Row],[LoanID]],Table1[G-L ID],Table1[ManagerCode],-99)</f>
        <v>220</v>
      </c>
      <c r="T9713"/>
    </row>
    <row r="9714" spans="1:20" x14ac:dyDescent="0.25">
      <c r="A9714">
        <v>20190930</v>
      </c>
      <c r="B9714">
        <v>2019</v>
      </c>
      <c r="C9714">
        <v>9</v>
      </c>
      <c r="D9714">
        <v>1</v>
      </c>
      <c r="E9714">
        <v>14780</v>
      </c>
      <c r="F9714">
        <v>98000.43</v>
      </c>
      <c r="G9714">
        <v>0</v>
      </c>
      <c r="H9714">
        <v>0</v>
      </c>
      <c r="I9714">
        <v>0</v>
      </c>
      <c r="J9714">
        <v>0</v>
      </c>
      <c r="K9714">
        <v>0</v>
      </c>
      <c r="L9714">
        <v>51000000</v>
      </c>
      <c r="M9714">
        <v>51000000</v>
      </c>
      <c r="N9714">
        <v>15300000</v>
      </c>
      <c r="O9714">
        <v>15300000</v>
      </c>
      <c r="P9714">
        <v>51000000</v>
      </c>
      <c r="Q9714">
        <v>51000000</v>
      </c>
      <c r="R9714" s="14">
        <f>_xlfn.XLOOKUP(Table2[[#This Row],[LoanID]],Table1[G-L ID],Table1[ManagerCode],-99)</f>
        <v>220</v>
      </c>
      <c r="T9714"/>
    </row>
    <row r="9715" spans="1:20" x14ac:dyDescent="0.25">
      <c r="A9715">
        <v>20190930</v>
      </c>
      <c r="B9715">
        <v>2019</v>
      </c>
      <c r="C9715">
        <v>9</v>
      </c>
      <c r="D9715">
        <v>1</v>
      </c>
      <c r="E9715">
        <v>14790</v>
      </c>
      <c r="F9715">
        <v>537887.23</v>
      </c>
      <c r="G9715">
        <v>0</v>
      </c>
      <c r="H9715">
        <v>0</v>
      </c>
      <c r="I9715">
        <v>0</v>
      </c>
      <c r="J9715">
        <v>-7800000</v>
      </c>
      <c r="K9715">
        <v>5068658</v>
      </c>
      <c r="L9715">
        <v>72560000</v>
      </c>
      <c r="M9715">
        <v>80360000</v>
      </c>
      <c r="N9715">
        <v>23228658</v>
      </c>
      <c r="O9715">
        <v>25960000</v>
      </c>
      <c r="P9715">
        <v>72200000</v>
      </c>
      <c r="Q9715">
        <v>80000000</v>
      </c>
      <c r="R9715" s="14">
        <f>_xlfn.XLOOKUP(Table2[[#This Row],[LoanID]],Table1[G-L ID],Table1[ManagerCode],-99)</f>
        <v>220</v>
      </c>
      <c r="T9715"/>
    </row>
    <row r="9716" spans="1:20" x14ac:dyDescent="0.25">
      <c r="A9716">
        <v>20190930</v>
      </c>
      <c r="B9716">
        <v>2019</v>
      </c>
      <c r="C9716">
        <v>9</v>
      </c>
      <c r="D9716">
        <v>1</v>
      </c>
      <c r="E9716">
        <v>14800</v>
      </c>
      <c r="F9716">
        <v>106366.17</v>
      </c>
      <c r="G9716">
        <v>0</v>
      </c>
      <c r="H9716">
        <v>0</v>
      </c>
      <c r="I9716">
        <v>0</v>
      </c>
      <c r="J9716">
        <v>0</v>
      </c>
      <c r="K9716">
        <v>0</v>
      </c>
      <c r="L9716">
        <v>51000000</v>
      </c>
      <c r="M9716">
        <v>51000000</v>
      </c>
      <c r="N9716">
        <v>17850000</v>
      </c>
      <c r="O9716">
        <v>17850000</v>
      </c>
      <c r="P9716">
        <v>51000000</v>
      </c>
      <c r="Q9716">
        <v>51000000</v>
      </c>
      <c r="R9716" s="14">
        <f>_xlfn.XLOOKUP(Table2[[#This Row],[LoanID]],Table1[G-L ID],Table1[ManagerCode],-99)</f>
        <v>220</v>
      </c>
      <c r="T9716"/>
    </row>
    <row r="9717" spans="1:20" x14ac:dyDescent="0.25">
      <c r="A9717">
        <v>20190930</v>
      </c>
      <c r="B9717">
        <v>2019</v>
      </c>
      <c r="C9717">
        <v>9</v>
      </c>
      <c r="D9717">
        <v>1</v>
      </c>
      <c r="E9717">
        <v>14810</v>
      </c>
      <c r="F9717">
        <v>100081.49</v>
      </c>
      <c r="G9717">
        <v>0</v>
      </c>
      <c r="H9717">
        <v>0</v>
      </c>
      <c r="I9717">
        <v>0</v>
      </c>
      <c r="J9717">
        <v>0</v>
      </c>
      <c r="K9717">
        <v>0</v>
      </c>
      <c r="L9717">
        <v>24950000</v>
      </c>
      <c r="M9717">
        <v>24950000</v>
      </c>
      <c r="N9717">
        <v>24950000</v>
      </c>
      <c r="O9717">
        <v>24950000</v>
      </c>
      <c r="P9717">
        <v>24930000</v>
      </c>
      <c r="Q9717">
        <v>24930000</v>
      </c>
      <c r="R9717" s="14">
        <f>_xlfn.XLOOKUP(Table2[[#This Row],[LoanID]],Table1[G-L ID],Table1[ManagerCode],-99)</f>
        <v>220</v>
      </c>
      <c r="T9717"/>
    </row>
    <row r="9718" spans="1:20" x14ac:dyDescent="0.25">
      <c r="A9718">
        <v>20190930</v>
      </c>
      <c r="B9718">
        <v>2019</v>
      </c>
      <c r="C9718">
        <v>9</v>
      </c>
      <c r="D9718">
        <v>1</v>
      </c>
      <c r="E9718">
        <v>14820</v>
      </c>
      <c r="F9718">
        <v>78721.84</v>
      </c>
      <c r="G9718">
        <v>0</v>
      </c>
      <c r="H9718">
        <v>0</v>
      </c>
      <c r="I9718">
        <v>0</v>
      </c>
      <c r="J9718">
        <v>0</v>
      </c>
      <c r="K9718">
        <v>-5148784.8099999996</v>
      </c>
      <c r="L9718">
        <v>22623000</v>
      </c>
      <c r="M9718">
        <v>22623000</v>
      </c>
      <c r="N9718">
        <v>11953636.26</v>
      </c>
      <c r="O9718">
        <v>17102421.07</v>
      </c>
      <c r="P9718">
        <v>22623000</v>
      </c>
      <c r="Q9718">
        <v>22623000</v>
      </c>
      <c r="R9718" s="14">
        <f>_xlfn.XLOOKUP(Table2[[#This Row],[LoanID]],Table1[G-L ID],Table1[ManagerCode],-99)</f>
        <v>220</v>
      </c>
      <c r="T9718"/>
    </row>
    <row r="9719" spans="1:20" x14ac:dyDescent="0.25">
      <c r="A9719">
        <v>20190930</v>
      </c>
      <c r="B9719">
        <v>2019</v>
      </c>
      <c r="C9719">
        <v>9</v>
      </c>
      <c r="D9719">
        <v>1</v>
      </c>
      <c r="E9719">
        <v>14830</v>
      </c>
      <c r="F9719">
        <v>85927.5</v>
      </c>
      <c r="G9719">
        <v>0</v>
      </c>
      <c r="H9719">
        <v>0</v>
      </c>
      <c r="I9719">
        <v>0</v>
      </c>
      <c r="J9719">
        <v>0</v>
      </c>
      <c r="K9719">
        <v>0</v>
      </c>
      <c r="L9719">
        <v>36300000</v>
      </c>
      <c r="M9719">
        <v>36300000</v>
      </c>
      <c r="N9719">
        <v>14834944.300000001</v>
      </c>
      <c r="O9719">
        <v>14834944.300000001</v>
      </c>
      <c r="P9719">
        <v>36175320.93</v>
      </c>
      <c r="Q9719">
        <v>36175320.93</v>
      </c>
      <c r="R9719" s="14">
        <f>_xlfn.XLOOKUP(Table2[[#This Row],[LoanID]],Table1[G-L ID],Table1[ManagerCode],-99)</f>
        <v>220</v>
      </c>
      <c r="T9719"/>
    </row>
    <row r="9720" spans="1:20" x14ac:dyDescent="0.25">
      <c r="A9720">
        <v>20190930</v>
      </c>
      <c r="B9720">
        <v>2019</v>
      </c>
      <c r="C9720">
        <v>9</v>
      </c>
      <c r="D9720">
        <v>1</v>
      </c>
      <c r="E9720">
        <v>14840</v>
      </c>
      <c r="F9720">
        <v>75992.47</v>
      </c>
      <c r="G9720">
        <v>0</v>
      </c>
      <c r="H9720">
        <v>0</v>
      </c>
      <c r="I9720">
        <v>0</v>
      </c>
      <c r="J9720">
        <v>0</v>
      </c>
      <c r="K9720">
        <v>0</v>
      </c>
      <c r="L9720">
        <v>32520000</v>
      </c>
      <c r="M9720">
        <v>32520000</v>
      </c>
      <c r="N9720">
        <v>13321466.960000001</v>
      </c>
      <c r="O9720">
        <v>13321466.960000001</v>
      </c>
      <c r="P9720">
        <v>32484668.289999999</v>
      </c>
      <c r="Q9720">
        <v>32484668.289999999</v>
      </c>
      <c r="R9720" s="14">
        <f>_xlfn.XLOOKUP(Table2[[#This Row],[LoanID]],Table1[G-L ID],Table1[ManagerCode],-99)</f>
        <v>220</v>
      </c>
      <c r="T9720"/>
    </row>
    <row r="9721" spans="1:20" x14ac:dyDescent="0.25">
      <c r="A9721">
        <v>20190930</v>
      </c>
      <c r="B9721">
        <v>2019</v>
      </c>
      <c r="C9721">
        <v>9</v>
      </c>
      <c r="D9721">
        <v>1</v>
      </c>
      <c r="E9721">
        <v>14850</v>
      </c>
      <c r="F9721">
        <v>193429.27</v>
      </c>
      <c r="G9721">
        <v>0</v>
      </c>
      <c r="H9721">
        <v>0</v>
      </c>
      <c r="I9721">
        <v>0</v>
      </c>
      <c r="J9721">
        <v>0</v>
      </c>
      <c r="K9721">
        <v>0</v>
      </c>
      <c r="L9721">
        <v>87490000</v>
      </c>
      <c r="M9721">
        <v>87490000</v>
      </c>
      <c r="N9721">
        <v>35861474.119999997</v>
      </c>
      <c r="O9721">
        <v>35861474.119999997</v>
      </c>
      <c r="P9721">
        <v>87414905.219999999</v>
      </c>
      <c r="Q9721">
        <v>87414905.219999999</v>
      </c>
      <c r="R9721" s="14">
        <f>_xlfn.XLOOKUP(Table2[[#This Row],[LoanID]],Table1[G-L ID],Table1[ManagerCode],-99)</f>
        <v>220</v>
      </c>
      <c r="T9721"/>
    </row>
    <row r="9722" spans="1:20" x14ac:dyDescent="0.25">
      <c r="A9722">
        <v>20190930</v>
      </c>
      <c r="B9722">
        <v>2019</v>
      </c>
      <c r="C9722">
        <v>9</v>
      </c>
      <c r="D9722">
        <v>1</v>
      </c>
      <c r="E9722">
        <v>14860</v>
      </c>
      <c r="F9722">
        <v>161586.47</v>
      </c>
      <c r="G9722">
        <v>0</v>
      </c>
      <c r="H9722">
        <v>0</v>
      </c>
      <c r="I9722">
        <v>0</v>
      </c>
      <c r="J9722">
        <v>0</v>
      </c>
      <c r="K9722">
        <v>0</v>
      </c>
      <c r="L9722">
        <v>65250000</v>
      </c>
      <c r="M9722">
        <v>65250000</v>
      </c>
      <c r="N9722">
        <v>26391000</v>
      </c>
      <c r="O9722">
        <v>26391000</v>
      </c>
      <c r="P9722">
        <v>65000000</v>
      </c>
      <c r="Q9722">
        <v>65000000</v>
      </c>
      <c r="R9722" s="14">
        <f>_xlfn.XLOOKUP(Table2[[#This Row],[LoanID]],Table1[G-L ID],Table1[ManagerCode],-99)</f>
        <v>220</v>
      </c>
      <c r="T9722"/>
    </row>
    <row r="9723" spans="1:20" x14ac:dyDescent="0.25">
      <c r="A9723">
        <v>20190930</v>
      </c>
      <c r="B9723">
        <v>2019</v>
      </c>
      <c r="C9723">
        <v>9</v>
      </c>
      <c r="D9723">
        <v>1</v>
      </c>
      <c r="E9723">
        <v>14870</v>
      </c>
      <c r="F9723">
        <v>432431.07</v>
      </c>
      <c r="G9723">
        <v>0</v>
      </c>
      <c r="H9723">
        <v>0</v>
      </c>
      <c r="I9723">
        <v>0</v>
      </c>
      <c r="J9723">
        <v>-974220</v>
      </c>
      <c r="K9723">
        <v>-26481734.609999999</v>
      </c>
      <c r="L9723">
        <v>121600000</v>
      </c>
      <c r="M9723">
        <v>122600000</v>
      </c>
      <c r="N9723">
        <v>66248635.329999998</v>
      </c>
      <c r="O9723">
        <v>93730369.939999998</v>
      </c>
      <c r="P9723">
        <v>121557000</v>
      </c>
      <c r="Q9723">
        <v>122531220</v>
      </c>
      <c r="R9723" s="14">
        <f>_xlfn.XLOOKUP(Table2[[#This Row],[LoanID]],Table1[G-L ID],Table1[ManagerCode],-99)</f>
        <v>220</v>
      </c>
      <c r="T9723"/>
    </row>
    <row r="9724" spans="1:20" x14ac:dyDescent="0.25">
      <c r="A9724">
        <v>20190930</v>
      </c>
      <c r="B9724">
        <v>2019</v>
      </c>
      <c r="C9724">
        <v>9</v>
      </c>
      <c r="D9724">
        <v>1</v>
      </c>
      <c r="E9724">
        <v>14880</v>
      </c>
      <c r="F9724">
        <v>145118.91</v>
      </c>
      <c r="G9724">
        <v>0</v>
      </c>
      <c r="H9724">
        <v>0</v>
      </c>
      <c r="I9724">
        <v>0</v>
      </c>
      <c r="J9724">
        <v>0</v>
      </c>
      <c r="K9724">
        <v>0</v>
      </c>
      <c r="L9724">
        <v>20034426.460000001</v>
      </c>
      <c r="M9724">
        <v>20034426.460000001</v>
      </c>
      <c r="N9724">
        <v>20034426.460000001</v>
      </c>
      <c r="O9724">
        <v>20034426.460000001</v>
      </c>
      <c r="P9724">
        <v>20034426.460000001</v>
      </c>
      <c r="Q9724">
        <v>20034426.460000001</v>
      </c>
      <c r="R9724" s="14">
        <f>_xlfn.XLOOKUP(Table2[[#This Row],[LoanID]],Table1[G-L ID],Table1[ManagerCode],-99)</f>
        <v>220</v>
      </c>
      <c r="T9724"/>
    </row>
    <row r="9725" spans="1:20" x14ac:dyDescent="0.25">
      <c r="A9725">
        <v>20190930</v>
      </c>
      <c r="B9725">
        <v>2019</v>
      </c>
      <c r="C9725">
        <v>9</v>
      </c>
      <c r="D9725">
        <v>1</v>
      </c>
      <c r="E9725">
        <v>14890</v>
      </c>
      <c r="F9725">
        <v>60754.77</v>
      </c>
      <c r="G9725">
        <v>0</v>
      </c>
      <c r="H9725">
        <v>0</v>
      </c>
      <c r="I9725">
        <v>0</v>
      </c>
      <c r="J9725">
        <v>0</v>
      </c>
      <c r="K9725">
        <v>-2277663.98</v>
      </c>
      <c r="L9725">
        <v>34000000</v>
      </c>
      <c r="M9725">
        <v>34000000</v>
      </c>
      <c r="N9725">
        <v>11900000</v>
      </c>
      <c r="O9725">
        <v>14177663.98</v>
      </c>
      <c r="P9725">
        <v>34000000</v>
      </c>
      <c r="Q9725">
        <v>34000000</v>
      </c>
      <c r="R9725" s="14">
        <f>_xlfn.XLOOKUP(Table2[[#This Row],[LoanID]],Table1[G-L ID],Table1[ManagerCode],-99)</f>
        <v>220</v>
      </c>
      <c r="T9725"/>
    </row>
    <row r="9726" spans="1:20" x14ac:dyDescent="0.25">
      <c r="A9726">
        <v>20190930</v>
      </c>
      <c r="B9726">
        <v>2019</v>
      </c>
      <c r="C9726">
        <v>9</v>
      </c>
      <c r="D9726">
        <v>1</v>
      </c>
      <c r="E9726">
        <v>14900</v>
      </c>
      <c r="F9726">
        <v>123328.93</v>
      </c>
      <c r="G9726">
        <v>0</v>
      </c>
      <c r="H9726">
        <v>0</v>
      </c>
      <c r="I9726">
        <v>0</v>
      </c>
      <c r="J9726">
        <v>-999410.32</v>
      </c>
      <c r="K9726">
        <v>0</v>
      </c>
      <c r="L9726">
        <v>65097250</v>
      </c>
      <c r="M9726">
        <v>66096659.850000001</v>
      </c>
      <c r="N9726">
        <v>23497250</v>
      </c>
      <c r="O9726">
        <v>24496659.850000001</v>
      </c>
      <c r="P9726">
        <v>65097249.530000001</v>
      </c>
      <c r="Q9726">
        <v>66096659.850000001</v>
      </c>
      <c r="R9726" s="14">
        <f>_xlfn.XLOOKUP(Table2[[#This Row],[LoanID]],Table1[G-L ID],Table1[ManagerCode],-99)</f>
        <v>220</v>
      </c>
      <c r="T9726"/>
    </row>
    <row r="9727" spans="1:20" x14ac:dyDescent="0.25">
      <c r="A9727">
        <v>20190930</v>
      </c>
      <c r="B9727">
        <v>2019</v>
      </c>
      <c r="C9727">
        <v>9</v>
      </c>
      <c r="D9727">
        <v>1</v>
      </c>
      <c r="E9727">
        <v>14910</v>
      </c>
      <c r="F9727">
        <v>72865.8</v>
      </c>
      <c r="G9727">
        <v>0</v>
      </c>
      <c r="H9727">
        <v>0</v>
      </c>
      <c r="I9727">
        <v>0</v>
      </c>
      <c r="J9727">
        <v>0</v>
      </c>
      <c r="K9727">
        <v>0</v>
      </c>
      <c r="L9727">
        <v>38393859.18</v>
      </c>
      <c r="M9727">
        <v>38393859.18</v>
      </c>
      <c r="N9727">
        <v>11793859.18</v>
      </c>
      <c r="O9727">
        <v>11793859.18</v>
      </c>
      <c r="P9727">
        <v>38393859.18</v>
      </c>
      <c r="Q9727">
        <v>38393859.18</v>
      </c>
      <c r="R9727" s="14">
        <f>_xlfn.XLOOKUP(Table2[[#This Row],[LoanID]],Table1[G-L ID],Table1[ManagerCode],-99)</f>
        <v>220</v>
      </c>
      <c r="T9727"/>
    </row>
    <row r="9728" spans="1:20" x14ac:dyDescent="0.25">
      <c r="A9728">
        <v>20190930</v>
      </c>
      <c r="B9728">
        <v>2019</v>
      </c>
      <c r="C9728">
        <v>9</v>
      </c>
      <c r="D9728">
        <v>1</v>
      </c>
      <c r="E9728">
        <v>14920</v>
      </c>
      <c r="F9728">
        <v>130170.4</v>
      </c>
      <c r="G9728">
        <v>0</v>
      </c>
      <c r="H9728">
        <v>0</v>
      </c>
      <c r="I9728">
        <v>0</v>
      </c>
      <c r="J9728">
        <v>-220213.9</v>
      </c>
      <c r="K9728">
        <v>0</v>
      </c>
      <c r="L9728">
        <v>70000000</v>
      </c>
      <c r="M9728">
        <v>70220213.900000006</v>
      </c>
      <c r="N9728">
        <v>21000000</v>
      </c>
      <c r="O9728">
        <v>21220213.899999999</v>
      </c>
      <c r="P9728">
        <v>70000000</v>
      </c>
      <c r="Q9728">
        <v>70220213.900000006</v>
      </c>
      <c r="R9728" s="14">
        <f>_xlfn.XLOOKUP(Table2[[#This Row],[LoanID]],Table1[G-L ID],Table1[ManagerCode],-99)</f>
        <v>220</v>
      </c>
      <c r="T9728"/>
    </row>
    <row r="9729" spans="1:20" x14ac:dyDescent="0.25">
      <c r="A9729">
        <v>20190930</v>
      </c>
      <c r="B9729">
        <v>2019</v>
      </c>
      <c r="C9729">
        <v>9</v>
      </c>
      <c r="D9729">
        <v>1</v>
      </c>
      <c r="E9729">
        <v>14930</v>
      </c>
      <c r="F9729">
        <v>93396.11</v>
      </c>
      <c r="G9729">
        <v>0</v>
      </c>
      <c r="H9729">
        <v>0</v>
      </c>
      <c r="I9729">
        <v>0</v>
      </c>
      <c r="J9729">
        <v>0</v>
      </c>
      <c r="K9729">
        <v>0</v>
      </c>
      <c r="L9729">
        <v>55000000</v>
      </c>
      <c r="M9729">
        <v>55000000</v>
      </c>
      <c r="N9729">
        <v>19250000</v>
      </c>
      <c r="O9729">
        <v>19250000</v>
      </c>
      <c r="P9729">
        <v>55000000</v>
      </c>
      <c r="Q9729">
        <v>55000000</v>
      </c>
      <c r="R9729" s="14">
        <f>_xlfn.XLOOKUP(Table2[[#This Row],[LoanID]],Table1[G-L ID],Table1[ManagerCode],-99)</f>
        <v>220</v>
      </c>
      <c r="T9729"/>
    </row>
    <row r="9730" spans="1:20" x14ac:dyDescent="0.25">
      <c r="A9730">
        <v>20190930</v>
      </c>
      <c r="B9730">
        <v>2019</v>
      </c>
      <c r="C9730">
        <v>9</v>
      </c>
      <c r="D9730">
        <v>1</v>
      </c>
      <c r="E9730">
        <v>14940</v>
      </c>
      <c r="F9730">
        <v>143250.92000000001</v>
      </c>
      <c r="G9730">
        <v>0</v>
      </c>
      <c r="H9730">
        <v>0</v>
      </c>
      <c r="I9730">
        <v>0</v>
      </c>
      <c r="J9730">
        <v>-796671.41</v>
      </c>
      <c r="K9730">
        <v>0</v>
      </c>
      <c r="L9730">
        <v>73624371.540000007</v>
      </c>
      <c r="M9730">
        <v>73762499.120000005</v>
      </c>
      <c r="N9730">
        <v>35168429.770000003</v>
      </c>
      <c r="O9730">
        <v>35306557.350000001</v>
      </c>
      <c r="P9730">
        <v>72775296.799999997</v>
      </c>
      <c r="Q9730">
        <v>73571968.209999993</v>
      </c>
      <c r="R9730" s="14">
        <f>_xlfn.XLOOKUP(Table2[[#This Row],[LoanID]],Table1[G-L ID],Table1[ManagerCode],-99)</f>
        <v>220</v>
      </c>
      <c r="T9730"/>
    </row>
    <row r="9731" spans="1:20" x14ac:dyDescent="0.25">
      <c r="A9731">
        <v>20190930</v>
      </c>
      <c r="B9731">
        <v>2019</v>
      </c>
      <c r="C9731">
        <v>9</v>
      </c>
      <c r="D9731">
        <v>1</v>
      </c>
      <c r="E9731">
        <v>14950</v>
      </c>
      <c r="F9731">
        <v>224933.33</v>
      </c>
      <c r="G9731">
        <v>0</v>
      </c>
      <c r="H9731">
        <v>0</v>
      </c>
      <c r="I9731">
        <v>0</v>
      </c>
      <c r="J9731">
        <v>0</v>
      </c>
      <c r="K9731">
        <v>0</v>
      </c>
      <c r="L9731">
        <v>35000000</v>
      </c>
      <c r="M9731">
        <v>35000000</v>
      </c>
      <c r="N9731">
        <v>35000000</v>
      </c>
      <c r="O9731">
        <v>35000000</v>
      </c>
      <c r="P9731">
        <v>35000000</v>
      </c>
      <c r="Q9731">
        <v>35000000</v>
      </c>
      <c r="R9731" s="14">
        <f>_xlfn.XLOOKUP(Table2[[#This Row],[LoanID]],Table1[G-L ID],Table1[ManagerCode],-99)</f>
        <v>220</v>
      </c>
      <c r="T9731"/>
    </row>
    <row r="9732" spans="1:20" x14ac:dyDescent="0.25">
      <c r="A9732">
        <v>20190930</v>
      </c>
      <c r="B9732">
        <v>2019</v>
      </c>
      <c r="C9732">
        <v>9</v>
      </c>
      <c r="D9732">
        <v>1</v>
      </c>
      <c r="E9732">
        <v>14960</v>
      </c>
      <c r="F9732">
        <v>39189.300000000003</v>
      </c>
      <c r="G9732">
        <v>0</v>
      </c>
      <c r="H9732">
        <v>0</v>
      </c>
      <c r="I9732">
        <v>0</v>
      </c>
      <c r="J9732">
        <v>0</v>
      </c>
      <c r="K9732">
        <v>-3369480.58</v>
      </c>
      <c r="L9732">
        <v>14840000</v>
      </c>
      <c r="M9732">
        <v>14840000</v>
      </c>
      <c r="N9732">
        <v>7857728.4100000001</v>
      </c>
      <c r="O9732">
        <v>11227208.99</v>
      </c>
      <c r="P9732">
        <v>14805000</v>
      </c>
      <c r="Q9732">
        <v>14805000</v>
      </c>
      <c r="R9732" s="14">
        <f>_xlfn.XLOOKUP(Table2[[#This Row],[LoanID]],Table1[G-L ID],Table1[ManagerCode],-99)</f>
        <v>220</v>
      </c>
      <c r="T9732"/>
    </row>
    <row r="9733" spans="1:20" x14ac:dyDescent="0.25">
      <c r="A9733">
        <v>20190930</v>
      </c>
      <c r="B9733">
        <v>2019</v>
      </c>
      <c r="C9733">
        <v>9</v>
      </c>
      <c r="D9733">
        <v>1</v>
      </c>
      <c r="E9733">
        <v>14970</v>
      </c>
      <c r="F9733">
        <v>62134.46</v>
      </c>
      <c r="G9733">
        <v>0</v>
      </c>
      <c r="H9733">
        <v>0</v>
      </c>
      <c r="I9733">
        <v>0</v>
      </c>
      <c r="J9733">
        <v>0</v>
      </c>
      <c r="K9733">
        <v>0</v>
      </c>
      <c r="L9733">
        <v>29700000</v>
      </c>
      <c r="M9733">
        <v>29700000</v>
      </c>
      <c r="N9733">
        <v>10395000</v>
      </c>
      <c r="O9733">
        <v>10395000</v>
      </c>
      <c r="P9733">
        <v>29700000</v>
      </c>
      <c r="Q9733">
        <v>29700000</v>
      </c>
      <c r="R9733" s="14">
        <f>_xlfn.XLOOKUP(Table2[[#This Row],[LoanID]],Table1[G-L ID],Table1[ManagerCode],-99)</f>
        <v>220</v>
      </c>
      <c r="T9733"/>
    </row>
    <row r="9734" spans="1:20" x14ac:dyDescent="0.25">
      <c r="A9734">
        <v>20190930</v>
      </c>
      <c r="B9734">
        <v>2019</v>
      </c>
      <c r="C9734">
        <v>9</v>
      </c>
      <c r="D9734">
        <v>1</v>
      </c>
      <c r="E9734">
        <v>14980</v>
      </c>
      <c r="F9734">
        <v>297010.42</v>
      </c>
      <c r="G9734">
        <v>0</v>
      </c>
      <c r="H9734">
        <v>0</v>
      </c>
      <c r="I9734">
        <v>0</v>
      </c>
      <c r="J9734">
        <v>0</v>
      </c>
      <c r="K9734">
        <v>0</v>
      </c>
      <c r="L9734">
        <v>75000000</v>
      </c>
      <c r="M9734">
        <v>75000000</v>
      </c>
      <c r="N9734">
        <v>22500000</v>
      </c>
      <c r="O9734">
        <v>22500000</v>
      </c>
      <c r="P9734">
        <v>75000000</v>
      </c>
      <c r="Q9734">
        <v>75000000</v>
      </c>
      <c r="R9734" s="14">
        <f>_xlfn.XLOOKUP(Table2[[#This Row],[LoanID]],Table1[G-L ID],Table1[ManagerCode],-99)</f>
        <v>220</v>
      </c>
      <c r="T9734"/>
    </row>
    <row r="9735" spans="1:20" x14ac:dyDescent="0.25">
      <c r="A9735">
        <v>20190930</v>
      </c>
      <c r="B9735">
        <v>2019</v>
      </c>
      <c r="C9735">
        <v>9</v>
      </c>
      <c r="D9735">
        <v>1</v>
      </c>
      <c r="E9735">
        <v>14990</v>
      </c>
      <c r="F9735">
        <v>111148.76</v>
      </c>
      <c r="G9735">
        <v>0</v>
      </c>
      <c r="H9735">
        <v>311525</v>
      </c>
      <c r="I9735">
        <v>0</v>
      </c>
      <c r="J9735">
        <v>-32650000</v>
      </c>
      <c r="K9735">
        <v>22855000</v>
      </c>
      <c r="L9735">
        <v>0</v>
      </c>
      <c r="M9735">
        <v>32650000</v>
      </c>
      <c r="N9735">
        <v>0</v>
      </c>
      <c r="O9735">
        <v>9795000</v>
      </c>
      <c r="P9735">
        <v>0</v>
      </c>
      <c r="Q9735">
        <v>32650000</v>
      </c>
      <c r="R9735" s="14">
        <f>_xlfn.XLOOKUP(Table2[[#This Row],[LoanID]],Table1[G-L ID],Table1[ManagerCode],-99)</f>
        <v>220</v>
      </c>
      <c r="T9735"/>
    </row>
    <row r="9736" spans="1:20" x14ac:dyDescent="0.25">
      <c r="A9736">
        <v>20190930</v>
      </c>
      <c r="B9736">
        <v>2019</v>
      </c>
      <c r="C9736">
        <v>9</v>
      </c>
      <c r="D9736">
        <v>1</v>
      </c>
      <c r="E9736">
        <v>15000</v>
      </c>
      <c r="F9736">
        <v>165681.39000000001</v>
      </c>
      <c r="G9736">
        <v>0</v>
      </c>
      <c r="H9736">
        <v>799500</v>
      </c>
      <c r="I9736">
        <v>0</v>
      </c>
      <c r="J9736">
        <v>-110000000</v>
      </c>
      <c r="K9736">
        <v>77000000</v>
      </c>
      <c r="L9736">
        <v>0</v>
      </c>
      <c r="M9736">
        <v>110000000</v>
      </c>
      <c r="N9736">
        <v>0</v>
      </c>
      <c r="O9736">
        <v>33000000</v>
      </c>
      <c r="P9736">
        <v>0</v>
      </c>
      <c r="Q9736">
        <v>110000000</v>
      </c>
      <c r="R9736" s="14">
        <f>_xlfn.XLOOKUP(Table2[[#This Row],[LoanID]],Table1[G-L ID],Table1[ManagerCode],-99)</f>
        <v>220</v>
      </c>
      <c r="T9736"/>
    </row>
    <row r="9737" spans="1:20" x14ac:dyDescent="0.25">
      <c r="A9737">
        <v>20190930</v>
      </c>
      <c r="B9737">
        <v>2019</v>
      </c>
      <c r="C9737">
        <v>9</v>
      </c>
      <c r="D9737">
        <v>1</v>
      </c>
      <c r="E9737">
        <v>15010</v>
      </c>
      <c r="F9737">
        <v>12660.06</v>
      </c>
      <c r="G9737">
        <v>0</v>
      </c>
      <c r="H9737">
        <v>270450</v>
      </c>
      <c r="I9737">
        <v>0</v>
      </c>
      <c r="J9737">
        <v>-30960000</v>
      </c>
      <c r="K9737">
        <v>20124000</v>
      </c>
      <c r="L9737">
        <v>0</v>
      </c>
      <c r="M9737">
        <v>30960000</v>
      </c>
      <c r="N9737">
        <v>0</v>
      </c>
      <c r="O9737">
        <v>10836000</v>
      </c>
      <c r="P9737">
        <v>0</v>
      </c>
      <c r="Q9737">
        <v>30960000</v>
      </c>
      <c r="R9737" s="14">
        <f>_xlfn.XLOOKUP(Table2[[#This Row],[LoanID]],Table1[G-L ID],Table1[ManagerCode],-99)</f>
        <v>220</v>
      </c>
      <c r="T9737"/>
    </row>
    <row r="9738" spans="1:20" x14ac:dyDescent="0.25">
      <c r="A9738">
        <v>20190930</v>
      </c>
      <c r="B9738">
        <v>2019</v>
      </c>
      <c r="C9738">
        <v>9</v>
      </c>
      <c r="D9738">
        <v>1</v>
      </c>
      <c r="E9738">
        <v>15020</v>
      </c>
      <c r="F9738">
        <v>166675.25</v>
      </c>
      <c r="G9738">
        <v>0</v>
      </c>
      <c r="H9738">
        <v>517500</v>
      </c>
      <c r="I9738">
        <v>0</v>
      </c>
      <c r="J9738">
        <v>-69000000</v>
      </c>
      <c r="K9738">
        <v>0</v>
      </c>
      <c r="L9738">
        <v>0</v>
      </c>
      <c r="M9738">
        <v>69000000</v>
      </c>
      <c r="N9738">
        <v>0</v>
      </c>
      <c r="O9738">
        <v>69000000</v>
      </c>
      <c r="P9738">
        <v>0</v>
      </c>
      <c r="Q9738">
        <v>69000000</v>
      </c>
      <c r="R9738" s="14">
        <f>_xlfn.XLOOKUP(Table2[[#This Row],[LoanID]],Table1[G-L ID],Table1[ManagerCode],-99)</f>
        <v>220</v>
      </c>
      <c r="T9738"/>
    </row>
    <row r="9739" spans="1:20" x14ac:dyDescent="0.25">
      <c r="A9739">
        <v>20190930</v>
      </c>
      <c r="B9739">
        <v>2019</v>
      </c>
      <c r="C9739">
        <v>9</v>
      </c>
      <c r="D9739">
        <v>1</v>
      </c>
      <c r="E9739">
        <v>15030</v>
      </c>
      <c r="F9739">
        <v>94624.47</v>
      </c>
      <c r="G9739">
        <v>0</v>
      </c>
      <c r="H9739">
        <v>0</v>
      </c>
      <c r="I9739">
        <v>0</v>
      </c>
      <c r="J9739">
        <v>-332395</v>
      </c>
      <c r="K9739">
        <v>0</v>
      </c>
      <c r="L9739">
        <v>39577842.82</v>
      </c>
      <c r="M9739">
        <v>39929268.359999999</v>
      </c>
      <c r="N9739">
        <v>14823125.41</v>
      </c>
      <c r="O9739">
        <v>15174550.949999999</v>
      </c>
      <c r="P9739">
        <v>39551747.039999999</v>
      </c>
      <c r="Q9739">
        <v>39884142.039999999</v>
      </c>
      <c r="R9739" s="14">
        <f>_xlfn.XLOOKUP(Table2[[#This Row],[LoanID]],Table1[G-L ID],Table1[ManagerCode],-99)</f>
        <v>220</v>
      </c>
      <c r="T9739"/>
    </row>
    <row r="9740" spans="1:20" x14ac:dyDescent="0.25">
      <c r="A9740">
        <v>20190930</v>
      </c>
      <c r="B9740">
        <v>2019</v>
      </c>
      <c r="C9740">
        <v>9</v>
      </c>
      <c r="D9740">
        <v>1</v>
      </c>
      <c r="E9740">
        <v>15040</v>
      </c>
      <c r="F9740">
        <v>144797.85999999999</v>
      </c>
      <c r="G9740">
        <v>0</v>
      </c>
      <c r="H9740">
        <v>0</v>
      </c>
      <c r="I9740">
        <v>0</v>
      </c>
      <c r="J9740">
        <v>0</v>
      </c>
      <c r="K9740">
        <v>33085000</v>
      </c>
      <c r="L9740">
        <v>50900000</v>
      </c>
      <c r="M9740">
        <v>50900000</v>
      </c>
      <c r="N9740">
        <v>50900000</v>
      </c>
      <c r="O9740">
        <v>17815000</v>
      </c>
      <c r="P9740">
        <v>50900000</v>
      </c>
      <c r="Q9740">
        <v>50900000</v>
      </c>
      <c r="R9740" s="14">
        <f>_xlfn.XLOOKUP(Table2[[#This Row],[LoanID]],Table1[G-L ID],Table1[ManagerCode],-99)</f>
        <v>183</v>
      </c>
      <c r="T9740"/>
    </row>
    <row r="9741" spans="1:20" x14ac:dyDescent="0.25">
      <c r="A9741">
        <v>20190930</v>
      </c>
      <c r="B9741">
        <v>2019</v>
      </c>
      <c r="C9741">
        <v>9</v>
      </c>
      <c r="D9741">
        <v>1</v>
      </c>
      <c r="E9741">
        <v>15050</v>
      </c>
      <c r="F9741">
        <v>87398.52</v>
      </c>
      <c r="G9741">
        <v>0</v>
      </c>
      <c r="H9741">
        <v>0</v>
      </c>
      <c r="I9741">
        <v>0</v>
      </c>
      <c r="J9741">
        <v>0</v>
      </c>
      <c r="K9741">
        <v>0</v>
      </c>
      <c r="L9741">
        <v>47510000</v>
      </c>
      <c r="M9741">
        <v>47510000</v>
      </c>
      <c r="N9741">
        <v>16628500</v>
      </c>
      <c r="O9741">
        <v>16628500</v>
      </c>
      <c r="P9741">
        <v>47510000</v>
      </c>
      <c r="Q9741">
        <v>47510000</v>
      </c>
      <c r="R9741" s="14">
        <f>_xlfn.XLOOKUP(Table2[[#This Row],[LoanID]],Table1[G-L ID],Table1[ManagerCode],-99)</f>
        <v>183</v>
      </c>
      <c r="T9741"/>
    </row>
    <row r="9742" spans="1:20" x14ac:dyDescent="0.25">
      <c r="A9742">
        <v>20190930</v>
      </c>
      <c r="B9742">
        <v>2019</v>
      </c>
      <c r="C9742">
        <v>9</v>
      </c>
      <c r="D9742">
        <v>1</v>
      </c>
      <c r="E9742">
        <v>15060</v>
      </c>
      <c r="F9742">
        <v>68677.919999999998</v>
      </c>
      <c r="G9742">
        <v>0</v>
      </c>
      <c r="H9742">
        <v>0</v>
      </c>
      <c r="I9742">
        <v>0</v>
      </c>
      <c r="J9742">
        <v>0</v>
      </c>
      <c r="K9742">
        <v>18037500</v>
      </c>
      <c r="L9742">
        <v>27750000</v>
      </c>
      <c r="M9742">
        <v>27750000</v>
      </c>
      <c r="N9742">
        <v>27750000</v>
      </c>
      <c r="O9742">
        <v>9712500</v>
      </c>
      <c r="P9742">
        <v>27750000</v>
      </c>
      <c r="Q9742">
        <v>27750000</v>
      </c>
      <c r="R9742" s="14">
        <f>_xlfn.XLOOKUP(Table2[[#This Row],[LoanID]],Table1[G-L ID],Table1[ManagerCode],-99)</f>
        <v>183</v>
      </c>
      <c r="T9742"/>
    </row>
    <row r="9743" spans="1:20" x14ac:dyDescent="0.25">
      <c r="A9743">
        <v>20190930</v>
      </c>
      <c r="B9743">
        <v>2019</v>
      </c>
      <c r="C9743">
        <v>9</v>
      </c>
      <c r="D9743">
        <v>1</v>
      </c>
      <c r="E9743">
        <v>15070</v>
      </c>
      <c r="F9743">
        <v>142126.54</v>
      </c>
      <c r="G9743">
        <v>0</v>
      </c>
      <c r="H9743">
        <v>0</v>
      </c>
      <c r="I9743">
        <v>0</v>
      </c>
      <c r="J9743">
        <v>0</v>
      </c>
      <c r="K9743">
        <v>54250700</v>
      </c>
      <c r="L9743">
        <v>77501000</v>
      </c>
      <c r="M9743">
        <v>77501000</v>
      </c>
      <c r="N9743">
        <v>77501000</v>
      </c>
      <c r="O9743">
        <v>23250300</v>
      </c>
      <c r="P9743">
        <v>77501000</v>
      </c>
      <c r="Q9743">
        <v>77501000</v>
      </c>
      <c r="R9743" s="14">
        <f>_xlfn.XLOOKUP(Table2[[#This Row],[LoanID]],Table1[G-L ID],Table1[ManagerCode],-99)</f>
        <v>183</v>
      </c>
      <c r="T9743"/>
    </row>
    <row r="9744" spans="1:20" x14ac:dyDescent="0.25">
      <c r="A9744">
        <v>20190930</v>
      </c>
      <c r="B9744">
        <v>2019</v>
      </c>
      <c r="C9744">
        <v>9</v>
      </c>
      <c r="D9744">
        <v>1</v>
      </c>
      <c r="E9744">
        <v>15540</v>
      </c>
      <c r="F9744">
        <v>285932.42</v>
      </c>
      <c r="G9744">
        <v>-8943.2000000000007</v>
      </c>
      <c r="H9744">
        <v>0</v>
      </c>
      <c r="I9744">
        <v>-2601.75</v>
      </c>
      <c r="J9744">
        <v>-904465.83</v>
      </c>
      <c r="K9744">
        <v>0</v>
      </c>
      <c r="L9744">
        <v>61665876.670000002</v>
      </c>
      <c r="M9744">
        <v>62561399.299999997</v>
      </c>
      <c r="N9744">
        <v>61665876.670000002</v>
      </c>
      <c r="O9744">
        <v>62561399.299999997</v>
      </c>
      <c r="P9744">
        <v>61665876.670000002</v>
      </c>
      <c r="Q9744">
        <v>62561399.299999997</v>
      </c>
      <c r="R9744" s="14">
        <f>_xlfn.XLOOKUP(Table2[[#This Row],[LoanID]],Table1[G-L ID],Table1[ManagerCode],-99)</f>
        <v>212</v>
      </c>
      <c r="T9744"/>
    </row>
    <row r="9745" spans="1:20" x14ac:dyDescent="0.25">
      <c r="A9745">
        <v>20190930</v>
      </c>
      <c r="B9745">
        <v>2019</v>
      </c>
      <c r="C9745">
        <v>9</v>
      </c>
      <c r="D9745">
        <v>1</v>
      </c>
      <c r="E9745">
        <v>15560</v>
      </c>
      <c r="F9745">
        <v>281148.78999999998</v>
      </c>
      <c r="G9745">
        <v>-12743.8</v>
      </c>
      <c r="H9745">
        <v>0</v>
      </c>
      <c r="I9745">
        <v>0</v>
      </c>
      <c r="J9745">
        <v>0</v>
      </c>
      <c r="K9745">
        <v>0</v>
      </c>
      <c r="L9745">
        <v>49660678.369999997</v>
      </c>
      <c r="M9745">
        <v>49647934.57</v>
      </c>
      <c r="N9745">
        <v>49660678.369999997</v>
      </c>
      <c r="O9745">
        <v>49647934.57</v>
      </c>
      <c r="P9745">
        <v>49660678.369999997</v>
      </c>
      <c r="Q9745">
        <v>49647934.57</v>
      </c>
      <c r="R9745" s="14">
        <f>_xlfn.XLOOKUP(Table2[[#This Row],[LoanID]],Table1[G-L ID],Table1[ManagerCode],-99)</f>
        <v>212</v>
      </c>
      <c r="T9745"/>
    </row>
    <row r="9746" spans="1:20" x14ac:dyDescent="0.25">
      <c r="A9746">
        <v>20190930</v>
      </c>
      <c r="B9746">
        <v>2019</v>
      </c>
      <c r="C9746">
        <v>9</v>
      </c>
      <c r="D9746">
        <v>1</v>
      </c>
      <c r="E9746">
        <v>15580</v>
      </c>
      <c r="F9746">
        <v>114742.57</v>
      </c>
      <c r="G9746">
        <v>-3768.11</v>
      </c>
      <c r="H9746">
        <v>0</v>
      </c>
      <c r="I9746">
        <v>0</v>
      </c>
      <c r="J9746">
        <v>0</v>
      </c>
      <c r="K9746">
        <v>8658.74</v>
      </c>
      <c r="L9746">
        <v>14520087.369999999</v>
      </c>
      <c r="M9746">
        <v>14507660.52</v>
      </c>
      <c r="N9746">
        <v>14520087.369999999</v>
      </c>
      <c r="O9746">
        <v>14507660.52</v>
      </c>
      <c r="P9746">
        <v>14520087.369999999</v>
      </c>
      <c r="Q9746">
        <v>14507660.52</v>
      </c>
      <c r="R9746" s="14">
        <f>_xlfn.XLOOKUP(Table2[[#This Row],[LoanID]],Table1[G-L ID],Table1[ManagerCode],-99)</f>
        <v>212</v>
      </c>
      <c r="T9746"/>
    </row>
    <row r="9747" spans="1:20" x14ac:dyDescent="0.25">
      <c r="A9747">
        <v>20190930</v>
      </c>
      <c r="B9747">
        <v>2019</v>
      </c>
      <c r="C9747">
        <v>9</v>
      </c>
      <c r="D9747">
        <v>1</v>
      </c>
      <c r="E9747">
        <v>15590</v>
      </c>
      <c r="F9747">
        <v>400926.53</v>
      </c>
      <c r="G9747">
        <v>-15876.51</v>
      </c>
      <c r="H9747">
        <v>0</v>
      </c>
      <c r="I9747">
        <v>-4459.7</v>
      </c>
      <c r="J9747">
        <v>0</v>
      </c>
      <c r="K9747">
        <v>0</v>
      </c>
      <c r="L9747">
        <v>103980926.5</v>
      </c>
      <c r="M9747">
        <v>103965050</v>
      </c>
      <c r="N9747">
        <v>103980926.5</v>
      </c>
      <c r="O9747">
        <v>103965050</v>
      </c>
      <c r="P9747">
        <v>103980926.5</v>
      </c>
      <c r="Q9747">
        <v>103965050</v>
      </c>
      <c r="R9747" s="14">
        <f>_xlfn.XLOOKUP(Table2[[#This Row],[LoanID]],Table1[G-L ID],Table1[ManagerCode],-99)</f>
        <v>212</v>
      </c>
      <c r="T9747"/>
    </row>
    <row r="9748" spans="1:20" x14ac:dyDescent="0.25">
      <c r="A9748">
        <v>20190930</v>
      </c>
      <c r="B9748">
        <v>2019</v>
      </c>
      <c r="C9748">
        <v>9</v>
      </c>
      <c r="D9748">
        <v>1</v>
      </c>
      <c r="E9748">
        <v>15610</v>
      </c>
      <c r="F9748">
        <v>939270.11</v>
      </c>
      <c r="G9748">
        <v>-57784.69</v>
      </c>
      <c r="H9748">
        <v>0</v>
      </c>
      <c r="I9748">
        <v>-9402.1</v>
      </c>
      <c r="J9748">
        <v>-1670653.63</v>
      </c>
      <c r="K9748">
        <v>0</v>
      </c>
      <c r="L9748">
        <v>219641883</v>
      </c>
      <c r="M9748">
        <v>221254751.90000001</v>
      </c>
      <c r="N9748">
        <v>219641883</v>
      </c>
      <c r="O9748">
        <v>221254751.90000001</v>
      </c>
      <c r="P9748">
        <v>219641883</v>
      </c>
      <c r="Q9748">
        <v>221254751.90000001</v>
      </c>
      <c r="R9748" s="14">
        <f>_xlfn.XLOOKUP(Table2[[#This Row],[LoanID]],Table1[G-L ID],Table1[ManagerCode],-99)</f>
        <v>212</v>
      </c>
      <c r="T9748"/>
    </row>
    <row r="9749" spans="1:20" x14ac:dyDescent="0.25">
      <c r="A9749">
        <v>20190930</v>
      </c>
      <c r="B9749">
        <v>2019</v>
      </c>
      <c r="C9749">
        <v>9</v>
      </c>
      <c r="D9749">
        <v>1</v>
      </c>
      <c r="E9749">
        <v>15620</v>
      </c>
      <c r="F9749">
        <v>346315.53</v>
      </c>
      <c r="G9749">
        <v>-12098.96</v>
      </c>
      <c r="H9749">
        <v>0</v>
      </c>
      <c r="I9749">
        <v>-3398.58</v>
      </c>
      <c r="J9749">
        <v>0</v>
      </c>
      <c r="K9749">
        <v>0</v>
      </c>
      <c r="L9749">
        <v>79281127.939999998</v>
      </c>
      <c r="M9749">
        <v>79269028.980000004</v>
      </c>
      <c r="N9749">
        <v>79281127.939999998</v>
      </c>
      <c r="O9749">
        <v>79269028.980000004</v>
      </c>
      <c r="P9749">
        <v>79281127.939999998</v>
      </c>
      <c r="Q9749">
        <v>79269028.980000004</v>
      </c>
      <c r="R9749" s="14">
        <f>_xlfn.XLOOKUP(Table2[[#This Row],[LoanID]],Table1[G-L ID],Table1[ManagerCode],-99)</f>
        <v>212</v>
      </c>
      <c r="T9749"/>
    </row>
    <row r="9750" spans="1:20" x14ac:dyDescent="0.25">
      <c r="A9750">
        <v>20190930</v>
      </c>
      <c r="B9750">
        <v>2019</v>
      </c>
      <c r="C9750">
        <v>9</v>
      </c>
      <c r="D9750">
        <v>1</v>
      </c>
      <c r="E9750">
        <v>15630</v>
      </c>
      <c r="F9750">
        <v>352582.37</v>
      </c>
      <c r="G9750">
        <v>169033.47</v>
      </c>
      <c r="H9750">
        <v>0</v>
      </c>
      <c r="I9750">
        <v>-3676.56</v>
      </c>
      <c r="J9750">
        <v>-18403973</v>
      </c>
      <c r="K9750">
        <v>0</v>
      </c>
      <c r="L9750">
        <v>116627930.40000001</v>
      </c>
      <c r="M9750">
        <v>135200936.80000001</v>
      </c>
      <c r="N9750">
        <v>116627930.40000001</v>
      </c>
      <c r="O9750">
        <v>135200936.80000001</v>
      </c>
      <c r="P9750">
        <v>116627930.40000001</v>
      </c>
      <c r="Q9750">
        <v>135200936.80000001</v>
      </c>
      <c r="R9750" s="14">
        <f>_xlfn.XLOOKUP(Table2[[#This Row],[LoanID]],Table1[G-L ID],Table1[ManagerCode],-99)</f>
        <v>212</v>
      </c>
      <c r="T9750"/>
    </row>
    <row r="9751" spans="1:20" x14ac:dyDescent="0.25">
      <c r="A9751">
        <v>20190930</v>
      </c>
      <c r="B9751">
        <v>2019</v>
      </c>
      <c r="C9751">
        <v>9</v>
      </c>
      <c r="D9751">
        <v>1</v>
      </c>
      <c r="E9751">
        <v>15670</v>
      </c>
      <c r="F9751">
        <v>21775.93</v>
      </c>
      <c r="G9751">
        <v>0</v>
      </c>
      <c r="H9751">
        <v>0</v>
      </c>
      <c r="I9751">
        <v>0</v>
      </c>
      <c r="J9751">
        <v>-1252789.83</v>
      </c>
      <c r="K9751">
        <v>0</v>
      </c>
      <c r="L9751">
        <v>6086732.5800000001</v>
      </c>
      <c r="M9751">
        <v>7339522.4100000001</v>
      </c>
      <c r="N9751">
        <v>6086732.5800000001</v>
      </c>
      <c r="O9751">
        <v>7339522.4100000001</v>
      </c>
      <c r="P9751">
        <v>6086732.5800000001</v>
      </c>
      <c r="Q9751">
        <v>7339522.4100000001</v>
      </c>
      <c r="R9751" s="14">
        <f>_xlfn.XLOOKUP(Table2[[#This Row],[LoanID]],Table1[G-L ID],Table1[ManagerCode],-99)</f>
        <v>103</v>
      </c>
      <c r="T9751"/>
    </row>
    <row r="9752" spans="1:20" x14ac:dyDescent="0.25">
      <c r="A9752">
        <v>20190930</v>
      </c>
      <c r="B9752">
        <v>2019</v>
      </c>
      <c r="C9752">
        <v>9</v>
      </c>
      <c r="D9752">
        <v>1</v>
      </c>
      <c r="E9752">
        <v>15680</v>
      </c>
      <c r="F9752">
        <v>0</v>
      </c>
      <c r="G9752">
        <v>0</v>
      </c>
      <c r="H9752">
        <v>0</v>
      </c>
      <c r="I9752">
        <v>0</v>
      </c>
      <c r="J9752">
        <v>-65000000</v>
      </c>
      <c r="K9752">
        <v>0</v>
      </c>
      <c r="L9752">
        <v>0</v>
      </c>
      <c r="M9752">
        <v>65000000</v>
      </c>
      <c r="N9752">
        <v>0</v>
      </c>
      <c r="O9752">
        <v>65000000</v>
      </c>
      <c r="P9752">
        <v>0</v>
      </c>
      <c r="Q9752">
        <v>65000000</v>
      </c>
      <c r="R9752" s="14">
        <f>_xlfn.XLOOKUP(Table2[[#This Row],[LoanID]],Table1[G-L ID],Table1[ManagerCode],-99)</f>
        <v>103</v>
      </c>
      <c r="T9752"/>
    </row>
    <row r="9753" spans="1:20" x14ac:dyDescent="0.25">
      <c r="A9753">
        <v>20190930</v>
      </c>
      <c r="B9753">
        <v>2019</v>
      </c>
      <c r="C9753">
        <v>9</v>
      </c>
      <c r="D9753">
        <v>1</v>
      </c>
      <c r="E9753">
        <v>15800</v>
      </c>
      <c r="F9753">
        <v>420868.05</v>
      </c>
      <c r="G9753">
        <v>-13576.39</v>
      </c>
      <c r="H9753">
        <v>0</v>
      </c>
      <c r="I9753">
        <v>-731.94</v>
      </c>
      <c r="J9753">
        <v>0</v>
      </c>
      <c r="K9753">
        <v>0</v>
      </c>
      <c r="L9753">
        <v>85420868.060000002</v>
      </c>
      <c r="M9753">
        <v>85407291.670000002</v>
      </c>
      <c r="N9753">
        <v>85420868.060000002</v>
      </c>
      <c r="O9753">
        <v>85407291.670000002</v>
      </c>
      <c r="P9753">
        <v>85420868.060000002</v>
      </c>
      <c r="Q9753">
        <v>85407291.670000002</v>
      </c>
      <c r="R9753" s="14">
        <f>_xlfn.XLOOKUP(Table2[[#This Row],[LoanID]],Table1[G-L ID],Table1[ManagerCode],-99)</f>
        <v>212</v>
      </c>
      <c r="T9753"/>
    </row>
    <row r="9754" spans="1:20" x14ac:dyDescent="0.25">
      <c r="A9754">
        <v>20191031</v>
      </c>
      <c r="B9754">
        <v>2019</v>
      </c>
      <c r="C9754">
        <v>10</v>
      </c>
      <c r="D9754">
        <v>1</v>
      </c>
      <c r="E9754">
        <v>10050</v>
      </c>
      <c r="F9754">
        <v>149013.89000000001</v>
      </c>
      <c r="G9754">
        <v>0</v>
      </c>
      <c r="H9754">
        <v>0</v>
      </c>
      <c r="I9754">
        <v>-69.45</v>
      </c>
      <c r="J9754">
        <v>0</v>
      </c>
      <c r="K9754">
        <v>0</v>
      </c>
      <c r="L9754">
        <v>37376961</v>
      </c>
      <c r="M9754">
        <v>37408514</v>
      </c>
      <c r="N9754">
        <v>37376961</v>
      </c>
      <c r="O9754">
        <v>37408514</v>
      </c>
      <c r="P9754">
        <v>33333334</v>
      </c>
      <c r="Q9754">
        <v>33333334</v>
      </c>
      <c r="R9754" s="14">
        <f>_xlfn.XLOOKUP(Table2[[#This Row],[LoanID]],Table1[G-L ID],Table1[ManagerCode],-99)</f>
        <v>103</v>
      </c>
      <c r="T9754"/>
    </row>
    <row r="9755" spans="1:20" x14ac:dyDescent="0.25">
      <c r="A9755">
        <v>20191031</v>
      </c>
      <c r="B9755">
        <v>2019</v>
      </c>
      <c r="C9755">
        <v>10</v>
      </c>
      <c r="D9755">
        <v>1</v>
      </c>
      <c r="E9755">
        <v>10220</v>
      </c>
      <c r="F9755">
        <v>541666.67000000004</v>
      </c>
      <c r="G9755">
        <v>0</v>
      </c>
      <c r="H9755">
        <v>0</v>
      </c>
      <c r="I9755">
        <v>0</v>
      </c>
      <c r="J9755">
        <v>0</v>
      </c>
      <c r="K9755">
        <v>0</v>
      </c>
      <c r="L9755">
        <v>109183552</v>
      </c>
      <c r="M9755">
        <v>109130107</v>
      </c>
      <c r="N9755">
        <v>109183552</v>
      </c>
      <c r="O9755">
        <v>109130107</v>
      </c>
      <c r="P9755">
        <v>100000000</v>
      </c>
      <c r="Q9755">
        <v>100000000</v>
      </c>
      <c r="R9755" s="14">
        <f>_xlfn.XLOOKUP(Table2[[#This Row],[LoanID]],Table1[G-L ID],Table1[ManagerCode],-99)</f>
        <v>103</v>
      </c>
      <c r="T9755"/>
    </row>
    <row r="9756" spans="1:20" x14ac:dyDescent="0.25">
      <c r="A9756">
        <v>20191031</v>
      </c>
      <c r="B9756">
        <v>2019</v>
      </c>
      <c r="C9756">
        <v>10</v>
      </c>
      <c r="D9756">
        <v>1</v>
      </c>
      <c r="E9756">
        <v>10790</v>
      </c>
      <c r="F9756">
        <v>18672.18</v>
      </c>
      <c r="G9756">
        <v>0</v>
      </c>
      <c r="H9756">
        <v>0</v>
      </c>
      <c r="I9756">
        <v>0</v>
      </c>
      <c r="J9756">
        <v>0</v>
      </c>
      <c r="K9756">
        <v>50796.07</v>
      </c>
      <c r="L9756">
        <v>4031092</v>
      </c>
      <c r="M9756">
        <v>3976570</v>
      </c>
      <c r="N9756">
        <v>4031092</v>
      </c>
      <c r="O9756">
        <v>3976570</v>
      </c>
      <c r="P9756">
        <v>3986942.07</v>
      </c>
      <c r="Q9756">
        <v>3936146</v>
      </c>
      <c r="R9756" s="14">
        <f>_xlfn.XLOOKUP(Table2[[#This Row],[LoanID]],Table1[G-L ID],Table1[ManagerCode],-99)</f>
        <v>103</v>
      </c>
      <c r="T9756"/>
    </row>
    <row r="9757" spans="1:20" x14ac:dyDescent="0.25">
      <c r="A9757">
        <v>20191031</v>
      </c>
      <c r="B9757">
        <v>2019</v>
      </c>
      <c r="C9757">
        <v>10</v>
      </c>
      <c r="D9757">
        <v>1</v>
      </c>
      <c r="E9757">
        <v>11340</v>
      </c>
      <c r="F9757">
        <v>273321.5</v>
      </c>
      <c r="G9757">
        <v>0</v>
      </c>
      <c r="H9757">
        <v>0</v>
      </c>
      <c r="I9757">
        <v>0</v>
      </c>
      <c r="J9757">
        <v>0</v>
      </c>
      <c r="K9757">
        <v>78578.37</v>
      </c>
      <c r="L9757">
        <v>51494353</v>
      </c>
      <c r="M9757">
        <v>51366377</v>
      </c>
      <c r="N9757">
        <v>51494353</v>
      </c>
      <c r="O9757">
        <v>51366377</v>
      </c>
      <c r="P9757">
        <v>46855115.039999999</v>
      </c>
      <c r="Q9757">
        <v>46776536.670000002</v>
      </c>
      <c r="R9757" s="14">
        <f>_xlfn.XLOOKUP(Table2[[#This Row],[LoanID]],Table1[G-L ID],Table1[ManagerCode],-99)</f>
        <v>103</v>
      </c>
      <c r="T9757"/>
    </row>
    <row r="9758" spans="1:20" x14ac:dyDescent="0.25">
      <c r="A9758">
        <v>20191031</v>
      </c>
      <c r="B9758">
        <v>2019</v>
      </c>
      <c r="C9758">
        <v>10</v>
      </c>
      <c r="D9758">
        <v>1</v>
      </c>
      <c r="E9758">
        <v>11680</v>
      </c>
      <c r="F9758">
        <v>50325.78</v>
      </c>
      <c r="G9758">
        <v>0</v>
      </c>
      <c r="H9758">
        <v>0</v>
      </c>
      <c r="I9758">
        <v>0</v>
      </c>
      <c r="J9758">
        <v>0</v>
      </c>
      <c r="K9758">
        <v>0</v>
      </c>
      <c r="L9758">
        <v>6600000</v>
      </c>
      <c r="M9758">
        <v>6600000</v>
      </c>
      <c r="N9758">
        <v>6600000</v>
      </c>
      <c r="O9758">
        <v>6600000</v>
      </c>
      <c r="P9758">
        <v>6600000</v>
      </c>
      <c r="Q9758">
        <v>6600000</v>
      </c>
      <c r="R9758" s="14">
        <f>_xlfn.XLOOKUP(Table2[[#This Row],[LoanID]],Table1[G-L ID],Table1[ManagerCode],-99)</f>
        <v>183</v>
      </c>
      <c r="T9758"/>
    </row>
    <row r="9759" spans="1:20" x14ac:dyDescent="0.25">
      <c r="A9759">
        <v>20191031</v>
      </c>
      <c r="B9759">
        <v>2019</v>
      </c>
      <c r="C9759">
        <v>10</v>
      </c>
      <c r="D9759">
        <v>1</v>
      </c>
      <c r="E9759">
        <v>12180</v>
      </c>
      <c r="F9759">
        <v>0</v>
      </c>
      <c r="G9759">
        <v>0</v>
      </c>
      <c r="H9759">
        <v>0</v>
      </c>
      <c r="I9759">
        <v>0</v>
      </c>
      <c r="J9759">
        <v>0</v>
      </c>
      <c r="K9759">
        <v>0</v>
      </c>
      <c r="L9759">
        <v>1</v>
      </c>
      <c r="M9759">
        <v>1</v>
      </c>
      <c r="N9759">
        <v>1</v>
      </c>
      <c r="O9759">
        <v>1</v>
      </c>
      <c r="P9759">
        <v>31963806.68</v>
      </c>
      <c r="Q9759">
        <v>31963806.68</v>
      </c>
      <c r="R9759" s="14">
        <f>_xlfn.XLOOKUP(Table2[[#This Row],[LoanID]],Table1[G-L ID],Table1[ManagerCode],-99)</f>
        <v>220</v>
      </c>
      <c r="T9759"/>
    </row>
    <row r="9760" spans="1:20" x14ac:dyDescent="0.25">
      <c r="A9760">
        <v>20191031</v>
      </c>
      <c r="B9760">
        <v>2019</v>
      </c>
      <c r="C9760">
        <v>10</v>
      </c>
      <c r="D9760">
        <v>1</v>
      </c>
      <c r="E9760">
        <v>12220</v>
      </c>
      <c r="F9760">
        <v>190836.77</v>
      </c>
      <c r="G9760">
        <v>0</v>
      </c>
      <c r="H9760">
        <v>0</v>
      </c>
      <c r="I9760">
        <v>0</v>
      </c>
      <c r="J9760">
        <v>0</v>
      </c>
      <c r="K9760">
        <v>0</v>
      </c>
      <c r="L9760">
        <v>54500000</v>
      </c>
      <c r="M9760">
        <v>54500000</v>
      </c>
      <c r="N9760">
        <v>27250000</v>
      </c>
      <c r="O9760">
        <v>27250000</v>
      </c>
      <c r="P9760">
        <v>54500000</v>
      </c>
      <c r="Q9760">
        <v>54500000</v>
      </c>
      <c r="R9760" s="14">
        <f>_xlfn.XLOOKUP(Table2[[#This Row],[LoanID]],Table1[G-L ID],Table1[ManagerCode],-99)</f>
        <v>183</v>
      </c>
      <c r="T9760"/>
    </row>
    <row r="9761" spans="1:20" x14ac:dyDescent="0.25">
      <c r="A9761">
        <v>20191031</v>
      </c>
      <c r="B9761">
        <v>2019</v>
      </c>
      <c r="C9761">
        <v>10</v>
      </c>
      <c r="D9761">
        <v>1</v>
      </c>
      <c r="E9761">
        <v>12340</v>
      </c>
      <c r="F9761">
        <v>57967.63</v>
      </c>
      <c r="G9761">
        <v>0</v>
      </c>
      <c r="H9761">
        <v>0</v>
      </c>
      <c r="I9761">
        <v>0</v>
      </c>
      <c r="J9761">
        <v>0</v>
      </c>
      <c r="K9761">
        <v>0</v>
      </c>
      <c r="L9761">
        <v>24180000</v>
      </c>
      <c r="M9761">
        <v>24180000</v>
      </c>
      <c r="N9761">
        <v>12180000</v>
      </c>
      <c r="O9761">
        <v>12180000</v>
      </c>
      <c r="P9761">
        <v>24180000</v>
      </c>
      <c r="Q9761">
        <v>24180000</v>
      </c>
      <c r="R9761" s="14">
        <f>_xlfn.XLOOKUP(Table2[[#This Row],[LoanID]],Table1[G-L ID],Table1[ManagerCode],-99)</f>
        <v>183</v>
      </c>
      <c r="T9761"/>
    </row>
    <row r="9762" spans="1:20" x14ac:dyDescent="0.25">
      <c r="A9762">
        <v>20191031</v>
      </c>
      <c r="B9762">
        <v>2019</v>
      </c>
      <c r="C9762">
        <v>10</v>
      </c>
      <c r="D9762">
        <v>1</v>
      </c>
      <c r="E9762">
        <v>12350</v>
      </c>
      <c r="F9762">
        <v>77163.47</v>
      </c>
      <c r="G9762">
        <v>0</v>
      </c>
      <c r="H9762">
        <v>0</v>
      </c>
      <c r="I9762">
        <v>0</v>
      </c>
      <c r="J9762">
        <v>0</v>
      </c>
      <c r="K9762">
        <v>0</v>
      </c>
      <c r="L9762">
        <v>78700000</v>
      </c>
      <c r="M9762">
        <v>78700000</v>
      </c>
      <c r="N9762">
        <v>40914236.340000004</v>
      </c>
      <c r="O9762">
        <v>40914236.340000004</v>
      </c>
      <c r="P9762">
        <v>78700000</v>
      </c>
      <c r="Q9762">
        <v>78700000</v>
      </c>
      <c r="R9762" s="14">
        <f>_xlfn.XLOOKUP(Table2[[#This Row],[LoanID]],Table1[G-L ID],Table1[ManagerCode],-99)</f>
        <v>183</v>
      </c>
      <c r="T9762"/>
    </row>
    <row r="9763" spans="1:20" x14ac:dyDescent="0.25">
      <c r="A9763">
        <v>20191031</v>
      </c>
      <c r="B9763">
        <v>2019</v>
      </c>
      <c r="C9763">
        <v>10</v>
      </c>
      <c r="D9763">
        <v>1</v>
      </c>
      <c r="E9763">
        <v>12360</v>
      </c>
      <c r="F9763">
        <v>120176.78</v>
      </c>
      <c r="G9763">
        <v>0</v>
      </c>
      <c r="H9763">
        <v>402000</v>
      </c>
      <c r="I9763">
        <v>0</v>
      </c>
      <c r="J9763">
        <v>0</v>
      </c>
      <c r="K9763">
        <v>19000000</v>
      </c>
      <c r="L9763">
        <v>60000000</v>
      </c>
      <c r="M9763">
        <v>0</v>
      </c>
      <c r="N9763">
        <v>19000000</v>
      </c>
      <c r="O9763">
        <v>0</v>
      </c>
      <c r="P9763">
        <v>60000000</v>
      </c>
      <c r="Q9763">
        <v>0</v>
      </c>
      <c r="R9763" s="14">
        <f>_xlfn.XLOOKUP(Table2[[#This Row],[LoanID]],Table1[G-L ID],Table1[ManagerCode],-99)</f>
        <v>183</v>
      </c>
      <c r="T9763"/>
    </row>
    <row r="9764" spans="1:20" x14ac:dyDescent="0.25">
      <c r="A9764">
        <v>20191031</v>
      </c>
      <c r="B9764">
        <v>2019</v>
      </c>
      <c r="C9764">
        <v>10</v>
      </c>
      <c r="D9764">
        <v>1</v>
      </c>
      <c r="E9764">
        <v>12370</v>
      </c>
      <c r="F9764">
        <v>218038.53</v>
      </c>
      <c r="G9764">
        <v>0</v>
      </c>
      <c r="H9764">
        <v>0</v>
      </c>
      <c r="I9764">
        <v>0</v>
      </c>
      <c r="J9764">
        <v>0</v>
      </c>
      <c r="K9764">
        <v>0</v>
      </c>
      <c r="L9764">
        <v>81600000</v>
      </c>
      <c r="M9764">
        <v>81600000</v>
      </c>
      <c r="N9764">
        <v>36461538.549999997</v>
      </c>
      <c r="O9764">
        <v>36461538.549999997</v>
      </c>
      <c r="P9764">
        <v>81600000</v>
      </c>
      <c r="Q9764">
        <v>81600000</v>
      </c>
      <c r="R9764" s="14">
        <f>_xlfn.XLOOKUP(Table2[[#This Row],[LoanID]],Table1[G-L ID],Table1[ManagerCode],-99)</f>
        <v>183</v>
      </c>
      <c r="T9764"/>
    </row>
    <row r="9765" spans="1:20" x14ac:dyDescent="0.25">
      <c r="A9765">
        <v>20191031</v>
      </c>
      <c r="B9765">
        <v>2019</v>
      </c>
      <c r="C9765">
        <v>10</v>
      </c>
      <c r="D9765">
        <v>1</v>
      </c>
      <c r="E9765">
        <v>12380</v>
      </c>
      <c r="F9765">
        <v>230584.42</v>
      </c>
      <c r="G9765">
        <v>0</v>
      </c>
      <c r="H9765">
        <v>0</v>
      </c>
      <c r="I9765">
        <v>0</v>
      </c>
      <c r="J9765">
        <v>0</v>
      </c>
      <c r="K9765">
        <v>0</v>
      </c>
      <c r="L9765">
        <v>32500000</v>
      </c>
      <c r="M9765">
        <v>32500000</v>
      </c>
      <c r="N9765">
        <v>12350000</v>
      </c>
      <c r="O9765">
        <v>12350000</v>
      </c>
      <c r="P9765">
        <v>32500000</v>
      </c>
      <c r="Q9765">
        <v>32500000</v>
      </c>
      <c r="R9765" s="14">
        <f>_xlfn.XLOOKUP(Table2[[#This Row],[LoanID]],Table1[G-L ID],Table1[ManagerCode],-99)</f>
        <v>183</v>
      </c>
      <c r="T9765"/>
    </row>
    <row r="9766" spans="1:20" x14ac:dyDescent="0.25">
      <c r="A9766">
        <v>20191031</v>
      </c>
      <c r="B9766">
        <v>2019</v>
      </c>
      <c r="C9766">
        <v>10</v>
      </c>
      <c r="D9766">
        <v>1</v>
      </c>
      <c r="E9766">
        <v>12390</v>
      </c>
      <c r="F9766">
        <v>1090313.1499999999</v>
      </c>
      <c r="G9766">
        <v>597613.75</v>
      </c>
      <c r="H9766">
        <v>0</v>
      </c>
      <c r="I9766">
        <v>0</v>
      </c>
      <c r="J9766">
        <v>-255103.68</v>
      </c>
      <c r="K9766">
        <v>0</v>
      </c>
      <c r="L9766">
        <v>153440304.30000001</v>
      </c>
      <c r="M9766">
        <v>154293021.69999999</v>
      </c>
      <c r="N9766">
        <v>153440304.30000001</v>
      </c>
      <c r="O9766">
        <v>154293021.69999999</v>
      </c>
      <c r="P9766">
        <v>153440304.30000001</v>
      </c>
      <c r="Q9766">
        <v>154293021.69999999</v>
      </c>
      <c r="R9766" s="14">
        <f>_xlfn.XLOOKUP(Table2[[#This Row],[LoanID]],Table1[G-L ID],Table1[ManagerCode],-99)</f>
        <v>183</v>
      </c>
      <c r="T9766"/>
    </row>
    <row r="9767" spans="1:20" x14ac:dyDescent="0.25">
      <c r="A9767">
        <v>20191031</v>
      </c>
      <c r="B9767">
        <v>2019</v>
      </c>
      <c r="C9767">
        <v>10</v>
      </c>
      <c r="D9767">
        <v>1</v>
      </c>
      <c r="E9767">
        <v>12400</v>
      </c>
      <c r="F9767">
        <v>303666.18</v>
      </c>
      <c r="G9767">
        <v>135848.45000000001</v>
      </c>
      <c r="H9767">
        <v>0</v>
      </c>
      <c r="I9767">
        <v>0</v>
      </c>
      <c r="J9767">
        <v>-2641774.54</v>
      </c>
      <c r="K9767">
        <v>0</v>
      </c>
      <c r="L9767">
        <v>56413447.460000001</v>
      </c>
      <c r="M9767">
        <v>59191070.450000003</v>
      </c>
      <c r="N9767">
        <v>56413447.460000001</v>
      </c>
      <c r="O9767">
        <v>59191070.450000003</v>
      </c>
      <c r="P9767">
        <v>56413447.460000001</v>
      </c>
      <c r="Q9767">
        <v>59191070.450000003</v>
      </c>
      <c r="R9767" s="14">
        <f>_xlfn.XLOOKUP(Table2[[#This Row],[LoanID]],Table1[G-L ID],Table1[ManagerCode],-99)</f>
        <v>183</v>
      </c>
      <c r="T9767"/>
    </row>
    <row r="9768" spans="1:20" x14ac:dyDescent="0.25">
      <c r="A9768">
        <v>20191031</v>
      </c>
      <c r="B9768">
        <v>2019</v>
      </c>
      <c r="C9768">
        <v>10</v>
      </c>
      <c r="D9768">
        <v>1</v>
      </c>
      <c r="E9768">
        <v>12410</v>
      </c>
      <c r="F9768">
        <v>250000</v>
      </c>
      <c r="G9768">
        <v>125000</v>
      </c>
      <c r="H9768">
        <v>0</v>
      </c>
      <c r="I9768">
        <v>0</v>
      </c>
      <c r="J9768">
        <v>0</v>
      </c>
      <c r="K9768">
        <v>0</v>
      </c>
      <c r="L9768">
        <v>59848807.539999999</v>
      </c>
      <c r="M9768">
        <v>59973807.539999999</v>
      </c>
      <c r="N9768">
        <v>59848807.539999999</v>
      </c>
      <c r="O9768">
        <v>59973807.539999999</v>
      </c>
      <c r="P9768">
        <v>66129789.659999996</v>
      </c>
      <c r="Q9768">
        <v>66254789.659999996</v>
      </c>
      <c r="R9768" s="14">
        <f>_xlfn.XLOOKUP(Table2[[#This Row],[LoanID]],Table1[G-L ID],Table1[ManagerCode],-99)</f>
        <v>103</v>
      </c>
      <c r="T9768"/>
    </row>
    <row r="9769" spans="1:20" x14ac:dyDescent="0.25">
      <c r="A9769">
        <v>20191031</v>
      </c>
      <c r="B9769">
        <v>2019</v>
      </c>
      <c r="C9769">
        <v>10</v>
      </c>
      <c r="D9769">
        <v>1</v>
      </c>
      <c r="E9769">
        <v>12430</v>
      </c>
      <c r="F9769">
        <v>90420.62</v>
      </c>
      <c r="G9769">
        <v>405542.49</v>
      </c>
      <c r="H9769">
        <v>0</v>
      </c>
      <c r="I9769">
        <v>0</v>
      </c>
      <c r="J9769">
        <v>-90420.62</v>
      </c>
      <c r="K9769">
        <v>0</v>
      </c>
      <c r="L9769">
        <v>25769877</v>
      </c>
      <c r="M9769">
        <v>26241041</v>
      </c>
      <c r="N9769">
        <v>25769877</v>
      </c>
      <c r="O9769">
        <v>26241041</v>
      </c>
      <c r="P9769">
        <v>27126186.23</v>
      </c>
      <c r="Q9769">
        <v>27622149.34</v>
      </c>
      <c r="R9769" s="14">
        <f>_xlfn.XLOOKUP(Table2[[#This Row],[LoanID]],Table1[G-L ID],Table1[ManagerCode],-99)</f>
        <v>103</v>
      </c>
      <c r="T9769"/>
    </row>
    <row r="9770" spans="1:20" x14ac:dyDescent="0.25">
      <c r="A9770">
        <v>20191031</v>
      </c>
      <c r="B9770">
        <v>2019</v>
      </c>
      <c r="C9770">
        <v>10</v>
      </c>
      <c r="D9770">
        <v>1</v>
      </c>
      <c r="E9770">
        <v>12440</v>
      </c>
      <c r="F9770">
        <v>25502.21</v>
      </c>
      <c r="G9770">
        <v>0</v>
      </c>
      <c r="H9770">
        <v>0</v>
      </c>
      <c r="I9770">
        <v>0</v>
      </c>
      <c r="J9770">
        <v>0</v>
      </c>
      <c r="K9770">
        <v>57864.06</v>
      </c>
      <c r="L9770">
        <v>3422302</v>
      </c>
      <c r="M9770">
        <v>3351844</v>
      </c>
      <c r="N9770">
        <v>3422302</v>
      </c>
      <c r="O9770">
        <v>3351844</v>
      </c>
      <c r="P9770">
        <v>3060265.21</v>
      </c>
      <c r="Q9770">
        <v>3002401.15</v>
      </c>
      <c r="R9770" s="14">
        <f>_xlfn.XLOOKUP(Table2[[#This Row],[LoanID]],Table1[G-L ID],Table1[ManagerCode],-99)</f>
        <v>103</v>
      </c>
      <c r="T9770"/>
    </row>
    <row r="9771" spans="1:20" x14ac:dyDescent="0.25">
      <c r="A9771">
        <v>20191031</v>
      </c>
      <c r="B9771">
        <v>2019</v>
      </c>
      <c r="C9771">
        <v>10</v>
      </c>
      <c r="D9771">
        <v>1</v>
      </c>
      <c r="E9771">
        <v>12450</v>
      </c>
      <c r="F9771">
        <v>75302.259999999995</v>
      </c>
      <c r="G9771">
        <v>39902.49</v>
      </c>
      <c r="H9771">
        <v>0</v>
      </c>
      <c r="I9771">
        <v>0</v>
      </c>
      <c r="J9771">
        <v>-1905766.73</v>
      </c>
      <c r="K9771">
        <v>0</v>
      </c>
      <c r="L9771">
        <v>14639644.560000001</v>
      </c>
      <c r="M9771">
        <v>16585313.779999999</v>
      </c>
      <c r="N9771">
        <v>14639644.560000001</v>
      </c>
      <c r="O9771">
        <v>16585313.779999999</v>
      </c>
      <c r="P9771">
        <v>14639644.560000001</v>
      </c>
      <c r="Q9771">
        <v>16585313.779999999</v>
      </c>
      <c r="R9771" s="14">
        <f>_xlfn.XLOOKUP(Table2[[#This Row],[LoanID]],Table1[G-L ID],Table1[ManagerCode],-99)</f>
        <v>183</v>
      </c>
      <c r="T9771"/>
    </row>
    <row r="9772" spans="1:20" x14ac:dyDescent="0.25">
      <c r="A9772">
        <v>20191031</v>
      </c>
      <c r="B9772">
        <v>2019</v>
      </c>
      <c r="C9772">
        <v>10</v>
      </c>
      <c r="D9772">
        <v>1</v>
      </c>
      <c r="E9772">
        <v>12460</v>
      </c>
      <c r="F9772">
        <v>42250</v>
      </c>
      <c r="G9772">
        <v>52644.6</v>
      </c>
      <c r="H9772">
        <v>0</v>
      </c>
      <c r="I9772">
        <v>0</v>
      </c>
      <c r="J9772">
        <v>0</v>
      </c>
      <c r="K9772">
        <v>0</v>
      </c>
      <c r="L9772">
        <v>9489460.4700000007</v>
      </c>
      <c r="M9772">
        <v>9542105.0700000003</v>
      </c>
      <c r="N9772">
        <v>9489460.4700000007</v>
      </c>
      <c r="O9772">
        <v>9542105.0700000003</v>
      </c>
      <c r="P9772">
        <v>9489460.4700000007</v>
      </c>
      <c r="Q9772">
        <v>9542105.0700000003</v>
      </c>
      <c r="R9772" s="14">
        <f>_xlfn.XLOOKUP(Table2[[#This Row],[LoanID]],Table1[G-L ID],Table1[ManagerCode],-99)</f>
        <v>183</v>
      </c>
      <c r="T9772"/>
    </row>
    <row r="9773" spans="1:20" x14ac:dyDescent="0.25">
      <c r="A9773">
        <v>20191031</v>
      </c>
      <c r="B9773">
        <v>2019</v>
      </c>
      <c r="C9773">
        <v>10</v>
      </c>
      <c r="D9773">
        <v>1</v>
      </c>
      <c r="E9773">
        <v>12470</v>
      </c>
      <c r="F9773">
        <v>287086</v>
      </c>
      <c r="G9773">
        <v>0</v>
      </c>
      <c r="H9773">
        <v>0</v>
      </c>
      <c r="I9773">
        <v>0</v>
      </c>
      <c r="J9773">
        <v>0</v>
      </c>
      <c r="K9773">
        <v>0</v>
      </c>
      <c r="L9773">
        <v>115000000</v>
      </c>
      <c r="M9773">
        <v>115000000</v>
      </c>
      <c r="N9773">
        <v>46000000</v>
      </c>
      <c r="O9773">
        <v>46000000</v>
      </c>
      <c r="P9773">
        <v>115000000</v>
      </c>
      <c r="Q9773">
        <v>115000000</v>
      </c>
      <c r="R9773" s="14">
        <f>_xlfn.XLOOKUP(Table2[[#This Row],[LoanID]],Table1[G-L ID],Table1[ManagerCode],-99)</f>
        <v>183</v>
      </c>
      <c r="T9773"/>
    </row>
    <row r="9774" spans="1:20" x14ac:dyDescent="0.25">
      <c r="A9774">
        <v>20191031</v>
      </c>
      <c r="B9774">
        <v>2019</v>
      </c>
      <c r="C9774">
        <v>10</v>
      </c>
      <c r="D9774">
        <v>1</v>
      </c>
      <c r="E9774">
        <v>12490</v>
      </c>
      <c r="F9774">
        <v>-24305.49</v>
      </c>
      <c r="G9774">
        <v>0</v>
      </c>
      <c r="H9774">
        <v>0</v>
      </c>
      <c r="I9774">
        <v>0</v>
      </c>
      <c r="J9774">
        <v>0</v>
      </c>
      <c r="K9774">
        <v>0</v>
      </c>
      <c r="L9774">
        <v>50200000</v>
      </c>
      <c r="M9774">
        <v>50200000</v>
      </c>
      <c r="N9774">
        <v>19600000</v>
      </c>
      <c r="O9774">
        <v>19600000</v>
      </c>
      <c r="P9774">
        <v>50200000</v>
      </c>
      <c r="Q9774">
        <v>50200000</v>
      </c>
      <c r="R9774" s="14">
        <f>_xlfn.XLOOKUP(Table2[[#This Row],[LoanID]],Table1[G-L ID],Table1[ManagerCode],-99)</f>
        <v>183</v>
      </c>
      <c r="T9774"/>
    </row>
    <row r="9775" spans="1:20" x14ac:dyDescent="0.25">
      <c r="A9775">
        <v>20191031</v>
      </c>
      <c r="B9775">
        <v>2019</v>
      </c>
      <c r="C9775">
        <v>10</v>
      </c>
      <c r="D9775">
        <v>1</v>
      </c>
      <c r="E9775">
        <v>12520</v>
      </c>
      <c r="F9775">
        <v>187353.07</v>
      </c>
      <c r="G9775">
        <v>0</v>
      </c>
      <c r="H9775">
        <v>0</v>
      </c>
      <c r="I9775">
        <v>0</v>
      </c>
      <c r="J9775">
        <v>-720422.93</v>
      </c>
      <c r="K9775">
        <v>0</v>
      </c>
      <c r="L9775">
        <v>47848878.210000001</v>
      </c>
      <c r="M9775">
        <v>48569301.140000001</v>
      </c>
      <c r="N9775">
        <v>23098878.210000001</v>
      </c>
      <c r="O9775">
        <v>23819301.140000001</v>
      </c>
      <c r="P9775">
        <v>47848878.210000001</v>
      </c>
      <c r="Q9775">
        <v>48569301.140000001</v>
      </c>
      <c r="R9775" s="14">
        <f>_xlfn.XLOOKUP(Table2[[#This Row],[LoanID]],Table1[G-L ID],Table1[ManagerCode],-99)</f>
        <v>183</v>
      </c>
      <c r="T9775"/>
    </row>
    <row r="9776" spans="1:20" x14ac:dyDescent="0.25">
      <c r="A9776">
        <v>20191031</v>
      </c>
      <c r="B9776">
        <v>2019</v>
      </c>
      <c r="C9776">
        <v>10</v>
      </c>
      <c r="D9776">
        <v>1</v>
      </c>
      <c r="E9776">
        <v>12650</v>
      </c>
      <c r="F9776">
        <v>376417.16</v>
      </c>
      <c r="G9776">
        <v>0</v>
      </c>
      <c r="H9776">
        <v>0</v>
      </c>
      <c r="I9776">
        <v>0</v>
      </c>
      <c r="J9776">
        <v>0</v>
      </c>
      <c r="K9776">
        <v>0</v>
      </c>
      <c r="L9776">
        <v>123200000</v>
      </c>
      <c r="M9776">
        <v>123200000</v>
      </c>
      <c r="N9776">
        <v>49280000</v>
      </c>
      <c r="O9776">
        <v>49280000</v>
      </c>
      <c r="P9776">
        <v>123200000</v>
      </c>
      <c r="Q9776">
        <v>123200000</v>
      </c>
      <c r="R9776" s="14">
        <f>_xlfn.XLOOKUP(Table2[[#This Row],[LoanID]],Table1[G-L ID],Table1[ManagerCode],-99)</f>
        <v>183</v>
      </c>
      <c r="T9776"/>
    </row>
    <row r="9777" spans="1:20" x14ac:dyDescent="0.25">
      <c r="A9777">
        <v>20191031</v>
      </c>
      <c r="B9777">
        <v>2019</v>
      </c>
      <c r="C9777">
        <v>10</v>
      </c>
      <c r="D9777">
        <v>1</v>
      </c>
      <c r="E9777">
        <v>12670</v>
      </c>
      <c r="F9777">
        <v>86902.17</v>
      </c>
      <c r="G9777">
        <v>0</v>
      </c>
      <c r="H9777">
        <v>0</v>
      </c>
      <c r="I9777">
        <v>0</v>
      </c>
      <c r="J9777">
        <v>0</v>
      </c>
      <c r="K9777">
        <v>0</v>
      </c>
      <c r="L9777">
        <v>15500000</v>
      </c>
      <c r="M9777">
        <v>15500000</v>
      </c>
      <c r="N9777">
        <v>15500000</v>
      </c>
      <c r="O9777">
        <v>15500000</v>
      </c>
      <c r="P9777">
        <v>15500000</v>
      </c>
      <c r="Q9777">
        <v>15500000</v>
      </c>
      <c r="R9777" s="14">
        <f>_xlfn.XLOOKUP(Table2[[#This Row],[LoanID]],Table1[G-L ID],Table1[ManagerCode],-99)</f>
        <v>183</v>
      </c>
      <c r="T9777"/>
    </row>
    <row r="9778" spans="1:20" x14ac:dyDescent="0.25">
      <c r="A9778">
        <v>20191031</v>
      </c>
      <c r="B9778">
        <v>2019</v>
      </c>
      <c r="C9778">
        <v>10</v>
      </c>
      <c r="D9778">
        <v>1</v>
      </c>
      <c r="E9778">
        <v>12720</v>
      </c>
      <c r="F9778">
        <v>546681.35</v>
      </c>
      <c r="G9778">
        <v>0</v>
      </c>
      <c r="H9778">
        <v>0</v>
      </c>
      <c r="I9778">
        <v>0</v>
      </c>
      <c r="J9778">
        <v>-1418404.22</v>
      </c>
      <c r="K9778">
        <v>0</v>
      </c>
      <c r="L9778">
        <v>197593640.40000001</v>
      </c>
      <c r="M9778">
        <v>199012044.59999999</v>
      </c>
      <c r="N9778">
        <v>95712640.400000006</v>
      </c>
      <c r="O9778">
        <v>97131044.599999994</v>
      </c>
      <c r="P9778">
        <v>197593640.40000001</v>
      </c>
      <c r="Q9778">
        <v>199012044.59999999</v>
      </c>
      <c r="R9778" s="14">
        <f>_xlfn.XLOOKUP(Table2[[#This Row],[LoanID]],Table1[G-L ID],Table1[ManagerCode],-99)</f>
        <v>183</v>
      </c>
      <c r="T9778"/>
    </row>
    <row r="9779" spans="1:20" x14ac:dyDescent="0.25">
      <c r="A9779">
        <v>20191031</v>
      </c>
      <c r="B9779">
        <v>2019</v>
      </c>
      <c r="C9779">
        <v>10</v>
      </c>
      <c r="D9779">
        <v>1</v>
      </c>
      <c r="E9779">
        <v>12730</v>
      </c>
      <c r="F9779">
        <v>79162.759999999995</v>
      </c>
      <c r="G9779">
        <v>0</v>
      </c>
      <c r="H9779">
        <v>0</v>
      </c>
      <c r="I9779">
        <v>0</v>
      </c>
      <c r="J9779">
        <v>0</v>
      </c>
      <c r="K9779">
        <v>0</v>
      </c>
      <c r="L9779">
        <v>38460000</v>
      </c>
      <c r="M9779">
        <v>38460000</v>
      </c>
      <c r="N9779">
        <v>13460000</v>
      </c>
      <c r="O9779">
        <v>13460000</v>
      </c>
      <c r="P9779">
        <v>38460000</v>
      </c>
      <c r="Q9779">
        <v>38460000</v>
      </c>
      <c r="R9779" s="14">
        <f>_xlfn.XLOOKUP(Table2[[#This Row],[LoanID]],Table1[G-L ID],Table1[ManagerCode],-99)</f>
        <v>183</v>
      </c>
      <c r="T9779"/>
    </row>
    <row r="9780" spans="1:20" x14ac:dyDescent="0.25">
      <c r="A9780">
        <v>20191031</v>
      </c>
      <c r="B9780">
        <v>2019</v>
      </c>
      <c r="C9780">
        <v>10</v>
      </c>
      <c r="D9780">
        <v>1</v>
      </c>
      <c r="E9780">
        <v>12740</v>
      </c>
      <c r="F9780">
        <v>154746.59</v>
      </c>
      <c r="G9780">
        <v>76279.850000000006</v>
      </c>
      <c r="H9780">
        <v>0</v>
      </c>
      <c r="I9780">
        <v>0</v>
      </c>
      <c r="J9780">
        <v>-724943.81</v>
      </c>
      <c r="K9780">
        <v>0</v>
      </c>
      <c r="L9780">
        <v>31208049.489999998</v>
      </c>
      <c r="M9780">
        <v>32009273.149999999</v>
      </c>
      <c r="N9780">
        <v>31208049.489999998</v>
      </c>
      <c r="O9780">
        <v>32009273.149999999</v>
      </c>
      <c r="P9780">
        <v>31208049.489999998</v>
      </c>
      <c r="Q9780">
        <v>32009273.149999999</v>
      </c>
      <c r="R9780" s="14">
        <f>_xlfn.XLOOKUP(Table2[[#This Row],[LoanID]],Table1[G-L ID],Table1[ManagerCode],-99)</f>
        <v>183</v>
      </c>
      <c r="T9780"/>
    </row>
    <row r="9781" spans="1:20" x14ac:dyDescent="0.25">
      <c r="A9781">
        <v>20191031</v>
      </c>
      <c r="B9781">
        <v>2019</v>
      </c>
      <c r="C9781">
        <v>10</v>
      </c>
      <c r="D9781">
        <v>1</v>
      </c>
      <c r="E9781">
        <v>13000</v>
      </c>
      <c r="F9781">
        <v>165645.47</v>
      </c>
      <c r="G9781">
        <v>682971.75</v>
      </c>
      <c r="H9781">
        <v>0</v>
      </c>
      <c r="I9781">
        <v>0</v>
      </c>
      <c r="J9781">
        <v>0</v>
      </c>
      <c r="K9781">
        <v>0</v>
      </c>
      <c r="L9781">
        <v>46940758</v>
      </c>
      <c r="M9781">
        <v>47752927</v>
      </c>
      <c r="N9781">
        <v>46940758</v>
      </c>
      <c r="O9781">
        <v>47752927</v>
      </c>
      <c r="P9781">
        <v>49693640.109999999</v>
      </c>
      <c r="Q9781">
        <v>50376611.859999999</v>
      </c>
      <c r="R9781" s="14">
        <f>_xlfn.XLOOKUP(Table2[[#This Row],[LoanID]],Table1[G-L ID],Table1[ManagerCode],-99)</f>
        <v>103</v>
      </c>
      <c r="T9781"/>
    </row>
    <row r="9782" spans="1:20" x14ac:dyDescent="0.25">
      <c r="A9782">
        <v>20191031</v>
      </c>
      <c r="B9782">
        <v>2019</v>
      </c>
      <c r="C9782">
        <v>10</v>
      </c>
      <c r="D9782">
        <v>1</v>
      </c>
      <c r="E9782">
        <v>13010</v>
      </c>
      <c r="F9782">
        <v>1050000</v>
      </c>
      <c r="G9782">
        <v>350000</v>
      </c>
      <c r="H9782">
        <v>0</v>
      </c>
      <c r="I9782">
        <v>0</v>
      </c>
      <c r="J9782">
        <v>0</v>
      </c>
      <c r="K9782">
        <v>0</v>
      </c>
      <c r="L9782">
        <v>200550200</v>
      </c>
      <c r="M9782">
        <v>200900200</v>
      </c>
      <c r="N9782">
        <v>200550200</v>
      </c>
      <c r="O9782">
        <v>200900200</v>
      </c>
      <c r="P9782">
        <v>211050000</v>
      </c>
      <c r="Q9782">
        <v>211400000</v>
      </c>
      <c r="R9782" s="14">
        <f>_xlfn.XLOOKUP(Table2[[#This Row],[LoanID]],Table1[G-L ID],Table1[ManagerCode],-99)</f>
        <v>103</v>
      </c>
      <c r="T9782"/>
    </row>
    <row r="9783" spans="1:20" x14ac:dyDescent="0.25">
      <c r="A9783">
        <v>20191031</v>
      </c>
      <c r="B9783">
        <v>2019</v>
      </c>
      <c r="C9783">
        <v>10</v>
      </c>
      <c r="D9783">
        <v>1</v>
      </c>
      <c r="E9783">
        <v>13030</v>
      </c>
      <c r="F9783">
        <v>280364.21999999997</v>
      </c>
      <c r="G9783">
        <v>0</v>
      </c>
      <c r="H9783">
        <v>0</v>
      </c>
      <c r="I9783">
        <v>0</v>
      </c>
      <c r="J9783">
        <v>0</v>
      </c>
      <c r="K9783">
        <v>0</v>
      </c>
      <c r="L9783">
        <v>114000000</v>
      </c>
      <c r="M9783">
        <v>114000000</v>
      </c>
      <c r="N9783">
        <v>51276576</v>
      </c>
      <c r="O9783">
        <v>51276576</v>
      </c>
      <c r="P9783">
        <v>114000000</v>
      </c>
      <c r="Q9783">
        <v>114000000</v>
      </c>
      <c r="R9783" s="14">
        <f>_xlfn.XLOOKUP(Table2[[#This Row],[LoanID]],Table1[G-L ID],Table1[ManagerCode],-99)</f>
        <v>183</v>
      </c>
      <c r="T9783"/>
    </row>
    <row r="9784" spans="1:20" x14ac:dyDescent="0.25">
      <c r="A9784">
        <v>20191031</v>
      </c>
      <c r="B9784">
        <v>2019</v>
      </c>
      <c r="C9784">
        <v>10</v>
      </c>
      <c r="D9784">
        <v>1</v>
      </c>
      <c r="E9784">
        <v>13040</v>
      </c>
      <c r="F9784">
        <v>82185.08</v>
      </c>
      <c r="G9784">
        <v>0</v>
      </c>
      <c r="H9784">
        <v>0</v>
      </c>
      <c r="I9784">
        <v>0</v>
      </c>
      <c r="J9784">
        <v>0</v>
      </c>
      <c r="K9784">
        <v>0</v>
      </c>
      <c r="L9784">
        <v>35717213.939999998</v>
      </c>
      <c r="M9784">
        <v>35717213.939999998</v>
      </c>
      <c r="N9784">
        <v>15544826.939999999</v>
      </c>
      <c r="O9784">
        <v>15544826.939999999</v>
      </c>
      <c r="P9784">
        <v>35717213.939999998</v>
      </c>
      <c r="Q9784">
        <v>35717213.939999998</v>
      </c>
      <c r="R9784" s="14">
        <f>_xlfn.XLOOKUP(Table2[[#This Row],[LoanID]],Table1[G-L ID],Table1[ManagerCode],-99)</f>
        <v>183</v>
      </c>
      <c r="T9784"/>
    </row>
    <row r="9785" spans="1:20" x14ac:dyDescent="0.25">
      <c r="A9785">
        <v>20191031</v>
      </c>
      <c r="B9785">
        <v>2019</v>
      </c>
      <c r="C9785">
        <v>10</v>
      </c>
      <c r="D9785">
        <v>1</v>
      </c>
      <c r="E9785">
        <v>13050</v>
      </c>
      <c r="F9785">
        <v>73034.67</v>
      </c>
      <c r="G9785">
        <v>0</v>
      </c>
      <c r="H9785">
        <v>0</v>
      </c>
      <c r="I9785">
        <v>0</v>
      </c>
      <c r="J9785">
        <v>0</v>
      </c>
      <c r="K9785">
        <v>0</v>
      </c>
      <c r="L9785">
        <v>42575000</v>
      </c>
      <c r="M9785">
        <v>42575000</v>
      </c>
      <c r="N9785">
        <v>14901424</v>
      </c>
      <c r="O9785">
        <v>14901424</v>
      </c>
      <c r="P9785">
        <v>42575000</v>
      </c>
      <c r="Q9785">
        <v>42575000</v>
      </c>
      <c r="R9785" s="14">
        <f>_xlfn.XLOOKUP(Table2[[#This Row],[LoanID]],Table1[G-L ID],Table1[ManagerCode],-99)</f>
        <v>183</v>
      </c>
      <c r="T9785"/>
    </row>
    <row r="9786" spans="1:20" x14ac:dyDescent="0.25">
      <c r="A9786">
        <v>20191031</v>
      </c>
      <c r="B9786">
        <v>2019</v>
      </c>
      <c r="C9786">
        <v>10</v>
      </c>
      <c r="D9786">
        <v>1</v>
      </c>
      <c r="E9786">
        <v>13060</v>
      </c>
      <c r="F9786">
        <v>92570.21</v>
      </c>
      <c r="G9786">
        <v>0</v>
      </c>
      <c r="H9786">
        <v>0</v>
      </c>
      <c r="I9786">
        <v>0</v>
      </c>
      <c r="J9786">
        <v>-124748.68</v>
      </c>
      <c r="K9786">
        <v>0</v>
      </c>
      <c r="L9786">
        <v>44970833.460000001</v>
      </c>
      <c r="M9786">
        <v>45095582.140000001</v>
      </c>
      <c r="N9786">
        <v>18721977.300000001</v>
      </c>
      <c r="O9786">
        <v>18846725.98</v>
      </c>
      <c r="P9786">
        <v>44970833.460000001</v>
      </c>
      <c r="Q9786">
        <v>45095582.140000001</v>
      </c>
      <c r="R9786" s="14">
        <f>_xlfn.XLOOKUP(Table2[[#This Row],[LoanID]],Table1[G-L ID],Table1[ManagerCode],-99)</f>
        <v>183</v>
      </c>
      <c r="T9786"/>
    </row>
    <row r="9787" spans="1:20" x14ac:dyDescent="0.25">
      <c r="A9787">
        <v>20191031</v>
      </c>
      <c r="B9787">
        <v>2019</v>
      </c>
      <c r="C9787">
        <v>10</v>
      </c>
      <c r="D9787">
        <v>1</v>
      </c>
      <c r="E9787">
        <v>13070</v>
      </c>
      <c r="F9787">
        <v>387843.47</v>
      </c>
      <c r="G9787">
        <v>0</v>
      </c>
      <c r="H9787">
        <v>0</v>
      </c>
      <c r="I9787">
        <v>0</v>
      </c>
      <c r="J9787">
        <v>0</v>
      </c>
      <c r="K9787">
        <v>0</v>
      </c>
      <c r="L9787">
        <v>92635782</v>
      </c>
      <c r="M9787">
        <v>92635782</v>
      </c>
      <c r="N9787">
        <v>52635782</v>
      </c>
      <c r="O9787">
        <v>52635782</v>
      </c>
      <c r="P9787">
        <v>92635782</v>
      </c>
      <c r="Q9787">
        <v>92635782</v>
      </c>
      <c r="R9787" s="14">
        <f>_xlfn.XLOOKUP(Table2[[#This Row],[LoanID]],Table1[G-L ID],Table1[ManagerCode],-99)</f>
        <v>183</v>
      </c>
      <c r="T9787"/>
    </row>
    <row r="9788" spans="1:20" x14ac:dyDescent="0.25">
      <c r="A9788">
        <v>20191031</v>
      </c>
      <c r="B9788">
        <v>2019</v>
      </c>
      <c r="C9788">
        <v>10</v>
      </c>
      <c r="D9788">
        <v>1</v>
      </c>
      <c r="E9788">
        <v>13080</v>
      </c>
      <c r="F9788">
        <v>104036.18</v>
      </c>
      <c r="G9788">
        <v>0</v>
      </c>
      <c r="H9788">
        <v>0</v>
      </c>
      <c r="I9788">
        <v>0</v>
      </c>
      <c r="J9788">
        <v>0</v>
      </c>
      <c r="K9788">
        <v>0</v>
      </c>
      <c r="L9788">
        <v>43000000</v>
      </c>
      <c r="M9788">
        <v>43000000</v>
      </c>
      <c r="N9788">
        <v>21500000</v>
      </c>
      <c r="O9788">
        <v>21500000</v>
      </c>
      <c r="P9788">
        <v>43000000</v>
      </c>
      <c r="Q9788">
        <v>43000000</v>
      </c>
      <c r="R9788" s="14">
        <f>_xlfn.XLOOKUP(Table2[[#This Row],[LoanID]],Table1[G-L ID],Table1[ManagerCode],-99)</f>
        <v>183</v>
      </c>
      <c r="T9788"/>
    </row>
    <row r="9789" spans="1:20" x14ac:dyDescent="0.25">
      <c r="A9789">
        <v>20191031</v>
      </c>
      <c r="B9789">
        <v>2019</v>
      </c>
      <c r="C9789">
        <v>10</v>
      </c>
      <c r="D9789">
        <v>1</v>
      </c>
      <c r="E9789">
        <v>13090</v>
      </c>
      <c r="F9789">
        <v>106605.56</v>
      </c>
      <c r="G9789">
        <v>0</v>
      </c>
      <c r="H9789">
        <v>0</v>
      </c>
      <c r="I9789">
        <v>0</v>
      </c>
      <c r="J9789">
        <v>0</v>
      </c>
      <c r="K9789">
        <v>0</v>
      </c>
      <c r="L9789">
        <v>20000000</v>
      </c>
      <c r="M9789">
        <v>20000000</v>
      </c>
      <c r="N9789">
        <v>20000000</v>
      </c>
      <c r="O9789">
        <v>20000000</v>
      </c>
      <c r="P9789">
        <v>20000000</v>
      </c>
      <c r="Q9789">
        <v>20000000</v>
      </c>
      <c r="R9789" s="14">
        <f>_xlfn.XLOOKUP(Table2[[#This Row],[LoanID]],Table1[G-L ID],Table1[ManagerCode],-99)</f>
        <v>183</v>
      </c>
      <c r="T9789"/>
    </row>
    <row r="9790" spans="1:20" x14ac:dyDescent="0.25">
      <c r="A9790">
        <v>20191031</v>
      </c>
      <c r="B9790">
        <v>2019</v>
      </c>
      <c r="C9790">
        <v>10</v>
      </c>
      <c r="D9790">
        <v>1</v>
      </c>
      <c r="E9790">
        <v>13100</v>
      </c>
      <c r="F9790">
        <v>98412.800000000003</v>
      </c>
      <c r="G9790">
        <v>0</v>
      </c>
      <c r="H9790">
        <v>0</v>
      </c>
      <c r="I9790">
        <v>0</v>
      </c>
      <c r="J9790">
        <v>-82264.73</v>
      </c>
      <c r="K9790">
        <v>82264.73</v>
      </c>
      <c r="L9790">
        <v>30867458.739999998</v>
      </c>
      <c r="M9790">
        <v>30949723.469999999</v>
      </c>
      <c r="N9790">
        <v>12814163.92</v>
      </c>
      <c r="O9790">
        <v>12814163.92</v>
      </c>
      <c r="P9790">
        <v>30867458.739999998</v>
      </c>
      <c r="Q9790">
        <v>30949723.469999999</v>
      </c>
      <c r="R9790" s="14">
        <f>_xlfn.XLOOKUP(Table2[[#This Row],[LoanID]],Table1[G-L ID],Table1[ManagerCode],-99)</f>
        <v>183</v>
      </c>
      <c r="T9790"/>
    </row>
    <row r="9791" spans="1:20" x14ac:dyDescent="0.25">
      <c r="A9791">
        <v>20191031</v>
      </c>
      <c r="B9791">
        <v>2019</v>
      </c>
      <c r="C9791">
        <v>10</v>
      </c>
      <c r="D9791">
        <v>1</v>
      </c>
      <c r="E9791">
        <v>13110</v>
      </c>
      <c r="F9791">
        <v>97218.77</v>
      </c>
      <c r="G9791">
        <v>0</v>
      </c>
      <c r="H9791">
        <v>0</v>
      </c>
      <c r="I9791">
        <v>0</v>
      </c>
      <c r="J9791">
        <v>0</v>
      </c>
      <c r="K9791">
        <v>0</v>
      </c>
      <c r="L9791">
        <v>46074615.280000001</v>
      </c>
      <c r="M9791">
        <v>46074615.280000001</v>
      </c>
      <c r="N9791">
        <v>19798365.280000001</v>
      </c>
      <c r="O9791">
        <v>19798365.280000001</v>
      </c>
      <c r="P9791">
        <v>46074615.280000001</v>
      </c>
      <c r="Q9791">
        <v>46074615.280000001</v>
      </c>
      <c r="R9791" s="14">
        <f>_xlfn.XLOOKUP(Table2[[#This Row],[LoanID]],Table1[G-L ID],Table1[ManagerCode],-99)</f>
        <v>183</v>
      </c>
      <c r="T9791"/>
    </row>
    <row r="9792" spans="1:20" x14ac:dyDescent="0.25">
      <c r="A9792">
        <v>20191031</v>
      </c>
      <c r="B9792">
        <v>2019</v>
      </c>
      <c r="C9792">
        <v>10</v>
      </c>
      <c r="D9792">
        <v>1</v>
      </c>
      <c r="E9792">
        <v>13120</v>
      </c>
      <c r="F9792">
        <v>55332.56</v>
      </c>
      <c r="G9792">
        <v>0</v>
      </c>
      <c r="H9792">
        <v>0</v>
      </c>
      <c r="I9792">
        <v>0</v>
      </c>
      <c r="J9792">
        <v>0</v>
      </c>
      <c r="K9792">
        <v>0</v>
      </c>
      <c r="L9792">
        <v>27360000</v>
      </c>
      <c r="M9792">
        <v>27360000</v>
      </c>
      <c r="N9792">
        <v>9576000</v>
      </c>
      <c r="O9792">
        <v>9576000</v>
      </c>
      <c r="P9792">
        <v>27360000</v>
      </c>
      <c r="Q9792">
        <v>27360000</v>
      </c>
      <c r="R9792" s="14">
        <f>_xlfn.XLOOKUP(Table2[[#This Row],[LoanID]],Table1[G-L ID],Table1[ManagerCode],-99)</f>
        <v>183</v>
      </c>
      <c r="T9792"/>
    </row>
    <row r="9793" spans="1:20" x14ac:dyDescent="0.25">
      <c r="A9793">
        <v>20191031</v>
      </c>
      <c r="B9793">
        <v>2019</v>
      </c>
      <c r="C9793">
        <v>10</v>
      </c>
      <c r="D9793">
        <v>1</v>
      </c>
      <c r="E9793">
        <v>13130</v>
      </c>
      <c r="F9793">
        <v>428490.1</v>
      </c>
      <c r="G9793">
        <v>0</v>
      </c>
      <c r="H9793">
        <v>0</v>
      </c>
      <c r="I9793">
        <v>0</v>
      </c>
      <c r="J9793">
        <v>0</v>
      </c>
      <c r="K9793">
        <v>0</v>
      </c>
      <c r="L9793">
        <v>196859423.19999999</v>
      </c>
      <c r="M9793">
        <v>196859423.19999999</v>
      </c>
      <c r="N9793">
        <v>96859423.200000003</v>
      </c>
      <c r="O9793">
        <v>96859423.200000003</v>
      </c>
      <c r="P9793">
        <v>196859423.19999999</v>
      </c>
      <c r="Q9793">
        <v>196859423.19999999</v>
      </c>
      <c r="R9793" s="14">
        <f>_xlfn.XLOOKUP(Table2[[#This Row],[LoanID]],Table1[G-L ID],Table1[ManagerCode],-99)</f>
        <v>183</v>
      </c>
      <c r="T9793"/>
    </row>
    <row r="9794" spans="1:20" x14ac:dyDescent="0.25">
      <c r="A9794">
        <v>20191031</v>
      </c>
      <c r="B9794">
        <v>2019</v>
      </c>
      <c r="C9794">
        <v>10</v>
      </c>
      <c r="D9794">
        <v>1</v>
      </c>
      <c r="E9794">
        <v>13140</v>
      </c>
      <c r="F9794">
        <v>229715.94</v>
      </c>
      <c r="G9794">
        <v>0</v>
      </c>
      <c r="H9794">
        <v>0</v>
      </c>
      <c r="I9794">
        <v>0</v>
      </c>
      <c r="J9794">
        <v>-9991147.7899999991</v>
      </c>
      <c r="K9794">
        <v>0</v>
      </c>
      <c r="L9794">
        <v>131094007.8</v>
      </c>
      <c r="M9794">
        <v>141085155.59999999</v>
      </c>
      <c r="N9794">
        <v>46111880.700000003</v>
      </c>
      <c r="O9794">
        <v>56103028.5</v>
      </c>
      <c r="P9794">
        <v>131094007.8</v>
      </c>
      <c r="Q9794">
        <v>141085155.59999999</v>
      </c>
      <c r="R9794" s="14">
        <f>_xlfn.XLOOKUP(Table2[[#This Row],[LoanID]],Table1[G-L ID],Table1[ManagerCode],-99)</f>
        <v>183</v>
      </c>
      <c r="T9794"/>
    </row>
    <row r="9795" spans="1:20" x14ac:dyDescent="0.25">
      <c r="A9795">
        <v>20191031</v>
      </c>
      <c r="B9795">
        <v>2019</v>
      </c>
      <c r="C9795">
        <v>10</v>
      </c>
      <c r="D9795">
        <v>1</v>
      </c>
      <c r="E9795">
        <v>13150</v>
      </c>
      <c r="F9795">
        <v>155084.22</v>
      </c>
      <c r="G9795">
        <v>0</v>
      </c>
      <c r="H9795">
        <v>0</v>
      </c>
      <c r="I9795">
        <v>0</v>
      </c>
      <c r="J9795">
        <v>-667637.57999999996</v>
      </c>
      <c r="K9795">
        <v>177192.95999999999</v>
      </c>
      <c r="L9795">
        <v>86305013.030000001</v>
      </c>
      <c r="M9795">
        <v>86972650.609999999</v>
      </c>
      <c r="N9795">
        <v>30678013.030000001</v>
      </c>
      <c r="O9795">
        <v>31168457.649999999</v>
      </c>
      <c r="P9795">
        <v>86305013.030000001</v>
      </c>
      <c r="Q9795">
        <v>86972650.609999999</v>
      </c>
      <c r="R9795" s="14">
        <f>_xlfn.XLOOKUP(Table2[[#This Row],[LoanID]],Table1[G-L ID],Table1[ManagerCode],-99)</f>
        <v>183</v>
      </c>
      <c r="T9795"/>
    </row>
    <row r="9796" spans="1:20" x14ac:dyDescent="0.25">
      <c r="A9796">
        <v>20191031</v>
      </c>
      <c r="B9796">
        <v>2019</v>
      </c>
      <c r="C9796">
        <v>10</v>
      </c>
      <c r="D9796">
        <v>1</v>
      </c>
      <c r="E9796">
        <v>13160</v>
      </c>
      <c r="F9796">
        <v>114175.25</v>
      </c>
      <c r="G9796">
        <v>0</v>
      </c>
      <c r="H9796">
        <v>0</v>
      </c>
      <c r="I9796">
        <v>0</v>
      </c>
      <c r="J9796">
        <v>0</v>
      </c>
      <c r="K9796">
        <v>0</v>
      </c>
      <c r="L9796">
        <v>41900000</v>
      </c>
      <c r="M9796">
        <v>41900000</v>
      </c>
      <c r="N9796">
        <v>21854858</v>
      </c>
      <c r="O9796">
        <v>21854858</v>
      </c>
      <c r="P9796">
        <v>41900000</v>
      </c>
      <c r="Q9796">
        <v>41900000</v>
      </c>
      <c r="R9796" s="14">
        <f>_xlfn.XLOOKUP(Table2[[#This Row],[LoanID]],Table1[G-L ID],Table1[ManagerCode],-99)</f>
        <v>183</v>
      </c>
      <c r="T9796"/>
    </row>
    <row r="9797" spans="1:20" x14ac:dyDescent="0.25">
      <c r="A9797">
        <v>20191031</v>
      </c>
      <c r="B9797">
        <v>2019</v>
      </c>
      <c r="C9797">
        <v>10</v>
      </c>
      <c r="D9797">
        <v>1</v>
      </c>
      <c r="E9797">
        <v>13170</v>
      </c>
      <c r="F9797">
        <v>111474.45</v>
      </c>
      <c r="G9797">
        <v>0</v>
      </c>
      <c r="H9797">
        <v>0</v>
      </c>
      <c r="I9797">
        <v>0</v>
      </c>
      <c r="J9797">
        <v>0</v>
      </c>
      <c r="K9797">
        <v>0</v>
      </c>
      <c r="L9797">
        <v>50400000</v>
      </c>
      <c r="M9797">
        <v>50400000</v>
      </c>
      <c r="N9797">
        <v>17600000</v>
      </c>
      <c r="O9797">
        <v>17600000</v>
      </c>
      <c r="P9797">
        <v>50400000</v>
      </c>
      <c r="Q9797">
        <v>50400000</v>
      </c>
      <c r="R9797" s="14">
        <f>_xlfn.XLOOKUP(Table2[[#This Row],[LoanID]],Table1[G-L ID],Table1[ManagerCode],-99)</f>
        <v>183</v>
      </c>
      <c r="T9797"/>
    </row>
    <row r="9798" spans="1:20" x14ac:dyDescent="0.25">
      <c r="A9798">
        <v>20191031</v>
      </c>
      <c r="B9798">
        <v>2019</v>
      </c>
      <c r="C9798">
        <v>10</v>
      </c>
      <c r="D9798">
        <v>1</v>
      </c>
      <c r="E9798">
        <v>13180</v>
      </c>
      <c r="F9798">
        <v>90164.62</v>
      </c>
      <c r="G9798">
        <v>0</v>
      </c>
      <c r="H9798">
        <v>0</v>
      </c>
      <c r="I9798">
        <v>0</v>
      </c>
      <c r="J9798">
        <v>0</v>
      </c>
      <c r="K9798">
        <v>0</v>
      </c>
      <c r="L9798">
        <v>39780000</v>
      </c>
      <c r="M9798">
        <v>39780000</v>
      </c>
      <c r="N9798">
        <v>15930000</v>
      </c>
      <c r="O9798">
        <v>15930000</v>
      </c>
      <c r="P9798">
        <v>39780000</v>
      </c>
      <c r="Q9798">
        <v>39780000</v>
      </c>
      <c r="R9798" s="14">
        <f>_xlfn.XLOOKUP(Table2[[#This Row],[LoanID]],Table1[G-L ID],Table1[ManagerCode],-99)</f>
        <v>183</v>
      </c>
      <c r="T9798"/>
    </row>
    <row r="9799" spans="1:20" x14ac:dyDescent="0.25">
      <c r="A9799">
        <v>20191031</v>
      </c>
      <c r="B9799">
        <v>2019</v>
      </c>
      <c r="C9799">
        <v>10</v>
      </c>
      <c r="D9799">
        <v>1</v>
      </c>
      <c r="E9799">
        <v>13190</v>
      </c>
      <c r="F9799">
        <v>66102.460000000006</v>
      </c>
      <c r="G9799">
        <v>55080.53</v>
      </c>
      <c r="H9799">
        <v>0</v>
      </c>
      <c r="I9799">
        <v>0</v>
      </c>
      <c r="J9799">
        <v>-63382.22</v>
      </c>
      <c r="K9799">
        <v>0</v>
      </c>
      <c r="L9799">
        <v>12858741.439999999</v>
      </c>
      <c r="M9799">
        <v>12977204.189999999</v>
      </c>
      <c r="N9799">
        <v>12858741.439999999</v>
      </c>
      <c r="O9799">
        <v>12977204.189999999</v>
      </c>
      <c r="P9799">
        <v>12858741.439999999</v>
      </c>
      <c r="Q9799">
        <v>12977204.189999999</v>
      </c>
      <c r="R9799" s="14">
        <f>_xlfn.XLOOKUP(Table2[[#This Row],[LoanID]],Table1[G-L ID],Table1[ManagerCode],-99)</f>
        <v>183</v>
      </c>
      <c r="T9799"/>
    </row>
    <row r="9800" spans="1:20" x14ac:dyDescent="0.25">
      <c r="A9800">
        <v>20191031</v>
      </c>
      <c r="B9800">
        <v>2019</v>
      </c>
      <c r="C9800">
        <v>10</v>
      </c>
      <c r="D9800">
        <v>1</v>
      </c>
      <c r="E9800">
        <v>13200</v>
      </c>
      <c r="F9800">
        <v>89240.06</v>
      </c>
      <c r="G9800">
        <v>67094.570000000007</v>
      </c>
      <c r="H9800">
        <v>0</v>
      </c>
      <c r="I9800">
        <v>0</v>
      </c>
      <c r="J9800">
        <v>-2075247.96</v>
      </c>
      <c r="K9800">
        <v>0</v>
      </c>
      <c r="L9800">
        <v>16074762.710000001</v>
      </c>
      <c r="M9800">
        <v>18217105.239999998</v>
      </c>
      <c r="N9800">
        <v>16074762.710000001</v>
      </c>
      <c r="O9800">
        <v>18217105.239999998</v>
      </c>
      <c r="P9800">
        <v>16074762.710000001</v>
      </c>
      <c r="Q9800">
        <v>18217105.239999998</v>
      </c>
      <c r="R9800" s="14">
        <f>_xlfn.XLOOKUP(Table2[[#This Row],[LoanID]],Table1[G-L ID],Table1[ManagerCode],-99)</f>
        <v>183</v>
      </c>
      <c r="T9800"/>
    </row>
    <row r="9801" spans="1:20" x14ac:dyDescent="0.25">
      <c r="A9801">
        <v>20191031</v>
      </c>
      <c r="B9801">
        <v>2019</v>
      </c>
      <c r="C9801">
        <v>10</v>
      </c>
      <c r="D9801">
        <v>1</v>
      </c>
      <c r="E9801">
        <v>13210</v>
      </c>
      <c r="F9801">
        <v>0</v>
      </c>
      <c r="G9801">
        <v>155622.81</v>
      </c>
      <c r="H9801">
        <v>0</v>
      </c>
      <c r="I9801">
        <v>0</v>
      </c>
      <c r="J9801">
        <v>-1236090.23</v>
      </c>
      <c r="K9801">
        <v>0</v>
      </c>
      <c r="L9801">
        <v>14786347.619999999</v>
      </c>
      <c r="M9801">
        <v>16178060.66</v>
      </c>
      <c r="N9801">
        <v>14786347.619999999</v>
      </c>
      <c r="O9801">
        <v>16178060.66</v>
      </c>
      <c r="P9801">
        <v>14786347.619999999</v>
      </c>
      <c r="Q9801">
        <v>16178060.66</v>
      </c>
      <c r="R9801" s="14">
        <f>_xlfn.XLOOKUP(Table2[[#This Row],[LoanID]],Table1[G-L ID],Table1[ManagerCode],-99)</f>
        <v>183</v>
      </c>
      <c r="T9801"/>
    </row>
    <row r="9802" spans="1:20" x14ac:dyDescent="0.25">
      <c r="A9802">
        <v>20191031</v>
      </c>
      <c r="B9802">
        <v>2019</v>
      </c>
      <c r="C9802">
        <v>10</v>
      </c>
      <c r="D9802">
        <v>1</v>
      </c>
      <c r="E9802">
        <v>13220</v>
      </c>
      <c r="F9802">
        <v>71106.880000000005</v>
      </c>
      <c r="G9802">
        <v>-40.89</v>
      </c>
      <c r="H9802">
        <v>0</v>
      </c>
      <c r="I9802">
        <v>0</v>
      </c>
      <c r="J9802">
        <v>0</v>
      </c>
      <c r="K9802">
        <v>5247.07</v>
      </c>
      <c r="L9802">
        <v>9288811.4199999999</v>
      </c>
      <c r="M9802">
        <v>9283523.4600000009</v>
      </c>
      <c r="N9802">
        <v>9288811.4199999999</v>
      </c>
      <c r="O9802">
        <v>9283523.4600000009</v>
      </c>
      <c r="P9802">
        <v>9197097.3499999996</v>
      </c>
      <c r="Q9802">
        <v>9191809.3900000006</v>
      </c>
      <c r="R9802" s="14">
        <f>_xlfn.XLOOKUP(Table2[[#This Row],[LoanID]],Table1[G-L ID],Table1[ManagerCode],-99)</f>
        <v>219</v>
      </c>
      <c r="T9802"/>
    </row>
    <row r="9803" spans="1:20" x14ac:dyDescent="0.25">
      <c r="A9803">
        <v>20191031</v>
      </c>
      <c r="B9803">
        <v>2019</v>
      </c>
      <c r="C9803">
        <v>10</v>
      </c>
      <c r="D9803">
        <v>1</v>
      </c>
      <c r="E9803">
        <v>13230</v>
      </c>
      <c r="F9803">
        <v>43875</v>
      </c>
      <c r="G9803">
        <v>0</v>
      </c>
      <c r="H9803">
        <v>0</v>
      </c>
      <c r="I9803">
        <v>0</v>
      </c>
      <c r="J9803">
        <v>0</v>
      </c>
      <c r="K9803">
        <v>0</v>
      </c>
      <c r="L9803">
        <v>6543875</v>
      </c>
      <c r="M9803">
        <v>6543875</v>
      </c>
      <c r="N9803">
        <v>6543875</v>
      </c>
      <c r="O9803">
        <v>6543875</v>
      </c>
      <c r="P9803">
        <v>6543875</v>
      </c>
      <c r="Q9803">
        <v>6543875</v>
      </c>
      <c r="R9803" s="14">
        <f>_xlfn.XLOOKUP(Table2[[#This Row],[LoanID]],Table1[G-L ID],Table1[ManagerCode],-99)</f>
        <v>219</v>
      </c>
      <c r="T9803"/>
    </row>
    <row r="9804" spans="1:20" x14ac:dyDescent="0.25">
      <c r="A9804">
        <v>20191031</v>
      </c>
      <c r="B9804">
        <v>2019</v>
      </c>
      <c r="C9804">
        <v>10</v>
      </c>
      <c r="D9804">
        <v>1</v>
      </c>
      <c r="E9804">
        <v>13240</v>
      </c>
      <c r="F9804">
        <v>74440.41</v>
      </c>
      <c r="G9804">
        <v>-1720.52</v>
      </c>
      <c r="H9804">
        <v>0</v>
      </c>
      <c r="I9804">
        <v>0</v>
      </c>
      <c r="J9804">
        <v>0</v>
      </c>
      <c r="K9804">
        <v>0</v>
      </c>
      <c r="L9804">
        <v>7872991.2599999998</v>
      </c>
      <c r="M9804">
        <v>7871270.7400000002</v>
      </c>
      <c r="N9804">
        <v>7872991.2599999998</v>
      </c>
      <c r="O9804">
        <v>7871270.7400000002</v>
      </c>
      <c r="P9804">
        <v>7872991.2599999998</v>
      </c>
      <c r="Q9804">
        <v>7871270.7400000002</v>
      </c>
      <c r="R9804" s="14">
        <f>_xlfn.XLOOKUP(Table2[[#This Row],[LoanID]],Table1[G-L ID],Table1[ManagerCode],-99)</f>
        <v>219</v>
      </c>
      <c r="T9804"/>
    </row>
    <row r="9805" spans="1:20" x14ac:dyDescent="0.25">
      <c r="A9805">
        <v>20191031</v>
      </c>
      <c r="B9805">
        <v>2019</v>
      </c>
      <c r="C9805">
        <v>10</v>
      </c>
      <c r="D9805">
        <v>1</v>
      </c>
      <c r="E9805">
        <v>13260</v>
      </c>
      <c r="F9805">
        <v>175466.67</v>
      </c>
      <c r="G9805">
        <v>4657.7299999999996</v>
      </c>
      <c r="H9805">
        <v>0</v>
      </c>
      <c r="I9805">
        <v>0</v>
      </c>
      <c r="J9805">
        <v>0</v>
      </c>
      <c r="K9805">
        <v>0</v>
      </c>
      <c r="L9805">
        <v>20093696.710000001</v>
      </c>
      <c r="M9805">
        <v>20098354.440000001</v>
      </c>
      <c r="N9805">
        <v>20093696.710000001</v>
      </c>
      <c r="O9805">
        <v>20098354.440000001</v>
      </c>
      <c r="P9805">
        <v>20093696.710000001</v>
      </c>
      <c r="Q9805">
        <v>20098354.440000001</v>
      </c>
      <c r="R9805" s="14">
        <f>_xlfn.XLOOKUP(Table2[[#This Row],[LoanID]],Table1[G-L ID],Table1[ManagerCode],-99)</f>
        <v>219</v>
      </c>
      <c r="T9805"/>
    </row>
    <row r="9806" spans="1:20" x14ac:dyDescent="0.25">
      <c r="A9806">
        <v>20191031</v>
      </c>
      <c r="B9806">
        <v>2019</v>
      </c>
      <c r="C9806">
        <v>10</v>
      </c>
      <c r="D9806">
        <v>1</v>
      </c>
      <c r="E9806">
        <v>13270</v>
      </c>
      <c r="F9806">
        <v>146875</v>
      </c>
      <c r="G9806">
        <v>52213.19</v>
      </c>
      <c r="H9806">
        <v>0</v>
      </c>
      <c r="I9806">
        <v>0</v>
      </c>
      <c r="J9806">
        <v>0</v>
      </c>
      <c r="K9806">
        <v>0</v>
      </c>
      <c r="L9806">
        <v>25097763.890000001</v>
      </c>
      <c r="M9806">
        <v>25149977.079999998</v>
      </c>
      <c r="N9806">
        <v>25097763.890000001</v>
      </c>
      <c r="O9806">
        <v>25149977.079999998</v>
      </c>
      <c r="P9806">
        <v>25097763.890000001</v>
      </c>
      <c r="Q9806">
        <v>25149977.079999998</v>
      </c>
      <c r="R9806" s="14">
        <f>_xlfn.XLOOKUP(Table2[[#This Row],[LoanID]],Table1[G-L ID],Table1[ManagerCode],-99)</f>
        <v>219</v>
      </c>
      <c r="T9806"/>
    </row>
    <row r="9807" spans="1:20" x14ac:dyDescent="0.25">
      <c r="A9807">
        <v>20191031</v>
      </c>
      <c r="B9807">
        <v>2019</v>
      </c>
      <c r="C9807">
        <v>10</v>
      </c>
      <c r="D9807">
        <v>1</v>
      </c>
      <c r="E9807">
        <v>13300</v>
      </c>
      <c r="F9807">
        <v>208333.33</v>
      </c>
      <c r="G9807">
        <v>6944.45</v>
      </c>
      <c r="H9807">
        <v>0</v>
      </c>
      <c r="I9807">
        <v>0</v>
      </c>
      <c r="J9807">
        <v>0</v>
      </c>
      <c r="K9807">
        <v>0</v>
      </c>
      <c r="L9807">
        <v>25208333.329999998</v>
      </c>
      <c r="M9807">
        <v>25215277.780000001</v>
      </c>
      <c r="N9807">
        <v>25208333.329999998</v>
      </c>
      <c r="O9807">
        <v>25215277.780000001</v>
      </c>
      <c r="P9807">
        <v>25208333.329999998</v>
      </c>
      <c r="Q9807">
        <v>25215277.780000001</v>
      </c>
      <c r="R9807" s="14">
        <f>_xlfn.XLOOKUP(Table2[[#This Row],[LoanID]],Table1[G-L ID],Table1[ManagerCode],-99)</f>
        <v>219</v>
      </c>
      <c r="T9807"/>
    </row>
    <row r="9808" spans="1:20" x14ac:dyDescent="0.25">
      <c r="A9808">
        <v>20191031</v>
      </c>
      <c r="B9808">
        <v>2019</v>
      </c>
      <c r="C9808">
        <v>10</v>
      </c>
      <c r="D9808">
        <v>1</v>
      </c>
      <c r="E9808">
        <v>13370</v>
      </c>
      <c r="F9808">
        <v>178234.17</v>
      </c>
      <c r="G9808">
        <v>0</v>
      </c>
      <c r="H9808">
        <v>0</v>
      </c>
      <c r="I9808">
        <v>0</v>
      </c>
      <c r="J9808">
        <v>-235044.19</v>
      </c>
      <c r="K9808">
        <v>0</v>
      </c>
      <c r="L9808">
        <v>43422419.960000001</v>
      </c>
      <c r="M9808">
        <v>43657464.149999999</v>
      </c>
      <c r="N9808">
        <v>43422419.960000001</v>
      </c>
      <c r="O9808">
        <v>43657464.149999999</v>
      </c>
      <c r="P9808">
        <v>43422419.960000001</v>
      </c>
      <c r="Q9808">
        <v>43657464.149999999</v>
      </c>
      <c r="R9808" s="14">
        <f>_xlfn.XLOOKUP(Table2[[#This Row],[LoanID]],Table1[G-L ID],Table1[ManagerCode],-99)</f>
        <v>183</v>
      </c>
      <c r="T9808"/>
    </row>
    <row r="9809" spans="1:20" x14ac:dyDescent="0.25">
      <c r="A9809">
        <v>20191031</v>
      </c>
      <c r="B9809">
        <v>2019</v>
      </c>
      <c r="C9809">
        <v>10</v>
      </c>
      <c r="D9809">
        <v>1</v>
      </c>
      <c r="E9809">
        <v>13380</v>
      </c>
      <c r="F9809">
        <v>59629.22</v>
      </c>
      <c r="G9809">
        <v>0</v>
      </c>
      <c r="H9809">
        <v>0</v>
      </c>
      <c r="I9809">
        <v>0</v>
      </c>
      <c r="J9809">
        <v>0</v>
      </c>
      <c r="K9809">
        <v>0</v>
      </c>
      <c r="L9809">
        <v>32000000</v>
      </c>
      <c r="M9809">
        <v>32000000</v>
      </c>
      <c r="N9809">
        <v>11200000</v>
      </c>
      <c r="O9809">
        <v>11200000</v>
      </c>
      <c r="P9809">
        <v>32000000</v>
      </c>
      <c r="Q9809">
        <v>32000000</v>
      </c>
      <c r="R9809" s="14">
        <f>_xlfn.XLOOKUP(Table2[[#This Row],[LoanID]],Table1[G-L ID],Table1[ManagerCode],-99)</f>
        <v>183</v>
      </c>
      <c r="T9809"/>
    </row>
    <row r="9810" spans="1:20" x14ac:dyDescent="0.25">
      <c r="A9810">
        <v>20191031</v>
      </c>
      <c r="B9810">
        <v>2019</v>
      </c>
      <c r="C9810">
        <v>10</v>
      </c>
      <c r="D9810">
        <v>1</v>
      </c>
      <c r="E9810">
        <v>13390</v>
      </c>
      <c r="F9810">
        <v>142685.57999999999</v>
      </c>
      <c r="G9810">
        <v>0</v>
      </c>
      <c r="H9810">
        <v>0</v>
      </c>
      <c r="I9810">
        <v>0</v>
      </c>
      <c r="J9810">
        <v>0</v>
      </c>
      <c r="K9810">
        <v>0</v>
      </c>
      <c r="L9810">
        <v>48343461.420000002</v>
      </c>
      <c r="M9810">
        <v>48343461.420000002</v>
      </c>
      <c r="N9810">
        <v>19427384.420000002</v>
      </c>
      <c r="O9810">
        <v>19427384.420000002</v>
      </c>
      <c r="P9810">
        <v>48343461.420000002</v>
      </c>
      <c r="Q9810">
        <v>48343461.420000002</v>
      </c>
      <c r="R9810" s="14">
        <f>_xlfn.XLOOKUP(Table2[[#This Row],[LoanID]],Table1[G-L ID],Table1[ManagerCode],-99)</f>
        <v>183</v>
      </c>
      <c r="T9810"/>
    </row>
    <row r="9811" spans="1:20" x14ac:dyDescent="0.25">
      <c r="A9811">
        <v>20191031</v>
      </c>
      <c r="B9811">
        <v>2019</v>
      </c>
      <c r="C9811">
        <v>10</v>
      </c>
      <c r="D9811">
        <v>1</v>
      </c>
      <c r="E9811">
        <v>13400</v>
      </c>
      <c r="F9811">
        <v>74285.820000000007</v>
      </c>
      <c r="G9811">
        <v>0</v>
      </c>
      <c r="H9811">
        <v>0</v>
      </c>
      <c r="I9811">
        <v>0</v>
      </c>
      <c r="J9811">
        <v>0</v>
      </c>
      <c r="K9811">
        <v>0</v>
      </c>
      <c r="L9811">
        <v>31750000</v>
      </c>
      <c r="M9811">
        <v>31750000</v>
      </c>
      <c r="N9811">
        <v>11112500</v>
      </c>
      <c r="O9811">
        <v>11112500</v>
      </c>
      <c r="P9811">
        <v>31750000</v>
      </c>
      <c r="Q9811">
        <v>31750000</v>
      </c>
      <c r="R9811" s="14">
        <f>_xlfn.XLOOKUP(Table2[[#This Row],[LoanID]],Table1[G-L ID],Table1[ManagerCode],-99)</f>
        <v>183</v>
      </c>
      <c r="T9811"/>
    </row>
    <row r="9812" spans="1:20" x14ac:dyDescent="0.25">
      <c r="A9812">
        <v>20191031</v>
      </c>
      <c r="B9812">
        <v>2019</v>
      </c>
      <c r="C9812">
        <v>10</v>
      </c>
      <c r="D9812">
        <v>1</v>
      </c>
      <c r="E9812">
        <v>13410</v>
      </c>
      <c r="F9812">
        <v>74554.28</v>
      </c>
      <c r="G9812">
        <v>0</v>
      </c>
      <c r="H9812">
        <v>0</v>
      </c>
      <c r="I9812">
        <v>0</v>
      </c>
      <c r="J9812">
        <v>-413027.98</v>
      </c>
      <c r="K9812">
        <v>0</v>
      </c>
      <c r="L9812">
        <v>34468109.079999998</v>
      </c>
      <c r="M9812">
        <v>34881137.060000002</v>
      </c>
      <c r="N9812">
        <v>13598109.08</v>
      </c>
      <c r="O9812">
        <v>14011137.060000001</v>
      </c>
      <c r="P9812">
        <v>34468109.079999998</v>
      </c>
      <c r="Q9812">
        <v>34881137.060000002</v>
      </c>
      <c r="R9812" s="14">
        <f>_xlfn.XLOOKUP(Table2[[#This Row],[LoanID]],Table1[G-L ID],Table1[ManagerCode],-99)</f>
        <v>183</v>
      </c>
      <c r="T9812"/>
    </row>
    <row r="9813" spans="1:20" x14ac:dyDescent="0.25">
      <c r="A9813">
        <v>20191031</v>
      </c>
      <c r="B9813">
        <v>2019</v>
      </c>
      <c r="C9813">
        <v>10</v>
      </c>
      <c r="D9813">
        <v>1</v>
      </c>
      <c r="E9813">
        <v>13420</v>
      </c>
      <c r="F9813">
        <v>67419.09</v>
      </c>
      <c r="G9813">
        <v>0</v>
      </c>
      <c r="H9813">
        <v>0</v>
      </c>
      <c r="I9813">
        <v>0</v>
      </c>
      <c r="J9813">
        <v>-69228.19</v>
      </c>
      <c r="K9813">
        <v>0</v>
      </c>
      <c r="L9813">
        <v>30369096.039999999</v>
      </c>
      <c r="M9813">
        <v>30438324.23</v>
      </c>
      <c r="N9813">
        <v>13874183.039999999</v>
      </c>
      <c r="O9813">
        <v>13943411.23</v>
      </c>
      <c r="P9813">
        <v>30369096.039999999</v>
      </c>
      <c r="Q9813">
        <v>30438324.23</v>
      </c>
      <c r="R9813" s="14">
        <f>_xlfn.XLOOKUP(Table2[[#This Row],[LoanID]],Table1[G-L ID],Table1[ManagerCode],-99)</f>
        <v>183</v>
      </c>
      <c r="T9813"/>
    </row>
    <row r="9814" spans="1:20" x14ac:dyDescent="0.25">
      <c r="A9814">
        <v>20191031</v>
      </c>
      <c r="B9814">
        <v>2019</v>
      </c>
      <c r="C9814">
        <v>10</v>
      </c>
      <c r="D9814">
        <v>1</v>
      </c>
      <c r="E9814">
        <v>13430</v>
      </c>
      <c r="F9814">
        <v>311937.5</v>
      </c>
      <c r="G9814">
        <v>0</v>
      </c>
      <c r="H9814">
        <v>0</v>
      </c>
      <c r="I9814">
        <v>0</v>
      </c>
      <c r="J9814">
        <v>0</v>
      </c>
      <c r="K9814">
        <v>0</v>
      </c>
      <c r="L9814">
        <v>75000000</v>
      </c>
      <c r="M9814">
        <v>75000000</v>
      </c>
      <c r="N9814">
        <v>30882353</v>
      </c>
      <c r="O9814">
        <v>30882353</v>
      </c>
      <c r="P9814">
        <v>75000000</v>
      </c>
      <c r="Q9814">
        <v>75000000</v>
      </c>
      <c r="R9814" s="14">
        <f>_xlfn.XLOOKUP(Table2[[#This Row],[LoanID]],Table1[G-L ID],Table1[ManagerCode],-99)</f>
        <v>183</v>
      </c>
      <c r="T9814"/>
    </row>
    <row r="9815" spans="1:20" x14ac:dyDescent="0.25">
      <c r="A9815">
        <v>20191031</v>
      </c>
      <c r="B9815">
        <v>2019</v>
      </c>
      <c r="C9815">
        <v>10</v>
      </c>
      <c r="D9815">
        <v>1</v>
      </c>
      <c r="E9815">
        <v>13440</v>
      </c>
      <c r="F9815">
        <v>0</v>
      </c>
      <c r="G9815">
        <v>119036.76</v>
      </c>
      <c r="H9815">
        <v>0</v>
      </c>
      <c r="I9815">
        <v>0</v>
      </c>
      <c r="J9815">
        <v>0</v>
      </c>
      <c r="K9815">
        <v>0</v>
      </c>
      <c r="L9815">
        <v>12021545.640000001</v>
      </c>
      <c r="M9815">
        <v>12140582.4</v>
      </c>
      <c r="N9815">
        <v>12021545.640000001</v>
      </c>
      <c r="O9815">
        <v>12140582.4</v>
      </c>
      <c r="P9815">
        <v>12021545.640000001</v>
      </c>
      <c r="Q9815">
        <v>12140582.4</v>
      </c>
      <c r="R9815" s="14">
        <f>_xlfn.XLOOKUP(Table2[[#This Row],[LoanID]],Table1[G-L ID],Table1[ManagerCode],-99)</f>
        <v>183</v>
      </c>
      <c r="T9815"/>
    </row>
    <row r="9816" spans="1:20" x14ac:dyDescent="0.25">
      <c r="A9816">
        <v>20191031</v>
      </c>
      <c r="B9816">
        <v>2019</v>
      </c>
      <c r="C9816">
        <v>10</v>
      </c>
      <c r="D9816">
        <v>1</v>
      </c>
      <c r="E9816">
        <v>13450</v>
      </c>
      <c r="F9816">
        <v>0</v>
      </c>
      <c r="G9816">
        <v>113851.9</v>
      </c>
      <c r="H9816">
        <v>0</v>
      </c>
      <c r="I9816">
        <v>0</v>
      </c>
      <c r="J9816">
        <v>0</v>
      </c>
      <c r="K9816">
        <v>0</v>
      </c>
      <c r="L9816">
        <v>11497990.779999999</v>
      </c>
      <c r="M9816">
        <v>11611842.68</v>
      </c>
      <c r="N9816">
        <v>11497990.779999999</v>
      </c>
      <c r="O9816">
        <v>11611842.68</v>
      </c>
      <c r="P9816">
        <v>11497990.779999999</v>
      </c>
      <c r="Q9816">
        <v>11611842.68</v>
      </c>
      <c r="R9816" s="14">
        <f>_xlfn.XLOOKUP(Table2[[#This Row],[LoanID]],Table1[G-L ID],Table1[ManagerCode],-99)</f>
        <v>183</v>
      </c>
      <c r="T9816"/>
    </row>
    <row r="9817" spans="1:20" x14ac:dyDescent="0.25">
      <c r="A9817">
        <v>20191031</v>
      </c>
      <c r="B9817">
        <v>2019</v>
      </c>
      <c r="C9817">
        <v>10</v>
      </c>
      <c r="D9817">
        <v>1</v>
      </c>
      <c r="E9817">
        <v>13460</v>
      </c>
      <c r="F9817">
        <v>13377.75</v>
      </c>
      <c r="G9817">
        <v>20735.52</v>
      </c>
      <c r="H9817">
        <v>0</v>
      </c>
      <c r="I9817">
        <v>0</v>
      </c>
      <c r="J9817">
        <v>-404654.46</v>
      </c>
      <c r="K9817">
        <v>0</v>
      </c>
      <c r="L9817">
        <v>2926593.81</v>
      </c>
      <c r="M9817">
        <v>3351983.79</v>
      </c>
      <c r="N9817">
        <v>2926593.81</v>
      </c>
      <c r="O9817">
        <v>3351983.79</v>
      </c>
      <c r="P9817">
        <v>2926593.81</v>
      </c>
      <c r="Q9817">
        <v>3351983.79</v>
      </c>
      <c r="R9817" s="14">
        <f>_xlfn.XLOOKUP(Table2[[#This Row],[LoanID]],Table1[G-L ID],Table1[ManagerCode],-99)</f>
        <v>183</v>
      </c>
      <c r="T9817"/>
    </row>
    <row r="9818" spans="1:20" x14ac:dyDescent="0.25">
      <c r="A9818">
        <v>20191031</v>
      </c>
      <c r="B9818">
        <v>2019</v>
      </c>
      <c r="C9818">
        <v>10</v>
      </c>
      <c r="D9818">
        <v>1</v>
      </c>
      <c r="E9818">
        <v>13470</v>
      </c>
      <c r="F9818">
        <v>345052.08</v>
      </c>
      <c r="G9818">
        <v>0</v>
      </c>
      <c r="H9818">
        <v>0</v>
      </c>
      <c r="I9818">
        <v>0</v>
      </c>
      <c r="J9818">
        <v>0</v>
      </c>
      <c r="K9818">
        <v>0</v>
      </c>
      <c r="L9818">
        <v>62500000</v>
      </c>
      <c r="M9818">
        <v>62500000</v>
      </c>
      <c r="N9818">
        <v>62500000</v>
      </c>
      <c r="O9818">
        <v>62500000</v>
      </c>
      <c r="P9818">
        <v>62500000</v>
      </c>
      <c r="Q9818">
        <v>62500000</v>
      </c>
      <c r="R9818" s="14">
        <f>_xlfn.XLOOKUP(Table2[[#This Row],[LoanID]],Table1[G-L ID],Table1[ManagerCode],-99)</f>
        <v>165</v>
      </c>
      <c r="T9818"/>
    </row>
    <row r="9819" spans="1:20" x14ac:dyDescent="0.25">
      <c r="A9819">
        <v>20191031</v>
      </c>
      <c r="B9819">
        <v>2019</v>
      </c>
      <c r="C9819">
        <v>10</v>
      </c>
      <c r="D9819">
        <v>1</v>
      </c>
      <c r="E9819">
        <v>13480</v>
      </c>
      <c r="F9819">
        <v>242450</v>
      </c>
      <c r="G9819">
        <v>0</v>
      </c>
      <c r="H9819">
        <v>0</v>
      </c>
      <c r="I9819">
        <v>0</v>
      </c>
      <c r="J9819">
        <v>0</v>
      </c>
      <c r="K9819">
        <v>0</v>
      </c>
      <c r="L9819">
        <v>39000000</v>
      </c>
      <c r="M9819">
        <v>39000000</v>
      </c>
      <c r="N9819">
        <v>39000000</v>
      </c>
      <c r="O9819">
        <v>39000000</v>
      </c>
      <c r="P9819">
        <v>39000000</v>
      </c>
      <c r="Q9819">
        <v>39000000</v>
      </c>
      <c r="R9819" s="14">
        <f>_xlfn.XLOOKUP(Table2[[#This Row],[LoanID]],Table1[G-L ID],Table1[ManagerCode],-99)</f>
        <v>165</v>
      </c>
      <c r="T9819"/>
    </row>
    <row r="9820" spans="1:20" x14ac:dyDescent="0.25">
      <c r="A9820">
        <v>20191031</v>
      </c>
      <c r="B9820">
        <v>2019</v>
      </c>
      <c r="C9820">
        <v>10</v>
      </c>
      <c r="D9820">
        <v>1</v>
      </c>
      <c r="E9820">
        <v>13490</v>
      </c>
      <c r="F9820">
        <v>294000</v>
      </c>
      <c r="G9820">
        <v>0</v>
      </c>
      <c r="H9820">
        <v>0</v>
      </c>
      <c r="I9820">
        <v>0</v>
      </c>
      <c r="J9820">
        <v>0</v>
      </c>
      <c r="K9820">
        <v>0</v>
      </c>
      <c r="L9820">
        <v>40000000</v>
      </c>
      <c r="M9820">
        <v>40000000</v>
      </c>
      <c r="N9820">
        <v>40000000</v>
      </c>
      <c r="O9820">
        <v>40000000</v>
      </c>
      <c r="P9820">
        <v>40000000</v>
      </c>
      <c r="Q9820">
        <v>40000000</v>
      </c>
      <c r="R9820" s="14">
        <f>_xlfn.XLOOKUP(Table2[[#This Row],[LoanID]],Table1[G-L ID],Table1[ManagerCode],-99)</f>
        <v>165</v>
      </c>
      <c r="T9820"/>
    </row>
    <row r="9821" spans="1:20" x14ac:dyDescent="0.25">
      <c r="A9821">
        <v>20191031</v>
      </c>
      <c r="B9821">
        <v>2019</v>
      </c>
      <c r="C9821">
        <v>10</v>
      </c>
      <c r="D9821">
        <v>1</v>
      </c>
      <c r="E9821">
        <v>13500</v>
      </c>
      <c r="F9821">
        <v>274479.17</v>
      </c>
      <c r="G9821">
        <v>0</v>
      </c>
      <c r="H9821">
        <v>0</v>
      </c>
      <c r="I9821">
        <v>0</v>
      </c>
      <c r="J9821">
        <v>0</v>
      </c>
      <c r="K9821">
        <v>0</v>
      </c>
      <c r="L9821">
        <v>42500000</v>
      </c>
      <c r="M9821">
        <v>42500000</v>
      </c>
      <c r="N9821">
        <v>42500000</v>
      </c>
      <c r="O9821">
        <v>42500000</v>
      </c>
      <c r="P9821">
        <v>42500000</v>
      </c>
      <c r="Q9821">
        <v>42500000</v>
      </c>
      <c r="R9821" s="14">
        <f>_xlfn.XLOOKUP(Table2[[#This Row],[LoanID]],Table1[G-L ID],Table1[ManagerCode],-99)</f>
        <v>165</v>
      </c>
      <c r="T9821"/>
    </row>
    <row r="9822" spans="1:20" x14ac:dyDescent="0.25">
      <c r="A9822">
        <v>20191031</v>
      </c>
      <c r="B9822">
        <v>2019</v>
      </c>
      <c r="C9822">
        <v>10</v>
      </c>
      <c r="D9822">
        <v>1</v>
      </c>
      <c r="E9822">
        <v>13510</v>
      </c>
      <c r="F9822">
        <v>307500</v>
      </c>
      <c r="G9822">
        <v>0</v>
      </c>
      <c r="H9822">
        <v>0</v>
      </c>
      <c r="I9822">
        <v>0</v>
      </c>
      <c r="J9822">
        <v>0</v>
      </c>
      <c r="K9822">
        <v>0</v>
      </c>
      <c r="L9822">
        <v>90000000</v>
      </c>
      <c r="M9822">
        <v>90000000</v>
      </c>
      <c r="N9822">
        <v>90000000</v>
      </c>
      <c r="O9822">
        <v>90000000</v>
      </c>
      <c r="P9822">
        <v>90000000</v>
      </c>
      <c r="Q9822">
        <v>90000000</v>
      </c>
      <c r="R9822" s="14">
        <f>_xlfn.XLOOKUP(Table2[[#This Row],[LoanID]],Table1[G-L ID],Table1[ManagerCode],-99)</f>
        <v>165</v>
      </c>
      <c r="T9822"/>
    </row>
    <row r="9823" spans="1:20" x14ac:dyDescent="0.25">
      <c r="A9823">
        <v>20191031</v>
      </c>
      <c r="B9823">
        <v>2019</v>
      </c>
      <c r="C9823">
        <v>10</v>
      </c>
      <c r="D9823">
        <v>1</v>
      </c>
      <c r="E9823">
        <v>13520</v>
      </c>
      <c r="F9823">
        <v>832812.5</v>
      </c>
      <c r="G9823">
        <v>0</v>
      </c>
      <c r="H9823">
        <v>0</v>
      </c>
      <c r="I9823">
        <v>0</v>
      </c>
      <c r="J9823">
        <v>0</v>
      </c>
      <c r="K9823">
        <v>0</v>
      </c>
      <c r="L9823">
        <v>195000000</v>
      </c>
      <c r="M9823">
        <v>195000000</v>
      </c>
      <c r="N9823">
        <v>195000000</v>
      </c>
      <c r="O9823">
        <v>195000000</v>
      </c>
      <c r="P9823">
        <v>195000000</v>
      </c>
      <c r="Q9823">
        <v>195000000</v>
      </c>
      <c r="R9823" s="14">
        <f>_xlfn.XLOOKUP(Table2[[#This Row],[LoanID]],Table1[G-L ID],Table1[ManagerCode],-99)</f>
        <v>165</v>
      </c>
      <c r="T9823"/>
    </row>
    <row r="9824" spans="1:20" x14ac:dyDescent="0.25">
      <c r="A9824">
        <v>20191031</v>
      </c>
      <c r="B9824">
        <v>2019</v>
      </c>
      <c r="C9824">
        <v>10</v>
      </c>
      <c r="D9824">
        <v>1</v>
      </c>
      <c r="E9824">
        <v>13530</v>
      </c>
      <c r="F9824">
        <v>390625</v>
      </c>
      <c r="G9824">
        <v>0</v>
      </c>
      <c r="H9824">
        <v>0</v>
      </c>
      <c r="I9824">
        <v>0</v>
      </c>
      <c r="J9824">
        <v>0</v>
      </c>
      <c r="K9824">
        <v>0</v>
      </c>
      <c r="L9824">
        <v>75000000</v>
      </c>
      <c r="M9824">
        <v>75000000</v>
      </c>
      <c r="N9824">
        <v>75000000</v>
      </c>
      <c r="O9824">
        <v>75000000</v>
      </c>
      <c r="P9824">
        <v>75000000</v>
      </c>
      <c r="Q9824">
        <v>75000000</v>
      </c>
      <c r="R9824" s="14">
        <f>_xlfn.XLOOKUP(Table2[[#This Row],[LoanID]],Table1[G-L ID],Table1[ManagerCode],-99)</f>
        <v>165</v>
      </c>
      <c r="T9824"/>
    </row>
    <row r="9825" spans="1:20" x14ac:dyDescent="0.25">
      <c r="A9825">
        <v>20191031</v>
      </c>
      <c r="B9825">
        <v>2019</v>
      </c>
      <c r="C9825">
        <v>10</v>
      </c>
      <c r="D9825">
        <v>1</v>
      </c>
      <c r="E9825">
        <v>13550</v>
      </c>
      <c r="F9825">
        <v>1628586.69</v>
      </c>
      <c r="G9825">
        <v>0</v>
      </c>
      <c r="H9825">
        <v>0</v>
      </c>
      <c r="I9825">
        <v>0</v>
      </c>
      <c r="J9825">
        <v>0</v>
      </c>
      <c r="K9825">
        <v>0</v>
      </c>
      <c r="L9825">
        <v>355328004.80000001</v>
      </c>
      <c r="M9825">
        <v>355328004.80000001</v>
      </c>
      <c r="N9825">
        <v>355328004.80000001</v>
      </c>
      <c r="O9825">
        <v>355328004.80000001</v>
      </c>
      <c r="P9825">
        <v>355328004.80000001</v>
      </c>
      <c r="Q9825">
        <v>355328004.80000001</v>
      </c>
      <c r="R9825" s="14">
        <f>_xlfn.XLOOKUP(Table2[[#This Row],[LoanID]],Table1[G-L ID],Table1[ManagerCode],-99)</f>
        <v>165</v>
      </c>
      <c r="T9825"/>
    </row>
    <row r="9826" spans="1:20" x14ac:dyDescent="0.25">
      <c r="A9826">
        <v>20191031</v>
      </c>
      <c r="B9826">
        <v>2019</v>
      </c>
      <c r="C9826">
        <v>10</v>
      </c>
      <c r="D9826">
        <v>1</v>
      </c>
      <c r="E9826">
        <v>13560</v>
      </c>
      <c r="F9826">
        <v>571200</v>
      </c>
      <c r="G9826">
        <v>13387.5</v>
      </c>
      <c r="H9826">
        <v>0</v>
      </c>
      <c r="I9826">
        <v>0</v>
      </c>
      <c r="J9826">
        <v>0</v>
      </c>
      <c r="K9826">
        <v>0</v>
      </c>
      <c r="L9826">
        <v>105304640</v>
      </c>
      <c r="M9826">
        <v>105318027.5</v>
      </c>
      <c r="N9826">
        <v>105304640</v>
      </c>
      <c r="O9826">
        <v>105318027.5</v>
      </c>
      <c r="P9826">
        <v>105304640</v>
      </c>
      <c r="Q9826">
        <v>105318027.5</v>
      </c>
      <c r="R9826" s="14">
        <f>_xlfn.XLOOKUP(Table2[[#This Row],[LoanID]],Table1[G-L ID],Table1[ManagerCode],-99)</f>
        <v>219</v>
      </c>
      <c r="T9826"/>
    </row>
    <row r="9827" spans="1:20" x14ac:dyDescent="0.25">
      <c r="A9827">
        <v>20191031</v>
      </c>
      <c r="B9827">
        <v>2019</v>
      </c>
      <c r="C9827">
        <v>10</v>
      </c>
      <c r="D9827">
        <v>1</v>
      </c>
      <c r="E9827">
        <v>13580</v>
      </c>
      <c r="F9827">
        <v>415625</v>
      </c>
      <c r="G9827">
        <v>0</v>
      </c>
      <c r="H9827">
        <v>0</v>
      </c>
      <c r="I9827">
        <v>0</v>
      </c>
      <c r="J9827">
        <v>0</v>
      </c>
      <c r="K9827">
        <v>0</v>
      </c>
      <c r="L9827">
        <v>63970444</v>
      </c>
      <c r="M9827">
        <v>64043355.189999998</v>
      </c>
      <c r="N9827">
        <v>63970444</v>
      </c>
      <c r="O9827">
        <v>64043355.189999998</v>
      </c>
      <c r="P9827">
        <v>66500000</v>
      </c>
      <c r="Q9827">
        <v>66500000</v>
      </c>
      <c r="R9827" s="14">
        <f>_xlfn.XLOOKUP(Table2[[#This Row],[LoanID]],Table1[G-L ID],Table1[ManagerCode],-99)</f>
        <v>298</v>
      </c>
      <c r="T9827"/>
    </row>
    <row r="9828" spans="1:20" x14ac:dyDescent="0.25">
      <c r="A9828">
        <v>20191031</v>
      </c>
      <c r="B9828">
        <v>2019</v>
      </c>
      <c r="C9828">
        <v>10</v>
      </c>
      <c r="D9828">
        <v>1</v>
      </c>
      <c r="E9828">
        <v>13600</v>
      </c>
      <c r="F9828">
        <v>366802.29</v>
      </c>
      <c r="G9828">
        <v>0</v>
      </c>
      <c r="H9828">
        <v>0</v>
      </c>
      <c r="I9828">
        <v>0</v>
      </c>
      <c r="J9828">
        <v>0</v>
      </c>
      <c r="K9828">
        <v>0</v>
      </c>
      <c r="L9828">
        <v>45970000</v>
      </c>
      <c r="M9828">
        <v>45970000</v>
      </c>
      <c r="N9828">
        <v>45970000</v>
      </c>
      <c r="O9828">
        <v>45970000</v>
      </c>
      <c r="P9828">
        <v>45970000</v>
      </c>
      <c r="Q9828">
        <v>45970000</v>
      </c>
      <c r="R9828" s="14">
        <f>_xlfn.XLOOKUP(Table2[[#This Row],[LoanID]],Table1[G-L ID],Table1[ManagerCode],-99)</f>
        <v>298</v>
      </c>
      <c r="T9828"/>
    </row>
    <row r="9829" spans="1:20" x14ac:dyDescent="0.25">
      <c r="A9829">
        <v>20191031</v>
      </c>
      <c r="B9829">
        <v>2019</v>
      </c>
      <c r="C9829">
        <v>10</v>
      </c>
      <c r="D9829">
        <v>1</v>
      </c>
      <c r="E9829">
        <v>13610</v>
      </c>
      <c r="F9829">
        <v>61250</v>
      </c>
      <c r="G9829">
        <v>0</v>
      </c>
      <c r="H9829">
        <v>0</v>
      </c>
      <c r="I9829">
        <v>0</v>
      </c>
      <c r="J9829">
        <v>0</v>
      </c>
      <c r="K9829">
        <v>0</v>
      </c>
      <c r="L9829">
        <v>10542185</v>
      </c>
      <c r="M9829">
        <v>10542185</v>
      </c>
      <c r="N9829">
        <v>10542185</v>
      </c>
      <c r="O9829">
        <v>10542185</v>
      </c>
      <c r="P9829">
        <v>10500000</v>
      </c>
      <c r="Q9829">
        <v>10500000</v>
      </c>
      <c r="R9829" s="14">
        <f>_xlfn.XLOOKUP(Table2[[#This Row],[LoanID]],Table1[G-L ID],Table1[ManagerCode],-99)</f>
        <v>298</v>
      </c>
      <c r="T9829"/>
    </row>
    <row r="9830" spans="1:20" x14ac:dyDescent="0.25">
      <c r="A9830">
        <v>20191031</v>
      </c>
      <c r="B9830">
        <v>2019</v>
      </c>
      <c r="C9830">
        <v>10</v>
      </c>
      <c r="D9830">
        <v>1</v>
      </c>
      <c r="E9830">
        <v>13620</v>
      </c>
      <c r="F9830">
        <v>340750</v>
      </c>
      <c r="G9830">
        <v>0</v>
      </c>
      <c r="H9830">
        <v>0</v>
      </c>
      <c r="I9830">
        <v>0</v>
      </c>
      <c r="J9830">
        <v>0</v>
      </c>
      <c r="K9830">
        <v>0</v>
      </c>
      <c r="L9830">
        <v>49842286</v>
      </c>
      <c r="M9830">
        <v>49842286</v>
      </c>
      <c r="N9830">
        <v>49842286</v>
      </c>
      <c r="O9830">
        <v>49842286</v>
      </c>
      <c r="P9830">
        <v>50000000</v>
      </c>
      <c r="Q9830">
        <v>50000000</v>
      </c>
      <c r="R9830" s="14">
        <f>_xlfn.XLOOKUP(Table2[[#This Row],[LoanID]],Table1[G-L ID],Table1[ManagerCode],-99)</f>
        <v>298</v>
      </c>
      <c r="T9830"/>
    </row>
    <row r="9831" spans="1:20" x14ac:dyDescent="0.25">
      <c r="A9831">
        <v>20191031</v>
      </c>
      <c r="B9831">
        <v>2019</v>
      </c>
      <c r="C9831">
        <v>10</v>
      </c>
      <c r="D9831">
        <v>1</v>
      </c>
      <c r="E9831">
        <v>13630</v>
      </c>
      <c r="F9831">
        <v>211458.33</v>
      </c>
      <c r="G9831">
        <v>0</v>
      </c>
      <c r="H9831">
        <v>0</v>
      </c>
      <c r="I9831">
        <v>0</v>
      </c>
      <c r="J9831">
        <v>0</v>
      </c>
      <c r="K9831">
        <v>0</v>
      </c>
      <c r="L9831">
        <v>30700000</v>
      </c>
      <c r="M9831">
        <v>30700000</v>
      </c>
      <c r="N9831">
        <v>30700000</v>
      </c>
      <c r="O9831">
        <v>30700000</v>
      </c>
      <c r="P9831">
        <v>35000000</v>
      </c>
      <c r="Q9831">
        <v>35000000</v>
      </c>
      <c r="R9831" s="14">
        <f>_xlfn.XLOOKUP(Table2[[#This Row],[LoanID]],Table1[G-L ID],Table1[ManagerCode],-99)</f>
        <v>298</v>
      </c>
      <c r="T9831"/>
    </row>
    <row r="9832" spans="1:20" x14ac:dyDescent="0.25">
      <c r="A9832">
        <v>20191031</v>
      </c>
      <c r="B9832">
        <v>2019</v>
      </c>
      <c r="C9832">
        <v>10</v>
      </c>
      <c r="D9832">
        <v>1</v>
      </c>
      <c r="E9832">
        <v>13640</v>
      </c>
      <c r="F9832">
        <v>219661.46</v>
      </c>
      <c r="G9832">
        <v>0</v>
      </c>
      <c r="H9832">
        <v>0</v>
      </c>
      <c r="I9832">
        <v>0</v>
      </c>
      <c r="J9832">
        <v>0</v>
      </c>
      <c r="K9832">
        <v>0</v>
      </c>
      <c r="L9832">
        <v>30714705</v>
      </c>
      <c r="M9832">
        <v>30714705</v>
      </c>
      <c r="N9832">
        <v>30714705</v>
      </c>
      <c r="O9832">
        <v>30714705</v>
      </c>
      <c r="P9832">
        <v>30125000</v>
      </c>
      <c r="Q9832">
        <v>30125000</v>
      </c>
      <c r="R9832" s="14">
        <f>_xlfn.XLOOKUP(Table2[[#This Row],[LoanID]],Table1[G-L ID],Table1[ManagerCode],-99)</f>
        <v>298</v>
      </c>
      <c r="T9832"/>
    </row>
    <row r="9833" spans="1:20" x14ac:dyDescent="0.25">
      <c r="A9833">
        <v>20191031</v>
      </c>
      <c r="B9833">
        <v>2019</v>
      </c>
      <c r="C9833">
        <v>10</v>
      </c>
      <c r="D9833">
        <v>1</v>
      </c>
      <c r="E9833">
        <v>13650</v>
      </c>
      <c r="F9833">
        <v>216666.67</v>
      </c>
      <c r="G9833">
        <v>0</v>
      </c>
      <c r="H9833">
        <v>0</v>
      </c>
      <c r="I9833">
        <v>0</v>
      </c>
      <c r="J9833">
        <v>0</v>
      </c>
      <c r="K9833">
        <v>0</v>
      </c>
      <c r="L9833">
        <v>38895325</v>
      </c>
      <c r="M9833">
        <v>38895325</v>
      </c>
      <c r="N9833">
        <v>38895325</v>
      </c>
      <c r="O9833">
        <v>38895325</v>
      </c>
      <c r="P9833">
        <v>40000000</v>
      </c>
      <c r="Q9833">
        <v>40000000</v>
      </c>
      <c r="R9833" s="14">
        <f>_xlfn.XLOOKUP(Table2[[#This Row],[LoanID]],Table1[G-L ID],Table1[ManagerCode],-99)</f>
        <v>298</v>
      </c>
      <c r="T9833"/>
    </row>
    <row r="9834" spans="1:20" x14ac:dyDescent="0.25">
      <c r="A9834">
        <v>20191031</v>
      </c>
      <c r="B9834">
        <v>2019</v>
      </c>
      <c r="C9834">
        <v>10</v>
      </c>
      <c r="D9834">
        <v>1</v>
      </c>
      <c r="E9834">
        <v>13660</v>
      </c>
      <c r="F9834">
        <v>114166.67</v>
      </c>
      <c r="G9834">
        <v>0</v>
      </c>
      <c r="H9834">
        <v>0</v>
      </c>
      <c r="I9834">
        <v>0</v>
      </c>
      <c r="J9834">
        <v>0</v>
      </c>
      <c r="K9834">
        <v>0</v>
      </c>
      <c r="L9834">
        <v>19313433</v>
      </c>
      <c r="M9834">
        <v>19313433</v>
      </c>
      <c r="N9834">
        <v>19313433</v>
      </c>
      <c r="O9834">
        <v>19313433</v>
      </c>
      <c r="P9834">
        <v>20000000</v>
      </c>
      <c r="Q9834">
        <v>20000000</v>
      </c>
      <c r="R9834" s="14">
        <f>_xlfn.XLOOKUP(Table2[[#This Row],[LoanID]],Table1[G-L ID],Table1[ManagerCode],-99)</f>
        <v>298</v>
      </c>
      <c r="T9834"/>
    </row>
    <row r="9835" spans="1:20" x14ac:dyDescent="0.25">
      <c r="A9835">
        <v>20191031</v>
      </c>
      <c r="B9835">
        <v>2019</v>
      </c>
      <c r="C9835">
        <v>10</v>
      </c>
      <c r="D9835">
        <v>1</v>
      </c>
      <c r="E9835">
        <v>13670</v>
      </c>
      <c r="F9835">
        <v>0</v>
      </c>
      <c r="G9835">
        <v>0</v>
      </c>
      <c r="H9835">
        <v>0</v>
      </c>
      <c r="I9835">
        <v>0</v>
      </c>
      <c r="J9835">
        <v>0</v>
      </c>
      <c r="K9835">
        <v>0</v>
      </c>
      <c r="L9835">
        <v>25000000</v>
      </c>
      <c r="M9835">
        <v>25000000</v>
      </c>
      <c r="N9835">
        <v>25000000</v>
      </c>
      <c r="O9835">
        <v>25000000</v>
      </c>
      <c r="P9835">
        <v>38962649.619999997</v>
      </c>
      <c r="Q9835">
        <v>39328144.490000002</v>
      </c>
      <c r="R9835" s="14">
        <f>_xlfn.XLOOKUP(Table2[[#This Row],[LoanID]],Table1[G-L ID],Table1[ManagerCode],-99)</f>
        <v>298</v>
      </c>
      <c r="T9835"/>
    </row>
    <row r="9836" spans="1:20" x14ac:dyDescent="0.25">
      <c r="A9836">
        <v>20191031</v>
      </c>
      <c r="B9836">
        <v>2019</v>
      </c>
      <c r="C9836">
        <v>10</v>
      </c>
      <c r="D9836">
        <v>1</v>
      </c>
      <c r="E9836">
        <v>13690</v>
      </c>
      <c r="F9836">
        <v>129166.67</v>
      </c>
      <c r="G9836">
        <v>0</v>
      </c>
      <c r="H9836">
        <v>0</v>
      </c>
      <c r="I9836">
        <v>0</v>
      </c>
      <c r="J9836">
        <v>0</v>
      </c>
      <c r="K9836">
        <v>0</v>
      </c>
      <c r="L9836">
        <v>19791063.850000001</v>
      </c>
      <c r="M9836">
        <v>19791063.850000001</v>
      </c>
      <c r="N9836">
        <v>19791063.850000001</v>
      </c>
      <c r="O9836">
        <v>19791063.850000001</v>
      </c>
      <c r="P9836">
        <v>20000000</v>
      </c>
      <c r="Q9836">
        <v>20000000</v>
      </c>
      <c r="R9836" s="14">
        <f>_xlfn.XLOOKUP(Table2[[#This Row],[LoanID]],Table1[G-L ID],Table1[ManagerCode],-99)</f>
        <v>298</v>
      </c>
      <c r="T9836"/>
    </row>
    <row r="9837" spans="1:20" x14ac:dyDescent="0.25">
      <c r="A9837">
        <v>20191031</v>
      </c>
      <c r="B9837">
        <v>2019</v>
      </c>
      <c r="C9837">
        <v>10</v>
      </c>
      <c r="D9837">
        <v>1</v>
      </c>
      <c r="E9837">
        <v>13790</v>
      </c>
      <c r="F9837">
        <v>146654.84</v>
      </c>
      <c r="G9837">
        <v>3376.95</v>
      </c>
      <c r="H9837">
        <v>0</v>
      </c>
      <c r="I9837">
        <v>0</v>
      </c>
      <c r="J9837">
        <v>0</v>
      </c>
      <c r="K9837">
        <v>0</v>
      </c>
      <c r="L9837">
        <v>20717406.27</v>
      </c>
      <c r="M9837">
        <v>20720783.219999999</v>
      </c>
      <c r="N9837">
        <v>20717406.27</v>
      </c>
      <c r="O9837">
        <v>20720783.219999999</v>
      </c>
      <c r="P9837">
        <v>20717406.27</v>
      </c>
      <c r="Q9837">
        <v>20720783.219999999</v>
      </c>
      <c r="R9837" s="14">
        <f>_xlfn.XLOOKUP(Table2[[#This Row],[LoanID]],Table1[G-L ID],Table1[ManagerCode],-99)</f>
        <v>219</v>
      </c>
      <c r="T9837"/>
    </row>
    <row r="9838" spans="1:20" x14ac:dyDescent="0.25">
      <c r="A9838">
        <v>20191031</v>
      </c>
      <c r="B9838">
        <v>2019</v>
      </c>
      <c r="C9838">
        <v>10</v>
      </c>
      <c r="D9838">
        <v>1</v>
      </c>
      <c r="E9838">
        <v>13800</v>
      </c>
      <c r="F9838">
        <v>281700.78999999998</v>
      </c>
      <c r="G9838">
        <v>0</v>
      </c>
      <c r="H9838">
        <v>0</v>
      </c>
      <c r="I9838">
        <v>0</v>
      </c>
      <c r="J9838">
        <v>0</v>
      </c>
      <c r="K9838">
        <v>0</v>
      </c>
      <c r="L9838">
        <v>80700000</v>
      </c>
      <c r="M9838">
        <v>80700000</v>
      </c>
      <c r="N9838">
        <v>32279999.719999999</v>
      </c>
      <c r="O9838">
        <v>32279999.719999999</v>
      </c>
      <c r="P9838">
        <v>80700000</v>
      </c>
      <c r="Q9838">
        <v>80700000</v>
      </c>
      <c r="R9838" s="14">
        <f>_xlfn.XLOOKUP(Table2[[#This Row],[LoanID]],Table1[G-L ID],Table1[ManagerCode],-99)</f>
        <v>183</v>
      </c>
      <c r="T9838"/>
    </row>
    <row r="9839" spans="1:20" x14ac:dyDescent="0.25">
      <c r="A9839">
        <v>20191031</v>
      </c>
      <c r="B9839">
        <v>2019</v>
      </c>
      <c r="C9839">
        <v>10</v>
      </c>
      <c r="D9839">
        <v>1</v>
      </c>
      <c r="E9839">
        <v>13810</v>
      </c>
      <c r="F9839">
        <v>117040.56</v>
      </c>
      <c r="G9839">
        <v>0</v>
      </c>
      <c r="H9839">
        <v>0</v>
      </c>
      <c r="I9839">
        <v>0</v>
      </c>
      <c r="J9839">
        <v>-573037.34</v>
      </c>
      <c r="K9839">
        <v>597345.78</v>
      </c>
      <c r="L9839">
        <v>41745282.130000003</v>
      </c>
      <c r="M9839">
        <v>42318319.469999999</v>
      </c>
      <c r="N9839">
        <v>18216882.129999999</v>
      </c>
      <c r="O9839">
        <v>18192573.690000001</v>
      </c>
      <c r="P9839">
        <v>41745282.130000003</v>
      </c>
      <c r="Q9839">
        <v>42318319.469999999</v>
      </c>
      <c r="R9839" s="14">
        <f>_xlfn.XLOOKUP(Table2[[#This Row],[LoanID]],Table1[G-L ID],Table1[ManagerCode],-99)</f>
        <v>183</v>
      </c>
      <c r="T9839"/>
    </row>
    <row r="9840" spans="1:20" x14ac:dyDescent="0.25">
      <c r="A9840">
        <v>20191031</v>
      </c>
      <c r="B9840">
        <v>2019</v>
      </c>
      <c r="C9840">
        <v>10</v>
      </c>
      <c r="D9840">
        <v>1</v>
      </c>
      <c r="E9840">
        <v>13820</v>
      </c>
      <c r="F9840">
        <v>340197.89</v>
      </c>
      <c r="G9840">
        <v>0</v>
      </c>
      <c r="H9840">
        <v>0</v>
      </c>
      <c r="I9840">
        <v>0</v>
      </c>
      <c r="J9840">
        <v>0</v>
      </c>
      <c r="K9840">
        <v>0</v>
      </c>
      <c r="L9840">
        <v>66500000</v>
      </c>
      <c r="M9840">
        <v>66500000</v>
      </c>
      <c r="N9840">
        <v>66500000</v>
      </c>
      <c r="O9840">
        <v>66500000</v>
      </c>
      <c r="P9840">
        <v>66500000</v>
      </c>
      <c r="Q9840">
        <v>66500000</v>
      </c>
      <c r="R9840" s="14">
        <f>_xlfn.XLOOKUP(Table2[[#This Row],[LoanID]],Table1[G-L ID],Table1[ManagerCode],-99)</f>
        <v>183</v>
      </c>
      <c r="T9840"/>
    </row>
    <row r="9841" spans="1:20" x14ac:dyDescent="0.25">
      <c r="A9841">
        <v>20191031</v>
      </c>
      <c r="B9841">
        <v>2019</v>
      </c>
      <c r="C9841">
        <v>10</v>
      </c>
      <c r="D9841">
        <v>1</v>
      </c>
      <c r="E9841">
        <v>13830</v>
      </c>
      <c r="F9841">
        <v>208173.88</v>
      </c>
      <c r="G9841">
        <v>0</v>
      </c>
      <c r="H9841">
        <v>0</v>
      </c>
      <c r="I9841">
        <v>0</v>
      </c>
      <c r="J9841">
        <v>0</v>
      </c>
      <c r="K9841">
        <v>0</v>
      </c>
      <c r="L9841">
        <v>101000000</v>
      </c>
      <c r="M9841">
        <v>101000000</v>
      </c>
      <c r="N9841">
        <v>35350000</v>
      </c>
      <c r="O9841">
        <v>35350000</v>
      </c>
      <c r="P9841">
        <v>101000000</v>
      </c>
      <c r="Q9841">
        <v>101000000</v>
      </c>
      <c r="R9841" s="14">
        <f>_xlfn.XLOOKUP(Table2[[#This Row],[LoanID]],Table1[G-L ID],Table1[ManagerCode],-99)</f>
        <v>183</v>
      </c>
      <c r="T9841"/>
    </row>
    <row r="9842" spans="1:20" x14ac:dyDescent="0.25">
      <c r="A9842">
        <v>20191031</v>
      </c>
      <c r="B9842">
        <v>2019</v>
      </c>
      <c r="C9842">
        <v>10</v>
      </c>
      <c r="D9842">
        <v>1</v>
      </c>
      <c r="E9842">
        <v>14000</v>
      </c>
      <c r="F9842">
        <v>180078.45</v>
      </c>
      <c r="G9842">
        <v>0</v>
      </c>
      <c r="H9842">
        <v>0</v>
      </c>
      <c r="I9842">
        <v>0</v>
      </c>
      <c r="J9842">
        <v>0</v>
      </c>
      <c r="K9842">
        <v>0</v>
      </c>
      <c r="L9842">
        <v>98000000</v>
      </c>
      <c r="M9842">
        <v>98000000</v>
      </c>
      <c r="N9842">
        <v>39200000</v>
      </c>
      <c r="O9842">
        <v>39200000</v>
      </c>
      <c r="P9842">
        <v>98000000</v>
      </c>
      <c r="Q9842">
        <v>98000000</v>
      </c>
      <c r="R9842" s="14">
        <f>_xlfn.XLOOKUP(Table2[[#This Row],[LoanID]],Table1[G-L ID],Table1[ManagerCode],-99)</f>
        <v>183</v>
      </c>
      <c r="T9842"/>
    </row>
    <row r="9843" spans="1:20" x14ac:dyDescent="0.25">
      <c r="A9843">
        <v>20191031</v>
      </c>
      <c r="B9843">
        <v>2019</v>
      </c>
      <c r="C9843">
        <v>10</v>
      </c>
      <c r="D9843">
        <v>1</v>
      </c>
      <c r="E9843">
        <v>14660</v>
      </c>
      <c r="F9843">
        <v>4570</v>
      </c>
      <c r="G9843">
        <v>141670</v>
      </c>
      <c r="H9843">
        <v>0</v>
      </c>
      <c r="I9843">
        <v>0</v>
      </c>
      <c r="J9843">
        <v>0</v>
      </c>
      <c r="K9843">
        <v>0</v>
      </c>
      <c r="L9843">
        <v>18004570</v>
      </c>
      <c r="M9843">
        <v>18146240</v>
      </c>
      <c r="N9843">
        <v>18004570</v>
      </c>
      <c r="O9843">
        <v>18146240</v>
      </c>
      <c r="P9843">
        <v>18004570</v>
      </c>
      <c r="Q9843">
        <v>18146240</v>
      </c>
      <c r="R9843" s="14">
        <f>_xlfn.XLOOKUP(Table2[[#This Row],[LoanID]],Table1[G-L ID],Table1[ManagerCode],-99)</f>
        <v>219</v>
      </c>
      <c r="T9843"/>
    </row>
    <row r="9844" spans="1:20" x14ac:dyDescent="0.25">
      <c r="A9844">
        <v>20191031</v>
      </c>
      <c r="B9844">
        <v>2019</v>
      </c>
      <c r="C9844">
        <v>10</v>
      </c>
      <c r="D9844">
        <v>1</v>
      </c>
      <c r="E9844">
        <v>14680</v>
      </c>
      <c r="F9844">
        <v>48719.59</v>
      </c>
      <c r="G9844">
        <v>0</v>
      </c>
      <c r="H9844">
        <v>0</v>
      </c>
      <c r="I9844">
        <v>0</v>
      </c>
      <c r="J9844">
        <v>-291976.83</v>
      </c>
      <c r="K9844">
        <v>0</v>
      </c>
      <c r="L9844">
        <v>30340000</v>
      </c>
      <c r="M9844">
        <v>30610000</v>
      </c>
      <c r="N9844">
        <v>7895011.7999999998</v>
      </c>
      <c r="O9844">
        <v>8165011.7999999998</v>
      </c>
      <c r="P9844">
        <v>30278680.27</v>
      </c>
      <c r="Q9844">
        <v>30570657.100000001</v>
      </c>
      <c r="R9844" s="14">
        <f>_xlfn.XLOOKUP(Table2[[#This Row],[LoanID]],Table1[G-L ID],Table1[ManagerCode],-99)</f>
        <v>220</v>
      </c>
      <c r="T9844"/>
    </row>
    <row r="9845" spans="1:20" x14ac:dyDescent="0.25">
      <c r="A9845">
        <v>20191031</v>
      </c>
      <c r="B9845">
        <v>2019</v>
      </c>
      <c r="C9845">
        <v>10</v>
      </c>
      <c r="D9845">
        <v>1</v>
      </c>
      <c r="E9845">
        <v>14690</v>
      </c>
      <c r="F9845">
        <v>93535.05</v>
      </c>
      <c r="G9845">
        <v>0</v>
      </c>
      <c r="H9845">
        <v>0</v>
      </c>
      <c r="I9845">
        <v>0</v>
      </c>
      <c r="J9845">
        <v>-468008.77</v>
      </c>
      <c r="K9845">
        <v>0</v>
      </c>
      <c r="L9845">
        <v>42587532.890000001</v>
      </c>
      <c r="M9845">
        <v>43055541.659999996</v>
      </c>
      <c r="N9845">
        <v>15069782.890000001</v>
      </c>
      <c r="O9845">
        <v>15537791.66</v>
      </c>
      <c r="P9845">
        <v>42587532.890000001</v>
      </c>
      <c r="Q9845">
        <v>43055541.659999996</v>
      </c>
      <c r="R9845" s="14">
        <f>_xlfn.XLOOKUP(Table2[[#This Row],[LoanID]],Table1[G-L ID],Table1[ManagerCode],-99)</f>
        <v>220</v>
      </c>
      <c r="T9845"/>
    </row>
    <row r="9846" spans="1:20" x14ac:dyDescent="0.25">
      <c r="A9846">
        <v>20191031</v>
      </c>
      <c r="B9846">
        <v>2019</v>
      </c>
      <c r="C9846">
        <v>10</v>
      </c>
      <c r="D9846">
        <v>1</v>
      </c>
      <c r="E9846">
        <v>14700</v>
      </c>
      <c r="F9846">
        <v>80947.259999999995</v>
      </c>
      <c r="G9846">
        <v>0</v>
      </c>
      <c r="H9846">
        <v>0</v>
      </c>
      <c r="I9846">
        <v>0</v>
      </c>
      <c r="J9846">
        <v>0</v>
      </c>
      <c r="K9846">
        <v>0</v>
      </c>
      <c r="L9846">
        <v>35715610.409999996</v>
      </c>
      <c r="M9846">
        <v>35715610.409999996</v>
      </c>
      <c r="N9846">
        <v>11128110.41</v>
      </c>
      <c r="O9846">
        <v>11128110.41</v>
      </c>
      <c r="P9846">
        <v>35715610.409999996</v>
      </c>
      <c r="Q9846">
        <v>35715610.409999996</v>
      </c>
      <c r="R9846" s="14">
        <f>_xlfn.XLOOKUP(Table2[[#This Row],[LoanID]],Table1[G-L ID],Table1[ManagerCode],-99)</f>
        <v>220</v>
      </c>
      <c r="T9846"/>
    </row>
    <row r="9847" spans="1:20" x14ac:dyDescent="0.25">
      <c r="A9847">
        <v>20191031</v>
      </c>
      <c r="B9847">
        <v>2019</v>
      </c>
      <c r="C9847">
        <v>10</v>
      </c>
      <c r="D9847">
        <v>1</v>
      </c>
      <c r="E9847">
        <v>14710</v>
      </c>
      <c r="F9847">
        <v>67874.850000000006</v>
      </c>
      <c r="G9847">
        <v>0</v>
      </c>
      <c r="H9847">
        <v>0</v>
      </c>
      <c r="I9847">
        <v>0</v>
      </c>
      <c r="J9847">
        <v>0</v>
      </c>
      <c r="K9847">
        <v>0</v>
      </c>
      <c r="L9847">
        <v>33650000</v>
      </c>
      <c r="M9847">
        <v>33650000</v>
      </c>
      <c r="N9847">
        <v>11777500</v>
      </c>
      <c r="O9847">
        <v>11777500</v>
      </c>
      <c r="P9847">
        <v>33650000</v>
      </c>
      <c r="Q9847">
        <v>33650000</v>
      </c>
      <c r="R9847" s="14">
        <f>_xlfn.XLOOKUP(Table2[[#This Row],[LoanID]],Table1[G-L ID],Table1[ManagerCode],-99)</f>
        <v>220</v>
      </c>
      <c r="T9847"/>
    </row>
    <row r="9848" spans="1:20" x14ac:dyDescent="0.25">
      <c r="A9848">
        <v>20191031</v>
      </c>
      <c r="B9848">
        <v>2019</v>
      </c>
      <c r="C9848">
        <v>10</v>
      </c>
      <c r="D9848">
        <v>1</v>
      </c>
      <c r="E9848">
        <v>14720</v>
      </c>
      <c r="F9848">
        <v>43586.36</v>
      </c>
      <c r="G9848">
        <v>0</v>
      </c>
      <c r="H9848">
        <v>0</v>
      </c>
      <c r="I9848">
        <v>0</v>
      </c>
      <c r="J9848">
        <v>0</v>
      </c>
      <c r="K9848">
        <v>0</v>
      </c>
      <c r="L9848">
        <v>22275173.559999999</v>
      </c>
      <c r="M9848">
        <v>22275173.559999999</v>
      </c>
      <c r="N9848">
        <v>8548173.5600000005</v>
      </c>
      <c r="O9848">
        <v>8548173.5600000005</v>
      </c>
      <c r="P9848">
        <v>22271327.640000001</v>
      </c>
      <c r="Q9848">
        <v>22271327.640000001</v>
      </c>
      <c r="R9848" s="14">
        <f>_xlfn.XLOOKUP(Table2[[#This Row],[LoanID]],Table1[G-L ID],Table1[ManagerCode],-99)</f>
        <v>220</v>
      </c>
      <c r="T9848"/>
    </row>
    <row r="9849" spans="1:20" x14ac:dyDescent="0.25">
      <c r="A9849">
        <v>20191031</v>
      </c>
      <c r="B9849">
        <v>2019</v>
      </c>
      <c r="C9849">
        <v>10</v>
      </c>
      <c r="D9849">
        <v>1</v>
      </c>
      <c r="E9849">
        <v>14730</v>
      </c>
      <c r="F9849">
        <v>198945.83</v>
      </c>
      <c r="G9849">
        <v>0</v>
      </c>
      <c r="H9849">
        <v>0</v>
      </c>
      <c r="I9849">
        <v>0</v>
      </c>
      <c r="J9849">
        <v>0</v>
      </c>
      <c r="K9849">
        <v>0</v>
      </c>
      <c r="L9849">
        <v>50300000</v>
      </c>
      <c r="M9849">
        <v>50300000</v>
      </c>
      <c r="N9849">
        <v>50300000</v>
      </c>
      <c r="O9849">
        <v>50300000</v>
      </c>
      <c r="P9849">
        <v>50260000</v>
      </c>
      <c r="Q9849">
        <v>50260000</v>
      </c>
      <c r="R9849" s="14">
        <f>_xlfn.XLOOKUP(Table2[[#This Row],[LoanID]],Table1[G-L ID],Table1[ManagerCode],-99)</f>
        <v>220</v>
      </c>
      <c r="T9849"/>
    </row>
    <row r="9850" spans="1:20" x14ac:dyDescent="0.25">
      <c r="A9850">
        <v>20191031</v>
      </c>
      <c r="B9850">
        <v>2019</v>
      </c>
      <c r="C9850">
        <v>10</v>
      </c>
      <c r="D9850">
        <v>1</v>
      </c>
      <c r="E9850">
        <v>14740</v>
      </c>
      <c r="F9850">
        <v>88036.75</v>
      </c>
      <c r="G9850">
        <v>0</v>
      </c>
      <c r="H9850">
        <v>0</v>
      </c>
      <c r="I9850">
        <v>0</v>
      </c>
      <c r="J9850">
        <v>0</v>
      </c>
      <c r="K9850">
        <v>0</v>
      </c>
      <c r="L9850">
        <v>35000000</v>
      </c>
      <c r="M9850">
        <v>35000000</v>
      </c>
      <c r="N9850">
        <v>14000000</v>
      </c>
      <c r="O9850">
        <v>14000000</v>
      </c>
      <c r="P9850">
        <v>35000000</v>
      </c>
      <c r="Q9850">
        <v>35000000</v>
      </c>
      <c r="R9850" s="14">
        <f>_xlfn.XLOOKUP(Table2[[#This Row],[LoanID]],Table1[G-L ID],Table1[ManagerCode],-99)</f>
        <v>220</v>
      </c>
      <c r="T9850"/>
    </row>
    <row r="9851" spans="1:20" x14ac:dyDescent="0.25">
      <c r="A9851">
        <v>20191031</v>
      </c>
      <c r="B9851">
        <v>2019</v>
      </c>
      <c r="C9851">
        <v>10</v>
      </c>
      <c r="D9851">
        <v>1</v>
      </c>
      <c r="E9851">
        <v>14750</v>
      </c>
      <c r="F9851">
        <v>100999.44</v>
      </c>
      <c r="G9851">
        <v>0</v>
      </c>
      <c r="H9851">
        <v>0</v>
      </c>
      <c r="I9851">
        <v>0</v>
      </c>
      <c r="J9851">
        <v>0</v>
      </c>
      <c r="K9851">
        <v>0</v>
      </c>
      <c r="L9851">
        <v>56938347.729999997</v>
      </c>
      <c r="M9851">
        <v>56938347.729999997</v>
      </c>
      <c r="N9851">
        <v>21188347.73</v>
      </c>
      <c r="O9851">
        <v>21188347.73</v>
      </c>
      <c r="P9851">
        <v>56938347.729999997</v>
      </c>
      <c r="Q9851">
        <v>56938347.729999997</v>
      </c>
      <c r="R9851" s="14">
        <f>_xlfn.XLOOKUP(Table2[[#This Row],[LoanID]],Table1[G-L ID],Table1[ManagerCode],-99)</f>
        <v>220</v>
      </c>
      <c r="T9851"/>
    </row>
    <row r="9852" spans="1:20" x14ac:dyDescent="0.25">
      <c r="A9852">
        <v>20191031</v>
      </c>
      <c r="B9852">
        <v>2019</v>
      </c>
      <c r="C9852">
        <v>10</v>
      </c>
      <c r="D9852">
        <v>1</v>
      </c>
      <c r="E9852">
        <v>14760</v>
      </c>
      <c r="F9852">
        <v>189437.5</v>
      </c>
      <c r="G9852">
        <v>0</v>
      </c>
      <c r="H9852">
        <v>0</v>
      </c>
      <c r="I9852">
        <v>0</v>
      </c>
      <c r="J9852">
        <v>0</v>
      </c>
      <c r="K9852">
        <v>0</v>
      </c>
      <c r="L9852">
        <v>105000000</v>
      </c>
      <c r="M9852">
        <v>105000000</v>
      </c>
      <c r="N9852">
        <v>26250000</v>
      </c>
      <c r="O9852">
        <v>26250000</v>
      </c>
      <c r="P9852">
        <v>105000000</v>
      </c>
      <c r="Q9852">
        <v>105000000</v>
      </c>
      <c r="R9852" s="14">
        <f>_xlfn.XLOOKUP(Table2[[#This Row],[LoanID]],Table1[G-L ID],Table1[ManagerCode],-99)</f>
        <v>220</v>
      </c>
      <c r="T9852"/>
    </row>
    <row r="9853" spans="1:20" x14ac:dyDescent="0.25">
      <c r="A9853">
        <v>20191031</v>
      </c>
      <c r="B9853">
        <v>2019</v>
      </c>
      <c r="C9853">
        <v>10</v>
      </c>
      <c r="D9853">
        <v>1</v>
      </c>
      <c r="E9853">
        <v>14770</v>
      </c>
      <c r="F9853">
        <v>175162.5</v>
      </c>
      <c r="G9853">
        <v>0</v>
      </c>
      <c r="H9853">
        <v>0</v>
      </c>
      <c r="I9853">
        <v>0</v>
      </c>
      <c r="J9853">
        <v>0</v>
      </c>
      <c r="K9853">
        <v>0</v>
      </c>
      <c r="L9853">
        <v>40500000</v>
      </c>
      <c r="M9853">
        <v>40500000</v>
      </c>
      <c r="N9853">
        <v>40500000</v>
      </c>
      <c r="O9853">
        <v>40500000</v>
      </c>
      <c r="P9853">
        <v>40500000</v>
      </c>
      <c r="Q9853">
        <v>40500000</v>
      </c>
      <c r="R9853" s="14">
        <f>_xlfn.XLOOKUP(Table2[[#This Row],[LoanID]],Table1[G-L ID],Table1[ManagerCode],-99)</f>
        <v>220</v>
      </c>
      <c r="T9853"/>
    </row>
    <row r="9854" spans="1:20" x14ac:dyDescent="0.25">
      <c r="A9854">
        <v>20191031</v>
      </c>
      <c r="B9854">
        <v>2019</v>
      </c>
      <c r="C9854">
        <v>10</v>
      </c>
      <c r="D9854">
        <v>1</v>
      </c>
      <c r="E9854">
        <v>14780</v>
      </c>
      <c r="F9854">
        <v>95128.85</v>
      </c>
      <c r="G9854">
        <v>0</v>
      </c>
      <c r="H9854">
        <v>0</v>
      </c>
      <c r="I9854">
        <v>0</v>
      </c>
      <c r="J9854">
        <v>0</v>
      </c>
      <c r="K9854">
        <v>0</v>
      </c>
      <c r="L9854">
        <v>51000000</v>
      </c>
      <c r="M9854">
        <v>51000000</v>
      </c>
      <c r="N9854">
        <v>15300000</v>
      </c>
      <c r="O9854">
        <v>15300000</v>
      </c>
      <c r="P9854">
        <v>51000000</v>
      </c>
      <c r="Q9854">
        <v>51000000</v>
      </c>
      <c r="R9854" s="14">
        <f>_xlfn.XLOOKUP(Table2[[#This Row],[LoanID]],Table1[G-L ID],Table1[ManagerCode],-99)</f>
        <v>220</v>
      </c>
      <c r="T9854"/>
    </row>
    <row r="9855" spans="1:20" x14ac:dyDescent="0.25">
      <c r="A9855">
        <v>20191031</v>
      </c>
      <c r="B9855">
        <v>2019</v>
      </c>
      <c r="C9855">
        <v>10</v>
      </c>
      <c r="D9855">
        <v>1</v>
      </c>
      <c r="E9855">
        <v>14790</v>
      </c>
      <c r="F9855">
        <v>-154722.4</v>
      </c>
      <c r="G9855">
        <v>0</v>
      </c>
      <c r="H9855">
        <v>0</v>
      </c>
      <c r="I9855">
        <v>0</v>
      </c>
      <c r="J9855">
        <v>0</v>
      </c>
      <c r="K9855">
        <v>0</v>
      </c>
      <c r="L9855">
        <v>80360000</v>
      </c>
      <c r="M9855">
        <v>80360000</v>
      </c>
      <c r="N9855">
        <v>25960000</v>
      </c>
      <c r="O9855">
        <v>25960000</v>
      </c>
      <c r="P9855">
        <v>80000000</v>
      </c>
      <c r="Q9855">
        <v>80000000</v>
      </c>
      <c r="R9855" s="14">
        <f>_xlfn.XLOOKUP(Table2[[#This Row],[LoanID]],Table1[G-L ID],Table1[ManagerCode],-99)</f>
        <v>220</v>
      </c>
      <c r="T9855"/>
    </row>
    <row r="9856" spans="1:20" x14ac:dyDescent="0.25">
      <c r="A9856">
        <v>20191031</v>
      </c>
      <c r="B9856">
        <v>2019</v>
      </c>
      <c r="C9856">
        <v>10</v>
      </c>
      <c r="D9856">
        <v>1</v>
      </c>
      <c r="E9856">
        <v>14800</v>
      </c>
      <c r="F9856">
        <v>100448.75</v>
      </c>
      <c r="G9856">
        <v>0</v>
      </c>
      <c r="H9856">
        <v>0</v>
      </c>
      <c r="I9856">
        <v>0</v>
      </c>
      <c r="J9856">
        <v>0</v>
      </c>
      <c r="K9856">
        <v>0</v>
      </c>
      <c r="L9856">
        <v>51000000</v>
      </c>
      <c r="M9856">
        <v>51000000</v>
      </c>
      <c r="N9856">
        <v>17850000</v>
      </c>
      <c r="O9856">
        <v>17850000</v>
      </c>
      <c r="P9856">
        <v>51000000</v>
      </c>
      <c r="Q9856">
        <v>51000000</v>
      </c>
      <c r="R9856" s="14">
        <f>_xlfn.XLOOKUP(Table2[[#This Row],[LoanID]],Table1[G-L ID],Table1[ManagerCode],-99)</f>
        <v>220</v>
      </c>
      <c r="T9856"/>
    </row>
    <row r="9857" spans="1:20" x14ac:dyDescent="0.25">
      <c r="A9857">
        <v>20191031</v>
      </c>
      <c r="B9857">
        <v>2019</v>
      </c>
      <c r="C9857">
        <v>10</v>
      </c>
      <c r="D9857">
        <v>1</v>
      </c>
      <c r="E9857">
        <v>14810</v>
      </c>
      <c r="F9857">
        <v>93342.080000000002</v>
      </c>
      <c r="G9857">
        <v>0</v>
      </c>
      <c r="H9857">
        <v>0</v>
      </c>
      <c r="I9857">
        <v>0</v>
      </c>
      <c r="J9857">
        <v>0</v>
      </c>
      <c r="K9857">
        <v>0</v>
      </c>
      <c r="L9857">
        <v>24950000</v>
      </c>
      <c r="M9857">
        <v>24940000</v>
      </c>
      <c r="N9857">
        <v>24950000</v>
      </c>
      <c r="O9857">
        <v>24940000</v>
      </c>
      <c r="P9857">
        <v>24930000</v>
      </c>
      <c r="Q9857">
        <v>24930000</v>
      </c>
      <c r="R9857" s="14">
        <f>_xlfn.XLOOKUP(Table2[[#This Row],[LoanID]],Table1[G-L ID],Table1[ManagerCode],-99)</f>
        <v>220</v>
      </c>
      <c r="T9857"/>
    </row>
    <row r="9858" spans="1:20" x14ac:dyDescent="0.25">
      <c r="A9858">
        <v>20191031</v>
      </c>
      <c r="B9858">
        <v>2019</v>
      </c>
      <c r="C9858">
        <v>10</v>
      </c>
      <c r="D9858">
        <v>1</v>
      </c>
      <c r="E9858">
        <v>14820</v>
      </c>
      <c r="F9858">
        <v>85336.72</v>
      </c>
      <c r="G9858">
        <v>0</v>
      </c>
      <c r="H9858">
        <v>0</v>
      </c>
      <c r="I9858">
        <v>0</v>
      </c>
      <c r="J9858">
        <v>-664391.14</v>
      </c>
      <c r="K9858">
        <v>2415770.2000000002</v>
      </c>
      <c r="L9858">
        <v>22623000</v>
      </c>
      <c r="M9858">
        <v>23287391.140000001</v>
      </c>
      <c r="N9858">
        <v>17102421.07</v>
      </c>
      <c r="O9858">
        <v>15351042.01</v>
      </c>
      <c r="P9858">
        <v>22623000</v>
      </c>
      <c r="Q9858">
        <v>23287391.140000001</v>
      </c>
      <c r="R9858" s="14">
        <f>_xlfn.XLOOKUP(Table2[[#This Row],[LoanID]],Table1[G-L ID],Table1[ManagerCode],-99)</f>
        <v>220</v>
      </c>
      <c r="T9858"/>
    </row>
    <row r="9859" spans="1:20" x14ac:dyDescent="0.25">
      <c r="A9859">
        <v>20191031</v>
      </c>
      <c r="B9859">
        <v>2019</v>
      </c>
      <c r="C9859">
        <v>10</v>
      </c>
      <c r="D9859">
        <v>1</v>
      </c>
      <c r="E9859">
        <v>14830</v>
      </c>
      <c r="F9859">
        <v>77755.149999999994</v>
      </c>
      <c r="G9859">
        <v>0</v>
      </c>
      <c r="H9859">
        <v>0</v>
      </c>
      <c r="I9859">
        <v>0</v>
      </c>
      <c r="J9859">
        <v>0</v>
      </c>
      <c r="K9859">
        <v>0</v>
      </c>
      <c r="L9859">
        <v>36300000</v>
      </c>
      <c r="M9859">
        <v>36300000</v>
      </c>
      <c r="N9859">
        <v>14834944.300000001</v>
      </c>
      <c r="O9859">
        <v>14834944.300000001</v>
      </c>
      <c r="P9859">
        <v>36175320.93</v>
      </c>
      <c r="Q9859">
        <v>36175320.93</v>
      </c>
      <c r="R9859" s="14">
        <f>_xlfn.XLOOKUP(Table2[[#This Row],[LoanID]],Table1[G-L ID],Table1[ManagerCode],-99)</f>
        <v>220</v>
      </c>
      <c r="T9859"/>
    </row>
    <row r="9860" spans="1:20" x14ac:dyDescent="0.25">
      <c r="A9860">
        <v>20191031</v>
      </c>
      <c r="B9860">
        <v>2019</v>
      </c>
      <c r="C9860">
        <v>10</v>
      </c>
      <c r="D9860">
        <v>1</v>
      </c>
      <c r="E9860">
        <v>14840</v>
      </c>
      <c r="F9860">
        <v>69025.59</v>
      </c>
      <c r="G9860">
        <v>0</v>
      </c>
      <c r="H9860">
        <v>0</v>
      </c>
      <c r="I9860">
        <v>0</v>
      </c>
      <c r="J9860">
        <v>0</v>
      </c>
      <c r="K9860">
        <v>0</v>
      </c>
      <c r="L9860">
        <v>32520000</v>
      </c>
      <c r="M9860">
        <v>32514668.289999999</v>
      </c>
      <c r="N9860">
        <v>13321466.960000001</v>
      </c>
      <c r="O9860">
        <v>13316135.25</v>
      </c>
      <c r="P9860">
        <v>32484668.289999999</v>
      </c>
      <c r="Q9860">
        <v>32484668.289999999</v>
      </c>
      <c r="R9860" s="14">
        <f>_xlfn.XLOOKUP(Table2[[#This Row],[LoanID]],Table1[G-L ID],Table1[ManagerCode],-99)</f>
        <v>220</v>
      </c>
      <c r="T9860"/>
    </row>
    <row r="9861" spans="1:20" x14ac:dyDescent="0.25">
      <c r="A9861">
        <v>20191031</v>
      </c>
      <c r="B9861">
        <v>2019</v>
      </c>
      <c r="C9861">
        <v>10</v>
      </c>
      <c r="D9861">
        <v>1</v>
      </c>
      <c r="E9861">
        <v>14850</v>
      </c>
      <c r="F9861">
        <v>179462.5</v>
      </c>
      <c r="G9861">
        <v>0</v>
      </c>
      <c r="H9861">
        <v>0</v>
      </c>
      <c r="I9861">
        <v>0</v>
      </c>
      <c r="J9861">
        <v>-513472.31</v>
      </c>
      <c r="K9861">
        <v>0</v>
      </c>
      <c r="L9861">
        <v>87490000</v>
      </c>
      <c r="M9861">
        <v>88003472.310000002</v>
      </c>
      <c r="N9861">
        <v>35861474.119999997</v>
      </c>
      <c r="O9861">
        <v>36374946.43</v>
      </c>
      <c r="P9861">
        <v>87414905.219999999</v>
      </c>
      <c r="Q9861">
        <v>87928377.530000001</v>
      </c>
      <c r="R9861" s="14">
        <f>_xlfn.XLOOKUP(Table2[[#This Row],[LoanID]],Table1[G-L ID],Table1[ManagerCode],-99)</f>
        <v>220</v>
      </c>
      <c r="T9861"/>
    </row>
    <row r="9862" spans="1:20" x14ac:dyDescent="0.25">
      <c r="A9862">
        <v>20191031</v>
      </c>
      <c r="B9862">
        <v>2019</v>
      </c>
      <c r="C9862">
        <v>10</v>
      </c>
      <c r="D9862">
        <v>1</v>
      </c>
      <c r="E9862">
        <v>14860</v>
      </c>
      <c r="F9862">
        <v>147427.24</v>
      </c>
      <c r="G9862">
        <v>0</v>
      </c>
      <c r="H9862">
        <v>0</v>
      </c>
      <c r="I9862">
        <v>0</v>
      </c>
      <c r="J9862">
        <v>0</v>
      </c>
      <c r="K9862">
        <v>0</v>
      </c>
      <c r="L9862">
        <v>65250000</v>
      </c>
      <c r="M9862">
        <v>65150000</v>
      </c>
      <c r="N9862">
        <v>26391000</v>
      </c>
      <c r="O9862">
        <v>26291000</v>
      </c>
      <c r="P9862">
        <v>65000000</v>
      </c>
      <c r="Q9862">
        <v>65000000</v>
      </c>
      <c r="R9862" s="14">
        <f>_xlfn.XLOOKUP(Table2[[#This Row],[LoanID]],Table1[G-L ID],Table1[ManagerCode],-99)</f>
        <v>220</v>
      </c>
      <c r="T9862"/>
    </row>
    <row r="9863" spans="1:20" x14ac:dyDescent="0.25">
      <c r="A9863">
        <v>20191031</v>
      </c>
      <c r="B9863">
        <v>2019</v>
      </c>
      <c r="C9863">
        <v>10</v>
      </c>
      <c r="D9863">
        <v>1</v>
      </c>
      <c r="E9863">
        <v>14870</v>
      </c>
      <c r="F9863">
        <v>484943.49</v>
      </c>
      <c r="G9863">
        <v>0</v>
      </c>
      <c r="H9863">
        <v>0</v>
      </c>
      <c r="I9863">
        <v>0</v>
      </c>
      <c r="J9863">
        <v>0</v>
      </c>
      <c r="K9863">
        <v>12633166.390000001</v>
      </c>
      <c r="L9863">
        <v>122600000</v>
      </c>
      <c r="M9863">
        <v>122600000</v>
      </c>
      <c r="N9863">
        <v>93730369.939999998</v>
      </c>
      <c r="O9863">
        <v>81097203.549999997</v>
      </c>
      <c r="P9863">
        <v>122531220</v>
      </c>
      <c r="Q9863">
        <v>122531220</v>
      </c>
      <c r="R9863" s="14">
        <f>_xlfn.XLOOKUP(Table2[[#This Row],[LoanID]],Table1[G-L ID],Table1[ManagerCode],-99)</f>
        <v>220</v>
      </c>
      <c r="T9863"/>
    </row>
    <row r="9864" spans="1:20" x14ac:dyDescent="0.25">
      <c r="A9864">
        <v>20191031</v>
      </c>
      <c r="B9864">
        <v>2019</v>
      </c>
      <c r="C9864">
        <v>10</v>
      </c>
      <c r="D9864">
        <v>1</v>
      </c>
      <c r="E9864">
        <v>14880</v>
      </c>
      <c r="F9864">
        <v>138734.06</v>
      </c>
      <c r="G9864">
        <v>0</v>
      </c>
      <c r="H9864">
        <v>0</v>
      </c>
      <c r="I9864">
        <v>0</v>
      </c>
      <c r="J9864">
        <v>-196357.4</v>
      </c>
      <c r="K9864">
        <v>0</v>
      </c>
      <c r="L9864">
        <v>20034426.460000001</v>
      </c>
      <c r="M9864">
        <v>20230783.859999999</v>
      </c>
      <c r="N9864">
        <v>20034426.460000001</v>
      </c>
      <c r="O9864">
        <v>20230783.859999999</v>
      </c>
      <c r="P9864">
        <v>20034426.460000001</v>
      </c>
      <c r="Q9864">
        <v>20230783.859999999</v>
      </c>
      <c r="R9864" s="14">
        <f>_xlfn.XLOOKUP(Table2[[#This Row],[LoanID]],Table1[G-L ID],Table1[ManagerCode],-99)</f>
        <v>220</v>
      </c>
      <c r="T9864"/>
    </row>
    <row r="9865" spans="1:20" x14ac:dyDescent="0.25">
      <c r="A9865">
        <v>20191031</v>
      </c>
      <c r="B9865">
        <v>2019</v>
      </c>
      <c r="C9865">
        <v>10</v>
      </c>
      <c r="D9865">
        <v>1</v>
      </c>
      <c r="E9865">
        <v>14890</v>
      </c>
      <c r="F9865">
        <v>58894.98</v>
      </c>
      <c r="G9865">
        <v>0</v>
      </c>
      <c r="H9865">
        <v>0</v>
      </c>
      <c r="I9865">
        <v>0</v>
      </c>
      <c r="J9865">
        <v>0</v>
      </c>
      <c r="K9865">
        <v>0</v>
      </c>
      <c r="L9865">
        <v>34000000</v>
      </c>
      <c r="M9865">
        <v>34000000</v>
      </c>
      <c r="N9865">
        <v>14177663.98</v>
      </c>
      <c r="O9865">
        <v>14177663.98</v>
      </c>
      <c r="P9865">
        <v>34000000</v>
      </c>
      <c r="Q9865">
        <v>34000000</v>
      </c>
      <c r="R9865" s="14">
        <f>_xlfn.XLOOKUP(Table2[[#This Row],[LoanID]],Table1[G-L ID],Table1[ManagerCode],-99)</f>
        <v>220</v>
      </c>
      <c r="T9865"/>
    </row>
    <row r="9866" spans="1:20" x14ac:dyDescent="0.25">
      <c r="A9866">
        <v>20191031</v>
      </c>
      <c r="B9866">
        <v>2019</v>
      </c>
      <c r="C9866">
        <v>10</v>
      </c>
      <c r="D9866">
        <v>1</v>
      </c>
      <c r="E9866">
        <v>14900</v>
      </c>
      <c r="F9866">
        <v>109416.49</v>
      </c>
      <c r="G9866">
        <v>0</v>
      </c>
      <c r="H9866">
        <v>0</v>
      </c>
      <c r="I9866">
        <v>0</v>
      </c>
      <c r="J9866">
        <v>0</v>
      </c>
      <c r="K9866">
        <v>0</v>
      </c>
      <c r="L9866">
        <v>66096659.850000001</v>
      </c>
      <c r="M9866">
        <v>66096659.850000001</v>
      </c>
      <c r="N9866">
        <v>24496659.850000001</v>
      </c>
      <c r="O9866">
        <v>24496659.850000001</v>
      </c>
      <c r="P9866">
        <v>66096659.850000001</v>
      </c>
      <c r="Q9866">
        <v>66096659.850000001</v>
      </c>
      <c r="R9866" s="14">
        <f>_xlfn.XLOOKUP(Table2[[#This Row],[LoanID]],Table1[G-L ID],Table1[ManagerCode],-99)</f>
        <v>220</v>
      </c>
      <c r="T9866"/>
    </row>
    <row r="9867" spans="1:20" x14ac:dyDescent="0.25">
      <c r="A9867">
        <v>20191031</v>
      </c>
      <c r="B9867">
        <v>2019</v>
      </c>
      <c r="C9867">
        <v>10</v>
      </c>
      <c r="D9867">
        <v>1</v>
      </c>
      <c r="E9867">
        <v>14910</v>
      </c>
      <c r="F9867">
        <v>70620.320000000007</v>
      </c>
      <c r="G9867">
        <v>0</v>
      </c>
      <c r="H9867">
        <v>0</v>
      </c>
      <c r="I9867">
        <v>0</v>
      </c>
      <c r="J9867">
        <v>-1053518.8999999999</v>
      </c>
      <c r="K9867">
        <v>0</v>
      </c>
      <c r="L9867">
        <v>38393859.18</v>
      </c>
      <c r="M9867">
        <v>39447378.079999998</v>
      </c>
      <c r="N9867">
        <v>11793859.18</v>
      </c>
      <c r="O9867">
        <v>12847378.08</v>
      </c>
      <c r="P9867">
        <v>38393859.18</v>
      </c>
      <c r="Q9867">
        <v>39447378.079999998</v>
      </c>
      <c r="R9867" s="14">
        <f>_xlfn.XLOOKUP(Table2[[#This Row],[LoanID]],Table1[G-L ID],Table1[ManagerCode],-99)</f>
        <v>220</v>
      </c>
      <c r="T9867"/>
    </row>
    <row r="9868" spans="1:20" x14ac:dyDescent="0.25">
      <c r="A9868">
        <v>20191031</v>
      </c>
      <c r="B9868">
        <v>2019</v>
      </c>
      <c r="C9868">
        <v>10</v>
      </c>
      <c r="D9868">
        <v>1</v>
      </c>
      <c r="E9868">
        <v>14920</v>
      </c>
      <c r="F9868">
        <v>126947.68</v>
      </c>
      <c r="G9868">
        <v>0</v>
      </c>
      <c r="H9868">
        <v>0</v>
      </c>
      <c r="I9868">
        <v>0</v>
      </c>
      <c r="J9868">
        <v>-306361.08</v>
      </c>
      <c r="K9868">
        <v>0</v>
      </c>
      <c r="L9868">
        <v>70220213.900000006</v>
      </c>
      <c r="M9868">
        <v>70526574.980000004</v>
      </c>
      <c r="N9868">
        <v>21220213.899999999</v>
      </c>
      <c r="O9868">
        <v>21526574.98</v>
      </c>
      <c r="P9868">
        <v>70220213.900000006</v>
      </c>
      <c r="Q9868">
        <v>70526574.980000004</v>
      </c>
      <c r="R9868" s="14">
        <f>_xlfn.XLOOKUP(Table2[[#This Row],[LoanID]],Table1[G-L ID],Table1[ManagerCode],-99)</f>
        <v>220</v>
      </c>
      <c r="T9868"/>
    </row>
    <row r="9869" spans="1:20" x14ac:dyDescent="0.25">
      <c r="A9869">
        <v>20191031</v>
      </c>
      <c r="B9869">
        <v>2019</v>
      </c>
      <c r="C9869">
        <v>10</v>
      </c>
      <c r="D9869">
        <v>1</v>
      </c>
      <c r="E9869">
        <v>14930</v>
      </c>
      <c r="F9869">
        <v>87702.09</v>
      </c>
      <c r="G9869">
        <v>0</v>
      </c>
      <c r="H9869">
        <v>0</v>
      </c>
      <c r="I9869">
        <v>0</v>
      </c>
      <c r="J9869">
        <v>0</v>
      </c>
      <c r="K9869">
        <v>0</v>
      </c>
      <c r="L9869">
        <v>55000000</v>
      </c>
      <c r="M9869">
        <v>55000000</v>
      </c>
      <c r="N9869">
        <v>19250000</v>
      </c>
      <c r="O9869">
        <v>19250000</v>
      </c>
      <c r="P9869">
        <v>55000000</v>
      </c>
      <c r="Q9869">
        <v>55000000</v>
      </c>
      <c r="R9869" s="14">
        <f>_xlfn.XLOOKUP(Table2[[#This Row],[LoanID]],Table1[G-L ID],Table1[ManagerCode],-99)</f>
        <v>220</v>
      </c>
      <c r="T9869"/>
    </row>
    <row r="9870" spans="1:20" x14ac:dyDescent="0.25">
      <c r="A9870">
        <v>20191031</v>
      </c>
      <c r="B9870">
        <v>2019</v>
      </c>
      <c r="C9870">
        <v>10</v>
      </c>
      <c r="D9870">
        <v>1</v>
      </c>
      <c r="E9870">
        <v>14940</v>
      </c>
      <c r="F9870">
        <v>144546.75</v>
      </c>
      <c r="G9870">
        <v>0</v>
      </c>
      <c r="H9870">
        <v>0</v>
      </c>
      <c r="I9870">
        <v>0</v>
      </c>
      <c r="J9870">
        <v>-258290.74</v>
      </c>
      <c r="K9870">
        <v>0</v>
      </c>
      <c r="L9870">
        <v>73762499.120000005</v>
      </c>
      <c r="M9870">
        <v>74020789.859999999</v>
      </c>
      <c r="N9870">
        <v>35306557.350000001</v>
      </c>
      <c r="O9870">
        <v>35564848.090000004</v>
      </c>
      <c r="P9870">
        <v>73571968.209999993</v>
      </c>
      <c r="Q9870">
        <v>73830258.950000003</v>
      </c>
      <c r="R9870" s="14">
        <f>_xlfn.XLOOKUP(Table2[[#This Row],[LoanID]],Table1[G-L ID],Table1[ManagerCode],-99)</f>
        <v>220</v>
      </c>
      <c r="T9870"/>
    </row>
    <row r="9871" spans="1:20" x14ac:dyDescent="0.25">
      <c r="A9871">
        <v>20191031</v>
      </c>
      <c r="B9871">
        <v>2019</v>
      </c>
      <c r="C9871">
        <v>10</v>
      </c>
      <c r="D9871">
        <v>1</v>
      </c>
      <c r="E9871">
        <v>14950</v>
      </c>
      <c r="F9871">
        <v>198294.44</v>
      </c>
      <c r="G9871">
        <v>0</v>
      </c>
      <c r="H9871">
        <v>0</v>
      </c>
      <c r="I9871">
        <v>0</v>
      </c>
      <c r="J9871">
        <v>0</v>
      </c>
      <c r="K9871">
        <v>0</v>
      </c>
      <c r="L9871">
        <v>35000000</v>
      </c>
      <c r="M9871">
        <v>35000000</v>
      </c>
      <c r="N9871">
        <v>35000000</v>
      </c>
      <c r="O9871">
        <v>35000000</v>
      </c>
      <c r="P9871">
        <v>35000000</v>
      </c>
      <c r="Q9871">
        <v>35000000</v>
      </c>
      <c r="R9871" s="14">
        <f>_xlfn.XLOOKUP(Table2[[#This Row],[LoanID]],Table1[G-L ID],Table1[ManagerCode],-99)</f>
        <v>220</v>
      </c>
      <c r="T9871"/>
    </row>
    <row r="9872" spans="1:20" x14ac:dyDescent="0.25">
      <c r="A9872">
        <v>20191031</v>
      </c>
      <c r="B9872">
        <v>2019</v>
      </c>
      <c r="C9872">
        <v>10</v>
      </c>
      <c r="D9872">
        <v>1</v>
      </c>
      <c r="E9872">
        <v>14960</v>
      </c>
      <c r="F9872">
        <v>43484.1</v>
      </c>
      <c r="G9872">
        <v>0</v>
      </c>
      <c r="H9872">
        <v>0</v>
      </c>
      <c r="I9872">
        <v>0</v>
      </c>
      <c r="J9872">
        <v>0</v>
      </c>
      <c r="K9872">
        <v>1580934.35</v>
      </c>
      <c r="L9872">
        <v>14840000</v>
      </c>
      <c r="M9872">
        <v>14840000</v>
      </c>
      <c r="N9872">
        <v>11227208.99</v>
      </c>
      <c r="O9872">
        <v>9646274.6400000006</v>
      </c>
      <c r="P9872">
        <v>14805000</v>
      </c>
      <c r="Q9872">
        <v>14805000</v>
      </c>
      <c r="R9872" s="14">
        <f>_xlfn.XLOOKUP(Table2[[#This Row],[LoanID]],Table1[G-L ID],Table1[ManagerCode],-99)</f>
        <v>220</v>
      </c>
      <c r="T9872"/>
    </row>
    <row r="9873" spans="1:20" x14ac:dyDescent="0.25">
      <c r="A9873">
        <v>20191031</v>
      </c>
      <c r="B9873">
        <v>2019</v>
      </c>
      <c r="C9873">
        <v>10</v>
      </c>
      <c r="D9873">
        <v>1</v>
      </c>
      <c r="E9873">
        <v>14970</v>
      </c>
      <c r="F9873">
        <v>62865</v>
      </c>
      <c r="G9873">
        <v>0</v>
      </c>
      <c r="H9873">
        <v>0</v>
      </c>
      <c r="I9873">
        <v>0</v>
      </c>
      <c r="J9873">
        <v>0</v>
      </c>
      <c r="K9873">
        <v>0</v>
      </c>
      <c r="L9873">
        <v>29700000</v>
      </c>
      <c r="M9873">
        <v>29700000</v>
      </c>
      <c r="N9873">
        <v>10395000</v>
      </c>
      <c r="O9873">
        <v>10395000</v>
      </c>
      <c r="P9873">
        <v>29700000</v>
      </c>
      <c r="Q9873">
        <v>29700000</v>
      </c>
      <c r="R9873" s="14">
        <f>_xlfn.XLOOKUP(Table2[[#This Row],[LoanID]],Table1[G-L ID],Table1[ManagerCode],-99)</f>
        <v>220</v>
      </c>
      <c r="T9873"/>
    </row>
    <row r="9874" spans="1:20" x14ac:dyDescent="0.25">
      <c r="A9874">
        <v>20191031</v>
      </c>
      <c r="B9874">
        <v>2019</v>
      </c>
      <c r="C9874">
        <v>10</v>
      </c>
      <c r="D9874">
        <v>1</v>
      </c>
      <c r="E9874">
        <v>14980</v>
      </c>
      <c r="F9874">
        <v>140500</v>
      </c>
      <c r="G9874">
        <v>0</v>
      </c>
      <c r="H9874">
        <v>0</v>
      </c>
      <c r="I9874">
        <v>0</v>
      </c>
      <c r="J9874">
        <v>0</v>
      </c>
      <c r="K9874">
        <v>0</v>
      </c>
      <c r="L9874">
        <v>75000000</v>
      </c>
      <c r="M9874">
        <v>75000000</v>
      </c>
      <c r="N9874">
        <v>22500000</v>
      </c>
      <c r="O9874">
        <v>22500000</v>
      </c>
      <c r="P9874">
        <v>75000000</v>
      </c>
      <c r="Q9874">
        <v>75000000</v>
      </c>
      <c r="R9874" s="14">
        <f>_xlfn.XLOOKUP(Table2[[#This Row],[LoanID]],Table1[G-L ID],Table1[ManagerCode],-99)</f>
        <v>220</v>
      </c>
      <c r="T9874"/>
    </row>
    <row r="9875" spans="1:20" x14ac:dyDescent="0.25">
      <c r="A9875">
        <v>20191031</v>
      </c>
      <c r="B9875">
        <v>2019</v>
      </c>
      <c r="C9875">
        <v>10</v>
      </c>
      <c r="D9875">
        <v>1</v>
      </c>
      <c r="E9875">
        <v>14990</v>
      </c>
      <c r="F9875">
        <v>-48185.96</v>
      </c>
      <c r="G9875">
        <v>0</v>
      </c>
      <c r="H9875">
        <v>0</v>
      </c>
      <c r="I9875">
        <v>0</v>
      </c>
      <c r="J9875">
        <v>0</v>
      </c>
      <c r="K9875">
        <v>0</v>
      </c>
      <c r="L9875">
        <v>32650000</v>
      </c>
      <c r="M9875">
        <v>32650000</v>
      </c>
      <c r="N9875">
        <v>9795000</v>
      </c>
      <c r="O9875">
        <v>9795000</v>
      </c>
      <c r="P9875">
        <v>32650000</v>
      </c>
      <c r="Q9875">
        <v>32650000</v>
      </c>
      <c r="R9875" s="14">
        <f>_xlfn.XLOOKUP(Table2[[#This Row],[LoanID]],Table1[G-L ID],Table1[ManagerCode],-99)</f>
        <v>220</v>
      </c>
      <c r="T9875"/>
    </row>
    <row r="9876" spans="1:20" x14ac:dyDescent="0.25">
      <c r="A9876">
        <v>20191031</v>
      </c>
      <c r="B9876">
        <v>2019</v>
      </c>
      <c r="C9876">
        <v>10</v>
      </c>
      <c r="D9876">
        <v>1</v>
      </c>
      <c r="E9876">
        <v>15000</v>
      </c>
      <c r="F9876">
        <v>-100190.52</v>
      </c>
      <c r="G9876">
        <v>0</v>
      </c>
      <c r="H9876">
        <v>0</v>
      </c>
      <c r="I9876">
        <v>0</v>
      </c>
      <c r="J9876">
        <v>0</v>
      </c>
      <c r="K9876">
        <v>0</v>
      </c>
      <c r="L9876">
        <v>110000000</v>
      </c>
      <c r="M9876">
        <v>110000000</v>
      </c>
      <c r="N9876">
        <v>33000000</v>
      </c>
      <c r="O9876">
        <v>33000000</v>
      </c>
      <c r="P9876">
        <v>110000000</v>
      </c>
      <c r="Q9876">
        <v>110000000</v>
      </c>
      <c r="R9876" s="14">
        <f>_xlfn.XLOOKUP(Table2[[#This Row],[LoanID]],Table1[G-L ID],Table1[ManagerCode],-99)</f>
        <v>220</v>
      </c>
      <c r="T9876"/>
    </row>
    <row r="9877" spans="1:20" x14ac:dyDescent="0.25">
      <c r="A9877">
        <v>20191031</v>
      </c>
      <c r="B9877">
        <v>2019</v>
      </c>
      <c r="C9877">
        <v>10</v>
      </c>
      <c r="D9877">
        <v>1</v>
      </c>
      <c r="E9877">
        <v>15010</v>
      </c>
      <c r="F9877">
        <v>69965.72</v>
      </c>
      <c r="G9877">
        <v>0</v>
      </c>
      <c r="H9877">
        <v>0</v>
      </c>
      <c r="I9877">
        <v>0</v>
      </c>
      <c r="J9877">
        <v>0</v>
      </c>
      <c r="K9877">
        <v>0</v>
      </c>
      <c r="L9877">
        <v>30960000</v>
      </c>
      <c r="M9877">
        <v>30960000</v>
      </c>
      <c r="N9877">
        <v>10836000</v>
      </c>
      <c r="O9877">
        <v>10836000</v>
      </c>
      <c r="P9877">
        <v>30960000</v>
      </c>
      <c r="Q9877">
        <v>30960000</v>
      </c>
      <c r="R9877" s="14">
        <f>_xlfn.XLOOKUP(Table2[[#This Row],[LoanID]],Table1[G-L ID],Table1[ManagerCode],-99)</f>
        <v>220</v>
      </c>
      <c r="T9877"/>
    </row>
    <row r="9878" spans="1:20" x14ac:dyDescent="0.25">
      <c r="A9878">
        <v>20191031</v>
      </c>
      <c r="B9878">
        <v>2019</v>
      </c>
      <c r="C9878">
        <v>10</v>
      </c>
      <c r="D9878">
        <v>1</v>
      </c>
      <c r="E9878">
        <v>15020</v>
      </c>
      <c r="F9878">
        <v>-1.1499999999999999</v>
      </c>
      <c r="G9878">
        <v>0</v>
      </c>
      <c r="H9878">
        <v>0</v>
      </c>
      <c r="I9878">
        <v>0</v>
      </c>
      <c r="J9878">
        <v>0</v>
      </c>
      <c r="K9878">
        <v>23371129.050000001</v>
      </c>
      <c r="L9878">
        <v>69000000</v>
      </c>
      <c r="M9878">
        <v>69000000</v>
      </c>
      <c r="N9878">
        <v>69000000</v>
      </c>
      <c r="O9878">
        <v>45628870.950000003</v>
      </c>
      <c r="P9878">
        <v>69000000</v>
      </c>
      <c r="Q9878">
        <v>69000000</v>
      </c>
      <c r="R9878" s="14">
        <f>_xlfn.XLOOKUP(Table2[[#This Row],[LoanID]],Table1[G-L ID],Table1[ManagerCode],-99)</f>
        <v>220</v>
      </c>
      <c r="T9878"/>
    </row>
    <row r="9879" spans="1:20" x14ac:dyDescent="0.25">
      <c r="A9879">
        <v>20191031</v>
      </c>
      <c r="B9879">
        <v>2019</v>
      </c>
      <c r="C9879">
        <v>10</v>
      </c>
      <c r="D9879">
        <v>1</v>
      </c>
      <c r="E9879">
        <v>15030</v>
      </c>
      <c r="F9879">
        <v>88194.2</v>
      </c>
      <c r="G9879">
        <v>0</v>
      </c>
      <c r="H9879">
        <v>0</v>
      </c>
      <c r="I9879">
        <v>0</v>
      </c>
      <c r="J9879">
        <v>-46498.41</v>
      </c>
      <c r="K9879">
        <v>0</v>
      </c>
      <c r="L9879">
        <v>39929268.359999999</v>
      </c>
      <c r="M9879">
        <v>39975766.770000003</v>
      </c>
      <c r="N9879">
        <v>15174550.949999999</v>
      </c>
      <c r="O9879">
        <v>15221049.359999999</v>
      </c>
      <c r="P9879">
        <v>39884142.039999999</v>
      </c>
      <c r="Q9879">
        <v>39930640.450000003</v>
      </c>
      <c r="R9879" s="14">
        <f>_xlfn.XLOOKUP(Table2[[#This Row],[LoanID]],Table1[G-L ID],Table1[ManagerCode],-99)</f>
        <v>220</v>
      </c>
      <c r="T9879"/>
    </row>
    <row r="9880" spans="1:20" x14ac:dyDescent="0.25">
      <c r="A9880">
        <v>20191031</v>
      </c>
      <c r="B9880">
        <v>2019</v>
      </c>
      <c r="C9880">
        <v>10</v>
      </c>
      <c r="D9880">
        <v>1</v>
      </c>
      <c r="E9880">
        <v>15040</v>
      </c>
      <c r="F9880">
        <v>101274.41</v>
      </c>
      <c r="G9880">
        <v>0</v>
      </c>
      <c r="H9880">
        <v>0</v>
      </c>
      <c r="I9880">
        <v>0</v>
      </c>
      <c r="J9880">
        <v>-565927.41</v>
      </c>
      <c r="K9880">
        <v>0</v>
      </c>
      <c r="L9880">
        <v>50900000</v>
      </c>
      <c r="M9880">
        <v>51465927.409999996</v>
      </c>
      <c r="N9880">
        <v>17815000</v>
      </c>
      <c r="O9880">
        <v>18380927.41</v>
      </c>
      <c r="P9880">
        <v>50900000</v>
      </c>
      <c r="Q9880">
        <v>51465927.409999996</v>
      </c>
      <c r="R9880" s="14">
        <f>_xlfn.XLOOKUP(Table2[[#This Row],[LoanID]],Table1[G-L ID],Table1[ManagerCode],-99)</f>
        <v>183</v>
      </c>
      <c r="T9880"/>
    </row>
    <row r="9881" spans="1:20" x14ac:dyDescent="0.25">
      <c r="A9881">
        <v>20191031</v>
      </c>
      <c r="B9881">
        <v>2019</v>
      </c>
      <c r="C9881">
        <v>10</v>
      </c>
      <c r="D9881">
        <v>1</v>
      </c>
      <c r="E9881">
        <v>15050</v>
      </c>
      <c r="F9881">
        <v>90646.399999999994</v>
      </c>
      <c r="G9881">
        <v>0</v>
      </c>
      <c r="H9881">
        <v>0</v>
      </c>
      <c r="I9881">
        <v>0</v>
      </c>
      <c r="J9881">
        <v>0</v>
      </c>
      <c r="K9881">
        <v>0</v>
      </c>
      <c r="L9881">
        <v>47510000</v>
      </c>
      <c r="M9881">
        <v>47510000</v>
      </c>
      <c r="N9881">
        <v>16628500</v>
      </c>
      <c r="O9881">
        <v>16628500</v>
      </c>
      <c r="P9881">
        <v>47510000</v>
      </c>
      <c r="Q9881">
        <v>47510000</v>
      </c>
      <c r="R9881" s="14">
        <f>_xlfn.XLOOKUP(Table2[[#This Row],[LoanID]],Table1[G-L ID],Table1[ManagerCode],-99)</f>
        <v>183</v>
      </c>
      <c r="T9881"/>
    </row>
    <row r="9882" spans="1:20" x14ac:dyDescent="0.25">
      <c r="A9882">
        <v>20191031</v>
      </c>
      <c r="B9882">
        <v>2019</v>
      </c>
      <c r="C9882">
        <v>10</v>
      </c>
      <c r="D9882">
        <v>1</v>
      </c>
      <c r="E9882">
        <v>15060</v>
      </c>
      <c r="F9882">
        <v>52261.8</v>
      </c>
      <c r="G9882">
        <v>0</v>
      </c>
      <c r="H9882">
        <v>0</v>
      </c>
      <c r="I9882">
        <v>0</v>
      </c>
      <c r="J9882">
        <v>0</v>
      </c>
      <c r="K9882">
        <v>0</v>
      </c>
      <c r="L9882">
        <v>27750000</v>
      </c>
      <c r="M9882">
        <v>27750000</v>
      </c>
      <c r="N9882">
        <v>9712500</v>
      </c>
      <c r="O9882">
        <v>9712500</v>
      </c>
      <c r="P9882">
        <v>27750000</v>
      </c>
      <c r="Q9882">
        <v>27750000</v>
      </c>
      <c r="R9882" s="14">
        <f>_xlfn.XLOOKUP(Table2[[#This Row],[LoanID]],Table1[G-L ID],Table1[ManagerCode],-99)</f>
        <v>183</v>
      </c>
      <c r="T9882"/>
    </row>
    <row r="9883" spans="1:20" x14ac:dyDescent="0.25">
      <c r="A9883">
        <v>20191031</v>
      </c>
      <c r="B9883">
        <v>2019</v>
      </c>
      <c r="C9883">
        <v>10</v>
      </c>
      <c r="D9883">
        <v>1</v>
      </c>
      <c r="E9883">
        <v>15070</v>
      </c>
      <c r="F9883">
        <v>128983.92</v>
      </c>
      <c r="G9883">
        <v>0</v>
      </c>
      <c r="H9883">
        <v>0</v>
      </c>
      <c r="I9883">
        <v>0</v>
      </c>
      <c r="J9883">
        <v>-55776.61</v>
      </c>
      <c r="K9883">
        <v>0</v>
      </c>
      <c r="L9883">
        <v>77501000</v>
      </c>
      <c r="M9883">
        <v>77556776.609999999</v>
      </c>
      <c r="N9883">
        <v>23250300</v>
      </c>
      <c r="O9883">
        <v>23306076.609999999</v>
      </c>
      <c r="P9883">
        <v>77501000</v>
      </c>
      <c r="Q9883">
        <v>77556776.609999999</v>
      </c>
      <c r="R9883" s="14">
        <f>_xlfn.XLOOKUP(Table2[[#This Row],[LoanID]],Table1[G-L ID],Table1[ManagerCode],-99)</f>
        <v>183</v>
      </c>
      <c r="T9883"/>
    </row>
    <row r="9884" spans="1:20" x14ac:dyDescent="0.25">
      <c r="A9884">
        <v>20191031</v>
      </c>
      <c r="B9884">
        <v>2019</v>
      </c>
      <c r="C9884">
        <v>10</v>
      </c>
      <c r="D9884">
        <v>1</v>
      </c>
      <c r="E9884">
        <v>15360</v>
      </c>
      <c r="F9884">
        <v>566.78</v>
      </c>
      <c r="G9884">
        <v>0</v>
      </c>
      <c r="H9884">
        <v>98060</v>
      </c>
      <c r="I9884">
        <v>0</v>
      </c>
      <c r="J9884">
        <v>-477239.71</v>
      </c>
      <c r="K9884">
        <v>0</v>
      </c>
      <c r="L9884">
        <v>0</v>
      </c>
      <c r="M9884">
        <v>477239.71</v>
      </c>
      <c r="N9884">
        <v>0</v>
      </c>
      <c r="O9884">
        <v>477239.71</v>
      </c>
      <c r="P9884">
        <v>0</v>
      </c>
      <c r="Q9884">
        <v>477239.71</v>
      </c>
      <c r="R9884" s="14">
        <f>_xlfn.XLOOKUP(Table2[[#This Row],[LoanID]],Table1[G-L ID],Table1[ManagerCode],-99)</f>
        <v>219</v>
      </c>
      <c r="T9884"/>
    </row>
    <row r="9885" spans="1:20" x14ac:dyDescent="0.25">
      <c r="A9885">
        <v>20191031</v>
      </c>
      <c r="B9885">
        <v>2019</v>
      </c>
      <c r="C9885">
        <v>10</v>
      </c>
      <c r="D9885">
        <v>1</v>
      </c>
      <c r="E9885">
        <v>15380</v>
      </c>
      <c r="F9885">
        <v>20846.419999999998</v>
      </c>
      <c r="G9885">
        <v>0</v>
      </c>
      <c r="H9885">
        <v>269010</v>
      </c>
      <c r="I9885">
        <v>0</v>
      </c>
      <c r="J9885">
        <v>-34930000</v>
      </c>
      <c r="K9885">
        <v>0</v>
      </c>
      <c r="L9885">
        <v>0</v>
      </c>
      <c r="M9885">
        <v>34930000</v>
      </c>
      <c r="N9885">
        <v>0</v>
      </c>
      <c r="O9885">
        <v>34930000</v>
      </c>
      <c r="P9885">
        <v>0</v>
      </c>
      <c r="Q9885">
        <v>34930000</v>
      </c>
      <c r="R9885" s="14">
        <f>_xlfn.XLOOKUP(Table2[[#This Row],[LoanID]],Table1[G-L ID],Table1[ManagerCode],-99)</f>
        <v>220</v>
      </c>
      <c r="T9885"/>
    </row>
    <row r="9886" spans="1:20" x14ac:dyDescent="0.25">
      <c r="A9886">
        <v>20191031</v>
      </c>
      <c r="B9886">
        <v>2019</v>
      </c>
      <c r="C9886">
        <v>10</v>
      </c>
      <c r="D9886">
        <v>1</v>
      </c>
      <c r="E9886">
        <v>15420</v>
      </c>
      <c r="F9886">
        <v>0</v>
      </c>
      <c r="G9886">
        <v>0</v>
      </c>
      <c r="H9886">
        <v>223150</v>
      </c>
      <c r="I9886">
        <v>0</v>
      </c>
      <c r="J9886">
        <v>-44630000</v>
      </c>
      <c r="K9886">
        <v>0</v>
      </c>
      <c r="L9886">
        <v>0</v>
      </c>
      <c r="M9886">
        <v>44630000</v>
      </c>
      <c r="N9886">
        <v>0</v>
      </c>
      <c r="O9886">
        <v>44630000</v>
      </c>
      <c r="P9886">
        <v>0</v>
      </c>
      <c r="Q9886">
        <v>44630000</v>
      </c>
      <c r="R9886" s="14">
        <f>_xlfn.XLOOKUP(Table2[[#This Row],[LoanID]],Table1[G-L ID],Table1[ManagerCode],-99)</f>
        <v>183</v>
      </c>
      <c r="T9886"/>
    </row>
    <row r="9887" spans="1:20" x14ac:dyDescent="0.25">
      <c r="A9887">
        <v>20191031</v>
      </c>
      <c r="B9887">
        <v>2019</v>
      </c>
      <c r="C9887">
        <v>10</v>
      </c>
      <c r="D9887">
        <v>1</v>
      </c>
      <c r="E9887">
        <v>15430</v>
      </c>
      <c r="F9887">
        <v>0</v>
      </c>
      <c r="G9887">
        <v>0</v>
      </c>
      <c r="H9887">
        <v>284525</v>
      </c>
      <c r="I9887">
        <v>0</v>
      </c>
      <c r="J9887">
        <v>-51064800</v>
      </c>
      <c r="K9887">
        <v>0</v>
      </c>
      <c r="L9887">
        <v>0</v>
      </c>
      <c r="M9887">
        <v>51064800</v>
      </c>
      <c r="N9887">
        <v>0</v>
      </c>
      <c r="O9887">
        <v>51064800</v>
      </c>
      <c r="P9887">
        <v>0</v>
      </c>
      <c r="Q9887">
        <v>51064800</v>
      </c>
      <c r="R9887" s="14">
        <f>_xlfn.XLOOKUP(Table2[[#This Row],[LoanID]],Table1[G-L ID],Table1[ManagerCode],-99)</f>
        <v>183</v>
      </c>
      <c r="T9887"/>
    </row>
    <row r="9888" spans="1:20" x14ac:dyDescent="0.25">
      <c r="A9888">
        <v>20191031</v>
      </c>
      <c r="B9888">
        <v>2019</v>
      </c>
      <c r="C9888">
        <v>10</v>
      </c>
      <c r="D9888">
        <v>1</v>
      </c>
      <c r="E9888">
        <v>15540</v>
      </c>
      <c r="F9888">
        <v>276989.21999999997</v>
      </c>
      <c r="G9888">
        <v>8147.79</v>
      </c>
      <c r="H9888">
        <v>0</v>
      </c>
      <c r="I9888">
        <v>-2604.75</v>
      </c>
      <c r="J9888">
        <v>-1339993.51</v>
      </c>
      <c r="K9888">
        <v>0</v>
      </c>
      <c r="L9888">
        <v>62561399.299999997</v>
      </c>
      <c r="M9888">
        <v>63909540.600000001</v>
      </c>
      <c r="N9888">
        <v>62561399.299999997</v>
      </c>
      <c r="O9888">
        <v>63909540.600000001</v>
      </c>
      <c r="P9888">
        <v>62561399.299999997</v>
      </c>
      <c r="Q9888">
        <v>63909540.600000001</v>
      </c>
      <c r="R9888" s="14">
        <f>_xlfn.XLOOKUP(Table2[[#This Row],[LoanID]],Table1[G-L ID],Table1[ManagerCode],-99)</f>
        <v>212</v>
      </c>
      <c r="T9888"/>
    </row>
    <row r="9889" spans="1:20" x14ac:dyDescent="0.25">
      <c r="A9889">
        <v>20191031</v>
      </c>
      <c r="B9889">
        <v>2019</v>
      </c>
      <c r="C9889">
        <v>10</v>
      </c>
      <c r="D9889">
        <v>1</v>
      </c>
      <c r="E9889">
        <v>15560</v>
      </c>
      <c r="F9889">
        <v>265189.82</v>
      </c>
      <c r="G9889">
        <v>6174.56</v>
      </c>
      <c r="H9889">
        <v>0</v>
      </c>
      <c r="I9889">
        <v>0</v>
      </c>
      <c r="J9889">
        <v>0</v>
      </c>
      <c r="K9889">
        <v>0</v>
      </c>
      <c r="L9889">
        <v>49647934.57</v>
      </c>
      <c r="M9889">
        <v>49654109.130000003</v>
      </c>
      <c r="N9889">
        <v>49647934.57</v>
      </c>
      <c r="O9889">
        <v>49654109.130000003</v>
      </c>
      <c r="P9889">
        <v>49647934.57</v>
      </c>
      <c r="Q9889">
        <v>49654109.130000003</v>
      </c>
      <c r="R9889" s="14">
        <f>_xlfn.XLOOKUP(Table2[[#This Row],[LoanID]],Table1[G-L ID],Table1[ManagerCode],-99)</f>
        <v>212</v>
      </c>
      <c r="T9889"/>
    </row>
    <row r="9890" spans="1:20" x14ac:dyDescent="0.25">
      <c r="A9890">
        <v>20191031</v>
      </c>
      <c r="B9890">
        <v>2019</v>
      </c>
      <c r="C9890">
        <v>10</v>
      </c>
      <c r="D9890">
        <v>1</v>
      </c>
      <c r="E9890">
        <v>15570</v>
      </c>
      <c r="F9890">
        <v>10708.58</v>
      </c>
      <c r="G9890">
        <v>182660.15</v>
      </c>
      <c r="H9890">
        <v>508949.21</v>
      </c>
      <c r="I9890">
        <v>0</v>
      </c>
      <c r="J9890">
        <v>-26437304</v>
      </c>
      <c r="K9890">
        <v>0</v>
      </c>
      <c r="L9890">
        <v>0</v>
      </c>
      <c r="M9890">
        <v>26619964.149999999</v>
      </c>
      <c r="N9890">
        <v>0</v>
      </c>
      <c r="O9890">
        <v>26619964.149999999</v>
      </c>
      <c r="P9890">
        <v>0</v>
      </c>
      <c r="Q9890">
        <v>26619964.149999999</v>
      </c>
      <c r="R9890" s="14">
        <f>_xlfn.XLOOKUP(Table2[[#This Row],[LoanID]],Table1[G-L ID],Table1[ManagerCode],-99)</f>
        <v>212</v>
      </c>
      <c r="T9890"/>
    </row>
    <row r="9891" spans="1:20" x14ac:dyDescent="0.25">
      <c r="A9891">
        <v>20191031</v>
      </c>
      <c r="B9891">
        <v>2019</v>
      </c>
      <c r="C9891">
        <v>10</v>
      </c>
      <c r="D9891">
        <v>1</v>
      </c>
      <c r="E9891">
        <v>15580</v>
      </c>
      <c r="F9891">
        <v>110974.46</v>
      </c>
      <c r="G9891">
        <v>3600.16</v>
      </c>
      <c r="H9891">
        <v>0</v>
      </c>
      <c r="I9891">
        <v>0</v>
      </c>
      <c r="J9891">
        <v>0</v>
      </c>
      <c r="K9891">
        <v>12426.85</v>
      </c>
      <c r="L9891">
        <v>14507660.52</v>
      </c>
      <c r="M9891">
        <v>14498833.83</v>
      </c>
      <c r="N9891">
        <v>14507660.52</v>
      </c>
      <c r="O9891">
        <v>14498833.83</v>
      </c>
      <c r="P9891">
        <v>14507660.52</v>
      </c>
      <c r="Q9891">
        <v>14498833.83</v>
      </c>
      <c r="R9891" s="14">
        <f>_xlfn.XLOOKUP(Table2[[#This Row],[LoanID]],Table1[G-L ID],Table1[ManagerCode],-99)</f>
        <v>212</v>
      </c>
      <c r="T9891"/>
    </row>
    <row r="9892" spans="1:20" x14ac:dyDescent="0.25">
      <c r="A9892">
        <v>20191031</v>
      </c>
      <c r="B9892">
        <v>2019</v>
      </c>
      <c r="C9892">
        <v>10</v>
      </c>
      <c r="D9892">
        <v>1</v>
      </c>
      <c r="E9892">
        <v>15590</v>
      </c>
      <c r="F9892">
        <v>372772.91</v>
      </c>
      <c r="G9892">
        <v>-6355.53</v>
      </c>
      <c r="H9892">
        <v>0</v>
      </c>
      <c r="I9892">
        <v>-4459.7</v>
      </c>
      <c r="J9892">
        <v>-131689.32</v>
      </c>
      <c r="K9892">
        <v>0</v>
      </c>
      <c r="L9892">
        <v>103965050</v>
      </c>
      <c r="M9892">
        <v>104090383.8</v>
      </c>
      <c r="N9892">
        <v>103965050</v>
      </c>
      <c r="O9892">
        <v>104090383.8</v>
      </c>
      <c r="P9892">
        <v>103965050</v>
      </c>
      <c r="Q9892">
        <v>104090383.8</v>
      </c>
      <c r="R9892" s="14">
        <f>_xlfn.XLOOKUP(Table2[[#This Row],[LoanID]],Table1[G-L ID],Table1[ManagerCode],-99)</f>
        <v>212</v>
      </c>
      <c r="T9892"/>
    </row>
    <row r="9893" spans="1:20" x14ac:dyDescent="0.25">
      <c r="A9893">
        <v>20191031</v>
      </c>
      <c r="B9893">
        <v>2019</v>
      </c>
      <c r="C9893">
        <v>10</v>
      </c>
      <c r="D9893">
        <v>1</v>
      </c>
      <c r="E9893">
        <v>15610</v>
      </c>
      <c r="F9893">
        <v>881486.22</v>
      </c>
      <c r="G9893">
        <v>18003.54</v>
      </c>
      <c r="H9893">
        <v>0</v>
      </c>
      <c r="I9893">
        <v>-9149.73</v>
      </c>
      <c r="J9893">
        <v>0</v>
      </c>
      <c r="K9893">
        <v>0</v>
      </c>
      <c r="L9893">
        <v>221254751.90000001</v>
      </c>
      <c r="M9893">
        <v>221272755.5</v>
      </c>
      <c r="N9893">
        <v>221254751.90000001</v>
      </c>
      <c r="O9893">
        <v>221272755.5</v>
      </c>
      <c r="P9893">
        <v>221254751.90000001</v>
      </c>
      <c r="Q9893">
        <v>221272755.5</v>
      </c>
      <c r="R9893" s="14">
        <f>_xlfn.XLOOKUP(Table2[[#This Row],[LoanID]],Table1[G-L ID],Table1[ManagerCode],-99)</f>
        <v>212</v>
      </c>
      <c r="T9893"/>
    </row>
    <row r="9894" spans="1:20" x14ac:dyDescent="0.25">
      <c r="A9894">
        <v>20191031</v>
      </c>
      <c r="B9894">
        <v>2019</v>
      </c>
      <c r="C9894">
        <v>10</v>
      </c>
      <c r="D9894">
        <v>1</v>
      </c>
      <c r="E9894">
        <v>15620</v>
      </c>
      <c r="F9894">
        <v>334216.57</v>
      </c>
      <c r="G9894">
        <v>-5233.82</v>
      </c>
      <c r="H9894">
        <v>0</v>
      </c>
      <c r="I9894">
        <v>-14070.12</v>
      </c>
      <c r="J9894">
        <v>0</v>
      </c>
      <c r="K9894">
        <v>0</v>
      </c>
      <c r="L9894">
        <v>79269028.980000004</v>
      </c>
      <c r="M9894">
        <v>79263795.159999996</v>
      </c>
      <c r="N9894">
        <v>79269028.980000004</v>
      </c>
      <c r="O9894">
        <v>79263795.159999996</v>
      </c>
      <c r="P9894">
        <v>79269028.980000004</v>
      </c>
      <c r="Q9894">
        <v>79263795.159999996</v>
      </c>
      <c r="R9894" s="14">
        <f>_xlfn.XLOOKUP(Table2[[#This Row],[LoanID]],Table1[G-L ID],Table1[ManagerCode],-99)</f>
        <v>212</v>
      </c>
      <c r="T9894"/>
    </row>
    <row r="9895" spans="1:20" x14ac:dyDescent="0.25">
      <c r="A9895">
        <v>20191031</v>
      </c>
      <c r="B9895">
        <v>2019</v>
      </c>
      <c r="C9895">
        <v>10</v>
      </c>
      <c r="D9895">
        <v>1</v>
      </c>
      <c r="E9895">
        <v>15630</v>
      </c>
      <c r="F9895">
        <v>355742.86</v>
      </c>
      <c r="G9895">
        <v>192253.97</v>
      </c>
      <c r="H9895">
        <v>0</v>
      </c>
      <c r="I9895">
        <v>-5637.01</v>
      </c>
      <c r="J9895">
        <v>-7180565</v>
      </c>
      <c r="K9895">
        <v>0</v>
      </c>
      <c r="L9895">
        <v>135200936.80000001</v>
      </c>
      <c r="M9895">
        <v>142573755.80000001</v>
      </c>
      <c r="N9895">
        <v>135200936.80000001</v>
      </c>
      <c r="O9895">
        <v>142573755.80000001</v>
      </c>
      <c r="P9895">
        <v>135200936.80000001</v>
      </c>
      <c r="Q9895">
        <v>142573755.80000001</v>
      </c>
      <c r="R9895" s="14">
        <f>_xlfn.XLOOKUP(Table2[[#This Row],[LoanID]],Table1[G-L ID],Table1[ManagerCode],-99)</f>
        <v>212</v>
      </c>
      <c r="T9895"/>
    </row>
    <row r="9896" spans="1:20" x14ac:dyDescent="0.25">
      <c r="A9896">
        <v>20191031</v>
      </c>
      <c r="B9896">
        <v>2019</v>
      </c>
      <c r="C9896">
        <v>10</v>
      </c>
      <c r="D9896">
        <v>1</v>
      </c>
      <c r="E9896">
        <v>15670</v>
      </c>
      <c r="F9896">
        <v>28880.29</v>
      </c>
      <c r="G9896">
        <v>0</v>
      </c>
      <c r="H9896">
        <v>0</v>
      </c>
      <c r="I9896">
        <v>0</v>
      </c>
      <c r="J9896">
        <v>-10310477.59</v>
      </c>
      <c r="K9896">
        <v>0</v>
      </c>
      <c r="L9896">
        <v>7339522.4100000001</v>
      </c>
      <c r="M9896">
        <v>17650000</v>
      </c>
      <c r="N9896">
        <v>7339522.4100000001</v>
      </c>
      <c r="O9896">
        <v>17650000</v>
      </c>
      <c r="P9896">
        <v>7339522.4100000001</v>
      </c>
      <c r="Q9896">
        <v>17650000</v>
      </c>
      <c r="R9896" s="14">
        <f>_xlfn.XLOOKUP(Table2[[#This Row],[LoanID]],Table1[G-L ID],Table1[ManagerCode],-99)</f>
        <v>103</v>
      </c>
      <c r="T9896"/>
    </row>
    <row r="9897" spans="1:20" x14ac:dyDescent="0.25">
      <c r="A9897">
        <v>20191031</v>
      </c>
      <c r="B9897">
        <v>2019</v>
      </c>
      <c r="C9897">
        <v>10</v>
      </c>
      <c r="D9897">
        <v>1</v>
      </c>
      <c r="E9897">
        <v>15680</v>
      </c>
      <c r="F9897">
        <v>167261.88</v>
      </c>
      <c r="G9897">
        <v>0</v>
      </c>
      <c r="H9897">
        <v>65000</v>
      </c>
      <c r="I9897">
        <v>0</v>
      </c>
      <c r="J9897">
        <v>0</v>
      </c>
      <c r="K9897">
        <v>0</v>
      </c>
      <c r="L9897">
        <v>65000000</v>
      </c>
      <c r="M9897">
        <v>65000000</v>
      </c>
      <c r="N9897">
        <v>65000000</v>
      </c>
      <c r="O9897">
        <v>65000000</v>
      </c>
      <c r="P9897">
        <v>65000000</v>
      </c>
      <c r="Q9897">
        <v>65000000</v>
      </c>
      <c r="R9897" s="14">
        <f>_xlfn.XLOOKUP(Table2[[#This Row],[LoanID]],Table1[G-L ID],Table1[ManagerCode],-99)</f>
        <v>103</v>
      </c>
      <c r="T9897"/>
    </row>
    <row r="9898" spans="1:20" x14ac:dyDescent="0.25">
      <c r="A9898">
        <v>20191031</v>
      </c>
      <c r="B9898">
        <v>2019</v>
      </c>
      <c r="C9898">
        <v>10</v>
      </c>
      <c r="D9898">
        <v>1</v>
      </c>
      <c r="E9898">
        <v>15800</v>
      </c>
      <c r="F9898">
        <v>408791.67</v>
      </c>
      <c r="G9898">
        <v>13576.39</v>
      </c>
      <c r="H9898">
        <v>0</v>
      </c>
      <c r="I9898">
        <v>-5041.67</v>
      </c>
      <c r="J9898">
        <v>0</v>
      </c>
      <c r="K9898">
        <v>0</v>
      </c>
      <c r="L9898">
        <v>85407291.670000002</v>
      </c>
      <c r="M9898">
        <v>85420868.060000002</v>
      </c>
      <c r="N9898">
        <v>85407291.670000002</v>
      </c>
      <c r="O9898">
        <v>85420868.060000002</v>
      </c>
      <c r="P9898">
        <v>85407291.670000002</v>
      </c>
      <c r="Q9898">
        <v>85420868.060000002</v>
      </c>
      <c r="R9898" s="14">
        <f>_xlfn.XLOOKUP(Table2[[#This Row],[LoanID]],Table1[G-L ID],Table1[ManagerCode],-99)</f>
        <v>212</v>
      </c>
      <c r="T9898"/>
    </row>
    <row r="9899" spans="1:20" x14ac:dyDescent="0.25">
      <c r="A9899">
        <v>20191130</v>
      </c>
      <c r="B9899">
        <v>2019</v>
      </c>
      <c r="C9899">
        <v>11</v>
      </c>
      <c r="D9899">
        <v>1</v>
      </c>
      <c r="E9899">
        <v>10050</v>
      </c>
      <c r="F9899">
        <v>153981.01999999999</v>
      </c>
      <c r="G9899">
        <v>0</v>
      </c>
      <c r="H9899">
        <v>0</v>
      </c>
      <c r="I9899">
        <v>-69.44</v>
      </c>
      <c r="J9899">
        <v>0</v>
      </c>
      <c r="K9899">
        <v>0</v>
      </c>
      <c r="L9899">
        <v>37408514</v>
      </c>
      <c r="M9899">
        <v>37161128</v>
      </c>
      <c r="N9899">
        <v>37408514</v>
      </c>
      <c r="O9899">
        <v>37161128</v>
      </c>
      <c r="P9899">
        <v>33333334</v>
      </c>
      <c r="Q9899">
        <v>33333334</v>
      </c>
      <c r="R9899" s="14">
        <f>_xlfn.XLOOKUP(Table2[[#This Row],[LoanID]],Table1[G-L ID],Table1[ManagerCode],-99)</f>
        <v>103</v>
      </c>
      <c r="T9899"/>
    </row>
    <row r="9900" spans="1:20" x14ac:dyDescent="0.25">
      <c r="A9900">
        <v>20191130</v>
      </c>
      <c r="B9900">
        <v>2019</v>
      </c>
      <c r="C9900">
        <v>11</v>
      </c>
      <c r="D9900">
        <v>1</v>
      </c>
      <c r="E9900">
        <v>10220</v>
      </c>
      <c r="F9900">
        <v>1101388.8899999999</v>
      </c>
      <c r="G9900">
        <v>0</v>
      </c>
      <c r="H9900">
        <v>0</v>
      </c>
      <c r="I9900">
        <v>0</v>
      </c>
      <c r="J9900">
        <v>0</v>
      </c>
      <c r="K9900">
        <v>0</v>
      </c>
      <c r="L9900">
        <v>109130107</v>
      </c>
      <c r="M9900">
        <v>108622855</v>
      </c>
      <c r="N9900">
        <v>109130107</v>
      </c>
      <c r="O9900">
        <v>108622855</v>
      </c>
      <c r="P9900">
        <v>100000000</v>
      </c>
      <c r="Q9900">
        <v>100000000</v>
      </c>
      <c r="R9900" s="14">
        <f>_xlfn.XLOOKUP(Table2[[#This Row],[LoanID]],Table1[G-L ID],Table1[ManagerCode],-99)</f>
        <v>103</v>
      </c>
      <c r="T9900"/>
    </row>
    <row r="9901" spans="1:20" x14ac:dyDescent="0.25">
      <c r="A9901">
        <v>20191130</v>
      </c>
      <c r="B9901">
        <v>2019</v>
      </c>
      <c r="C9901">
        <v>11</v>
      </c>
      <c r="D9901">
        <v>1</v>
      </c>
      <c r="E9901">
        <v>10790</v>
      </c>
      <c r="F9901">
        <v>18434.28</v>
      </c>
      <c r="G9901">
        <v>0</v>
      </c>
      <c r="H9901">
        <v>0</v>
      </c>
      <c r="I9901">
        <v>0</v>
      </c>
      <c r="J9901">
        <v>0</v>
      </c>
      <c r="K9901">
        <v>51033.97</v>
      </c>
      <c r="L9901">
        <v>3976570</v>
      </c>
      <c r="M9901">
        <v>3916769</v>
      </c>
      <c r="N9901">
        <v>3976570</v>
      </c>
      <c r="O9901">
        <v>3916769</v>
      </c>
      <c r="P9901">
        <v>3936146</v>
      </c>
      <c r="Q9901">
        <v>3885112.03</v>
      </c>
      <c r="R9901" s="14">
        <f>_xlfn.XLOOKUP(Table2[[#This Row],[LoanID]],Table1[G-L ID],Table1[ManagerCode],-99)</f>
        <v>103</v>
      </c>
      <c r="T9901"/>
    </row>
    <row r="9902" spans="1:20" x14ac:dyDescent="0.25">
      <c r="A9902">
        <v>20191130</v>
      </c>
      <c r="B9902">
        <v>2019</v>
      </c>
      <c r="C9902">
        <v>11</v>
      </c>
      <c r="D9902">
        <v>1</v>
      </c>
      <c r="E9902">
        <v>11340</v>
      </c>
      <c r="F9902">
        <v>281958.57</v>
      </c>
      <c r="G9902">
        <v>0</v>
      </c>
      <c r="H9902">
        <v>0</v>
      </c>
      <c r="I9902">
        <v>0</v>
      </c>
      <c r="J9902">
        <v>0</v>
      </c>
      <c r="K9902">
        <v>73149.350000000006</v>
      </c>
      <c r="L9902">
        <v>51366377</v>
      </c>
      <c r="M9902">
        <v>51039373</v>
      </c>
      <c r="N9902">
        <v>51366377</v>
      </c>
      <c r="O9902">
        <v>51039373</v>
      </c>
      <c r="P9902">
        <v>46776536.670000002</v>
      </c>
      <c r="Q9902">
        <v>46703387.32</v>
      </c>
      <c r="R9902" s="14">
        <f>_xlfn.XLOOKUP(Table2[[#This Row],[LoanID]],Table1[G-L ID],Table1[ManagerCode],-99)</f>
        <v>103</v>
      </c>
      <c r="T9902"/>
    </row>
    <row r="9903" spans="1:20" x14ac:dyDescent="0.25">
      <c r="A9903">
        <v>20191130</v>
      </c>
      <c r="B9903">
        <v>2019</v>
      </c>
      <c r="C9903">
        <v>11</v>
      </c>
      <c r="D9903">
        <v>1</v>
      </c>
      <c r="E9903">
        <v>11680</v>
      </c>
      <c r="F9903">
        <v>50325.78</v>
      </c>
      <c r="G9903">
        <v>0</v>
      </c>
      <c r="H9903">
        <v>0</v>
      </c>
      <c r="I9903">
        <v>0</v>
      </c>
      <c r="J9903">
        <v>0</v>
      </c>
      <c r="K9903">
        <v>0</v>
      </c>
      <c r="L9903">
        <v>6600000</v>
      </c>
      <c r="M9903">
        <v>6600000</v>
      </c>
      <c r="N9903">
        <v>6600000</v>
      </c>
      <c r="O9903">
        <v>6600000</v>
      </c>
      <c r="P9903">
        <v>6600000</v>
      </c>
      <c r="Q9903">
        <v>6600000</v>
      </c>
      <c r="R9903" s="14">
        <f>_xlfn.XLOOKUP(Table2[[#This Row],[LoanID]],Table1[G-L ID],Table1[ManagerCode],-99)</f>
        <v>183</v>
      </c>
      <c r="T9903"/>
    </row>
    <row r="9904" spans="1:20" x14ac:dyDescent="0.25">
      <c r="A9904">
        <v>20191130</v>
      </c>
      <c r="B9904">
        <v>2019</v>
      </c>
      <c r="C9904">
        <v>11</v>
      </c>
      <c r="D9904">
        <v>1</v>
      </c>
      <c r="E9904">
        <v>12180</v>
      </c>
      <c r="F9904">
        <v>0</v>
      </c>
      <c r="G9904">
        <v>0</v>
      </c>
      <c r="H9904">
        <v>0</v>
      </c>
      <c r="I9904">
        <v>0</v>
      </c>
      <c r="J9904">
        <v>0</v>
      </c>
      <c r="K9904">
        <v>0</v>
      </c>
      <c r="L9904">
        <v>1</v>
      </c>
      <c r="M9904">
        <v>1</v>
      </c>
      <c r="N9904">
        <v>1</v>
      </c>
      <c r="O9904">
        <v>1</v>
      </c>
      <c r="P9904">
        <v>31963806.68</v>
      </c>
      <c r="Q9904">
        <v>31963806.68</v>
      </c>
      <c r="R9904" s="14">
        <f>_xlfn.XLOOKUP(Table2[[#This Row],[LoanID]],Table1[G-L ID],Table1[ManagerCode],-99)</f>
        <v>220</v>
      </c>
      <c r="T9904"/>
    </row>
    <row r="9905" spans="1:20" x14ac:dyDescent="0.25">
      <c r="A9905">
        <v>20191130</v>
      </c>
      <c r="B9905">
        <v>2019</v>
      </c>
      <c r="C9905">
        <v>11</v>
      </c>
      <c r="D9905">
        <v>1</v>
      </c>
      <c r="E9905">
        <v>12220</v>
      </c>
      <c r="F9905">
        <v>199953.98</v>
      </c>
      <c r="G9905">
        <v>0</v>
      </c>
      <c r="H9905">
        <v>0</v>
      </c>
      <c r="I9905">
        <v>0</v>
      </c>
      <c r="J9905">
        <v>0</v>
      </c>
      <c r="K9905">
        <v>0</v>
      </c>
      <c r="L9905">
        <v>54500000</v>
      </c>
      <c r="M9905">
        <v>54500000</v>
      </c>
      <c r="N9905">
        <v>27250000</v>
      </c>
      <c r="O9905">
        <v>27250000</v>
      </c>
      <c r="P9905">
        <v>54500000</v>
      </c>
      <c r="Q9905">
        <v>54500000</v>
      </c>
      <c r="R9905" s="14">
        <f>_xlfn.XLOOKUP(Table2[[#This Row],[LoanID]],Table1[G-L ID],Table1[ManagerCode],-99)</f>
        <v>183</v>
      </c>
      <c r="T9905"/>
    </row>
    <row r="9906" spans="1:20" x14ac:dyDescent="0.25">
      <c r="A9906">
        <v>20191130</v>
      </c>
      <c r="B9906">
        <v>2019</v>
      </c>
      <c r="C9906">
        <v>11</v>
      </c>
      <c r="D9906">
        <v>1</v>
      </c>
      <c r="E9906">
        <v>12340</v>
      </c>
      <c r="F9906">
        <v>53958.239999999998</v>
      </c>
      <c r="G9906">
        <v>0</v>
      </c>
      <c r="H9906">
        <v>0</v>
      </c>
      <c r="I9906">
        <v>0</v>
      </c>
      <c r="J9906">
        <v>0</v>
      </c>
      <c r="K9906">
        <v>0</v>
      </c>
      <c r="L9906">
        <v>24180000</v>
      </c>
      <c r="M9906">
        <v>24180000</v>
      </c>
      <c r="N9906">
        <v>12180000</v>
      </c>
      <c r="O9906">
        <v>12180000</v>
      </c>
      <c r="P9906">
        <v>24180000</v>
      </c>
      <c r="Q9906">
        <v>24180000</v>
      </c>
      <c r="R9906" s="14">
        <f>_xlfn.XLOOKUP(Table2[[#This Row],[LoanID]],Table1[G-L ID],Table1[ManagerCode],-99)</f>
        <v>183</v>
      </c>
      <c r="T9906"/>
    </row>
    <row r="9907" spans="1:20" x14ac:dyDescent="0.25">
      <c r="A9907">
        <v>20191130</v>
      </c>
      <c r="B9907">
        <v>2019</v>
      </c>
      <c r="C9907">
        <v>11</v>
      </c>
      <c r="D9907">
        <v>1</v>
      </c>
      <c r="E9907">
        <v>12350</v>
      </c>
      <c r="F9907">
        <v>323495.06</v>
      </c>
      <c r="G9907">
        <v>0</v>
      </c>
      <c r="H9907">
        <v>0</v>
      </c>
      <c r="I9907">
        <v>0</v>
      </c>
      <c r="J9907">
        <v>0</v>
      </c>
      <c r="K9907">
        <v>0</v>
      </c>
      <c r="L9907">
        <v>78700000</v>
      </c>
      <c r="M9907">
        <v>78700000</v>
      </c>
      <c r="N9907">
        <v>40914236.340000004</v>
      </c>
      <c r="O9907">
        <v>40914236.340000004</v>
      </c>
      <c r="P9907">
        <v>78700000</v>
      </c>
      <c r="Q9907">
        <v>78700000</v>
      </c>
      <c r="R9907" s="14">
        <f>_xlfn.XLOOKUP(Table2[[#This Row],[LoanID]],Table1[G-L ID],Table1[ManagerCode],-99)</f>
        <v>183</v>
      </c>
      <c r="T9907"/>
    </row>
    <row r="9908" spans="1:20" x14ac:dyDescent="0.25">
      <c r="A9908">
        <v>20191130</v>
      </c>
      <c r="B9908">
        <v>2019</v>
      </c>
      <c r="C9908">
        <v>11</v>
      </c>
      <c r="D9908">
        <v>1</v>
      </c>
      <c r="E9908">
        <v>12370</v>
      </c>
      <c r="F9908">
        <v>231761.94</v>
      </c>
      <c r="G9908">
        <v>0</v>
      </c>
      <c r="H9908">
        <v>0</v>
      </c>
      <c r="I9908">
        <v>0</v>
      </c>
      <c r="J9908">
        <v>0</v>
      </c>
      <c r="K9908">
        <v>0</v>
      </c>
      <c r="L9908">
        <v>81600000</v>
      </c>
      <c r="M9908">
        <v>81600000</v>
      </c>
      <c r="N9908">
        <v>36461538.549999997</v>
      </c>
      <c r="O9908">
        <v>36461538.549999997</v>
      </c>
      <c r="P9908">
        <v>81600000</v>
      </c>
      <c r="Q9908">
        <v>81600000</v>
      </c>
      <c r="R9908" s="14">
        <f>_xlfn.XLOOKUP(Table2[[#This Row],[LoanID]],Table1[G-L ID],Table1[ManagerCode],-99)</f>
        <v>183</v>
      </c>
      <c r="T9908"/>
    </row>
    <row r="9909" spans="1:20" x14ac:dyDescent="0.25">
      <c r="A9909">
        <v>20191130</v>
      </c>
      <c r="B9909">
        <v>2019</v>
      </c>
      <c r="C9909">
        <v>11</v>
      </c>
      <c r="D9909">
        <v>1</v>
      </c>
      <c r="E9909">
        <v>12380</v>
      </c>
      <c r="F9909">
        <v>85475.49</v>
      </c>
      <c r="G9909">
        <v>0</v>
      </c>
      <c r="H9909">
        <v>0</v>
      </c>
      <c r="I9909">
        <v>0</v>
      </c>
      <c r="J9909">
        <v>0</v>
      </c>
      <c r="K9909">
        <v>0</v>
      </c>
      <c r="L9909">
        <v>32500000</v>
      </c>
      <c r="M9909">
        <v>32500000</v>
      </c>
      <c r="N9909">
        <v>12350000</v>
      </c>
      <c r="O9909">
        <v>12350000</v>
      </c>
      <c r="P9909">
        <v>32500000</v>
      </c>
      <c r="Q9909">
        <v>32500000</v>
      </c>
      <c r="R9909" s="14">
        <f>_xlfn.XLOOKUP(Table2[[#This Row],[LoanID]],Table1[G-L ID],Table1[ManagerCode],-99)</f>
        <v>183</v>
      </c>
      <c r="T9909"/>
    </row>
    <row r="9910" spans="1:20" x14ac:dyDescent="0.25">
      <c r="A9910">
        <v>20191130</v>
      </c>
      <c r="B9910">
        <v>2019</v>
      </c>
      <c r="C9910">
        <v>11</v>
      </c>
      <c r="D9910">
        <v>1</v>
      </c>
      <c r="E9910">
        <v>12390</v>
      </c>
      <c r="F9910">
        <v>1074203.68</v>
      </c>
      <c r="G9910">
        <v>604933.15</v>
      </c>
      <c r="H9910">
        <v>0</v>
      </c>
      <c r="I9910">
        <v>0</v>
      </c>
      <c r="J9910">
        <v>-2389806.81</v>
      </c>
      <c r="K9910">
        <v>0</v>
      </c>
      <c r="L9910">
        <v>154293021.69999999</v>
      </c>
      <c r="M9910">
        <v>157287761.69999999</v>
      </c>
      <c r="N9910">
        <v>154293021.69999999</v>
      </c>
      <c r="O9910">
        <v>157287761.69999999</v>
      </c>
      <c r="P9910">
        <v>154293021.69999999</v>
      </c>
      <c r="Q9910">
        <v>157287761.69999999</v>
      </c>
      <c r="R9910" s="14">
        <f>_xlfn.XLOOKUP(Table2[[#This Row],[LoanID]],Table1[G-L ID],Table1[ManagerCode],-99)</f>
        <v>183</v>
      </c>
      <c r="T9910"/>
    </row>
    <row r="9911" spans="1:20" x14ac:dyDescent="0.25">
      <c r="A9911">
        <v>20191130</v>
      </c>
      <c r="B9911">
        <v>2019</v>
      </c>
      <c r="C9911">
        <v>11</v>
      </c>
      <c r="D9911">
        <v>1</v>
      </c>
      <c r="E9911">
        <v>12400</v>
      </c>
      <c r="F9911">
        <v>312875.24</v>
      </c>
      <c r="G9911">
        <v>137353.51</v>
      </c>
      <c r="H9911">
        <v>0</v>
      </c>
      <c r="I9911">
        <v>0</v>
      </c>
      <c r="J9911">
        <v>-556466.15</v>
      </c>
      <c r="K9911">
        <v>0</v>
      </c>
      <c r="L9911">
        <v>59191070.450000003</v>
      </c>
      <c r="M9911">
        <v>59884890.109999999</v>
      </c>
      <c r="N9911">
        <v>59191070.450000003</v>
      </c>
      <c r="O9911">
        <v>59884890.109999999</v>
      </c>
      <c r="P9911">
        <v>59191070.450000003</v>
      </c>
      <c r="Q9911">
        <v>59884890.109999999</v>
      </c>
      <c r="R9911" s="14">
        <f>_xlfn.XLOOKUP(Table2[[#This Row],[LoanID]],Table1[G-L ID],Table1[ManagerCode],-99)</f>
        <v>183</v>
      </c>
      <c r="T9911"/>
    </row>
    <row r="9912" spans="1:20" x14ac:dyDescent="0.25">
      <c r="A9912">
        <v>20191130</v>
      </c>
      <c r="B9912">
        <v>2019</v>
      </c>
      <c r="C9912">
        <v>11</v>
      </c>
      <c r="D9912">
        <v>1</v>
      </c>
      <c r="E9912">
        <v>12410</v>
      </c>
      <c r="F9912">
        <v>250000</v>
      </c>
      <c r="G9912">
        <v>125000</v>
      </c>
      <c r="H9912">
        <v>0</v>
      </c>
      <c r="I9912">
        <v>0</v>
      </c>
      <c r="J9912">
        <v>0</v>
      </c>
      <c r="K9912">
        <v>0</v>
      </c>
      <c r="L9912">
        <v>59973807.539999999</v>
      </c>
      <c r="M9912">
        <v>60098807.539999999</v>
      </c>
      <c r="N9912">
        <v>59973807.539999999</v>
      </c>
      <c r="O9912">
        <v>60098807.539999999</v>
      </c>
      <c r="P9912">
        <v>66254789.659999996</v>
      </c>
      <c r="Q9912">
        <v>66379789.659999996</v>
      </c>
      <c r="R9912" s="14">
        <f>_xlfn.XLOOKUP(Table2[[#This Row],[LoanID]],Table1[G-L ID],Table1[ManagerCode],-99)</f>
        <v>103</v>
      </c>
      <c r="T9912"/>
    </row>
    <row r="9913" spans="1:20" x14ac:dyDescent="0.25">
      <c r="A9913">
        <v>20191130</v>
      </c>
      <c r="B9913">
        <v>2019</v>
      </c>
      <c r="C9913">
        <v>11</v>
      </c>
      <c r="D9913">
        <v>1</v>
      </c>
      <c r="E9913">
        <v>12430</v>
      </c>
      <c r="F9913">
        <v>92073.83</v>
      </c>
      <c r="G9913">
        <v>138110.75</v>
      </c>
      <c r="H9913">
        <v>0</v>
      </c>
      <c r="I9913">
        <v>0</v>
      </c>
      <c r="J9913">
        <v>-92073.83</v>
      </c>
      <c r="K9913">
        <v>0</v>
      </c>
      <c r="L9913">
        <v>26241041</v>
      </c>
      <c r="M9913">
        <v>26459717</v>
      </c>
      <c r="N9913">
        <v>26241041</v>
      </c>
      <c r="O9913">
        <v>26459717</v>
      </c>
      <c r="P9913">
        <v>27622149.34</v>
      </c>
      <c r="Q9913">
        <v>27852333.920000002</v>
      </c>
      <c r="R9913" s="14">
        <f>_xlfn.XLOOKUP(Table2[[#This Row],[LoanID]],Table1[G-L ID],Table1[ManagerCode],-99)</f>
        <v>103</v>
      </c>
      <c r="T9913"/>
    </row>
    <row r="9914" spans="1:20" x14ac:dyDescent="0.25">
      <c r="A9914">
        <v>20191130</v>
      </c>
      <c r="B9914">
        <v>2019</v>
      </c>
      <c r="C9914">
        <v>11</v>
      </c>
      <c r="D9914">
        <v>1</v>
      </c>
      <c r="E9914">
        <v>12440</v>
      </c>
      <c r="F9914">
        <v>25020.01</v>
      </c>
      <c r="G9914">
        <v>0</v>
      </c>
      <c r="H9914">
        <v>0</v>
      </c>
      <c r="I9914">
        <v>0</v>
      </c>
      <c r="J9914">
        <v>0</v>
      </c>
      <c r="K9914">
        <v>58346.26</v>
      </c>
      <c r="L9914">
        <v>3351844</v>
      </c>
      <c r="M9914">
        <v>3273448</v>
      </c>
      <c r="N9914">
        <v>3351844</v>
      </c>
      <c r="O9914">
        <v>3273448</v>
      </c>
      <c r="P9914">
        <v>3002401.15</v>
      </c>
      <c r="Q9914">
        <v>2944054.89</v>
      </c>
      <c r="R9914" s="14">
        <f>_xlfn.XLOOKUP(Table2[[#This Row],[LoanID]],Table1[G-L ID],Table1[ManagerCode],-99)</f>
        <v>103</v>
      </c>
      <c r="T9914"/>
    </row>
    <row r="9915" spans="1:20" x14ac:dyDescent="0.25">
      <c r="A9915">
        <v>20191130</v>
      </c>
      <c r="B9915">
        <v>2019</v>
      </c>
      <c r="C9915">
        <v>11</v>
      </c>
      <c r="D9915">
        <v>1</v>
      </c>
      <c r="E9915">
        <v>12450</v>
      </c>
      <c r="F9915">
        <v>82117.8</v>
      </c>
      <c r="G9915">
        <v>40362.19</v>
      </c>
      <c r="H9915">
        <v>0</v>
      </c>
      <c r="I9915">
        <v>0</v>
      </c>
      <c r="J9915">
        <v>-518161.96</v>
      </c>
      <c r="K9915">
        <v>0</v>
      </c>
      <c r="L9915">
        <v>16585313.779999999</v>
      </c>
      <c r="M9915">
        <v>17143837.93</v>
      </c>
      <c r="N9915">
        <v>16585313.779999999</v>
      </c>
      <c r="O9915">
        <v>17143837.93</v>
      </c>
      <c r="P9915">
        <v>16585313.779999999</v>
      </c>
      <c r="Q9915">
        <v>17143837.93</v>
      </c>
      <c r="R9915" s="14">
        <f>_xlfn.XLOOKUP(Table2[[#This Row],[LoanID]],Table1[G-L ID],Table1[ManagerCode],-99)</f>
        <v>183</v>
      </c>
      <c r="T9915"/>
    </row>
    <row r="9916" spans="1:20" x14ac:dyDescent="0.25">
      <c r="A9916">
        <v>20191130</v>
      </c>
      <c r="B9916">
        <v>2019</v>
      </c>
      <c r="C9916">
        <v>11</v>
      </c>
      <c r="D9916">
        <v>1</v>
      </c>
      <c r="E9916">
        <v>12460</v>
      </c>
      <c r="F9916">
        <v>42250</v>
      </c>
      <c r="G9916">
        <v>53171.05</v>
      </c>
      <c r="H9916">
        <v>0</v>
      </c>
      <c r="I9916">
        <v>0</v>
      </c>
      <c r="J9916">
        <v>0</v>
      </c>
      <c r="K9916">
        <v>0</v>
      </c>
      <c r="L9916">
        <v>9542105.0700000003</v>
      </c>
      <c r="M9916">
        <v>9595276.1199999992</v>
      </c>
      <c r="N9916">
        <v>9542105.0700000003</v>
      </c>
      <c r="O9916">
        <v>9595276.1199999992</v>
      </c>
      <c r="P9916">
        <v>9542105.0700000003</v>
      </c>
      <c r="Q9916">
        <v>9595276.1199999992</v>
      </c>
      <c r="R9916" s="14">
        <f>_xlfn.XLOOKUP(Table2[[#This Row],[LoanID]],Table1[G-L ID],Table1[ManagerCode],-99)</f>
        <v>183</v>
      </c>
      <c r="T9916"/>
    </row>
    <row r="9917" spans="1:20" x14ac:dyDescent="0.25">
      <c r="A9917">
        <v>20191130</v>
      </c>
      <c r="B9917">
        <v>2019</v>
      </c>
      <c r="C9917">
        <v>11</v>
      </c>
      <c r="D9917">
        <v>1</v>
      </c>
      <c r="E9917">
        <v>12470</v>
      </c>
      <c r="F9917">
        <v>296455.52</v>
      </c>
      <c r="G9917">
        <v>0</v>
      </c>
      <c r="H9917">
        <v>0</v>
      </c>
      <c r="I9917">
        <v>0</v>
      </c>
      <c r="J9917">
        <v>0</v>
      </c>
      <c r="K9917">
        <v>0</v>
      </c>
      <c r="L9917">
        <v>115000000</v>
      </c>
      <c r="M9917">
        <v>115000000</v>
      </c>
      <c r="N9917">
        <v>46000000</v>
      </c>
      <c r="O9917">
        <v>46000000</v>
      </c>
      <c r="P9917">
        <v>115000000</v>
      </c>
      <c r="Q9917">
        <v>115000000</v>
      </c>
      <c r="R9917" s="14">
        <f>_xlfn.XLOOKUP(Table2[[#This Row],[LoanID]],Table1[G-L ID],Table1[ManagerCode],-99)</f>
        <v>183</v>
      </c>
      <c r="T9917"/>
    </row>
    <row r="9918" spans="1:20" x14ac:dyDescent="0.25">
      <c r="A9918">
        <v>20191130</v>
      </c>
      <c r="B9918">
        <v>2019</v>
      </c>
      <c r="C9918">
        <v>11</v>
      </c>
      <c r="D9918">
        <v>1</v>
      </c>
      <c r="E9918">
        <v>12490</v>
      </c>
      <c r="F9918">
        <v>128997.27</v>
      </c>
      <c r="G9918">
        <v>0</v>
      </c>
      <c r="H9918">
        <v>0</v>
      </c>
      <c r="I9918">
        <v>0</v>
      </c>
      <c r="J9918">
        <v>0</v>
      </c>
      <c r="K9918">
        <v>0</v>
      </c>
      <c r="L9918">
        <v>50200000</v>
      </c>
      <c r="M9918">
        <v>50200000</v>
      </c>
      <c r="N9918">
        <v>19600000</v>
      </c>
      <c r="O9918">
        <v>19600000</v>
      </c>
      <c r="P9918">
        <v>50200000</v>
      </c>
      <c r="Q9918">
        <v>50200000</v>
      </c>
      <c r="R9918" s="14">
        <f>_xlfn.XLOOKUP(Table2[[#This Row],[LoanID]],Table1[G-L ID],Table1[ManagerCode],-99)</f>
        <v>183</v>
      </c>
      <c r="T9918"/>
    </row>
    <row r="9919" spans="1:20" x14ac:dyDescent="0.25">
      <c r="A9919">
        <v>20191130</v>
      </c>
      <c r="B9919">
        <v>2019</v>
      </c>
      <c r="C9919">
        <v>11</v>
      </c>
      <c r="D9919">
        <v>1</v>
      </c>
      <c r="E9919">
        <v>12520</v>
      </c>
      <c r="F9919">
        <v>191093.96</v>
      </c>
      <c r="G9919">
        <v>0</v>
      </c>
      <c r="H9919">
        <v>0</v>
      </c>
      <c r="I9919">
        <v>0</v>
      </c>
      <c r="J9919">
        <v>0</v>
      </c>
      <c r="K9919">
        <v>0</v>
      </c>
      <c r="L9919">
        <v>48569301.140000001</v>
      </c>
      <c r="M9919">
        <v>48569301.140000001</v>
      </c>
      <c r="N9919">
        <v>23819301.140000001</v>
      </c>
      <c r="O9919">
        <v>23819301.140000001</v>
      </c>
      <c r="P9919">
        <v>48569301.140000001</v>
      </c>
      <c r="Q9919">
        <v>48569301.140000001</v>
      </c>
      <c r="R9919" s="14">
        <f>_xlfn.XLOOKUP(Table2[[#This Row],[LoanID]],Table1[G-L ID],Table1[ManagerCode],-99)</f>
        <v>183</v>
      </c>
      <c r="T9919"/>
    </row>
    <row r="9920" spans="1:20" x14ac:dyDescent="0.25">
      <c r="A9920">
        <v>20191130</v>
      </c>
      <c r="B9920">
        <v>2019</v>
      </c>
      <c r="C9920">
        <v>11</v>
      </c>
      <c r="D9920">
        <v>1</v>
      </c>
      <c r="E9920">
        <v>12650</v>
      </c>
      <c r="F9920">
        <v>349582.26</v>
      </c>
      <c r="G9920">
        <v>0</v>
      </c>
      <c r="H9920">
        <v>0</v>
      </c>
      <c r="I9920">
        <v>0</v>
      </c>
      <c r="J9920">
        <v>0</v>
      </c>
      <c r="K9920">
        <v>0</v>
      </c>
      <c r="L9920">
        <v>123200000</v>
      </c>
      <c r="M9920">
        <v>123200000</v>
      </c>
      <c r="N9920">
        <v>49280000</v>
      </c>
      <c r="O9920">
        <v>49280000</v>
      </c>
      <c r="P9920">
        <v>123200000</v>
      </c>
      <c r="Q9920">
        <v>123200000</v>
      </c>
      <c r="R9920" s="14">
        <f>_xlfn.XLOOKUP(Table2[[#This Row],[LoanID]],Table1[G-L ID],Table1[ManagerCode],-99)</f>
        <v>183</v>
      </c>
      <c r="T9920"/>
    </row>
    <row r="9921" spans="1:20" x14ac:dyDescent="0.25">
      <c r="A9921">
        <v>20191130</v>
      </c>
      <c r="B9921">
        <v>2019</v>
      </c>
      <c r="C9921">
        <v>11</v>
      </c>
      <c r="D9921">
        <v>1</v>
      </c>
      <c r="E9921">
        <v>12670</v>
      </c>
      <c r="F9921">
        <v>81042.399999999994</v>
      </c>
      <c r="G9921">
        <v>0</v>
      </c>
      <c r="H9921">
        <v>0</v>
      </c>
      <c r="I9921">
        <v>0</v>
      </c>
      <c r="J9921">
        <v>0</v>
      </c>
      <c r="K9921">
        <v>0</v>
      </c>
      <c r="L9921">
        <v>15500000</v>
      </c>
      <c r="M9921">
        <v>15500000</v>
      </c>
      <c r="N9921">
        <v>15500000</v>
      </c>
      <c r="O9921">
        <v>15500000</v>
      </c>
      <c r="P9921">
        <v>15500000</v>
      </c>
      <c r="Q9921">
        <v>15500000</v>
      </c>
      <c r="R9921" s="14">
        <f>_xlfn.XLOOKUP(Table2[[#This Row],[LoanID]],Table1[G-L ID],Table1[ManagerCode],-99)</f>
        <v>183</v>
      </c>
      <c r="T9921"/>
    </row>
    <row r="9922" spans="1:20" x14ac:dyDescent="0.25">
      <c r="A9922">
        <v>20191130</v>
      </c>
      <c r="B9922">
        <v>2019</v>
      </c>
      <c r="C9922">
        <v>11</v>
      </c>
      <c r="D9922">
        <v>1</v>
      </c>
      <c r="E9922">
        <v>12720</v>
      </c>
      <c r="F9922">
        <v>508629.79</v>
      </c>
      <c r="G9922">
        <v>0</v>
      </c>
      <c r="H9922">
        <v>0</v>
      </c>
      <c r="I9922">
        <v>0</v>
      </c>
      <c r="J9922">
        <v>-1132433.22</v>
      </c>
      <c r="K9922">
        <v>0</v>
      </c>
      <c r="L9922">
        <v>199012044.59999999</v>
      </c>
      <c r="M9922">
        <v>200144477.80000001</v>
      </c>
      <c r="N9922">
        <v>97131044.599999994</v>
      </c>
      <c r="O9922">
        <v>98263477.799999997</v>
      </c>
      <c r="P9922">
        <v>199012044.59999999</v>
      </c>
      <c r="Q9922">
        <v>200144477.80000001</v>
      </c>
      <c r="R9922" s="14">
        <f>_xlfn.XLOOKUP(Table2[[#This Row],[LoanID]],Table1[G-L ID],Table1[ManagerCode],-99)</f>
        <v>183</v>
      </c>
      <c r="T9922"/>
    </row>
    <row r="9923" spans="1:20" x14ac:dyDescent="0.25">
      <c r="A9923">
        <v>20191130</v>
      </c>
      <c r="B9923">
        <v>2019</v>
      </c>
      <c r="C9923">
        <v>11</v>
      </c>
      <c r="D9923">
        <v>1</v>
      </c>
      <c r="E9923">
        <v>12730</v>
      </c>
      <c r="F9923">
        <v>78554.7</v>
      </c>
      <c r="G9923">
        <v>0</v>
      </c>
      <c r="H9923">
        <v>0</v>
      </c>
      <c r="I9923">
        <v>0</v>
      </c>
      <c r="J9923">
        <v>0</v>
      </c>
      <c r="K9923">
        <v>0</v>
      </c>
      <c r="L9923">
        <v>38460000</v>
      </c>
      <c r="M9923">
        <v>38460000</v>
      </c>
      <c r="N9923">
        <v>13460000</v>
      </c>
      <c r="O9923">
        <v>13460000</v>
      </c>
      <c r="P9923">
        <v>38460000</v>
      </c>
      <c r="Q9923">
        <v>38460000</v>
      </c>
      <c r="R9923" s="14">
        <f>_xlfn.XLOOKUP(Table2[[#This Row],[LoanID]],Table1[G-L ID],Table1[ManagerCode],-99)</f>
        <v>183</v>
      </c>
      <c r="T9923"/>
    </row>
    <row r="9924" spans="1:20" x14ac:dyDescent="0.25">
      <c r="A9924">
        <v>20191130</v>
      </c>
      <c r="B9924">
        <v>2019</v>
      </c>
      <c r="C9924">
        <v>11</v>
      </c>
      <c r="D9924">
        <v>1</v>
      </c>
      <c r="E9924">
        <v>12740</v>
      </c>
      <c r="F9924">
        <v>153673.76999999999</v>
      </c>
      <c r="G9924">
        <v>74665.850000000006</v>
      </c>
      <c r="H9924">
        <v>0</v>
      </c>
      <c r="I9924">
        <v>0</v>
      </c>
      <c r="J9924">
        <v>-636160.53</v>
      </c>
      <c r="K9924">
        <v>0</v>
      </c>
      <c r="L9924">
        <v>32009273.149999999</v>
      </c>
      <c r="M9924">
        <v>32720099.530000001</v>
      </c>
      <c r="N9924">
        <v>32009273.149999999</v>
      </c>
      <c r="O9924">
        <v>32720099.530000001</v>
      </c>
      <c r="P9924">
        <v>32009273.149999999</v>
      </c>
      <c r="Q9924">
        <v>32720099.530000001</v>
      </c>
      <c r="R9924" s="14">
        <f>_xlfn.XLOOKUP(Table2[[#This Row],[LoanID]],Table1[G-L ID],Table1[ManagerCode],-99)</f>
        <v>183</v>
      </c>
      <c r="T9924"/>
    </row>
    <row r="9925" spans="1:20" x14ac:dyDescent="0.25">
      <c r="A9925">
        <v>20191130</v>
      </c>
      <c r="B9925">
        <v>2019</v>
      </c>
      <c r="C9925">
        <v>11</v>
      </c>
      <c r="D9925">
        <v>1</v>
      </c>
      <c r="E9925">
        <v>13000</v>
      </c>
      <c r="F9925">
        <v>167666.32</v>
      </c>
      <c r="G9925">
        <v>0</v>
      </c>
      <c r="H9925">
        <v>0</v>
      </c>
      <c r="I9925">
        <v>0</v>
      </c>
      <c r="J9925">
        <v>0</v>
      </c>
      <c r="K9925">
        <v>0</v>
      </c>
      <c r="L9925">
        <v>47752927</v>
      </c>
      <c r="M9925">
        <v>47808023</v>
      </c>
      <c r="N9925">
        <v>47752927</v>
      </c>
      <c r="O9925">
        <v>47808023</v>
      </c>
      <c r="P9925">
        <v>50376611.859999999</v>
      </c>
      <c r="Q9925">
        <v>50376611.859999999</v>
      </c>
      <c r="R9925" s="14">
        <f>_xlfn.XLOOKUP(Table2[[#This Row],[LoanID]],Table1[G-L ID],Table1[ManagerCode],-99)</f>
        <v>103</v>
      </c>
      <c r="T9925"/>
    </row>
    <row r="9926" spans="1:20" x14ac:dyDescent="0.25">
      <c r="A9926">
        <v>20191130</v>
      </c>
      <c r="B9926">
        <v>2019</v>
      </c>
      <c r="C9926">
        <v>11</v>
      </c>
      <c r="D9926">
        <v>1</v>
      </c>
      <c r="E9926">
        <v>13010</v>
      </c>
      <c r="F9926">
        <v>1050000</v>
      </c>
      <c r="G9926">
        <v>350000</v>
      </c>
      <c r="H9926">
        <v>0</v>
      </c>
      <c r="I9926">
        <v>0</v>
      </c>
      <c r="J9926">
        <v>0</v>
      </c>
      <c r="K9926">
        <v>0</v>
      </c>
      <c r="L9926">
        <v>200900200</v>
      </c>
      <c r="M9926">
        <v>201250200</v>
      </c>
      <c r="N9926">
        <v>200900200</v>
      </c>
      <c r="O9926">
        <v>201250200</v>
      </c>
      <c r="P9926">
        <v>211400000</v>
      </c>
      <c r="Q9926">
        <v>211750000</v>
      </c>
      <c r="R9926" s="14">
        <f>_xlfn.XLOOKUP(Table2[[#This Row],[LoanID]],Table1[G-L ID],Table1[ManagerCode],-99)</f>
        <v>103</v>
      </c>
      <c r="T9926"/>
    </row>
    <row r="9927" spans="1:20" x14ac:dyDescent="0.25">
      <c r="A9927">
        <v>20191130</v>
      </c>
      <c r="B9927">
        <v>2019</v>
      </c>
      <c r="C9927">
        <v>11</v>
      </c>
      <c r="D9927">
        <v>1</v>
      </c>
      <c r="E9927">
        <v>13030</v>
      </c>
      <c r="F9927">
        <v>281478.49</v>
      </c>
      <c r="G9927">
        <v>0</v>
      </c>
      <c r="H9927">
        <v>0</v>
      </c>
      <c r="I9927">
        <v>0</v>
      </c>
      <c r="J9927">
        <v>0</v>
      </c>
      <c r="K9927">
        <v>0</v>
      </c>
      <c r="L9927">
        <v>114000000</v>
      </c>
      <c r="M9927">
        <v>114000000</v>
      </c>
      <c r="N9927">
        <v>51276576</v>
      </c>
      <c r="O9927">
        <v>51276576</v>
      </c>
      <c r="P9927">
        <v>114000000</v>
      </c>
      <c r="Q9927">
        <v>114000000</v>
      </c>
      <c r="R9927" s="14">
        <f>_xlfn.XLOOKUP(Table2[[#This Row],[LoanID]],Table1[G-L ID],Table1[ManagerCode],-99)</f>
        <v>183</v>
      </c>
      <c r="T9927"/>
    </row>
    <row r="9928" spans="1:20" x14ac:dyDescent="0.25">
      <c r="A9928">
        <v>20191130</v>
      </c>
      <c r="B9928">
        <v>2019</v>
      </c>
      <c r="C9928">
        <v>11</v>
      </c>
      <c r="D9928">
        <v>1</v>
      </c>
      <c r="E9928">
        <v>13040</v>
      </c>
      <c r="F9928">
        <v>83628.88</v>
      </c>
      <c r="G9928">
        <v>0</v>
      </c>
      <c r="H9928">
        <v>0</v>
      </c>
      <c r="I9928">
        <v>0</v>
      </c>
      <c r="J9928">
        <v>-546119.47</v>
      </c>
      <c r="K9928">
        <v>0</v>
      </c>
      <c r="L9928">
        <v>35717213.939999998</v>
      </c>
      <c r="M9928">
        <v>36263333.409999996</v>
      </c>
      <c r="N9928">
        <v>15544826.939999999</v>
      </c>
      <c r="O9928">
        <v>16090946.41</v>
      </c>
      <c r="P9928">
        <v>35717213.939999998</v>
      </c>
      <c r="Q9928">
        <v>36263333.409999996</v>
      </c>
      <c r="R9928" s="14">
        <f>_xlfn.XLOOKUP(Table2[[#This Row],[LoanID]],Table1[G-L ID],Table1[ManagerCode],-99)</f>
        <v>183</v>
      </c>
      <c r="T9928"/>
    </row>
    <row r="9929" spans="1:20" x14ac:dyDescent="0.25">
      <c r="A9929">
        <v>20191130</v>
      </c>
      <c r="B9929">
        <v>2019</v>
      </c>
      <c r="C9929">
        <v>11</v>
      </c>
      <c r="D9929">
        <v>1</v>
      </c>
      <c r="E9929">
        <v>13050</v>
      </c>
      <c r="F9929">
        <v>65699.13</v>
      </c>
      <c r="G9929">
        <v>0</v>
      </c>
      <c r="H9929">
        <v>0</v>
      </c>
      <c r="I9929">
        <v>0</v>
      </c>
      <c r="J9929">
        <v>0</v>
      </c>
      <c r="K9929">
        <v>0</v>
      </c>
      <c r="L9929">
        <v>42575000</v>
      </c>
      <c r="M9929">
        <v>42575000</v>
      </c>
      <c r="N9929">
        <v>14901424</v>
      </c>
      <c r="O9929">
        <v>14901424</v>
      </c>
      <c r="P9929">
        <v>42575000</v>
      </c>
      <c r="Q9929">
        <v>42575000</v>
      </c>
      <c r="R9929" s="14">
        <f>_xlfn.XLOOKUP(Table2[[#This Row],[LoanID]],Table1[G-L ID],Table1[ManagerCode],-99)</f>
        <v>183</v>
      </c>
      <c r="T9929"/>
    </row>
    <row r="9930" spans="1:20" x14ac:dyDescent="0.25">
      <c r="A9930">
        <v>20191130</v>
      </c>
      <c r="B9930">
        <v>2019</v>
      </c>
      <c r="C9930">
        <v>11</v>
      </c>
      <c r="D9930">
        <v>1</v>
      </c>
      <c r="E9930">
        <v>13060</v>
      </c>
      <c r="F9930">
        <v>89578.02</v>
      </c>
      <c r="G9930">
        <v>0</v>
      </c>
      <c r="H9930">
        <v>0</v>
      </c>
      <c r="I9930">
        <v>0</v>
      </c>
      <c r="J9930">
        <v>0</v>
      </c>
      <c r="K9930">
        <v>0</v>
      </c>
      <c r="L9930">
        <v>45095582.140000001</v>
      </c>
      <c r="M9930">
        <v>45095582.140000001</v>
      </c>
      <c r="N9930">
        <v>18846725.98</v>
      </c>
      <c r="O9930">
        <v>18846725.98</v>
      </c>
      <c r="P9930">
        <v>45095582.140000001</v>
      </c>
      <c r="Q9930">
        <v>45095582.140000001</v>
      </c>
      <c r="R9930" s="14">
        <f>_xlfn.XLOOKUP(Table2[[#This Row],[LoanID]],Table1[G-L ID],Table1[ManagerCode],-99)</f>
        <v>183</v>
      </c>
      <c r="T9930"/>
    </row>
    <row r="9931" spans="1:20" x14ac:dyDescent="0.25">
      <c r="A9931">
        <v>20191130</v>
      </c>
      <c r="B9931">
        <v>2019</v>
      </c>
      <c r="C9931">
        <v>11</v>
      </c>
      <c r="D9931">
        <v>1</v>
      </c>
      <c r="E9931">
        <v>13070</v>
      </c>
      <c r="F9931">
        <v>377707.41</v>
      </c>
      <c r="G9931">
        <v>0</v>
      </c>
      <c r="H9931">
        <v>0</v>
      </c>
      <c r="I9931">
        <v>0</v>
      </c>
      <c r="J9931">
        <v>0</v>
      </c>
      <c r="K9931">
        <v>0</v>
      </c>
      <c r="L9931">
        <v>92635782</v>
      </c>
      <c r="M9931">
        <v>92635782</v>
      </c>
      <c r="N9931">
        <v>52635782</v>
      </c>
      <c r="O9931">
        <v>52635782</v>
      </c>
      <c r="P9931">
        <v>92635782</v>
      </c>
      <c r="Q9931">
        <v>92635782</v>
      </c>
      <c r="R9931" s="14">
        <f>_xlfn.XLOOKUP(Table2[[#This Row],[LoanID]],Table1[G-L ID],Table1[ManagerCode],-99)</f>
        <v>183</v>
      </c>
      <c r="T9931"/>
    </row>
    <row r="9932" spans="1:20" x14ac:dyDescent="0.25">
      <c r="A9932">
        <v>20191130</v>
      </c>
      <c r="B9932">
        <v>2019</v>
      </c>
      <c r="C9932">
        <v>11</v>
      </c>
      <c r="D9932">
        <v>1</v>
      </c>
      <c r="E9932">
        <v>13080</v>
      </c>
      <c r="F9932">
        <v>107655.41</v>
      </c>
      <c r="G9932">
        <v>0</v>
      </c>
      <c r="H9932">
        <v>0</v>
      </c>
      <c r="I9932">
        <v>0</v>
      </c>
      <c r="J9932">
        <v>0</v>
      </c>
      <c r="K9932">
        <v>0</v>
      </c>
      <c r="L9932">
        <v>43000000</v>
      </c>
      <c r="M9932">
        <v>43000000</v>
      </c>
      <c r="N9932">
        <v>21500000</v>
      </c>
      <c r="O9932">
        <v>21500000</v>
      </c>
      <c r="P9932">
        <v>43000000</v>
      </c>
      <c r="Q9932">
        <v>43000000</v>
      </c>
      <c r="R9932" s="14">
        <f>_xlfn.XLOOKUP(Table2[[#This Row],[LoanID]],Table1[G-L ID],Table1[ManagerCode],-99)</f>
        <v>183</v>
      </c>
      <c r="T9932"/>
    </row>
    <row r="9933" spans="1:20" x14ac:dyDescent="0.25">
      <c r="A9933">
        <v>20191130</v>
      </c>
      <c r="B9933">
        <v>2019</v>
      </c>
      <c r="C9933">
        <v>11</v>
      </c>
      <c r="D9933">
        <v>1</v>
      </c>
      <c r="E9933">
        <v>13090</v>
      </c>
      <c r="F9933">
        <v>100566.66</v>
      </c>
      <c r="G9933">
        <v>0</v>
      </c>
      <c r="H9933">
        <v>0</v>
      </c>
      <c r="I9933">
        <v>0</v>
      </c>
      <c r="J9933">
        <v>0</v>
      </c>
      <c r="K9933">
        <v>0</v>
      </c>
      <c r="L9933">
        <v>20000000</v>
      </c>
      <c r="M9933">
        <v>20000000</v>
      </c>
      <c r="N9933">
        <v>20000000</v>
      </c>
      <c r="O9933">
        <v>20000000</v>
      </c>
      <c r="P9933">
        <v>20000000</v>
      </c>
      <c r="Q9933">
        <v>20000000</v>
      </c>
      <c r="R9933" s="14">
        <f>_xlfn.XLOOKUP(Table2[[#This Row],[LoanID]],Table1[G-L ID],Table1[ManagerCode],-99)</f>
        <v>183</v>
      </c>
      <c r="T9933"/>
    </row>
    <row r="9934" spans="1:20" x14ac:dyDescent="0.25">
      <c r="A9934">
        <v>20191130</v>
      </c>
      <c r="B9934">
        <v>2019</v>
      </c>
      <c r="C9934">
        <v>11</v>
      </c>
      <c r="D9934">
        <v>1</v>
      </c>
      <c r="E9934">
        <v>13100</v>
      </c>
      <c r="F9934">
        <v>156590.18</v>
      </c>
      <c r="G9934">
        <v>0</v>
      </c>
      <c r="H9934">
        <v>0</v>
      </c>
      <c r="I9934">
        <v>0</v>
      </c>
      <c r="J9934">
        <v>-273257.68</v>
      </c>
      <c r="K9934">
        <v>273257.68</v>
      </c>
      <c r="L9934">
        <v>30949723.469999999</v>
      </c>
      <c r="M9934">
        <v>31222981.149999999</v>
      </c>
      <c r="N9934">
        <v>12814163.92</v>
      </c>
      <c r="O9934">
        <v>12814163.92</v>
      </c>
      <c r="P9934">
        <v>30949723.469999999</v>
      </c>
      <c r="Q9934">
        <v>31222981.149999999</v>
      </c>
      <c r="R9934" s="14">
        <f>_xlfn.XLOOKUP(Table2[[#This Row],[LoanID]],Table1[G-L ID],Table1[ManagerCode],-99)</f>
        <v>183</v>
      </c>
      <c r="T9934"/>
    </row>
    <row r="9935" spans="1:20" x14ac:dyDescent="0.25">
      <c r="A9935">
        <v>20191130</v>
      </c>
      <c r="B9935">
        <v>2019</v>
      </c>
      <c r="C9935">
        <v>11</v>
      </c>
      <c r="D9935">
        <v>1</v>
      </c>
      <c r="E9935">
        <v>13110</v>
      </c>
      <c r="F9935">
        <v>88450.17</v>
      </c>
      <c r="G9935">
        <v>0</v>
      </c>
      <c r="H9935">
        <v>0</v>
      </c>
      <c r="I9935">
        <v>0</v>
      </c>
      <c r="J9935">
        <v>0</v>
      </c>
      <c r="K9935">
        <v>0</v>
      </c>
      <c r="L9935">
        <v>46074615.280000001</v>
      </c>
      <c r="M9935">
        <v>46074615.280000001</v>
      </c>
      <c r="N9935">
        <v>19798365.280000001</v>
      </c>
      <c r="O9935">
        <v>19798365.280000001</v>
      </c>
      <c r="P9935">
        <v>46074615.280000001</v>
      </c>
      <c r="Q9935">
        <v>46074615.280000001</v>
      </c>
      <c r="R9935" s="14">
        <f>_xlfn.XLOOKUP(Table2[[#This Row],[LoanID]],Table1[G-L ID],Table1[ManagerCode],-99)</f>
        <v>183</v>
      </c>
      <c r="T9935"/>
    </row>
    <row r="9936" spans="1:20" x14ac:dyDescent="0.25">
      <c r="A9936">
        <v>20191130</v>
      </c>
      <c r="B9936">
        <v>2019</v>
      </c>
      <c r="C9936">
        <v>11</v>
      </c>
      <c r="D9936">
        <v>1</v>
      </c>
      <c r="E9936">
        <v>13120</v>
      </c>
      <c r="F9936">
        <v>59317.24</v>
      </c>
      <c r="G9936">
        <v>0</v>
      </c>
      <c r="H9936">
        <v>0</v>
      </c>
      <c r="I9936">
        <v>0</v>
      </c>
      <c r="J9936">
        <v>0</v>
      </c>
      <c r="K9936">
        <v>0</v>
      </c>
      <c r="L9936">
        <v>27360000</v>
      </c>
      <c r="M9936">
        <v>27360000</v>
      </c>
      <c r="N9936">
        <v>9576000</v>
      </c>
      <c r="O9936">
        <v>9576000</v>
      </c>
      <c r="P9936">
        <v>27360000</v>
      </c>
      <c r="Q9936">
        <v>27360000</v>
      </c>
      <c r="R9936" s="14">
        <f>_xlfn.XLOOKUP(Table2[[#This Row],[LoanID]],Table1[G-L ID],Table1[ManagerCode],-99)</f>
        <v>183</v>
      </c>
      <c r="T9936"/>
    </row>
    <row r="9937" spans="1:20" x14ac:dyDescent="0.25">
      <c r="A9937">
        <v>20191130</v>
      </c>
      <c r="B9937">
        <v>2019</v>
      </c>
      <c r="C9937">
        <v>11</v>
      </c>
      <c r="D9937">
        <v>1</v>
      </c>
      <c r="E9937">
        <v>13130</v>
      </c>
      <c r="F9937">
        <v>390002.61</v>
      </c>
      <c r="G9937">
        <v>0</v>
      </c>
      <c r="H9937">
        <v>0</v>
      </c>
      <c r="I9937">
        <v>0</v>
      </c>
      <c r="J9937">
        <v>-2733314.9</v>
      </c>
      <c r="K9937">
        <v>0</v>
      </c>
      <c r="L9937">
        <v>196859423.19999999</v>
      </c>
      <c r="M9937">
        <v>199592738.09999999</v>
      </c>
      <c r="N9937">
        <v>96859423.200000003</v>
      </c>
      <c r="O9937">
        <v>99592738.099999994</v>
      </c>
      <c r="P9937">
        <v>196859423.19999999</v>
      </c>
      <c r="Q9937">
        <v>199592738.09999999</v>
      </c>
      <c r="R9937" s="14">
        <f>_xlfn.XLOOKUP(Table2[[#This Row],[LoanID]],Table1[G-L ID],Table1[ManagerCode],-99)</f>
        <v>183</v>
      </c>
      <c r="T9937"/>
    </row>
    <row r="9938" spans="1:20" x14ac:dyDescent="0.25">
      <c r="A9938">
        <v>20191130</v>
      </c>
      <c r="B9938">
        <v>2019</v>
      </c>
      <c r="C9938">
        <v>11</v>
      </c>
      <c r="D9938">
        <v>1</v>
      </c>
      <c r="E9938">
        <v>13140</v>
      </c>
      <c r="F9938">
        <v>242014.95</v>
      </c>
      <c r="G9938">
        <v>0</v>
      </c>
      <c r="H9938">
        <v>0</v>
      </c>
      <c r="I9938">
        <v>0</v>
      </c>
      <c r="J9938">
        <v>-320000</v>
      </c>
      <c r="K9938">
        <v>6715543.2199999997</v>
      </c>
      <c r="L9938">
        <v>141085155.59999999</v>
      </c>
      <c r="M9938">
        <v>141405155.59999999</v>
      </c>
      <c r="N9938">
        <v>56103028.5</v>
      </c>
      <c r="O9938">
        <v>49707485.280000001</v>
      </c>
      <c r="P9938">
        <v>141085155.59999999</v>
      </c>
      <c r="Q9938">
        <v>141405155.59999999</v>
      </c>
      <c r="R9938" s="14">
        <f>_xlfn.XLOOKUP(Table2[[#This Row],[LoanID]],Table1[G-L ID],Table1[ManagerCode],-99)</f>
        <v>183</v>
      </c>
      <c r="T9938"/>
    </row>
    <row r="9939" spans="1:20" x14ac:dyDescent="0.25">
      <c r="A9939">
        <v>20191130</v>
      </c>
      <c r="B9939">
        <v>2019</v>
      </c>
      <c r="C9939">
        <v>11</v>
      </c>
      <c r="D9939">
        <v>1</v>
      </c>
      <c r="E9939">
        <v>13150</v>
      </c>
      <c r="F9939">
        <v>152584.51999999999</v>
      </c>
      <c r="G9939">
        <v>0</v>
      </c>
      <c r="H9939">
        <v>0</v>
      </c>
      <c r="I9939">
        <v>0</v>
      </c>
      <c r="J9939">
        <v>-381300.58</v>
      </c>
      <c r="K9939">
        <v>0</v>
      </c>
      <c r="L9939">
        <v>86972650.609999999</v>
      </c>
      <c r="M9939">
        <v>87353951.189999998</v>
      </c>
      <c r="N9939">
        <v>31168457.649999999</v>
      </c>
      <c r="O9939">
        <v>31549758.23</v>
      </c>
      <c r="P9939">
        <v>86972650.609999999</v>
      </c>
      <c r="Q9939">
        <v>87353951.189999998</v>
      </c>
      <c r="R9939" s="14">
        <f>_xlfn.XLOOKUP(Table2[[#This Row],[LoanID]],Table1[G-L ID],Table1[ManagerCode],-99)</f>
        <v>183</v>
      </c>
      <c r="T9939"/>
    </row>
    <row r="9940" spans="1:20" x14ac:dyDescent="0.25">
      <c r="A9940">
        <v>20191130</v>
      </c>
      <c r="B9940">
        <v>2019</v>
      </c>
      <c r="C9940">
        <v>11</v>
      </c>
      <c r="D9940">
        <v>1</v>
      </c>
      <c r="E9940">
        <v>13160</v>
      </c>
      <c r="F9940">
        <v>110913.84</v>
      </c>
      <c r="G9940">
        <v>0</v>
      </c>
      <c r="H9940">
        <v>0</v>
      </c>
      <c r="I9940">
        <v>0</v>
      </c>
      <c r="J9940">
        <v>0</v>
      </c>
      <c r="K9940">
        <v>0</v>
      </c>
      <c r="L9940">
        <v>41900000</v>
      </c>
      <c r="M9940">
        <v>41900000</v>
      </c>
      <c r="N9940">
        <v>21854858</v>
      </c>
      <c r="O9940">
        <v>21854858</v>
      </c>
      <c r="P9940">
        <v>41900000</v>
      </c>
      <c r="Q9940">
        <v>41900000</v>
      </c>
      <c r="R9940" s="14">
        <f>_xlfn.XLOOKUP(Table2[[#This Row],[LoanID]],Table1[G-L ID],Table1[ManagerCode],-99)</f>
        <v>183</v>
      </c>
      <c r="T9940"/>
    </row>
    <row r="9941" spans="1:20" x14ac:dyDescent="0.25">
      <c r="A9941">
        <v>20191130</v>
      </c>
      <c r="B9941">
        <v>2019</v>
      </c>
      <c r="C9941">
        <v>11</v>
      </c>
      <c r="D9941">
        <v>1</v>
      </c>
      <c r="E9941">
        <v>13170</v>
      </c>
      <c r="F9941">
        <v>111627.62</v>
      </c>
      <c r="G9941">
        <v>0</v>
      </c>
      <c r="H9941">
        <v>0</v>
      </c>
      <c r="I9941">
        <v>0</v>
      </c>
      <c r="J9941">
        <v>0</v>
      </c>
      <c r="K9941">
        <v>0</v>
      </c>
      <c r="L9941">
        <v>50400000</v>
      </c>
      <c r="M9941">
        <v>50400000</v>
      </c>
      <c r="N9941">
        <v>17600000</v>
      </c>
      <c r="O9941">
        <v>17600000</v>
      </c>
      <c r="P9941">
        <v>50400000</v>
      </c>
      <c r="Q9941">
        <v>50400000</v>
      </c>
      <c r="R9941" s="14">
        <f>_xlfn.XLOOKUP(Table2[[#This Row],[LoanID]],Table1[G-L ID],Table1[ManagerCode],-99)</f>
        <v>183</v>
      </c>
      <c r="T9941"/>
    </row>
    <row r="9942" spans="1:20" x14ac:dyDescent="0.25">
      <c r="A9942">
        <v>20191130</v>
      </c>
      <c r="B9942">
        <v>2019</v>
      </c>
      <c r="C9942">
        <v>11</v>
      </c>
      <c r="D9942">
        <v>1</v>
      </c>
      <c r="E9942">
        <v>13180</v>
      </c>
      <c r="F9942">
        <v>90333.04</v>
      </c>
      <c r="G9942">
        <v>0</v>
      </c>
      <c r="H9942">
        <v>0</v>
      </c>
      <c r="I9942">
        <v>0</v>
      </c>
      <c r="J9942">
        <v>0</v>
      </c>
      <c r="K9942">
        <v>0</v>
      </c>
      <c r="L9942">
        <v>39780000</v>
      </c>
      <c r="M9942">
        <v>39780000</v>
      </c>
      <c r="N9942">
        <v>15930000</v>
      </c>
      <c r="O9942">
        <v>15930000</v>
      </c>
      <c r="P9942">
        <v>39780000</v>
      </c>
      <c r="Q9942">
        <v>39780000</v>
      </c>
      <c r="R9942" s="14">
        <f>_xlfn.XLOOKUP(Table2[[#This Row],[LoanID]],Table1[G-L ID],Table1[ManagerCode],-99)</f>
        <v>183</v>
      </c>
      <c r="T9942"/>
    </row>
    <row r="9943" spans="1:20" x14ac:dyDescent="0.25">
      <c r="A9943">
        <v>20191130</v>
      </c>
      <c r="B9943">
        <v>2019</v>
      </c>
      <c r="C9943">
        <v>11</v>
      </c>
      <c r="D9943">
        <v>1</v>
      </c>
      <c r="E9943">
        <v>13190</v>
      </c>
      <c r="F9943">
        <v>64600.71</v>
      </c>
      <c r="G9943">
        <v>53927.03</v>
      </c>
      <c r="H9943">
        <v>0</v>
      </c>
      <c r="I9943">
        <v>0</v>
      </c>
      <c r="J9943">
        <v>-66102.460000000006</v>
      </c>
      <c r="K9943">
        <v>0</v>
      </c>
      <c r="L9943">
        <v>12977204.189999999</v>
      </c>
      <c r="M9943">
        <v>13097233.68</v>
      </c>
      <c r="N9943">
        <v>12977204.189999999</v>
      </c>
      <c r="O9943">
        <v>13097233.68</v>
      </c>
      <c r="P9943">
        <v>12977204.189999999</v>
      </c>
      <c r="Q9943">
        <v>13097233.68</v>
      </c>
      <c r="R9943" s="14">
        <f>_xlfn.XLOOKUP(Table2[[#This Row],[LoanID]],Table1[G-L ID],Table1[ManagerCode],-99)</f>
        <v>183</v>
      </c>
      <c r="T9943"/>
    </row>
    <row r="9944" spans="1:20" x14ac:dyDescent="0.25">
      <c r="A9944">
        <v>20191130</v>
      </c>
      <c r="B9944">
        <v>2019</v>
      </c>
      <c r="C9944">
        <v>11</v>
      </c>
      <c r="D9944">
        <v>1</v>
      </c>
      <c r="E9944">
        <v>13200</v>
      </c>
      <c r="F9944">
        <v>97169.52</v>
      </c>
      <c r="G9944">
        <v>65679.149999999994</v>
      </c>
      <c r="H9944">
        <v>0</v>
      </c>
      <c r="I9944">
        <v>0</v>
      </c>
      <c r="J9944">
        <v>-2014431.64</v>
      </c>
      <c r="K9944">
        <v>0</v>
      </c>
      <c r="L9944">
        <v>18217105.239999998</v>
      </c>
      <c r="M9944">
        <v>20297216.030000001</v>
      </c>
      <c r="N9944">
        <v>18217105.239999998</v>
      </c>
      <c r="O9944">
        <v>20297216.030000001</v>
      </c>
      <c r="P9944">
        <v>18217105.239999998</v>
      </c>
      <c r="Q9944">
        <v>20297216.030000001</v>
      </c>
      <c r="R9944" s="14">
        <f>_xlfn.XLOOKUP(Table2[[#This Row],[LoanID]],Table1[G-L ID],Table1[ManagerCode],-99)</f>
        <v>183</v>
      </c>
      <c r="T9944"/>
    </row>
    <row r="9945" spans="1:20" x14ac:dyDescent="0.25">
      <c r="A9945">
        <v>20191130</v>
      </c>
      <c r="B9945">
        <v>2019</v>
      </c>
      <c r="C9945">
        <v>11</v>
      </c>
      <c r="D9945">
        <v>1</v>
      </c>
      <c r="E9945">
        <v>13210</v>
      </c>
      <c r="F9945">
        <v>0</v>
      </c>
      <c r="G9945">
        <v>173576.41</v>
      </c>
      <c r="H9945">
        <v>0</v>
      </c>
      <c r="I9945">
        <v>0</v>
      </c>
      <c r="J9945">
        <v>0</v>
      </c>
      <c r="K9945">
        <v>0</v>
      </c>
      <c r="L9945">
        <v>16178060.66</v>
      </c>
      <c r="M9945">
        <v>16351637.07</v>
      </c>
      <c r="N9945">
        <v>16178060.66</v>
      </c>
      <c r="O9945">
        <v>16351637.07</v>
      </c>
      <c r="P9945">
        <v>16178060.66</v>
      </c>
      <c r="Q9945">
        <v>16351637.07</v>
      </c>
      <c r="R9945" s="14">
        <f>_xlfn.XLOOKUP(Table2[[#This Row],[LoanID]],Table1[G-L ID],Table1[ManagerCode],-99)</f>
        <v>183</v>
      </c>
      <c r="T9945"/>
    </row>
    <row r="9946" spans="1:20" x14ac:dyDescent="0.25">
      <c r="A9946">
        <v>20191130</v>
      </c>
      <c r="B9946">
        <v>2019</v>
      </c>
      <c r="C9946">
        <v>11</v>
      </c>
      <c r="D9946">
        <v>1</v>
      </c>
      <c r="E9946">
        <v>13220</v>
      </c>
      <c r="F9946">
        <v>71065.789999999994</v>
      </c>
      <c r="G9946">
        <v>-41.2</v>
      </c>
      <c r="H9946">
        <v>0</v>
      </c>
      <c r="I9946">
        <v>0</v>
      </c>
      <c r="J9946">
        <v>0</v>
      </c>
      <c r="K9946">
        <v>5287.96</v>
      </c>
      <c r="L9946">
        <v>9283523.4600000009</v>
      </c>
      <c r="M9946">
        <v>9278194.3000000007</v>
      </c>
      <c r="N9946">
        <v>9283523.4600000009</v>
      </c>
      <c r="O9946">
        <v>9278194.3000000007</v>
      </c>
      <c r="P9946">
        <v>9191809.3900000006</v>
      </c>
      <c r="Q9946">
        <v>9186480.2300000004</v>
      </c>
      <c r="R9946" s="14">
        <f>_xlfn.XLOOKUP(Table2[[#This Row],[LoanID]],Table1[G-L ID],Table1[ManagerCode],-99)</f>
        <v>219</v>
      </c>
      <c r="T9946"/>
    </row>
    <row r="9947" spans="1:20" x14ac:dyDescent="0.25">
      <c r="A9947">
        <v>20191130</v>
      </c>
      <c r="B9947">
        <v>2019</v>
      </c>
      <c r="C9947">
        <v>11</v>
      </c>
      <c r="D9947">
        <v>1</v>
      </c>
      <c r="E9947">
        <v>13230</v>
      </c>
      <c r="F9947">
        <v>43875</v>
      </c>
      <c r="G9947">
        <v>0</v>
      </c>
      <c r="H9947">
        <v>0</v>
      </c>
      <c r="I9947">
        <v>0</v>
      </c>
      <c r="J9947">
        <v>0</v>
      </c>
      <c r="K9947">
        <v>0</v>
      </c>
      <c r="L9947">
        <v>6543875</v>
      </c>
      <c r="M9947">
        <v>6543875</v>
      </c>
      <c r="N9947">
        <v>6543875</v>
      </c>
      <c r="O9947">
        <v>6543875</v>
      </c>
      <c r="P9947">
        <v>6543875</v>
      </c>
      <c r="Q9947">
        <v>6543875</v>
      </c>
      <c r="R9947" s="14">
        <f>_xlfn.XLOOKUP(Table2[[#This Row],[LoanID]],Table1[G-L ID],Table1[ManagerCode],-99)</f>
        <v>219</v>
      </c>
      <c r="T9947"/>
    </row>
    <row r="9948" spans="1:20" x14ac:dyDescent="0.25">
      <c r="A9948">
        <v>20191130</v>
      </c>
      <c r="B9948">
        <v>2019</v>
      </c>
      <c r="C9948">
        <v>11</v>
      </c>
      <c r="D9948">
        <v>1</v>
      </c>
      <c r="E9948">
        <v>13240</v>
      </c>
      <c r="F9948">
        <v>72923.509999999995</v>
      </c>
      <c r="G9948">
        <v>-473.62</v>
      </c>
      <c r="H9948">
        <v>0</v>
      </c>
      <c r="I9948">
        <v>0</v>
      </c>
      <c r="J9948">
        <v>0</v>
      </c>
      <c r="K9948">
        <v>0</v>
      </c>
      <c r="L9948">
        <v>7871270.7400000002</v>
      </c>
      <c r="M9948">
        <v>7870797.1200000001</v>
      </c>
      <c r="N9948">
        <v>7871270.7400000002</v>
      </c>
      <c r="O9948">
        <v>7870797.1200000001</v>
      </c>
      <c r="P9948">
        <v>7871270.7400000002</v>
      </c>
      <c r="Q9948">
        <v>7870797.1200000001</v>
      </c>
      <c r="R9948" s="14">
        <f>_xlfn.XLOOKUP(Table2[[#This Row],[LoanID]],Table1[G-L ID],Table1[ManagerCode],-99)</f>
        <v>219</v>
      </c>
      <c r="T9948"/>
    </row>
    <row r="9949" spans="1:20" x14ac:dyDescent="0.25">
      <c r="A9949">
        <v>20191130</v>
      </c>
      <c r="B9949">
        <v>2019</v>
      </c>
      <c r="C9949">
        <v>11</v>
      </c>
      <c r="D9949">
        <v>1</v>
      </c>
      <c r="E9949">
        <v>13260</v>
      </c>
      <c r="F9949">
        <v>179352.22</v>
      </c>
      <c r="G9949">
        <v>-7101.11</v>
      </c>
      <c r="H9949">
        <v>0</v>
      </c>
      <c r="I9949">
        <v>0</v>
      </c>
      <c r="J9949">
        <v>0</v>
      </c>
      <c r="K9949">
        <v>0</v>
      </c>
      <c r="L9949">
        <v>20098354.440000001</v>
      </c>
      <c r="M9949">
        <v>20091253.329999998</v>
      </c>
      <c r="N9949">
        <v>20098354.440000001</v>
      </c>
      <c r="O9949">
        <v>20091253.329999998</v>
      </c>
      <c r="P9949">
        <v>20098354.440000001</v>
      </c>
      <c r="Q9949">
        <v>20091253.329999998</v>
      </c>
      <c r="R9949" s="14">
        <f>_xlfn.XLOOKUP(Table2[[#This Row],[LoanID]],Table1[G-L ID],Table1[ManagerCode],-99)</f>
        <v>219</v>
      </c>
      <c r="T9949"/>
    </row>
    <row r="9950" spans="1:20" x14ac:dyDescent="0.25">
      <c r="A9950">
        <v>20191130</v>
      </c>
      <c r="B9950">
        <v>2019</v>
      </c>
      <c r="C9950">
        <v>11</v>
      </c>
      <c r="D9950">
        <v>1</v>
      </c>
      <c r="E9950">
        <v>13270</v>
      </c>
      <c r="F9950">
        <v>149122.92000000001</v>
      </c>
      <c r="G9950">
        <v>-7997.91</v>
      </c>
      <c r="H9950">
        <v>0</v>
      </c>
      <c r="I9950">
        <v>0</v>
      </c>
      <c r="J9950">
        <v>0</v>
      </c>
      <c r="K9950">
        <v>0</v>
      </c>
      <c r="L9950">
        <v>25149977.079999998</v>
      </c>
      <c r="M9950">
        <v>25141979.170000002</v>
      </c>
      <c r="N9950">
        <v>25149977.079999998</v>
      </c>
      <c r="O9950">
        <v>25141979.170000002</v>
      </c>
      <c r="P9950">
        <v>25149977.079999998</v>
      </c>
      <c r="Q9950">
        <v>25141979.170000002</v>
      </c>
      <c r="R9950" s="14">
        <f>_xlfn.XLOOKUP(Table2[[#This Row],[LoanID]],Table1[G-L ID],Table1[ManagerCode],-99)</f>
        <v>219</v>
      </c>
      <c r="T9950"/>
    </row>
    <row r="9951" spans="1:20" x14ac:dyDescent="0.25">
      <c r="A9951">
        <v>20191130</v>
      </c>
      <c r="B9951">
        <v>2019</v>
      </c>
      <c r="C9951">
        <v>11</v>
      </c>
      <c r="D9951">
        <v>1</v>
      </c>
      <c r="E9951">
        <v>13300</v>
      </c>
      <c r="F9951">
        <v>215277.78</v>
      </c>
      <c r="G9951">
        <v>-6944.45</v>
      </c>
      <c r="H9951">
        <v>0</v>
      </c>
      <c r="I9951">
        <v>0</v>
      </c>
      <c r="J9951">
        <v>0</v>
      </c>
      <c r="K9951">
        <v>0</v>
      </c>
      <c r="L9951">
        <v>25215277.780000001</v>
      </c>
      <c r="M9951">
        <v>25208333.329999998</v>
      </c>
      <c r="N9951">
        <v>25215277.780000001</v>
      </c>
      <c r="O9951">
        <v>25208333.329999998</v>
      </c>
      <c r="P9951">
        <v>25215277.780000001</v>
      </c>
      <c r="Q9951">
        <v>25208333.329999998</v>
      </c>
      <c r="R9951" s="14">
        <f>_xlfn.XLOOKUP(Table2[[#This Row],[LoanID]],Table1[G-L ID],Table1[ManagerCode],-99)</f>
        <v>219</v>
      </c>
      <c r="T9951"/>
    </row>
    <row r="9952" spans="1:20" x14ac:dyDescent="0.25">
      <c r="A9952">
        <v>20191130</v>
      </c>
      <c r="B9952">
        <v>2019</v>
      </c>
      <c r="C9952">
        <v>11</v>
      </c>
      <c r="D9952">
        <v>1</v>
      </c>
      <c r="E9952">
        <v>13370</v>
      </c>
      <c r="F9952">
        <v>165318.22</v>
      </c>
      <c r="G9952">
        <v>0</v>
      </c>
      <c r="H9952">
        <v>0</v>
      </c>
      <c r="I9952">
        <v>0</v>
      </c>
      <c r="J9952">
        <v>-573303.05000000005</v>
      </c>
      <c r="K9952">
        <v>0</v>
      </c>
      <c r="L9952">
        <v>43657464.149999999</v>
      </c>
      <c r="M9952">
        <v>44230767.200000003</v>
      </c>
      <c r="N9952">
        <v>43657464.149999999</v>
      </c>
      <c r="O9952">
        <v>44230767.200000003</v>
      </c>
      <c r="P9952">
        <v>43657464.149999999</v>
      </c>
      <c r="Q9952">
        <v>44230767.200000003</v>
      </c>
      <c r="R9952" s="14">
        <f>_xlfn.XLOOKUP(Table2[[#This Row],[LoanID]],Table1[G-L ID],Table1[ManagerCode],-99)</f>
        <v>183</v>
      </c>
      <c r="T9952"/>
    </row>
    <row r="9953" spans="1:20" x14ac:dyDescent="0.25">
      <c r="A9953">
        <v>20191130</v>
      </c>
      <c r="B9953">
        <v>2019</v>
      </c>
      <c r="C9953">
        <v>11</v>
      </c>
      <c r="D9953">
        <v>1</v>
      </c>
      <c r="E9953">
        <v>13380</v>
      </c>
      <c r="F9953">
        <v>51833.08</v>
      </c>
      <c r="G9953">
        <v>0</v>
      </c>
      <c r="H9953">
        <v>0</v>
      </c>
      <c r="I9953">
        <v>0</v>
      </c>
      <c r="J9953">
        <v>0</v>
      </c>
      <c r="K9953">
        <v>0</v>
      </c>
      <c r="L9953">
        <v>32000000</v>
      </c>
      <c r="M9953">
        <v>32000000</v>
      </c>
      <c r="N9953">
        <v>11200000</v>
      </c>
      <c r="O9953">
        <v>11200000</v>
      </c>
      <c r="P9953">
        <v>32000000</v>
      </c>
      <c r="Q9953">
        <v>32000000</v>
      </c>
      <c r="R9953" s="14">
        <f>_xlfn.XLOOKUP(Table2[[#This Row],[LoanID]],Table1[G-L ID],Table1[ManagerCode],-99)</f>
        <v>183</v>
      </c>
      <c r="T9953"/>
    </row>
    <row r="9954" spans="1:20" x14ac:dyDescent="0.25">
      <c r="A9954">
        <v>20191130</v>
      </c>
      <c r="B9954">
        <v>2019</v>
      </c>
      <c r="C9954">
        <v>11</v>
      </c>
      <c r="D9954">
        <v>1</v>
      </c>
      <c r="E9954">
        <v>13390</v>
      </c>
      <c r="F9954">
        <v>141841.92000000001</v>
      </c>
      <c r="G9954">
        <v>0</v>
      </c>
      <c r="H9954">
        <v>0</v>
      </c>
      <c r="I9954">
        <v>0</v>
      </c>
      <c r="J9954">
        <v>0</v>
      </c>
      <c r="K9954">
        <v>0</v>
      </c>
      <c r="L9954">
        <v>48343461.420000002</v>
      </c>
      <c r="M9954">
        <v>48343461.420000002</v>
      </c>
      <c r="N9954">
        <v>19427384.420000002</v>
      </c>
      <c r="O9954">
        <v>19427384.420000002</v>
      </c>
      <c r="P9954">
        <v>48343461.420000002</v>
      </c>
      <c r="Q9954">
        <v>48343461.420000002</v>
      </c>
      <c r="R9954" s="14">
        <f>_xlfn.XLOOKUP(Table2[[#This Row],[LoanID]],Table1[G-L ID],Table1[ManagerCode],-99)</f>
        <v>183</v>
      </c>
      <c r="T9954"/>
    </row>
    <row r="9955" spans="1:20" x14ac:dyDescent="0.25">
      <c r="A9955">
        <v>20191130</v>
      </c>
      <c r="B9955">
        <v>2019</v>
      </c>
      <c r="C9955">
        <v>11</v>
      </c>
      <c r="D9955">
        <v>1</v>
      </c>
      <c r="E9955">
        <v>13400</v>
      </c>
      <c r="F9955">
        <v>72323.600000000006</v>
      </c>
      <c r="G9955">
        <v>0</v>
      </c>
      <c r="H9955">
        <v>0</v>
      </c>
      <c r="I9955">
        <v>0</v>
      </c>
      <c r="J9955">
        <v>0</v>
      </c>
      <c r="K9955">
        <v>0</v>
      </c>
      <c r="L9955">
        <v>31750000</v>
      </c>
      <c r="M9955">
        <v>31750000</v>
      </c>
      <c r="N9955">
        <v>11112500</v>
      </c>
      <c r="O9955">
        <v>11112500</v>
      </c>
      <c r="P9955">
        <v>31750000</v>
      </c>
      <c r="Q9955">
        <v>31750000</v>
      </c>
      <c r="R9955" s="14">
        <f>_xlfn.XLOOKUP(Table2[[#This Row],[LoanID]],Table1[G-L ID],Table1[ManagerCode],-99)</f>
        <v>183</v>
      </c>
      <c r="T9955"/>
    </row>
    <row r="9956" spans="1:20" x14ac:dyDescent="0.25">
      <c r="A9956">
        <v>20191130</v>
      </c>
      <c r="B9956">
        <v>2019</v>
      </c>
      <c r="C9956">
        <v>11</v>
      </c>
      <c r="D9956">
        <v>1</v>
      </c>
      <c r="E9956">
        <v>13410</v>
      </c>
      <c r="F9956">
        <v>68699.199999999997</v>
      </c>
      <c r="G9956">
        <v>0</v>
      </c>
      <c r="H9956">
        <v>0</v>
      </c>
      <c r="I9956">
        <v>0</v>
      </c>
      <c r="J9956">
        <v>-150925.65</v>
      </c>
      <c r="K9956">
        <v>0</v>
      </c>
      <c r="L9956">
        <v>34881137.060000002</v>
      </c>
      <c r="M9956">
        <v>35032062.710000001</v>
      </c>
      <c r="N9956">
        <v>14011137.060000001</v>
      </c>
      <c r="O9956">
        <v>14162062.710000001</v>
      </c>
      <c r="P9956">
        <v>34881137.060000002</v>
      </c>
      <c r="Q9956">
        <v>35032062.710000001</v>
      </c>
      <c r="R9956" s="14">
        <f>_xlfn.XLOOKUP(Table2[[#This Row],[LoanID]],Table1[G-L ID],Table1[ManagerCode],-99)</f>
        <v>183</v>
      </c>
      <c r="T9956"/>
    </row>
    <row r="9957" spans="1:20" x14ac:dyDescent="0.25">
      <c r="A9957">
        <v>20191130</v>
      </c>
      <c r="B9957">
        <v>2019</v>
      </c>
      <c r="C9957">
        <v>11</v>
      </c>
      <c r="D9957">
        <v>1</v>
      </c>
      <c r="E9957">
        <v>13420</v>
      </c>
      <c r="F9957">
        <v>61622.98</v>
      </c>
      <c r="G9957">
        <v>0</v>
      </c>
      <c r="H9957">
        <v>0</v>
      </c>
      <c r="I9957">
        <v>0</v>
      </c>
      <c r="J9957">
        <v>-58954.99</v>
      </c>
      <c r="K9957">
        <v>0</v>
      </c>
      <c r="L9957">
        <v>30438324.23</v>
      </c>
      <c r="M9957">
        <v>30497279.219999999</v>
      </c>
      <c r="N9957">
        <v>13943411.23</v>
      </c>
      <c r="O9957">
        <v>14002366.220000001</v>
      </c>
      <c r="P9957">
        <v>30438324.23</v>
      </c>
      <c r="Q9957">
        <v>30497279.219999999</v>
      </c>
      <c r="R9957" s="14">
        <f>_xlfn.XLOOKUP(Table2[[#This Row],[LoanID]],Table1[G-L ID],Table1[ManagerCode],-99)</f>
        <v>183</v>
      </c>
      <c r="T9957"/>
    </row>
    <row r="9958" spans="1:20" x14ac:dyDescent="0.25">
      <c r="A9958">
        <v>20191130</v>
      </c>
      <c r="B9958">
        <v>2019</v>
      </c>
      <c r="C9958">
        <v>11</v>
      </c>
      <c r="D9958">
        <v>1</v>
      </c>
      <c r="E9958">
        <v>13430</v>
      </c>
      <c r="F9958">
        <v>301875</v>
      </c>
      <c r="G9958">
        <v>0</v>
      </c>
      <c r="H9958">
        <v>0</v>
      </c>
      <c r="I9958">
        <v>0</v>
      </c>
      <c r="J9958">
        <v>0</v>
      </c>
      <c r="K9958">
        <v>0</v>
      </c>
      <c r="L9958">
        <v>75000000</v>
      </c>
      <c r="M9958">
        <v>75000000</v>
      </c>
      <c r="N9958">
        <v>30882353</v>
      </c>
      <c r="O9958">
        <v>30882353</v>
      </c>
      <c r="P9958">
        <v>75000000</v>
      </c>
      <c r="Q9958">
        <v>75000000</v>
      </c>
      <c r="R9958" s="14">
        <f>_xlfn.XLOOKUP(Table2[[#This Row],[LoanID]],Table1[G-L ID],Table1[ManagerCode],-99)</f>
        <v>183</v>
      </c>
      <c r="T9958"/>
    </row>
    <row r="9959" spans="1:20" x14ac:dyDescent="0.25">
      <c r="A9959">
        <v>20191130</v>
      </c>
      <c r="B9959">
        <v>2019</v>
      </c>
      <c r="C9959">
        <v>11</v>
      </c>
      <c r="D9959">
        <v>1</v>
      </c>
      <c r="E9959">
        <v>13440</v>
      </c>
      <c r="F9959">
        <v>0</v>
      </c>
      <c r="G9959">
        <v>120215.46</v>
      </c>
      <c r="H9959">
        <v>0</v>
      </c>
      <c r="I9959">
        <v>0</v>
      </c>
      <c r="J9959">
        <v>0</v>
      </c>
      <c r="K9959">
        <v>0</v>
      </c>
      <c r="L9959">
        <v>12140582.4</v>
      </c>
      <c r="M9959">
        <v>12260797.859999999</v>
      </c>
      <c r="N9959">
        <v>12140582.4</v>
      </c>
      <c r="O9959">
        <v>12260797.859999999</v>
      </c>
      <c r="P9959">
        <v>12140582.4</v>
      </c>
      <c r="Q9959">
        <v>12260797.859999999</v>
      </c>
      <c r="R9959" s="14">
        <f>_xlfn.XLOOKUP(Table2[[#This Row],[LoanID]],Table1[G-L ID],Table1[ManagerCode],-99)</f>
        <v>183</v>
      </c>
      <c r="T9959"/>
    </row>
    <row r="9960" spans="1:20" x14ac:dyDescent="0.25">
      <c r="A9960">
        <v>20191130</v>
      </c>
      <c r="B9960">
        <v>2019</v>
      </c>
      <c r="C9960">
        <v>11</v>
      </c>
      <c r="D9960">
        <v>1</v>
      </c>
      <c r="E9960">
        <v>13450</v>
      </c>
      <c r="F9960">
        <v>0</v>
      </c>
      <c r="G9960">
        <v>124561.57</v>
      </c>
      <c r="H9960">
        <v>0</v>
      </c>
      <c r="I9960">
        <v>0</v>
      </c>
      <c r="J9960">
        <v>0</v>
      </c>
      <c r="K9960">
        <v>0</v>
      </c>
      <c r="L9960">
        <v>11611842.68</v>
      </c>
      <c r="M9960">
        <v>11736404.25</v>
      </c>
      <c r="N9960">
        <v>11611842.68</v>
      </c>
      <c r="O9960">
        <v>11736404.25</v>
      </c>
      <c r="P9960">
        <v>11611842.68</v>
      </c>
      <c r="Q9960">
        <v>11736404.25</v>
      </c>
      <c r="R9960" s="14">
        <f>_xlfn.XLOOKUP(Table2[[#This Row],[LoanID]],Table1[G-L ID],Table1[ManagerCode],-99)</f>
        <v>183</v>
      </c>
      <c r="T9960"/>
    </row>
    <row r="9961" spans="1:20" x14ac:dyDescent="0.25">
      <c r="A9961">
        <v>20191130</v>
      </c>
      <c r="B9961">
        <v>2019</v>
      </c>
      <c r="C9961">
        <v>11</v>
      </c>
      <c r="D9961">
        <v>1</v>
      </c>
      <c r="E9961">
        <v>13460</v>
      </c>
      <c r="F9961">
        <v>15276.68</v>
      </c>
      <c r="G9961">
        <v>23016.85</v>
      </c>
      <c r="H9961">
        <v>0</v>
      </c>
      <c r="I9961">
        <v>0</v>
      </c>
      <c r="J9961">
        <v>-568155.85</v>
      </c>
      <c r="K9961">
        <v>0</v>
      </c>
      <c r="L9961">
        <v>3351983.79</v>
      </c>
      <c r="M9961">
        <v>3943156.49</v>
      </c>
      <c r="N9961">
        <v>3351983.79</v>
      </c>
      <c r="O9961">
        <v>3943156.49</v>
      </c>
      <c r="P9961">
        <v>3351983.79</v>
      </c>
      <c r="Q9961">
        <v>3943156.49</v>
      </c>
      <c r="R9961" s="14">
        <f>_xlfn.XLOOKUP(Table2[[#This Row],[LoanID]],Table1[G-L ID],Table1[ManagerCode],-99)</f>
        <v>183</v>
      </c>
      <c r="T9961"/>
    </row>
    <row r="9962" spans="1:20" x14ac:dyDescent="0.25">
      <c r="A9962">
        <v>20191130</v>
      </c>
      <c r="B9962">
        <v>2019</v>
      </c>
      <c r="C9962">
        <v>11</v>
      </c>
      <c r="D9962">
        <v>1</v>
      </c>
      <c r="E9962">
        <v>13470</v>
      </c>
      <c r="F9962">
        <v>356553.82</v>
      </c>
      <c r="G9962">
        <v>0</v>
      </c>
      <c r="H9962">
        <v>0</v>
      </c>
      <c r="I9962">
        <v>0</v>
      </c>
      <c r="J9962">
        <v>0</v>
      </c>
      <c r="K9962">
        <v>0</v>
      </c>
      <c r="L9962">
        <v>62500000</v>
      </c>
      <c r="M9962">
        <v>62500000</v>
      </c>
      <c r="N9962">
        <v>62500000</v>
      </c>
      <c r="O9962">
        <v>62500000</v>
      </c>
      <c r="P9962">
        <v>62500000</v>
      </c>
      <c r="Q9962">
        <v>62500000</v>
      </c>
      <c r="R9962" s="14">
        <f>_xlfn.XLOOKUP(Table2[[#This Row],[LoanID]],Table1[G-L ID],Table1[ManagerCode],-99)</f>
        <v>165</v>
      </c>
      <c r="T9962"/>
    </row>
    <row r="9963" spans="1:20" x14ac:dyDescent="0.25">
      <c r="A9963">
        <v>20191130</v>
      </c>
      <c r="B9963">
        <v>2019</v>
      </c>
      <c r="C9963">
        <v>11</v>
      </c>
      <c r="D9963">
        <v>1</v>
      </c>
      <c r="E9963">
        <v>13480</v>
      </c>
      <c r="F9963">
        <v>250531.67</v>
      </c>
      <c r="G9963">
        <v>0</v>
      </c>
      <c r="H9963">
        <v>0</v>
      </c>
      <c r="I9963">
        <v>0</v>
      </c>
      <c r="J9963">
        <v>0</v>
      </c>
      <c r="K9963">
        <v>0</v>
      </c>
      <c r="L9963">
        <v>39000000</v>
      </c>
      <c r="M9963">
        <v>39000000</v>
      </c>
      <c r="N9963">
        <v>39000000</v>
      </c>
      <c r="O9963">
        <v>39000000</v>
      </c>
      <c r="P9963">
        <v>39000000</v>
      </c>
      <c r="Q9963">
        <v>39000000</v>
      </c>
      <c r="R9963" s="14">
        <f>_xlfn.XLOOKUP(Table2[[#This Row],[LoanID]],Table1[G-L ID],Table1[ManagerCode],-99)</f>
        <v>165</v>
      </c>
      <c r="T9963"/>
    </row>
    <row r="9964" spans="1:20" x14ac:dyDescent="0.25">
      <c r="A9964">
        <v>20191130</v>
      </c>
      <c r="B9964">
        <v>2019</v>
      </c>
      <c r="C9964">
        <v>11</v>
      </c>
      <c r="D9964">
        <v>1</v>
      </c>
      <c r="E9964">
        <v>13490</v>
      </c>
      <c r="F9964">
        <v>303800</v>
      </c>
      <c r="G9964">
        <v>0</v>
      </c>
      <c r="H9964">
        <v>0</v>
      </c>
      <c r="I9964">
        <v>0</v>
      </c>
      <c r="J9964">
        <v>0</v>
      </c>
      <c r="K9964">
        <v>0</v>
      </c>
      <c r="L9964">
        <v>40000000</v>
      </c>
      <c r="M9964">
        <v>40000000</v>
      </c>
      <c r="N9964">
        <v>40000000</v>
      </c>
      <c r="O9964">
        <v>40000000</v>
      </c>
      <c r="P9964">
        <v>40000000</v>
      </c>
      <c r="Q9964">
        <v>40000000</v>
      </c>
      <c r="R9964" s="14">
        <f>_xlfn.XLOOKUP(Table2[[#This Row],[LoanID]],Table1[G-L ID],Table1[ManagerCode],-99)</f>
        <v>165</v>
      </c>
      <c r="T9964"/>
    </row>
    <row r="9965" spans="1:20" x14ac:dyDescent="0.25">
      <c r="A9965">
        <v>20191130</v>
      </c>
      <c r="B9965">
        <v>2019</v>
      </c>
      <c r="C9965">
        <v>11</v>
      </c>
      <c r="D9965">
        <v>1</v>
      </c>
      <c r="E9965">
        <v>13500</v>
      </c>
      <c r="F9965">
        <v>283628.46999999997</v>
      </c>
      <c r="G9965">
        <v>0</v>
      </c>
      <c r="H9965">
        <v>0</v>
      </c>
      <c r="I9965">
        <v>0</v>
      </c>
      <c r="J9965">
        <v>0</v>
      </c>
      <c r="K9965">
        <v>0</v>
      </c>
      <c r="L9965">
        <v>42500000</v>
      </c>
      <c r="M9965">
        <v>42500000</v>
      </c>
      <c r="N9965">
        <v>42500000</v>
      </c>
      <c r="O9965">
        <v>42500000</v>
      </c>
      <c r="P9965">
        <v>42500000</v>
      </c>
      <c r="Q9965">
        <v>42500000</v>
      </c>
      <c r="R9965" s="14">
        <f>_xlfn.XLOOKUP(Table2[[#This Row],[LoanID]],Table1[G-L ID],Table1[ManagerCode],-99)</f>
        <v>165</v>
      </c>
      <c r="T9965"/>
    </row>
    <row r="9966" spans="1:20" x14ac:dyDescent="0.25">
      <c r="A9966">
        <v>20191130</v>
      </c>
      <c r="B9966">
        <v>2019</v>
      </c>
      <c r="C9966">
        <v>11</v>
      </c>
      <c r="D9966">
        <v>1</v>
      </c>
      <c r="E9966">
        <v>13510</v>
      </c>
      <c r="F9966">
        <v>317750</v>
      </c>
      <c r="G9966">
        <v>0</v>
      </c>
      <c r="H9966">
        <v>0</v>
      </c>
      <c r="I9966">
        <v>0</v>
      </c>
      <c r="J9966">
        <v>0</v>
      </c>
      <c r="K9966">
        <v>0</v>
      </c>
      <c r="L9966">
        <v>90000000</v>
      </c>
      <c r="M9966">
        <v>90000000</v>
      </c>
      <c r="N9966">
        <v>90000000</v>
      </c>
      <c r="O9966">
        <v>90000000</v>
      </c>
      <c r="P9966">
        <v>90000000</v>
      </c>
      <c r="Q9966">
        <v>90000000</v>
      </c>
      <c r="R9966" s="14">
        <f>_xlfn.XLOOKUP(Table2[[#This Row],[LoanID]],Table1[G-L ID],Table1[ManagerCode],-99)</f>
        <v>165</v>
      </c>
      <c r="T9966"/>
    </row>
    <row r="9967" spans="1:20" x14ac:dyDescent="0.25">
      <c r="A9967">
        <v>20191130</v>
      </c>
      <c r="B9967">
        <v>2019</v>
      </c>
      <c r="C9967">
        <v>11</v>
      </c>
      <c r="D9967">
        <v>1</v>
      </c>
      <c r="E9967">
        <v>13520</v>
      </c>
      <c r="F9967">
        <v>860572.92</v>
      </c>
      <c r="G9967">
        <v>0</v>
      </c>
      <c r="H9967">
        <v>0</v>
      </c>
      <c r="I9967">
        <v>0</v>
      </c>
      <c r="J9967">
        <v>0</v>
      </c>
      <c r="K9967">
        <v>0</v>
      </c>
      <c r="L9967">
        <v>195000000</v>
      </c>
      <c r="M9967">
        <v>195000000</v>
      </c>
      <c r="N9967">
        <v>195000000</v>
      </c>
      <c r="O9967">
        <v>195000000</v>
      </c>
      <c r="P9967">
        <v>195000000</v>
      </c>
      <c r="Q9967">
        <v>195000000</v>
      </c>
      <c r="R9967" s="14">
        <f>_xlfn.XLOOKUP(Table2[[#This Row],[LoanID]],Table1[G-L ID],Table1[ManagerCode],-99)</f>
        <v>165</v>
      </c>
      <c r="T9967"/>
    </row>
    <row r="9968" spans="1:20" x14ac:dyDescent="0.25">
      <c r="A9968">
        <v>20191130</v>
      </c>
      <c r="B9968">
        <v>2019</v>
      </c>
      <c r="C9968">
        <v>11</v>
      </c>
      <c r="D9968">
        <v>1</v>
      </c>
      <c r="E9968">
        <v>13530</v>
      </c>
      <c r="F9968">
        <v>403645.83</v>
      </c>
      <c r="G9968">
        <v>0</v>
      </c>
      <c r="H9968">
        <v>0</v>
      </c>
      <c r="I9968">
        <v>0</v>
      </c>
      <c r="J9968">
        <v>0</v>
      </c>
      <c r="K9968">
        <v>0</v>
      </c>
      <c r="L9968">
        <v>75000000</v>
      </c>
      <c r="M9968">
        <v>75000000</v>
      </c>
      <c r="N9968">
        <v>75000000</v>
      </c>
      <c r="O9968">
        <v>75000000</v>
      </c>
      <c r="P9968">
        <v>75000000</v>
      </c>
      <c r="Q9968">
        <v>75000000</v>
      </c>
      <c r="R9968" s="14">
        <f>_xlfn.XLOOKUP(Table2[[#This Row],[LoanID]],Table1[G-L ID],Table1[ManagerCode],-99)</f>
        <v>165</v>
      </c>
      <c r="T9968"/>
    </row>
    <row r="9969" spans="1:20" x14ac:dyDescent="0.25">
      <c r="A9969">
        <v>20191130</v>
      </c>
      <c r="B9969">
        <v>2019</v>
      </c>
      <c r="C9969">
        <v>11</v>
      </c>
      <c r="D9969">
        <v>1</v>
      </c>
      <c r="E9969">
        <v>13550</v>
      </c>
      <c r="F9969">
        <v>1682872.91</v>
      </c>
      <c r="G9969">
        <v>0</v>
      </c>
      <c r="H9969">
        <v>0</v>
      </c>
      <c r="I9969">
        <v>0</v>
      </c>
      <c r="J9969">
        <v>0</v>
      </c>
      <c r="K9969">
        <v>0</v>
      </c>
      <c r="L9969">
        <v>355328004.80000001</v>
      </c>
      <c r="M9969">
        <v>355328004.80000001</v>
      </c>
      <c r="N9969">
        <v>355328004.80000001</v>
      </c>
      <c r="O9969">
        <v>355328004.80000001</v>
      </c>
      <c r="P9969">
        <v>355328004.80000001</v>
      </c>
      <c r="Q9969">
        <v>355328004.80000001</v>
      </c>
      <c r="R9969" s="14">
        <f>_xlfn.XLOOKUP(Table2[[#This Row],[LoanID]],Table1[G-L ID],Table1[ManagerCode],-99)</f>
        <v>165</v>
      </c>
      <c r="T9969"/>
    </row>
    <row r="9970" spans="1:20" x14ac:dyDescent="0.25">
      <c r="A9970">
        <v>20191130</v>
      </c>
      <c r="B9970">
        <v>2019</v>
      </c>
      <c r="C9970">
        <v>11</v>
      </c>
      <c r="D9970">
        <v>1</v>
      </c>
      <c r="E9970">
        <v>13560</v>
      </c>
      <c r="F9970">
        <v>579932.5</v>
      </c>
      <c r="G9970">
        <v>-25660.83</v>
      </c>
      <c r="H9970">
        <v>0</v>
      </c>
      <c r="I9970">
        <v>0</v>
      </c>
      <c r="J9970">
        <v>0</v>
      </c>
      <c r="K9970">
        <v>0</v>
      </c>
      <c r="L9970">
        <v>105318027.5</v>
      </c>
      <c r="M9970">
        <v>105292366.7</v>
      </c>
      <c r="N9970">
        <v>105318027.5</v>
      </c>
      <c r="O9970">
        <v>105292366.7</v>
      </c>
      <c r="P9970">
        <v>105318027.5</v>
      </c>
      <c r="Q9970">
        <v>105292366.7</v>
      </c>
      <c r="R9970" s="14">
        <f>_xlfn.XLOOKUP(Table2[[#This Row],[LoanID]],Table1[G-L ID],Table1[ManagerCode],-99)</f>
        <v>219</v>
      </c>
      <c r="T9970"/>
    </row>
    <row r="9971" spans="1:20" x14ac:dyDescent="0.25">
      <c r="A9971">
        <v>20191130</v>
      </c>
      <c r="B9971">
        <v>2019</v>
      </c>
      <c r="C9971">
        <v>11</v>
      </c>
      <c r="D9971">
        <v>1</v>
      </c>
      <c r="E9971">
        <v>13580</v>
      </c>
      <c r="F9971">
        <v>429479.17</v>
      </c>
      <c r="G9971">
        <v>0</v>
      </c>
      <c r="H9971">
        <v>0</v>
      </c>
      <c r="I9971">
        <v>0</v>
      </c>
      <c r="J9971">
        <v>0</v>
      </c>
      <c r="K9971">
        <v>0</v>
      </c>
      <c r="L9971">
        <v>64043355.189999998</v>
      </c>
      <c r="M9971">
        <v>64113914.409999996</v>
      </c>
      <c r="N9971">
        <v>64043355.189999998</v>
      </c>
      <c r="O9971">
        <v>64113914.409999996</v>
      </c>
      <c r="P9971">
        <v>66500000</v>
      </c>
      <c r="Q9971">
        <v>66500000</v>
      </c>
      <c r="R9971" s="14">
        <f>_xlfn.XLOOKUP(Table2[[#This Row],[LoanID]],Table1[G-L ID],Table1[ManagerCode],-99)</f>
        <v>298</v>
      </c>
      <c r="T9971"/>
    </row>
    <row r="9972" spans="1:20" x14ac:dyDescent="0.25">
      <c r="A9972">
        <v>20191130</v>
      </c>
      <c r="B9972">
        <v>2019</v>
      </c>
      <c r="C9972">
        <v>11</v>
      </c>
      <c r="D9972">
        <v>1</v>
      </c>
      <c r="E9972">
        <v>13600</v>
      </c>
      <c r="F9972">
        <v>379029.03</v>
      </c>
      <c r="G9972">
        <v>0</v>
      </c>
      <c r="H9972">
        <v>0</v>
      </c>
      <c r="I9972">
        <v>0</v>
      </c>
      <c r="J9972">
        <v>0</v>
      </c>
      <c r="K9972">
        <v>0</v>
      </c>
      <c r="L9972">
        <v>45970000</v>
      </c>
      <c r="M9972">
        <v>45970000</v>
      </c>
      <c r="N9972">
        <v>45970000</v>
      </c>
      <c r="O9972">
        <v>45970000</v>
      </c>
      <c r="P9972">
        <v>45970000</v>
      </c>
      <c r="Q9972">
        <v>45970000</v>
      </c>
      <c r="R9972" s="14">
        <f>_xlfn.XLOOKUP(Table2[[#This Row],[LoanID]],Table1[G-L ID],Table1[ManagerCode],-99)</f>
        <v>298</v>
      </c>
      <c r="T9972"/>
    </row>
    <row r="9973" spans="1:20" x14ac:dyDescent="0.25">
      <c r="A9973">
        <v>20191130</v>
      </c>
      <c r="B9973">
        <v>2019</v>
      </c>
      <c r="C9973">
        <v>11</v>
      </c>
      <c r="D9973">
        <v>1</v>
      </c>
      <c r="E9973">
        <v>13610</v>
      </c>
      <c r="F9973">
        <v>63291.67</v>
      </c>
      <c r="G9973">
        <v>0</v>
      </c>
      <c r="H9973">
        <v>0</v>
      </c>
      <c r="I9973">
        <v>0</v>
      </c>
      <c r="J9973">
        <v>0</v>
      </c>
      <c r="K9973">
        <v>0</v>
      </c>
      <c r="L9973">
        <v>10542185</v>
      </c>
      <c r="M9973">
        <v>10542185</v>
      </c>
      <c r="N9973">
        <v>10542185</v>
      </c>
      <c r="O9973">
        <v>10542185</v>
      </c>
      <c r="P9973">
        <v>10500000</v>
      </c>
      <c r="Q9973">
        <v>10500000</v>
      </c>
      <c r="R9973" s="14">
        <f>_xlfn.XLOOKUP(Table2[[#This Row],[LoanID]],Table1[G-L ID],Table1[ManagerCode],-99)</f>
        <v>298</v>
      </c>
      <c r="T9973"/>
    </row>
    <row r="9974" spans="1:20" x14ac:dyDescent="0.25">
      <c r="A9974">
        <v>20191130</v>
      </c>
      <c r="B9974">
        <v>2019</v>
      </c>
      <c r="C9974">
        <v>11</v>
      </c>
      <c r="D9974">
        <v>1</v>
      </c>
      <c r="E9974">
        <v>13620</v>
      </c>
      <c r="F9974">
        <v>347200</v>
      </c>
      <c r="G9974">
        <v>0</v>
      </c>
      <c r="H9974">
        <v>0</v>
      </c>
      <c r="I9974">
        <v>0</v>
      </c>
      <c r="J9974">
        <v>0</v>
      </c>
      <c r="K9974">
        <v>0</v>
      </c>
      <c r="L9974">
        <v>49842286</v>
      </c>
      <c r="M9974">
        <v>49842286</v>
      </c>
      <c r="N9974">
        <v>49842286</v>
      </c>
      <c r="O9974">
        <v>49842286</v>
      </c>
      <c r="P9974">
        <v>50000000</v>
      </c>
      <c r="Q9974">
        <v>50000000</v>
      </c>
      <c r="R9974" s="14">
        <f>_xlfn.XLOOKUP(Table2[[#This Row],[LoanID]],Table1[G-L ID],Table1[ManagerCode],-99)</f>
        <v>298</v>
      </c>
      <c r="T9974"/>
    </row>
    <row r="9975" spans="1:20" x14ac:dyDescent="0.25">
      <c r="A9975">
        <v>20191130</v>
      </c>
      <c r="B9975">
        <v>2019</v>
      </c>
      <c r="C9975">
        <v>11</v>
      </c>
      <c r="D9975">
        <v>1</v>
      </c>
      <c r="E9975">
        <v>13630</v>
      </c>
      <c r="F9975">
        <v>218506.94</v>
      </c>
      <c r="G9975">
        <v>0</v>
      </c>
      <c r="H9975">
        <v>0</v>
      </c>
      <c r="I9975">
        <v>0</v>
      </c>
      <c r="J9975">
        <v>0</v>
      </c>
      <c r="K9975">
        <v>0</v>
      </c>
      <c r="L9975">
        <v>30700000</v>
      </c>
      <c r="M9975">
        <v>30700000</v>
      </c>
      <c r="N9975">
        <v>30700000</v>
      </c>
      <c r="O9975">
        <v>30700000</v>
      </c>
      <c r="P9975">
        <v>35000000</v>
      </c>
      <c r="Q9975">
        <v>35000000</v>
      </c>
      <c r="R9975" s="14">
        <f>_xlfn.XLOOKUP(Table2[[#This Row],[LoanID]],Table1[G-L ID],Table1[ManagerCode],-99)</f>
        <v>298</v>
      </c>
      <c r="T9975"/>
    </row>
    <row r="9976" spans="1:20" x14ac:dyDescent="0.25">
      <c r="A9976">
        <v>20191130</v>
      </c>
      <c r="B9976">
        <v>2019</v>
      </c>
      <c r="C9976">
        <v>11</v>
      </c>
      <c r="D9976">
        <v>1</v>
      </c>
      <c r="E9976">
        <v>13640</v>
      </c>
      <c r="F9976">
        <v>226983.51</v>
      </c>
      <c r="G9976">
        <v>0</v>
      </c>
      <c r="H9976">
        <v>0</v>
      </c>
      <c r="I9976">
        <v>0</v>
      </c>
      <c r="J9976">
        <v>0</v>
      </c>
      <c r="K9976">
        <v>0</v>
      </c>
      <c r="L9976">
        <v>30714705</v>
      </c>
      <c r="M9976">
        <v>30714705</v>
      </c>
      <c r="N9976">
        <v>30714705</v>
      </c>
      <c r="O9976">
        <v>30714705</v>
      </c>
      <c r="P9976">
        <v>30125000</v>
      </c>
      <c r="Q9976">
        <v>30125000</v>
      </c>
      <c r="R9976" s="14">
        <f>_xlfn.XLOOKUP(Table2[[#This Row],[LoanID]],Table1[G-L ID],Table1[ManagerCode],-99)</f>
        <v>298</v>
      </c>
      <c r="T9976"/>
    </row>
    <row r="9977" spans="1:20" x14ac:dyDescent="0.25">
      <c r="A9977">
        <v>20191130</v>
      </c>
      <c r="B9977">
        <v>2019</v>
      </c>
      <c r="C9977">
        <v>11</v>
      </c>
      <c r="D9977">
        <v>1</v>
      </c>
      <c r="E9977">
        <v>13650</v>
      </c>
      <c r="F9977">
        <v>223888.89</v>
      </c>
      <c r="G9977">
        <v>0</v>
      </c>
      <c r="H9977">
        <v>0</v>
      </c>
      <c r="I9977">
        <v>0</v>
      </c>
      <c r="J9977">
        <v>0</v>
      </c>
      <c r="K9977">
        <v>0</v>
      </c>
      <c r="L9977">
        <v>38895325</v>
      </c>
      <c r="M9977">
        <v>38895325</v>
      </c>
      <c r="N9977">
        <v>38895325</v>
      </c>
      <c r="O9977">
        <v>38895325</v>
      </c>
      <c r="P9977">
        <v>40000000</v>
      </c>
      <c r="Q9977">
        <v>40000000</v>
      </c>
      <c r="R9977" s="14">
        <f>_xlfn.XLOOKUP(Table2[[#This Row],[LoanID]],Table1[G-L ID],Table1[ManagerCode],-99)</f>
        <v>298</v>
      </c>
      <c r="T9977"/>
    </row>
    <row r="9978" spans="1:20" x14ac:dyDescent="0.25">
      <c r="A9978">
        <v>20191130</v>
      </c>
      <c r="B9978">
        <v>2019</v>
      </c>
      <c r="C9978">
        <v>11</v>
      </c>
      <c r="D9978">
        <v>1</v>
      </c>
      <c r="E9978">
        <v>13660</v>
      </c>
      <c r="F9978">
        <v>117972.22</v>
      </c>
      <c r="G9978">
        <v>0</v>
      </c>
      <c r="H9978">
        <v>0</v>
      </c>
      <c r="I9978">
        <v>0</v>
      </c>
      <c r="J9978">
        <v>0</v>
      </c>
      <c r="K9978">
        <v>0</v>
      </c>
      <c r="L9978">
        <v>19313433</v>
      </c>
      <c r="M9978">
        <v>19313433</v>
      </c>
      <c r="N9978">
        <v>19313433</v>
      </c>
      <c r="O9978">
        <v>19313433</v>
      </c>
      <c r="P9978">
        <v>20000000</v>
      </c>
      <c r="Q9978">
        <v>20000000</v>
      </c>
      <c r="R9978" s="14">
        <f>_xlfn.XLOOKUP(Table2[[#This Row],[LoanID]],Table1[G-L ID],Table1[ManagerCode],-99)</f>
        <v>298</v>
      </c>
      <c r="T9978"/>
    </row>
    <row r="9979" spans="1:20" x14ac:dyDescent="0.25">
      <c r="A9979">
        <v>20191130</v>
      </c>
      <c r="B9979">
        <v>2019</v>
      </c>
      <c r="C9979">
        <v>11</v>
      </c>
      <c r="D9979">
        <v>1</v>
      </c>
      <c r="E9979">
        <v>13670</v>
      </c>
      <c r="F9979">
        <v>0</v>
      </c>
      <c r="G9979">
        <v>381277.01</v>
      </c>
      <c r="H9979">
        <v>0</v>
      </c>
      <c r="I9979">
        <v>0</v>
      </c>
      <c r="J9979">
        <v>0</v>
      </c>
      <c r="K9979">
        <v>0</v>
      </c>
      <c r="L9979">
        <v>25000000</v>
      </c>
      <c r="M9979">
        <v>25000000</v>
      </c>
      <c r="N9979">
        <v>25000000</v>
      </c>
      <c r="O9979">
        <v>25000000</v>
      </c>
      <c r="P9979">
        <v>39328144.490000002</v>
      </c>
      <c r="Q9979">
        <v>39709421.5</v>
      </c>
      <c r="R9979" s="14">
        <f>_xlfn.XLOOKUP(Table2[[#This Row],[LoanID]],Table1[G-L ID],Table1[ManagerCode],-99)</f>
        <v>298</v>
      </c>
      <c r="T9979"/>
    </row>
    <row r="9980" spans="1:20" x14ac:dyDescent="0.25">
      <c r="A9980">
        <v>20191130</v>
      </c>
      <c r="B9980">
        <v>2019</v>
      </c>
      <c r="C9980">
        <v>11</v>
      </c>
      <c r="D9980">
        <v>1</v>
      </c>
      <c r="E9980">
        <v>13690</v>
      </c>
      <c r="F9980">
        <v>133472.22</v>
      </c>
      <c r="G9980">
        <v>0</v>
      </c>
      <c r="H9980">
        <v>0</v>
      </c>
      <c r="I9980">
        <v>0</v>
      </c>
      <c r="J9980">
        <v>0</v>
      </c>
      <c r="K9980">
        <v>0</v>
      </c>
      <c r="L9980">
        <v>19791063.850000001</v>
      </c>
      <c r="M9980">
        <v>19791063.850000001</v>
      </c>
      <c r="N9980">
        <v>19791063.850000001</v>
      </c>
      <c r="O9980">
        <v>19791063.850000001</v>
      </c>
      <c r="P9980">
        <v>20000000</v>
      </c>
      <c r="Q9980">
        <v>20000000</v>
      </c>
      <c r="R9980" s="14">
        <f>_xlfn.XLOOKUP(Table2[[#This Row],[LoanID]],Table1[G-L ID],Table1[ManagerCode],-99)</f>
        <v>298</v>
      </c>
      <c r="T9980"/>
    </row>
    <row r="9981" spans="1:20" x14ac:dyDescent="0.25">
      <c r="A9981">
        <v>20191130</v>
      </c>
      <c r="B9981">
        <v>2019</v>
      </c>
      <c r="C9981">
        <v>11</v>
      </c>
      <c r="D9981">
        <v>1</v>
      </c>
      <c r="E9981">
        <v>13790</v>
      </c>
      <c r="F9981">
        <v>150603.17000000001</v>
      </c>
      <c r="G9981">
        <v>-8212.5400000000009</v>
      </c>
      <c r="H9981">
        <v>0</v>
      </c>
      <c r="I9981">
        <v>0</v>
      </c>
      <c r="J9981">
        <v>0</v>
      </c>
      <c r="K9981">
        <v>0</v>
      </c>
      <c r="L9981">
        <v>20720783.219999999</v>
      </c>
      <c r="M9981">
        <v>20712570.68</v>
      </c>
      <c r="N9981">
        <v>20720783.219999999</v>
      </c>
      <c r="O9981">
        <v>20712570.68</v>
      </c>
      <c r="P9981">
        <v>20720783.219999999</v>
      </c>
      <c r="Q9981">
        <v>20712570.68</v>
      </c>
      <c r="R9981" s="14">
        <f>_xlfn.XLOOKUP(Table2[[#This Row],[LoanID]],Table1[G-L ID],Table1[ManagerCode],-99)</f>
        <v>219</v>
      </c>
      <c r="T9981"/>
    </row>
    <row r="9982" spans="1:20" x14ac:dyDescent="0.25">
      <c r="A9982">
        <v>20191130</v>
      </c>
      <c r="B9982">
        <v>2019</v>
      </c>
      <c r="C9982">
        <v>11</v>
      </c>
      <c r="D9982">
        <v>1</v>
      </c>
      <c r="E9982">
        <v>13800</v>
      </c>
      <c r="F9982">
        <v>271925.02</v>
      </c>
      <c r="G9982">
        <v>0</v>
      </c>
      <c r="H9982">
        <v>0</v>
      </c>
      <c r="I9982">
        <v>0</v>
      </c>
      <c r="J9982">
        <v>0</v>
      </c>
      <c r="K9982">
        <v>0</v>
      </c>
      <c r="L9982">
        <v>80700000</v>
      </c>
      <c r="M9982">
        <v>80700000</v>
      </c>
      <c r="N9982">
        <v>32279999.719999999</v>
      </c>
      <c r="O9982">
        <v>32279999.719999999</v>
      </c>
      <c r="P9982">
        <v>80700000</v>
      </c>
      <c r="Q9982">
        <v>80700000</v>
      </c>
      <c r="R9982" s="14">
        <f>_xlfn.XLOOKUP(Table2[[#This Row],[LoanID]],Table1[G-L ID],Table1[ManagerCode],-99)</f>
        <v>183</v>
      </c>
      <c r="T9982"/>
    </row>
    <row r="9983" spans="1:20" x14ac:dyDescent="0.25">
      <c r="A9983">
        <v>20191130</v>
      </c>
      <c r="B9983">
        <v>2019</v>
      </c>
      <c r="C9983">
        <v>11</v>
      </c>
      <c r="D9983">
        <v>1</v>
      </c>
      <c r="E9983">
        <v>13810</v>
      </c>
      <c r="F9983">
        <v>124272</v>
      </c>
      <c r="G9983">
        <v>0</v>
      </c>
      <c r="H9983">
        <v>0</v>
      </c>
      <c r="I9983">
        <v>0</v>
      </c>
      <c r="J9983">
        <v>-694599.65</v>
      </c>
      <c r="K9983">
        <v>0</v>
      </c>
      <c r="L9983">
        <v>42318319.469999999</v>
      </c>
      <c r="M9983">
        <v>43012919.119999997</v>
      </c>
      <c r="N9983">
        <v>18192573.690000001</v>
      </c>
      <c r="O9983">
        <v>18887173.34</v>
      </c>
      <c r="P9983">
        <v>42318319.469999999</v>
      </c>
      <c r="Q9983">
        <v>43012919.119999997</v>
      </c>
      <c r="R9983" s="14">
        <f>_xlfn.XLOOKUP(Table2[[#This Row],[LoanID]],Table1[G-L ID],Table1[ManagerCode],-99)</f>
        <v>183</v>
      </c>
      <c r="T9983"/>
    </row>
    <row r="9984" spans="1:20" x14ac:dyDescent="0.25">
      <c r="A9984">
        <v>20191130</v>
      </c>
      <c r="B9984">
        <v>2019</v>
      </c>
      <c r="C9984">
        <v>11</v>
      </c>
      <c r="D9984">
        <v>1</v>
      </c>
      <c r="E9984">
        <v>13820</v>
      </c>
      <c r="F9984">
        <v>316110.52</v>
      </c>
      <c r="G9984">
        <v>0</v>
      </c>
      <c r="H9984">
        <v>0</v>
      </c>
      <c r="I9984">
        <v>0</v>
      </c>
      <c r="J9984">
        <v>0</v>
      </c>
      <c r="K9984">
        <v>0</v>
      </c>
      <c r="L9984">
        <v>66500000</v>
      </c>
      <c r="M9984">
        <v>66500000</v>
      </c>
      <c r="N9984">
        <v>66500000</v>
      </c>
      <c r="O9984">
        <v>66500000</v>
      </c>
      <c r="P9984">
        <v>66500000</v>
      </c>
      <c r="Q9984">
        <v>66500000</v>
      </c>
      <c r="R9984" s="14">
        <f>_xlfn.XLOOKUP(Table2[[#This Row],[LoanID]],Table1[G-L ID],Table1[ManagerCode],-99)</f>
        <v>183</v>
      </c>
      <c r="T9984"/>
    </row>
    <row r="9985" spans="1:20" x14ac:dyDescent="0.25">
      <c r="A9985">
        <v>20191130</v>
      </c>
      <c r="B9985">
        <v>2019</v>
      </c>
      <c r="C9985">
        <v>11</v>
      </c>
      <c r="D9985">
        <v>1</v>
      </c>
      <c r="E9985">
        <v>13830</v>
      </c>
      <c r="F9985">
        <v>209985.98</v>
      </c>
      <c r="G9985">
        <v>0</v>
      </c>
      <c r="H9985">
        <v>0</v>
      </c>
      <c r="I9985">
        <v>0</v>
      </c>
      <c r="J9985">
        <v>0</v>
      </c>
      <c r="K9985">
        <v>0</v>
      </c>
      <c r="L9985">
        <v>101000000</v>
      </c>
      <c r="M9985">
        <v>101000000</v>
      </c>
      <c r="N9985">
        <v>35350000</v>
      </c>
      <c r="O9985">
        <v>35350000</v>
      </c>
      <c r="P9985">
        <v>101000000</v>
      </c>
      <c r="Q9985">
        <v>101000000</v>
      </c>
      <c r="R9985" s="14">
        <f>_xlfn.XLOOKUP(Table2[[#This Row],[LoanID]],Table1[G-L ID],Table1[ManagerCode],-99)</f>
        <v>183</v>
      </c>
      <c r="T9985"/>
    </row>
    <row r="9986" spans="1:20" x14ac:dyDescent="0.25">
      <c r="A9986">
        <v>20191130</v>
      </c>
      <c r="B9986">
        <v>2019</v>
      </c>
      <c r="C9986">
        <v>11</v>
      </c>
      <c r="D9986">
        <v>1</v>
      </c>
      <c r="E9986">
        <v>14000</v>
      </c>
      <c r="F9986">
        <v>188490.63</v>
      </c>
      <c r="G9986">
        <v>0</v>
      </c>
      <c r="H9986">
        <v>0</v>
      </c>
      <c r="I9986">
        <v>0</v>
      </c>
      <c r="J9986">
        <v>0</v>
      </c>
      <c r="K9986">
        <v>0</v>
      </c>
      <c r="L9986">
        <v>98000000</v>
      </c>
      <c r="M9986">
        <v>98000000</v>
      </c>
      <c r="N9986">
        <v>39200000</v>
      </c>
      <c r="O9986">
        <v>39200000</v>
      </c>
      <c r="P9986">
        <v>98000000</v>
      </c>
      <c r="Q9986">
        <v>98000000</v>
      </c>
      <c r="R9986" s="14">
        <f>_xlfn.XLOOKUP(Table2[[#This Row],[LoanID]],Table1[G-L ID],Table1[ManagerCode],-99)</f>
        <v>183</v>
      </c>
      <c r="T9986"/>
    </row>
    <row r="9987" spans="1:20" x14ac:dyDescent="0.25">
      <c r="A9987">
        <v>20191130</v>
      </c>
      <c r="B9987">
        <v>2019</v>
      </c>
      <c r="C9987">
        <v>11</v>
      </c>
      <c r="D9987">
        <v>1</v>
      </c>
      <c r="E9987">
        <v>14660</v>
      </c>
      <c r="F9987">
        <v>146240</v>
      </c>
      <c r="G9987">
        <v>-9140</v>
      </c>
      <c r="H9987">
        <v>0</v>
      </c>
      <c r="I9987">
        <v>0</v>
      </c>
      <c r="J9987">
        <v>0</v>
      </c>
      <c r="K9987">
        <v>0</v>
      </c>
      <c r="L9987">
        <v>18146240</v>
      </c>
      <c r="M9987">
        <v>18137100</v>
      </c>
      <c r="N9987">
        <v>18146240</v>
      </c>
      <c r="O9987">
        <v>18137100</v>
      </c>
      <c r="P9987">
        <v>18146240</v>
      </c>
      <c r="Q9987">
        <v>18137100</v>
      </c>
      <c r="R9987" s="14">
        <f>_xlfn.XLOOKUP(Table2[[#This Row],[LoanID]],Table1[G-L ID],Table1[ManagerCode],-99)</f>
        <v>219</v>
      </c>
      <c r="T9987"/>
    </row>
    <row r="9988" spans="1:20" x14ac:dyDescent="0.25">
      <c r="A9988">
        <v>20191130</v>
      </c>
      <c r="B9988">
        <v>2019</v>
      </c>
      <c r="C9988">
        <v>11</v>
      </c>
      <c r="D9988">
        <v>1</v>
      </c>
      <c r="E9988">
        <v>14680</v>
      </c>
      <c r="F9988">
        <v>57793.9</v>
      </c>
      <c r="G9988">
        <v>0</v>
      </c>
      <c r="H9988">
        <v>0</v>
      </c>
      <c r="I9988">
        <v>0</v>
      </c>
      <c r="J9988">
        <v>0</v>
      </c>
      <c r="K9988">
        <v>0</v>
      </c>
      <c r="L9988">
        <v>30610000</v>
      </c>
      <c r="M9988">
        <v>30610000</v>
      </c>
      <c r="N9988">
        <v>8165011.7999999998</v>
      </c>
      <c r="O9988">
        <v>8165011.7999999998</v>
      </c>
      <c r="P9988">
        <v>30570657.100000001</v>
      </c>
      <c r="Q9988">
        <v>30570657.100000001</v>
      </c>
      <c r="R9988" s="14">
        <f>_xlfn.XLOOKUP(Table2[[#This Row],[LoanID]],Table1[G-L ID],Table1[ManagerCode],-99)</f>
        <v>220</v>
      </c>
      <c r="T9988"/>
    </row>
    <row r="9989" spans="1:20" x14ac:dyDescent="0.25">
      <c r="A9989">
        <v>20191130</v>
      </c>
      <c r="B9989">
        <v>2019</v>
      </c>
      <c r="C9989">
        <v>11</v>
      </c>
      <c r="D9989">
        <v>1</v>
      </c>
      <c r="E9989">
        <v>14690</v>
      </c>
      <c r="F9989">
        <v>107479.29</v>
      </c>
      <c r="G9989">
        <v>0</v>
      </c>
      <c r="H9989">
        <v>0</v>
      </c>
      <c r="I9989">
        <v>0</v>
      </c>
      <c r="J9989">
        <v>0</v>
      </c>
      <c r="K9989">
        <v>0</v>
      </c>
      <c r="L9989">
        <v>43055541.659999996</v>
      </c>
      <c r="M9989">
        <v>43055541.659999996</v>
      </c>
      <c r="N9989">
        <v>15537791.66</v>
      </c>
      <c r="O9989">
        <v>15537791.66</v>
      </c>
      <c r="P9989">
        <v>43055541.659999996</v>
      </c>
      <c r="Q9989">
        <v>43055541.659999996</v>
      </c>
      <c r="R9989" s="14">
        <f>_xlfn.XLOOKUP(Table2[[#This Row],[LoanID]],Table1[G-L ID],Table1[ManagerCode],-99)</f>
        <v>220</v>
      </c>
      <c r="T9989"/>
    </row>
    <row r="9990" spans="1:20" x14ac:dyDescent="0.25">
      <c r="A9990">
        <v>20191130</v>
      </c>
      <c r="B9990">
        <v>2019</v>
      </c>
      <c r="C9990">
        <v>11</v>
      </c>
      <c r="D9990">
        <v>1</v>
      </c>
      <c r="E9990">
        <v>14700</v>
      </c>
      <c r="F9990">
        <v>87610.28</v>
      </c>
      <c r="G9990">
        <v>0</v>
      </c>
      <c r="H9990">
        <v>0</v>
      </c>
      <c r="I9990">
        <v>0</v>
      </c>
      <c r="J9990">
        <v>0</v>
      </c>
      <c r="K9990">
        <v>0</v>
      </c>
      <c r="L9990">
        <v>35715610.409999996</v>
      </c>
      <c r="M9990">
        <v>35715610.409999996</v>
      </c>
      <c r="N9990">
        <v>11128110.41</v>
      </c>
      <c r="O9990">
        <v>11128110.41</v>
      </c>
      <c r="P9990">
        <v>35715610.409999996</v>
      </c>
      <c r="Q9990">
        <v>35715610.409999996</v>
      </c>
      <c r="R9990" s="14">
        <f>_xlfn.XLOOKUP(Table2[[#This Row],[LoanID]],Table1[G-L ID],Table1[ManagerCode],-99)</f>
        <v>220</v>
      </c>
      <c r="T9990"/>
    </row>
    <row r="9991" spans="1:20" x14ac:dyDescent="0.25">
      <c r="A9991">
        <v>20191130</v>
      </c>
      <c r="B9991">
        <v>2019</v>
      </c>
      <c r="C9991">
        <v>11</v>
      </c>
      <c r="D9991">
        <v>1</v>
      </c>
      <c r="E9991">
        <v>14710</v>
      </c>
      <c r="F9991">
        <v>72020.820000000007</v>
      </c>
      <c r="G9991">
        <v>0</v>
      </c>
      <c r="H9991">
        <v>0</v>
      </c>
      <c r="I9991">
        <v>0</v>
      </c>
      <c r="J9991">
        <v>0</v>
      </c>
      <c r="K9991">
        <v>0</v>
      </c>
      <c r="L9991">
        <v>33650000</v>
      </c>
      <c r="M9991">
        <v>33650000</v>
      </c>
      <c r="N9991">
        <v>11777500</v>
      </c>
      <c r="O9991">
        <v>11777500</v>
      </c>
      <c r="P9991">
        <v>33650000</v>
      </c>
      <c r="Q9991">
        <v>33650000</v>
      </c>
      <c r="R9991" s="14">
        <f>_xlfn.XLOOKUP(Table2[[#This Row],[LoanID]],Table1[G-L ID],Table1[ManagerCode],-99)</f>
        <v>220</v>
      </c>
      <c r="T9991"/>
    </row>
    <row r="9992" spans="1:20" x14ac:dyDescent="0.25">
      <c r="A9992">
        <v>20191130</v>
      </c>
      <c r="B9992">
        <v>2019</v>
      </c>
      <c r="C9992">
        <v>11</v>
      </c>
      <c r="D9992">
        <v>1</v>
      </c>
      <c r="E9992">
        <v>14720</v>
      </c>
      <c r="F9992">
        <v>49946.23</v>
      </c>
      <c r="G9992">
        <v>0</v>
      </c>
      <c r="H9992">
        <v>0</v>
      </c>
      <c r="I9992">
        <v>0</v>
      </c>
      <c r="J9992">
        <v>-353374.24</v>
      </c>
      <c r="K9992">
        <v>0</v>
      </c>
      <c r="L9992">
        <v>22275173.559999999</v>
      </c>
      <c r="M9992">
        <v>22628547.800000001</v>
      </c>
      <c r="N9992">
        <v>8548173.5600000005</v>
      </c>
      <c r="O9992">
        <v>8901547.8000000007</v>
      </c>
      <c r="P9992">
        <v>22271327.640000001</v>
      </c>
      <c r="Q9992">
        <v>22624701.879999999</v>
      </c>
      <c r="R9992" s="14">
        <f>_xlfn.XLOOKUP(Table2[[#This Row],[LoanID]],Table1[G-L ID],Table1[ManagerCode],-99)</f>
        <v>220</v>
      </c>
      <c r="T9992"/>
    </row>
    <row r="9993" spans="1:20" x14ac:dyDescent="0.25">
      <c r="A9993">
        <v>20191130</v>
      </c>
      <c r="B9993">
        <v>2019</v>
      </c>
      <c r="C9993">
        <v>11</v>
      </c>
      <c r="D9993">
        <v>1</v>
      </c>
      <c r="E9993">
        <v>14730</v>
      </c>
      <c r="F9993">
        <v>404523.19</v>
      </c>
      <c r="G9993">
        <v>0</v>
      </c>
      <c r="H9993">
        <v>0</v>
      </c>
      <c r="I9993">
        <v>0</v>
      </c>
      <c r="J9993">
        <v>0</v>
      </c>
      <c r="K9993">
        <v>50260000</v>
      </c>
      <c r="L9993">
        <v>50300000</v>
      </c>
      <c r="M9993">
        <v>0</v>
      </c>
      <c r="N9993">
        <v>50300000</v>
      </c>
      <c r="O9993">
        <v>0</v>
      </c>
      <c r="P9993">
        <v>50260000</v>
      </c>
      <c r="Q9993">
        <v>0</v>
      </c>
      <c r="R9993" s="14">
        <f>_xlfn.XLOOKUP(Table2[[#This Row],[LoanID]],Table1[G-L ID],Table1[ManagerCode],-99)</f>
        <v>220</v>
      </c>
      <c r="T9993"/>
    </row>
    <row r="9994" spans="1:20" x14ac:dyDescent="0.25">
      <c r="A9994">
        <v>20191130</v>
      </c>
      <c r="B9994">
        <v>2019</v>
      </c>
      <c r="C9994">
        <v>11</v>
      </c>
      <c r="D9994">
        <v>1</v>
      </c>
      <c r="E9994">
        <v>14740</v>
      </c>
      <c r="F9994">
        <v>89128.23</v>
      </c>
      <c r="G9994">
        <v>0</v>
      </c>
      <c r="H9994">
        <v>0</v>
      </c>
      <c r="I9994">
        <v>0</v>
      </c>
      <c r="J9994">
        <v>0</v>
      </c>
      <c r="K9994">
        <v>0</v>
      </c>
      <c r="L9994">
        <v>35000000</v>
      </c>
      <c r="M9994">
        <v>35000000</v>
      </c>
      <c r="N9994">
        <v>14000000</v>
      </c>
      <c r="O9994">
        <v>14000000</v>
      </c>
      <c r="P9994">
        <v>35000000</v>
      </c>
      <c r="Q9994">
        <v>35000000</v>
      </c>
      <c r="R9994" s="14">
        <f>_xlfn.XLOOKUP(Table2[[#This Row],[LoanID]],Table1[G-L ID],Table1[ManagerCode],-99)</f>
        <v>220</v>
      </c>
      <c r="T9994"/>
    </row>
    <row r="9995" spans="1:20" x14ac:dyDescent="0.25">
      <c r="A9995">
        <v>20191130</v>
      </c>
      <c r="B9995">
        <v>2019</v>
      </c>
      <c r="C9995">
        <v>11</v>
      </c>
      <c r="D9995">
        <v>1</v>
      </c>
      <c r="E9995">
        <v>14750</v>
      </c>
      <c r="F9995">
        <v>112618.4</v>
      </c>
      <c r="G9995">
        <v>0</v>
      </c>
      <c r="H9995">
        <v>0</v>
      </c>
      <c r="I9995">
        <v>0</v>
      </c>
      <c r="J9995">
        <v>0</v>
      </c>
      <c r="K9995">
        <v>0</v>
      </c>
      <c r="L9995">
        <v>56938347.729999997</v>
      </c>
      <c r="M9995">
        <v>56938347.729999997</v>
      </c>
      <c r="N9995">
        <v>21188347.73</v>
      </c>
      <c r="O9995">
        <v>21188347.73</v>
      </c>
      <c r="P9995">
        <v>56938347.729999997</v>
      </c>
      <c r="Q9995">
        <v>56938347.729999997</v>
      </c>
      <c r="R9995" s="14">
        <f>_xlfn.XLOOKUP(Table2[[#This Row],[LoanID]],Table1[G-L ID],Table1[ManagerCode],-99)</f>
        <v>220</v>
      </c>
      <c r="T9995"/>
    </row>
    <row r="9996" spans="1:20" x14ac:dyDescent="0.25">
      <c r="A9996">
        <v>20191130</v>
      </c>
      <c r="B9996">
        <v>2019</v>
      </c>
      <c r="C9996">
        <v>11</v>
      </c>
      <c r="D9996">
        <v>1</v>
      </c>
      <c r="E9996">
        <v>14760</v>
      </c>
      <c r="F9996">
        <v>202533.33</v>
      </c>
      <c r="G9996">
        <v>0</v>
      </c>
      <c r="H9996">
        <v>0</v>
      </c>
      <c r="I9996">
        <v>0</v>
      </c>
      <c r="J9996">
        <v>0</v>
      </c>
      <c r="K9996">
        <v>0</v>
      </c>
      <c r="L9996">
        <v>105000000</v>
      </c>
      <c r="M9996">
        <v>105000000</v>
      </c>
      <c r="N9996">
        <v>26250000</v>
      </c>
      <c r="O9996">
        <v>26250000</v>
      </c>
      <c r="P9996">
        <v>105000000</v>
      </c>
      <c r="Q9996">
        <v>105000000</v>
      </c>
      <c r="R9996" s="14">
        <f>_xlfn.XLOOKUP(Table2[[#This Row],[LoanID]],Table1[G-L ID],Table1[ManagerCode],-99)</f>
        <v>220</v>
      </c>
      <c r="T9996"/>
    </row>
    <row r="9997" spans="1:20" x14ac:dyDescent="0.25">
      <c r="A9997">
        <v>20191130</v>
      </c>
      <c r="B9997">
        <v>2019</v>
      </c>
      <c r="C9997">
        <v>11</v>
      </c>
      <c r="D9997">
        <v>1</v>
      </c>
      <c r="E9997">
        <v>14770</v>
      </c>
      <c r="F9997">
        <v>198301.25</v>
      </c>
      <c r="G9997">
        <v>0</v>
      </c>
      <c r="H9997">
        <v>0</v>
      </c>
      <c r="I9997">
        <v>0</v>
      </c>
      <c r="J9997">
        <v>-15000000</v>
      </c>
      <c r="K9997">
        <v>0</v>
      </c>
      <c r="L9997">
        <v>40500000</v>
      </c>
      <c r="M9997">
        <v>55500000</v>
      </c>
      <c r="N9997">
        <v>40500000</v>
      </c>
      <c r="O9997">
        <v>55500000</v>
      </c>
      <c r="P9997">
        <v>40500000</v>
      </c>
      <c r="Q9997">
        <v>55500000</v>
      </c>
      <c r="R9997" s="14">
        <f>_xlfn.XLOOKUP(Table2[[#This Row],[LoanID]],Table1[G-L ID],Table1[ManagerCode],-99)</f>
        <v>220</v>
      </c>
      <c r="T9997"/>
    </row>
    <row r="9998" spans="1:20" x14ac:dyDescent="0.25">
      <c r="A9998">
        <v>20191130</v>
      </c>
      <c r="B9998">
        <v>2019</v>
      </c>
      <c r="C9998">
        <v>11</v>
      </c>
      <c r="D9998">
        <v>1</v>
      </c>
      <c r="E9998">
        <v>14780</v>
      </c>
      <c r="F9998">
        <v>111333.03</v>
      </c>
      <c r="G9998">
        <v>0</v>
      </c>
      <c r="H9998">
        <v>0</v>
      </c>
      <c r="I9998">
        <v>0</v>
      </c>
      <c r="J9998">
        <v>0</v>
      </c>
      <c r="K9998">
        <v>0</v>
      </c>
      <c r="L9998">
        <v>51000000</v>
      </c>
      <c r="M9998">
        <v>51000000</v>
      </c>
      <c r="N9998">
        <v>15300000</v>
      </c>
      <c r="O9998">
        <v>15300000</v>
      </c>
      <c r="P9998">
        <v>51000000</v>
      </c>
      <c r="Q9998">
        <v>51000000</v>
      </c>
      <c r="R9998" s="14">
        <f>_xlfn.XLOOKUP(Table2[[#This Row],[LoanID]],Table1[G-L ID],Table1[ManagerCode],-99)</f>
        <v>220</v>
      </c>
      <c r="T9998"/>
    </row>
    <row r="9999" spans="1:20" x14ac:dyDescent="0.25">
      <c r="A9999">
        <v>20191130</v>
      </c>
      <c r="B9999">
        <v>2019</v>
      </c>
      <c r="C9999">
        <v>11</v>
      </c>
      <c r="D9999">
        <v>1</v>
      </c>
      <c r="E9999">
        <v>14790</v>
      </c>
      <c r="F9999">
        <v>141480.99</v>
      </c>
      <c r="G9999">
        <v>0</v>
      </c>
      <c r="H9999">
        <v>0</v>
      </c>
      <c r="I9999">
        <v>0</v>
      </c>
      <c r="J9999">
        <v>0</v>
      </c>
      <c r="K9999">
        <v>0</v>
      </c>
      <c r="L9999">
        <v>80360000</v>
      </c>
      <c r="M9999">
        <v>80360000</v>
      </c>
      <c r="N9999">
        <v>25960000</v>
      </c>
      <c r="O9999">
        <v>25960000</v>
      </c>
      <c r="P9999">
        <v>80000000</v>
      </c>
      <c r="Q9999">
        <v>80000000</v>
      </c>
      <c r="R9999" s="14">
        <f>_xlfn.XLOOKUP(Table2[[#This Row],[LoanID]],Table1[G-L ID],Table1[ManagerCode],-99)</f>
        <v>220</v>
      </c>
      <c r="T9999"/>
    </row>
    <row r="10000" spans="1:20" x14ac:dyDescent="0.25">
      <c r="A10000">
        <v>20191130</v>
      </c>
      <c r="B10000">
        <v>2019</v>
      </c>
      <c r="C10000">
        <v>11</v>
      </c>
      <c r="D10000">
        <v>1</v>
      </c>
      <c r="E10000">
        <v>14800</v>
      </c>
      <c r="F10000">
        <v>104763.2</v>
      </c>
      <c r="G10000">
        <v>0</v>
      </c>
      <c r="H10000">
        <v>0</v>
      </c>
      <c r="I10000">
        <v>0</v>
      </c>
      <c r="J10000">
        <v>0</v>
      </c>
      <c r="K10000">
        <v>0</v>
      </c>
      <c r="L10000">
        <v>51000000</v>
      </c>
      <c r="M10000">
        <v>51000000</v>
      </c>
      <c r="N10000">
        <v>17850000</v>
      </c>
      <c r="O10000">
        <v>17850000</v>
      </c>
      <c r="P10000">
        <v>51000000</v>
      </c>
      <c r="Q10000">
        <v>51000000</v>
      </c>
      <c r="R10000" s="14">
        <f>_xlfn.XLOOKUP(Table2[[#This Row],[LoanID]],Table1[G-L ID],Table1[ManagerCode],-99)</f>
        <v>220</v>
      </c>
      <c r="T10000"/>
    </row>
    <row r="10001" spans="1:20" x14ac:dyDescent="0.25">
      <c r="A10001">
        <v>20191130</v>
      </c>
      <c r="B10001">
        <v>2019</v>
      </c>
      <c r="C10001">
        <v>11</v>
      </c>
      <c r="D10001">
        <v>1</v>
      </c>
      <c r="E10001">
        <v>14810</v>
      </c>
      <c r="F10001">
        <v>94457</v>
      </c>
      <c r="G10001">
        <v>0</v>
      </c>
      <c r="H10001">
        <v>0</v>
      </c>
      <c r="I10001">
        <v>0</v>
      </c>
      <c r="J10001">
        <v>0</v>
      </c>
      <c r="K10001">
        <v>0</v>
      </c>
      <c r="L10001">
        <v>24940000</v>
      </c>
      <c r="M10001">
        <v>24940000</v>
      </c>
      <c r="N10001">
        <v>24940000</v>
      </c>
      <c r="O10001">
        <v>24940000</v>
      </c>
      <c r="P10001">
        <v>24930000</v>
      </c>
      <c r="Q10001">
        <v>24930000</v>
      </c>
      <c r="R10001" s="14">
        <f>_xlfn.XLOOKUP(Table2[[#This Row],[LoanID]],Table1[G-L ID],Table1[ManagerCode],-99)</f>
        <v>220</v>
      </c>
      <c r="T10001"/>
    </row>
    <row r="10002" spans="1:20" x14ac:dyDescent="0.25">
      <c r="A10002">
        <v>20191130</v>
      </c>
      <c r="B10002">
        <v>2019</v>
      </c>
      <c r="C10002">
        <v>11</v>
      </c>
      <c r="D10002">
        <v>1</v>
      </c>
      <c r="E10002">
        <v>14820</v>
      </c>
      <c r="F10002">
        <v>92007.46</v>
      </c>
      <c r="G10002">
        <v>0</v>
      </c>
      <c r="H10002">
        <v>0</v>
      </c>
      <c r="I10002">
        <v>0</v>
      </c>
      <c r="J10002">
        <v>0</v>
      </c>
      <c r="K10002">
        <v>8770663.0099999998</v>
      </c>
      <c r="L10002">
        <v>23287391.140000001</v>
      </c>
      <c r="M10002">
        <v>23287391.140000001</v>
      </c>
      <c r="N10002">
        <v>15351042.01</v>
      </c>
      <c r="O10002">
        <v>6580379</v>
      </c>
      <c r="P10002">
        <v>23287391.140000001</v>
      </c>
      <c r="Q10002">
        <v>23287391.140000001</v>
      </c>
      <c r="R10002" s="14">
        <f>_xlfn.XLOOKUP(Table2[[#This Row],[LoanID]],Table1[G-L ID],Table1[ManagerCode],-99)</f>
        <v>220</v>
      </c>
      <c r="T10002"/>
    </row>
    <row r="10003" spans="1:20" x14ac:dyDescent="0.25">
      <c r="A10003">
        <v>20191130</v>
      </c>
      <c r="B10003">
        <v>2019</v>
      </c>
      <c r="C10003">
        <v>11</v>
      </c>
      <c r="D10003">
        <v>1</v>
      </c>
      <c r="E10003">
        <v>14830</v>
      </c>
      <c r="F10003">
        <v>86321.1</v>
      </c>
      <c r="G10003">
        <v>0</v>
      </c>
      <c r="H10003">
        <v>0</v>
      </c>
      <c r="I10003">
        <v>0</v>
      </c>
      <c r="J10003">
        <v>-824679.07</v>
      </c>
      <c r="K10003">
        <v>0</v>
      </c>
      <c r="L10003">
        <v>36300000</v>
      </c>
      <c r="M10003">
        <v>37124679.07</v>
      </c>
      <c r="N10003">
        <v>14834944.300000001</v>
      </c>
      <c r="O10003">
        <v>15659623.369999999</v>
      </c>
      <c r="P10003">
        <v>36175320.93</v>
      </c>
      <c r="Q10003">
        <v>37000000</v>
      </c>
      <c r="R10003" s="14">
        <f>_xlfn.XLOOKUP(Table2[[#This Row],[LoanID]],Table1[G-L ID],Table1[ManagerCode],-99)</f>
        <v>220</v>
      </c>
      <c r="T10003"/>
    </row>
    <row r="10004" spans="1:20" x14ac:dyDescent="0.25">
      <c r="A10004">
        <v>20191130</v>
      </c>
      <c r="B10004">
        <v>2019</v>
      </c>
      <c r="C10004">
        <v>11</v>
      </c>
      <c r="D10004">
        <v>1</v>
      </c>
      <c r="E10004">
        <v>14840</v>
      </c>
      <c r="F10004">
        <v>76452.55</v>
      </c>
      <c r="G10004">
        <v>0</v>
      </c>
      <c r="H10004">
        <v>0</v>
      </c>
      <c r="I10004">
        <v>0</v>
      </c>
      <c r="J10004">
        <v>0</v>
      </c>
      <c r="K10004">
        <v>0</v>
      </c>
      <c r="L10004">
        <v>32514668.289999999</v>
      </c>
      <c r="M10004">
        <v>32514668.289999999</v>
      </c>
      <c r="N10004">
        <v>13316135.25</v>
      </c>
      <c r="O10004">
        <v>13316135.25</v>
      </c>
      <c r="P10004">
        <v>32484668.289999999</v>
      </c>
      <c r="Q10004">
        <v>32484668.289999999</v>
      </c>
      <c r="R10004" s="14">
        <f>_xlfn.XLOOKUP(Table2[[#This Row],[LoanID]],Table1[G-L ID],Table1[ManagerCode],-99)</f>
        <v>220</v>
      </c>
      <c r="T10004"/>
    </row>
    <row r="10005" spans="1:20" x14ac:dyDescent="0.25">
      <c r="A10005">
        <v>20191130</v>
      </c>
      <c r="B10005">
        <v>2019</v>
      </c>
      <c r="C10005">
        <v>11</v>
      </c>
      <c r="D10005">
        <v>1</v>
      </c>
      <c r="E10005">
        <v>14850</v>
      </c>
      <c r="F10005">
        <v>198182.93</v>
      </c>
      <c r="G10005">
        <v>0</v>
      </c>
      <c r="H10005">
        <v>0</v>
      </c>
      <c r="I10005">
        <v>0</v>
      </c>
      <c r="J10005">
        <v>-257086.75</v>
      </c>
      <c r="K10005">
        <v>0</v>
      </c>
      <c r="L10005">
        <v>88003472.310000002</v>
      </c>
      <c r="M10005">
        <v>88260559.060000002</v>
      </c>
      <c r="N10005">
        <v>36374946.43</v>
      </c>
      <c r="O10005">
        <v>36632033.18</v>
      </c>
      <c r="P10005">
        <v>87928377.530000001</v>
      </c>
      <c r="Q10005">
        <v>88185464.280000001</v>
      </c>
      <c r="R10005" s="14">
        <f>_xlfn.XLOOKUP(Table2[[#This Row],[LoanID]],Table1[G-L ID],Table1[ManagerCode],-99)</f>
        <v>220</v>
      </c>
      <c r="T10005"/>
    </row>
    <row r="10006" spans="1:20" x14ac:dyDescent="0.25">
      <c r="A10006">
        <v>20191130</v>
      </c>
      <c r="B10006">
        <v>2019</v>
      </c>
      <c r="C10006">
        <v>11</v>
      </c>
      <c r="D10006">
        <v>1</v>
      </c>
      <c r="E10006">
        <v>14860</v>
      </c>
      <c r="F10006">
        <v>161038.29</v>
      </c>
      <c r="G10006">
        <v>0</v>
      </c>
      <c r="H10006">
        <v>0</v>
      </c>
      <c r="I10006">
        <v>0</v>
      </c>
      <c r="J10006">
        <v>0</v>
      </c>
      <c r="K10006">
        <v>0</v>
      </c>
      <c r="L10006">
        <v>65150000</v>
      </c>
      <c r="M10006">
        <v>65150000</v>
      </c>
      <c r="N10006">
        <v>26291000</v>
      </c>
      <c r="O10006">
        <v>26291000</v>
      </c>
      <c r="P10006">
        <v>65000000</v>
      </c>
      <c r="Q10006">
        <v>65000000</v>
      </c>
      <c r="R10006" s="14">
        <f>_xlfn.XLOOKUP(Table2[[#This Row],[LoanID]],Table1[G-L ID],Table1[ManagerCode],-99)</f>
        <v>220</v>
      </c>
      <c r="T10006"/>
    </row>
    <row r="10007" spans="1:20" x14ac:dyDescent="0.25">
      <c r="A10007">
        <v>20191130</v>
      </c>
      <c r="B10007">
        <v>2019</v>
      </c>
      <c r="C10007">
        <v>11</v>
      </c>
      <c r="D10007">
        <v>1</v>
      </c>
      <c r="E10007">
        <v>14870</v>
      </c>
      <c r="F10007">
        <v>519941.49</v>
      </c>
      <c r="G10007">
        <v>0</v>
      </c>
      <c r="H10007">
        <v>0</v>
      </c>
      <c r="I10007">
        <v>0</v>
      </c>
      <c r="J10007">
        <v>-970216</v>
      </c>
      <c r="K10007">
        <v>43373171.770000003</v>
      </c>
      <c r="L10007">
        <v>122600000</v>
      </c>
      <c r="M10007">
        <v>123570216</v>
      </c>
      <c r="N10007">
        <v>81097203.549999997</v>
      </c>
      <c r="O10007">
        <v>38694247.780000001</v>
      </c>
      <c r="P10007">
        <v>122531220</v>
      </c>
      <c r="Q10007">
        <v>123501436</v>
      </c>
      <c r="R10007" s="14">
        <f>_xlfn.XLOOKUP(Table2[[#This Row],[LoanID]],Table1[G-L ID],Table1[ManagerCode],-99)</f>
        <v>220</v>
      </c>
      <c r="T10007"/>
    </row>
    <row r="10008" spans="1:20" x14ac:dyDescent="0.25">
      <c r="A10008">
        <v>20191130</v>
      </c>
      <c r="B10008">
        <v>2019</v>
      </c>
      <c r="C10008">
        <v>11</v>
      </c>
      <c r="D10008">
        <v>1</v>
      </c>
      <c r="E10008">
        <v>14880</v>
      </c>
      <c r="F10008">
        <v>142292.93</v>
      </c>
      <c r="G10008">
        <v>0</v>
      </c>
      <c r="H10008">
        <v>0</v>
      </c>
      <c r="I10008">
        <v>0</v>
      </c>
      <c r="J10008">
        <v>0</v>
      </c>
      <c r="K10008">
        <v>0</v>
      </c>
      <c r="L10008">
        <v>20230783.859999999</v>
      </c>
      <c r="M10008">
        <v>20230783.859999999</v>
      </c>
      <c r="N10008">
        <v>20230783.859999999</v>
      </c>
      <c r="O10008">
        <v>20230783.859999999</v>
      </c>
      <c r="P10008">
        <v>20230783.859999999</v>
      </c>
      <c r="Q10008">
        <v>20230783.859999999</v>
      </c>
      <c r="R10008" s="14">
        <f>_xlfn.XLOOKUP(Table2[[#This Row],[LoanID]],Table1[G-L ID],Table1[ManagerCode],-99)</f>
        <v>220</v>
      </c>
      <c r="T10008"/>
    </row>
    <row r="10009" spans="1:20" x14ac:dyDescent="0.25">
      <c r="A10009">
        <v>20191130</v>
      </c>
      <c r="B10009">
        <v>2019</v>
      </c>
      <c r="C10009">
        <v>11</v>
      </c>
      <c r="D10009">
        <v>1</v>
      </c>
      <c r="E10009">
        <v>14890</v>
      </c>
      <c r="F10009">
        <v>67425.61</v>
      </c>
      <c r="G10009">
        <v>0</v>
      </c>
      <c r="H10009">
        <v>0</v>
      </c>
      <c r="I10009">
        <v>0</v>
      </c>
      <c r="J10009">
        <v>0</v>
      </c>
      <c r="K10009">
        <v>0</v>
      </c>
      <c r="L10009">
        <v>34000000</v>
      </c>
      <c r="M10009">
        <v>34000000</v>
      </c>
      <c r="N10009">
        <v>14177663.98</v>
      </c>
      <c r="O10009">
        <v>14177663.98</v>
      </c>
      <c r="P10009">
        <v>34000000</v>
      </c>
      <c r="Q10009">
        <v>34000000</v>
      </c>
      <c r="R10009" s="14">
        <f>_xlfn.XLOOKUP(Table2[[#This Row],[LoanID]],Table1[G-L ID],Table1[ManagerCode],-99)</f>
        <v>220</v>
      </c>
      <c r="T10009"/>
    </row>
    <row r="10010" spans="1:20" x14ac:dyDescent="0.25">
      <c r="A10010">
        <v>20191130</v>
      </c>
      <c r="B10010">
        <v>2019</v>
      </c>
      <c r="C10010">
        <v>11</v>
      </c>
      <c r="D10010">
        <v>1</v>
      </c>
      <c r="E10010">
        <v>14900</v>
      </c>
      <c r="F10010">
        <v>103564.66</v>
      </c>
      <c r="G10010">
        <v>0</v>
      </c>
      <c r="H10010">
        <v>0</v>
      </c>
      <c r="I10010">
        <v>0</v>
      </c>
      <c r="J10010">
        <v>0</v>
      </c>
      <c r="K10010">
        <v>0</v>
      </c>
      <c r="L10010">
        <v>66096659.850000001</v>
      </c>
      <c r="M10010">
        <v>66096659.850000001</v>
      </c>
      <c r="N10010">
        <v>24496659.850000001</v>
      </c>
      <c r="O10010">
        <v>24496659.850000001</v>
      </c>
      <c r="P10010">
        <v>66096659.850000001</v>
      </c>
      <c r="Q10010">
        <v>66096659.850000001</v>
      </c>
      <c r="R10010" s="14">
        <f>_xlfn.XLOOKUP(Table2[[#This Row],[LoanID]],Table1[G-L ID],Table1[ManagerCode],-99)</f>
        <v>220</v>
      </c>
      <c r="T10010"/>
    </row>
    <row r="10011" spans="1:20" x14ac:dyDescent="0.25">
      <c r="A10011">
        <v>20191130</v>
      </c>
      <c r="B10011">
        <v>2019</v>
      </c>
      <c r="C10011">
        <v>11</v>
      </c>
      <c r="D10011">
        <v>1</v>
      </c>
      <c r="E10011">
        <v>14910</v>
      </c>
      <c r="F10011">
        <v>86460.49</v>
      </c>
      <c r="G10011">
        <v>0</v>
      </c>
      <c r="H10011">
        <v>0</v>
      </c>
      <c r="I10011">
        <v>0</v>
      </c>
      <c r="J10011">
        <v>0</v>
      </c>
      <c r="K10011">
        <v>0</v>
      </c>
      <c r="L10011">
        <v>39447378.079999998</v>
      </c>
      <c r="M10011">
        <v>39447378.079999998</v>
      </c>
      <c r="N10011">
        <v>12847378.08</v>
      </c>
      <c r="O10011">
        <v>12847378.08</v>
      </c>
      <c r="P10011">
        <v>39447378.079999998</v>
      </c>
      <c r="Q10011">
        <v>39447378.079999998</v>
      </c>
      <c r="R10011" s="14">
        <f>_xlfn.XLOOKUP(Table2[[#This Row],[LoanID]],Table1[G-L ID],Table1[ManagerCode],-99)</f>
        <v>220</v>
      </c>
      <c r="T10011"/>
    </row>
    <row r="10012" spans="1:20" x14ac:dyDescent="0.25">
      <c r="A10012">
        <v>20191130</v>
      </c>
      <c r="B10012">
        <v>2019</v>
      </c>
      <c r="C10012">
        <v>11</v>
      </c>
      <c r="D10012">
        <v>1</v>
      </c>
      <c r="E10012">
        <v>14920</v>
      </c>
      <c r="F10012">
        <v>150252.54</v>
      </c>
      <c r="G10012">
        <v>0</v>
      </c>
      <c r="H10012">
        <v>0</v>
      </c>
      <c r="I10012">
        <v>0</v>
      </c>
      <c r="J10012">
        <v>0</v>
      </c>
      <c r="K10012">
        <v>0</v>
      </c>
      <c r="L10012">
        <v>70526574.980000004</v>
      </c>
      <c r="M10012">
        <v>70526574.980000004</v>
      </c>
      <c r="N10012">
        <v>21526574.98</v>
      </c>
      <c r="O10012">
        <v>21526574.98</v>
      </c>
      <c r="P10012">
        <v>70526574.980000004</v>
      </c>
      <c r="Q10012">
        <v>70526574.980000004</v>
      </c>
      <c r="R10012" s="14">
        <f>_xlfn.XLOOKUP(Table2[[#This Row],[LoanID]],Table1[G-L ID],Table1[ManagerCode],-99)</f>
        <v>220</v>
      </c>
      <c r="T10012"/>
    </row>
    <row r="10013" spans="1:20" x14ac:dyDescent="0.25">
      <c r="A10013">
        <v>20191130</v>
      </c>
      <c r="B10013">
        <v>2019</v>
      </c>
      <c r="C10013">
        <v>11</v>
      </c>
      <c r="D10013">
        <v>1</v>
      </c>
      <c r="E10013">
        <v>14930</v>
      </c>
      <c r="F10013">
        <v>88873.12</v>
      </c>
      <c r="G10013">
        <v>0</v>
      </c>
      <c r="H10013">
        <v>0</v>
      </c>
      <c r="I10013">
        <v>0</v>
      </c>
      <c r="J10013">
        <v>0</v>
      </c>
      <c r="K10013">
        <v>0</v>
      </c>
      <c r="L10013">
        <v>55000000</v>
      </c>
      <c r="M10013">
        <v>55000000</v>
      </c>
      <c r="N10013">
        <v>19250000</v>
      </c>
      <c r="O10013">
        <v>19250000</v>
      </c>
      <c r="P10013">
        <v>55000000</v>
      </c>
      <c r="Q10013">
        <v>55000000</v>
      </c>
      <c r="R10013" s="14">
        <f>_xlfn.XLOOKUP(Table2[[#This Row],[LoanID]],Table1[G-L ID],Table1[ManagerCode],-99)</f>
        <v>220</v>
      </c>
      <c r="T10013"/>
    </row>
    <row r="10014" spans="1:20" x14ac:dyDescent="0.25">
      <c r="A10014">
        <v>20191130</v>
      </c>
      <c r="B10014">
        <v>2019</v>
      </c>
      <c r="C10014">
        <v>11</v>
      </c>
      <c r="D10014">
        <v>1</v>
      </c>
      <c r="E10014">
        <v>14940</v>
      </c>
      <c r="F10014">
        <v>145530.09</v>
      </c>
      <c r="G10014">
        <v>0</v>
      </c>
      <c r="H10014">
        <v>0</v>
      </c>
      <c r="I10014">
        <v>0</v>
      </c>
      <c r="J10014">
        <v>-865375.15</v>
      </c>
      <c r="K10014">
        <v>0</v>
      </c>
      <c r="L10014">
        <v>74020789.859999999</v>
      </c>
      <c r="M10014">
        <v>74886165.010000005</v>
      </c>
      <c r="N10014">
        <v>35564848.090000004</v>
      </c>
      <c r="O10014">
        <v>36430223.240000002</v>
      </c>
      <c r="P10014">
        <v>73830258.950000003</v>
      </c>
      <c r="Q10014">
        <v>74695634.099999994</v>
      </c>
      <c r="R10014" s="14">
        <f>_xlfn.XLOOKUP(Table2[[#This Row],[LoanID]],Table1[G-L ID],Table1[ManagerCode],-99)</f>
        <v>220</v>
      </c>
      <c r="T10014"/>
    </row>
    <row r="10015" spans="1:20" x14ac:dyDescent="0.25">
      <c r="A10015">
        <v>20191130</v>
      </c>
      <c r="B10015">
        <v>2019</v>
      </c>
      <c r="C10015">
        <v>11</v>
      </c>
      <c r="D10015">
        <v>1</v>
      </c>
      <c r="E10015">
        <v>14950</v>
      </c>
      <c r="F10015">
        <v>222979.17</v>
      </c>
      <c r="G10015">
        <v>0</v>
      </c>
      <c r="H10015">
        <v>0</v>
      </c>
      <c r="I10015">
        <v>0</v>
      </c>
      <c r="J10015">
        <v>0</v>
      </c>
      <c r="K10015">
        <v>0</v>
      </c>
      <c r="L10015">
        <v>35000000</v>
      </c>
      <c r="M10015">
        <v>35000000</v>
      </c>
      <c r="N10015">
        <v>35000000</v>
      </c>
      <c r="O10015">
        <v>35000000</v>
      </c>
      <c r="P10015">
        <v>35000000</v>
      </c>
      <c r="Q10015">
        <v>35000000</v>
      </c>
      <c r="R10015" s="14">
        <f>_xlfn.XLOOKUP(Table2[[#This Row],[LoanID]],Table1[G-L ID],Table1[ManagerCode],-99)</f>
        <v>220</v>
      </c>
      <c r="T10015"/>
    </row>
    <row r="10016" spans="1:20" x14ac:dyDescent="0.25">
      <c r="A10016">
        <v>20191130</v>
      </c>
      <c r="B10016">
        <v>2019</v>
      </c>
      <c r="C10016">
        <v>11</v>
      </c>
      <c r="D10016">
        <v>1</v>
      </c>
      <c r="E10016">
        <v>14960</v>
      </c>
      <c r="F10016">
        <v>46455.86</v>
      </c>
      <c r="G10016">
        <v>0</v>
      </c>
      <c r="H10016">
        <v>0</v>
      </c>
      <c r="I10016">
        <v>0</v>
      </c>
      <c r="J10016">
        <v>0</v>
      </c>
      <c r="K10016">
        <v>5427787.0800000001</v>
      </c>
      <c r="L10016">
        <v>14840000</v>
      </c>
      <c r="M10016">
        <v>14840000</v>
      </c>
      <c r="N10016">
        <v>9646274.6400000006</v>
      </c>
      <c r="O10016">
        <v>4218487.5599999996</v>
      </c>
      <c r="P10016">
        <v>14805000</v>
      </c>
      <c r="Q10016">
        <v>14805000</v>
      </c>
      <c r="R10016" s="14">
        <f>_xlfn.XLOOKUP(Table2[[#This Row],[LoanID]],Table1[G-L ID],Table1[ManagerCode],-99)</f>
        <v>220</v>
      </c>
      <c r="T10016"/>
    </row>
    <row r="10017" spans="1:20" x14ac:dyDescent="0.25">
      <c r="A10017">
        <v>20191130</v>
      </c>
      <c r="B10017">
        <v>2019</v>
      </c>
      <c r="C10017">
        <v>11</v>
      </c>
      <c r="D10017">
        <v>1</v>
      </c>
      <c r="E10017">
        <v>14970</v>
      </c>
      <c r="F10017">
        <v>66622.87</v>
      </c>
      <c r="G10017">
        <v>0</v>
      </c>
      <c r="H10017">
        <v>0</v>
      </c>
      <c r="I10017">
        <v>0</v>
      </c>
      <c r="J10017">
        <v>0</v>
      </c>
      <c r="K10017">
        <v>0</v>
      </c>
      <c r="L10017">
        <v>29700000</v>
      </c>
      <c r="M10017">
        <v>29700000</v>
      </c>
      <c r="N10017">
        <v>10395000</v>
      </c>
      <c r="O10017">
        <v>10395000</v>
      </c>
      <c r="P10017">
        <v>29700000</v>
      </c>
      <c r="Q10017">
        <v>29700000</v>
      </c>
      <c r="R10017" s="14">
        <f>_xlfn.XLOOKUP(Table2[[#This Row],[LoanID]],Table1[G-L ID],Table1[ManagerCode],-99)</f>
        <v>220</v>
      </c>
      <c r="T10017"/>
    </row>
    <row r="10018" spans="1:20" x14ac:dyDescent="0.25">
      <c r="A10018">
        <v>20191130</v>
      </c>
      <c r="B10018">
        <v>2019</v>
      </c>
      <c r="C10018">
        <v>11</v>
      </c>
      <c r="D10018">
        <v>1</v>
      </c>
      <c r="E10018">
        <v>14980</v>
      </c>
      <c r="F10018">
        <v>150156.25</v>
      </c>
      <c r="G10018">
        <v>0</v>
      </c>
      <c r="H10018">
        <v>0</v>
      </c>
      <c r="I10018">
        <v>0</v>
      </c>
      <c r="J10018">
        <v>0</v>
      </c>
      <c r="K10018">
        <v>0</v>
      </c>
      <c r="L10018">
        <v>75000000</v>
      </c>
      <c r="M10018">
        <v>75000000</v>
      </c>
      <c r="N10018">
        <v>22500000</v>
      </c>
      <c r="O10018">
        <v>22500000</v>
      </c>
      <c r="P10018">
        <v>75000000</v>
      </c>
      <c r="Q10018">
        <v>75000000</v>
      </c>
      <c r="R10018" s="14">
        <f>_xlfn.XLOOKUP(Table2[[#This Row],[LoanID]],Table1[G-L ID],Table1[ManagerCode],-99)</f>
        <v>220</v>
      </c>
      <c r="T10018"/>
    </row>
    <row r="10019" spans="1:20" x14ac:dyDescent="0.25">
      <c r="A10019">
        <v>20191130</v>
      </c>
      <c r="B10019">
        <v>2019</v>
      </c>
      <c r="C10019">
        <v>11</v>
      </c>
      <c r="D10019">
        <v>1</v>
      </c>
      <c r="E10019">
        <v>14990</v>
      </c>
      <c r="F10019">
        <v>62078.54</v>
      </c>
      <c r="G10019">
        <v>0</v>
      </c>
      <c r="H10019">
        <v>0</v>
      </c>
      <c r="I10019">
        <v>0</v>
      </c>
      <c r="J10019">
        <v>0</v>
      </c>
      <c r="K10019">
        <v>0</v>
      </c>
      <c r="L10019">
        <v>32650000</v>
      </c>
      <c r="M10019">
        <v>32650000</v>
      </c>
      <c r="N10019">
        <v>9795000</v>
      </c>
      <c r="O10019">
        <v>9795000</v>
      </c>
      <c r="P10019">
        <v>32650000</v>
      </c>
      <c r="Q10019">
        <v>32650000</v>
      </c>
      <c r="R10019" s="14">
        <f>_xlfn.XLOOKUP(Table2[[#This Row],[LoanID]],Table1[G-L ID],Table1[ManagerCode],-99)</f>
        <v>220</v>
      </c>
      <c r="T10019"/>
    </row>
    <row r="10020" spans="1:20" x14ac:dyDescent="0.25">
      <c r="A10020">
        <v>20191130</v>
      </c>
      <c r="B10020">
        <v>2019</v>
      </c>
      <c r="C10020">
        <v>11</v>
      </c>
      <c r="D10020">
        <v>1</v>
      </c>
      <c r="E10020">
        <v>15000</v>
      </c>
      <c r="F10020">
        <v>156538.79</v>
      </c>
      <c r="G10020">
        <v>0</v>
      </c>
      <c r="H10020">
        <v>0</v>
      </c>
      <c r="I10020">
        <v>0</v>
      </c>
      <c r="J10020">
        <v>-903640.95</v>
      </c>
      <c r="K10020">
        <v>0</v>
      </c>
      <c r="L10020">
        <v>110000000</v>
      </c>
      <c r="M10020">
        <v>110903641</v>
      </c>
      <c r="N10020">
        <v>33000000</v>
      </c>
      <c r="O10020">
        <v>33903641</v>
      </c>
      <c r="P10020">
        <v>110000000</v>
      </c>
      <c r="Q10020">
        <v>110903641</v>
      </c>
      <c r="R10020" s="14">
        <f>_xlfn.XLOOKUP(Table2[[#This Row],[LoanID]],Table1[G-L ID],Table1[ManagerCode],-99)</f>
        <v>220</v>
      </c>
      <c r="T10020"/>
    </row>
    <row r="10021" spans="1:20" x14ac:dyDescent="0.25">
      <c r="A10021">
        <v>20191130</v>
      </c>
      <c r="B10021">
        <v>2019</v>
      </c>
      <c r="C10021">
        <v>11</v>
      </c>
      <c r="D10021">
        <v>1</v>
      </c>
      <c r="E10021">
        <v>15010</v>
      </c>
      <c r="F10021">
        <v>73024.83</v>
      </c>
      <c r="G10021">
        <v>0</v>
      </c>
      <c r="H10021">
        <v>0</v>
      </c>
      <c r="I10021">
        <v>0</v>
      </c>
      <c r="J10021">
        <v>0</v>
      </c>
      <c r="K10021">
        <v>0</v>
      </c>
      <c r="L10021">
        <v>30960000</v>
      </c>
      <c r="M10021">
        <v>30960000</v>
      </c>
      <c r="N10021">
        <v>10836000</v>
      </c>
      <c r="O10021">
        <v>10836000</v>
      </c>
      <c r="P10021">
        <v>30960000</v>
      </c>
      <c r="Q10021">
        <v>30960000</v>
      </c>
      <c r="R10021" s="14">
        <f>_xlfn.XLOOKUP(Table2[[#This Row],[LoanID]],Table1[G-L ID],Table1[ManagerCode],-99)</f>
        <v>220</v>
      </c>
      <c r="T10021"/>
    </row>
    <row r="10022" spans="1:20" x14ac:dyDescent="0.25">
      <c r="A10022">
        <v>20191130</v>
      </c>
      <c r="B10022">
        <v>2019</v>
      </c>
      <c r="C10022">
        <v>11</v>
      </c>
      <c r="D10022">
        <v>1</v>
      </c>
      <c r="E10022">
        <v>15020</v>
      </c>
      <c r="F10022">
        <v>202042.64</v>
      </c>
      <c r="G10022">
        <v>0</v>
      </c>
      <c r="H10022">
        <v>0</v>
      </c>
      <c r="I10022">
        <v>0</v>
      </c>
      <c r="J10022">
        <v>0</v>
      </c>
      <c r="K10022">
        <v>24424378.149999999</v>
      </c>
      <c r="L10022">
        <v>69000000</v>
      </c>
      <c r="M10022">
        <v>69000000</v>
      </c>
      <c r="N10022">
        <v>45628870.950000003</v>
      </c>
      <c r="O10022">
        <v>21204492.800000001</v>
      </c>
      <c r="P10022">
        <v>69000000</v>
      </c>
      <c r="Q10022">
        <v>69000000</v>
      </c>
      <c r="R10022" s="14">
        <f>_xlfn.XLOOKUP(Table2[[#This Row],[LoanID]],Table1[G-L ID],Table1[ManagerCode],-99)</f>
        <v>220</v>
      </c>
      <c r="T10022"/>
    </row>
    <row r="10023" spans="1:20" x14ac:dyDescent="0.25">
      <c r="A10023">
        <v>20191130</v>
      </c>
      <c r="B10023">
        <v>2019</v>
      </c>
      <c r="C10023">
        <v>11</v>
      </c>
      <c r="D10023">
        <v>1</v>
      </c>
      <c r="E10023">
        <v>15030</v>
      </c>
      <c r="F10023">
        <v>100936.76</v>
      </c>
      <c r="G10023">
        <v>0</v>
      </c>
      <c r="H10023">
        <v>0</v>
      </c>
      <c r="I10023">
        <v>0</v>
      </c>
      <c r="J10023">
        <v>-362069.72</v>
      </c>
      <c r="K10023">
        <v>0</v>
      </c>
      <c r="L10023">
        <v>39975766.770000003</v>
      </c>
      <c r="M10023">
        <v>40337200.030000001</v>
      </c>
      <c r="N10023">
        <v>15221049.359999999</v>
      </c>
      <c r="O10023">
        <v>15582482.619999999</v>
      </c>
      <c r="P10023">
        <v>39930640.450000003</v>
      </c>
      <c r="Q10023">
        <v>40292710.170000002</v>
      </c>
      <c r="R10023" s="14">
        <f>_xlfn.XLOOKUP(Table2[[#This Row],[LoanID]],Table1[G-L ID],Table1[ManagerCode],-99)</f>
        <v>220</v>
      </c>
      <c r="T10023"/>
    </row>
    <row r="10024" spans="1:20" x14ac:dyDescent="0.25">
      <c r="A10024">
        <v>20191130</v>
      </c>
      <c r="B10024">
        <v>2019</v>
      </c>
      <c r="C10024">
        <v>11</v>
      </c>
      <c r="D10024">
        <v>1</v>
      </c>
      <c r="E10024">
        <v>15040</v>
      </c>
      <c r="F10024">
        <v>103580.65</v>
      </c>
      <c r="G10024">
        <v>0</v>
      </c>
      <c r="H10024">
        <v>0</v>
      </c>
      <c r="I10024">
        <v>0</v>
      </c>
      <c r="J10024">
        <v>0</v>
      </c>
      <c r="K10024">
        <v>0</v>
      </c>
      <c r="L10024">
        <v>51465927.409999996</v>
      </c>
      <c r="M10024">
        <v>51465927.409999996</v>
      </c>
      <c r="N10024">
        <v>18380927.41</v>
      </c>
      <c r="O10024">
        <v>18380927.41</v>
      </c>
      <c r="P10024">
        <v>51465927.409999996</v>
      </c>
      <c r="Q10024">
        <v>51465927.409999996</v>
      </c>
      <c r="R10024" s="14">
        <f>_xlfn.XLOOKUP(Table2[[#This Row],[LoanID]],Table1[G-L ID],Table1[ManagerCode],-99)</f>
        <v>183</v>
      </c>
      <c r="T10024"/>
    </row>
    <row r="10025" spans="1:20" x14ac:dyDescent="0.25">
      <c r="A10025">
        <v>20191130</v>
      </c>
      <c r="B10025">
        <v>2019</v>
      </c>
      <c r="C10025">
        <v>11</v>
      </c>
      <c r="D10025">
        <v>1</v>
      </c>
      <c r="E10025">
        <v>15050</v>
      </c>
      <c r="F10025">
        <v>97572.33</v>
      </c>
      <c r="G10025">
        <v>0</v>
      </c>
      <c r="H10025">
        <v>0</v>
      </c>
      <c r="I10025">
        <v>0</v>
      </c>
      <c r="J10025">
        <v>0</v>
      </c>
      <c r="K10025">
        <v>0</v>
      </c>
      <c r="L10025">
        <v>47510000</v>
      </c>
      <c r="M10025">
        <v>47510000</v>
      </c>
      <c r="N10025">
        <v>16628500</v>
      </c>
      <c r="O10025">
        <v>16628500</v>
      </c>
      <c r="P10025">
        <v>47510000</v>
      </c>
      <c r="Q10025">
        <v>47510000</v>
      </c>
      <c r="R10025" s="14">
        <f>_xlfn.XLOOKUP(Table2[[#This Row],[LoanID]],Table1[G-L ID],Table1[ManagerCode],-99)</f>
        <v>183</v>
      </c>
      <c r="T10025"/>
    </row>
    <row r="10026" spans="1:20" x14ac:dyDescent="0.25">
      <c r="A10026">
        <v>20191130</v>
      </c>
      <c r="B10026">
        <v>2019</v>
      </c>
      <c r="C10026">
        <v>11</v>
      </c>
      <c r="D10026">
        <v>1</v>
      </c>
      <c r="E10026">
        <v>15060</v>
      </c>
      <c r="F10026">
        <v>52667.26</v>
      </c>
      <c r="G10026">
        <v>0</v>
      </c>
      <c r="H10026">
        <v>0</v>
      </c>
      <c r="I10026">
        <v>0</v>
      </c>
      <c r="J10026">
        <v>0</v>
      </c>
      <c r="K10026">
        <v>0</v>
      </c>
      <c r="L10026">
        <v>27750000</v>
      </c>
      <c r="M10026">
        <v>27750000</v>
      </c>
      <c r="N10026">
        <v>9712500</v>
      </c>
      <c r="O10026">
        <v>9712500</v>
      </c>
      <c r="P10026">
        <v>27750000</v>
      </c>
      <c r="Q10026">
        <v>27750000</v>
      </c>
      <c r="R10026" s="14">
        <f>_xlfn.XLOOKUP(Table2[[#This Row],[LoanID]],Table1[G-L ID],Table1[ManagerCode],-99)</f>
        <v>183</v>
      </c>
      <c r="T10026"/>
    </row>
    <row r="10027" spans="1:20" x14ac:dyDescent="0.25">
      <c r="A10027">
        <v>20191130</v>
      </c>
      <c r="B10027">
        <v>2019</v>
      </c>
      <c r="C10027">
        <v>11</v>
      </c>
      <c r="D10027">
        <v>1</v>
      </c>
      <c r="E10027">
        <v>15070</v>
      </c>
      <c r="F10027">
        <v>139607.14000000001</v>
      </c>
      <c r="G10027">
        <v>0</v>
      </c>
      <c r="H10027">
        <v>0</v>
      </c>
      <c r="I10027">
        <v>0</v>
      </c>
      <c r="J10027">
        <v>-44401.62</v>
      </c>
      <c r="K10027">
        <v>0</v>
      </c>
      <c r="L10027">
        <v>77556776.609999999</v>
      </c>
      <c r="M10027">
        <v>77601178.230000004</v>
      </c>
      <c r="N10027">
        <v>23306076.609999999</v>
      </c>
      <c r="O10027">
        <v>23350478.23</v>
      </c>
      <c r="P10027">
        <v>77556776.609999999</v>
      </c>
      <c r="Q10027">
        <v>77601178.230000004</v>
      </c>
      <c r="R10027" s="14">
        <f>_xlfn.XLOOKUP(Table2[[#This Row],[LoanID]],Table1[G-L ID],Table1[ManagerCode],-99)</f>
        <v>183</v>
      </c>
      <c r="T10027"/>
    </row>
    <row r="10028" spans="1:20" x14ac:dyDescent="0.25">
      <c r="A10028">
        <v>20191130</v>
      </c>
      <c r="B10028">
        <v>2019</v>
      </c>
      <c r="C10028">
        <v>11</v>
      </c>
      <c r="D10028">
        <v>1</v>
      </c>
      <c r="E10028">
        <v>15350</v>
      </c>
      <c r="F10028">
        <v>0</v>
      </c>
      <c r="G10028">
        <v>169305.56</v>
      </c>
      <c r="H10028">
        <v>0</v>
      </c>
      <c r="I10028">
        <v>-15450</v>
      </c>
      <c r="J10028">
        <v>-40000000</v>
      </c>
      <c r="K10028">
        <v>0</v>
      </c>
      <c r="L10028">
        <v>0</v>
      </c>
      <c r="M10028">
        <v>40169305.560000002</v>
      </c>
      <c r="N10028">
        <v>0</v>
      </c>
      <c r="O10028">
        <v>40169305.560000002</v>
      </c>
      <c r="P10028">
        <v>0</v>
      </c>
      <c r="Q10028">
        <v>40169305.560000002</v>
      </c>
      <c r="R10028" s="14">
        <f>_xlfn.XLOOKUP(Table2[[#This Row],[LoanID]],Table1[G-L ID],Table1[ManagerCode],-99)</f>
        <v>219</v>
      </c>
      <c r="T10028"/>
    </row>
    <row r="10029" spans="1:20" x14ac:dyDescent="0.25">
      <c r="A10029">
        <v>20191130</v>
      </c>
      <c r="B10029">
        <v>2019</v>
      </c>
      <c r="C10029">
        <v>11</v>
      </c>
      <c r="D10029">
        <v>1</v>
      </c>
      <c r="E10029">
        <v>15360</v>
      </c>
      <c r="F10029">
        <v>0</v>
      </c>
      <c r="G10029">
        <v>2386.1999999999998</v>
      </c>
      <c r="H10029">
        <v>0</v>
      </c>
      <c r="I10029">
        <v>0</v>
      </c>
      <c r="J10029">
        <v>0</v>
      </c>
      <c r="K10029">
        <v>0</v>
      </c>
      <c r="L10029">
        <v>477239.71</v>
      </c>
      <c r="M10029">
        <v>479625.91</v>
      </c>
      <c r="N10029">
        <v>477239.71</v>
      </c>
      <c r="O10029">
        <v>479625.91</v>
      </c>
      <c r="P10029">
        <v>477239.71</v>
      </c>
      <c r="Q10029">
        <v>479625.91</v>
      </c>
      <c r="R10029" s="14">
        <f>_xlfn.XLOOKUP(Table2[[#This Row],[LoanID]],Table1[G-L ID],Table1[ManagerCode],-99)</f>
        <v>219</v>
      </c>
      <c r="T10029"/>
    </row>
    <row r="10030" spans="1:20" x14ac:dyDescent="0.25">
      <c r="A10030">
        <v>20191130</v>
      </c>
      <c r="B10030">
        <v>2019</v>
      </c>
      <c r="C10030">
        <v>11</v>
      </c>
      <c r="D10030">
        <v>1</v>
      </c>
      <c r="E10030">
        <v>15380</v>
      </c>
      <c r="F10030">
        <v>129247.79</v>
      </c>
      <c r="G10030">
        <v>0</v>
      </c>
      <c r="H10030">
        <v>0</v>
      </c>
      <c r="I10030">
        <v>0</v>
      </c>
      <c r="J10030">
        <v>0</v>
      </c>
      <c r="K10030">
        <v>0</v>
      </c>
      <c r="L10030">
        <v>34930000</v>
      </c>
      <c r="M10030">
        <v>34930000</v>
      </c>
      <c r="N10030">
        <v>34930000</v>
      </c>
      <c r="O10030">
        <v>34930000</v>
      </c>
      <c r="P10030">
        <v>34930000</v>
      </c>
      <c r="Q10030">
        <v>34930000</v>
      </c>
      <c r="R10030" s="14">
        <f>_xlfn.XLOOKUP(Table2[[#This Row],[LoanID]],Table1[G-L ID],Table1[ManagerCode],-99)</f>
        <v>220</v>
      </c>
      <c r="T10030"/>
    </row>
    <row r="10031" spans="1:20" x14ac:dyDescent="0.25">
      <c r="A10031">
        <v>20191130</v>
      </c>
      <c r="B10031">
        <v>2019</v>
      </c>
      <c r="C10031">
        <v>11</v>
      </c>
      <c r="D10031">
        <v>1</v>
      </c>
      <c r="E10031">
        <v>15390</v>
      </c>
      <c r="F10031">
        <v>21204.51</v>
      </c>
      <c r="G10031">
        <v>0</v>
      </c>
      <c r="H10031">
        <v>388535</v>
      </c>
      <c r="I10031">
        <v>0</v>
      </c>
      <c r="J10031">
        <v>-35300000</v>
      </c>
      <c r="K10031">
        <v>0</v>
      </c>
      <c r="L10031">
        <v>0</v>
      </c>
      <c r="M10031">
        <v>35300000</v>
      </c>
      <c r="N10031">
        <v>0</v>
      </c>
      <c r="O10031">
        <v>35300000</v>
      </c>
      <c r="P10031">
        <v>0</v>
      </c>
      <c r="Q10031">
        <v>35300000</v>
      </c>
      <c r="R10031" s="14">
        <f>_xlfn.XLOOKUP(Table2[[#This Row],[LoanID]],Table1[G-L ID],Table1[ManagerCode],-99)</f>
        <v>220</v>
      </c>
      <c r="T10031"/>
    </row>
    <row r="10032" spans="1:20" x14ac:dyDescent="0.25">
      <c r="A10032">
        <v>20191130</v>
      </c>
      <c r="B10032">
        <v>2019</v>
      </c>
      <c r="C10032">
        <v>11</v>
      </c>
      <c r="D10032">
        <v>1</v>
      </c>
      <c r="E10032">
        <v>15420</v>
      </c>
      <c r="F10032">
        <v>81036.399999999994</v>
      </c>
      <c r="G10032">
        <v>0</v>
      </c>
      <c r="H10032">
        <v>0</v>
      </c>
      <c r="I10032">
        <v>0</v>
      </c>
      <c r="J10032">
        <v>0</v>
      </c>
      <c r="K10032">
        <v>29009500</v>
      </c>
      <c r="L10032">
        <v>44630000</v>
      </c>
      <c r="M10032">
        <v>44630000</v>
      </c>
      <c r="N10032">
        <v>44630000</v>
      </c>
      <c r="O10032">
        <v>15620500</v>
      </c>
      <c r="P10032">
        <v>44630000</v>
      </c>
      <c r="Q10032">
        <v>44630000</v>
      </c>
      <c r="R10032" s="14">
        <f>_xlfn.XLOOKUP(Table2[[#This Row],[LoanID]],Table1[G-L ID],Table1[ManagerCode],-99)</f>
        <v>183</v>
      </c>
      <c r="T10032"/>
    </row>
    <row r="10033" spans="1:20" x14ac:dyDescent="0.25">
      <c r="A10033">
        <v>20191130</v>
      </c>
      <c r="B10033">
        <v>2019</v>
      </c>
      <c r="C10033">
        <v>11</v>
      </c>
      <c r="D10033">
        <v>1</v>
      </c>
      <c r="E10033">
        <v>15430</v>
      </c>
      <c r="F10033">
        <v>83686.41</v>
      </c>
      <c r="G10033">
        <v>0</v>
      </c>
      <c r="H10033">
        <v>0</v>
      </c>
      <c r="I10033">
        <v>0</v>
      </c>
      <c r="J10033">
        <v>0</v>
      </c>
      <c r="K10033">
        <v>33192120</v>
      </c>
      <c r="L10033">
        <v>51064800</v>
      </c>
      <c r="M10033">
        <v>51064800</v>
      </c>
      <c r="N10033">
        <v>51064800</v>
      </c>
      <c r="O10033">
        <v>17872680</v>
      </c>
      <c r="P10033">
        <v>51064800</v>
      </c>
      <c r="Q10033">
        <v>51064800</v>
      </c>
      <c r="R10033" s="14">
        <f>_xlfn.XLOOKUP(Table2[[#This Row],[LoanID]],Table1[G-L ID],Table1[ManagerCode],-99)</f>
        <v>183</v>
      </c>
      <c r="T10033"/>
    </row>
    <row r="10034" spans="1:20" x14ac:dyDescent="0.25">
      <c r="A10034">
        <v>20191130</v>
      </c>
      <c r="B10034">
        <v>2019</v>
      </c>
      <c r="C10034">
        <v>11</v>
      </c>
      <c r="D10034">
        <v>1</v>
      </c>
      <c r="E10034">
        <v>15440</v>
      </c>
      <c r="F10034">
        <v>60867.03</v>
      </c>
      <c r="G10034">
        <v>0</v>
      </c>
      <c r="H10034">
        <v>191250</v>
      </c>
      <c r="I10034">
        <v>0</v>
      </c>
      <c r="J10034">
        <v>-21500000</v>
      </c>
      <c r="K10034">
        <v>13975000</v>
      </c>
      <c r="L10034">
        <v>0</v>
      </c>
      <c r="M10034">
        <v>21500000</v>
      </c>
      <c r="N10034">
        <v>0</v>
      </c>
      <c r="O10034">
        <v>7525000</v>
      </c>
      <c r="P10034">
        <v>0</v>
      </c>
      <c r="Q10034">
        <v>21500000</v>
      </c>
      <c r="R10034" s="14">
        <f>_xlfn.XLOOKUP(Table2[[#This Row],[LoanID]],Table1[G-L ID],Table1[ManagerCode],-99)</f>
        <v>183</v>
      </c>
      <c r="T10034"/>
    </row>
    <row r="10035" spans="1:20" x14ac:dyDescent="0.25">
      <c r="A10035">
        <v>20191130</v>
      </c>
      <c r="B10035">
        <v>2019</v>
      </c>
      <c r="C10035">
        <v>11</v>
      </c>
      <c r="D10035">
        <v>1</v>
      </c>
      <c r="E10035">
        <v>15450</v>
      </c>
      <c r="F10035">
        <v>48540.63</v>
      </c>
      <c r="G10035">
        <v>0</v>
      </c>
      <c r="H10035">
        <v>225000</v>
      </c>
      <c r="I10035">
        <v>0</v>
      </c>
      <c r="J10035">
        <v>-30000000</v>
      </c>
      <c r="K10035">
        <v>19500000</v>
      </c>
      <c r="L10035">
        <v>0</v>
      </c>
      <c r="M10035">
        <v>30000000</v>
      </c>
      <c r="N10035">
        <v>0</v>
      </c>
      <c r="O10035">
        <v>10500000</v>
      </c>
      <c r="P10035">
        <v>0</v>
      </c>
      <c r="Q10035">
        <v>30000000</v>
      </c>
      <c r="R10035" s="14">
        <f>_xlfn.XLOOKUP(Table2[[#This Row],[LoanID]],Table1[G-L ID],Table1[ManagerCode],-99)</f>
        <v>183</v>
      </c>
      <c r="T10035"/>
    </row>
    <row r="10036" spans="1:20" x14ac:dyDescent="0.25">
      <c r="A10036">
        <v>20191130</v>
      </c>
      <c r="B10036">
        <v>2019</v>
      </c>
      <c r="C10036">
        <v>11</v>
      </c>
      <c r="D10036">
        <v>1</v>
      </c>
      <c r="E10036">
        <v>15460</v>
      </c>
      <c r="F10036">
        <v>0</v>
      </c>
      <c r="G10036">
        <v>0</v>
      </c>
      <c r="H10036">
        <v>653325</v>
      </c>
      <c r="I10036">
        <v>0</v>
      </c>
      <c r="J10036">
        <v>-58090000</v>
      </c>
      <c r="K10036">
        <v>0</v>
      </c>
      <c r="L10036">
        <v>0</v>
      </c>
      <c r="M10036">
        <v>58090000</v>
      </c>
      <c r="N10036">
        <v>0</v>
      </c>
      <c r="O10036">
        <v>58090000</v>
      </c>
      <c r="P10036">
        <v>0</v>
      </c>
      <c r="Q10036">
        <v>58090000</v>
      </c>
      <c r="R10036" s="14">
        <f>_xlfn.XLOOKUP(Table2[[#This Row],[LoanID]],Table1[G-L ID],Table1[ManagerCode],-99)</f>
        <v>183</v>
      </c>
      <c r="T10036"/>
    </row>
    <row r="10037" spans="1:20" x14ac:dyDescent="0.25">
      <c r="A10037">
        <v>20191130</v>
      </c>
      <c r="B10037">
        <v>2019</v>
      </c>
      <c r="C10037">
        <v>11</v>
      </c>
      <c r="D10037">
        <v>1</v>
      </c>
      <c r="E10037">
        <v>15470</v>
      </c>
      <c r="F10037">
        <v>0</v>
      </c>
      <c r="G10037">
        <v>0</v>
      </c>
      <c r="H10037">
        <v>513000</v>
      </c>
      <c r="I10037">
        <v>0</v>
      </c>
      <c r="J10037">
        <v>-85500000</v>
      </c>
      <c r="K10037">
        <v>0</v>
      </c>
      <c r="L10037">
        <v>0</v>
      </c>
      <c r="M10037">
        <v>85500000</v>
      </c>
      <c r="N10037">
        <v>0</v>
      </c>
      <c r="O10037">
        <v>85500000</v>
      </c>
      <c r="P10037">
        <v>0</v>
      </c>
      <c r="Q10037">
        <v>85500000</v>
      </c>
      <c r="R10037" s="14">
        <f>_xlfn.XLOOKUP(Table2[[#This Row],[LoanID]],Table1[G-L ID],Table1[ManagerCode],-99)</f>
        <v>183</v>
      </c>
      <c r="T10037"/>
    </row>
    <row r="10038" spans="1:20" x14ac:dyDescent="0.25">
      <c r="A10038">
        <v>20191130</v>
      </c>
      <c r="B10038">
        <v>2019</v>
      </c>
      <c r="C10038">
        <v>11</v>
      </c>
      <c r="D10038">
        <v>1</v>
      </c>
      <c r="E10038">
        <v>15520</v>
      </c>
      <c r="F10038">
        <v>121335.31</v>
      </c>
      <c r="G10038">
        <v>0</v>
      </c>
      <c r="H10038">
        <v>744800</v>
      </c>
      <c r="I10038">
        <v>0</v>
      </c>
      <c r="J10038">
        <v>-51153060</v>
      </c>
      <c r="K10038">
        <v>30861836</v>
      </c>
      <c r="L10038">
        <v>0</v>
      </c>
      <c r="M10038">
        <v>51153060</v>
      </c>
      <c r="N10038">
        <v>0</v>
      </c>
      <c r="O10038">
        <v>20291224</v>
      </c>
      <c r="P10038">
        <v>0</v>
      </c>
      <c r="Q10038">
        <v>51153060</v>
      </c>
      <c r="R10038" s="14">
        <f>_xlfn.XLOOKUP(Table2[[#This Row],[LoanID]],Table1[G-L ID],Table1[ManagerCode],-99)</f>
        <v>183</v>
      </c>
      <c r="T10038"/>
    </row>
    <row r="10039" spans="1:20" x14ac:dyDescent="0.25">
      <c r="A10039">
        <v>20191130</v>
      </c>
      <c r="B10039">
        <v>2019</v>
      </c>
      <c r="C10039">
        <v>11</v>
      </c>
      <c r="D10039">
        <v>1</v>
      </c>
      <c r="E10039">
        <v>15540</v>
      </c>
      <c r="F10039">
        <v>285137.01</v>
      </c>
      <c r="G10039">
        <v>-15856.53</v>
      </c>
      <c r="H10039">
        <v>0</v>
      </c>
      <c r="I10039">
        <v>-2720.77</v>
      </c>
      <c r="J10039">
        <v>-1277591.79</v>
      </c>
      <c r="K10039">
        <v>0</v>
      </c>
      <c r="L10039">
        <v>63909540.600000001</v>
      </c>
      <c r="M10039">
        <v>65171275.859999999</v>
      </c>
      <c r="N10039">
        <v>63909540.600000001</v>
      </c>
      <c r="O10039">
        <v>65171275.859999999</v>
      </c>
      <c r="P10039">
        <v>63909540.600000001</v>
      </c>
      <c r="Q10039">
        <v>65171275.859999999</v>
      </c>
      <c r="R10039" s="14">
        <f>_xlfn.XLOOKUP(Table2[[#This Row],[LoanID]],Table1[G-L ID],Table1[ManagerCode],-99)</f>
        <v>212</v>
      </c>
      <c r="T10039"/>
    </row>
    <row r="10040" spans="1:20" x14ac:dyDescent="0.25">
      <c r="A10040">
        <v>20191130</v>
      </c>
      <c r="B10040">
        <v>2019</v>
      </c>
      <c r="C10040">
        <v>11</v>
      </c>
      <c r="D10040">
        <v>1</v>
      </c>
      <c r="E10040">
        <v>15560</v>
      </c>
      <c r="F10040">
        <v>269169.59000000003</v>
      </c>
      <c r="G10040">
        <v>-11961.32</v>
      </c>
      <c r="H10040">
        <v>0</v>
      </c>
      <c r="I10040">
        <v>0</v>
      </c>
      <c r="J10040">
        <v>0</v>
      </c>
      <c r="K10040">
        <v>0</v>
      </c>
      <c r="L10040">
        <v>49654109.130000003</v>
      </c>
      <c r="M10040">
        <v>49642147.810000002</v>
      </c>
      <c r="N10040">
        <v>49654109.130000003</v>
      </c>
      <c r="O10040">
        <v>49642147.810000002</v>
      </c>
      <c r="P10040">
        <v>49654109.130000003</v>
      </c>
      <c r="Q10040">
        <v>49642147.810000002</v>
      </c>
      <c r="R10040" s="14">
        <f>_xlfn.XLOOKUP(Table2[[#This Row],[LoanID]],Table1[G-L ID],Table1[ManagerCode],-99)</f>
        <v>212</v>
      </c>
      <c r="T10040"/>
    </row>
    <row r="10041" spans="1:20" x14ac:dyDescent="0.25">
      <c r="A10041">
        <v>20191130</v>
      </c>
      <c r="B10041">
        <v>2019</v>
      </c>
      <c r="C10041">
        <v>11</v>
      </c>
      <c r="D10041">
        <v>1</v>
      </c>
      <c r="E10041">
        <v>15570</v>
      </c>
      <c r="F10041">
        <v>182660.15</v>
      </c>
      <c r="G10041">
        <v>-11164.54</v>
      </c>
      <c r="H10041">
        <v>0</v>
      </c>
      <c r="I10041">
        <v>0</v>
      </c>
      <c r="J10041">
        <v>0</v>
      </c>
      <c r="K10041">
        <v>0</v>
      </c>
      <c r="L10041">
        <v>26619964.149999999</v>
      </c>
      <c r="M10041">
        <v>26608799.609999999</v>
      </c>
      <c r="N10041">
        <v>26619964.149999999</v>
      </c>
      <c r="O10041">
        <v>26608799.609999999</v>
      </c>
      <c r="P10041">
        <v>26619964.149999999</v>
      </c>
      <c r="Q10041">
        <v>26608799.609999999</v>
      </c>
      <c r="R10041" s="14">
        <f>_xlfn.XLOOKUP(Table2[[#This Row],[LoanID]],Table1[G-L ID],Table1[ManagerCode],-99)</f>
        <v>212</v>
      </c>
      <c r="T10041"/>
    </row>
    <row r="10042" spans="1:20" x14ac:dyDescent="0.25">
      <c r="A10042">
        <v>20191130</v>
      </c>
      <c r="B10042">
        <v>2019</v>
      </c>
      <c r="C10042">
        <v>11</v>
      </c>
      <c r="D10042">
        <v>1</v>
      </c>
      <c r="E10042">
        <v>15580</v>
      </c>
      <c r="F10042">
        <v>114574.62</v>
      </c>
      <c r="G10042">
        <v>-3763.99</v>
      </c>
      <c r="H10042">
        <v>0</v>
      </c>
      <c r="I10042">
        <v>0</v>
      </c>
      <c r="J10042">
        <v>0</v>
      </c>
      <c r="K10042">
        <v>8826.69</v>
      </c>
      <c r="L10042">
        <v>14498833.83</v>
      </c>
      <c r="M10042">
        <v>14486243.15</v>
      </c>
      <c r="N10042">
        <v>14498833.83</v>
      </c>
      <c r="O10042">
        <v>14486243.15</v>
      </c>
      <c r="P10042">
        <v>14498833.83</v>
      </c>
      <c r="Q10042">
        <v>14486243.15</v>
      </c>
      <c r="R10042" s="14">
        <f>_xlfn.XLOOKUP(Table2[[#This Row],[LoanID]],Table1[G-L ID],Table1[ManagerCode],-99)</f>
        <v>212</v>
      </c>
      <c r="T10042"/>
    </row>
    <row r="10043" spans="1:20" x14ac:dyDescent="0.25">
      <c r="A10043">
        <v>20191130</v>
      </c>
      <c r="B10043">
        <v>2019</v>
      </c>
      <c r="C10043">
        <v>11</v>
      </c>
      <c r="D10043">
        <v>1</v>
      </c>
      <c r="E10043">
        <v>15590</v>
      </c>
      <c r="F10043">
        <v>378550.62</v>
      </c>
      <c r="G10043">
        <v>-30424.1</v>
      </c>
      <c r="H10043">
        <v>0</v>
      </c>
      <c r="I10043">
        <v>-4321.87</v>
      </c>
      <c r="J10043">
        <v>-157142.45000000001</v>
      </c>
      <c r="K10043">
        <v>0</v>
      </c>
      <c r="L10043">
        <v>104090383.8</v>
      </c>
      <c r="M10043">
        <v>104217102.2</v>
      </c>
      <c r="N10043">
        <v>104090383.8</v>
      </c>
      <c r="O10043">
        <v>104217102.2</v>
      </c>
      <c r="P10043">
        <v>104090383.8</v>
      </c>
      <c r="Q10043">
        <v>104217102.2</v>
      </c>
      <c r="R10043" s="14">
        <f>_xlfn.XLOOKUP(Table2[[#This Row],[LoanID]],Table1[G-L ID],Table1[ManagerCode],-99)</f>
        <v>212</v>
      </c>
      <c r="T10043"/>
    </row>
    <row r="10044" spans="1:20" x14ac:dyDescent="0.25">
      <c r="A10044">
        <v>20191130</v>
      </c>
      <c r="B10044">
        <v>2019</v>
      </c>
      <c r="C10044">
        <v>11</v>
      </c>
      <c r="D10044">
        <v>1</v>
      </c>
      <c r="E10044">
        <v>15610</v>
      </c>
      <c r="F10044">
        <v>899488.95</v>
      </c>
      <c r="G10044">
        <v>-64812.66</v>
      </c>
      <c r="H10044">
        <v>0</v>
      </c>
      <c r="I10044">
        <v>-9488.2800000000007</v>
      </c>
      <c r="J10044">
        <v>-1466027.37</v>
      </c>
      <c r="K10044">
        <v>0</v>
      </c>
      <c r="L10044">
        <v>221272755.5</v>
      </c>
      <c r="M10044">
        <v>222673970.19999999</v>
      </c>
      <c r="N10044">
        <v>221272755.5</v>
      </c>
      <c r="O10044">
        <v>222673970.19999999</v>
      </c>
      <c r="P10044">
        <v>221272755.5</v>
      </c>
      <c r="Q10044">
        <v>222673970.19999999</v>
      </c>
      <c r="R10044" s="14">
        <f>_xlfn.XLOOKUP(Table2[[#This Row],[LoanID]],Table1[G-L ID],Table1[ManagerCode],-99)</f>
        <v>212</v>
      </c>
      <c r="T10044"/>
    </row>
    <row r="10045" spans="1:20" x14ac:dyDescent="0.25">
      <c r="A10045">
        <v>20191130</v>
      </c>
      <c r="B10045">
        <v>2019</v>
      </c>
      <c r="C10045">
        <v>11</v>
      </c>
      <c r="D10045">
        <v>1</v>
      </c>
      <c r="E10045">
        <v>15620</v>
      </c>
      <c r="F10045">
        <v>318201.58</v>
      </c>
      <c r="G10045">
        <v>-24754.83</v>
      </c>
      <c r="H10045">
        <v>0</v>
      </c>
      <c r="I10045">
        <v>7382.59</v>
      </c>
      <c r="J10045">
        <v>0</v>
      </c>
      <c r="K10045">
        <v>0</v>
      </c>
      <c r="L10045">
        <v>79263795.159999996</v>
      </c>
      <c r="M10045">
        <v>79239040.329999998</v>
      </c>
      <c r="N10045">
        <v>79263795.159999996</v>
      </c>
      <c r="O10045">
        <v>79239040.329999998</v>
      </c>
      <c r="P10045">
        <v>79263795.159999996</v>
      </c>
      <c r="Q10045">
        <v>79239040.329999998</v>
      </c>
      <c r="R10045" s="14">
        <f>_xlfn.XLOOKUP(Table2[[#This Row],[LoanID]],Table1[G-L ID],Table1[ManagerCode],-99)</f>
        <v>212</v>
      </c>
      <c r="T10045"/>
    </row>
    <row r="10046" spans="1:20" x14ac:dyDescent="0.25">
      <c r="A10046">
        <v>20191130</v>
      </c>
      <c r="B10046">
        <v>2019</v>
      </c>
      <c r="C10046">
        <v>11</v>
      </c>
      <c r="D10046">
        <v>1</v>
      </c>
      <c r="E10046">
        <v>15630</v>
      </c>
      <c r="F10046">
        <v>712065.8</v>
      </c>
      <c r="G10046">
        <v>-155993.37</v>
      </c>
      <c r="H10046">
        <v>0</v>
      </c>
      <c r="I10046">
        <v>-6015.34</v>
      </c>
      <c r="J10046">
        <v>-16194622</v>
      </c>
      <c r="K10046">
        <v>0</v>
      </c>
      <c r="L10046">
        <v>142573755.80000001</v>
      </c>
      <c r="M10046">
        <v>158612384.40000001</v>
      </c>
      <c r="N10046">
        <v>142573755.80000001</v>
      </c>
      <c r="O10046">
        <v>158612384.40000001</v>
      </c>
      <c r="P10046">
        <v>142573755.80000001</v>
      </c>
      <c r="Q10046">
        <v>158612384.40000001</v>
      </c>
      <c r="R10046" s="14">
        <f>_xlfn.XLOOKUP(Table2[[#This Row],[LoanID]],Table1[G-L ID],Table1[ManagerCode],-99)</f>
        <v>212</v>
      </c>
      <c r="T10046"/>
    </row>
    <row r="10047" spans="1:20" x14ac:dyDescent="0.25">
      <c r="A10047">
        <v>20191130</v>
      </c>
      <c r="B10047">
        <v>2019</v>
      </c>
      <c r="C10047">
        <v>11</v>
      </c>
      <c r="D10047">
        <v>1</v>
      </c>
      <c r="E10047">
        <v>15670</v>
      </c>
      <c r="F10047">
        <v>59726.42</v>
      </c>
      <c r="G10047">
        <v>0</v>
      </c>
      <c r="H10047">
        <v>0</v>
      </c>
      <c r="I10047">
        <v>0</v>
      </c>
      <c r="J10047">
        <v>0</v>
      </c>
      <c r="K10047">
        <v>0</v>
      </c>
      <c r="L10047">
        <v>17650000</v>
      </c>
      <c r="M10047">
        <v>17650000</v>
      </c>
      <c r="N10047">
        <v>17650000</v>
      </c>
      <c r="O10047">
        <v>17650000</v>
      </c>
      <c r="P10047">
        <v>17650000</v>
      </c>
      <c r="Q10047">
        <v>17650000</v>
      </c>
      <c r="R10047" s="14">
        <f>_xlfn.XLOOKUP(Table2[[#This Row],[LoanID]],Table1[G-L ID],Table1[ManagerCode],-99)</f>
        <v>103</v>
      </c>
      <c r="T10047"/>
    </row>
    <row r="10048" spans="1:20" x14ac:dyDescent="0.25">
      <c r="A10048">
        <v>20191130</v>
      </c>
      <c r="B10048">
        <v>2019</v>
      </c>
      <c r="C10048">
        <v>11</v>
      </c>
      <c r="D10048">
        <v>1</v>
      </c>
      <c r="E10048">
        <v>15680</v>
      </c>
      <c r="F10048">
        <v>423962.5</v>
      </c>
      <c r="G10048">
        <v>0</v>
      </c>
      <c r="H10048">
        <v>0</v>
      </c>
      <c r="I10048">
        <v>0</v>
      </c>
      <c r="J10048">
        <v>0</v>
      </c>
      <c r="K10048">
        <v>0</v>
      </c>
      <c r="L10048">
        <v>65000000</v>
      </c>
      <c r="M10048">
        <v>65000000</v>
      </c>
      <c r="N10048">
        <v>65000000</v>
      </c>
      <c r="O10048">
        <v>65000000</v>
      </c>
      <c r="P10048">
        <v>65000000</v>
      </c>
      <c r="Q10048">
        <v>65000000</v>
      </c>
      <c r="R10048" s="14">
        <f>_xlfn.XLOOKUP(Table2[[#This Row],[LoanID]],Table1[G-L ID],Table1[ManagerCode],-99)</f>
        <v>103</v>
      </c>
      <c r="T10048"/>
    </row>
    <row r="10049" spans="1:20" x14ac:dyDescent="0.25">
      <c r="A10049">
        <v>20191130</v>
      </c>
      <c r="B10049">
        <v>2019</v>
      </c>
      <c r="C10049">
        <v>11</v>
      </c>
      <c r="D10049">
        <v>1</v>
      </c>
      <c r="E10049">
        <v>15800</v>
      </c>
      <c r="F10049">
        <v>419368.06</v>
      </c>
      <c r="G10049">
        <v>-13576.39</v>
      </c>
      <c r="H10049">
        <v>0</v>
      </c>
      <c r="I10049">
        <v>-2159.7199999999998</v>
      </c>
      <c r="J10049">
        <v>0</v>
      </c>
      <c r="K10049">
        <v>0</v>
      </c>
      <c r="L10049">
        <v>85420868.060000002</v>
      </c>
      <c r="M10049">
        <v>85407291.670000002</v>
      </c>
      <c r="N10049">
        <v>85420868.060000002</v>
      </c>
      <c r="O10049">
        <v>85407291.670000002</v>
      </c>
      <c r="P10049">
        <v>85420868.060000002</v>
      </c>
      <c r="Q10049">
        <v>85407291.670000002</v>
      </c>
      <c r="R10049" s="14">
        <f>_xlfn.XLOOKUP(Table2[[#This Row],[LoanID]],Table1[G-L ID],Table1[ManagerCode],-99)</f>
        <v>212</v>
      </c>
      <c r="T10049"/>
    </row>
    <row r="10050" spans="1:20" x14ac:dyDescent="0.25">
      <c r="A10050">
        <v>20191231</v>
      </c>
      <c r="B10050">
        <v>2019</v>
      </c>
      <c r="C10050">
        <v>12</v>
      </c>
      <c r="D10050">
        <v>1</v>
      </c>
      <c r="E10050">
        <v>10050</v>
      </c>
      <c r="F10050">
        <v>149013.89000000001</v>
      </c>
      <c r="G10050">
        <v>0</v>
      </c>
      <c r="H10050">
        <v>0</v>
      </c>
      <c r="I10050">
        <v>-69.45</v>
      </c>
      <c r="J10050">
        <v>0</v>
      </c>
      <c r="K10050">
        <v>0</v>
      </c>
      <c r="L10050">
        <v>37161128</v>
      </c>
      <c r="M10050">
        <v>37082000</v>
      </c>
      <c r="N10050">
        <v>37161128</v>
      </c>
      <c r="O10050">
        <v>37082000</v>
      </c>
      <c r="P10050">
        <v>33333334</v>
      </c>
      <c r="Q10050">
        <v>33333334</v>
      </c>
      <c r="R10050" s="14">
        <f>_xlfn.XLOOKUP(Table2[[#This Row],[LoanID]],Table1[G-L ID],Table1[ManagerCode],-99)</f>
        <v>103</v>
      </c>
      <c r="T10050"/>
    </row>
    <row r="10051" spans="1:20" x14ac:dyDescent="0.25">
      <c r="A10051">
        <v>20191231</v>
      </c>
      <c r="B10051">
        <v>2019</v>
      </c>
      <c r="C10051">
        <v>12</v>
      </c>
      <c r="D10051">
        <v>1</v>
      </c>
      <c r="E10051">
        <v>10220</v>
      </c>
      <c r="F10051">
        <v>559722.22</v>
      </c>
      <c r="G10051">
        <v>0</v>
      </c>
      <c r="H10051">
        <v>0</v>
      </c>
      <c r="I10051">
        <v>0</v>
      </c>
      <c r="J10051">
        <v>0</v>
      </c>
      <c r="K10051">
        <v>0</v>
      </c>
      <c r="L10051">
        <v>108622855</v>
      </c>
      <c r="M10051">
        <v>108552903</v>
      </c>
      <c r="N10051">
        <v>108622855</v>
      </c>
      <c r="O10051">
        <v>108552903</v>
      </c>
      <c r="P10051">
        <v>100000000</v>
      </c>
      <c r="Q10051">
        <v>100000000</v>
      </c>
      <c r="R10051" s="14">
        <f>_xlfn.XLOOKUP(Table2[[#This Row],[LoanID]],Table1[G-L ID],Table1[ManagerCode],-99)</f>
        <v>103</v>
      </c>
      <c r="T10051"/>
    </row>
    <row r="10052" spans="1:20" x14ac:dyDescent="0.25">
      <c r="A10052">
        <v>20191231</v>
      </c>
      <c r="B10052">
        <v>2019</v>
      </c>
      <c r="C10052">
        <v>12</v>
      </c>
      <c r="D10052">
        <v>1</v>
      </c>
      <c r="E10052">
        <v>10790</v>
      </c>
      <c r="F10052">
        <v>38783.339999999997</v>
      </c>
      <c r="G10052">
        <v>0</v>
      </c>
      <c r="H10052">
        <v>0</v>
      </c>
      <c r="I10052">
        <v>0</v>
      </c>
      <c r="J10052">
        <v>0</v>
      </c>
      <c r="K10052">
        <v>3885112.03</v>
      </c>
      <c r="L10052">
        <v>3916769</v>
      </c>
      <c r="M10052">
        <v>0</v>
      </c>
      <c r="N10052">
        <v>3916769</v>
      </c>
      <c r="O10052">
        <v>0</v>
      </c>
      <c r="P10052">
        <v>3885112.03</v>
      </c>
      <c r="Q10052">
        <v>0</v>
      </c>
      <c r="R10052" s="14">
        <f>_xlfn.XLOOKUP(Table2[[#This Row],[LoanID]],Table1[G-L ID],Table1[ManagerCode],-99)</f>
        <v>103</v>
      </c>
      <c r="T10052"/>
    </row>
    <row r="10053" spans="1:20" x14ac:dyDescent="0.25">
      <c r="A10053">
        <v>20191231</v>
      </c>
      <c r="B10053">
        <v>2019</v>
      </c>
      <c r="C10053">
        <v>12</v>
      </c>
      <c r="D10053">
        <v>1</v>
      </c>
      <c r="E10053">
        <v>11340</v>
      </c>
      <c r="F10053">
        <v>272436.43</v>
      </c>
      <c r="G10053">
        <v>0</v>
      </c>
      <c r="H10053">
        <v>0</v>
      </c>
      <c r="I10053">
        <v>0</v>
      </c>
      <c r="J10053">
        <v>0</v>
      </c>
      <c r="K10053">
        <v>79134.7</v>
      </c>
      <c r="L10053">
        <v>51039373</v>
      </c>
      <c r="M10053">
        <v>50846902</v>
      </c>
      <c r="N10053">
        <v>51039373</v>
      </c>
      <c r="O10053">
        <v>50846902</v>
      </c>
      <c r="P10053">
        <v>46703387.32</v>
      </c>
      <c r="Q10053">
        <v>46624252.619999997</v>
      </c>
      <c r="R10053" s="14">
        <f>_xlfn.XLOOKUP(Table2[[#This Row],[LoanID]],Table1[G-L ID],Table1[ManagerCode],-99)</f>
        <v>103</v>
      </c>
      <c r="T10053"/>
    </row>
    <row r="10054" spans="1:20" x14ac:dyDescent="0.25">
      <c r="A10054">
        <v>20191231</v>
      </c>
      <c r="B10054">
        <v>2019</v>
      </c>
      <c r="C10054">
        <v>12</v>
      </c>
      <c r="D10054">
        <v>1</v>
      </c>
      <c r="E10054">
        <v>11680</v>
      </c>
      <c r="F10054">
        <v>50325.78</v>
      </c>
      <c r="G10054">
        <v>0</v>
      </c>
      <c r="H10054">
        <v>0</v>
      </c>
      <c r="I10054">
        <v>0</v>
      </c>
      <c r="J10054">
        <v>0</v>
      </c>
      <c r="K10054">
        <v>0</v>
      </c>
      <c r="L10054">
        <v>6600000</v>
      </c>
      <c r="M10054">
        <v>6600000</v>
      </c>
      <c r="N10054">
        <v>6600000</v>
      </c>
      <c r="O10054">
        <v>6600000</v>
      </c>
      <c r="P10054">
        <v>6600000</v>
      </c>
      <c r="Q10054">
        <v>6600000</v>
      </c>
      <c r="R10054" s="14">
        <f>_xlfn.XLOOKUP(Table2[[#This Row],[LoanID]],Table1[G-L ID],Table1[ManagerCode],-99)</f>
        <v>183</v>
      </c>
      <c r="T10054"/>
    </row>
    <row r="10055" spans="1:20" x14ac:dyDescent="0.25">
      <c r="A10055">
        <v>20191231</v>
      </c>
      <c r="B10055">
        <v>2019</v>
      </c>
      <c r="C10055">
        <v>12</v>
      </c>
      <c r="D10055">
        <v>1</v>
      </c>
      <c r="E10055">
        <v>12180</v>
      </c>
      <c r="F10055">
        <v>0</v>
      </c>
      <c r="G10055">
        <v>0</v>
      </c>
      <c r="H10055">
        <v>0</v>
      </c>
      <c r="I10055">
        <v>0</v>
      </c>
      <c r="J10055">
        <v>0</v>
      </c>
      <c r="K10055">
        <v>0</v>
      </c>
      <c r="L10055">
        <v>1</v>
      </c>
      <c r="M10055">
        <v>1</v>
      </c>
      <c r="N10055">
        <v>1</v>
      </c>
      <c r="O10055">
        <v>1</v>
      </c>
      <c r="P10055">
        <v>31963806.68</v>
      </c>
      <c r="Q10055">
        <v>31963806.68</v>
      </c>
      <c r="R10055" s="14">
        <f>_xlfn.XLOOKUP(Table2[[#This Row],[LoanID]],Table1[G-L ID],Table1[ManagerCode],-99)</f>
        <v>220</v>
      </c>
      <c r="T10055"/>
    </row>
    <row r="10056" spans="1:20" x14ac:dyDescent="0.25">
      <c r="A10056">
        <v>20191231</v>
      </c>
      <c r="B10056">
        <v>2019</v>
      </c>
      <c r="C10056">
        <v>12</v>
      </c>
      <c r="D10056">
        <v>1</v>
      </c>
      <c r="E10056">
        <v>12220</v>
      </c>
      <c r="F10056">
        <v>258515.65</v>
      </c>
      <c r="G10056">
        <v>0</v>
      </c>
      <c r="H10056">
        <v>0</v>
      </c>
      <c r="I10056">
        <v>0</v>
      </c>
      <c r="J10056">
        <v>0</v>
      </c>
      <c r="K10056">
        <v>0</v>
      </c>
      <c r="L10056">
        <v>54500000</v>
      </c>
      <c r="M10056">
        <v>54500000</v>
      </c>
      <c r="N10056">
        <v>27250000</v>
      </c>
      <c r="O10056">
        <v>27250000</v>
      </c>
      <c r="P10056">
        <v>54500000</v>
      </c>
      <c r="Q10056">
        <v>54500000</v>
      </c>
      <c r="R10056" s="14">
        <f>_xlfn.XLOOKUP(Table2[[#This Row],[LoanID]],Table1[G-L ID],Table1[ManagerCode],-99)</f>
        <v>183</v>
      </c>
      <c r="T10056"/>
    </row>
    <row r="10057" spans="1:20" x14ac:dyDescent="0.25">
      <c r="A10057">
        <v>20191231</v>
      </c>
      <c r="B10057">
        <v>2019</v>
      </c>
      <c r="C10057">
        <v>12</v>
      </c>
      <c r="D10057">
        <v>1</v>
      </c>
      <c r="E10057">
        <v>12340</v>
      </c>
      <c r="F10057">
        <v>44470.55</v>
      </c>
      <c r="G10057">
        <v>0</v>
      </c>
      <c r="H10057">
        <v>0</v>
      </c>
      <c r="I10057">
        <v>0</v>
      </c>
      <c r="J10057">
        <v>0</v>
      </c>
      <c r="K10057">
        <v>0</v>
      </c>
      <c r="L10057">
        <v>24180000</v>
      </c>
      <c r="M10057">
        <v>24180000</v>
      </c>
      <c r="N10057">
        <v>12180000</v>
      </c>
      <c r="O10057">
        <v>12180000</v>
      </c>
      <c r="P10057">
        <v>24180000</v>
      </c>
      <c r="Q10057">
        <v>24180000</v>
      </c>
      <c r="R10057" s="14">
        <f>_xlfn.XLOOKUP(Table2[[#This Row],[LoanID]],Table1[G-L ID],Table1[ManagerCode],-99)</f>
        <v>183</v>
      </c>
      <c r="T10057"/>
    </row>
    <row r="10058" spans="1:20" x14ac:dyDescent="0.25">
      <c r="A10058">
        <v>20191231</v>
      </c>
      <c r="B10058">
        <v>2019</v>
      </c>
      <c r="C10058">
        <v>12</v>
      </c>
      <c r="D10058">
        <v>1</v>
      </c>
      <c r="E10058">
        <v>12350</v>
      </c>
      <c r="F10058">
        <v>315914.21999999997</v>
      </c>
      <c r="G10058">
        <v>0</v>
      </c>
      <c r="H10058">
        <v>0</v>
      </c>
      <c r="I10058">
        <v>0</v>
      </c>
      <c r="J10058">
        <v>0</v>
      </c>
      <c r="K10058">
        <v>0</v>
      </c>
      <c r="L10058">
        <v>78700000</v>
      </c>
      <c r="M10058">
        <v>78700000</v>
      </c>
      <c r="N10058">
        <v>40914236.340000004</v>
      </c>
      <c r="O10058">
        <v>40914236.340000004</v>
      </c>
      <c r="P10058">
        <v>78700000</v>
      </c>
      <c r="Q10058">
        <v>78700000</v>
      </c>
      <c r="R10058" s="14">
        <f>_xlfn.XLOOKUP(Table2[[#This Row],[LoanID]],Table1[G-L ID],Table1[ManagerCode],-99)</f>
        <v>183</v>
      </c>
      <c r="T10058"/>
    </row>
    <row r="10059" spans="1:20" x14ac:dyDescent="0.25">
      <c r="A10059">
        <v>20191231</v>
      </c>
      <c r="B10059">
        <v>2019</v>
      </c>
      <c r="C10059">
        <v>12</v>
      </c>
      <c r="D10059">
        <v>1</v>
      </c>
      <c r="E10059">
        <v>12370</v>
      </c>
      <c r="F10059">
        <v>118034.03</v>
      </c>
      <c r="G10059">
        <v>0</v>
      </c>
      <c r="H10059">
        <v>0</v>
      </c>
      <c r="I10059">
        <v>0</v>
      </c>
      <c r="J10059">
        <v>0</v>
      </c>
      <c r="K10059">
        <v>0</v>
      </c>
      <c r="L10059">
        <v>81600000</v>
      </c>
      <c r="M10059">
        <v>81600000</v>
      </c>
      <c r="N10059">
        <v>36461538.549999997</v>
      </c>
      <c r="O10059">
        <v>36461538.549999997</v>
      </c>
      <c r="P10059">
        <v>81600000</v>
      </c>
      <c r="Q10059">
        <v>81600000</v>
      </c>
      <c r="R10059" s="14">
        <f>_xlfn.XLOOKUP(Table2[[#This Row],[LoanID]],Table1[G-L ID],Table1[ManagerCode],-99)</f>
        <v>183</v>
      </c>
      <c r="T10059"/>
    </row>
    <row r="10060" spans="1:20" x14ac:dyDescent="0.25">
      <c r="A10060">
        <v>20191231</v>
      </c>
      <c r="B10060">
        <v>2019</v>
      </c>
      <c r="C10060">
        <v>12</v>
      </c>
      <c r="D10060">
        <v>1</v>
      </c>
      <c r="E10060">
        <v>12380</v>
      </c>
      <c r="F10060">
        <v>76006.28</v>
      </c>
      <c r="G10060">
        <v>0</v>
      </c>
      <c r="H10060">
        <v>0</v>
      </c>
      <c r="I10060">
        <v>0</v>
      </c>
      <c r="J10060">
        <v>0</v>
      </c>
      <c r="K10060">
        <v>0</v>
      </c>
      <c r="L10060">
        <v>32500000</v>
      </c>
      <c r="M10060">
        <v>32500000</v>
      </c>
      <c r="N10060">
        <v>12350000</v>
      </c>
      <c r="O10060">
        <v>12350000</v>
      </c>
      <c r="P10060">
        <v>32500000</v>
      </c>
      <c r="Q10060">
        <v>32500000</v>
      </c>
      <c r="R10060" s="14">
        <f>_xlfn.XLOOKUP(Table2[[#This Row],[LoanID]],Table1[G-L ID],Table1[ManagerCode],-99)</f>
        <v>183</v>
      </c>
      <c r="T10060"/>
    </row>
    <row r="10061" spans="1:20" x14ac:dyDescent="0.25">
      <c r="A10061">
        <v>20191231</v>
      </c>
      <c r="B10061">
        <v>2019</v>
      </c>
      <c r="C10061">
        <v>12</v>
      </c>
      <c r="D10061">
        <v>1</v>
      </c>
      <c r="E10061">
        <v>12390</v>
      </c>
      <c r="F10061">
        <v>1122956.78</v>
      </c>
      <c r="G10061">
        <v>612363.53</v>
      </c>
      <c r="H10061">
        <v>0</v>
      </c>
      <c r="I10061">
        <v>0</v>
      </c>
      <c r="J10061">
        <v>-2465555.96</v>
      </c>
      <c r="K10061">
        <v>0</v>
      </c>
      <c r="L10061">
        <v>157287761.69999999</v>
      </c>
      <c r="M10061">
        <v>160365681.19999999</v>
      </c>
      <c r="N10061">
        <v>157287761.69999999</v>
      </c>
      <c r="O10061">
        <v>160365681.19999999</v>
      </c>
      <c r="P10061">
        <v>157287761.69999999</v>
      </c>
      <c r="Q10061">
        <v>160365681.19999999</v>
      </c>
      <c r="R10061" s="14">
        <f>_xlfn.XLOOKUP(Table2[[#This Row],[LoanID]],Table1[G-L ID],Table1[ManagerCode],-99)</f>
        <v>183</v>
      </c>
      <c r="T10061"/>
    </row>
    <row r="10062" spans="1:20" x14ac:dyDescent="0.25">
      <c r="A10062">
        <v>20191231</v>
      </c>
      <c r="B10062">
        <v>2019</v>
      </c>
      <c r="C10062">
        <v>12</v>
      </c>
      <c r="D10062">
        <v>1</v>
      </c>
      <c r="E10062">
        <v>12400</v>
      </c>
      <c r="F10062">
        <v>318945.48</v>
      </c>
      <c r="G10062">
        <v>138383.10999999999</v>
      </c>
      <c r="H10062">
        <v>0</v>
      </c>
      <c r="I10062">
        <v>0</v>
      </c>
      <c r="J10062">
        <v>-1568387.1</v>
      </c>
      <c r="K10062">
        <v>0</v>
      </c>
      <c r="L10062">
        <v>59884890.109999999</v>
      </c>
      <c r="M10062">
        <v>61591660.32</v>
      </c>
      <c r="N10062">
        <v>59884890.109999999</v>
      </c>
      <c r="O10062">
        <v>61591660.32</v>
      </c>
      <c r="P10062">
        <v>59884890.109999999</v>
      </c>
      <c r="Q10062">
        <v>61591660.32</v>
      </c>
      <c r="R10062" s="14">
        <f>_xlfn.XLOOKUP(Table2[[#This Row],[LoanID]],Table1[G-L ID],Table1[ManagerCode],-99)</f>
        <v>183</v>
      </c>
      <c r="T10062"/>
    </row>
    <row r="10063" spans="1:20" x14ac:dyDescent="0.25">
      <c r="A10063">
        <v>20191231</v>
      </c>
      <c r="B10063">
        <v>2019</v>
      </c>
      <c r="C10063">
        <v>12</v>
      </c>
      <c r="D10063">
        <v>1</v>
      </c>
      <c r="E10063">
        <v>12410</v>
      </c>
      <c r="F10063">
        <v>250000</v>
      </c>
      <c r="G10063">
        <v>125000</v>
      </c>
      <c r="H10063">
        <v>0</v>
      </c>
      <c r="I10063">
        <v>0</v>
      </c>
      <c r="J10063">
        <v>0</v>
      </c>
      <c r="K10063">
        <v>0</v>
      </c>
      <c r="L10063">
        <v>60098807.539999999</v>
      </c>
      <c r="M10063">
        <v>60223807.539999999</v>
      </c>
      <c r="N10063">
        <v>60098807.539999999</v>
      </c>
      <c r="O10063">
        <v>60223807.539999999</v>
      </c>
      <c r="P10063">
        <v>66379789.659999996</v>
      </c>
      <c r="Q10063">
        <v>66504789.659999996</v>
      </c>
      <c r="R10063" s="14">
        <f>_xlfn.XLOOKUP(Table2[[#This Row],[LoanID]],Table1[G-L ID],Table1[ManagerCode],-99)</f>
        <v>103</v>
      </c>
      <c r="T10063"/>
    </row>
    <row r="10064" spans="1:20" x14ac:dyDescent="0.25">
      <c r="A10064">
        <v>20191231</v>
      </c>
      <c r="B10064">
        <v>2019</v>
      </c>
      <c r="C10064">
        <v>12</v>
      </c>
      <c r="D10064">
        <v>1</v>
      </c>
      <c r="E10064">
        <v>12430</v>
      </c>
      <c r="F10064">
        <v>92380.74</v>
      </c>
      <c r="G10064">
        <v>0</v>
      </c>
      <c r="H10064">
        <v>0</v>
      </c>
      <c r="I10064">
        <v>0</v>
      </c>
      <c r="J10064">
        <v>-92380.74</v>
      </c>
      <c r="K10064">
        <v>0</v>
      </c>
      <c r="L10064">
        <v>26459717</v>
      </c>
      <c r="M10064">
        <v>26416273</v>
      </c>
      <c r="N10064">
        <v>26459717</v>
      </c>
      <c r="O10064">
        <v>26416273</v>
      </c>
      <c r="P10064">
        <v>27852333.920000002</v>
      </c>
      <c r="Q10064">
        <v>27944714.66</v>
      </c>
      <c r="R10064" s="14">
        <f>_xlfn.XLOOKUP(Table2[[#This Row],[LoanID]],Table1[G-L ID],Table1[ManagerCode],-99)</f>
        <v>103</v>
      </c>
      <c r="T10064"/>
    </row>
    <row r="10065" spans="1:20" x14ac:dyDescent="0.25">
      <c r="A10065">
        <v>20191231</v>
      </c>
      <c r="B10065">
        <v>2019</v>
      </c>
      <c r="C10065">
        <v>12</v>
      </c>
      <c r="D10065">
        <v>1</v>
      </c>
      <c r="E10065">
        <v>12440</v>
      </c>
      <c r="F10065">
        <v>24533.79</v>
      </c>
      <c r="G10065">
        <v>0</v>
      </c>
      <c r="H10065">
        <v>0</v>
      </c>
      <c r="I10065">
        <v>0</v>
      </c>
      <c r="J10065">
        <v>0</v>
      </c>
      <c r="K10065">
        <v>58832.480000000003</v>
      </c>
      <c r="L10065">
        <v>3273448</v>
      </c>
      <c r="M10065">
        <v>3199411</v>
      </c>
      <c r="N10065">
        <v>3273448</v>
      </c>
      <c r="O10065">
        <v>3199411</v>
      </c>
      <c r="P10065">
        <v>2944054.89</v>
      </c>
      <c r="Q10065">
        <v>2885222.41</v>
      </c>
      <c r="R10065" s="14">
        <f>_xlfn.XLOOKUP(Table2[[#This Row],[LoanID]],Table1[G-L ID],Table1[ManagerCode],-99)</f>
        <v>103</v>
      </c>
      <c r="T10065"/>
    </row>
    <row r="10066" spans="1:20" x14ac:dyDescent="0.25">
      <c r="A10066">
        <v>20191231</v>
      </c>
      <c r="B10066">
        <v>2019</v>
      </c>
      <c r="C10066">
        <v>12</v>
      </c>
      <c r="D10066">
        <v>1</v>
      </c>
      <c r="E10066">
        <v>12450</v>
      </c>
      <c r="F10066">
        <v>119133.52</v>
      </c>
      <c r="G10066">
        <v>0</v>
      </c>
      <c r="H10066">
        <v>0</v>
      </c>
      <c r="I10066">
        <v>0</v>
      </c>
      <c r="J10066">
        <v>0</v>
      </c>
      <c r="K10066">
        <v>17143837.93</v>
      </c>
      <c r="L10066">
        <v>17143837.93</v>
      </c>
      <c r="M10066">
        <v>0</v>
      </c>
      <c r="N10066">
        <v>17143837.93</v>
      </c>
      <c r="O10066">
        <v>0</v>
      </c>
      <c r="P10066">
        <v>17143837.93</v>
      </c>
      <c r="Q10066">
        <v>0</v>
      </c>
      <c r="R10066" s="14">
        <f>_xlfn.XLOOKUP(Table2[[#This Row],[LoanID]],Table1[G-L ID],Table1[ManagerCode],-99)</f>
        <v>183</v>
      </c>
      <c r="T10066"/>
    </row>
    <row r="10067" spans="1:20" x14ac:dyDescent="0.25">
      <c r="A10067">
        <v>20191231</v>
      </c>
      <c r="B10067">
        <v>2019</v>
      </c>
      <c r="C10067">
        <v>12</v>
      </c>
      <c r="D10067">
        <v>1</v>
      </c>
      <c r="E10067">
        <v>12460</v>
      </c>
      <c r="F10067">
        <v>42250</v>
      </c>
      <c r="G10067">
        <v>47976.38</v>
      </c>
      <c r="H10067">
        <v>0</v>
      </c>
      <c r="I10067">
        <v>0</v>
      </c>
      <c r="J10067">
        <v>0</v>
      </c>
      <c r="K10067">
        <v>0</v>
      </c>
      <c r="L10067">
        <v>9595276.1199999992</v>
      </c>
      <c r="M10067">
        <v>9643252.5</v>
      </c>
      <c r="N10067">
        <v>9595276.1199999992</v>
      </c>
      <c r="O10067">
        <v>9643252.5</v>
      </c>
      <c r="P10067">
        <v>9595276.1199999992</v>
      </c>
      <c r="Q10067">
        <v>9643252.5</v>
      </c>
      <c r="R10067" s="14">
        <f>_xlfn.XLOOKUP(Table2[[#This Row],[LoanID]],Table1[G-L ID],Table1[ManagerCode],-99)</f>
        <v>183</v>
      </c>
      <c r="T10067"/>
    </row>
    <row r="10068" spans="1:20" x14ac:dyDescent="0.25">
      <c r="A10068">
        <v>20191231</v>
      </c>
      <c r="B10068">
        <v>2019</v>
      </c>
      <c r="C10068">
        <v>12</v>
      </c>
      <c r="D10068">
        <v>1</v>
      </c>
      <c r="E10068">
        <v>12470</v>
      </c>
      <c r="F10068">
        <v>262444.38</v>
      </c>
      <c r="G10068">
        <v>0</v>
      </c>
      <c r="H10068">
        <v>0</v>
      </c>
      <c r="I10068">
        <v>0</v>
      </c>
      <c r="J10068">
        <v>0</v>
      </c>
      <c r="K10068">
        <v>0</v>
      </c>
      <c r="L10068">
        <v>115000000</v>
      </c>
      <c r="M10068">
        <v>115000000</v>
      </c>
      <c r="N10068">
        <v>46000000</v>
      </c>
      <c r="O10068">
        <v>46000000</v>
      </c>
      <c r="P10068">
        <v>115000000</v>
      </c>
      <c r="Q10068">
        <v>115000000</v>
      </c>
      <c r="R10068" s="14">
        <f>_xlfn.XLOOKUP(Table2[[#This Row],[LoanID]],Table1[G-L ID],Table1[ManagerCode],-99)</f>
        <v>183</v>
      </c>
      <c r="T10068"/>
    </row>
    <row r="10069" spans="1:20" x14ac:dyDescent="0.25">
      <c r="A10069">
        <v>20191231</v>
      </c>
      <c r="B10069">
        <v>2019</v>
      </c>
      <c r="C10069">
        <v>12</v>
      </c>
      <c r="D10069">
        <v>1</v>
      </c>
      <c r="E10069">
        <v>12490</v>
      </c>
      <c r="F10069">
        <v>123295.18</v>
      </c>
      <c r="G10069">
        <v>0</v>
      </c>
      <c r="H10069">
        <v>0</v>
      </c>
      <c r="I10069">
        <v>0</v>
      </c>
      <c r="J10069">
        <v>0</v>
      </c>
      <c r="K10069">
        <v>0</v>
      </c>
      <c r="L10069">
        <v>50200000</v>
      </c>
      <c r="M10069">
        <v>50200000</v>
      </c>
      <c r="N10069">
        <v>19600000</v>
      </c>
      <c r="O10069">
        <v>19600000</v>
      </c>
      <c r="P10069">
        <v>50200000</v>
      </c>
      <c r="Q10069">
        <v>50200000</v>
      </c>
      <c r="R10069" s="14">
        <f>_xlfn.XLOOKUP(Table2[[#This Row],[LoanID]],Table1[G-L ID],Table1[ManagerCode],-99)</f>
        <v>183</v>
      </c>
      <c r="T10069"/>
    </row>
    <row r="10070" spans="1:20" x14ac:dyDescent="0.25">
      <c r="A10070">
        <v>20191231</v>
      </c>
      <c r="B10070">
        <v>2019</v>
      </c>
      <c r="C10070">
        <v>12</v>
      </c>
      <c r="D10070">
        <v>1</v>
      </c>
      <c r="E10070">
        <v>12520</v>
      </c>
      <c r="F10070">
        <v>178678.28</v>
      </c>
      <c r="G10070">
        <v>0</v>
      </c>
      <c r="H10070">
        <v>0</v>
      </c>
      <c r="I10070">
        <v>0</v>
      </c>
      <c r="J10070">
        <v>0</v>
      </c>
      <c r="K10070">
        <v>0</v>
      </c>
      <c r="L10070">
        <v>48569301.140000001</v>
      </c>
      <c r="M10070">
        <v>48569301.140000001</v>
      </c>
      <c r="N10070">
        <v>23819301.140000001</v>
      </c>
      <c r="O10070">
        <v>23819301.140000001</v>
      </c>
      <c r="P10070">
        <v>48569301.140000001</v>
      </c>
      <c r="Q10070">
        <v>48569301.140000001</v>
      </c>
      <c r="R10070" s="14">
        <f>_xlfn.XLOOKUP(Table2[[#This Row],[LoanID]],Table1[G-L ID],Table1[ManagerCode],-99)</f>
        <v>183</v>
      </c>
      <c r="T10070"/>
    </row>
    <row r="10071" spans="1:20" x14ac:dyDescent="0.25">
      <c r="A10071">
        <v>20191231</v>
      </c>
      <c r="B10071">
        <v>2019</v>
      </c>
      <c r="C10071">
        <v>12</v>
      </c>
      <c r="D10071">
        <v>1</v>
      </c>
      <c r="E10071">
        <v>12650</v>
      </c>
      <c r="F10071">
        <v>354326.29</v>
      </c>
      <c r="G10071">
        <v>0</v>
      </c>
      <c r="H10071">
        <v>0</v>
      </c>
      <c r="I10071">
        <v>0</v>
      </c>
      <c r="J10071">
        <v>0</v>
      </c>
      <c r="K10071">
        <v>0</v>
      </c>
      <c r="L10071">
        <v>123200000</v>
      </c>
      <c r="M10071">
        <v>123200000</v>
      </c>
      <c r="N10071">
        <v>49280000</v>
      </c>
      <c r="O10071">
        <v>49280000</v>
      </c>
      <c r="P10071">
        <v>123200000</v>
      </c>
      <c r="Q10071">
        <v>123200000</v>
      </c>
      <c r="R10071" s="14">
        <f>_xlfn.XLOOKUP(Table2[[#This Row],[LoanID]],Table1[G-L ID],Table1[ManagerCode],-99)</f>
        <v>183</v>
      </c>
      <c r="T10071"/>
    </row>
    <row r="10072" spans="1:20" x14ac:dyDescent="0.25">
      <c r="A10072">
        <v>20191231</v>
      </c>
      <c r="B10072">
        <v>2019</v>
      </c>
      <c r="C10072">
        <v>12</v>
      </c>
      <c r="D10072">
        <v>1</v>
      </c>
      <c r="E10072">
        <v>12670</v>
      </c>
      <c r="F10072">
        <v>82669.350000000006</v>
      </c>
      <c r="G10072">
        <v>0</v>
      </c>
      <c r="H10072">
        <v>0</v>
      </c>
      <c r="I10072">
        <v>0</v>
      </c>
      <c r="J10072">
        <v>0</v>
      </c>
      <c r="K10072">
        <v>0</v>
      </c>
      <c r="L10072">
        <v>15500000</v>
      </c>
      <c r="M10072">
        <v>15500000</v>
      </c>
      <c r="N10072">
        <v>15500000</v>
      </c>
      <c r="O10072">
        <v>15500000</v>
      </c>
      <c r="P10072">
        <v>15500000</v>
      </c>
      <c r="Q10072">
        <v>15500000</v>
      </c>
      <c r="R10072" s="14">
        <f>_xlfn.XLOOKUP(Table2[[#This Row],[LoanID]],Table1[G-L ID],Table1[ManagerCode],-99)</f>
        <v>183</v>
      </c>
      <c r="T10072"/>
    </row>
    <row r="10073" spans="1:20" x14ac:dyDescent="0.25">
      <c r="A10073">
        <v>20191231</v>
      </c>
      <c r="B10073">
        <v>2019</v>
      </c>
      <c r="C10073">
        <v>12</v>
      </c>
      <c r="D10073">
        <v>1</v>
      </c>
      <c r="E10073">
        <v>12720</v>
      </c>
      <c r="F10073">
        <v>519244.93</v>
      </c>
      <c r="G10073">
        <v>0</v>
      </c>
      <c r="H10073">
        <v>0</v>
      </c>
      <c r="I10073">
        <v>0</v>
      </c>
      <c r="J10073">
        <v>-1554751.62</v>
      </c>
      <c r="K10073">
        <v>0</v>
      </c>
      <c r="L10073">
        <v>200144477.80000001</v>
      </c>
      <c r="M10073">
        <v>201699229.40000001</v>
      </c>
      <c r="N10073">
        <v>98263477.799999997</v>
      </c>
      <c r="O10073">
        <v>99818229.400000006</v>
      </c>
      <c r="P10073">
        <v>200144477.80000001</v>
      </c>
      <c r="Q10073">
        <v>201699229.40000001</v>
      </c>
      <c r="R10073" s="14">
        <f>_xlfn.XLOOKUP(Table2[[#This Row],[LoanID]],Table1[G-L ID],Table1[ManagerCode],-99)</f>
        <v>183</v>
      </c>
      <c r="T10073"/>
    </row>
    <row r="10074" spans="1:20" x14ac:dyDescent="0.25">
      <c r="A10074">
        <v>20191231</v>
      </c>
      <c r="B10074">
        <v>2019</v>
      </c>
      <c r="C10074">
        <v>12</v>
      </c>
      <c r="D10074">
        <v>1</v>
      </c>
      <c r="E10074">
        <v>12730</v>
      </c>
      <c r="F10074">
        <v>83116.070000000007</v>
      </c>
      <c r="G10074">
        <v>0</v>
      </c>
      <c r="H10074">
        <v>0</v>
      </c>
      <c r="I10074">
        <v>0</v>
      </c>
      <c r="J10074">
        <v>0</v>
      </c>
      <c r="K10074">
        <v>0</v>
      </c>
      <c r="L10074">
        <v>38460000</v>
      </c>
      <c r="M10074">
        <v>38460000</v>
      </c>
      <c r="N10074">
        <v>13460000</v>
      </c>
      <c r="O10074">
        <v>13460000</v>
      </c>
      <c r="P10074">
        <v>38460000</v>
      </c>
      <c r="Q10074">
        <v>38460000</v>
      </c>
      <c r="R10074" s="14">
        <f>_xlfn.XLOOKUP(Table2[[#This Row],[LoanID]],Table1[G-L ID],Table1[ManagerCode],-99)</f>
        <v>183</v>
      </c>
      <c r="T10074"/>
    </row>
    <row r="10075" spans="1:20" x14ac:dyDescent="0.25">
      <c r="A10075">
        <v>20191231</v>
      </c>
      <c r="B10075">
        <v>2019</v>
      </c>
      <c r="C10075">
        <v>12</v>
      </c>
      <c r="D10075">
        <v>1</v>
      </c>
      <c r="E10075">
        <v>12740</v>
      </c>
      <c r="F10075">
        <v>162394.45000000001</v>
      </c>
      <c r="G10075">
        <v>77931.88</v>
      </c>
      <c r="H10075">
        <v>0</v>
      </c>
      <c r="I10075">
        <v>0</v>
      </c>
      <c r="J10075">
        <v>-705163.37</v>
      </c>
      <c r="K10075">
        <v>0</v>
      </c>
      <c r="L10075">
        <v>32720099.530000001</v>
      </c>
      <c r="M10075">
        <v>33503194.780000001</v>
      </c>
      <c r="N10075">
        <v>32720099.530000001</v>
      </c>
      <c r="O10075">
        <v>33503194.780000001</v>
      </c>
      <c r="P10075">
        <v>32720099.530000001</v>
      </c>
      <c r="Q10075">
        <v>33503194.780000001</v>
      </c>
      <c r="R10075" s="14">
        <f>_xlfn.XLOOKUP(Table2[[#This Row],[LoanID]],Table1[G-L ID],Table1[ManagerCode],-99)</f>
        <v>183</v>
      </c>
      <c r="T10075"/>
    </row>
    <row r="10076" spans="1:20" x14ac:dyDescent="0.25">
      <c r="A10076">
        <v>20191231</v>
      </c>
      <c r="B10076">
        <v>2019</v>
      </c>
      <c r="C10076">
        <v>12</v>
      </c>
      <c r="D10076">
        <v>1</v>
      </c>
      <c r="E10076">
        <v>13000</v>
      </c>
      <c r="F10076">
        <v>167922.04</v>
      </c>
      <c r="G10076">
        <v>0</v>
      </c>
      <c r="H10076">
        <v>0</v>
      </c>
      <c r="I10076">
        <v>0</v>
      </c>
      <c r="J10076">
        <v>0</v>
      </c>
      <c r="K10076">
        <v>0</v>
      </c>
      <c r="L10076">
        <v>47808023</v>
      </c>
      <c r="M10076">
        <v>47857780</v>
      </c>
      <c r="N10076">
        <v>47808023</v>
      </c>
      <c r="O10076">
        <v>47857780</v>
      </c>
      <c r="P10076">
        <v>50376611.859999999</v>
      </c>
      <c r="Q10076">
        <v>50376611.859999999</v>
      </c>
      <c r="R10076" s="14">
        <f>_xlfn.XLOOKUP(Table2[[#This Row],[LoanID]],Table1[G-L ID],Table1[ManagerCode],-99)</f>
        <v>103</v>
      </c>
      <c r="T10076"/>
    </row>
    <row r="10077" spans="1:20" x14ac:dyDescent="0.25">
      <c r="A10077">
        <v>20191231</v>
      </c>
      <c r="B10077">
        <v>2019</v>
      </c>
      <c r="C10077">
        <v>12</v>
      </c>
      <c r="D10077">
        <v>1</v>
      </c>
      <c r="E10077">
        <v>13010</v>
      </c>
      <c r="F10077">
        <v>1050000</v>
      </c>
      <c r="G10077">
        <v>350000</v>
      </c>
      <c r="H10077">
        <v>0</v>
      </c>
      <c r="I10077">
        <v>0</v>
      </c>
      <c r="J10077">
        <v>0</v>
      </c>
      <c r="K10077">
        <v>0</v>
      </c>
      <c r="L10077">
        <v>201250200</v>
      </c>
      <c r="M10077">
        <v>201600200</v>
      </c>
      <c r="N10077">
        <v>201250200</v>
      </c>
      <c r="O10077">
        <v>201600200</v>
      </c>
      <c r="P10077">
        <v>211750000</v>
      </c>
      <c r="Q10077">
        <v>212100000</v>
      </c>
      <c r="R10077" s="14">
        <f>_xlfn.XLOOKUP(Table2[[#This Row],[LoanID]],Table1[G-L ID],Table1[ManagerCode],-99)</f>
        <v>103</v>
      </c>
      <c r="T10077"/>
    </row>
    <row r="10078" spans="1:20" x14ac:dyDescent="0.25">
      <c r="A10078">
        <v>20191231</v>
      </c>
      <c r="B10078">
        <v>2019</v>
      </c>
      <c r="C10078">
        <v>12</v>
      </c>
      <c r="D10078">
        <v>1</v>
      </c>
      <c r="E10078">
        <v>13030</v>
      </c>
      <c r="F10078">
        <v>275403.5</v>
      </c>
      <c r="G10078">
        <v>0</v>
      </c>
      <c r="H10078">
        <v>0</v>
      </c>
      <c r="I10078">
        <v>0</v>
      </c>
      <c r="J10078">
        <v>0</v>
      </c>
      <c r="K10078">
        <v>0</v>
      </c>
      <c r="L10078">
        <v>114000000</v>
      </c>
      <c r="M10078">
        <v>114000000</v>
      </c>
      <c r="N10078">
        <v>51276576</v>
      </c>
      <c r="O10078">
        <v>51276576</v>
      </c>
      <c r="P10078">
        <v>114000000</v>
      </c>
      <c r="Q10078">
        <v>114000000</v>
      </c>
      <c r="R10078" s="14">
        <f>_xlfn.XLOOKUP(Table2[[#This Row],[LoanID]],Table1[G-L ID],Table1[ManagerCode],-99)</f>
        <v>183</v>
      </c>
      <c r="T10078"/>
    </row>
    <row r="10079" spans="1:20" x14ac:dyDescent="0.25">
      <c r="A10079">
        <v>20191231</v>
      </c>
      <c r="B10079">
        <v>2019</v>
      </c>
      <c r="C10079">
        <v>12</v>
      </c>
      <c r="D10079">
        <v>1</v>
      </c>
      <c r="E10079">
        <v>13040</v>
      </c>
      <c r="F10079">
        <v>87352.12</v>
      </c>
      <c r="G10079">
        <v>0</v>
      </c>
      <c r="H10079">
        <v>0</v>
      </c>
      <c r="I10079">
        <v>0</v>
      </c>
      <c r="J10079">
        <v>0</v>
      </c>
      <c r="K10079">
        <v>0</v>
      </c>
      <c r="L10079">
        <v>36263333.409999996</v>
      </c>
      <c r="M10079">
        <v>36263333.409999996</v>
      </c>
      <c r="N10079">
        <v>16090946.41</v>
      </c>
      <c r="O10079">
        <v>16090946.41</v>
      </c>
      <c r="P10079">
        <v>36263333.409999996</v>
      </c>
      <c r="Q10079">
        <v>36263333.409999996</v>
      </c>
      <c r="R10079" s="14">
        <f>_xlfn.XLOOKUP(Table2[[#This Row],[LoanID]],Table1[G-L ID],Table1[ManagerCode],-99)</f>
        <v>183</v>
      </c>
      <c r="T10079"/>
    </row>
    <row r="10080" spans="1:20" x14ac:dyDescent="0.25">
      <c r="A10080">
        <v>20191231</v>
      </c>
      <c r="B10080">
        <v>2019</v>
      </c>
      <c r="C10080">
        <v>12</v>
      </c>
      <c r="D10080">
        <v>1</v>
      </c>
      <c r="E10080">
        <v>13050</v>
      </c>
      <c r="F10080">
        <v>65528.88</v>
      </c>
      <c r="G10080">
        <v>0</v>
      </c>
      <c r="H10080">
        <v>0</v>
      </c>
      <c r="I10080">
        <v>0</v>
      </c>
      <c r="J10080">
        <v>0</v>
      </c>
      <c r="K10080">
        <v>0</v>
      </c>
      <c r="L10080">
        <v>42575000</v>
      </c>
      <c r="M10080">
        <v>42575000</v>
      </c>
      <c r="N10080">
        <v>14901424</v>
      </c>
      <c r="O10080">
        <v>14901424</v>
      </c>
      <c r="P10080">
        <v>42575000</v>
      </c>
      <c r="Q10080">
        <v>42575000</v>
      </c>
      <c r="R10080" s="14">
        <f>_xlfn.XLOOKUP(Table2[[#This Row],[LoanID]],Table1[G-L ID],Table1[ManagerCode],-99)</f>
        <v>183</v>
      </c>
      <c r="T10080"/>
    </row>
    <row r="10081" spans="1:20" x14ac:dyDescent="0.25">
      <c r="A10081">
        <v>20191231</v>
      </c>
      <c r="B10081">
        <v>2019</v>
      </c>
      <c r="C10081">
        <v>12</v>
      </c>
      <c r="D10081">
        <v>1</v>
      </c>
      <c r="E10081">
        <v>13060</v>
      </c>
      <c r="F10081">
        <v>82968.899999999994</v>
      </c>
      <c r="G10081">
        <v>0</v>
      </c>
      <c r="H10081">
        <v>0</v>
      </c>
      <c r="I10081">
        <v>0</v>
      </c>
      <c r="J10081">
        <v>0</v>
      </c>
      <c r="K10081">
        <v>0</v>
      </c>
      <c r="L10081">
        <v>45095582.140000001</v>
      </c>
      <c r="M10081">
        <v>45095582.140000001</v>
      </c>
      <c r="N10081">
        <v>18846725.98</v>
      </c>
      <c r="O10081">
        <v>18846725.98</v>
      </c>
      <c r="P10081">
        <v>45095582.140000001</v>
      </c>
      <c r="Q10081">
        <v>45095582.140000001</v>
      </c>
      <c r="R10081" s="14">
        <f>_xlfn.XLOOKUP(Table2[[#This Row],[LoanID]],Table1[G-L ID],Table1[ManagerCode],-99)</f>
        <v>183</v>
      </c>
      <c r="T10081"/>
    </row>
    <row r="10082" spans="1:20" x14ac:dyDescent="0.25">
      <c r="A10082">
        <v>20191231</v>
      </c>
      <c r="B10082">
        <v>2019</v>
      </c>
      <c r="C10082">
        <v>12</v>
      </c>
      <c r="D10082">
        <v>1</v>
      </c>
      <c r="E10082">
        <v>13070</v>
      </c>
      <c r="F10082">
        <v>393344.01</v>
      </c>
      <c r="G10082">
        <v>0</v>
      </c>
      <c r="H10082">
        <v>0</v>
      </c>
      <c r="I10082">
        <v>0</v>
      </c>
      <c r="J10082">
        <v>-571255</v>
      </c>
      <c r="K10082">
        <v>0</v>
      </c>
      <c r="L10082">
        <v>92635782</v>
      </c>
      <c r="M10082">
        <v>93207037</v>
      </c>
      <c r="N10082">
        <v>52635782</v>
      </c>
      <c r="O10082">
        <v>53207037</v>
      </c>
      <c r="P10082">
        <v>92635782</v>
      </c>
      <c r="Q10082">
        <v>93207037</v>
      </c>
      <c r="R10082" s="14">
        <f>_xlfn.XLOOKUP(Table2[[#This Row],[LoanID]],Table1[G-L ID],Table1[ManagerCode],-99)</f>
        <v>183</v>
      </c>
      <c r="T10082"/>
    </row>
    <row r="10083" spans="1:20" x14ac:dyDescent="0.25">
      <c r="A10083">
        <v>20191231</v>
      </c>
      <c r="B10083">
        <v>2019</v>
      </c>
      <c r="C10083">
        <v>12</v>
      </c>
      <c r="D10083">
        <v>1</v>
      </c>
      <c r="E10083">
        <v>13080</v>
      </c>
      <c r="F10083">
        <v>106126.24</v>
      </c>
      <c r="G10083">
        <v>0</v>
      </c>
      <c r="H10083">
        <v>0</v>
      </c>
      <c r="I10083">
        <v>0</v>
      </c>
      <c r="J10083">
        <v>0</v>
      </c>
      <c r="K10083">
        <v>0</v>
      </c>
      <c r="L10083">
        <v>43000000</v>
      </c>
      <c r="M10083">
        <v>43000000</v>
      </c>
      <c r="N10083">
        <v>21500000</v>
      </c>
      <c r="O10083">
        <v>21500000</v>
      </c>
      <c r="P10083">
        <v>43000000</v>
      </c>
      <c r="Q10083">
        <v>43000000</v>
      </c>
      <c r="R10083" s="14">
        <f>_xlfn.XLOOKUP(Table2[[#This Row],[LoanID]],Table1[G-L ID],Table1[ManagerCode],-99)</f>
        <v>183</v>
      </c>
      <c r="T10083"/>
    </row>
    <row r="10084" spans="1:20" x14ac:dyDescent="0.25">
      <c r="A10084">
        <v>20191231</v>
      </c>
      <c r="B10084">
        <v>2019</v>
      </c>
      <c r="C10084">
        <v>12</v>
      </c>
      <c r="D10084">
        <v>1</v>
      </c>
      <c r="E10084">
        <v>13090</v>
      </c>
      <c r="F10084">
        <v>103987.78</v>
      </c>
      <c r="G10084">
        <v>0</v>
      </c>
      <c r="H10084">
        <v>0</v>
      </c>
      <c r="I10084">
        <v>0</v>
      </c>
      <c r="J10084">
        <v>0</v>
      </c>
      <c r="K10084">
        <v>0</v>
      </c>
      <c r="L10084">
        <v>20000000</v>
      </c>
      <c r="M10084">
        <v>20000000</v>
      </c>
      <c r="N10084">
        <v>20000000</v>
      </c>
      <c r="O10084">
        <v>20000000</v>
      </c>
      <c r="P10084">
        <v>20000000</v>
      </c>
      <c r="Q10084">
        <v>20000000</v>
      </c>
      <c r="R10084" s="14">
        <f>_xlfn.XLOOKUP(Table2[[#This Row],[LoanID]],Table1[G-L ID],Table1[ManagerCode],-99)</f>
        <v>183</v>
      </c>
      <c r="T10084"/>
    </row>
    <row r="10085" spans="1:20" x14ac:dyDescent="0.25">
      <c r="A10085">
        <v>20191231</v>
      </c>
      <c r="B10085">
        <v>2019</v>
      </c>
      <c r="C10085">
        <v>12</v>
      </c>
      <c r="D10085">
        <v>1</v>
      </c>
      <c r="E10085">
        <v>13100</v>
      </c>
      <c r="F10085">
        <v>57281.91</v>
      </c>
      <c r="G10085">
        <v>0</v>
      </c>
      <c r="H10085">
        <v>0</v>
      </c>
      <c r="I10085">
        <v>0</v>
      </c>
      <c r="J10085">
        <v>0</v>
      </c>
      <c r="K10085">
        <v>3433528.7</v>
      </c>
      <c r="L10085">
        <v>31222981.149999999</v>
      </c>
      <c r="M10085">
        <v>27872977.829999998</v>
      </c>
      <c r="N10085">
        <v>12814163.92</v>
      </c>
      <c r="O10085">
        <v>9380635.2200000007</v>
      </c>
      <c r="P10085">
        <v>31222981.149999999</v>
      </c>
      <c r="Q10085">
        <v>27872977.829999998</v>
      </c>
      <c r="R10085" s="14">
        <f>_xlfn.XLOOKUP(Table2[[#This Row],[LoanID]],Table1[G-L ID],Table1[ManagerCode],-99)</f>
        <v>183</v>
      </c>
      <c r="T10085"/>
    </row>
    <row r="10086" spans="1:20" x14ac:dyDescent="0.25">
      <c r="A10086">
        <v>20191231</v>
      </c>
      <c r="B10086">
        <v>2019</v>
      </c>
      <c r="C10086">
        <v>12</v>
      </c>
      <c r="D10086">
        <v>1</v>
      </c>
      <c r="E10086">
        <v>13110</v>
      </c>
      <c r="F10086">
        <v>88881.27</v>
      </c>
      <c r="G10086">
        <v>0</v>
      </c>
      <c r="H10086">
        <v>0</v>
      </c>
      <c r="I10086">
        <v>0</v>
      </c>
      <c r="J10086">
        <v>-28584.959999999999</v>
      </c>
      <c r="K10086">
        <v>0</v>
      </c>
      <c r="L10086">
        <v>46074615.280000001</v>
      </c>
      <c r="M10086">
        <v>46103200.240000002</v>
      </c>
      <c r="N10086">
        <v>19798365.280000001</v>
      </c>
      <c r="O10086">
        <v>19826950.239999998</v>
      </c>
      <c r="P10086">
        <v>46074615.280000001</v>
      </c>
      <c r="Q10086">
        <v>46103200.240000002</v>
      </c>
      <c r="R10086" s="14">
        <f>_xlfn.XLOOKUP(Table2[[#This Row],[LoanID]],Table1[G-L ID],Table1[ManagerCode],-99)</f>
        <v>183</v>
      </c>
      <c r="T10086"/>
    </row>
    <row r="10087" spans="1:20" x14ac:dyDescent="0.25">
      <c r="A10087">
        <v>20191231</v>
      </c>
      <c r="B10087">
        <v>2019</v>
      </c>
      <c r="C10087">
        <v>12</v>
      </c>
      <c r="D10087">
        <v>1</v>
      </c>
      <c r="E10087">
        <v>13120</v>
      </c>
      <c r="F10087">
        <v>57061.56</v>
      </c>
      <c r="G10087">
        <v>0</v>
      </c>
      <c r="H10087">
        <v>0</v>
      </c>
      <c r="I10087">
        <v>0</v>
      </c>
      <c r="J10087">
        <v>0</v>
      </c>
      <c r="K10087">
        <v>0</v>
      </c>
      <c r="L10087">
        <v>27360000</v>
      </c>
      <c r="M10087">
        <v>27360000</v>
      </c>
      <c r="N10087">
        <v>9576000</v>
      </c>
      <c r="O10087">
        <v>9576000</v>
      </c>
      <c r="P10087">
        <v>27360000</v>
      </c>
      <c r="Q10087">
        <v>27360000</v>
      </c>
      <c r="R10087" s="14">
        <f>_xlfn.XLOOKUP(Table2[[#This Row],[LoanID]],Table1[G-L ID],Table1[ManagerCode],-99)</f>
        <v>183</v>
      </c>
      <c r="T10087"/>
    </row>
    <row r="10088" spans="1:20" x14ac:dyDescent="0.25">
      <c r="A10088">
        <v>20191231</v>
      </c>
      <c r="B10088">
        <v>2019</v>
      </c>
      <c r="C10088">
        <v>12</v>
      </c>
      <c r="D10088">
        <v>1</v>
      </c>
      <c r="E10088">
        <v>13130</v>
      </c>
      <c r="F10088">
        <v>398786.2</v>
      </c>
      <c r="G10088">
        <v>0</v>
      </c>
      <c r="H10088">
        <v>0</v>
      </c>
      <c r="I10088">
        <v>0</v>
      </c>
      <c r="J10088">
        <v>0</v>
      </c>
      <c r="K10088">
        <v>0</v>
      </c>
      <c r="L10088">
        <v>199592738.09999999</v>
      </c>
      <c r="M10088">
        <v>199592738.09999999</v>
      </c>
      <c r="N10088">
        <v>99592738.099999994</v>
      </c>
      <c r="O10088">
        <v>99592738.099999994</v>
      </c>
      <c r="P10088">
        <v>199592738.09999999</v>
      </c>
      <c r="Q10088">
        <v>199592738.09999999</v>
      </c>
      <c r="R10088" s="14">
        <f>_xlfn.XLOOKUP(Table2[[#This Row],[LoanID]],Table1[G-L ID],Table1[ManagerCode],-99)</f>
        <v>183</v>
      </c>
      <c r="T10088"/>
    </row>
    <row r="10089" spans="1:20" x14ac:dyDescent="0.25">
      <c r="A10089">
        <v>20191231</v>
      </c>
      <c r="B10089">
        <v>2019</v>
      </c>
      <c r="C10089">
        <v>12</v>
      </c>
      <c r="D10089">
        <v>1</v>
      </c>
      <c r="E10089">
        <v>13140</v>
      </c>
      <c r="F10089">
        <v>218558.05</v>
      </c>
      <c r="G10089">
        <v>0</v>
      </c>
      <c r="H10089">
        <v>0</v>
      </c>
      <c r="I10089">
        <v>0</v>
      </c>
      <c r="J10089">
        <v>-273189.03999999998</v>
      </c>
      <c r="K10089">
        <v>0</v>
      </c>
      <c r="L10089">
        <v>141405155.59999999</v>
      </c>
      <c r="M10089">
        <v>141678344.69999999</v>
      </c>
      <c r="N10089">
        <v>49707485.280000001</v>
      </c>
      <c r="O10089">
        <v>49980674.380000003</v>
      </c>
      <c r="P10089">
        <v>141405155.59999999</v>
      </c>
      <c r="Q10089">
        <v>141678344.69999999</v>
      </c>
      <c r="R10089" s="14">
        <f>_xlfn.XLOOKUP(Table2[[#This Row],[LoanID]],Table1[G-L ID],Table1[ManagerCode],-99)</f>
        <v>183</v>
      </c>
      <c r="T10089"/>
    </row>
    <row r="10090" spans="1:20" x14ac:dyDescent="0.25">
      <c r="A10090">
        <v>20191231</v>
      </c>
      <c r="B10090">
        <v>2019</v>
      </c>
      <c r="C10090">
        <v>12</v>
      </c>
      <c r="D10090">
        <v>1</v>
      </c>
      <c r="E10090">
        <v>13150</v>
      </c>
      <c r="F10090">
        <v>139461.23000000001</v>
      </c>
      <c r="G10090">
        <v>0</v>
      </c>
      <c r="H10090">
        <v>0</v>
      </c>
      <c r="I10090">
        <v>0</v>
      </c>
      <c r="J10090">
        <v>0</v>
      </c>
      <c r="K10090">
        <v>0</v>
      </c>
      <c r="L10090">
        <v>87353951.189999998</v>
      </c>
      <c r="M10090">
        <v>87353951.189999998</v>
      </c>
      <c r="N10090">
        <v>31549758.23</v>
      </c>
      <c r="O10090">
        <v>31549758.23</v>
      </c>
      <c r="P10090">
        <v>87353951.189999998</v>
      </c>
      <c r="Q10090">
        <v>87353951.189999998</v>
      </c>
      <c r="R10090" s="14">
        <f>_xlfn.XLOOKUP(Table2[[#This Row],[LoanID]],Table1[G-L ID],Table1[ManagerCode],-99)</f>
        <v>183</v>
      </c>
      <c r="T10090"/>
    </row>
    <row r="10091" spans="1:20" x14ac:dyDescent="0.25">
      <c r="A10091">
        <v>20191231</v>
      </c>
      <c r="B10091">
        <v>2019</v>
      </c>
      <c r="C10091">
        <v>12</v>
      </c>
      <c r="D10091">
        <v>1</v>
      </c>
      <c r="E10091">
        <v>13160</v>
      </c>
      <c r="F10091">
        <v>123642.41</v>
      </c>
      <c r="G10091">
        <v>0</v>
      </c>
      <c r="H10091">
        <v>0</v>
      </c>
      <c r="I10091">
        <v>0</v>
      </c>
      <c r="J10091">
        <v>0</v>
      </c>
      <c r="K10091">
        <v>0</v>
      </c>
      <c r="L10091">
        <v>41900000</v>
      </c>
      <c r="M10091">
        <v>41900000</v>
      </c>
      <c r="N10091">
        <v>21854858</v>
      </c>
      <c r="O10091">
        <v>21854858</v>
      </c>
      <c r="P10091">
        <v>41900000</v>
      </c>
      <c r="Q10091">
        <v>41900000</v>
      </c>
      <c r="R10091" s="14">
        <f>_xlfn.XLOOKUP(Table2[[#This Row],[LoanID]],Table1[G-L ID],Table1[ManagerCode],-99)</f>
        <v>183</v>
      </c>
      <c r="T10091"/>
    </row>
    <row r="10092" spans="1:20" x14ac:dyDescent="0.25">
      <c r="A10092">
        <v>20191231</v>
      </c>
      <c r="B10092">
        <v>2019</v>
      </c>
      <c r="C10092">
        <v>12</v>
      </c>
      <c r="D10092">
        <v>1</v>
      </c>
      <c r="E10092">
        <v>13170</v>
      </c>
      <c r="F10092">
        <v>119048.78</v>
      </c>
      <c r="G10092">
        <v>0</v>
      </c>
      <c r="H10092">
        <v>0</v>
      </c>
      <c r="I10092">
        <v>0</v>
      </c>
      <c r="J10092">
        <v>0</v>
      </c>
      <c r="K10092">
        <v>0</v>
      </c>
      <c r="L10092">
        <v>50400000</v>
      </c>
      <c r="M10092">
        <v>50400000</v>
      </c>
      <c r="N10092">
        <v>17600000</v>
      </c>
      <c r="O10092">
        <v>17600000</v>
      </c>
      <c r="P10092">
        <v>50400000</v>
      </c>
      <c r="Q10092">
        <v>50400000</v>
      </c>
      <c r="R10092" s="14">
        <f>_xlfn.XLOOKUP(Table2[[#This Row],[LoanID]],Table1[G-L ID],Table1[ManagerCode],-99)</f>
        <v>183</v>
      </c>
      <c r="T10092"/>
    </row>
    <row r="10093" spans="1:20" x14ac:dyDescent="0.25">
      <c r="A10093">
        <v>20191231</v>
      </c>
      <c r="B10093">
        <v>2019</v>
      </c>
      <c r="C10093">
        <v>12</v>
      </c>
      <c r="D10093">
        <v>1</v>
      </c>
      <c r="E10093">
        <v>13180</v>
      </c>
      <c r="F10093">
        <v>93859.62</v>
      </c>
      <c r="G10093">
        <v>0</v>
      </c>
      <c r="H10093">
        <v>0</v>
      </c>
      <c r="I10093">
        <v>0</v>
      </c>
      <c r="J10093">
        <v>0</v>
      </c>
      <c r="K10093">
        <v>0</v>
      </c>
      <c r="L10093">
        <v>39780000</v>
      </c>
      <c r="M10093">
        <v>39780000</v>
      </c>
      <c r="N10093">
        <v>15930000</v>
      </c>
      <c r="O10093">
        <v>15930000</v>
      </c>
      <c r="P10093">
        <v>39780000</v>
      </c>
      <c r="Q10093">
        <v>39780000</v>
      </c>
      <c r="R10093" s="14">
        <f>_xlfn.XLOOKUP(Table2[[#This Row],[LoanID]],Table1[G-L ID],Table1[ManagerCode],-99)</f>
        <v>183</v>
      </c>
      <c r="T10093"/>
    </row>
    <row r="10094" spans="1:20" x14ac:dyDescent="0.25">
      <c r="A10094">
        <v>20191231</v>
      </c>
      <c r="B10094">
        <v>2019</v>
      </c>
      <c r="C10094">
        <v>12</v>
      </c>
      <c r="D10094">
        <v>1</v>
      </c>
      <c r="E10094">
        <v>13190</v>
      </c>
      <c r="F10094">
        <v>68384.12</v>
      </c>
      <c r="G10094">
        <v>56296.9</v>
      </c>
      <c r="H10094">
        <v>0</v>
      </c>
      <c r="I10094">
        <v>0</v>
      </c>
      <c r="J10094">
        <v>-3300912.87</v>
      </c>
      <c r="K10094">
        <v>0</v>
      </c>
      <c r="L10094">
        <v>13097233.68</v>
      </c>
      <c r="M10094">
        <v>16454443.449999999</v>
      </c>
      <c r="N10094">
        <v>13097233.68</v>
      </c>
      <c r="O10094">
        <v>16454443.449999999</v>
      </c>
      <c r="P10094">
        <v>13097233.68</v>
      </c>
      <c r="Q10094">
        <v>16454443.449999999</v>
      </c>
      <c r="R10094" s="14">
        <f>_xlfn.XLOOKUP(Table2[[#This Row],[LoanID]],Table1[G-L ID],Table1[ManagerCode],-99)</f>
        <v>183</v>
      </c>
      <c r="T10094"/>
    </row>
    <row r="10095" spans="1:20" x14ac:dyDescent="0.25">
      <c r="A10095">
        <v>20191231</v>
      </c>
      <c r="B10095">
        <v>2019</v>
      </c>
      <c r="C10095">
        <v>12</v>
      </c>
      <c r="D10095">
        <v>1</v>
      </c>
      <c r="E10095">
        <v>13200</v>
      </c>
      <c r="F10095">
        <v>110042.74</v>
      </c>
      <c r="G10095">
        <v>68555.94</v>
      </c>
      <c r="H10095">
        <v>0</v>
      </c>
      <c r="I10095">
        <v>0</v>
      </c>
      <c r="J10095">
        <v>-1892589.12</v>
      </c>
      <c r="K10095">
        <v>0</v>
      </c>
      <c r="L10095">
        <v>20297216.030000001</v>
      </c>
      <c r="M10095">
        <v>22258361.09</v>
      </c>
      <c r="N10095">
        <v>20297216.030000001</v>
      </c>
      <c r="O10095">
        <v>22258361.09</v>
      </c>
      <c r="P10095">
        <v>20297216.030000001</v>
      </c>
      <c r="Q10095">
        <v>22258361.09</v>
      </c>
      <c r="R10095" s="14">
        <f>_xlfn.XLOOKUP(Table2[[#This Row],[LoanID]],Table1[G-L ID],Table1[ManagerCode],-99)</f>
        <v>183</v>
      </c>
      <c r="T10095"/>
    </row>
    <row r="10096" spans="1:20" x14ac:dyDescent="0.25">
      <c r="A10096">
        <v>20191231</v>
      </c>
      <c r="B10096">
        <v>2019</v>
      </c>
      <c r="C10096">
        <v>12</v>
      </c>
      <c r="D10096">
        <v>1</v>
      </c>
      <c r="E10096">
        <v>13210</v>
      </c>
      <c r="F10096">
        <v>0</v>
      </c>
      <c r="G10096">
        <v>175262.32</v>
      </c>
      <c r="H10096">
        <v>0</v>
      </c>
      <c r="I10096">
        <v>0</v>
      </c>
      <c r="J10096">
        <v>0</v>
      </c>
      <c r="K10096">
        <v>0</v>
      </c>
      <c r="L10096">
        <v>16351637.07</v>
      </c>
      <c r="M10096">
        <v>16526899.390000001</v>
      </c>
      <c r="N10096">
        <v>16351637.07</v>
      </c>
      <c r="O10096">
        <v>16526899.390000001</v>
      </c>
      <c r="P10096">
        <v>16351637.07</v>
      </c>
      <c r="Q10096">
        <v>16526899.390000001</v>
      </c>
      <c r="R10096" s="14">
        <f>_xlfn.XLOOKUP(Table2[[#This Row],[LoanID]],Table1[G-L ID],Table1[ManagerCode],-99)</f>
        <v>183</v>
      </c>
      <c r="T10096"/>
    </row>
    <row r="10097" spans="1:20" x14ac:dyDescent="0.25">
      <c r="A10097">
        <v>20191231</v>
      </c>
      <c r="B10097">
        <v>2019</v>
      </c>
      <c r="C10097">
        <v>12</v>
      </c>
      <c r="D10097">
        <v>1</v>
      </c>
      <c r="E10097">
        <v>13220</v>
      </c>
      <c r="F10097">
        <v>71024.59</v>
      </c>
      <c r="G10097">
        <v>-71024.59</v>
      </c>
      <c r="H10097">
        <v>91154.559999999998</v>
      </c>
      <c r="I10097">
        <v>0</v>
      </c>
      <c r="J10097">
        <v>0</v>
      </c>
      <c r="K10097">
        <v>9115455.6400000006</v>
      </c>
      <c r="L10097">
        <v>9278194.3000000007</v>
      </c>
      <c r="M10097">
        <v>0</v>
      </c>
      <c r="N10097">
        <v>9278194.3000000007</v>
      </c>
      <c r="O10097">
        <v>0</v>
      </c>
      <c r="P10097">
        <v>9186480.2300000004</v>
      </c>
      <c r="Q10097">
        <v>0</v>
      </c>
      <c r="R10097" s="14">
        <f>_xlfn.XLOOKUP(Table2[[#This Row],[LoanID]],Table1[G-L ID],Table1[ManagerCode],-99)</f>
        <v>219</v>
      </c>
      <c r="T10097"/>
    </row>
    <row r="10098" spans="1:20" x14ac:dyDescent="0.25">
      <c r="A10098">
        <v>20191231</v>
      </c>
      <c r="B10098">
        <v>2019</v>
      </c>
      <c r="C10098">
        <v>12</v>
      </c>
      <c r="D10098">
        <v>1</v>
      </c>
      <c r="E10098">
        <v>13230</v>
      </c>
      <c r="F10098">
        <v>70200</v>
      </c>
      <c r="G10098">
        <v>-43875</v>
      </c>
      <c r="H10098">
        <v>0</v>
      </c>
      <c r="I10098">
        <v>0</v>
      </c>
      <c r="J10098">
        <v>0</v>
      </c>
      <c r="K10098">
        <v>6500000</v>
      </c>
      <c r="L10098">
        <v>6543875</v>
      </c>
      <c r="M10098">
        <v>0</v>
      </c>
      <c r="N10098">
        <v>6543875</v>
      </c>
      <c r="O10098">
        <v>0</v>
      </c>
      <c r="P10098">
        <v>6543875</v>
      </c>
      <c r="Q10098">
        <v>0</v>
      </c>
      <c r="R10098" s="14">
        <f>_xlfn.XLOOKUP(Table2[[#This Row],[LoanID]],Table1[G-L ID],Table1[ManagerCode],-99)</f>
        <v>219</v>
      </c>
      <c r="T10098"/>
    </row>
    <row r="10099" spans="1:20" x14ac:dyDescent="0.25">
      <c r="A10099">
        <v>20191231</v>
      </c>
      <c r="B10099">
        <v>2019</v>
      </c>
      <c r="C10099">
        <v>12</v>
      </c>
      <c r="D10099">
        <v>1</v>
      </c>
      <c r="E10099">
        <v>13240</v>
      </c>
      <c r="F10099">
        <v>71949.89</v>
      </c>
      <c r="G10099">
        <v>470.37</v>
      </c>
      <c r="H10099">
        <v>0</v>
      </c>
      <c r="I10099">
        <v>0</v>
      </c>
      <c r="J10099">
        <v>0</v>
      </c>
      <c r="K10099">
        <v>0</v>
      </c>
      <c r="L10099">
        <v>7870797.1200000001</v>
      </c>
      <c r="M10099">
        <v>7871267.4900000002</v>
      </c>
      <c r="N10099">
        <v>7870797.1200000001</v>
      </c>
      <c r="O10099">
        <v>7871267.4900000002</v>
      </c>
      <c r="P10099">
        <v>7870797.1200000001</v>
      </c>
      <c r="Q10099">
        <v>7871267.4900000002</v>
      </c>
      <c r="R10099" s="14">
        <f>_xlfn.XLOOKUP(Table2[[#This Row],[LoanID]],Table1[G-L ID],Table1[ManagerCode],-99)</f>
        <v>219</v>
      </c>
      <c r="T10099"/>
    </row>
    <row r="10100" spans="1:20" x14ac:dyDescent="0.25">
      <c r="A10100">
        <v>20191231</v>
      </c>
      <c r="B10100">
        <v>2019</v>
      </c>
      <c r="C10100">
        <v>12</v>
      </c>
      <c r="D10100">
        <v>1</v>
      </c>
      <c r="E10100">
        <v>13260</v>
      </c>
      <c r="F10100">
        <v>171100</v>
      </c>
      <c r="G10100">
        <v>5457.78</v>
      </c>
      <c r="H10100">
        <v>0</v>
      </c>
      <c r="I10100">
        <v>0</v>
      </c>
      <c r="J10100">
        <v>0</v>
      </c>
      <c r="K10100">
        <v>0</v>
      </c>
      <c r="L10100">
        <v>20091253.329999998</v>
      </c>
      <c r="M10100">
        <v>20096711.109999999</v>
      </c>
      <c r="N10100">
        <v>20091253.329999998</v>
      </c>
      <c r="O10100">
        <v>20096711.109999999</v>
      </c>
      <c r="P10100">
        <v>20091253.329999998</v>
      </c>
      <c r="Q10100">
        <v>20096711.109999999</v>
      </c>
      <c r="R10100" s="14">
        <f>_xlfn.XLOOKUP(Table2[[#This Row],[LoanID]],Table1[G-L ID],Table1[ManagerCode],-99)</f>
        <v>219</v>
      </c>
      <c r="T10100"/>
    </row>
    <row r="10101" spans="1:20" x14ac:dyDescent="0.25">
      <c r="A10101">
        <v>20191231</v>
      </c>
      <c r="B10101">
        <v>2019</v>
      </c>
      <c r="C10101">
        <v>12</v>
      </c>
      <c r="D10101">
        <v>1</v>
      </c>
      <c r="E10101">
        <v>13270</v>
      </c>
      <c r="F10101">
        <v>140812.5</v>
      </c>
      <c r="G10101">
        <v>-44008.34</v>
      </c>
      <c r="H10101">
        <v>0</v>
      </c>
      <c r="I10101">
        <v>0</v>
      </c>
      <c r="J10101">
        <v>0</v>
      </c>
      <c r="K10101">
        <v>0</v>
      </c>
      <c r="L10101">
        <v>25141979.170000002</v>
      </c>
      <c r="M10101">
        <v>25097970.829999998</v>
      </c>
      <c r="N10101">
        <v>25141979.170000002</v>
      </c>
      <c r="O10101">
        <v>25097970.829999998</v>
      </c>
      <c r="P10101">
        <v>25141979.170000002</v>
      </c>
      <c r="Q10101">
        <v>25097970.829999998</v>
      </c>
      <c r="R10101" s="14">
        <f>_xlfn.XLOOKUP(Table2[[#This Row],[LoanID]],Table1[G-L ID],Table1[ManagerCode],-99)</f>
        <v>219</v>
      </c>
      <c r="T10101"/>
    </row>
    <row r="10102" spans="1:20" x14ac:dyDescent="0.25">
      <c r="A10102">
        <v>20191231</v>
      </c>
      <c r="B10102">
        <v>2019</v>
      </c>
      <c r="C10102">
        <v>12</v>
      </c>
      <c r="D10102">
        <v>1</v>
      </c>
      <c r="E10102">
        <v>13300</v>
      </c>
      <c r="F10102">
        <v>208333.33</v>
      </c>
      <c r="G10102">
        <v>6944.45</v>
      </c>
      <c r="H10102">
        <v>0</v>
      </c>
      <c r="I10102">
        <v>0</v>
      </c>
      <c r="J10102">
        <v>0</v>
      </c>
      <c r="K10102">
        <v>0</v>
      </c>
      <c r="L10102">
        <v>25208333.329999998</v>
      </c>
      <c r="M10102">
        <v>25215277.780000001</v>
      </c>
      <c r="N10102">
        <v>25208333.329999998</v>
      </c>
      <c r="O10102">
        <v>25215277.780000001</v>
      </c>
      <c r="P10102">
        <v>25208333.329999998</v>
      </c>
      <c r="Q10102">
        <v>25215277.780000001</v>
      </c>
      <c r="R10102" s="14">
        <f>_xlfn.XLOOKUP(Table2[[#This Row],[LoanID]],Table1[G-L ID],Table1[ManagerCode],-99)</f>
        <v>219</v>
      </c>
      <c r="T10102"/>
    </row>
    <row r="10103" spans="1:20" x14ac:dyDescent="0.25">
      <c r="A10103">
        <v>20191231</v>
      </c>
      <c r="B10103">
        <v>2019</v>
      </c>
      <c r="C10103">
        <v>12</v>
      </c>
      <c r="D10103">
        <v>1</v>
      </c>
      <c r="E10103">
        <v>13370</v>
      </c>
      <c r="F10103">
        <v>169343.16</v>
      </c>
      <c r="G10103">
        <v>0</v>
      </c>
      <c r="H10103">
        <v>0</v>
      </c>
      <c r="I10103">
        <v>0</v>
      </c>
      <c r="J10103">
        <v>-370058.62</v>
      </c>
      <c r="K10103">
        <v>0</v>
      </c>
      <c r="L10103">
        <v>44230767.200000003</v>
      </c>
      <c r="M10103">
        <v>44600825.82</v>
      </c>
      <c r="N10103">
        <v>44230767.200000003</v>
      </c>
      <c r="O10103">
        <v>44600825.82</v>
      </c>
      <c r="P10103">
        <v>44230767.200000003</v>
      </c>
      <c r="Q10103">
        <v>44600825.82</v>
      </c>
      <c r="R10103" s="14">
        <f>_xlfn.XLOOKUP(Table2[[#This Row],[LoanID]],Table1[G-L ID],Table1[ManagerCode],-99)</f>
        <v>183</v>
      </c>
      <c r="T10103"/>
    </row>
    <row r="10104" spans="1:20" x14ac:dyDescent="0.25">
      <c r="A10104">
        <v>20191231</v>
      </c>
      <c r="B10104">
        <v>2019</v>
      </c>
      <c r="C10104">
        <v>12</v>
      </c>
      <c r="D10104">
        <v>1</v>
      </c>
      <c r="E10104">
        <v>13380</v>
      </c>
      <c r="F10104">
        <v>60714.18</v>
      </c>
      <c r="G10104">
        <v>0</v>
      </c>
      <c r="H10104">
        <v>0</v>
      </c>
      <c r="I10104">
        <v>0</v>
      </c>
      <c r="J10104">
        <v>0</v>
      </c>
      <c r="K10104">
        <v>0</v>
      </c>
      <c r="L10104">
        <v>32000000</v>
      </c>
      <c r="M10104">
        <v>32000000</v>
      </c>
      <c r="N10104">
        <v>11200000</v>
      </c>
      <c r="O10104">
        <v>11200000</v>
      </c>
      <c r="P10104">
        <v>32000000</v>
      </c>
      <c r="Q10104">
        <v>32000000</v>
      </c>
      <c r="R10104" s="14">
        <f>_xlfn.XLOOKUP(Table2[[#This Row],[LoanID]],Table1[G-L ID],Table1[ManagerCode],-99)</f>
        <v>183</v>
      </c>
      <c r="T10104"/>
    </row>
    <row r="10105" spans="1:20" x14ac:dyDescent="0.25">
      <c r="A10105">
        <v>20191231</v>
      </c>
      <c r="B10105">
        <v>2019</v>
      </c>
      <c r="C10105">
        <v>12</v>
      </c>
      <c r="D10105">
        <v>1</v>
      </c>
      <c r="E10105">
        <v>13390</v>
      </c>
      <c r="F10105">
        <v>147217.37</v>
      </c>
      <c r="G10105">
        <v>0</v>
      </c>
      <c r="H10105">
        <v>0</v>
      </c>
      <c r="I10105">
        <v>0</v>
      </c>
      <c r="J10105">
        <v>0</v>
      </c>
      <c r="K10105">
        <v>0</v>
      </c>
      <c r="L10105">
        <v>48343461.420000002</v>
      </c>
      <c r="M10105">
        <v>48343461.420000002</v>
      </c>
      <c r="N10105">
        <v>19427384.420000002</v>
      </c>
      <c r="O10105">
        <v>19427384.420000002</v>
      </c>
      <c r="P10105">
        <v>48343461.420000002</v>
      </c>
      <c r="Q10105">
        <v>48343461.420000002</v>
      </c>
      <c r="R10105" s="14">
        <f>_xlfn.XLOOKUP(Table2[[#This Row],[LoanID]],Table1[G-L ID],Table1[ManagerCode],-99)</f>
        <v>183</v>
      </c>
      <c r="T10105"/>
    </row>
    <row r="10106" spans="1:20" x14ac:dyDescent="0.25">
      <c r="A10106">
        <v>20191231</v>
      </c>
      <c r="B10106">
        <v>2019</v>
      </c>
      <c r="C10106">
        <v>12</v>
      </c>
      <c r="D10106">
        <v>1</v>
      </c>
      <c r="E10106">
        <v>13400</v>
      </c>
      <c r="F10106">
        <v>84032.73</v>
      </c>
      <c r="G10106">
        <v>0</v>
      </c>
      <c r="H10106">
        <v>0</v>
      </c>
      <c r="I10106">
        <v>0</v>
      </c>
      <c r="J10106">
        <v>0</v>
      </c>
      <c r="K10106">
        <v>0</v>
      </c>
      <c r="L10106">
        <v>31750000</v>
      </c>
      <c r="M10106">
        <v>31750000</v>
      </c>
      <c r="N10106">
        <v>11112500</v>
      </c>
      <c r="O10106">
        <v>11112500</v>
      </c>
      <c r="P10106">
        <v>31750000</v>
      </c>
      <c r="Q10106">
        <v>31750000</v>
      </c>
      <c r="R10106" s="14">
        <f>_xlfn.XLOOKUP(Table2[[#This Row],[LoanID]],Table1[G-L ID],Table1[ManagerCode],-99)</f>
        <v>183</v>
      </c>
      <c r="T10106"/>
    </row>
    <row r="10107" spans="1:20" x14ac:dyDescent="0.25">
      <c r="A10107">
        <v>20191231</v>
      </c>
      <c r="B10107">
        <v>2019</v>
      </c>
      <c r="C10107">
        <v>12</v>
      </c>
      <c r="D10107">
        <v>1</v>
      </c>
      <c r="E10107">
        <v>13410</v>
      </c>
      <c r="F10107">
        <v>69424.53</v>
      </c>
      <c r="G10107">
        <v>0</v>
      </c>
      <c r="H10107">
        <v>0</v>
      </c>
      <c r="I10107">
        <v>0</v>
      </c>
      <c r="J10107">
        <v>-107804.3</v>
      </c>
      <c r="K10107">
        <v>0</v>
      </c>
      <c r="L10107">
        <v>35032062.710000001</v>
      </c>
      <c r="M10107">
        <v>35139867.009999998</v>
      </c>
      <c r="N10107">
        <v>14162062.710000001</v>
      </c>
      <c r="O10107">
        <v>14269867.01</v>
      </c>
      <c r="P10107">
        <v>35032062.710000001</v>
      </c>
      <c r="Q10107">
        <v>35139867.009999998</v>
      </c>
      <c r="R10107" s="14">
        <f>_xlfn.XLOOKUP(Table2[[#This Row],[LoanID]],Table1[G-L ID],Table1[ManagerCode],-99)</f>
        <v>183</v>
      </c>
      <c r="T10107"/>
    </row>
    <row r="10108" spans="1:20" x14ac:dyDescent="0.25">
      <c r="A10108">
        <v>20191231</v>
      </c>
      <c r="B10108">
        <v>2019</v>
      </c>
      <c r="C10108">
        <v>12</v>
      </c>
      <c r="D10108">
        <v>1</v>
      </c>
      <c r="E10108">
        <v>13420</v>
      </c>
      <c r="F10108">
        <v>62118.15</v>
      </c>
      <c r="G10108">
        <v>0</v>
      </c>
      <c r="H10108">
        <v>0</v>
      </c>
      <c r="I10108">
        <v>0</v>
      </c>
      <c r="J10108">
        <v>-52752.62</v>
      </c>
      <c r="K10108">
        <v>0</v>
      </c>
      <c r="L10108">
        <v>30497279.219999999</v>
      </c>
      <c r="M10108">
        <v>30550031.84</v>
      </c>
      <c r="N10108">
        <v>14002366.220000001</v>
      </c>
      <c r="O10108">
        <v>14055118.84</v>
      </c>
      <c r="P10108">
        <v>30497279.219999999</v>
      </c>
      <c r="Q10108">
        <v>30550031.84</v>
      </c>
      <c r="R10108" s="14">
        <f>_xlfn.XLOOKUP(Table2[[#This Row],[LoanID]],Table1[G-L ID],Table1[ManagerCode],-99)</f>
        <v>183</v>
      </c>
      <c r="T10108"/>
    </row>
    <row r="10109" spans="1:20" x14ac:dyDescent="0.25">
      <c r="A10109">
        <v>20191231</v>
      </c>
      <c r="B10109">
        <v>2019</v>
      </c>
      <c r="C10109">
        <v>12</v>
      </c>
      <c r="D10109">
        <v>1</v>
      </c>
      <c r="E10109">
        <v>13430</v>
      </c>
      <c r="F10109">
        <v>311937.5</v>
      </c>
      <c r="G10109">
        <v>0</v>
      </c>
      <c r="H10109">
        <v>0</v>
      </c>
      <c r="I10109">
        <v>0</v>
      </c>
      <c r="J10109">
        <v>0</v>
      </c>
      <c r="K10109">
        <v>0</v>
      </c>
      <c r="L10109">
        <v>75000000</v>
      </c>
      <c r="M10109">
        <v>75000000</v>
      </c>
      <c r="N10109">
        <v>30882353</v>
      </c>
      <c r="O10109">
        <v>30882353</v>
      </c>
      <c r="P10109">
        <v>75000000</v>
      </c>
      <c r="Q10109">
        <v>75000000</v>
      </c>
      <c r="R10109" s="14">
        <f>_xlfn.XLOOKUP(Table2[[#This Row],[LoanID]],Table1[G-L ID],Table1[ManagerCode],-99)</f>
        <v>183</v>
      </c>
      <c r="T10109"/>
    </row>
    <row r="10110" spans="1:20" x14ac:dyDescent="0.25">
      <c r="A10110">
        <v>20191231</v>
      </c>
      <c r="B10110">
        <v>2019</v>
      </c>
      <c r="C10110">
        <v>12</v>
      </c>
      <c r="D10110">
        <v>1</v>
      </c>
      <c r="E10110">
        <v>13440</v>
      </c>
      <c r="F10110">
        <v>0</v>
      </c>
      <c r="G10110">
        <v>121405.82</v>
      </c>
      <c r="H10110">
        <v>0</v>
      </c>
      <c r="I10110">
        <v>0</v>
      </c>
      <c r="J10110">
        <v>0</v>
      </c>
      <c r="K10110">
        <v>0</v>
      </c>
      <c r="L10110">
        <v>12260797.859999999</v>
      </c>
      <c r="M10110">
        <v>12382203.68</v>
      </c>
      <c r="N10110">
        <v>12260797.859999999</v>
      </c>
      <c r="O10110">
        <v>12382203.68</v>
      </c>
      <c r="P10110">
        <v>12260797.859999999</v>
      </c>
      <c r="Q10110">
        <v>12382203.68</v>
      </c>
      <c r="R10110" s="14">
        <f>_xlfn.XLOOKUP(Table2[[#This Row],[LoanID]],Table1[G-L ID],Table1[ManagerCode],-99)</f>
        <v>183</v>
      </c>
      <c r="T10110"/>
    </row>
    <row r="10111" spans="1:20" x14ac:dyDescent="0.25">
      <c r="A10111">
        <v>20191231</v>
      </c>
      <c r="B10111">
        <v>2019</v>
      </c>
      <c r="C10111">
        <v>12</v>
      </c>
      <c r="D10111">
        <v>1</v>
      </c>
      <c r="E10111">
        <v>13450</v>
      </c>
      <c r="F10111">
        <v>0</v>
      </c>
      <c r="G10111">
        <v>125794.96</v>
      </c>
      <c r="H10111">
        <v>0</v>
      </c>
      <c r="I10111">
        <v>0</v>
      </c>
      <c r="J10111">
        <v>0</v>
      </c>
      <c r="K10111">
        <v>0</v>
      </c>
      <c r="L10111">
        <v>11736404.25</v>
      </c>
      <c r="M10111">
        <v>11862199.210000001</v>
      </c>
      <c r="N10111">
        <v>11736404.25</v>
      </c>
      <c r="O10111">
        <v>11862199.210000001</v>
      </c>
      <c r="P10111">
        <v>11736404.25</v>
      </c>
      <c r="Q10111">
        <v>11862199.210000001</v>
      </c>
      <c r="R10111" s="14">
        <f>_xlfn.XLOOKUP(Table2[[#This Row],[LoanID]],Table1[G-L ID],Table1[ManagerCode],-99)</f>
        <v>183</v>
      </c>
      <c r="T10111"/>
    </row>
    <row r="10112" spans="1:20" x14ac:dyDescent="0.25">
      <c r="A10112">
        <v>20191231</v>
      </c>
      <c r="B10112">
        <v>2019</v>
      </c>
      <c r="C10112">
        <v>12</v>
      </c>
      <c r="D10112">
        <v>1</v>
      </c>
      <c r="E10112">
        <v>13460</v>
      </c>
      <c r="F10112">
        <v>18248.12</v>
      </c>
      <c r="G10112">
        <v>25222.35</v>
      </c>
      <c r="H10112">
        <v>0</v>
      </c>
      <c r="I10112">
        <v>0</v>
      </c>
      <c r="J10112">
        <v>-495194.11</v>
      </c>
      <c r="K10112">
        <v>0</v>
      </c>
      <c r="L10112">
        <v>3943156.49</v>
      </c>
      <c r="M10112">
        <v>4463572.95</v>
      </c>
      <c r="N10112">
        <v>3943156.49</v>
      </c>
      <c r="O10112">
        <v>4463572.95</v>
      </c>
      <c r="P10112">
        <v>3943156.49</v>
      </c>
      <c r="Q10112">
        <v>4463572.95</v>
      </c>
      <c r="R10112" s="14">
        <f>_xlfn.XLOOKUP(Table2[[#This Row],[LoanID]],Table1[G-L ID],Table1[ManagerCode],-99)</f>
        <v>183</v>
      </c>
      <c r="T10112"/>
    </row>
    <row r="10113" spans="1:20" x14ac:dyDescent="0.25">
      <c r="A10113">
        <v>20191231</v>
      </c>
      <c r="B10113">
        <v>2019</v>
      </c>
      <c r="C10113">
        <v>12</v>
      </c>
      <c r="D10113">
        <v>1</v>
      </c>
      <c r="E10113">
        <v>13470</v>
      </c>
      <c r="F10113">
        <v>345052.08</v>
      </c>
      <c r="G10113">
        <v>0</v>
      </c>
      <c r="H10113">
        <v>0</v>
      </c>
      <c r="I10113">
        <v>0</v>
      </c>
      <c r="J10113">
        <v>0</v>
      </c>
      <c r="K10113">
        <v>0</v>
      </c>
      <c r="L10113">
        <v>62500000</v>
      </c>
      <c r="M10113">
        <v>62500000</v>
      </c>
      <c r="N10113">
        <v>62500000</v>
      </c>
      <c r="O10113">
        <v>62500000</v>
      </c>
      <c r="P10113">
        <v>62500000</v>
      </c>
      <c r="Q10113">
        <v>62500000</v>
      </c>
      <c r="R10113" s="14">
        <f>_xlfn.XLOOKUP(Table2[[#This Row],[LoanID]],Table1[G-L ID],Table1[ManagerCode],-99)</f>
        <v>165</v>
      </c>
      <c r="T10113"/>
    </row>
    <row r="10114" spans="1:20" x14ac:dyDescent="0.25">
      <c r="A10114">
        <v>20191231</v>
      </c>
      <c r="B10114">
        <v>2019</v>
      </c>
      <c r="C10114">
        <v>12</v>
      </c>
      <c r="D10114">
        <v>1</v>
      </c>
      <c r="E10114">
        <v>13480</v>
      </c>
      <c r="F10114">
        <v>242450</v>
      </c>
      <c r="G10114">
        <v>0</v>
      </c>
      <c r="H10114">
        <v>0</v>
      </c>
      <c r="I10114">
        <v>0</v>
      </c>
      <c r="J10114">
        <v>0</v>
      </c>
      <c r="K10114">
        <v>0</v>
      </c>
      <c r="L10114">
        <v>39000000</v>
      </c>
      <c r="M10114">
        <v>39000000</v>
      </c>
      <c r="N10114">
        <v>39000000</v>
      </c>
      <c r="O10114">
        <v>39000000</v>
      </c>
      <c r="P10114">
        <v>39000000</v>
      </c>
      <c r="Q10114">
        <v>39000000</v>
      </c>
      <c r="R10114" s="14">
        <f>_xlfn.XLOOKUP(Table2[[#This Row],[LoanID]],Table1[G-L ID],Table1[ManagerCode],-99)</f>
        <v>165</v>
      </c>
      <c r="T10114"/>
    </row>
    <row r="10115" spans="1:20" x14ac:dyDescent="0.25">
      <c r="A10115">
        <v>20191231</v>
      </c>
      <c r="B10115">
        <v>2019</v>
      </c>
      <c r="C10115">
        <v>12</v>
      </c>
      <c r="D10115">
        <v>1</v>
      </c>
      <c r="E10115">
        <v>13490</v>
      </c>
      <c r="F10115">
        <v>294000</v>
      </c>
      <c r="G10115">
        <v>0</v>
      </c>
      <c r="H10115">
        <v>0</v>
      </c>
      <c r="I10115">
        <v>0</v>
      </c>
      <c r="J10115">
        <v>0</v>
      </c>
      <c r="K10115">
        <v>0</v>
      </c>
      <c r="L10115">
        <v>40000000</v>
      </c>
      <c r="M10115">
        <v>40000000</v>
      </c>
      <c r="N10115">
        <v>40000000</v>
      </c>
      <c r="O10115">
        <v>40000000</v>
      </c>
      <c r="P10115">
        <v>40000000</v>
      </c>
      <c r="Q10115">
        <v>40000000</v>
      </c>
      <c r="R10115" s="14">
        <f>_xlfn.XLOOKUP(Table2[[#This Row],[LoanID]],Table1[G-L ID],Table1[ManagerCode],-99)</f>
        <v>165</v>
      </c>
      <c r="T10115"/>
    </row>
    <row r="10116" spans="1:20" x14ac:dyDescent="0.25">
      <c r="A10116">
        <v>20191231</v>
      </c>
      <c r="B10116">
        <v>2019</v>
      </c>
      <c r="C10116">
        <v>12</v>
      </c>
      <c r="D10116">
        <v>1</v>
      </c>
      <c r="E10116">
        <v>13500</v>
      </c>
      <c r="F10116">
        <v>274479.17</v>
      </c>
      <c r="G10116">
        <v>0</v>
      </c>
      <c r="H10116">
        <v>0</v>
      </c>
      <c r="I10116">
        <v>0</v>
      </c>
      <c r="J10116">
        <v>0</v>
      </c>
      <c r="K10116">
        <v>0</v>
      </c>
      <c r="L10116">
        <v>42500000</v>
      </c>
      <c r="M10116">
        <v>42500000</v>
      </c>
      <c r="N10116">
        <v>42500000</v>
      </c>
      <c r="O10116">
        <v>42500000</v>
      </c>
      <c r="P10116">
        <v>42500000</v>
      </c>
      <c r="Q10116">
        <v>42500000</v>
      </c>
      <c r="R10116" s="14">
        <f>_xlfn.XLOOKUP(Table2[[#This Row],[LoanID]],Table1[G-L ID],Table1[ManagerCode],-99)</f>
        <v>165</v>
      </c>
      <c r="T10116"/>
    </row>
    <row r="10117" spans="1:20" x14ac:dyDescent="0.25">
      <c r="A10117">
        <v>20191231</v>
      </c>
      <c r="B10117">
        <v>2019</v>
      </c>
      <c r="C10117">
        <v>12</v>
      </c>
      <c r="D10117">
        <v>1</v>
      </c>
      <c r="E10117">
        <v>13510</v>
      </c>
      <c r="F10117">
        <v>307500</v>
      </c>
      <c r="G10117">
        <v>0</v>
      </c>
      <c r="H10117">
        <v>0</v>
      </c>
      <c r="I10117">
        <v>0</v>
      </c>
      <c r="J10117">
        <v>0</v>
      </c>
      <c r="K10117">
        <v>0</v>
      </c>
      <c r="L10117">
        <v>90000000</v>
      </c>
      <c r="M10117">
        <v>90000000</v>
      </c>
      <c r="N10117">
        <v>90000000</v>
      </c>
      <c r="O10117">
        <v>90000000</v>
      </c>
      <c r="P10117">
        <v>90000000</v>
      </c>
      <c r="Q10117">
        <v>90000000</v>
      </c>
      <c r="R10117" s="14">
        <f>_xlfn.XLOOKUP(Table2[[#This Row],[LoanID]],Table1[G-L ID],Table1[ManagerCode],-99)</f>
        <v>165</v>
      </c>
      <c r="T10117"/>
    </row>
    <row r="10118" spans="1:20" x14ac:dyDescent="0.25">
      <c r="A10118">
        <v>20191231</v>
      </c>
      <c r="B10118">
        <v>2019</v>
      </c>
      <c r="C10118">
        <v>12</v>
      </c>
      <c r="D10118">
        <v>1</v>
      </c>
      <c r="E10118">
        <v>13520</v>
      </c>
      <c r="F10118">
        <v>832812.5</v>
      </c>
      <c r="G10118">
        <v>0</v>
      </c>
      <c r="H10118">
        <v>0</v>
      </c>
      <c r="I10118">
        <v>0</v>
      </c>
      <c r="J10118">
        <v>0</v>
      </c>
      <c r="K10118">
        <v>0</v>
      </c>
      <c r="L10118">
        <v>195000000</v>
      </c>
      <c r="M10118">
        <v>195000000</v>
      </c>
      <c r="N10118">
        <v>195000000</v>
      </c>
      <c r="O10118">
        <v>195000000</v>
      </c>
      <c r="P10118">
        <v>195000000</v>
      </c>
      <c r="Q10118">
        <v>195000000</v>
      </c>
      <c r="R10118" s="14">
        <f>_xlfn.XLOOKUP(Table2[[#This Row],[LoanID]],Table1[G-L ID],Table1[ManagerCode],-99)</f>
        <v>165</v>
      </c>
      <c r="T10118"/>
    </row>
    <row r="10119" spans="1:20" x14ac:dyDescent="0.25">
      <c r="A10119">
        <v>20191231</v>
      </c>
      <c r="B10119">
        <v>2019</v>
      </c>
      <c r="C10119">
        <v>12</v>
      </c>
      <c r="D10119">
        <v>1</v>
      </c>
      <c r="E10119">
        <v>13530</v>
      </c>
      <c r="F10119">
        <v>390625</v>
      </c>
      <c r="G10119">
        <v>0</v>
      </c>
      <c r="H10119">
        <v>0</v>
      </c>
      <c r="I10119">
        <v>0</v>
      </c>
      <c r="J10119">
        <v>0</v>
      </c>
      <c r="K10119">
        <v>0</v>
      </c>
      <c r="L10119">
        <v>75000000</v>
      </c>
      <c r="M10119">
        <v>75000000</v>
      </c>
      <c r="N10119">
        <v>75000000</v>
      </c>
      <c r="O10119">
        <v>75000000</v>
      </c>
      <c r="P10119">
        <v>75000000</v>
      </c>
      <c r="Q10119">
        <v>75000000</v>
      </c>
      <c r="R10119" s="14">
        <f>_xlfn.XLOOKUP(Table2[[#This Row],[LoanID]],Table1[G-L ID],Table1[ManagerCode],-99)</f>
        <v>165</v>
      </c>
      <c r="T10119"/>
    </row>
    <row r="10120" spans="1:20" x14ac:dyDescent="0.25">
      <c r="A10120">
        <v>20191231</v>
      </c>
      <c r="B10120">
        <v>2019</v>
      </c>
      <c r="C10120">
        <v>12</v>
      </c>
      <c r="D10120">
        <v>1</v>
      </c>
      <c r="E10120">
        <v>13550</v>
      </c>
      <c r="F10120">
        <v>1628586.69</v>
      </c>
      <c r="G10120">
        <v>0</v>
      </c>
      <c r="H10120">
        <v>0</v>
      </c>
      <c r="I10120">
        <v>0</v>
      </c>
      <c r="J10120">
        <v>0</v>
      </c>
      <c r="K10120">
        <v>0</v>
      </c>
      <c r="L10120">
        <v>355328004.80000001</v>
      </c>
      <c r="M10120">
        <v>355328004.80000001</v>
      </c>
      <c r="N10120">
        <v>355328004.80000001</v>
      </c>
      <c r="O10120">
        <v>355328004.80000001</v>
      </c>
      <c r="P10120">
        <v>355328004.80000001</v>
      </c>
      <c r="Q10120">
        <v>355328004.80000001</v>
      </c>
      <c r="R10120" s="14">
        <f>_xlfn.XLOOKUP(Table2[[#This Row],[LoanID]],Table1[G-L ID],Table1[ManagerCode],-99)</f>
        <v>165</v>
      </c>
      <c r="T10120"/>
    </row>
    <row r="10121" spans="1:20" x14ac:dyDescent="0.25">
      <c r="A10121">
        <v>20191231</v>
      </c>
      <c r="B10121">
        <v>2019</v>
      </c>
      <c r="C10121">
        <v>12</v>
      </c>
      <c r="D10121">
        <v>1</v>
      </c>
      <c r="E10121">
        <v>13560</v>
      </c>
      <c r="F10121">
        <v>548187.5</v>
      </c>
      <c r="G10121">
        <v>17033.330000000002</v>
      </c>
      <c r="H10121">
        <v>0</v>
      </c>
      <c r="I10121">
        <v>0</v>
      </c>
      <c r="J10121">
        <v>0</v>
      </c>
      <c r="K10121">
        <v>0</v>
      </c>
      <c r="L10121">
        <v>105292366.7</v>
      </c>
      <c r="M10121">
        <v>105309400</v>
      </c>
      <c r="N10121">
        <v>105292366.7</v>
      </c>
      <c r="O10121">
        <v>105309400</v>
      </c>
      <c r="P10121">
        <v>105292366.7</v>
      </c>
      <c r="Q10121">
        <v>105309400</v>
      </c>
      <c r="R10121" s="14">
        <f>_xlfn.XLOOKUP(Table2[[#This Row],[LoanID]],Table1[G-L ID],Table1[ManagerCode],-99)</f>
        <v>219</v>
      </c>
      <c r="T10121"/>
    </row>
    <row r="10122" spans="1:20" x14ac:dyDescent="0.25">
      <c r="A10122">
        <v>20191231</v>
      </c>
      <c r="B10122">
        <v>2019</v>
      </c>
      <c r="C10122">
        <v>12</v>
      </c>
      <c r="D10122">
        <v>1</v>
      </c>
      <c r="E10122">
        <v>13580</v>
      </c>
      <c r="F10122">
        <v>415625</v>
      </c>
      <c r="G10122">
        <v>0</v>
      </c>
      <c r="H10122">
        <v>0</v>
      </c>
      <c r="I10122">
        <v>0</v>
      </c>
      <c r="J10122">
        <v>0</v>
      </c>
      <c r="K10122">
        <v>0</v>
      </c>
      <c r="L10122">
        <v>64113914.409999996</v>
      </c>
      <c r="M10122">
        <v>64168686</v>
      </c>
      <c r="N10122">
        <v>64113914.409999996</v>
      </c>
      <c r="O10122">
        <v>64168686</v>
      </c>
      <c r="P10122">
        <v>66500000</v>
      </c>
      <c r="Q10122">
        <v>66500000</v>
      </c>
      <c r="R10122" s="14">
        <f>_xlfn.XLOOKUP(Table2[[#This Row],[LoanID]],Table1[G-L ID],Table1[ManagerCode],-99)</f>
        <v>298</v>
      </c>
      <c r="T10122"/>
    </row>
    <row r="10123" spans="1:20" x14ac:dyDescent="0.25">
      <c r="A10123">
        <v>20191231</v>
      </c>
      <c r="B10123">
        <v>2019</v>
      </c>
      <c r="C10123">
        <v>12</v>
      </c>
      <c r="D10123">
        <v>1</v>
      </c>
      <c r="E10123">
        <v>13600</v>
      </c>
      <c r="F10123">
        <v>366802.29</v>
      </c>
      <c r="G10123">
        <v>0</v>
      </c>
      <c r="H10123">
        <v>0</v>
      </c>
      <c r="I10123">
        <v>0</v>
      </c>
      <c r="J10123">
        <v>0</v>
      </c>
      <c r="K10123">
        <v>0</v>
      </c>
      <c r="L10123">
        <v>45970000</v>
      </c>
      <c r="M10123">
        <v>45970000</v>
      </c>
      <c r="N10123">
        <v>45970000</v>
      </c>
      <c r="O10123">
        <v>45970000</v>
      </c>
      <c r="P10123">
        <v>45970000</v>
      </c>
      <c r="Q10123">
        <v>45970000</v>
      </c>
      <c r="R10123" s="14">
        <f>_xlfn.XLOOKUP(Table2[[#This Row],[LoanID]],Table1[G-L ID],Table1[ManagerCode],-99)</f>
        <v>298</v>
      </c>
      <c r="T10123"/>
    </row>
    <row r="10124" spans="1:20" x14ac:dyDescent="0.25">
      <c r="A10124">
        <v>20191231</v>
      </c>
      <c r="B10124">
        <v>2019</v>
      </c>
      <c r="C10124">
        <v>12</v>
      </c>
      <c r="D10124">
        <v>1</v>
      </c>
      <c r="E10124">
        <v>13610</v>
      </c>
      <c r="F10124">
        <v>61250</v>
      </c>
      <c r="G10124">
        <v>0</v>
      </c>
      <c r="H10124">
        <v>0</v>
      </c>
      <c r="I10124">
        <v>0</v>
      </c>
      <c r="J10124">
        <v>0</v>
      </c>
      <c r="K10124">
        <v>0</v>
      </c>
      <c r="L10124">
        <v>10542185</v>
      </c>
      <c r="M10124">
        <v>10385796.220000001</v>
      </c>
      <c r="N10124">
        <v>10542185</v>
      </c>
      <c r="O10124">
        <v>10385796.220000001</v>
      </c>
      <c r="P10124">
        <v>10500000</v>
      </c>
      <c r="Q10124">
        <v>10500000</v>
      </c>
      <c r="R10124" s="14">
        <f>_xlfn.XLOOKUP(Table2[[#This Row],[LoanID]],Table1[G-L ID],Table1[ManagerCode],-99)</f>
        <v>298</v>
      </c>
      <c r="T10124"/>
    </row>
    <row r="10125" spans="1:20" x14ac:dyDescent="0.25">
      <c r="A10125">
        <v>20191231</v>
      </c>
      <c r="B10125">
        <v>2019</v>
      </c>
      <c r="C10125">
        <v>12</v>
      </c>
      <c r="D10125">
        <v>1</v>
      </c>
      <c r="E10125">
        <v>13620</v>
      </c>
      <c r="F10125">
        <v>329833.33</v>
      </c>
      <c r="G10125">
        <v>0</v>
      </c>
      <c r="H10125">
        <v>0</v>
      </c>
      <c r="I10125">
        <v>0</v>
      </c>
      <c r="J10125">
        <v>0</v>
      </c>
      <c r="K10125">
        <v>0</v>
      </c>
      <c r="L10125">
        <v>49842286</v>
      </c>
      <c r="M10125">
        <v>49865510.369999997</v>
      </c>
      <c r="N10125">
        <v>49842286</v>
      </c>
      <c r="O10125">
        <v>49865510.369999997</v>
      </c>
      <c r="P10125">
        <v>50000000</v>
      </c>
      <c r="Q10125">
        <v>50000000</v>
      </c>
      <c r="R10125" s="14">
        <f>_xlfn.XLOOKUP(Table2[[#This Row],[LoanID]],Table1[G-L ID],Table1[ManagerCode],-99)</f>
        <v>298</v>
      </c>
      <c r="T10125"/>
    </row>
    <row r="10126" spans="1:20" x14ac:dyDescent="0.25">
      <c r="A10126">
        <v>20191231</v>
      </c>
      <c r="B10126">
        <v>2019</v>
      </c>
      <c r="C10126">
        <v>12</v>
      </c>
      <c r="D10126">
        <v>1</v>
      </c>
      <c r="E10126">
        <v>13630</v>
      </c>
      <c r="F10126">
        <v>211458.33</v>
      </c>
      <c r="G10126">
        <v>0</v>
      </c>
      <c r="H10126">
        <v>0</v>
      </c>
      <c r="I10126">
        <v>0</v>
      </c>
      <c r="J10126">
        <v>0</v>
      </c>
      <c r="K10126">
        <v>0</v>
      </c>
      <c r="L10126">
        <v>30700000</v>
      </c>
      <c r="M10126">
        <v>22527136.07</v>
      </c>
      <c r="N10126">
        <v>30700000</v>
      </c>
      <c r="O10126">
        <v>22527136.07</v>
      </c>
      <c r="P10126">
        <v>35000000</v>
      </c>
      <c r="Q10126">
        <v>35000000</v>
      </c>
      <c r="R10126" s="14">
        <f>_xlfn.XLOOKUP(Table2[[#This Row],[LoanID]],Table1[G-L ID],Table1[ManagerCode],-99)</f>
        <v>298</v>
      </c>
      <c r="T10126"/>
    </row>
    <row r="10127" spans="1:20" x14ac:dyDescent="0.25">
      <c r="A10127">
        <v>20191231</v>
      </c>
      <c r="B10127">
        <v>2019</v>
      </c>
      <c r="C10127">
        <v>12</v>
      </c>
      <c r="D10127">
        <v>1</v>
      </c>
      <c r="E10127">
        <v>13640</v>
      </c>
      <c r="F10127">
        <v>219661.46</v>
      </c>
      <c r="G10127">
        <v>0</v>
      </c>
      <c r="H10127">
        <v>0</v>
      </c>
      <c r="I10127">
        <v>0</v>
      </c>
      <c r="J10127">
        <v>0</v>
      </c>
      <c r="K10127">
        <v>0</v>
      </c>
      <c r="L10127">
        <v>30714705</v>
      </c>
      <c r="M10127">
        <v>30234429.84</v>
      </c>
      <c r="N10127">
        <v>30714705</v>
      </c>
      <c r="O10127">
        <v>30234429.84</v>
      </c>
      <c r="P10127">
        <v>30125000</v>
      </c>
      <c r="Q10127">
        <v>30125000</v>
      </c>
      <c r="R10127" s="14">
        <f>_xlfn.XLOOKUP(Table2[[#This Row],[LoanID]],Table1[G-L ID],Table1[ManagerCode],-99)</f>
        <v>298</v>
      </c>
      <c r="T10127"/>
    </row>
    <row r="10128" spans="1:20" x14ac:dyDescent="0.25">
      <c r="A10128">
        <v>20191231</v>
      </c>
      <c r="B10128">
        <v>2019</v>
      </c>
      <c r="C10128">
        <v>12</v>
      </c>
      <c r="D10128">
        <v>1</v>
      </c>
      <c r="E10128">
        <v>13650</v>
      </c>
      <c r="F10128">
        <v>216666.67</v>
      </c>
      <c r="G10128">
        <v>0</v>
      </c>
      <c r="H10128">
        <v>0</v>
      </c>
      <c r="I10128">
        <v>0</v>
      </c>
      <c r="J10128">
        <v>0</v>
      </c>
      <c r="K10128">
        <v>0</v>
      </c>
      <c r="L10128">
        <v>38895325</v>
      </c>
      <c r="M10128">
        <v>39537559.880000003</v>
      </c>
      <c r="N10128">
        <v>38895325</v>
      </c>
      <c r="O10128">
        <v>39537559.880000003</v>
      </c>
      <c r="P10128">
        <v>40000000</v>
      </c>
      <c r="Q10128">
        <v>40000000</v>
      </c>
      <c r="R10128" s="14">
        <f>_xlfn.XLOOKUP(Table2[[#This Row],[LoanID]],Table1[G-L ID],Table1[ManagerCode],-99)</f>
        <v>298</v>
      </c>
      <c r="T10128"/>
    </row>
    <row r="10129" spans="1:20" x14ac:dyDescent="0.25">
      <c r="A10129">
        <v>20191231</v>
      </c>
      <c r="B10129">
        <v>2019</v>
      </c>
      <c r="C10129">
        <v>12</v>
      </c>
      <c r="D10129">
        <v>1</v>
      </c>
      <c r="E10129">
        <v>13660</v>
      </c>
      <c r="F10129">
        <v>114166.67</v>
      </c>
      <c r="G10129">
        <v>0</v>
      </c>
      <c r="H10129">
        <v>0</v>
      </c>
      <c r="I10129">
        <v>0</v>
      </c>
      <c r="J10129">
        <v>0</v>
      </c>
      <c r="K10129">
        <v>0</v>
      </c>
      <c r="L10129">
        <v>19313433</v>
      </c>
      <c r="M10129">
        <v>19633684.649999999</v>
      </c>
      <c r="N10129">
        <v>19313433</v>
      </c>
      <c r="O10129">
        <v>19633684.649999999</v>
      </c>
      <c r="P10129">
        <v>20000000</v>
      </c>
      <c r="Q10129">
        <v>20000000</v>
      </c>
      <c r="R10129" s="14">
        <f>_xlfn.XLOOKUP(Table2[[#This Row],[LoanID]],Table1[G-L ID],Table1[ManagerCode],-99)</f>
        <v>298</v>
      </c>
      <c r="T10129"/>
    </row>
    <row r="10130" spans="1:20" x14ac:dyDescent="0.25">
      <c r="A10130">
        <v>20191231</v>
      </c>
      <c r="B10130">
        <v>2019</v>
      </c>
      <c r="C10130">
        <v>12</v>
      </c>
      <c r="D10130">
        <v>1</v>
      </c>
      <c r="E10130">
        <v>13670</v>
      </c>
      <c r="F10130">
        <v>0</v>
      </c>
      <c r="G10130">
        <v>0</v>
      </c>
      <c r="H10130">
        <v>0</v>
      </c>
      <c r="I10130">
        <v>0</v>
      </c>
      <c r="J10130">
        <v>0</v>
      </c>
      <c r="K10130">
        <v>0</v>
      </c>
      <c r="L10130">
        <v>25000000</v>
      </c>
      <c r="M10130">
        <v>11889143.83</v>
      </c>
      <c r="N10130">
        <v>25000000</v>
      </c>
      <c r="O10130">
        <v>11889143.83</v>
      </c>
      <c r="P10130">
        <v>39709421.5</v>
      </c>
      <c r="Q10130">
        <v>40082033.079999998</v>
      </c>
      <c r="R10130" s="14">
        <f>_xlfn.XLOOKUP(Table2[[#This Row],[LoanID]],Table1[G-L ID],Table1[ManagerCode],-99)</f>
        <v>298</v>
      </c>
      <c r="T10130"/>
    </row>
    <row r="10131" spans="1:20" x14ac:dyDescent="0.25">
      <c r="A10131">
        <v>20191231</v>
      </c>
      <c r="B10131">
        <v>2019</v>
      </c>
      <c r="C10131">
        <v>12</v>
      </c>
      <c r="D10131">
        <v>1</v>
      </c>
      <c r="E10131">
        <v>13690</v>
      </c>
      <c r="F10131">
        <v>129166.67</v>
      </c>
      <c r="G10131">
        <v>0</v>
      </c>
      <c r="H10131">
        <v>0</v>
      </c>
      <c r="I10131">
        <v>0</v>
      </c>
      <c r="J10131">
        <v>0</v>
      </c>
      <c r="K10131">
        <v>0</v>
      </c>
      <c r="L10131">
        <v>19791063.850000001</v>
      </c>
      <c r="M10131">
        <v>20825761.02</v>
      </c>
      <c r="N10131">
        <v>19791063.850000001</v>
      </c>
      <c r="O10131">
        <v>20825761.02</v>
      </c>
      <c r="P10131">
        <v>20000000</v>
      </c>
      <c r="Q10131">
        <v>20000000</v>
      </c>
      <c r="R10131" s="14">
        <f>_xlfn.XLOOKUP(Table2[[#This Row],[LoanID]],Table1[G-L ID],Table1[ManagerCode],-99)</f>
        <v>298</v>
      </c>
      <c r="T10131"/>
    </row>
    <row r="10132" spans="1:20" x14ac:dyDescent="0.25">
      <c r="A10132">
        <v>20191231</v>
      </c>
      <c r="B10132">
        <v>2019</v>
      </c>
      <c r="C10132">
        <v>12</v>
      </c>
      <c r="D10132">
        <v>1</v>
      </c>
      <c r="E10132">
        <v>13790</v>
      </c>
      <c r="F10132">
        <v>141968.34</v>
      </c>
      <c r="G10132">
        <v>3918.58</v>
      </c>
      <c r="H10132">
        <v>0</v>
      </c>
      <c r="I10132">
        <v>0</v>
      </c>
      <c r="J10132">
        <v>0</v>
      </c>
      <c r="K10132">
        <v>0</v>
      </c>
      <c r="L10132">
        <v>20712570.68</v>
      </c>
      <c r="M10132">
        <v>20716489.260000002</v>
      </c>
      <c r="N10132">
        <v>20712570.68</v>
      </c>
      <c r="O10132">
        <v>20716489.260000002</v>
      </c>
      <c r="P10132">
        <v>20712570.68</v>
      </c>
      <c r="Q10132">
        <v>20716489.260000002</v>
      </c>
      <c r="R10132" s="14">
        <f>_xlfn.XLOOKUP(Table2[[#This Row],[LoanID]],Table1[G-L ID],Table1[ManagerCode],-99)</f>
        <v>219</v>
      </c>
      <c r="T10132"/>
    </row>
    <row r="10133" spans="1:20" x14ac:dyDescent="0.25">
      <c r="A10133">
        <v>20191231</v>
      </c>
      <c r="B10133">
        <v>2019</v>
      </c>
      <c r="C10133">
        <v>12</v>
      </c>
      <c r="D10133">
        <v>1</v>
      </c>
      <c r="E10133">
        <v>13800</v>
      </c>
      <c r="F10133">
        <v>281927.78000000003</v>
      </c>
      <c r="G10133">
        <v>0</v>
      </c>
      <c r="H10133">
        <v>0</v>
      </c>
      <c r="I10133">
        <v>0</v>
      </c>
      <c r="J10133">
        <v>0</v>
      </c>
      <c r="K10133">
        <v>0</v>
      </c>
      <c r="L10133">
        <v>80700000</v>
      </c>
      <c r="M10133">
        <v>80700000</v>
      </c>
      <c r="N10133">
        <v>32279999.719999999</v>
      </c>
      <c r="O10133">
        <v>32279999.719999999</v>
      </c>
      <c r="P10133">
        <v>80700000</v>
      </c>
      <c r="Q10133">
        <v>80700000</v>
      </c>
      <c r="R10133" s="14">
        <f>_xlfn.XLOOKUP(Table2[[#This Row],[LoanID]],Table1[G-L ID],Table1[ManagerCode],-99)</f>
        <v>183</v>
      </c>
      <c r="T10133"/>
    </row>
    <row r="10134" spans="1:20" x14ac:dyDescent="0.25">
      <c r="A10134">
        <v>20191231</v>
      </c>
      <c r="B10134">
        <v>2019</v>
      </c>
      <c r="C10134">
        <v>12</v>
      </c>
      <c r="D10134">
        <v>1</v>
      </c>
      <c r="E10134">
        <v>13810</v>
      </c>
      <c r="F10134">
        <v>124351.8</v>
      </c>
      <c r="G10134">
        <v>0</v>
      </c>
      <c r="H10134">
        <v>0</v>
      </c>
      <c r="I10134">
        <v>0</v>
      </c>
      <c r="J10134">
        <v>-461860.51</v>
      </c>
      <c r="K10134">
        <v>0</v>
      </c>
      <c r="L10134">
        <v>43012919.119999997</v>
      </c>
      <c r="M10134">
        <v>43474779.630000003</v>
      </c>
      <c r="N10134">
        <v>18887173.34</v>
      </c>
      <c r="O10134">
        <v>19349033.850000001</v>
      </c>
      <c r="P10134">
        <v>43012919.119999997</v>
      </c>
      <c r="Q10134">
        <v>43474779.630000003</v>
      </c>
      <c r="R10134" s="14">
        <f>_xlfn.XLOOKUP(Table2[[#This Row],[LoanID]],Table1[G-L ID],Table1[ManagerCode],-99)</f>
        <v>183</v>
      </c>
      <c r="T10134"/>
    </row>
    <row r="10135" spans="1:20" x14ac:dyDescent="0.25">
      <c r="A10135">
        <v>20191231</v>
      </c>
      <c r="B10135">
        <v>2019</v>
      </c>
      <c r="C10135">
        <v>12</v>
      </c>
      <c r="D10135">
        <v>1</v>
      </c>
      <c r="E10135">
        <v>13820</v>
      </c>
      <c r="F10135">
        <v>322037.8</v>
      </c>
      <c r="G10135">
        <v>0</v>
      </c>
      <c r="H10135">
        <v>0</v>
      </c>
      <c r="I10135">
        <v>0</v>
      </c>
      <c r="J10135">
        <v>0</v>
      </c>
      <c r="K10135">
        <v>0</v>
      </c>
      <c r="L10135">
        <v>66500000</v>
      </c>
      <c r="M10135">
        <v>66500000</v>
      </c>
      <c r="N10135">
        <v>66500000</v>
      </c>
      <c r="O10135">
        <v>66500000</v>
      </c>
      <c r="P10135">
        <v>66500000</v>
      </c>
      <c r="Q10135">
        <v>66500000</v>
      </c>
      <c r="R10135" s="14">
        <f>_xlfn.XLOOKUP(Table2[[#This Row],[LoanID]],Table1[G-L ID],Table1[ManagerCode],-99)</f>
        <v>183</v>
      </c>
      <c r="T10135"/>
    </row>
    <row r="10136" spans="1:20" x14ac:dyDescent="0.25">
      <c r="A10136">
        <v>20191231</v>
      </c>
      <c r="B10136">
        <v>2019</v>
      </c>
      <c r="C10136">
        <v>12</v>
      </c>
      <c r="D10136">
        <v>1</v>
      </c>
      <c r="E10136">
        <v>13830</v>
      </c>
      <c r="F10136">
        <v>218434.44</v>
      </c>
      <c r="G10136">
        <v>0</v>
      </c>
      <c r="H10136">
        <v>0</v>
      </c>
      <c r="I10136">
        <v>0</v>
      </c>
      <c r="J10136">
        <v>0</v>
      </c>
      <c r="K10136">
        <v>0</v>
      </c>
      <c r="L10136">
        <v>101000000</v>
      </c>
      <c r="M10136">
        <v>101000000</v>
      </c>
      <c r="N10136">
        <v>35350000</v>
      </c>
      <c r="O10136">
        <v>35350000</v>
      </c>
      <c r="P10136">
        <v>101000000</v>
      </c>
      <c r="Q10136">
        <v>101000000</v>
      </c>
      <c r="R10136" s="14">
        <f>_xlfn.XLOOKUP(Table2[[#This Row],[LoanID]],Table1[G-L ID],Table1[ManagerCode],-99)</f>
        <v>183</v>
      </c>
      <c r="T10136"/>
    </row>
    <row r="10137" spans="1:20" x14ac:dyDescent="0.25">
      <c r="A10137">
        <v>20191231</v>
      </c>
      <c r="B10137">
        <v>2019</v>
      </c>
      <c r="C10137">
        <v>12</v>
      </c>
      <c r="D10137">
        <v>1</v>
      </c>
      <c r="E10137">
        <v>14000</v>
      </c>
      <c r="F10137">
        <v>189749.24</v>
      </c>
      <c r="G10137">
        <v>0</v>
      </c>
      <c r="H10137">
        <v>0</v>
      </c>
      <c r="I10137">
        <v>0</v>
      </c>
      <c r="J10137">
        <v>0</v>
      </c>
      <c r="K10137">
        <v>0</v>
      </c>
      <c r="L10137">
        <v>98000000</v>
      </c>
      <c r="M10137">
        <v>98000000</v>
      </c>
      <c r="N10137">
        <v>39200000</v>
      </c>
      <c r="O10137">
        <v>39200000</v>
      </c>
      <c r="P10137">
        <v>98000000</v>
      </c>
      <c r="Q10137">
        <v>98000000</v>
      </c>
      <c r="R10137" s="14">
        <f>_xlfn.XLOOKUP(Table2[[#This Row],[LoanID]],Table1[G-L ID],Table1[ManagerCode],-99)</f>
        <v>183</v>
      </c>
      <c r="T10137"/>
    </row>
    <row r="10138" spans="1:20" x14ac:dyDescent="0.25">
      <c r="A10138">
        <v>20191231</v>
      </c>
      <c r="B10138">
        <v>2019</v>
      </c>
      <c r="C10138">
        <v>12</v>
      </c>
      <c r="D10138">
        <v>1</v>
      </c>
      <c r="E10138">
        <v>14660</v>
      </c>
      <c r="F10138">
        <v>137100</v>
      </c>
      <c r="G10138">
        <v>4570</v>
      </c>
      <c r="H10138">
        <v>0</v>
      </c>
      <c r="I10138">
        <v>0</v>
      </c>
      <c r="J10138">
        <v>0</v>
      </c>
      <c r="K10138">
        <v>0</v>
      </c>
      <c r="L10138">
        <v>18137100</v>
      </c>
      <c r="M10138">
        <v>18141670</v>
      </c>
      <c r="N10138">
        <v>18137100</v>
      </c>
      <c r="O10138">
        <v>18141670</v>
      </c>
      <c r="P10138">
        <v>18137100</v>
      </c>
      <c r="Q10138">
        <v>18141670</v>
      </c>
      <c r="R10138" s="14">
        <f>_xlfn.XLOOKUP(Table2[[#This Row],[LoanID]],Table1[G-L ID],Table1[ManagerCode],-99)</f>
        <v>219</v>
      </c>
      <c r="T10138"/>
    </row>
    <row r="10139" spans="1:20" x14ac:dyDescent="0.25">
      <c r="A10139">
        <v>20191231</v>
      </c>
      <c r="B10139">
        <v>2019</v>
      </c>
      <c r="C10139">
        <v>12</v>
      </c>
      <c r="D10139">
        <v>1</v>
      </c>
      <c r="E10139">
        <v>14680</v>
      </c>
      <c r="F10139">
        <v>51063.17</v>
      </c>
      <c r="G10139">
        <v>0</v>
      </c>
      <c r="H10139">
        <v>0</v>
      </c>
      <c r="I10139">
        <v>0</v>
      </c>
      <c r="J10139">
        <v>0</v>
      </c>
      <c r="K10139">
        <v>0</v>
      </c>
      <c r="L10139">
        <v>30610000</v>
      </c>
      <c r="M10139">
        <v>30610000</v>
      </c>
      <c r="N10139">
        <v>8165011.7999999998</v>
      </c>
      <c r="O10139">
        <v>8165011.7999999998</v>
      </c>
      <c r="P10139">
        <v>30570657.100000001</v>
      </c>
      <c r="Q10139">
        <v>30570657.100000001</v>
      </c>
      <c r="R10139" s="14">
        <f>_xlfn.XLOOKUP(Table2[[#This Row],[LoanID]],Table1[G-L ID],Table1[ManagerCode],-99)</f>
        <v>220</v>
      </c>
      <c r="T10139"/>
    </row>
    <row r="10140" spans="1:20" x14ac:dyDescent="0.25">
      <c r="A10140">
        <v>20191231</v>
      </c>
      <c r="B10140">
        <v>2019</v>
      </c>
      <c r="C10140">
        <v>12</v>
      </c>
      <c r="D10140">
        <v>1</v>
      </c>
      <c r="E10140">
        <v>14690</v>
      </c>
      <c r="F10140">
        <v>105547.31</v>
      </c>
      <c r="G10140">
        <v>0</v>
      </c>
      <c r="H10140">
        <v>0</v>
      </c>
      <c r="I10140">
        <v>0</v>
      </c>
      <c r="J10140">
        <v>0</v>
      </c>
      <c r="K10140">
        <v>0</v>
      </c>
      <c r="L10140">
        <v>43055541.659999996</v>
      </c>
      <c r="M10140">
        <v>43055541.659999996</v>
      </c>
      <c r="N10140">
        <v>15537791.66</v>
      </c>
      <c r="O10140">
        <v>15537791.66</v>
      </c>
      <c r="P10140">
        <v>43055541.659999996</v>
      </c>
      <c r="Q10140">
        <v>43055541.659999996</v>
      </c>
      <c r="R10140" s="14">
        <f>_xlfn.XLOOKUP(Table2[[#This Row],[LoanID]],Table1[G-L ID],Table1[ManagerCode],-99)</f>
        <v>220</v>
      </c>
      <c r="T10140"/>
    </row>
    <row r="10141" spans="1:20" x14ac:dyDescent="0.25">
      <c r="A10141">
        <v>20191231</v>
      </c>
      <c r="B10141">
        <v>2019</v>
      </c>
      <c r="C10141">
        <v>12</v>
      </c>
      <c r="D10141">
        <v>1</v>
      </c>
      <c r="E10141">
        <v>14700</v>
      </c>
      <c r="F10141">
        <v>87660.19</v>
      </c>
      <c r="G10141">
        <v>0</v>
      </c>
      <c r="H10141">
        <v>0</v>
      </c>
      <c r="I10141">
        <v>0</v>
      </c>
      <c r="J10141">
        <v>-427705.07</v>
      </c>
      <c r="K10141">
        <v>0</v>
      </c>
      <c r="L10141">
        <v>35715610.409999996</v>
      </c>
      <c r="M10141">
        <v>36143315.479999997</v>
      </c>
      <c r="N10141">
        <v>11128110.41</v>
      </c>
      <c r="O10141">
        <v>11555815.48</v>
      </c>
      <c r="P10141">
        <v>35715610.409999996</v>
      </c>
      <c r="Q10141">
        <v>36143315.479999997</v>
      </c>
      <c r="R10141" s="14">
        <f>_xlfn.XLOOKUP(Table2[[#This Row],[LoanID]],Table1[G-L ID],Table1[ManagerCode],-99)</f>
        <v>220</v>
      </c>
      <c r="T10141"/>
    </row>
    <row r="10142" spans="1:20" x14ac:dyDescent="0.25">
      <c r="A10142">
        <v>20191231</v>
      </c>
      <c r="B10142">
        <v>2019</v>
      </c>
      <c r="C10142">
        <v>12</v>
      </c>
      <c r="D10142">
        <v>1</v>
      </c>
      <c r="E10142">
        <v>14710</v>
      </c>
      <c r="F10142">
        <v>72613.899999999994</v>
      </c>
      <c r="G10142">
        <v>0</v>
      </c>
      <c r="H10142">
        <v>0</v>
      </c>
      <c r="I10142">
        <v>0</v>
      </c>
      <c r="J10142">
        <v>0</v>
      </c>
      <c r="K10142">
        <v>0</v>
      </c>
      <c r="L10142">
        <v>33650000</v>
      </c>
      <c r="M10142">
        <v>33650000</v>
      </c>
      <c r="N10142">
        <v>11777500</v>
      </c>
      <c r="O10142">
        <v>11777500</v>
      </c>
      <c r="P10142">
        <v>33650000</v>
      </c>
      <c r="Q10142">
        <v>33650000</v>
      </c>
      <c r="R10142" s="14">
        <f>_xlfn.XLOOKUP(Table2[[#This Row],[LoanID]],Table1[G-L ID],Table1[ManagerCode],-99)</f>
        <v>220</v>
      </c>
      <c r="T10142"/>
    </row>
    <row r="10143" spans="1:20" x14ac:dyDescent="0.25">
      <c r="A10143">
        <v>20191231</v>
      </c>
      <c r="B10143">
        <v>2019</v>
      </c>
      <c r="C10143">
        <v>12</v>
      </c>
      <c r="D10143">
        <v>1</v>
      </c>
      <c r="E10143">
        <v>14720</v>
      </c>
      <c r="F10143">
        <v>47765.77</v>
      </c>
      <c r="G10143">
        <v>0</v>
      </c>
      <c r="H10143">
        <v>0</v>
      </c>
      <c r="I10143">
        <v>0</v>
      </c>
      <c r="J10143">
        <v>-374490.13</v>
      </c>
      <c r="K10143">
        <v>0</v>
      </c>
      <c r="L10143">
        <v>22628547.800000001</v>
      </c>
      <c r="M10143">
        <v>23003037.93</v>
      </c>
      <c r="N10143">
        <v>8901547.8000000007</v>
      </c>
      <c r="O10143">
        <v>9276037.9299999997</v>
      </c>
      <c r="P10143">
        <v>22624701.879999999</v>
      </c>
      <c r="Q10143">
        <v>22999192.010000002</v>
      </c>
      <c r="R10143" s="14">
        <f>_xlfn.XLOOKUP(Table2[[#This Row],[LoanID]],Table1[G-L ID],Table1[ManagerCode],-99)</f>
        <v>220</v>
      </c>
      <c r="T10143"/>
    </row>
    <row r="10144" spans="1:20" x14ac:dyDescent="0.25">
      <c r="A10144">
        <v>20191231</v>
      </c>
      <c r="B10144">
        <v>2019</v>
      </c>
      <c r="C10144">
        <v>12</v>
      </c>
      <c r="D10144">
        <v>1</v>
      </c>
      <c r="E10144">
        <v>14740</v>
      </c>
      <c r="F10144">
        <v>86842.71</v>
      </c>
      <c r="G10144">
        <v>0</v>
      </c>
      <c r="H10144">
        <v>0</v>
      </c>
      <c r="I10144">
        <v>0</v>
      </c>
      <c r="J10144">
        <v>0</v>
      </c>
      <c r="K10144">
        <v>0</v>
      </c>
      <c r="L10144">
        <v>35000000</v>
      </c>
      <c r="M10144">
        <v>35000000</v>
      </c>
      <c r="N10144">
        <v>14000000</v>
      </c>
      <c r="O10144">
        <v>14000000</v>
      </c>
      <c r="P10144">
        <v>35000000</v>
      </c>
      <c r="Q10144">
        <v>35000000</v>
      </c>
      <c r="R10144" s="14">
        <f>_xlfn.XLOOKUP(Table2[[#This Row],[LoanID]],Table1[G-L ID],Table1[ManagerCode],-99)</f>
        <v>220</v>
      </c>
      <c r="T10144"/>
    </row>
    <row r="10145" spans="1:20" x14ac:dyDescent="0.25">
      <c r="A10145">
        <v>20191231</v>
      </c>
      <c r="B10145">
        <v>2019</v>
      </c>
      <c r="C10145">
        <v>12</v>
      </c>
      <c r="D10145">
        <v>1</v>
      </c>
      <c r="E10145">
        <v>14750</v>
      </c>
      <c r="F10145">
        <v>100504.98</v>
      </c>
      <c r="G10145">
        <v>0</v>
      </c>
      <c r="H10145">
        <v>0</v>
      </c>
      <c r="I10145">
        <v>0</v>
      </c>
      <c r="J10145">
        <v>-2140105.31</v>
      </c>
      <c r="K10145">
        <v>0</v>
      </c>
      <c r="L10145">
        <v>56938347.729999997</v>
      </c>
      <c r="M10145">
        <v>59078453.039999999</v>
      </c>
      <c r="N10145">
        <v>21188347.73</v>
      </c>
      <c r="O10145">
        <v>23328453.039999999</v>
      </c>
      <c r="P10145">
        <v>56938347.729999997</v>
      </c>
      <c r="Q10145">
        <v>59078453.039999999</v>
      </c>
      <c r="R10145" s="14">
        <f>_xlfn.XLOOKUP(Table2[[#This Row],[LoanID]],Table1[G-L ID],Table1[ManagerCode],-99)</f>
        <v>220</v>
      </c>
      <c r="T10145"/>
    </row>
    <row r="10146" spans="1:20" x14ac:dyDescent="0.25">
      <c r="A10146">
        <v>20191231</v>
      </c>
      <c r="B10146">
        <v>2019</v>
      </c>
      <c r="C10146">
        <v>12</v>
      </c>
      <c r="D10146">
        <v>1</v>
      </c>
      <c r="E10146">
        <v>14760</v>
      </c>
      <c r="F10146">
        <v>206500</v>
      </c>
      <c r="G10146">
        <v>0</v>
      </c>
      <c r="H10146">
        <v>0</v>
      </c>
      <c r="I10146">
        <v>0</v>
      </c>
      <c r="J10146">
        <v>0</v>
      </c>
      <c r="K10146">
        <v>0</v>
      </c>
      <c r="L10146">
        <v>105000000</v>
      </c>
      <c r="M10146">
        <v>105000000</v>
      </c>
      <c r="N10146">
        <v>26250000</v>
      </c>
      <c r="O10146">
        <v>26250000</v>
      </c>
      <c r="P10146">
        <v>105000000</v>
      </c>
      <c r="Q10146">
        <v>105000000</v>
      </c>
      <c r="R10146" s="14">
        <f>_xlfn.XLOOKUP(Table2[[#This Row],[LoanID]],Table1[G-L ID],Table1[ManagerCode],-99)</f>
        <v>220</v>
      </c>
      <c r="T10146"/>
    </row>
    <row r="10147" spans="1:20" x14ac:dyDescent="0.25">
      <c r="A10147">
        <v>20191231</v>
      </c>
      <c r="B10147">
        <v>2019</v>
      </c>
      <c r="C10147">
        <v>12</v>
      </c>
      <c r="D10147">
        <v>1</v>
      </c>
      <c r="E10147">
        <v>14770</v>
      </c>
      <c r="F10147">
        <v>240037.5</v>
      </c>
      <c r="G10147">
        <v>0</v>
      </c>
      <c r="H10147">
        <v>0</v>
      </c>
      <c r="I10147">
        <v>0</v>
      </c>
      <c r="J10147">
        <v>0</v>
      </c>
      <c r="K10147">
        <v>0</v>
      </c>
      <c r="L10147">
        <v>55500000</v>
      </c>
      <c r="M10147">
        <v>55500000</v>
      </c>
      <c r="N10147">
        <v>55500000</v>
      </c>
      <c r="O10147">
        <v>55500000</v>
      </c>
      <c r="P10147">
        <v>55500000</v>
      </c>
      <c r="Q10147">
        <v>55500000</v>
      </c>
      <c r="R10147" s="14">
        <f>_xlfn.XLOOKUP(Table2[[#This Row],[LoanID]],Table1[G-L ID],Table1[ManagerCode],-99)</f>
        <v>220</v>
      </c>
      <c r="T10147"/>
    </row>
    <row r="10148" spans="1:20" x14ac:dyDescent="0.25">
      <c r="A10148">
        <v>20191231</v>
      </c>
      <c r="B10148">
        <v>2019</v>
      </c>
      <c r="C10148">
        <v>12</v>
      </c>
      <c r="D10148">
        <v>1</v>
      </c>
      <c r="E10148">
        <v>14780</v>
      </c>
      <c r="F10148">
        <v>108182.01</v>
      </c>
      <c r="G10148">
        <v>0</v>
      </c>
      <c r="H10148">
        <v>0</v>
      </c>
      <c r="I10148">
        <v>0</v>
      </c>
      <c r="J10148">
        <v>0</v>
      </c>
      <c r="K10148">
        <v>0</v>
      </c>
      <c r="L10148">
        <v>51000000</v>
      </c>
      <c r="M10148">
        <v>51000000</v>
      </c>
      <c r="N10148">
        <v>15300000</v>
      </c>
      <c r="O10148">
        <v>15300000</v>
      </c>
      <c r="P10148">
        <v>51000000</v>
      </c>
      <c r="Q10148">
        <v>51000000</v>
      </c>
      <c r="R10148" s="14">
        <f>_xlfn.XLOOKUP(Table2[[#This Row],[LoanID]],Table1[G-L ID],Table1[ManagerCode],-99)</f>
        <v>220</v>
      </c>
      <c r="T10148"/>
    </row>
    <row r="10149" spans="1:20" x14ac:dyDescent="0.25">
      <c r="A10149">
        <v>20191231</v>
      </c>
      <c r="B10149">
        <v>2019</v>
      </c>
      <c r="C10149">
        <v>12</v>
      </c>
      <c r="D10149">
        <v>1</v>
      </c>
      <c r="E10149">
        <v>14790</v>
      </c>
      <c r="F10149">
        <v>135697.07</v>
      </c>
      <c r="G10149">
        <v>0</v>
      </c>
      <c r="H10149">
        <v>0</v>
      </c>
      <c r="I10149">
        <v>0</v>
      </c>
      <c r="J10149">
        <v>0</v>
      </c>
      <c r="K10149">
        <v>0</v>
      </c>
      <c r="L10149">
        <v>80360000</v>
      </c>
      <c r="M10149">
        <v>80360000</v>
      </c>
      <c r="N10149">
        <v>25960000</v>
      </c>
      <c r="O10149">
        <v>25960000</v>
      </c>
      <c r="P10149">
        <v>80000000</v>
      </c>
      <c r="Q10149">
        <v>80000000</v>
      </c>
      <c r="R10149" s="14">
        <f>_xlfn.XLOOKUP(Table2[[#This Row],[LoanID]],Table1[G-L ID],Table1[ManagerCode],-99)</f>
        <v>220</v>
      </c>
      <c r="T10149"/>
    </row>
    <row r="10150" spans="1:20" x14ac:dyDescent="0.25">
      <c r="A10150">
        <v>20191231</v>
      </c>
      <c r="B10150">
        <v>2019</v>
      </c>
      <c r="C10150">
        <v>12</v>
      </c>
      <c r="D10150">
        <v>1</v>
      </c>
      <c r="E10150">
        <v>14800</v>
      </c>
      <c r="F10150">
        <v>105803.75</v>
      </c>
      <c r="G10150">
        <v>0</v>
      </c>
      <c r="H10150">
        <v>0</v>
      </c>
      <c r="I10150">
        <v>0</v>
      </c>
      <c r="J10150">
        <v>0</v>
      </c>
      <c r="K10150">
        <v>0</v>
      </c>
      <c r="L10150">
        <v>51000000</v>
      </c>
      <c r="M10150">
        <v>51000000</v>
      </c>
      <c r="N10150">
        <v>17850000</v>
      </c>
      <c r="O10150">
        <v>17850000</v>
      </c>
      <c r="P10150">
        <v>51000000</v>
      </c>
      <c r="Q10150">
        <v>51000000</v>
      </c>
      <c r="R10150" s="14">
        <f>_xlfn.XLOOKUP(Table2[[#This Row],[LoanID]],Table1[G-L ID],Table1[ManagerCode],-99)</f>
        <v>220</v>
      </c>
      <c r="T10150"/>
    </row>
    <row r="10151" spans="1:20" x14ac:dyDescent="0.25">
      <c r="A10151">
        <v>20191231</v>
      </c>
      <c r="B10151">
        <v>2019</v>
      </c>
      <c r="C10151">
        <v>12</v>
      </c>
      <c r="D10151">
        <v>1</v>
      </c>
      <c r="E10151">
        <v>14810</v>
      </c>
      <c r="F10151">
        <v>91410</v>
      </c>
      <c r="G10151">
        <v>0</v>
      </c>
      <c r="H10151">
        <v>0</v>
      </c>
      <c r="I10151">
        <v>0</v>
      </c>
      <c r="J10151">
        <v>0</v>
      </c>
      <c r="K10151">
        <v>0</v>
      </c>
      <c r="L10151">
        <v>24940000</v>
      </c>
      <c r="M10151">
        <v>24940000</v>
      </c>
      <c r="N10151">
        <v>24940000</v>
      </c>
      <c r="O10151">
        <v>24940000</v>
      </c>
      <c r="P10151">
        <v>24930000</v>
      </c>
      <c r="Q10151">
        <v>24930000</v>
      </c>
      <c r="R10151" s="14">
        <f>_xlfn.XLOOKUP(Table2[[#This Row],[LoanID]],Table1[G-L ID],Table1[ManagerCode],-99)</f>
        <v>220</v>
      </c>
      <c r="T10151"/>
    </row>
    <row r="10152" spans="1:20" x14ac:dyDescent="0.25">
      <c r="A10152">
        <v>20191231</v>
      </c>
      <c r="B10152">
        <v>2019</v>
      </c>
      <c r="C10152">
        <v>12</v>
      </c>
      <c r="D10152">
        <v>1</v>
      </c>
      <c r="E10152">
        <v>14820</v>
      </c>
      <c r="F10152">
        <v>75622.3</v>
      </c>
      <c r="G10152">
        <v>0</v>
      </c>
      <c r="H10152">
        <v>0</v>
      </c>
      <c r="I10152">
        <v>0</v>
      </c>
      <c r="J10152">
        <v>0</v>
      </c>
      <c r="K10152">
        <v>-5788895.4400000004</v>
      </c>
      <c r="L10152">
        <v>23287391.140000001</v>
      </c>
      <c r="M10152">
        <v>23287391.140000001</v>
      </c>
      <c r="N10152">
        <v>6580379</v>
      </c>
      <c r="O10152">
        <v>12369274.439999999</v>
      </c>
      <c r="P10152">
        <v>23287391.140000001</v>
      </c>
      <c r="Q10152">
        <v>23287391.140000001</v>
      </c>
      <c r="R10152" s="14">
        <f>_xlfn.XLOOKUP(Table2[[#This Row],[LoanID]],Table1[G-L ID],Table1[ManagerCode],-99)</f>
        <v>220</v>
      </c>
      <c r="T10152"/>
    </row>
    <row r="10153" spans="1:20" x14ac:dyDescent="0.25">
      <c r="A10153">
        <v>20191231</v>
      </c>
      <c r="B10153">
        <v>2019</v>
      </c>
      <c r="C10153">
        <v>12</v>
      </c>
      <c r="D10153">
        <v>1</v>
      </c>
      <c r="E10153">
        <v>14830</v>
      </c>
      <c r="F10153">
        <v>80222.36</v>
      </c>
      <c r="G10153">
        <v>0</v>
      </c>
      <c r="H10153">
        <v>0</v>
      </c>
      <c r="I10153">
        <v>0</v>
      </c>
      <c r="J10153">
        <v>0</v>
      </c>
      <c r="K10153">
        <v>0</v>
      </c>
      <c r="L10153">
        <v>37124679.07</v>
      </c>
      <c r="M10153">
        <v>37124679.07</v>
      </c>
      <c r="N10153">
        <v>15659623.369999999</v>
      </c>
      <c r="O10153">
        <v>15659623.369999999</v>
      </c>
      <c r="P10153">
        <v>37000000</v>
      </c>
      <c r="Q10153">
        <v>37000000</v>
      </c>
      <c r="R10153" s="14">
        <f>_xlfn.XLOOKUP(Table2[[#This Row],[LoanID]],Table1[G-L ID],Table1[ManagerCode],-99)</f>
        <v>220</v>
      </c>
      <c r="T10153"/>
    </row>
    <row r="10154" spans="1:20" x14ac:dyDescent="0.25">
      <c r="A10154">
        <v>20191231</v>
      </c>
      <c r="B10154">
        <v>2019</v>
      </c>
      <c r="C10154">
        <v>12</v>
      </c>
      <c r="D10154">
        <v>1</v>
      </c>
      <c r="E10154">
        <v>14840</v>
      </c>
      <c r="F10154">
        <v>68273.97</v>
      </c>
      <c r="G10154">
        <v>0</v>
      </c>
      <c r="H10154">
        <v>0</v>
      </c>
      <c r="I10154">
        <v>0</v>
      </c>
      <c r="J10154">
        <v>0</v>
      </c>
      <c r="K10154">
        <v>0</v>
      </c>
      <c r="L10154">
        <v>32514668.289999999</v>
      </c>
      <c r="M10154">
        <v>32514668.289999999</v>
      </c>
      <c r="N10154">
        <v>13316135.25</v>
      </c>
      <c r="O10154">
        <v>13316135.25</v>
      </c>
      <c r="P10154">
        <v>32484668.289999999</v>
      </c>
      <c r="Q10154">
        <v>32484668.289999999</v>
      </c>
      <c r="R10154" s="14">
        <f>_xlfn.XLOOKUP(Table2[[#This Row],[LoanID]],Table1[G-L ID],Table1[ManagerCode],-99)</f>
        <v>220</v>
      </c>
      <c r="T10154"/>
    </row>
    <row r="10155" spans="1:20" x14ac:dyDescent="0.25">
      <c r="A10155">
        <v>20191231</v>
      </c>
      <c r="B10155">
        <v>2019</v>
      </c>
      <c r="C10155">
        <v>12</v>
      </c>
      <c r="D10155">
        <v>1</v>
      </c>
      <c r="E10155">
        <v>14850</v>
      </c>
      <c r="F10155">
        <v>179313.76</v>
      </c>
      <c r="G10155">
        <v>0</v>
      </c>
      <c r="H10155">
        <v>0</v>
      </c>
      <c r="I10155">
        <v>0</v>
      </c>
      <c r="J10155">
        <v>0</v>
      </c>
      <c r="K10155">
        <v>0</v>
      </c>
      <c r="L10155">
        <v>88260559.060000002</v>
      </c>
      <c r="M10155">
        <v>88260559.060000002</v>
      </c>
      <c r="N10155">
        <v>36632033.18</v>
      </c>
      <c r="O10155">
        <v>36632033.18</v>
      </c>
      <c r="P10155">
        <v>88185464.280000001</v>
      </c>
      <c r="Q10155">
        <v>88185464.280000001</v>
      </c>
      <c r="R10155" s="14">
        <f>_xlfn.XLOOKUP(Table2[[#This Row],[LoanID]],Table1[G-L ID],Table1[ManagerCode],-99)</f>
        <v>220</v>
      </c>
      <c r="T10155"/>
    </row>
    <row r="10156" spans="1:20" x14ac:dyDescent="0.25">
      <c r="A10156">
        <v>20191231</v>
      </c>
      <c r="B10156">
        <v>2019</v>
      </c>
      <c r="C10156">
        <v>12</v>
      </c>
      <c r="D10156">
        <v>1</v>
      </c>
      <c r="E10156">
        <v>14860</v>
      </c>
      <c r="F10156">
        <v>146143.38</v>
      </c>
      <c r="G10156">
        <v>0</v>
      </c>
      <c r="H10156">
        <v>0</v>
      </c>
      <c r="I10156">
        <v>0</v>
      </c>
      <c r="J10156">
        <v>0</v>
      </c>
      <c r="K10156">
        <v>0</v>
      </c>
      <c r="L10156">
        <v>65150000</v>
      </c>
      <c r="M10156">
        <v>65150000</v>
      </c>
      <c r="N10156">
        <v>26291000</v>
      </c>
      <c r="O10156">
        <v>26291000</v>
      </c>
      <c r="P10156">
        <v>65000000</v>
      </c>
      <c r="Q10156">
        <v>65000000</v>
      </c>
      <c r="R10156" s="14">
        <f>_xlfn.XLOOKUP(Table2[[#This Row],[LoanID]],Table1[G-L ID],Table1[ManagerCode],-99)</f>
        <v>220</v>
      </c>
      <c r="T10156"/>
    </row>
    <row r="10157" spans="1:20" x14ac:dyDescent="0.25">
      <c r="A10157">
        <v>20191231</v>
      </c>
      <c r="B10157">
        <v>2019</v>
      </c>
      <c r="C10157">
        <v>12</v>
      </c>
      <c r="D10157">
        <v>1</v>
      </c>
      <c r="E10157">
        <v>14870</v>
      </c>
      <c r="F10157">
        <v>416459.87</v>
      </c>
      <c r="G10157">
        <v>0</v>
      </c>
      <c r="H10157">
        <v>0</v>
      </c>
      <c r="I10157">
        <v>0</v>
      </c>
      <c r="J10157">
        <v>0</v>
      </c>
      <c r="K10157">
        <v>-28969901.920000002</v>
      </c>
      <c r="L10157">
        <v>123570216</v>
      </c>
      <c r="M10157">
        <v>123570216</v>
      </c>
      <c r="N10157">
        <v>38694247.780000001</v>
      </c>
      <c r="O10157">
        <v>67664149.700000003</v>
      </c>
      <c r="P10157">
        <v>123501436</v>
      </c>
      <c r="Q10157">
        <v>123501436</v>
      </c>
      <c r="R10157" s="14">
        <f>_xlfn.XLOOKUP(Table2[[#This Row],[LoanID]],Table1[G-L ID],Table1[ManagerCode],-99)</f>
        <v>220</v>
      </c>
      <c r="T10157"/>
    </row>
    <row r="10158" spans="1:20" x14ac:dyDescent="0.25">
      <c r="A10158">
        <v>20191231</v>
      </c>
      <c r="B10158">
        <v>2019</v>
      </c>
      <c r="C10158">
        <v>12</v>
      </c>
      <c r="D10158">
        <v>1</v>
      </c>
      <c r="E10158">
        <v>14880</v>
      </c>
      <c r="F10158">
        <v>137350.16</v>
      </c>
      <c r="G10158">
        <v>0</v>
      </c>
      <c r="H10158">
        <v>0</v>
      </c>
      <c r="I10158">
        <v>0</v>
      </c>
      <c r="J10158">
        <v>-65520.23</v>
      </c>
      <c r="K10158">
        <v>0</v>
      </c>
      <c r="L10158">
        <v>20230783.859999999</v>
      </c>
      <c r="M10158">
        <v>20296304.09</v>
      </c>
      <c r="N10158">
        <v>20230783.859999999</v>
      </c>
      <c r="O10158">
        <v>20296304.09</v>
      </c>
      <c r="P10158">
        <v>20230783.859999999</v>
      </c>
      <c r="Q10158">
        <v>20296304.09</v>
      </c>
      <c r="R10158" s="14">
        <f>_xlfn.XLOOKUP(Table2[[#This Row],[LoanID]],Table1[G-L ID],Table1[ManagerCode],-99)</f>
        <v>220</v>
      </c>
      <c r="T10158"/>
    </row>
    <row r="10159" spans="1:20" x14ac:dyDescent="0.25">
      <c r="A10159">
        <v>20191231</v>
      </c>
      <c r="B10159">
        <v>2019</v>
      </c>
      <c r="C10159">
        <v>12</v>
      </c>
      <c r="D10159">
        <v>1</v>
      </c>
      <c r="E10159">
        <v>14890</v>
      </c>
      <c r="F10159">
        <v>60225.1</v>
      </c>
      <c r="G10159">
        <v>0</v>
      </c>
      <c r="H10159">
        <v>0</v>
      </c>
      <c r="I10159">
        <v>0</v>
      </c>
      <c r="J10159">
        <v>0</v>
      </c>
      <c r="K10159">
        <v>0</v>
      </c>
      <c r="L10159">
        <v>34000000</v>
      </c>
      <c r="M10159">
        <v>34000000</v>
      </c>
      <c r="N10159">
        <v>14177663.98</v>
      </c>
      <c r="O10159">
        <v>14177663.98</v>
      </c>
      <c r="P10159">
        <v>34000000</v>
      </c>
      <c r="Q10159">
        <v>34000000</v>
      </c>
      <c r="R10159" s="14">
        <f>_xlfn.XLOOKUP(Table2[[#This Row],[LoanID]],Table1[G-L ID],Table1[ManagerCode],-99)</f>
        <v>220</v>
      </c>
      <c r="T10159"/>
    </row>
    <row r="10160" spans="1:20" x14ac:dyDescent="0.25">
      <c r="A10160">
        <v>20191231</v>
      </c>
      <c r="B10160">
        <v>2019</v>
      </c>
      <c r="C10160">
        <v>12</v>
      </c>
      <c r="D10160">
        <v>1</v>
      </c>
      <c r="E10160">
        <v>14900</v>
      </c>
      <c r="F10160">
        <v>112602.37</v>
      </c>
      <c r="G10160">
        <v>0</v>
      </c>
      <c r="H10160">
        <v>0</v>
      </c>
      <c r="I10160">
        <v>0</v>
      </c>
      <c r="J10160">
        <v>0</v>
      </c>
      <c r="K10160">
        <v>0</v>
      </c>
      <c r="L10160">
        <v>66096659.850000001</v>
      </c>
      <c r="M10160">
        <v>66096659.850000001</v>
      </c>
      <c r="N10160">
        <v>24496659.850000001</v>
      </c>
      <c r="O10160">
        <v>24496659.850000001</v>
      </c>
      <c r="P10160">
        <v>66096659.850000001</v>
      </c>
      <c r="Q10160">
        <v>66096659.850000001</v>
      </c>
      <c r="R10160" s="14">
        <f>_xlfn.XLOOKUP(Table2[[#This Row],[LoanID]],Table1[G-L ID],Table1[ManagerCode],-99)</f>
        <v>220</v>
      </c>
      <c r="T10160"/>
    </row>
    <row r="10161" spans="1:20" x14ac:dyDescent="0.25">
      <c r="A10161">
        <v>20191231</v>
      </c>
      <c r="B10161">
        <v>2019</v>
      </c>
      <c r="C10161">
        <v>12</v>
      </c>
      <c r="D10161">
        <v>1</v>
      </c>
      <c r="E10161">
        <v>14910</v>
      </c>
      <c r="F10161">
        <v>84716.77</v>
      </c>
      <c r="G10161">
        <v>0</v>
      </c>
      <c r="H10161">
        <v>0</v>
      </c>
      <c r="I10161">
        <v>0</v>
      </c>
      <c r="J10161">
        <v>0</v>
      </c>
      <c r="K10161">
        <v>0</v>
      </c>
      <c r="L10161">
        <v>39447378.079999998</v>
      </c>
      <c r="M10161">
        <v>39447378.079999998</v>
      </c>
      <c r="N10161">
        <v>12847378.08</v>
      </c>
      <c r="O10161">
        <v>12847378.08</v>
      </c>
      <c r="P10161">
        <v>39447378.079999998</v>
      </c>
      <c r="Q10161">
        <v>39447378.079999998</v>
      </c>
      <c r="R10161" s="14">
        <f>_xlfn.XLOOKUP(Table2[[#This Row],[LoanID]],Table1[G-L ID],Table1[ManagerCode],-99)</f>
        <v>220</v>
      </c>
      <c r="T10161"/>
    </row>
    <row r="10162" spans="1:20" x14ac:dyDescent="0.25">
      <c r="A10162">
        <v>20191231</v>
      </c>
      <c r="B10162">
        <v>2019</v>
      </c>
      <c r="C10162">
        <v>12</v>
      </c>
      <c r="D10162">
        <v>1</v>
      </c>
      <c r="E10162">
        <v>14920</v>
      </c>
      <c r="F10162">
        <v>146360.69</v>
      </c>
      <c r="G10162">
        <v>0</v>
      </c>
      <c r="H10162">
        <v>0</v>
      </c>
      <c r="I10162">
        <v>0</v>
      </c>
      <c r="J10162">
        <v>-284109.89</v>
      </c>
      <c r="K10162">
        <v>0</v>
      </c>
      <c r="L10162">
        <v>70526574.980000004</v>
      </c>
      <c r="M10162">
        <v>70810684.870000005</v>
      </c>
      <c r="N10162">
        <v>21526574.98</v>
      </c>
      <c r="O10162">
        <v>21810684.870000001</v>
      </c>
      <c r="P10162">
        <v>70526574.980000004</v>
      </c>
      <c r="Q10162">
        <v>70810684.870000005</v>
      </c>
      <c r="R10162" s="14">
        <f>_xlfn.XLOOKUP(Table2[[#This Row],[LoanID]],Table1[G-L ID],Table1[ManagerCode],-99)</f>
        <v>220</v>
      </c>
      <c r="T10162"/>
    </row>
    <row r="10163" spans="1:20" x14ac:dyDescent="0.25">
      <c r="A10163">
        <v>20191231</v>
      </c>
      <c r="B10163">
        <v>2019</v>
      </c>
      <c r="C10163">
        <v>12</v>
      </c>
      <c r="D10163">
        <v>1</v>
      </c>
      <c r="E10163">
        <v>14930</v>
      </c>
      <c r="F10163">
        <v>82247.929999999993</v>
      </c>
      <c r="G10163">
        <v>0</v>
      </c>
      <c r="H10163">
        <v>0</v>
      </c>
      <c r="I10163">
        <v>0</v>
      </c>
      <c r="J10163">
        <v>0</v>
      </c>
      <c r="K10163">
        <v>0</v>
      </c>
      <c r="L10163">
        <v>55000000</v>
      </c>
      <c r="M10163">
        <v>55000000</v>
      </c>
      <c r="N10163">
        <v>19250000</v>
      </c>
      <c r="O10163">
        <v>19250000</v>
      </c>
      <c r="P10163">
        <v>55000000</v>
      </c>
      <c r="Q10163">
        <v>55000000</v>
      </c>
      <c r="R10163" s="14">
        <f>_xlfn.XLOOKUP(Table2[[#This Row],[LoanID]],Table1[G-L ID],Table1[ManagerCode],-99)</f>
        <v>220</v>
      </c>
      <c r="T10163"/>
    </row>
    <row r="10164" spans="1:20" x14ac:dyDescent="0.25">
      <c r="A10164">
        <v>20191231</v>
      </c>
      <c r="B10164">
        <v>2019</v>
      </c>
      <c r="C10164">
        <v>12</v>
      </c>
      <c r="D10164">
        <v>1</v>
      </c>
      <c r="E10164">
        <v>14940</v>
      </c>
      <c r="F10164">
        <v>138118.23000000001</v>
      </c>
      <c r="G10164">
        <v>0</v>
      </c>
      <c r="H10164">
        <v>0</v>
      </c>
      <c r="I10164">
        <v>0</v>
      </c>
      <c r="J10164">
        <v>-251248.33</v>
      </c>
      <c r="K10164">
        <v>0</v>
      </c>
      <c r="L10164">
        <v>74886165.010000005</v>
      </c>
      <c r="M10164">
        <v>75090000</v>
      </c>
      <c r="N10164">
        <v>36430223.240000002</v>
      </c>
      <c r="O10164">
        <v>36634058.229999997</v>
      </c>
      <c r="P10164">
        <v>74695634.099999994</v>
      </c>
      <c r="Q10164">
        <v>74946882.430000007</v>
      </c>
      <c r="R10164" s="14">
        <f>_xlfn.XLOOKUP(Table2[[#This Row],[LoanID]],Table1[G-L ID],Table1[ManagerCode],-99)</f>
        <v>220</v>
      </c>
      <c r="T10164"/>
    </row>
    <row r="10165" spans="1:20" x14ac:dyDescent="0.25">
      <c r="A10165">
        <v>20191231</v>
      </c>
      <c r="B10165">
        <v>2019</v>
      </c>
      <c r="C10165">
        <v>12</v>
      </c>
      <c r="D10165">
        <v>1</v>
      </c>
      <c r="E10165">
        <v>14950</v>
      </c>
      <c r="F10165">
        <v>184022.22</v>
      </c>
      <c r="G10165">
        <v>0</v>
      </c>
      <c r="H10165">
        <v>0</v>
      </c>
      <c r="I10165">
        <v>0</v>
      </c>
      <c r="J10165">
        <v>0</v>
      </c>
      <c r="K10165">
        <v>0</v>
      </c>
      <c r="L10165">
        <v>35000000</v>
      </c>
      <c r="M10165">
        <v>35000000</v>
      </c>
      <c r="N10165">
        <v>35000000</v>
      </c>
      <c r="O10165">
        <v>35000000</v>
      </c>
      <c r="P10165">
        <v>35000000</v>
      </c>
      <c r="Q10165">
        <v>35000000</v>
      </c>
      <c r="R10165" s="14">
        <f>_xlfn.XLOOKUP(Table2[[#This Row],[LoanID]],Table1[G-L ID],Table1[ManagerCode],-99)</f>
        <v>220</v>
      </c>
      <c r="T10165"/>
    </row>
    <row r="10166" spans="1:20" x14ac:dyDescent="0.25">
      <c r="A10166">
        <v>20191231</v>
      </c>
      <c r="B10166">
        <v>2019</v>
      </c>
      <c r="C10166">
        <v>12</v>
      </c>
      <c r="D10166">
        <v>1</v>
      </c>
      <c r="E10166">
        <v>14960</v>
      </c>
      <c r="F10166">
        <v>31090.39</v>
      </c>
      <c r="G10166">
        <v>0</v>
      </c>
      <c r="H10166">
        <v>0</v>
      </c>
      <c r="I10166">
        <v>0</v>
      </c>
      <c r="J10166">
        <v>0</v>
      </c>
      <c r="K10166">
        <v>-3680300.49</v>
      </c>
      <c r="L10166">
        <v>14840000</v>
      </c>
      <c r="M10166">
        <v>14840000</v>
      </c>
      <c r="N10166">
        <v>4218487.5599999996</v>
      </c>
      <c r="O10166">
        <v>7898788.0499999998</v>
      </c>
      <c r="P10166">
        <v>14805000</v>
      </c>
      <c r="Q10166">
        <v>14805000</v>
      </c>
      <c r="R10166" s="14">
        <f>_xlfn.XLOOKUP(Table2[[#This Row],[LoanID]],Table1[G-L ID],Table1[ManagerCode],-99)</f>
        <v>220</v>
      </c>
      <c r="T10166"/>
    </row>
    <row r="10167" spans="1:20" x14ac:dyDescent="0.25">
      <c r="A10167">
        <v>20191231</v>
      </c>
      <c r="B10167">
        <v>2019</v>
      </c>
      <c r="C10167">
        <v>12</v>
      </c>
      <c r="D10167">
        <v>1</v>
      </c>
      <c r="E10167">
        <v>14970</v>
      </c>
      <c r="F10167">
        <v>67047.75</v>
      </c>
      <c r="G10167">
        <v>0</v>
      </c>
      <c r="H10167">
        <v>0</v>
      </c>
      <c r="I10167">
        <v>0</v>
      </c>
      <c r="J10167">
        <v>0</v>
      </c>
      <c r="K10167">
        <v>0</v>
      </c>
      <c r="L10167">
        <v>29700000</v>
      </c>
      <c r="M10167">
        <v>29700000</v>
      </c>
      <c r="N10167">
        <v>10395000</v>
      </c>
      <c r="O10167">
        <v>10395000</v>
      </c>
      <c r="P10167">
        <v>29700000</v>
      </c>
      <c r="Q10167">
        <v>29700000</v>
      </c>
      <c r="R10167" s="14">
        <f>_xlfn.XLOOKUP(Table2[[#This Row],[LoanID]],Table1[G-L ID],Table1[ManagerCode],-99)</f>
        <v>220</v>
      </c>
      <c r="T10167"/>
    </row>
    <row r="10168" spans="1:20" x14ac:dyDescent="0.25">
      <c r="A10168">
        <v>20191231</v>
      </c>
      <c r="B10168">
        <v>2019</v>
      </c>
      <c r="C10168">
        <v>12</v>
      </c>
      <c r="D10168">
        <v>1</v>
      </c>
      <c r="E10168">
        <v>14980</v>
      </c>
      <c r="F10168">
        <v>152312.5</v>
      </c>
      <c r="G10168">
        <v>0</v>
      </c>
      <c r="H10168">
        <v>0</v>
      </c>
      <c r="I10168">
        <v>0</v>
      </c>
      <c r="J10168">
        <v>0</v>
      </c>
      <c r="K10168">
        <v>0</v>
      </c>
      <c r="L10168">
        <v>75000000</v>
      </c>
      <c r="M10168">
        <v>75000000</v>
      </c>
      <c r="N10168">
        <v>22500000</v>
      </c>
      <c r="O10168">
        <v>22500000</v>
      </c>
      <c r="P10168">
        <v>75000000</v>
      </c>
      <c r="Q10168">
        <v>75000000</v>
      </c>
      <c r="R10168" s="14">
        <f>_xlfn.XLOOKUP(Table2[[#This Row],[LoanID]],Table1[G-L ID],Table1[ManagerCode],-99)</f>
        <v>220</v>
      </c>
      <c r="T10168"/>
    </row>
    <row r="10169" spans="1:20" x14ac:dyDescent="0.25">
      <c r="A10169">
        <v>20191231</v>
      </c>
      <c r="B10169">
        <v>2019</v>
      </c>
      <c r="C10169">
        <v>12</v>
      </c>
      <c r="D10169">
        <v>1</v>
      </c>
      <c r="E10169">
        <v>14990</v>
      </c>
      <c r="F10169">
        <v>63123.33</v>
      </c>
      <c r="G10169">
        <v>0</v>
      </c>
      <c r="H10169">
        <v>0</v>
      </c>
      <c r="I10169">
        <v>0</v>
      </c>
      <c r="J10169">
        <v>0</v>
      </c>
      <c r="K10169">
        <v>0</v>
      </c>
      <c r="L10169">
        <v>32650000</v>
      </c>
      <c r="M10169">
        <v>32650000</v>
      </c>
      <c r="N10169">
        <v>9795000</v>
      </c>
      <c r="O10169">
        <v>9795000</v>
      </c>
      <c r="P10169">
        <v>32650000</v>
      </c>
      <c r="Q10169">
        <v>32650000</v>
      </c>
      <c r="R10169" s="14">
        <f>_xlfn.XLOOKUP(Table2[[#This Row],[LoanID]],Table1[G-L ID],Table1[ManagerCode],-99)</f>
        <v>220</v>
      </c>
      <c r="T10169"/>
    </row>
    <row r="10170" spans="1:20" x14ac:dyDescent="0.25">
      <c r="A10170">
        <v>20191231</v>
      </c>
      <c r="B10170">
        <v>2019</v>
      </c>
      <c r="C10170">
        <v>12</v>
      </c>
      <c r="D10170">
        <v>1</v>
      </c>
      <c r="E10170">
        <v>15000</v>
      </c>
      <c r="F10170">
        <v>173971.06</v>
      </c>
      <c r="G10170">
        <v>0</v>
      </c>
      <c r="H10170">
        <v>0</v>
      </c>
      <c r="I10170">
        <v>0</v>
      </c>
      <c r="J10170">
        <v>-1329041.33</v>
      </c>
      <c r="K10170">
        <v>0</v>
      </c>
      <c r="L10170">
        <v>110903641</v>
      </c>
      <c r="M10170">
        <v>112232682.3</v>
      </c>
      <c r="N10170">
        <v>33903641</v>
      </c>
      <c r="O10170">
        <v>35232682.299999997</v>
      </c>
      <c r="P10170">
        <v>110903641</v>
      </c>
      <c r="Q10170">
        <v>112232682.3</v>
      </c>
      <c r="R10170" s="14">
        <f>_xlfn.XLOOKUP(Table2[[#This Row],[LoanID]],Table1[G-L ID],Table1[ManagerCode],-99)</f>
        <v>220</v>
      </c>
      <c r="T10170"/>
    </row>
    <row r="10171" spans="1:20" x14ac:dyDescent="0.25">
      <c r="A10171">
        <v>20191231</v>
      </c>
      <c r="B10171">
        <v>2019</v>
      </c>
      <c r="C10171">
        <v>12</v>
      </c>
      <c r="D10171">
        <v>1</v>
      </c>
      <c r="E10171">
        <v>15010</v>
      </c>
      <c r="F10171">
        <v>70863.320000000007</v>
      </c>
      <c r="G10171">
        <v>0</v>
      </c>
      <c r="H10171">
        <v>0</v>
      </c>
      <c r="I10171">
        <v>0</v>
      </c>
      <c r="J10171">
        <v>0</v>
      </c>
      <c r="K10171">
        <v>0</v>
      </c>
      <c r="L10171">
        <v>30960000</v>
      </c>
      <c r="M10171">
        <v>30960000</v>
      </c>
      <c r="N10171">
        <v>10836000</v>
      </c>
      <c r="O10171">
        <v>10836000</v>
      </c>
      <c r="P10171">
        <v>30960000</v>
      </c>
      <c r="Q10171">
        <v>30960000</v>
      </c>
      <c r="R10171" s="14">
        <f>_xlfn.XLOOKUP(Table2[[#This Row],[LoanID]],Table1[G-L ID],Table1[ManagerCode],-99)</f>
        <v>220</v>
      </c>
      <c r="T10171"/>
    </row>
    <row r="10172" spans="1:20" x14ac:dyDescent="0.25">
      <c r="A10172">
        <v>20191231</v>
      </c>
      <c r="B10172">
        <v>2019</v>
      </c>
      <c r="C10172">
        <v>12</v>
      </c>
      <c r="D10172">
        <v>1</v>
      </c>
      <c r="E10172">
        <v>15020</v>
      </c>
      <c r="F10172">
        <v>110522.4</v>
      </c>
      <c r="G10172">
        <v>0</v>
      </c>
      <c r="H10172">
        <v>0</v>
      </c>
      <c r="I10172">
        <v>0</v>
      </c>
      <c r="J10172">
        <v>0</v>
      </c>
      <c r="K10172">
        <v>-16560902.16</v>
      </c>
      <c r="L10172">
        <v>69000000</v>
      </c>
      <c r="M10172">
        <v>69000000</v>
      </c>
      <c r="N10172">
        <v>21204492.800000001</v>
      </c>
      <c r="O10172">
        <v>37765394.960000001</v>
      </c>
      <c r="P10172">
        <v>69000000</v>
      </c>
      <c r="Q10172">
        <v>69000000</v>
      </c>
      <c r="R10172" s="14">
        <f>_xlfn.XLOOKUP(Table2[[#This Row],[LoanID]],Table1[G-L ID],Table1[ManagerCode],-99)</f>
        <v>220</v>
      </c>
      <c r="T10172"/>
    </row>
    <row r="10173" spans="1:20" x14ac:dyDescent="0.25">
      <c r="A10173">
        <v>20191231</v>
      </c>
      <c r="B10173">
        <v>2019</v>
      </c>
      <c r="C10173">
        <v>12</v>
      </c>
      <c r="D10173">
        <v>1</v>
      </c>
      <c r="E10173">
        <v>15030</v>
      </c>
      <c r="F10173">
        <v>88120.08</v>
      </c>
      <c r="G10173">
        <v>0</v>
      </c>
      <c r="H10173">
        <v>0</v>
      </c>
      <c r="I10173">
        <v>0</v>
      </c>
      <c r="J10173">
        <v>0</v>
      </c>
      <c r="K10173">
        <v>0</v>
      </c>
      <c r="L10173">
        <v>40337200.030000001</v>
      </c>
      <c r="M10173">
        <v>40320000</v>
      </c>
      <c r="N10173">
        <v>15582482.619999999</v>
      </c>
      <c r="O10173">
        <v>15565282.59</v>
      </c>
      <c r="P10173">
        <v>40292710.170000002</v>
      </c>
      <c r="Q10173">
        <v>40292710.170000002</v>
      </c>
      <c r="R10173" s="14">
        <f>_xlfn.XLOOKUP(Table2[[#This Row],[LoanID]],Table1[G-L ID],Table1[ManagerCode],-99)</f>
        <v>220</v>
      </c>
      <c r="T10173"/>
    </row>
    <row r="10174" spans="1:20" x14ac:dyDescent="0.25">
      <c r="A10174">
        <v>20191231</v>
      </c>
      <c r="B10174">
        <v>2019</v>
      </c>
      <c r="C10174">
        <v>12</v>
      </c>
      <c r="D10174">
        <v>1</v>
      </c>
      <c r="E10174">
        <v>15040</v>
      </c>
      <c r="F10174">
        <v>108560.39</v>
      </c>
      <c r="G10174">
        <v>0</v>
      </c>
      <c r="H10174">
        <v>0</v>
      </c>
      <c r="I10174">
        <v>0</v>
      </c>
      <c r="J10174">
        <v>-442470.06</v>
      </c>
      <c r="K10174">
        <v>0</v>
      </c>
      <c r="L10174">
        <v>51465927.409999996</v>
      </c>
      <c r="M10174">
        <v>51908397.469999999</v>
      </c>
      <c r="N10174">
        <v>18380927.41</v>
      </c>
      <c r="O10174">
        <v>18823397.469999999</v>
      </c>
      <c r="P10174">
        <v>51465927.409999996</v>
      </c>
      <c r="Q10174">
        <v>51908397.469999999</v>
      </c>
      <c r="R10174" s="14">
        <f>_xlfn.XLOOKUP(Table2[[#This Row],[LoanID]],Table1[G-L ID],Table1[ManagerCode],-99)</f>
        <v>183</v>
      </c>
      <c r="T10174"/>
    </row>
    <row r="10175" spans="1:20" x14ac:dyDescent="0.25">
      <c r="A10175">
        <v>20191231</v>
      </c>
      <c r="B10175">
        <v>2019</v>
      </c>
      <c r="C10175">
        <v>12</v>
      </c>
      <c r="D10175">
        <v>1</v>
      </c>
      <c r="E10175">
        <v>15050</v>
      </c>
      <c r="F10175">
        <v>93734.48</v>
      </c>
      <c r="G10175">
        <v>0</v>
      </c>
      <c r="H10175">
        <v>0</v>
      </c>
      <c r="I10175">
        <v>0</v>
      </c>
      <c r="J10175">
        <v>0</v>
      </c>
      <c r="K10175">
        <v>0</v>
      </c>
      <c r="L10175">
        <v>47510000</v>
      </c>
      <c r="M10175">
        <v>47510000</v>
      </c>
      <c r="N10175">
        <v>16628500</v>
      </c>
      <c r="O10175">
        <v>16628500</v>
      </c>
      <c r="P10175">
        <v>47510000</v>
      </c>
      <c r="Q10175">
        <v>47510000</v>
      </c>
      <c r="R10175" s="14">
        <f>_xlfn.XLOOKUP(Table2[[#This Row],[LoanID]],Table1[G-L ID],Table1[ManagerCode],-99)</f>
        <v>183</v>
      </c>
      <c r="T10175"/>
    </row>
    <row r="10176" spans="1:20" x14ac:dyDescent="0.25">
      <c r="A10176">
        <v>20191231</v>
      </c>
      <c r="B10176">
        <v>2019</v>
      </c>
      <c r="C10176">
        <v>12</v>
      </c>
      <c r="D10176">
        <v>1</v>
      </c>
      <c r="E10176">
        <v>15060</v>
      </c>
      <c r="F10176">
        <v>55220.93</v>
      </c>
      <c r="G10176">
        <v>0</v>
      </c>
      <c r="H10176">
        <v>0</v>
      </c>
      <c r="I10176">
        <v>0</v>
      </c>
      <c r="J10176">
        <v>0</v>
      </c>
      <c r="K10176">
        <v>0</v>
      </c>
      <c r="L10176">
        <v>27750000</v>
      </c>
      <c r="M10176">
        <v>27750000</v>
      </c>
      <c r="N10176">
        <v>9712500</v>
      </c>
      <c r="O10176">
        <v>9712500</v>
      </c>
      <c r="P10176">
        <v>27750000</v>
      </c>
      <c r="Q10176">
        <v>27750000</v>
      </c>
      <c r="R10176" s="14">
        <f>_xlfn.XLOOKUP(Table2[[#This Row],[LoanID]],Table1[G-L ID],Table1[ManagerCode],-99)</f>
        <v>183</v>
      </c>
      <c r="T10176"/>
    </row>
    <row r="10177" spans="1:20" x14ac:dyDescent="0.25">
      <c r="A10177">
        <v>20191231</v>
      </c>
      <c r="B10177">
        <v>2019</v>
      </c>
      <c r="C10177">
        <v>12</v>
      </c>
      <c r="D10177">
        <v>1</v>
      </c>
      <c r="E10177">
        <v>15070</v>
      </c>
      <c r="F10177">
        <v>138123.46</v>
      </c>
      <c r="G10177">
        <v>0</v>
      </c>
      <c r="H10177">
        <v>0</v>
      </c>
      <c r="I10177">
        <v>0</v>
      </c>
      <c r="J10177">
        <v>-398444.92</v>
      </c>
      <c r="K10177">
        <v>0</v>
      </c>
      <c r="L10177">
        <v>77601178.230000004</v>
      </c>
      <c r="M10177">
        <v>77999623.150000006</v>
      </c>
      <c r="N10177">
        <v>23350478.23</v>
      </c>
      <c r="O10177">
        <v>23748923.149999999</v>
      </c>
      <c r="P10177">
        <v>77601178.230000004</v>
      </c>
      <c r="Q10177">
        <v>77999623.150000006</v>
      </c>
      <c r="R10177" s="14">
        <f>_xlfn.XLOOKUP(Table2[[#This Row],[LoanID]],Table1[G-L ID],Table1[ManagerCode],-99)</f>
        <v>183</v>
      </c>
      <c r="T10177"/>
    </row>
    <row r="10178" spans="1:20" x14ac:dyDescent="0.25">
      <c r="A10178">
        <v>20191231</v>
      </c>
      <c r="B10178">
        <v>2019</v>
      </c>
      <c r="C10178">
        <v>12</v>
      </c>
      <c r="D10178">
        <v>1</v>
      </c>
      <c r="E10178">
        <v>15350</v>
      </c>
      <c r="F10178">
        <v>169305.57</v>
      </c>
      <c r="G10178">
        <v>58888.44</v>
      </c>
      <c r="H10178">
        <v>0</v>
      </c>
      <c r="I10178">
        <v>0</v>
      </c>
      <c r="J10178">
        <v>0</v>
      </c>
      <c r="K10178">
        <v>0</v>
      </c>
      <c r="L10178">
        <v>40169305.560000002</v>
      </c>
      <c r="M10178">
        <v>40228194</v>
      </c>
      <c r="N10178">
        <v>40169305.560000002</v>
      </c>
      <c r="O10178">
        <v>40228194</v>
      </c>
      <c r="P10178">
        <v>40169305.560000002</v>
      </c>
      <c r="Q10178">
        <v>40228194</v>
      </c>
      <c r="R10178" s="14">
        <f>_xlfn.XLOOKUP(Table2[[#This Row],[LoanID]],Table1[G-L ID],Table1[ManagerCode],-99)</f>
        <v>219</v>
      </c>
      <c r="T10178"/>
    </row>
    <row r="10179" spans="1:20" x14ac:dyDescent="0.25">
      <c r="A10179">
        <v>20191231</v>
      </c>
      <c r="B10179">
        <v>2019</v>
      </c>
      <c r="C10179">
        <v>12</v>
      </c>
      <c r="D10179">
        <v>1</v>
      </c>
      <c r="E10179">
        <v>15360</v>
      </c>
      <c r="F10179">
        <v>0</v>
      </c>
      <c r="G10179">
        <v>1923.96</v>
      </c>
      <c r="H10179">
        <v>0</v>
      </c>
      <c r="I10179">
        <v>0</v>
      </c>
      <c r="J10179">
        <v>0</v>
      </c>
      <c r="K10179">
        <v>0</v>
      </c>
      <c r="L10179">
        <v>479625.91</v>
      </c>
      <c r="M10179">
        <v>481549.87</v>
      </c>
      <c r="N10179">
        <v>479625.91</v>
      </c>
      <c r="O10179">
        <v>481549.87</v>
      </c>
      <c r="P10179">
        <v>479625.91</v>
      </c>
      <c r="Q10179">
        <v>481549.87</v>
      </c>
      <c r="R10179" s="14">
        <f>_xlfn.XLOOKUP(Table2[[#This Row],[LoanID]],Table1[G-L ID],Table1[ManagerCode],-99)</f>
        <v>219</v>
      </c>
      <c r="T10179"/>
    </row>
    <row r="10180" spans="1:20" x14ac:dyDescent="0.25">
      <c r="A10180">
        <v>20191231</v>
      </c>
      <c r="B10180">
        <v>2019</v>
      </c>
      <c r="C10180">
        <v>12</v>
      </c>
      <c r="D10180">
        <v>1</v>
      </c>
      <c r="E10180">
        <v>15370</v>
      </c>
      <c r="F10180">
        <v>289301.59999999998</v>
      </c>
      <c r="G10180">
        <v>0</v>
      </c>
      <c r="H10180">
        <v>795275</v>
      </c>
      <c r="I10180">
        <v>0</v>
      </c>
      <c r="J10180">
        <v>-103322000</v>
      </c>
      <c r="K10180">
        <v>0</v>
      </c>
      <c r="L10180">
        <v>0</v>
      </c>
      <c r="M10180">
        <v>103322000</v>
      </c>
      <c r="N10180">
        <v>0</v>
      </c>
      <c r="O10180">
        <v>103322000</v>
      </c>
      <c r="P10180">
        <v>0</v>
      </c>
      <c r="Q10180">
        <v>103322000</v>
      </c>
      <c r="R10180" s="14">
        <f>_xlfn.XLOOKUP(Table2[[#This Row],[LoanID]],Table1[G-L ID],Table1[ManagerCode],-99)</f>
        <v>220</v>
      </c>
      <c r="T10180"/>
    </row>
    <row r="10181" spans="1:20" x14ac:dyDescent="0.25">
      <c r="A10181">
        <v>20191231</v>
      </c>
      <c r="B10181">
        <v>2019</v>
      </c>
      <c r="C10181">
        <v>12</v>
      </c>
      <c r="D10181">
        <v>1</v>
      </c>
      <c r="E10181">
        <v>15380</v>
      </c>
      <c r="F10181">
        <v>125078.51</v>
      </c>
      <c r="G10181">
        <v>0</v>
      </c>
      <c r="H10181">
        <v>0</v>
      </c>
      <c r="I10181">
        <v>0</v>
      </c>
      <c r="J10181">
        <v>0</v>
      </c>
      <c r="K10181">
        <v>22704500</v>
      </c>
      <c r="L10181">
        <v>34930000</v>
      </c>
      <c r="M10181">
        <v>34930000</v>
      </c>
      <c r="N10181">
        <v>34930000</v>
      </c>
      <c r="O10181">
        <v>12225500</v>
      </c>
      <c r="P10181">
        <v>34930000</v>
      </c>
      <c r="Q10181">
        <v>34930000</v>
      </c>
      <c r="R10181" s="14">
        <f>_xlfn.XLOOKUP(Table2[[#This Row],[LoanID]],Table1[G-L ID],Table1[ManagerCode],-99)</f>
        <v>220</v>
      </c>
      <c r="T10181"/>
    </row>
    <row r="10182" spans="1:20" x14ac:dyDescent="0.25">
      <c r="A10182">
        <v>20191231</v>
      </c>
      <c r="B10182">
        <v>2019</v>
      </c>
      <c r="C10182">
        <v>12</v>
      </c>
      <c r="D10182">
        <v>1</v>
      </c>
      <c r="E10182">
        <v>15390</v>
      </c>
      <c r="F10182">
        <v>127227.08</v>
      </c>
      <c r="G10182">
        <v>0</v>
      </c>
      <c r="H10182">
        <v>0</v>
      </c>
      <c r="I10182">
        <v>0</v>
      </c>
      <c r="J10182">
        <v>0</v>
      </c>
      <c r="K10182">
        <v>24710000</v>
      </c>
      <c r="L10182">
        <v>35300000</v>
      </c>
      <c r="M10182">
        <v>35300000</v>
      </c>
      <c r="N10182">
        <v>35300000</v>
      </c>
      <c r="O10182">
        <v>10590000</v>
      </c>
      <c r="P10182">
        <v>35300000</v>
      </c>
      <c r="Q10182">
        <v>35300000</v>
      </c>
      <c r="R10182" s="14">
        <f>_xlfn.XLOOKUP(Table2[[#This Row],[LoanID]],Table1[G-L ID],Table1[ManagerCode],-99)</f>
        <v>220</v>
      </c>
      <c r="T10182"/>
    </row>
    <row r="10183" spans="1:20" x14ac:dyDescent="0.25">
      <c r="A10183">
        <v>20191231</v>
      </c>
      <c r="B10183">
        <v>2019</v>
      </c>
      <c r="C10183">
        <v>12</v>
      </c>
      <c r="D10183">
        <v>1</v>
      </c>
      <c r="E10183">
        <v>15400</v>
      </c>
      <c r="F10183">
        <v>12519.19</v>
      </c>
      <c r="G10183">
        <v>0</v>
      </c>
      <c r="H10183">
        <v>258120</v>
      </c>
      <c r="I10183">
        <v>0</v>
      </c>
      <c r="J10183">
        <v>-22428000</v>
      </c>
      <c r="K10183">
        <v>0</v>
      </c>
      <c r="L10183">
        <v>0</v>
      </c>
      <c r="M10183">
        <v>22428000</v>
      </c>
      <c r="N10183">
        <v>0</v>
      </c>
      <c r="O10183">
        <v>22428000</v>
      </c>
      <c r="P10183">
        <v>0</v>
      </c>
      <c r="Q10183">
        <v>22428000</v>
      </c>
      <c r="R10183" s="14">
        <f>_xlfn.XLOOKUP(Table2[[#This Row],[LoanID]],Table1[G-L ID],Table1[ManagerCode],-99)</f>
        <v>220</v>
      </c>
      <c r="T10183"/>
    </row>
    <row r="10184" spans="1:20" x14ac:dyDescent="0.25">
      <c r="A10184">
        <v>20191231</v>
      </c>
      <c r="B10184">
        <v>2019</v>
      </c>
      <c r="C10184">
        <v>12</v>
      </c>
      <c r="D10184">
        <v>1</v>
      </c>
      <c r="E10184">
        <v>15410</v>
      </c>
      <c r="F10184">
        <v>14951.11</v>
      </c>
      <c r="G10184">
        <v>0</v>
      </c>
      <c r="H10184">
        <v>416000</v>
      </c>
      <c r="I10184">
        <v>0</v>
      </c>
      <c r="J10184">
        <v>-64000000</v>
      </c>
      <c r="K10184">
        <v>0</v>
      </c>
      <c r="L10184">
        <v>0</v>
      </c>
      <c r="M10184">
        <v>64000000</v>
      </c>
      <c r="N10184">
        <v>0</v>
      </c>
      <c r="O10184">
        <v>64000000</v>
      </c>
      <c r="P10184">
        <v>0</v>
      </c>
      <c r="Q10184">
        <v>64000000</v>
      </c>
      <c r="R10184" s="14">
        <f>_xlfn.XLOOKUP(Table2[[#This Row],[LoanID]],Table1[G-L ID],Table1[ManagerCode],-99)</f>
        <v>220</v>
      </c>
      <c r="T10184"/>
    </row>
    <row r="10185" spans="1:20" x14ac:dyDescent="0.25">
      <c r="A10185">
        <v>20191231</v>
      </c>
      <c r="B10185">
        <v>2019</v>
      </c>
      <c r="C10185">
        <v>12</v>
      </c>
      <c r="D10185">
        <v>1</v>
      </c>
      <c r="E10185">
        <v>15420</v>
      </c>
      <c r="F10185">
        <v>71109.31</v>
      </c>
      <c r="G10185">
        <v>0</v>
      </c>
      <c r="H10185">
        <v>0</v>
      </c>
      <c r="I10185">
        <v>0</v>
      </c>
      <c r="J10185">
        <v>0</v>
      </c>
      <c r="K10185">
        <v>0</v>
      </c>
      <c r="L10185">
        <v>44630000</v>
      </c>
      <c r="M10185">
        <v>44630000</v>
      </c>
      <c r="N10185">
        <v>15620500</v>
      </c>
      <c r="O10185">
        <v>15620500</v>
      </c>
      <c r="P10185">
        <v>44630000</v>
      </c>
      <c r="Q10185">
        <v>44630000</v>
      </c>
      <c r="R10185" s="14">
        <f>_xlfn.XLOOKUP(Table2[[#This Row],[LoanID]],Table1[G-L ID],Table1[ManagerCode],-99)</f>
        <v>183</v>
      </c>
      <c r="T10185"/>
    </row>
    <row r="10186" spans="1:20" x14ac:dyDescent="0.25">
      <c r="A10186">
        <v>20191231</v>
      </c>
      <c r="B10186">
        <v>2019</v>
      </c>
      <c r="C10186">
        <v>12</v>
      </c>
      <c r="D10186">
        <v>1</v>
      </c>
      <c r="E10186">
        <v>15430</v>
      </c>
      <c r="F10186">
        <v>78576.98</v>
      </c>
      <c r="G10186">
        <v>0</v>
      </c>
      <c r="H10186">
        <v>0</v>
      </c>
      <c r="I10186">
        <v>0</v>
      </c>
      <c r="J10186">
        <v>0</v>
      </c>
      <c r="K10186">
        <v>0</v>
      </c>
      <c r="L10186">
        <v>51064800</v>
      </c>
      <c r="M10186">
        <v>51064800</v>
      </c>
      <c r="N10186">
        <v>17872680</v>
      </c>
      <c r="O10186">
        <v>17872680</v>
      </c>
      <c r="P10186">
        <v>51064800</v>
      </c>
      <c r="Q10186">
        <v>51064800</v>
      </c>
      <c r="R10186" s="14">
        <f>_xlfn.XLOOKUP(Table2[[#This Row],[LoanID]],Table1[G-L ID],Table1[ManagerCode],-99)</f>
        <v>183</v>
      </c>
      <c r="T10186"/>
    </row>
    <row r="10187" spans="1:20" x14ac:dyDescent="0.25">
      <c r="A10187">
        <v>20191231</v>
      </c>
      <c r="B10187">
        <v>2019</v>
      </c>
      <c r="C10187">
        <v>12</v>
      </c>
      <c r="D10187">
        <v>1</v>
      </c>
      <c r="E10187">
        <v>15440</v>
      </c>
      <c r="F10187">
        <v>39938.01</v>
      </c>
      <c r="G10187">
        <v>0</v>
      </c>
      <c r="H10187">
        <v>0</v>
      </c>
      <c r="I10187">
        <v>0</v>
      </c>
      <c r="J10187">
        <v>0</v>
      </c>
      <c r="K10187">
        <v>0</v>
      </c>
      <c r="L10187">
        <v>21500000</v>
      </c>
      <c r="M10187">
        <v>21500000</v>
      </c>
      <c r="N10187">
        <v>7525000</v>
      </c>
      <c r="O10187">
        <v>7525000</v>
      </c>
      <c r="P10187">
        <v>21500000</v>
      </c>
      <c r="Q10187">
        <v>21500000</v>
      </c>
      <c r="R10187" s="14">
        <f>_xlfn.XLOOKUP(Table2[[#This Row],[LoanID]],Table1[G-L ID],Table1[ManagerCode],-99)</f>
        <v>183</v>
      </c>
      <c r="T10187"/>
    </row>
    <row r="10188" spans="1:20" x14ac:dyDescent="0.25">
      <c r="A10188">
        <v>20191231</v>
      </c>
      <c r="B10188">
        <v>2019</v>
      </c>
      <c r="C10188">
        <v>12</v>
      </c>
      <c r="D10188">
        <v>1</v>
      </c>
      <c r="E10188">
        <v>15450</v>
      </c>
      <c r="F10188">
        <v>63364.639999999999</v>
      </c>
      <c r="G10188">
        <v>0</v>
      </c>
      <c r="H10188">
        <v>0</v>
      </c>
      <c r="I10188">
        <v>0</v>
      </c>
      <c r="J10188">
        <v>0</v>
      </c>
      <c r="K10188">
        <v>0</v>
      </c>
      <c r="L10188">
        <v>30000000</v>
      </c>
      <c r="M10188">
        <v>30000000</v>
      </c>
      <c r="N10188">
        <v>10500000</v>
      </c>
      <c r="O10188">
        <v>10500000</v>
      </c>
      <c r="P10188">
        <v>30000000</v>
      </c>
      <c r="Q10188">
        <v>30000000</v>
      </c>
      <c r="R10188" s="14">
        <f>_xlfn.XLOOKUP(Table2[[#This Row],[LoanID]],Table1[G-L ID],Table1[ManagerCode],-99)</f>
        <v>183</v>
      </c>
      <c r="T10188"/>
    </row>
    <row r="10189" spans="1:20" x14ac:dyDescent="0.25">
      <c r="A10189">
        <v>20191231</v>
      </c>
      <c r="B10189">
        <v>2019</v>
      </c>
      <c r="C10189">
        <v>12</v>
      </c>
      <c r="D10189">
        <v>1</v>
      </c>
      <c r="E10189">
        <v>15460</v>
      </c>
      <c r="F10189">
        <v>97186.73</v>
      </c>
      <c r="G10189">
        <v>0</v>
      </c>
      <c r="H10189">
        <v>0</v>
      </c>
      <c r="I10189">
        <v>0</v>
      </c>
      <c r="J10189">
        <v>-8910000</v>
      </c>
      <c r="K10189">
        <v>37758500</v>
      </c>
      <c r="L10189">
        <v>58090000</v>
      </c>
      <c r="M10189">
        <v>67000000</v>
      </c>
      <c r="N10189">
        <v>58090000</v>
      </c>
      <c r="O10189">
        <v>29241500</v>
      </c>
      <c r="P10189">
        <v>58090000</v>
      </c>
      <c r="Q10189">
        <v>67000000</v>
      </c>
      <c r="R10189" s="14">
        <f>_xlfn.XLOOKUP(Table2[[#This Row],[LoanID]],Table1[G-L ID],Table1[ManagerCode],-99)</f>
        <v>183</v>
      </c>
      <c r="T10189"/>
    </row>
    <row r="10190" spans="1:20" x14ac:dyDescent="0.25">
      <c r="A10190">
        <v>20191231</v>
      </c>
      <c r="B10190">
        <v>2019</v>
      </c>
      <c r="C10190">
        <v>12</v>
      </c>
      <c r="D10190">
        <v>1</v>
      </c>
      <c r="E10190">
        <v>15470</v>
      </c>
      <c r="F10190">
        <v>328205.55</v>
      </c>
      <c r="G10190">
        <v>0</v>
      </c>
      <c r="H10190">
        <v>0</v>
      </c>
      <c r="I10190">
        <v>0</v>
      </c>
      <c r="J10190">
        <v>0</v>
      </c>
      <c r="K10190">
        <v>0</v>
      </c>
      <c r="L10190">
        <v>85500000</v>
      </c>
      <c r="M10190">
        <v>85500000</v>
      </c>
      <c r="N10190">
        <v>85500000</v>
      </c>
      <c r="O10190">
        <v>85500000</v>
      </c>
      <c r="P10190">
        <v>85500000</v>
      </c>
      <c r="Q10190">
        <v>85500000</v>
      </c>
      <c r="R10190" s="14">
        <f>_xlfn.XLOOKUP(Table2[[#This Row],[LoanID]],Table1[G-L ID],Table1[ManagerCode],-99)</f>
        <v>183</v>
      </c>
      <c r="T10190"/>
    </row>
    <row r="10191" spans="1:20" x14ac:dyDescent="0.25">
      <c r="A10191">
        <v>20191231</v>
      </c>
      <c r="B10191">
        <v>2019</v>
      </c>
      <c r="C10191">
        <v>12</v>
      </c>
      <c r="D10191">
        <v>1</v>
      </c>
      <c r="E10191">
        <v>15480</v>
      </c>
      <c r="F10191">
        <v>196812</v>
      </c>
      <c r="G10191">
        <v>0</v>
      </c>
      <c r="H10191">
        <v>511200</v>
      </c>
      <c r="I10191">
        <v>0</v>
      </c>
      <c r="J10191">
        <v>-68160000</v>
      </c>
      <c r="K10191">
        <v>47712000</v>
      </c>
      <c r="L10191">
        <v>0</v>
      </c>
      <c r="M10191">
        <v>68160000</v>
      </c>
      <c r="N10191">
        <v>0</v>
      </c>
      <c r="O10191">
        <v>20448000</v>
      </c>
      <c r="P10191">
        <v>0</v>
      </c>
      <c r="Q10191">
        <v>68160000</v>
      </c>
      <c r="R10191" s="14">
        <f>_xlfn.XLOOKUP(Table2[[#This Row],[LoanID]],Table1[G-L ID],Table1[ManagerCode],-99)</f>
        <v>183</v>
      </c>
      <c r="T10191"/>
    </row>
    <row r="10192" spans="1:20" x14ac:dyDescent="0.25">
      <c r="A10192">
        <v>20191231</v>
      </c>
      <c r="B10192">
        <v>2019</v>
      </c>
      <c r="C10192">
        <v>12</v>
      </c>
      <c r="D10192">
        <v>1</v>
      </c>
      <c r="E10192">
        <v>15490</v>
      </c>
      <c r="F10192">
        <v>81243.38</v>
      </c>
      <c r="G10192">
        <v>0</v>
      </c>
      <c r="H10192">
        <v>311250</v>
      </c>
      <c r="I10192">
        <v>0</v>
      </c>
      <c r="J10192">
        <v>-56000000</v>
      </c>
      <c r="K10192">
        <v>34218337</v>
      </c>
      <c r="L10192">
        <v>0</v>
      </c>
      <c r="M10192">
        <v>56000000</v>
      </c>
      <c r="N10192">
        <v>0</v>
      </c>
      <c r="O10192">
        <v>21781663</v>
      </c>
      <c r="P10192">
        <v>0</v>
      </c>
      <c r="Q10192">
        <v>56000000</v>
      </c>
      <c r="R10192" s="14">
        <f>_xlfn.XLOOKUP(Table2[[#This Row],[LoanID]],Table1[G-L ID],Table1[ManagerCode],-99)</f>
        <v>183</v>
      </c>
      <c r="T10192"/>
    </row>
    <row r="10193" spans="1:20" x14ac:dyDescent="0.25">
      <c r="A10193">
        <v>20191231</v>
      </c>
      <c r="B10193">
        <v>2019</v>
      </c>
      <c r="C10193">
        <v>12</v>
      </c>
      <c r="D10193">
        <v>1</v>
      </c>
      <c r="E10193">
        <v>15500</v>
      </c>
      <c r="F10193">
        <v>21288.23</v>
      </c>
      <c r="G10193">
        <v>0</v>
      </c>
      <c r="H10193">
        <v>262500</v>
      </c>
      <c r="I10193">
        <v>0</v>
      </c>
      <c r="J10193">
        <v>-51250000</v>
      </c>
      <c r="K10193">
        <v>33064110.780000001</v>
      </c>
      <c r="L10193">
        <v>0</v>
      </c>
      <c r="M10193">
        <v>51250000</v>
      </c>
      <c r="N10193">
        <v>0</v>
      </c>
      <c r="O10193">
        <v>18185889.219999999</v>
      </c>
      <c r="P10193">
        <v>0</v>
      </c>
      <c r="Q10193">
        <v>51250000</v>
      </c>
      <c r="R10193" s="14">
        <f>_xlfn.XLOOKUP(Table2[[#This Row],[LoanID]],Table1[G-L ID],Table1[ManagerCode],-99)</f>
        <v>183</v>
      </c>
      <c r="T10193"/>
    </row>
    <row r="10194" spans="1:20" x14ac:dyDescent="0.25">
      <c r="A10194">
        <v>20191231</v>
      </c>
      <c r="B10194">
        <v>2019</v>
      </c>
      <c r="C10194">
        <v>12</v>
      </c>
      <c r="D10194">
        <v>1</v>
      </c>
      <c r="E10194">
        <v>15510</v>
      </c>
      <c r="F10194">
        <v>117508.23</v>
      </c>
      <c r="G10194">
        <v>0</v>
      </c>
      <c r="H10194">
        <v>1400000</v>
      </c>
      <c r="I10194">
        <v>0</v>
      </c>
      <c r="J10194">
        <v>-190000000</v>
      </c>
      <c r="K10194">
        <v>136800000</v>
      </c>
      <c r="L10194">
        <v>0</v>
      </c>
      <c r="M10194">
        <v>190000000</v>
      </c>
      <c r="N10194">
        <v>0</v>
      </c>
      <c r="O10194">
        <v>53200000</v>
      </c>
      <c r="P10194">
        <v>0</v>
      </c>
      <c r="Q10194">
        <v>190000000</v>
      </c>
      <c r="R10194" s="14">
        <f>_xlfn.XLOOKUP(Table2[[#This Row],[LoanID]],Table1[G-L ID],Table1[ManagerCode],-99)</f>
        <v>183</v>
      </c>
      <c r="T10194"/>
    </row>
    <row r="10195" spans="1:20" x14ac:dyDescent="0.25">
      <c r="A10195">
        <v>20191231</v>
      </c>
      <c r="B10195">
        <v>2019</v>
      </c>
      <c r="C10195">
        <v>12</v>
      </c>
      <c r="D10195">
        <v>1</v>
      </c>
      <c r="E10195">
        <v>15520</v>
      </c>
      <c r="F10195">
        <v>127861.27</v>
      </c>
      <c r="G10195">
        <v>0</v>
      </c>
      <c r="H10195">
        <v>0</v>
      </c>
      <c r="I10195">
        <v>0</v>
      </c>
      <c r="J10195">
        <v>-938215.27</v>
      </c>
      <c r="K10195">
        <v>562929.17000000004</v>
      </c>
      <c r="L10195">
        <v>51153060</v>
      </c>
      <c r="M10195">
        <v>52091275.270000003</v>
      </c>
      <c r="N10195">
        <v>20291224</v>
      </c>
      <c r="O10195">
        <v>20666510.100000001</v>
      </c>
      <c r="P10195">
        <v>51153060</v>
      </c>
      <c r="Q10195">
        <v>52091275.270000003</v>
      </c>
      <c r="R10195" s="14">
        <f>_xlfn.XLOOKUP(Table2[[#This Row],[LoanID]],Table1[G-L ID],Table1[ManagerCode],-99)</f>
        <v>183</v>
      </c>
      <c r="T10195"/>
    </row>
    <row r="10196" spans="1:20" x14ac:dyDescent="0.25">
      <c r="A10196">
        <v>20191231</v>
      </c>
      <c r="B10196">
        <v>2019</v>
      </c>
      <c r="C10196">
        <v>12</v>
      </c>
      <c r="D10196">
        <v>1</v>
      </c>
      <c r="E10196">
        <v>15530</v>
      </c>
      <c r="F10196">
        <v>0</v>
      </c>
      <c r="G10196">
        <v>11009.9</v>
      </c>
      <c r="H10196">
        <v>0</v>
      </c>
      <c r="I10196">
        <v>0</v>
      </c>
      <c r="J10196">
        <v>-3209364.93</v>
      </c>
      <c r="K10196">
        <v>0</v>
      </c>
      <c r="L10196">
        <v>0</v>
      </c>
      <c r="M10196">
        <v>3220374.83</v>
      </c>
      <c r="N10196">
        <v>0</v>
      </c>
      <c r="O10196">
        <v>3220374.83</v>
      </c>
      <c r="P10196">
        <v>0</v>
      </c>
      <c r="Q10196">
        <v>3220374.83</v>
      </c>
      <c r="R10196" s="14">
        <f>_xlfn.XLOOKUP(Table2[[#This Row],[LoanID]],Table1[G-L ID],Table1[ManagerCode],-99)</f>
        <v>183</v>
      </c>
      <c r="T10196"/>
    </row>
    <row r="10197" spans="1:20" x14ac:dyDescent="0.25">
      <c r="A10197">
        <v>20191231</v>
      </c>
      <c r="B10197">
        <v>2019</v>
      </c>
      <c r="C10197">
        <v>12</v>
      </c>
      <c r="D10197">
        <v>1</v>
      </c>
      <c r="E10197">
        <v>15540</v>
      </c>
      <c r="F10197">
        <v>269280.48</v>
      </c>
      <c r="G10197">
        <v>14592.32</v>
      </c>
      <c r="H10197">
        <v>0</v>
      </c>
      <c r="I10197">
        <v>-2679.42</v>
      </c>
      <c r="J10197">
        <v>-1497078.42</v>
      </c>
      <c r="K10197">
        <v>0</v>
      </c>
      <c r="L10197">
        <v>65171275.859999999</v>
      </c>
      <c r="M10197">
        <v>66682946.600000001</v>
      </c>
      <c r="N10197">
        <v>65171275.859999999</v>
      </c>
      <c r="O10197">
        <v>66682946.600000001</v>
      </c>
      <c r="P10197">
        <v>65171275.859999999</v>
      </c>
      <c r="Q10197">
        <v>66682946.600000001</v>
      </c>
      <c r="R10197" s="14">
        <f>_xlfn.XLOOKUP(Table2[[#This Row],[LoanID]],Table1[G-L ID],Table1[ManagerCode],-99)</f>
        <v>212</v>
      </c>
      <c r="T10197"/>
    </row>
    <row r="10198" spans="1:20" x14ac:dyDescent="0.25">
      <c r="A10198">
        <v>20191231</v>
      </c>
      <c r="B10198">
        <v>2019</v>
      </c>
      <c r="C10198">
        <v>12</v>
      </c>
      <c r="D10198">
        <v>1</v>
      </c>
      <c r="E10198">
        <v>15560</v>
      </c>
      <c r="F10198">
        <v>254339.64</v>
      </c>
      <c r="G10198">
        <v>7893.54</v>
      </c>
      <c r="H10198">
        <v>0</v>
      </c>
      <c r="I10198">
        <v>0</v>
      </c>
      <c r="J10198">
        <v>0</v>
      </c>
      <c r="K10198">
        <v>0</v>
      </c>
      <c r="L10198">
        <v>49642147.810000002</v>
      </c>
      <c r="M10198">
        <v>49650041.350000001</v>
      </c>
      <c r="N10198">
        <v>49642147.810000002</v>
      </c>
      <c r="O10198">
        <v>49650041.350000001</v>
      </c>
      <c r="P10198">
        <v>49642147.810000002</v>
      </c>
      <c r="Q10198">
        <v>49650041.350000001</v>
      </c>
      <c r="R10198" s="14">
        <f>_xlfn.XLOOKUP(Table2[[#This Row],[LoanID]],Table1[G-L ID],Table1[ManagerCode],-99)</f>
        <v>212</v>
      </c>
      <c r="T10198"/>
    </row>
    <row r="10199" spans="1:20" x14ac:dyDescent="0.25">
      <c r="A10199">
        <v>20191231</v>
      </c>
      <c r="B10199">
        <v>2019</v>
      </c>
      <c r="C10199">
        <v>12</v>
      </c>
      <c r="D10199">
        <v>1</v>
      </c>
      <c r="E10199">
        <v>15570</v>
      </c>
      <c r="F10199">
        <v>171495.61</v>
      </c>
      <c r="G10199">
        <v>3950.95</v>
      </c>
      <c r="H10199">
        <v>0</v>
      </c>
      <c r="I10199">
        <v>0</v>
      </c>
      <c r="J10199">
        <v>0</v>
      </c>
      <c r="K10199">
        <v>0</v>
      </c>
      <c r="L10199">
        <v>26608799.609999999</v>
      </c>
      <c r="M10199">
        <v>26612750.559999999</v>
      </c>
      <c r="N10199">
        <v>26608799.609999999</v>
      </c>
      <c r="O10199">
        <v>26612750.559999999</v>
      </c>
      <c r="P10199">
        <v>26608799.609999999</v>
      </c>
      <c r="Q10199">
        <v>26612750.559999999</v>
      </c>
      <c r="R10199" s="14">
        <f>_xlfn.XLOOKUP(Table2[[#This Row],[LoanID]],Table1[G-L ID],Table1[ManagerCode],-99)</f>
        <v>212</v>
      </c>
      <c r="T10199"/>
    </row>
    <row r="10200" spans="1:20" x14ac:dyDescent="0.25">
      <c r="A10200">
        <v>20191231</v>
      </c>
      <c r="B10200">
        <v>2019</v>
      </c>
      <c r="C10200">
        <v>12</v>
      </c>
      <c r="D10200">
        <v>1</v>
      </c>
      <c r="E10200">
        <v>15580</v>
      </c>
      <c r="F10200">
        <v>110810.63</v>
      </c>
      <c r="G10200">
        <v>3593.39</v>
      </c>
      <c r="H10200">
        <v>0</v>
      </c>
      <c r="I10200">
        <v>0</v>
      </c>
      <c r="J10200">
        <v>0</v>
      </c>
      <c r="K10200">
        <v>12590.68</v>
      </c>
      <c r="L10200">
        <v>14486243.15</v>
      </c>
      <c r="M10200">
        <v>14477245.859999999</v>
      </c>
      <c r="N10200">
        <v>14486243.15</v>
      </c>
      <c r="O10200">
        <v>14477245.859999999</v>
      </c>
      <c r="P10200">
        <v>14486243.15</v>
      </c>
      <c r="Q10200">
        <v>14477245.859999999</v>
      </c>
      <c r="R10200" s="14">
        <f>_xlfn.XLOOKUP(Table2[[#This Row],[LoanID]],Table1[G-L ID],Table1[ManagerCode],-99)</f>
        <v>212</v>
      </c>
      <c r="T10200"/>
    </row>
    <row r="10201" spans="1:20" x14ac:dyDescent="0.25">
      <c r="A10201">
        <v>20191231</v>
      </c>
      <c r="B10201">
        <v>2019</v>
      </c>
      <c r="C10201">
        <v>12</v>
      </c>
      <c r="D10201">
        <v>1</v>
      </c>
      <c r="E10201">
        <v>15590</v>
      </c>
      <c r="F10201">
        <v>348270.39</v>
      </c>
      <c r="G10201">
        <v>5385.67</v>
      </c>
      <c r="H10201">
        <v>0</v>
      </c>
      <c r="I10201">
        <v>-4326.34</v>
      </c>
      <c r="J10201">
        <v>0</v>
      </c>
      <c r="K10201">
        <v>0</v>
      </c>
      <c r="L10201">
        <v>104217102.2</v>
      </c>
      <c r="M10201">
        <v>104222487.8</v>
      </c>
      <c r="N10201">
        <v>104217102.2</v>
      </c>
      <c r="O10201">
        <v>104222487.8</v>
      </c>
      <c r="P10201">
        <v>104217102.2</v>
      </c>
      <c r="Q10201">
        <v>104222487.8</v>
      </c>
      <c r="R10201" s="14">
        <f>_xlfn.XLOOKUP(Table2[[#This Row],[LoanID]],Table1[G-L ID],Table1[ManagerCode],-99)</f>
        <v>212</v>
      </c>
      <c r="T10201"/>
    </row>
    <row r="10202" spans="1:20" x14ac:dyDescent="0.25">
      <c r="A10202">
        <v>20191231</v>
      </c>
      <c r="B10202">
        <v>2019</v>
      </c>
      <c r="C10202">
        <v>12</v>
      </c>
      <c r="D10202">
        <v>1</v>
      </c>
      <c r="E10202">
        <v>15600</v>
      </c>
      <c r="F10202">
        <v>256973.89</v>
      </c>
      <c r="G10202">
        <v>0</v>
      </c>
      <c r="H10202">
        <v>1582500</v>
      </c>
      <c r="I10202">
        <v>0</v>
      </c>
      <c r="J10202">
        <v>-182000000</v>
      </c>
      <c r="K10202">
        <v>0</v>
      </c>
      <c r="L10202">
        <v>0</v>
      </c>
      <c r="M10202">
        <v>182000000</v>
      </c>
      <c r="N10202">
        <v>0</v>
      </c>
      <c r="O10202">
        <v>182000000</v>
      </c>
      <c r="P10202">
        <v>0</v>
      </c>
      <c r="Q10202">
        <v>182000000</v>
      </c>
      <c r="R10202" s="14">
        <f>_xlfn.XLOOKUP(Table2[[#This Row],[LoanID]],Table1[G-L ID],Table1[ManagerCode],-99)</f>
        <v>212</v>
      </c>
      <c r="T10202"/>
    </row>
    <row r="10203" spans="1:20" x14ac:dyDescent="0.25">
      <c r="A10203">
        <v>20191231</v>
      </c>
      <c r="B10203">
        <v>2019</v>
      </c>
      <c r="C10203">
        <v>12</v>
      </c>
      <c r="D10203">
        <v>1</v>
      </c>
      <c r="E10203">
        <v>15610</v>
      </c>
      <c r="F10203">
        <v>834676.29</v>
      </c>
      <c r="G10203">
        <v>16163.67</v>
      </c>
      <c r="H10203">
        <v>0</v>
      </c>
      <c r="I10203">
        <v>-9222.94</v>
      </c>
      <c r="J10203">
        <v>0</v>
      </c>
      <c r="K10203">
        <v>0</v>
      </c>
      <c r="L10203">
        <v>222673970.19999999</v>
      </c>
      <c r="M10203">
        <v>222690133.90000001</v>
      </c>
      <c r="N10203">
        <v>222673970.19999999</v>
      </c>
      <c r="O10203">
        <v>222690133.90000001</v>
      </c>
      <c r="P10203">
        <v>222673970.19999999</v>
      </c>
      <c r="Q10203">
        <v>222690133.90000001</v>
      </c>
      <c r="R10203" s="14">
        <f>_xlfn.XLOOKUP(Table2[[#This Row],[LoanID]],Table1[G-L ID],Table1[ManagerCode],-99)</f>
        <v>212</v>
      </c>
      <c r="T10203"/>
    </row>
    <row r="10204" spans="1:20" x14ac:dyDescent="0.25">
      <c r="A10204">
        <v>20191231</v>
      </c>
      <c r="B10204">
        <v>2019</v>
      </c>
      <c r="C10204">
        <v>12</v>
      </c>
      <c r="D10204">
        <v>1</v>
      </c>
      <c r="E10204">
        <v>15620</v>
      </c>
      <c r="F10204">
        <v>304227.92</v>
      </c>
      <c r="G10204">
        <v>5314.95</v>
      </c>
      <c r="H10204">
        <v>0</v>
      </c>
      <c r="I10204">
        <v>-3288.95</v>
      </c>
      <c r="J10204">
        <v>0</v>
      </c>
      <c r="K10204">
        <v>0</v>
      </c>
      <c r="L10204">
        <v>79239040.329999998</v>
      </c>
      <c r="M10204">
        <v>79244355.280000001</v>
      </c>
      <c r="N10204">
        <v>79239040.329999998</v>
      </c>
      <c r="O10204">
        <v>79244355.280000001</v>
      </c>
      <c r="P10204">
        <v>79239040.329999998</v>
      </c>
      <c r="Q10204">
        <v>79244355.280000001</v>
      </c>
      <c r="R10204" s="14">
        <f>_xlfn.XLOOKUP(Table2[[#This Row],[LoanID]],Table1[G-L ID],Table1[ManagerCode],-99)</f>
        <v>212</v>
      </c>
      <c r="T10204"/>
    </row>
    <row r="10205" spans="1:20" x14ac:dyDescent="0.25">
      <c r="A10205">
        <v>20191231</v>
      </c>
      <c r="B10205">
        <v>2019</v>
      </c>
      <c r="C10205">
        <v>12</v>
      </c>
      <c r="D10205">
        <v>1</v>
      </c>
      <c r="E10205">
        <v>15630</v>
      </c>
      <c r="F10205">
        <v>557876.44999999995</v>
      </c>
      <c r="G10205">
        <v>24074.32</v>
      </c>
      <c r="H10205">
        <v>0</v>
      </c>
      <c r="I10205">
        <v>-9385.85</v>
      </c>
      <c r="J10205">
        <v>0</v>
      </c>
      <c r="K10205">
        <v>0</v>
      </c>
      <c r="L10205">
        <v>158612384.40000001</v>
      </c>
      <c r="M10205">
        <v>158636458.80000001</v>
      </c>
      <c r="N10205">
        <v>158612384.40000001</v>
      </c>
      <c r="O10205">
        <v>158636458.80000001</v>
      </c>
      <c r="P10205">
        <v>158612384.40000001</v>
      </c>
      <c r="Q10205">
        <v>158636458.80000001</v>
      </c>
      <c r="R10205" s="14">
        <f>_xlfn.XLOOKUP(Table2[[#This Row],[LoanID]],Table1[G-L ID],Table1[ManagerCode],-99)</f>
        <v>212</v>
      </c>
      <c r="T10205"/>
    </row>
    <row r="10206" spans="1:20" x14ac:dyDescent="0.25">
      <c r="A10206">
        <v>20191231</v>
      </c>
      <c r="B10206">
        <v>2019</v>
      </c>
      <c r="C10206">
        <v>12</v>
      </c>
      <c r="D10206">
        <v>1</v>
      </c>
      <c r="E10206">
        <v>15670</v>
      </c>
      <c r="F10206">
        <v>74130</v>
      </c>
      <c r="G10206">
        <v>0</v>
      </c>
      <c r="H10206">
        <v>0</v>
      </c>
      <c r="I10206">
        <v>0</v>
      </c>
      <c r="J10206">
        <v>0</v>
      </c>
      <c r="K10206">
        <v>0</v>
      </c>
      <c r="L10206">
        <v>17650000</v>
      </c>
      <c r="M10206">
        <v>17650000</v>
      </c>
      <c r="N10206">
        <v>17650000</v>
      </c>
      <c r="O10206">
        <v>17650000</v>
      </c>
      <c r="P10206">
        <v>17650000</v>
      </c>
      <c r="Q10206">
        <v>17650000</v>
      </c>
      <c r="R10206" s="14">
        <f>_xlfn.XLOOKUP(Table2[[#This Row],[LoanID]],Table1[G-L ID],Table1[ManagerCode],-99)</f>
        <v>103</v>
      </c>
      <c r="T10206"/>
    </row>
    <row r="10207" spans="1:20" x14ac:dyDescent="0.25">
      <c r="A10207">
        <v>20191231</v>
      </c>
      <c r="B10207">
        <v>2019</v>
      </c>
      <c r="C10207">
        <v>12</v>
      </c>
      <c r="D10207">
        <v>1</v>
      </c>
      <c r="E10207">
        <v>15680</v>
      </c>
      <c r="F10207">
        <v>423962.5</v>
      </c>
      <c r="G10207">
        <v>0</v>
      </c>
      <c r="H10207">
        <v>0</v>
      </c>
      <c r="I10207">
        <v>0</v>
      </c>
      <c r="J10207">
        <v>0</v>
      </c>
      <c r="K10207">
        <v>0</v>
      </c>
      <c r="L10207">
        <v>65000000</v>
      </c>
      <c r="M10207">
        <v>65000000</v>
      </c>
      <c r="N10207">
        <v>65000000</v>
      </c>
      <c r="O10207">
        <v>65000000</v>
      </c>
      <c r="P10207">
        <v>65000000</v>
      </c>
      <c r="Q10207">
        <v>65000000</v>
      </c>
      <c r="R10207" s="14">
        <f>_xlfn.XLOOKUP(Table2[[#This Row],[LoanID]],Table1[G-L ID],Table1[ManagerCode],-99)</f>
        <v>103</v>
      </c>
      <c r="T10207"/>
    </row>
    <row r="10208" spans="1:20" x14ac:dyDescent="0.25">
      <c r="A10208">
        <v>20191231</v>
      </c>
      <c r="B10208">
        <v>2019</v>
      </c>
      <c r="C10208">
        <v>12</v>
      </c>
      <c r="D10208">
        <v>1</v>
      </c>
      <c r="E10208">
        <v>15800</v>
      </c>
      <c r="F10208">
        <v>407291.67</v>
      </c>
      <c r="G10208">
        <v>13576.39</v>
      </c>
      <c r="H10208">
        <v>0</v>
      </c>
      <c r="I10208">
        <v>-3541.67</v>
      </c>
      <c r="J10208">
        <v>0</v>
      </c>
      <c r="K10208">
        <v>0</v>
      </c>
      <c r="L10208">
        <v>85407291.670000002</v>
      </c>
      <c r="M10208">
        <v>85420868.060000002</v>
      </c>
      <c r="N10208">
        <v>85407291.670000002</v>
      </c>
      <c r="O10208">
        <v>85420868.060000002</v>
      </c>
      <c r="P10208">
        <v>85407291.670000002</v>
      </c>
      <c r="Q10208">
        <v>85420868.060000002</v>
      </c>
      <c r="R10208" s="14">
        <f>_xlfn.XLOOKUP(Table2[[#This Row],[LoanID]],Table1[G-L ID],Table1[ManagerCode],-99)</f>
        <v>212</v>
      </c>
      <c r="T10208"/>
    </row>
    <row r="10209" spans="1:20" x14ac:dyDescent="0.25">
      <c r="A10209">
        <v>20200131</v>
      </c>
      <c r="B10209">
        <v>2020</v>
      </c>
      <c r="C10209">
        <v>1</v>
      </c>
      <c r="D10209">
        <v>1</v>
      </c>
      <c r="E10209">
        <v>10050</v>
      </c>
      <c r="F10209">
        <v>153981.01999999999</v>
      </c>
      <c r="G10209">
        <v>0</v>
      </c>
      <c r="H10209">
        <v>0</v>
      </c>
      <c r="I10209">
        <v>-69.45</v>
      </c>
      <c r="J10209">
        <v>0</v>
      </c>
      <c r="K10209">
        <v>0</v>
      </c>
      <c r="L10209">
        <v>37082000</v>
      </c>
      <c r="M10209">
        <v>37751147</v>
      </c>
      <c r="N10209">
        <v>37082000</v>
      </c>
      <c r="O10209">
        <v>37751147</v>
      </c>
      <c r="P10209">
        <v>33333334</v>
      </c>
      <c r="Q10209">
        <v>33333334</v>
      </c>
      <c r="R10209" s="14">
        <f>_xlfn.XLOOKUP(Table2[[#This Row],[LoanID]],Table1[G-L ID],Table1[ManagerCode],-99)</f>
        <v>103</v>
      </c>
      <c r="T10209"/>
    </row>
    <row r="10210" spans="1:20" x14ac:dyDescent="0.25">
      <c r="A10210">
        <v>20200131</v>
      </c>
      <c r="B10210">
        <v>2020</v>
      </c>
      <c r="C10210">
        <v>1</v>
      </c>
      <c r="D10210">
        <v>1</v>
      </c>
      <c r="E10210">
        <v>10220</v>
      </c>
      <c r="F10210">
        <v>559722.22</v>
      </c>
      <c r="G10210">
        <v>0</v>
      </c>
      <c r="H10210">
        <v>0</v>
      </c>
      <c r="I10210">
        <v>0</v>
      </c>
      <c r="J10210">
        <v>0</v>
      </c>
      <c r="K10210">
        <v>0</v>
      </c>
      <c r="L10210">
        <v>108552903</v>
      </c>
      <c r="M10210">
        <v>109002561</v>
      </c>
      <c r="N10210">
        <v>108552903</v>
      </c>
      <c r="O10210">
        <v>109002561</v>
      </c>
      <c r="P10210">
        <v>100000000</v>
      </c>
      <c r="Q10210">
        <v>100000000</v>
      </c>
      <c r="R10210" s="14">
        <f>_xlfn.XLOOKUP(Table2[[#This Row],[LoanID]],Table1[G-L ID],Table1[ManagerCode],-99)</f>
        <v>103</v>
      </c>
      <c r="T10210"/>
    </row>
    <row r="10211" spans="1:20" x14ac:dyDescent="0.25">
      <c r="A10211">
        <v>20200131</v>
      </c>
      <c r="B10211">
        <v>2020</v>
      </c>
      <c r="C10211">
        <v>1</v>
      </c>
      <c r="D10211">
        <v>1</v>
      </c>
      <c r="E10211">
        <v>11340</v>
      </c>
      <c r="F10211">
        <v>281040.63</v>
      </c>
      <c r="G10211">
        <v>0</v>
      </c>
      <c r="H10211">
        <v>0</v>
      </c>
      <c r="I10211">
        <v>0</v>
      </c>
      <c r="J10211">
        <v>0</v>
      </c>
      <c r="K10211">
        <v>73726.350000000006</v>
      </c>
      <c r="L10211">
        <v>50846902</v>
      </c>
      <c r="M10211">
        <v>51110923</v>
      </c>
      <c r="N10211">
        <v>50846902</v>
      </c>
      <c r="O10211">
        <v>51110923</v>
      </c>
      <c r="P10211">
        <v>46624252.619999997</v>
      </c>
      <c r="Q10211">
        <v>46550526.270000003</v>
      </c>
      <c r="R10211" s="14">
        <f>_xlfn.XLOOKUP(Table2[[#This Row],[LoanID]],Table1[G-L ID],Table1[ManagerCode],-99)</f>
        <v>103</v>
      </c>
      <c r="T10211"/>
    </row>
    <row r="10212" spans="1:20" x14ac:dyDescent="0.25">
      <c r="A10212">
        <v>20200131</v>
      </c>
      <c r="B10212">
        <v>2020</v>
      </c>
      <c r="C10212">
        <v>1</v>
      </c>
      <c r="D10212">
        <v>1</v>
      </c>
      <c r="E10212">
        <v>11680</v>
      </c>
      <c r="F10212">
        <v>50325.78</v>
      </c>
      <c r="G10212">
        <v>0</v>
      </c>
      <c r="H10212">
        <v>0</v>
      </c>
      <c r="I10212">
        <v>0</v>
      </c>
      <c r="J10212">
        <v>0</v>
      </c>
      <c r="K10212">
        <v>0</v>
      </c>
      <c r="L10212">
        <v>6600000</v>
      </c>
      <c r="M10212">
        <v>6600000</v>
      </c>
      <c r="N10212">
        <v>6600000</v>
      </c>
      <c r="O10212">
        <v>6600000</v>
      </c>
      <c r="P10212">
        <v>6600000</v>
      </c>
      <c r="Q10212">
        <v>6600000</v>
      </c>
      <c r="R10212" s="14">
        <f>_xlfn.XLOOKUP(Table2[[#This Row],[LoanID]],Table1[G-L ID],Table1[ManagerCode],-99)</f>
        <v>183</v>
      </c>
      <c r="T10212"/>
    </row>
    <row r="10213" spans="1:20" x14ac:dyDescent="0.25">
      <c r="A10213">
        <v>20200131</v>
      </c>
      <c r="B10213">
        <v>2020</v>
      </c>
      <c r="C10213">
        <v>1</v>
      </c>
      <c r="D10213">
        <v>1</v>
      </c>
      <c r="E10213">
        <v>12180</v>
      </c>
      <c r="F10213">
        <v>0</v>
      </c>
      <c r="G10213">
        <v>0</v>
      </c>
      <c r="H10213">
        <v>0</v>
      </c>
      <c r="I10213">
        <v>0</v>
      </c>
      <c r="J10213">
        <v>0</v>
      </c>
      <c r="K10213">
        <v>0</v>
      </c>
      <c r="L10213">
        <v>1</v>
      </c>
      <c r="M10213">
        <v>1</v>
      </c>
      <c r="N10213">
        <v>1</v>
      </c>
      <c r="O10213">
        <v>1</v>
      </c>
      <c r="P10213">
        <v>31963806.68</v>
      </c>
      <c r="Q10213">
        <v>31963806.68</v>
      </c>
      <c r="R10213" s="14">
        <f>_xlfn.XLOOKUP(Table2[[#This Row],[LoanID]],Table1[G-L ID],Table1[ManagerCode],-99)</f>
        <v>220</v>
      </c>
      <c r="T10213"/>
    </row>
    <row r="10214" spans="1:20" x14ac:dyDescent="0.25">
      <c r="A10214">
        <v>20200131</v>
      </c>
      <c r="B10214">
        <v>2020</v>
      </c>
      <c r="C10214">
        <v>1</v>
      </c>
      <c r="D10214">
        <v>1</v>
      </c>
      <c r="E10214">
        <v>12220</v>
      </c>
      <c r="F10214">
        <v>-22783.83</v>
      </c>
      <c r="G10214">
        <v>0</v>
      </c>
      <c r="H10214">
        <v>0</v>
      </c>
      <c r="I10214">
        <v>0</v>
      </c>
      <c r="J10214">
        <v>0</v>
      </c>
      <c r="K10214">
        <v>27250000</v>
      </c>
      <c r="L10214">
        <v>54500000</v>
      </c>
      <c r="M10214">
        <v>0</v>
      </c>
      <c r="N10214">
        <v>27250000</v>
      </c>
      <c r="O10214">
        <v>0</v>
      </c>
      <c r="P10214">
        <v>54500000</v>
      </c>
      <c r="Q10214">
        <v>0</v>
      </c>
      <c r="R10214" s="14">
        <f>_xlfn.XLOOKUP(Table2[[#This Row],[LoanID]],Table1[G-L ID],Table1[ManagerCode],-99)</f>
        <v>183</v>
      </c>
      <c r="T10214"/>
    </row>
    <row r="10215" spans="1:20" x14ac:dyDescent="0.25">
      <c r="A10215">
        <v>20200131</v>
      </c>
      <c r="B10215">
        <v>2020</v>
      </c>
      <c r="C10215">
        <v>1</v>
      </c>
      <c r="D10215">
        <v>1</v>
      </c>
      <c r="E10215">
        <v>12340</v>
      </c>
      <c r="F10215">
        <v>66421.460000000006</v>
      </c>
      <c r="G10215">
        <v>0</v>
      </c>
      <c r="H10215">
        <v>0</v>
      </c>
      <c r="I10215">
        <v>0</v>
      </c>
      <c r="J10215">
        <v>0</v>
      </c>
      <c r="K10215">
        <v>0</v>
      </c>
      <c r="L10215">
        <v>24180000</v>
      </c>
      <c r="M10215">
        <v>24180000</v>
      </c>
      <c r="N10215">
        <v>12180000</v>
      </c>
      <c r="O10215">
        <v>12180000</v>
      </c>
      <c r="P10215">
        <v>24180000</v>
      </c>
      <c r="Q10215">
        <v>24180000</v>
      </c>
      <c r="R10215" s="14">
        <f>_xlfn.XLOOKUP(Table2[[#This Row],[LoanID]],Table1[G-L ID],Table1[ManagerCode],-99)</f>
        <v>183</v>
      </c>
      <c r="T10215"/>
    </row>
    <row r="10216" spans="1:20" x14ac:dyDescent="0.25">
      <c r="A10216">
        <v>20200131</v>
      </c>
      <c r="B10216">
        <v>2020</v>
      </c>
      <c r="C10216">
        <v>1</v>
      </c>
      <c r="D10216">
        <v>1</v>
      </c>
      <c r="E10216">
        <v>12350</v>
      </c>
      <c r="F10216">
        <v>232792.04</v>
      </c>
      <c r="G10216">
        <v>0</v>
      </c>
      <c r="H10216">
        <v>0</v>
      </c>
      <c r="I10216">
        <v>0</v>
      </c>
      <c r="J10216">
        <v>0</v>
      </c>
      <c r="K10216">
        <v>0</v>
      </c>
      <c r="L10216">
        <v>78700000</v>
      </c>
      <c r="M10216">
        <v>78700000</v>
      </c>
      <c r="N10216">
        <v>40914236.340000004</v>
      </c>
      <c r="O10216">
        <v>40914236.340000004</v>
      </c>
      <c r="P10216">
        <v>78700000</v>
      </c>
      <c r="Q10216">
        <v>78700000</v>
      </c>
      <c r="R10216" s="14">
        <f>_xlfn.XLOOKUP(Table2[[#This Row],[LoanID]],Table1[G-L ID],Table1[ManagerCode],-99)</f>
        <v>183</v>
      </c>
      <c r="T10216"/>
    </row>
    <row r="10217" spans="1:20" x14ac:dyDescent="0.25">
      <c r="A10217">
        <v>20200131</v>
      </c>
      <c r="B10217">
        <v>2020</v>
      </c>
      <c r="C10217">
        <v>1</v>
      </c>
      <c r="D10217">
        <v>1</v>
      </c>
      <c r="E10217">
        <v>12370</v>
      </c>
      <c r="F10217">
        <v>227040.1</v>
      </c>
      <c r="G10217">
        <v>0</v>
      </c>
      <c r="H10217">
        <v>0</v>
      </c>
      <c r="I10217">
        <v>0</v>
      </c>
      <c r="J10217">
        <v>0</v>
      </c>
      <c r="K10217">
        <v>0</v>
      </c>
      <c r="L10217">
        <v>81600000</v>
      </c>
      <c r="M10217">
        <v>81600000</v>
      </c>
      <c r="N10217">
        <v>36461538.549999997</v>
      </c>
      <c r="O10217">
        <v>36461538.549999997</v>
      </c>
      <c r="P10217">
        <v>81600000</v>
      </c>
      <c r="Q10217">
        <v>81600000</v>
      </c>
      <c r="R10217" s="14">
        <f>_xlfn.XLOOKUP(Table2[[#This Row],[LoanID]],Table1[G-L ID],Table1[ManagerCode],-99)</f>
        <v>183</v>
      </c>
      <c r="T10217"/>
    </row>
    <row r="10218" spans="1:20" x14ac:dyDescent="0.25">
      <c r="A10218">
        <v>20200131</v>
      </c>
      <c r="B10218">
        <v>2020</v>
      </c>
      <c r="C10218">
        <v>1</v>
      </c>
      <c r="D10218">
        <v>1</v>
      </c>
      <c r="E10218">
        <v>12380</v>
      </c>
      <c r="F10218">
        <v>83492.08</v>
      </c>
      <c r="G10218">
        <v>0</v>
      </c>
      <c r="H10218">
        <v>0</v>
      </c>
      <c r="I10218">
        <v>0</v>
      </c>
      <c r="J10218">
        <v>0</v>
      </c>
      <c r="K10218">
        <v>0</v>
      </c>
      <c r="L10218">
        <v>32500000</v>
      </c>
      <c r="M10218">
        <v>32500000</v>
      </c>
      <c r="N10218">
        <v>12350000</v>
      </c>
      <c r="O10218">
        <v>12350000</v>
      </c>
      <c r="P10218">
        <v>32500000</v>
      </c>
      <c r="Q10218">
        <v>32500000</v>
      </c>
      <c r="R10218" s="14">
        <f>_xlfn.XLOOKUP(Table2[[#This Row],[LoanID]],Table1[G-L ID],Table1[ManagerCode],-99)</f>
        <v>183</v>
      </c>
      <c r="T10218"/>
    </row>
    <row r="10219" spans="1:20" x14ac:dyDescent="0.25">
      <c r="A10219">
        <v>20200131</v>
      </c>
      <c r="B10219">
        <v>2020</v>
      </c>
      <c r="C10219">
        <v>1</v>
      </c>
      <c r="D10219">
        <v>1</v>
      </c>
      <c r="E10219">
        <v>12390</v>
      </c>
      <c r="F10219">
        <v>1122956.78</v>
      </c>
      <c r="G10219">
        <v>619906.43000000005</v>
      </c>
      <c r="H10219">
        <v>0</v>
      </c>
      <c r="I10219">
        <v>0</v>
      </c>
      <c r="J10219">
        <v>-5555755.5999999996</v>
      </c>
      <c r="K10219">
        <v>0</v>
      </c>
      <c r="L10219">
        <v>160365681.19999999</v>
      </c>
      <c r="M10219">
        <v>166541343.19999999</v>
      </c>
      <c r="N10219">
        <v>160365681.19999999</v>
      </c>
      <c r="O10219">
        <v>166541343.19999999</v>
      </c>
      <c r="P10219">
        <v>160365681.19999999</v>
      </c>
      <c r="Q10219">
        <v>166541343.19999999</v>
      </c>
      <c r="R10219" s="14">
        <f>_xlfn.XLOOKUP(Table2[[#This Row],[LoanID]],Table1[G-L ID],Table1[ManagerCode],-99)</f>
        <v>183</v>
      </c>
      <c r="T10219"/>
    </row>
    <row r="10220" spans="1:20" x14ac:dyDescent="0.25">
      <c r="A10220">
        <v>20200131</v>
      </c>
      <c r="B10220">
        <v>2020</v>
      </c>
      <c r="C10220">
        <v>1</v>
      </c>
      <c r="D10220">
        <v>1</v>
      </c>
      <c r="E10220">
        <v>12400</v>
      </c>
      <c r="F10220">
        <v>326159.84999999998</v>
      </c>
      <c r="G10220">
        <v>139207.56</v>
      </c>
      <c r="H10220">
        <v>0</v>
      </c>
      <c r="I10220">
        <v>0</v>
      </c>
      <c r="J10220">
        <v>-1285475.32</v>
      </c>
      <c r="K10220">
        <v>0</v>
      </c>
      <c r="L10220">
        <v>61591660.32</v>
      </c>
      <c r="M10220">
        <v>63016343.200000003</v>
      </c>
      <c r="N10220">
        <v>61591660.32</v>
      </c>
      <c r="O10220">
        <v>63016343.200000003</v>
      </c>
      <c r="P10220">
        <v>61591660.32</v>
      </c>
      <c r="Q10220">
        <v>63016343.200000003</v>
      </c>
      <c r="R10220" s="14">
        <f>_xlfn.XLOOKUP(Table2[[#This Row],[LoanID]],Table1[G-L ID],Table1[ManagerCode],-99)</f>
        <v>183</v>
      </c>
      <c r="T10220"/>
    </row>
    <row r="10221" spans="1:20" x14ac:dyDescent="0.25">
      <c r="A10221">
        <v>20200131</v>
      </c>
      <c r="B10221">
        <v>2020</v>
      </c>
      <c r="C10221">
        <v>1</v>
      </c>
      <c r="D10221">
        <v>1</v>
      </c>
      <c r="E10221">
        <v>12410</v>
      </c>
      <c r="F10221">
        <v>500000</v>
      </c>
      <c r="G10221">
        <v>125000</v>
      </c>
      <c r="H10221">
        <v>0</v>
      </c>
      <c r="I10221">
        <v>0</v>
      </c>
      <c r="J10221">
        <v>0</v>
      </c>
      <c r="K10221">
        <v>0</v>
      </c>
      <c r="L10221">
        <v>60223807.539999999</v>
      </c>
      <c r="M10221">
        <v>60348807.539999999</v>
      </c>
      <c r="N10221">
        <v>60223807.539999999</v>
      </c>
      <c r="O10221">
        <v>60348807.539999999</v>
      </c>
      <c r="P10221">
        <v>66504789.659999996</v>
      </c>
      <c r="Q10221">
        <v>66629789.659999996</v>
      </c>
      <c r="R10221" s="14">
        <f>_xlfn.XLOOKUP(Table2[[#This Row],[LoanID]],Table1[G-L ID],Table1[ManagerCode],-99)</f>
        <v>103</v>
      </c>
      <c r="T10221"/>
    </row>
    <row r="10222" spans="1:20" x14ac:dyDescent="0.25">
      <c r="A10222">
        <v>20200131</v>
      </c>
      <c r="B10222">
        <v>2020</v>
      </c>
      <c r="C10222">
        <v>1</v>
      </c>
      <c r="D10222">
        <v>1</v>
      </c>
      <c r="E10222">
        <v>12430</v>
      </c>
      <c r="F10222">
        <v>92688.68</v>
      </c>
      <c r="G10222">
        <v>415714.89</v>
      </c>
      <c r="H10222">
        <v>0</v>
      </c>
      <c r="I10222">
        <v>0</v>
      </c>
      <c r="J10222">
        <v>-92688.68</v>
      </c>
      <c r="K10222">
        <v>0</v>
      </c>
      <c r="L10222">
        <v>26416273</v>
      </c>
      <c r="M10222">
        <v>26899257</v>
      </c>
      <c r="N10222">
        <v>26416273</v>
      </c>
      <c r="O10222">
        <v>26899257</v>
      </c>
      <c r="P10222">
        <v>27944714.66</v>
      </c>
      <c r="Q10222">
        <v>28453118.23</v>
      </c>
      <c r="R10222" s="14">
        <f>_xlfn.XLOOKUP(Table2[[#This Row],[LoanID]],Table1[G-L ID],Table1[ManagerCode],-99)</f>
        <v>103</v>
      </c>
      <c r="T10222"/>
    </row>
    <row r="10223" spans="1:20" x14ac:dyDescent="0.25">
      <c r="A10223">
        <v>20200131</v>
      </c>
      <c r="B10223">
        <v>2020</v>
      </c>
      <c r="C10223">
        <v>1</v>
      </c>
      <c r="D10223">
        <v>1</v>
      </c>
      <c r="E10223">
        <v>12440</v>
      </c>
      <c r="F10223">
        <v>24043.52</v>
      </c>
      <c r="G10223">
        <v>0</v>
      </c>
      <c r="H10223">
        <v>0</v>
      </c>
      <c r="I10223">
        <v>0</v>
      </c>
      <c r="J10223">
        <v>0</v>
      </c>
      <c r="K10223">
        <v>59322.75</v>
      </c>
      <c r="L10223">
        <v>3199411</v>
      </c>
      <c r="M10223">
        <v>3145721</v>
      </c>
      <c r="N10223">
        <v>3199411</v>
      </c>
      <c r="O10223">
        <v>3145721</v>
      </c>
      <c r="P10223">
        <v>2885222.41</v>
      </c>
      <c r="Q10223">
        <v>2825899.66</v>
      </c>
      <c r="R10223" s="14">
        <f>_xlfn.XLOOKUP(Table2[[#This Row],[LoanID]],Table1[G-L ID],Table1[ManagerCode],-99)</f>
        <v>103</v>
      </c>
      <c r="T10223"/>
    </row>
    <row r="10224" spans="1:20" x14ac:dyDescent="0.25">
      <c r="A10224">
        <v>20200131</v>
      </c>
      <c r="B10224">
        <v>2020</v>
      </c>
      <c r="C10224">
        <v>1</v>
      </c>
      <c r="D10224">
        <v>1</v>
      </c>
      <c r="E10224">
        <v>12460</v>
      </c>
      <c r="F10224">
        <v>47976.38</v>
      </c>
      <c r="G10224">
        <v>48216.27</v>
      </c>
      <c r="H10224">
        <v>0</v>
      </c>
      <c r="I10224">
        <v>0</v>
      </c>
      <c r="J10224">
        <v>0</v>
      </c>
      <c r="K10224">
        <v>0</v>
      </c>
      <c r="L10224">
        <v>9643252.5</v>
      </c>
      <c r="M10224">
        <v>9691468.7699999996</v>
      </c>
      <c r="N10224">
        <v>9643252.5</v>
      </c>
      <c r="O10224">
        <v>9691468.7699999996</v>
      </c>
      <c r="P10224">
        <v>9643252.5</v>
      </c>
      <c r="Q10224">
        <v>9691468.7699999996</v>
      </c>
      <c r="R10224" s="14">
        <f>_xlfn.XLOOKUP(Table2[[#This Row],[LoanID]],Table1[G-L ID],Table1[ManagerCode],-99)</f>
        <v>183</v>
      </c>
      <c r="T10224"/>
    </row>
    <row r="10225" spans="1:20" x14ac:dyDescent="0.25">
      <c r="A10225">
        <v>20200131</v>
      </c>
      <c r="B10225">
        <v>2020</v>
      </c>
      <c r="C10225">
        <v>1</v>
      </c>
      <c r="D10225">
        <v>1</v>
      </c>
      <c r="E10225">
        <v>12470</v>
      </c>
      <c r="F10225">
        <v>296525.58</v>
      </c>
      <c r="G10225">
        <v>0</v>
      </c>
      <c r="H10225">
        <v>0</v>
      </c>
      <c r="I10225">
        <v>0</v>
      </c>
      <c r="J10225">
        <v>0</v>
      </c>
      <c r="K10225">
        <v>0</v>
      </c>
      <c r="L10225">
        <v>115000000</v>
      </c>
      <c r="M10225">
        <v>114578356</v>
      </c>
      <c r="N10225">
        <v>46000000</v>
      </c>
      <c r="O10225">
        <v>45578356</v>
      </c>
      <c r="P10225">
        <v>115000000</v>
      </c>
      <c r="Q10225">
        <v>115000000</v>
      </c>
      <c r="R10225" s="14">
        <f>_xlfn.XLOOKUP(Table2[[#This Row],[LoanID]],Table1[G-L ID],Table1[ManagerCode],-99)</f>
        <v>183</v>
      </c>
      <c r="T10225"/>
    </row>
    <row r="10226" spans="1:20" x14ac:dyDescent="0.25">
      <c r="A10226">
        <v>20200131</v>
      </c>
      <c r="B10226">
        <v>2020</v>
      </c>
      <c r="C10226">
        <v>1</v>
      </c>
      <c r="D10226">
        <v>1</v>
      </c>
      <c r="E10226">
        <v>12490</v>
      </c>
      <c r="F10226">
        <v>126689.87</v>
      </c>
      <c r="G10226">
        <v>0</v>
      </c>
      <c r="H10226">
        <v>0</v>
      </c>
      <c r="I10226">
        <v>0</v>
      </c>
      <c r="J10226">
        <v>0</v>
      </c>
      <c r="K10226">
        <v>0</v>
      </c>
      <c r="L10226">
        <v>50200000</v>
      </c>
      <c r="M10226">
        <v>50200000</v>
      </c>
      <c r="N10226">
        <v>19600000</v>
      </c>
      <c r="O10226">
        <v>19600000</v>
      </c>
      <c r="P10226">
        <v>50200000</v>
      </c>
      <c r="Q10226">
        <v>50200000</v>
      </c>
      <c r="R10226" s="14">
        <f>_xlfn.XLOOKUP(Table2[[#This Row],[LoanID]],Table1[G-L ID],Table1[ManagerCode],-99)</f>
        <v>183</v>
      </c>
      <c r="T10226"/>
    </row>
    <row r="10227" spans="1:20" x14ac:dyDescent="0.25">
      <c r="A10227">
        <v>20200131</v>
      </c>
      <c r="B10227">
        <v>2020</v>
      </c>
      <c r="C10227">
        <v>1</v>
      </c>
      <c r="D10227">
        <v>1</v>
      </c>
      <c r="E10227">
        <v>12520</v>
      </c>
      <c r="F10227">
        <v>190875.73</v>
      </c>
      <c r="G10227">
        <v>0</v>
      </c>
      <c r="H10227">
        <v>0</v>
      </c>
      <c r="I10227">
        <v>0</v>
      </c>
      <c r="J10227">
        <v>0</v>
      </c>
      <c r="K10227">
        <v>0</v>
      </c>
      <c r="L10227">
        <v>48569301.140000001</v>
      </c>
      <c r="M10227">
        <v>48569301.140000001</v>
      </c>
      <c r="N10227">
        <v>23819301.140000001</v>
      </c>
      <c r="O10227">
        <v>23819301.140000001</v>
      </c>
      <c r="P10227">
        <v>48569301.140000001</v>
      </c>
      <c r="Q10227">
        <v>48569301.140000001</v>
      </c>
      <c r="R10227" s="14">
        <f>_xlfn.XLOOKUP(Table2[[#This Row],[LoanID]],Table1[G-L ID],Table1[ManagerCode],-99)</f>
        <v>183</v>
      </c>
      <c r="T10227"/>
    </row>
    <row r="10228" spans="1:20" x14ac:dyDescent="0.25">
      <c r="A10228">
        <v>20200131</v>
      </c>
      <c r="B10228">
        <v>2020</v>
      </c>
      <c r="C10228">
        <v>1</v>
      </c>
      <c r="D10228">
        <v>1</v>
      </c>
      <c r="E10228">
        <v>12650</v>
      </c>
      <c r="F10228">
        <v>362678.66</v>
      </c>
      <c r="G10228">
        <v>0</v>
      </c>
      <c r="H10228">
        <v>0</v>
      </c>
      <c r="I10228">
        <v>0</v>
      </c>
      <c r="J10228">
        <v>0</v>
      </c>
      <c r="K10228">
        <v>0</v>
      </c>
      <c r="L10228">
        <v>123200000</v>
      </c>
      <c r="M10228">
        <v>123200000</v>
      </c>
      <c r="N10228">
        <v>49280000</v>
      </c>
      <c r="O10228">
        <v>49280000</v>
      </c>
      <c r="P10228">
        <v>123200000</v>
      </c>
      <c r="Q10228">
        <v>123200000</v>
      </c>
      <c r="R10228" s="14">
        <f>_xlfn.XLOOKUP(Table2[[#This Row],[LoanID]],Table1[G-L ID],Table1[ManagerCode],-99)</f>
        <v>183</v>
      </c>
      <c r="T10228"/>
    </row>
    <row r="10229" spans="1:20" x14ac:dyDescent="0.25">
      <c r="A10229">
        <v>20200131</v>
      </c>
      <c r="B10229">
        <v>2020</v>
      </c>
      <c r="C10229">
        <v>1</v>
      </c>
      <c r="D10229">
        <v>1</v>
      </c>
      <c r="E10229">
        <v>12670</v>
      </c>
      <c r="F10229">
        <v>83211.66</v>
      </c>
      <c r="G10229">
        <v>0</v>
      </c>
      <c r="H10229">
        <v>0</v>
      </c>
      <c r="I10229">
        <v>0</v>
      </c>
      <c r="J10229">
        <v>0</v>
      </c>
      <c r="K10229">
        <v>0</v>
      </c>
      <c r="L10229">
        <v>15500000</v>
      </c>
      <c r="M10229">
        <v>15494098</v>
      </c>
      <c r="N10229">
        <v>15500000</v>
      </c>
      <c r="O10229">
        <v>15494098</v>
      </c>
      <c r="P10229">
        <v>15500000</v>
      </c>
      <c r="Q10229">
        <v>15500000</v>
      </c>
      <c r="R10229" s="14">
        <f>_xlfn.XLOOKUP(Table2[[#This Row],[LoanID]],Table1[G-L ID],Table1[ManagerCode],-99)</f>
        <v>183</v>
      </c>
      <c r="T10229"/>
    </row>
    <row r="10230" spans="1:20" x14ac:dyDescent="0.25">
      <c r="A10230">
        <v>20200131</v>
      </c>
      <c r="B10230">
        <v>2020</v>
      </c>
      <c r="C10230">
        <v>1</v>
      </c>
      <c r="D10230">
        <v>1</v>
      </c>
      <c r="E10230">
        <v>12720</v>
      </c>
      <c r="F10230">
        <v>536206.04</v>
      </c>
      <c r="G10230">
        <v>0</v>
      </c>
      <c r="H10230">
        <v>0</v>
      </c>
      <c r="I10230">
        <v>0</v>
      </c>
      <c r="J10230">
        <v>-3208671.7</v>
      </c>
      <c r="K10230">
        <v>0</v>
      </c>
      <c r="L10230">
        <v>201699229.40000001</v>
      </c>
      <c r="M10230">
        <v>204907901.09999999</v>
      </c>
      <c r="N10230">
        <v>99818229.400000006</v>
      </c>
      <c r="O10230">
        <v>103026901.09999999</v>
      </c>
      <c r="P10230">
        <v>201699229.40000001</v>
      </c>
      <c r="Q10230">
        <v>204907901.09999999</v>
      </c>
      <c r="R10230" s="14">
        <f>_xlfn.XLOOKUP(Table2[[#This Row],[LoanID]],Table1[G-L ID],Table1[ManagerCode],-99)</f>
        <v>183</v>
      </c>
      <c r="T10230"/>
    </row>
    <row r="10231" spans="1:20" x14ac:dyDescent="0.25">
      <c r="A10231">
        <v>20200131</v>
      </c>
      <c r="B10231">
        <v>2020</v>
      </c>
      <c r="C10231">
        <v>1</v>
      </c>
      <c r="D10231">
        <v>1</v>
      </c>
      <c r="E10231">
        <v>12730</v>
      </c>
      <c r="F10231">
        <v>81183.960000000006</v>
      </c>
      <c r="G10231">
        <v>0</v>
      </c>
      <c r="H10231">
        <v>0</v>
      </c>
      <c r="I10231">
        <v>0</v>
      </c>
      <c r="J10231">
        <v>0</v>
      </c>
      <c r="K10231">
        <v>0</v>
      </c>
      <c r="L10231">
        <v>38460000</v>
      </c>
      <c r="M10231">
        <v>38460000</v>
      </c>
      <c r="N10231">
        <v>13460000</v>
      </c>
      <c r="O10231">
        <v>13460000</v>
      </c>
      <c r="P10231">
        <v>38460000</v>
      </c>
      <c r="Q10231">
        <v>38460000</v>
      </c>
      <c r="R10231" s="14">
        <f>_xlfn.XLOOKUP(Table2[[#This Row],[LoanID]],Table1[G-L ID],Table1[ManagerCode],-99)</f>
        <v>183</v>
      </c>
      <c r="T10231"/>
    </row>
    <row r="10232" spans="1:20" x14ac:dyDescent="0.25">
      <c r="A10232">
        <v>20200131</v>
      </c>
      <c r="B10232">
        <v>2020</v>
      </c>
      <c r="C10232">
        <v>1</v>
      </c>
      <c r="D10232">
        <v>1</v>
      </c>
      <c r="E10232">
        <v>12740</v>
      </c>
      <c r="F10232">
        <v>166287.32</v>
      </c>
      <c r="G10232">
        <v>78777.119999999995</v>
      </c>
      <c r="H10232">
        <v>0</v>
      </c>
      <c r="I10232">
        <v>0</v>
      </c>
      <c r="J10232">
        <v>-850126.64</v>
      </c>
      <c r="K10232">
        <v>0</v>
      </c>
      <c r="L10232">
        <v>33503194.780000001</v>
      </c>
      <c r="M10232">
        <v>34432098.539999999</v>
      </c>
      <c r="N10232">
        <v>33503194.780000001</v>
      </c>
      <c r="O10232">
        <v>34432098.539999999</v>
      </c>
      <c r="P10232">
        <v>33503194.780000001</v>
      </c>
      <c r="Q10232">
        <v>34432098.539999999</v>
      </c>
      <c r="R10232" s="14">
        <f>_xlfn.XLOOKUP(Table2[[#This Row],[LoanID]],Table1[G-L ID],Table1[ManagerCode],-99)</f>
        <v>183</v>
      </c>
      <c r="T10232"/>
    </row>
    <row r="10233" spans="1:20" x14ac:dyDescent="0.25">
      <c r="A10233">
        <v>20200131</v>
      </c>
      <c r="B10233">
        <v>2020</v>
      </c>
      <c r="C10233">
        <v>1</v>
      </c>
      <c r="D10233">
        <v>1</v>
      </c>
      <c r="E10233">
        <v>13000</v>
      </c>
      <c r="F10233">
        <v>167922.04</v>
      </c>
      <c r="G10233">
        <v>692326.79</v>
      </c>
      <c r="H10233">
        <v>0</v>
      </c>
      <c r="I10233">
        <v>0</v>
      </c>
      <c r="J10233">
        <v>0</v>
      </c>
      <c r="K10233">
        <v>0</v>
      </c>
      <c r="L10233">
        <v>47857780</v>
      </c>
      <c r="M10233">
        <v>48515493</v>
      </c>
      <c r="N10233">
        <v>47857780</v>
      </c>
      <c r="O10233">
        <v>48515493</v>
      </c>
      <c r="P10233">
        <v>50376611.859999999</v>
      </c>
      <c r="Q10233">
        <v>51068938.649999999</v>
      </c>
      <c r="R10233" s="14">
        <f>_xlfn.XLOOKUP(Table2[[#This Row],[LoanID]],Table1[G-L ID],Table1[ManagerCode],-99)</f>
        <v>103</v>
      </c>
      <c r="T10233"/>
    </row>
    <row r="10234" spans="1:20" x14ac:dyDescent="0.25">
      <c r="A10234">
        <v>20200131</v>
      </c>
      <c r="B10234">
        <v>2020</v>
      </c>
      <c r="C10234">
        <v>1</v>
      </c>
      <c r="D10234">
        <v>1</v>
      </c>
      <c r="E10234">
        <v>13010</v>
      </c>
      <c r="F10234">
        <v>1050000</v>
      </c>
      <c r="G10234">
        <v>350000</v>
      </c>
      <c r="H10234">
        <v>0</v>
      </c>
      <c r="I10234">
        <v>0</v>
      </c>
      <c r="J10234">
        <v>0</v>
      </c>
      <c r="K10234">
        <v>0</v>
      </c>
      <c r="L10234">
        <v>201600200</v>
      </c>
      <c r="M10234">
        <v>201950200</v>
      </c>
      <c r="N10234">
        <v>201600200</v>
      </c>
      <c r="O10234">
        <v>201950200</v>
      </c>
      <c r="P10234">
        <v>212100000</v>
      </c>
      <c r="Q10234">
        <v>212450000</v>
      </c>
      <c r="R10234" s="14">
        <f>_xlfn.XLOOKUP(Table2[[#This Row],[LoanID]],Table1[G-L ID],Table1[ManagerCode],-99)</f>
        <v>103</v>
      </c>
      <c r="T10234"/>
    </row>
    <row r="10235" spans="1:20" x14ac:dyDescent="0.25">
      <c r="A10235">
        <v>20200131</v>
      </c>
      <c r="B10235">
        <v>2020</v>
      </c>
      <c r="C10235">
        <v>1</v>
      </c>
      <c r="D10235">
        <v>1</v>
      </c>
      <c r="E10235">
        <v>13030</v>
      </c>
      <c r="F10235">
        <v>300057.28999999998</v>
      </c>
      <c r="G10235">
        <v>0</v>
      </c>
      <c r="H10235">
        <v>0</v>
      </c>
      <c r="I10235">
        <v>0</v>
      </c>
      <c r="J10235">
        <v>0</v>
      </c>
      <c r="K10235">
        <v>0</v>
      </c>
      <c r="L10235">
        <v>114000000</v>
      </c>
      <c r="M10235">
        <v>114000000</v>
      </c>
      <c r="N10235">
        <v>51276576</v>
      </c>
      <c r="O10235">
        <v>51276576</v>
      </c>
      <c r="P10235">
        <v>114000000</v>
      </c>
      <c r="Q10235">
        <v>114000000</v>
      </c>
      <c r="R10235" s="14">
        <f>_xlfn.XLOOKUP(Table2[[#This Row],[LoanID]],Table1[G-L ID],Table1[ManagerCode],-99)</f>
        <v>183</v>
      </c>
      <c r="T10235"/>
    </row>
    <row r="10236" spans="1:20" x14ac:dyDescent="0.25">
      <c r="A10236">
        <v>20200131</v>
      </c>
      <c r="B10236">
        <v>2020</v>
      </c>
      <c r="C10236">
        <v>1</v>
      </c>
      <c r="D10236">
        <v>1</v>
      </c>
      <c r="E10236">
        <v>13040</v>
      </c>
      <c r="F10236">
        <v>89762.96</v>
      </c>
      <c r="G10236">
        <v>0</v>
      </c>
      <c r="H10236">
        <v>0</v>
      </c>
      <c r="I10236">
        <v>0</v>
      </c>
      <c r="J10236">
        <v>-421775.78</v>
      </c>
      <c r="K10236">
        <v>0</v>
      </c>
      <c r="L10236">
        <v>36263333.409999996</v>
      </c>
      <c r="M10236">
        <v>36685109.189999998</v>
      </c>
      <c r="N10236">
        <v>16090946.41</v>
      </c>
      <c r="O10236">
        <v>16512722.189999999</v>
      </c>
      <c r="P10236">
        <v>36263333.409999996</v>
      </c>
      <c r="Q10236">
        <v>36685109.189999998</v>
      </c>
      <c r="R10236" s="14">
        <f>_xlfn.XLOOKUP(Table2[[#This Row],[LoanID]],Table1[G-L ID],Table1[ManagerCode],-99)</f>
        <v>183</v>
      </c>
      <c r="T10236"/>
    </row>
    <row r="10237" spans="1:20" x14ac:dyDescent="0.25">
      <c r="A10237">
        <v>20200131</v>
      </c>
      <c r="B10237">
        <v>2020</v>
      </c>
      <c r="C10237">
        <v>1</v>
      </c>
      <c r="D10237">
        <v>1</v>
      </c>
      <c r="E10237">
        <v>13050</v>
      </c>
      <c r="F10237">
        <v>68551.360000000001</v>
      </c>
      <c r="G10237">
        <v>0</v>
      </c>
      <c r="H10237">
        <v>0</v>
      </c>
      <c r="I10237">
        <v>0</v>
      </c>
      <c r="J10237">
        <v>0</v>
      </c>
      <c r="K10237">
        <v>0</v>
      </c>
      <c r="L10237">
        <v>42575000</v>
      </c>
      <c r="M10237">
        <v>42575000</v>
      </c>
      <c r="N10237">
        <v>14901424</v>
      </c>
      <c r="O10237">
        <v>14901424</v>
      </c>
      <c r="P10237">
        <v>42575000</v>
      </c>
      <c r="Q10237">
        <v>42575000</v>
      </c>
      <c r="R10237" s="14">
        <f>_xlfn.XLOOKUP(Table2[[#This Row],[LoanID]],Table1[G-L ID],Table1[ManagerCode],-99)</f>
        <v>183</v>
      </c>
      <c r="T10237"/>
    </row>
    <row r="10238" spans="1:20" x14ac:dyDescent="0.25">
      <c r="A10238">
        <v>20200131</v>
      </c>
      <c r="B10238">
        <v>2020</v>
      </c>
      <c r="C10238">
        <v>1</v>
      </c>
      <c r="D10238">
        <v>1</v>
      </c>
      <c r="E10238">
        <v>13060</v>
      </c>
      <c r="F10238">
        <v>102063.1</v>
      </c>
      <c r="G10238">
        <v>0</v>
      </c>
      <c r="H10238">
        <v>0</v>
      </c>
      <c r="I10238">
        <v>0</v>
      </c>
      <c r="J10238">
        <v>-2550199.6800000002</v>
      </c>
      <c r="K10238">
        <v>0</v>
      </c>
      <c r="L10238">
        <v>45095582.140000001</v>
      </c>
      <c r="M10238">
        <v>47525785.82</v>
      </c>
      <c r="N10238">
        <v>18846725.98</v>
      </c>
      <c r="O10238">
        <v>21276929.66</v>
      </c>
      <c r="P10238">
        <v>45095582.140000001</v>
      </c>
      <c r="Q10238">
        <v>47645781.82</v>
      </c>
      <c r="R10238" s="14">
        <f>_xlfn.XLOOKUP(Table2[[#This Row],[LoanID]],Table1[G-L ID],Table1[ManagerCode],-99)</f>
        <v>183</v>
      </c>
      <c r="T10238"/>
    </row>
    <row r="10239" spans="1:20" x14ac:dyDescent="0.25">
      <c r="A10239">
        <v>20200131</v>
      </c>
      <c r="B10239">
        <v>2020</v>
      </c>
      <c r="C10239">
        <v>1</v>
      </c>
      <c r="D10239">
        <v>1</v>
      </c>
      <c r="E10239">
        <v>13070</v>
      </c>
      <c r="F10239">
        <v>397770.23999999999</v>
      </c>
      <c r="G10239">
        <v>0</v>
      </c>
      <c r="H10239">
        <v>0</v>
      </c>
      <c r="I10239">
        <v>0</v>
      </c>
      <c r="J10239">
        <v>-3344258</v>
      </c>
      <c r="K10239">
        <v>0</v>
      </c>
      <c r="L10239">
        <v>93207037</v>
      </c>
      <c r="M10239">
        <v>96551295</v>
      </c>
      <c r="N10239">
        <v>53207037</v>
      </c>
      <c r="O10239">
        <v>56551295</v>
      </c>
      <c r="P10239">
        <v>93207037</v>
      </c>
      <c r="Q10239">
        <v>96551295</v>
      </c>
      <c r="R10239" s="14">
        <f>_xlfn.XLOOKUP(Table2[[#This Row],[LoanID]],Table1[G-L ID],Table1[ManagerCode],-99)</f>
        <v>183</v>
      </c>
      <c r="T10239"/>
    </row>
    <row r="10240" spans="1:20" x14ac:dyDescent="0.25">
      <c r="A10240">
        <v>20200131</v>
      </c>
      <c r="B10240">
        <v>2020</v>
      </c>
      <c r="C10240">
        <v>1</v>
      </c>
      <c r="D10240">
        <v>1</v>
      </c>
      <c r="E10240">
        <v>13080</v>
      </c>
      <c r="F10240">
        <v>114338.16</v>
      </c>
      <c r="G10240">
        <v>0</v>
      </c>
      <c r="H10240">
        <v>0</v>
      </c>
      <c r="I10240">
        <v>0</v>
      </c>
      <c r="J10240">
        <v>0</v>
      </c>
      <c r="K10240">
        <v>0</v>
      </c>
      <c r="L10240">
        <v>43000000</v>
      </c>
      <c r="M10240">
        <v>43000000</v>
      </c>
      <c r="N10240">
        <v>21500000</v>
      </c>
      <c r="O10240">
        <v>21500000</v>
      </c>
      <c r="P10240">
        <v>43000000</v>
      </c>
      <c r="Q10240">
        <v>43000000</v>
      </c>
      <c r="R10240" s="14">
        <f>_xlfn.XLOOKUP(Table2[[#This Row],[LoanID]],Table1[G-L ID],Table1[ManagerCode],-99)</f>
        <v>183</v>
      </c>
      <c r="T10240"/>
    </row>
    <row r="10241" spans="1:20" x14ac:dyDescent="0.25">
      <c r="A10241">
        <v>20200131</v>
      </c>
      <c r="B10241">
        <v>2020</v>
      </c>
      <c r="C10241">
        <v>1</v>
      </c>
      <c r="D10241">
        <v>1</v>
      </c>
      <c r="E10241">
        <v>13090</v>
      </c>
      <c r="F10241">
        <v>102799.44</v>
      </c>
      <c r="G10241">
        <v>0</v>
      </c>
      <c r="H10241">
        <v>0</v>
      </c>
      <c r="I10241">
        <v>0</v>
      </c>
      <c r="J10241">
        <v>0</v>
      </c>
      <c r="K10241">
        <v>0</v>
      </c>
      <c r="L10241">
        <v>20000000</v>
      </c>
      <c r="M10241">
        <v>20000000</v>
      </c>
      <c r="N10241">
        <v>20000000</v>
      </c>
      <c r="O10241">
        <v>20000000</v>
      </c>
      <c r="P10241">
        <v>20000000</v>
      </c>
      <c r="Q10241">
        <v>20000000</v>
      </c>
      <c r="R10241" s="14">
        <f>_xlfn.XLOOKUP(Table2[[#This Row],[LoanID]],Table1[G-L ID],Table1[ManagerCode],-99)</f>
        <v>183</v>
      </c>
      <c r="T10241"/>
    </row>
    <row r="10242" spans="1:20" x14ac:dyDescent="0.25">
      <c r="A10242">
        <v>20200131</v>
      </c>
      <c r="B10242">
        <v>2020</v>
      </c>
      <c r="C10242">
        <v>1</v>
      </c>
      <c r="D10242">
        <v>1</v>
      </c>
      <c r="E10242">
        <v>13100</v>
      </c>
      <c r="F10242">
        <v>118432.19</v>
      </c>
      <c r="G10242">
        <v>0</v>
      </c>
      <c r="H10242">
        <v>0</v>
      </c>
      <c r="I10242">
        <v>0</v>
      </c>
      <c r="J10242">
        <v>-418771.78</v>
      </c>
      <c r="K10242">
        <v>1166987.73</v>
      </c>
      <c r="L10242">
        <v>27872977.829999998</v>
      </c>
      <c r="M10242">
        <v>27543533.609999999</v>
      </c>
      <c r="N10242">
        <v>9380635.2200000007</v>
      </c>
      <c r="O10242">
        <v>8632419.2699999996</v>
      </c>
      <c r="P10242">
        <v>27872977.829999998</v>
      </c>
      <c r="Q10242">
        <v>27543533.609999999</v>
      </c>
      <c r="R10242" s="14">
        <f>_xlfn.XLOOKUP(Table2[[#This Row],[LoanID]],Table1[G-L ID],Table1[ManagerCode],-99)</f>
        <v>183</v>
      </c>
      <c r="T10242"/>
    </row>
    <row r="10243" spans="1:20" x14ac:dyDescent="0.25">
      <c r="A10243">
        <v>20200131</v>
      </c>
      <c r="B10243">
        <v>2020</v>
      </c>
      <c r="C10243">
        <v>1</v>
      </c>
      <c r="D10243">
        <v>1</v>
      </c>
      <c r="E10243">
        <v>13110</v>
      </c>
      <c r="F10243">
        <v>91961.22</v>
      </c>
      <c r="G10243">
        <v>0</v>
      </c>
      <c r="H10243">
        <v>0</v>
      </c>
      <c r="I10243">
        <v>0</v>
      </c>
      <c r="J10243">
        <v>0</v>
      </c>
      <c r="K10243">
        <v>0</v>
      </c>
      <c r="L10243">
        <v>46103200.240000002</v>
      </c>
      <c r="M10243">
        <v>46103200.240000002</v>
      </c>
      <c r="N10243">
        <v>19826950.239999998</v>
      </c>
      <c r="O10243">
        <v>19826950.239999998</v>
      </c>
      <c r="P10243">
        <v>46103200.240000002</v>
      </c>
      <c r="Q10243">
        <v>46103200.240000002</v>
      </c>
      <c r="R10243" s="14">
        <f>_xlfn.XLOOKUP(Table2[[#This Row],[LoanID]],Table1[G-L ID],Table1[ManagerCode],-99)</f>
        <v>183</v>
      </c>
      <c r="T10243"/>
    </row>
    <row r="10244" spans="1:20" x14ac:dyDescent="0.25">
      <c r="A10244">
        <v>20200131</v>
      </c>
      <c r="B10244">
        <v>2020</v>
      </c>
      <c r="C10244">
        <v>1</v>
      </c>
      <c r="D10244">
        <v>1</v>
      </c>
      <c r="E10244">
        <v>13120</v>
      </c>
      <c r="F10244">
        <v>63854.06</v>
      </c>
      <c r="G10244">
        <v>0</v>
      </c>
      <c r="H10244">
        <v>0</v>
      </c>
      <c r="I10244">
        <v>0</v>
      </c>
      <c r="J10244">
        <v>0</v>
      </c>
      <c r="K10244">
        <v>0</v>
      </c>
      <c r="L10244">
        <v>27360000</v>
      </c>
      <c r="M10244">
        <v>27360000</v>
      </c>
      <c r="N10244">
        <v>9576000</v>
      </c>
      <c r="O10244">
        <v>9576000</v>
      </c>
      <c r="P10244">
        <v>27360000</v>
      </c>
      <c r="Q10244">
        <v>27360000</v>
      </c>
      <c r="R10244" s="14">
        <f>_xlfn.XLOOKUP(Table2[[#This Row],[LoanID]],Table1[G-L ID],Table1[ManagerCode],-99)</f>
        <v>183</v>
      </c>
      <c r="T10244"/>
    </row>
    <row r="10245" spans="1:20" x14ac:dyDescent="0.25">
      <c r="A10245">
        <v>20200131</v>
      </c>
      <c r="B10245">
        <v>2020</v>
      </c>
      <c r="C10245">
        <v>1</v>
      </c>
      <c r="D10245">
        <v>1</v>
      </c>
      <c r="E10245">
        <v>13130</v>
      </c>
      <c r="F10245">
        <v>411308.58</v>
      </c>
      <c r="G10245">
        <v>0</v>
      </c>
      <c r="H10245">
        <v>0</v>
      </c>
      <c r="I10245">
        <v>0</v>
      </c>
      <c r="J10245">
        <v>0</v>
      </c>
      <c r="K10245">
        <v>0</v>
      </c>
      <c r="L10245">
        <v>199592738.09999999</v>
      </c>
      <c r="M10245">
        <v>198680193.09999999</v>
      </c>
      <c r="N10245">
        <v>99592738.099999994</v>
      </c>
      <c r="O10245">
        <v>98680193.099999994</v>
      </c>
      <c r="P10245">
        <v>199592738.09999999</v>
      </c>
      <c r="Q10245">
        <v>199592738.09999999</v>
      </c>
      <c r="R10245" s="14">
        <f>_xlfn.XLOOKUP(Table2[[#This Row],[LoanID]],Table1[G-L ID],Table1[ManagerCode],-99)</f>
        <v>183</v>
      </c>
      <c r="T10245"/>
    </row>
    <row r="10246" spans="1:20" x14ac:dyDescent="0.25">
      <c r="A10246">
        <v>20200131</v>
      </c>
      <c r="B10246">
        <v>2020</v>
      </c>
      <c r="C10246">
        <v>1</v>
      </c>
      <c r="D10246">
        <v>1</v>
      </c>
      <c r="E10246">
        <v>13140</v>
      </c>
      <c r="F10246">
        <v>258148.76</v>
      </c>
      <c r="G10246">
        <v>0</v>
      </c>
      <c r="H10246">
        <v>0</v>
      </c>
      <c r="I10246">
        <v>0</v>
      </c>
      <c r="J10246">
        <v>-273244.34000000003</v>
      </c>
      <c r="K10246">
        <v>0</v>
      </c>
      <c r="L10246">
        <v>141678344.69999999</v>
      </c>
      <c r="M10246">
        <v>141951589</v>
      </c>
      <c r="N10246">
        <v>49980674.380000003</v>
      </c>
      <c r="O10246">
        <v>50253918.68</v>
      </c>
      <c r="P10246">
        <v>141678344.69999999</v>
      </c>
      <c r="Q10246">
        <v>141951589</v>
      </c>
      <c r="R10246" s="14">
        <f>_xlfn.XLOOKUP(Table2[[#This Row],[LoanID]],Table1[G-L ID],Table1[ManagerCode],-99)</f>
        <v>183</v>
      </c>
      <c r="T10246"/>
    </row>
    <row r="10247" spans="1:20" x14ac:dyDescent="0.25">
      <c r="A10247">
        <v>20200131</v>
      </c>
      <c r="B10247">
        <v>2020</v>
      </c>
      <c r="C10247">
        <v>1</v>
      </c>
      <c r="D10247">
        <v>1</v>
      </c>
      <c r="E10247">
        <v>13150</v>
      </c>
      <c r="F10247">
        <v>165327.57999999999</v>
      </c>
      <c r="G10247">
        <v>0</v>
      </c>
      <c r="H10247">
        <v>0</v>
      </c>
      <c r="I10247">
        <v>0</v>
      </c>
      <c r="J10247">
        <v>-454619.21</v>
      </c>
      <c r="K10247">
        <v>0</v>
      </c>
      <c r="L10247">
        <v>87353951.189999998</v>
      </c>
      <c r="M10247">
        <v>87675043.400000006</v>
      </c>
      <c r="N10247">
        <v>31549758.23</v>
      </c>
      <c r="O10247">
        <v>31870850.440000001</v>
      </c>
      <c r="P10247">
        <v>87353951.189999998</v>
      </c>
      <c r="Q10247">
        <v>87808570.400000006</v>
      </c>
      <c r="R10247" s="14">
        <f>_xlfn.XLOOKUP(Table2[[#This Row],[LoanID]],Table1[G-L ID],Table1[ManagerCode],-99)</f>
        <v>183</v>
      </c>
      <c r="T10247"/>
    </row>
    <row r="10248" spans="1:20" x14ac:dyDescent="0.25">
      <c r="A10248">
        <v>20200131</v>
      </c>
      <c r="B10248">
        <v>2020</v>
      </c>
      <c r="C10248">
        <v>1</v>
      </c>
      <c r="D10248">
        <v>1</v>
      </c>
      <c r="E10248">
        <v>13160</v>
      </c>
      <c r="F10248">
        <v>118639.46</v>
      </c>
      <c r="G10248">
        <v>0</v>
      </c>
      <c r="H10248">
        <v>0</v>
      </c>
      <c r="I10248">
        <v>0</v>
      </c>
      <c r="J10248">
        <v>0</v>
      </c>
      <c r="K10248">
        <v>0</v>
      </c>
      <c r="L10248">
        <v>41900000</v>
      </c>
      <c r="M10248">
        <v>41900000</v>
      </c>
      <c r="N10248">
        <v>21854858</v>
      </c>
      <c r="O10248">
        <v>21854858</v>
      </c>
      <c r="P10248">
        <v>41900000</v>
      </c>
      <c r="Q10248">
        <v>41900000</v>
      </c>
      <c r="R10248" s="14">
        <f>_xlfn.XLOOKUP(Table2[[#This Row],[LoanID]],Table1[G-L ID],Table1[ManagerCode],-99)</f>
        <v>183</v>
      </c>
      <c r="T10248"/>
    </row>
    <row r="10249" spans="1:20" x14ac:dyDescent="0.25">
      <c r="A10249">
        <v>20200131</v>
      </c>
      <c r="B10249">
        <v>2020</v>
      </c>
      <c r="C10249">
        <v>1</v>
      </c>
      <c r="D10249">
        <v>1</v>
      </c>
      <c r="E10249">
        <v>13170</v>
      </c>
      <c r="F10249">
        <v>6245.88</v>
      </c>
      <c r="G10249">
        <v>0</v>
      </c>
      <c r="H10249">
        <v>0</v>
      </c>
      <c r="I10249">
        <v>0</v>
      </c>
      <c r="J10249">
        <v>0</v>
      </c>
      <c r="K10249">
        <v>0</v>
      </c>
      <c r="L10249">
        <v>50400000</v>
      </c>
      <c r="M10249">
        <v>50272256</v>
      </c>
      <c r="N10249">
        <v>17600000</v>
      </c>
      <c r="O10249">
        <v>17472256</v>
      </c>
      <c r="P10249">
        <v>50400000</v>
      </c>
      <c r="Q10249">
        <v>50400000</v>
      </c>
      <c r="R10249" s="14">
        <f>_xlfn.XLOOKUP(Table2[[#This Row],[LoanID]],Table1[G-L ID],Table1[ManagerCode],-99)</f>
        <v>183</v>
      </c>
      <c r="T10249"/>
    </row>
    <row r="10250" spans="1:20" x14ac:dyDescent="0.25">
      <c r="A10250">
        <v>20200131</v>
      </c>
      <c r="B10250">
        <v>2020</v>
      </c>
      <c r="C10250">
        <v>1</v>
      </c>
      <c r="D10250">
        <v>1</v>
      </c>
      <c r="E10250">
        <v>13180</v>
      </c>
      <c r="F10250">
        <v>93859.62</v>
      </c>
      <c r="G10250">
        <v>0</v>
      </c>
      <c r="H10250">
        <v>0</v>
      </c>
      <c r="I10250">
        <v>0</v>
      </c>
      <c r="J10250">
        <v>0</v>
      </c>
      <c r="K10250">
        <v>0</v>
      </c>
      <c r="L10250">
        <v>39780000</v>
      </c>
      <c r="M10250">
        <v>39780000</v>
      </c>
      <c r="N10250">
        <v>15930000</v>
      </c>
      <c r="O10250">
        <v>15930000</v>
      </c>
      <c r="P10250">
        <v>39780000</v>
      </c>
      <c r="Q10250">
        <v>39780000</v>
      </c>
      <c r="R10250" s="14">
        <f>_xlfn.XLOOKUP(Table2[[#This Row],[LoanID]],Table1[G-L ID],Table1[ManagerCode],-99)</f>
        <v>183</v>
      </c>
      <c r="T10250"/>
    </row>
    <row r="10251" spans="1:20" x14ac:dyDescent="0.25">
      <c r="A10251">
        <v>20200131</v>
      </c>
      <c r="B10251">
        <v>2020</v>
      </c>
      <c r="C10251">
        <v>1</v>
      </c>
      <c r="D10251">
        <v>1</v>
      </c>
      <c r="E10251">
        <v>13190</v>
      </c>
      <c r="F10251">
        <v>84310.48</v>
      </c>
      <c r="G10251">
        <v>56919.4</v>
      </c>
      <c r="H10251">
        <v>0</v>
      </c>
      <c r="I10251">
        <v>0</v>
      </c>
      <c r="J10251">
        <v>-348087.26</v>
      </c>
      <c r="K10251">
        <v>0</v>
      </c>
      <c r="L10251">
        <v>16454443.449999999</v>
      </c>
      <c r="M10251">
        <v>16859450.109999999</v>
      </c>
      <c r="N10251">
        <v>16454443.449999999</v>
      </c>
      <c r="O10251">
        <v>16859450.109999999</v>
      </c>
      <c r="P10251">
        <v>16454443.449999999</v>
      </c>
      <c r="Q10251">
        <v>16859450.109999999</v>
      </c>
      <c r="R10251" s="14">
        <f>_xlfn.XLOOKUP(Table2[[#This Row],[LoanID]],Table1[G-L ID],Table1[ManagerCode],-99)</f>
        <v>183</v>
      </c>
      <c r="T10251"/>
    </row>
    <row r="10252" spans="1:20" x14ac:dyDescent="0.25">
      <c r="A10252">
        <v>20200131</v>
      </c>
      <c r="B10252">
        <v>2020</v>
      </c>
      <c r="C10252">
        <v>1</v>
      </c>
      <c r="D10252">
        <v>1</v>
      </c>
      <c r="E10252">
        <v>13200</v>
      </c>
      <c r="F10252">
        <v>118824.59</v>
      </c>
      <c r="G10252">
        <v>69303.649999999994</v>
      </c>
      <c r="H10252">
        <v>0</v>
      </c>
      <c r="I10252">
        <v>0</v>
      </c>
      <c r="J10252">
        <v>-1317082.32</v>
      </c>
      <c r="K10252">
        <v>0</v>
      </c>
      <c r="L10252">
        <v>22258361.09</v>
      </c>
      <c r="M10252">
        <v>23644747.059999999</v>
      </c>
      <c r="N10252">
        <v>22258361.09</v>
      </c>
      <c r="O10252">
        <v>23644747.059999999</v>
      </c>
      <c r="P10252">
        <v>22258361.09</v>
      </c>
      <c r="Q10252">
        <v>23644747.059999999</v>
      </c>
      <c r="R10252" s="14">
        <f>_xlfn.XLOOKUP(Table2[[#This Row],[LoanID]],Table1[G-L ID],Table1[ManagerCode],-99)</f>
        <v>183</v>
      </c>
      <c r="T10252"/>
    </row>
    <row r="10253" spans="1:20" x14ac:dyDescent="0.25">
      <c r="A10253">
        <v>20200131</v>
      </c>
      <c r="B10253">
        <v>2020</v>
      </c>
      <c r="C10253">
        <v>1</v>
      </c>
      <c r="D10253">
        <v>1</v>
      </c>
      <c r="E10253">
        <v>13210</v>
      </c>
      <c r="F10253">
        <v>0</v>
      </c>
      <c r="G10253">
        <v>181819.4</v>
      </c>
      <c r="H10253">
        <v>0</v>
      </c>
      <c r="I10253">
        <v>0</v>
      </c>
      <c r="J10253">
        <v>-1443584.75</v>
      </c>
      <c r="K10253">
        <v>0</v>
      </c>
      <c r="L10253">
        <v>16526899.390000001</v>
      </c>
      <c r="M10253">
        <v>18152303.539999999</v>
      </c>
      <c r="N10253">
        <v>16526899.390000001</v>
      </c>
      <c r="O10253">
        <v>18152303.539999999</v>
      </c>
      <c r="P10253">
        <v>16526899.390000001</v>
      </c>
      <c r="Q10253">
        <v>18152303.539999999</v>
      </c>
      <c r="R10253" s="14">
        <f>_xlfn.XLOOKUP(Table2[[#This Row],[LoanID]],Table1[G-L ID],Table1[ManagerCode],-99)</f>
        <v>183</v>
      </c>
      <c r="T10253"/>
    </row>
    <row r="10254" spans="1:20" x14ac:dyDescent="0.25">
      <c r="A10254">
        <v>20200131</v>
      </c>
      <c r="B10254">
        <v>2020</v>
      </c>
      <c r="C10254">
        <v>1</v>
      </c>
      <c r="D10254">
        <v>1</v>
      </c>
      <c r="E10254">
        <v>13240</v>
      </c>
      <c r="F10254">
        <v>72449.89</v>
      </c>
      <c r="G10254">
        <v>2330.6799999999998</v>
      </c>
      <c r="H10254">
        <v>0</v>
      </c>
      <c r="I10254">
        <v>0</v>
      </c>
      <c r="J10254">
        <v>0</v>
      </c>
      <c r="K10254">
        <v>0</v>
      </c>
      <c r="L10254">
        <v>7871267.4900000002</v>
      </c>
      <c r="M10254">
        <v>7873598.1699999999</v>
      </c>
      <c r="N10254">
        <v>7871267.4900000002</v>
      </c>
      <c r="O10254">
        <v>7873598.1699999999</v>
      </c>
      <c r="P10254">
        <v>7871267.4900000002</v>
      </c>
      <c r="Q10254">
        <v>7873598.1699999999</v>
      </c>
      <c r="R10254" s="14">
        <f>_xlfn.XLOOKUP(Table2[[#This Row],[LoanID]],Table1[G-L ID],Table1[ManagerCode],-99)</f>
        <v>219</v>
      </c>
      <c r="T10254"/>
    </row>
    <row r="10255" spans="1:20" x14ac:dyDescent="0.25">
      <c r="A10255">
        <v>20200131</v>
      </c>
      <c r="B10255">
        <v>2020</v>
      </c>
      <c r="C10255">
        <v>1</v>
      </c>
      <c r="D10255">
        <v>1</v>
      </c>
      <c r="E10255">
        <v>13260</v>
      </c>
      <c r="F10255">
        <v>176355.56</v>
      </c>
      <c r="G10255">
        <v>-595</v>
      </c>
      <c r="H10255">
        <v>0</v>
      </c>
      <c r="I10255">
        <v>0</v>
      </c>
      <c r="J10255">
        <v>0</v>
      </c>
      <c r="K10255">
        <v>0</v>
      </c>
      <c r="L10255">
        <v>20096711.109999999</v>
      </c>
      <c r="M10255">
        <v>20096116.109999999</v>
      </c>
      <c r="N10255">
        <v>20096711.109999999</v>
      </c>
      <c r="O10255">
        <v>20096116.109999999</v>
      </c>
      <c r="P10255">
        <v>20096711.109999999</v>
      </c>
      <c r="Q10255">
        <v>20096116.109999999</v>
      </c>
      <c r="R10255" s="14">
        <f>_xlfn.XLOOKUP(Table2[[#This Row],[LoanID]],Table1[G-L ID],Table1[ManagerCode],-99)</f>
        <v>219</v>
      </c>
      <c r="T10255"/>
    </row>
    <row r="10256" spans="1:20" x14ac:dyDescent="0.25">
      <c r="A10256">
        <v>20200131</v>
      </c>
      <c r="B10256">
        <v>2020</v>
      </c>
      <c r="C10256">
        <v>1</v>
      </c>
      <c r="D10256">
        <v>1</v>
      </c>
      <c r="E10256">
        <v>13270</v>
      </c>
      <c r="F10256">
        <v>144623.60999999999</v>
      </c>
      <c r="G10256">
        <v>-225.83</v>
      </c>
      <c r="H10256">
        <v>0</v>
      </c>
      <c r="I10256">
        <v>0</v>
      </c>
      <c r="J10256">
        <v>0</v>
      </c>
      <c r="K10256">
        <v>0</v>
      </c>
      <c r="L10256">
        <v>25097970.829999998</v>
      </c>
      <c r="M10256">
        <v>25097745</v>
      </c>
      <c r="N10256">
        <v>25097970.829999998</v>
      </c>
      <c r="O10256">
        <v>25097745</v>
      </c>
      <c r="P10256">
        <v>25097970.829999998</v>
      </c>
      <c r="Q10256">
        <v>25097745</v>
      </c>
      <c r="R10256" s="14">
        <f>_xlfn.XLOOKUP(Table2[[#This Row],[LoanID]],Table1[G-L ID],Table1[ManagerCode],-99)</f>
        <v>219</v>
      </c>
      <c r="T10256"/>
    </row>
    <row r="10257" spans="1:20" x14ac:dyDescent="0.25">
      <c r="A10257">
        <v>20200131</v>
      </c>
      <c r="B10257">
        <v>2020</v>
      </c>
      <c r="C10257">
        <v>1</v>
      </c>
      <c r="D10257">
        <v>1</v>
      </c>
      <c r="E10257">
        <v>13300</v>
      </c>
      <c r="F10257">
        <v>215277.78</v>
      </c>
      <c r="G10257">
        <v>0</v>
      </c>
      <c r="H10257">
        <v>0</v>
      </c>
      <c r="I10257">
        <v>0</v>
      </c>
      <c r="J10257">
        <v>0</v>
      </c>
      <c r="K10257">
        <v>0</v>
      </c>
      <c r="L10257">
        <v>25215277.780000001</v>
      </c>
      <c r="M10257">
        <v>25215277.780000001</v>
      </c>
      <c r="N10257">
        <v>25215277.780000001</v>
      </c>
      <c r="O10257">
        <v>25215277.780000001</v>
      </c>
      <c r="P10257">
        <v>25215277.780000001</v>
      </c>
      <c r="Q10257">
        <v>25215277.780000001</v>
      </c>
      <c r="R10257" s="14">
        <f>_xlfn.XLOOKUP(Table2[[#This Row],[LoanID]],Table1[G-L ID],Table1[ManagerCode],-99)</f>
        <v>219</v>
      </c>
      <c r="T10257"/>
    </row>
    <row r="10258" spans="1:20" x14ac:dyDescent="0.25">
      <c r="A10258">
        <v>20200131</v>
      </c>
      <c r="B10258">
        <v>2020</v>
      </c>
      <c r="C10258">
        <v>1</v>
      </c>
      <c r="D10258">
        <v>1</v>
      </c>
      <c r="E10258">
        <v>13370</v>
      </c>
      <c r="F10258">
        <v>172228.29</v>
      </c>
      <c r="G10258">
        <v>0</v>
      </c>
      <c r="H10258">
        <v>0</v>
      </c>
      <c r="I10258">
        <v>0</v>
      </c>
      <c r="J10258">
        <v>0</v>
      </c>
      <c r="K10258">
        <v>0</v>
      </c>
      <c r="L10258">
        <v>44600825.82</v>
      </c>
      <c r="M10258">
        <v>44600825.82</v>
      </c>
      <c r="N10258">
        <v>44600825.82</v>
      </c>
      <c r="O10258">
        <v>44600825.82</v>
      </c>
      <c r="P10258">
        <v>44600825.82</v>
      </c>
      <c r="Q10258">
        <v>44600825.82</v>
      </c>
      <c r="R10258" s="14">
        <f>_xlfn.XLOOKUP(Table2[[#This Row],[LoanID]],Table1[G-L ID],Table1[ManagerCode],-99)</f>
        <v>183</v>
      </c>
      <c r="T10258"/>
    </row>
    <row r="10259" spans="1:20" x14ac:dyDescent="0.25">
      <c r="A10259">
        <v>20200131</v>
      </c>
      <c r="B10259">
        <v>2020</v>
      </c>
      <c r="C10259">
        <v>1</v>
      </c>
      <c r="D10259">
        <v>1</v>
      </c>
      <c r="E10259">
        <v>13380</v>
      </c>
      <c r="F10259">
        <v>56642.43</v>
      </c>
      <c r="G10259">
        <v>0</v>
      </c>
      <c r="H10259">
        <v>0</v>
      </c>
      <c r="I10259">
        <v>0</v>
      </c>
      <c r="J10259">
        <v>0</v>
      </c>
      <c r="K10259">
        <v>0</v>
      </c>
      <c r="L10259">
        <v>32000000</v>
      </c>
      <c r="M10259">
        <v>32000000</v>
      </c>
      <c r="N10259">
        <v>11200000</v>
      </c>
      <c r="O10259">
        <v>11200000</v>
      </c>
      <c r="P10259">
        <v>32000000</v>
      </c>
      <c r="Q10259">
        <v>32000000</v>
      </c>
      <c r="R10259" s="14">
        <f>_xlfn.XLOOKUP(Table2[[#This Row],[LoanID]],Table1[G-L ID],Table1[ManagerCode],-99)</f>
        <v>183</v>
      </c>
      <c r="T10259"/>
    </row>
    <row r="10260" spans="1:20" x14ac:dyDescent="0.25">
      <c r="A10260">
        <v>20200131</v>
      </c>
      <c r="B10260">
        <v>2020</v>
      </c>
      <c r="C10260">
        <v>1</v>
      </c>
      <c r="D10260">
        <v>1</v>
      </c>
      <c r="E10260">
        <v>13390</v>
      </c>
      <c r="F10260">
        <v>148786.07999999999</v>
      </c>
      <c r="G10260">
        <v>0</v>
      </c>
      <c r="H10260">
        <v>0</v>
      </c>
      <c r="I10260">
        <v>0</v>
      </c>
      <c r="J10260">
        <v>0</v>
      </c>
      <c r="K10260">
        <v>0</v>
      </c>
      <c r="L10260">
        <v>48343461.420000002</v>
      </c>
      <c r="M10260">
        <v>48279361.420000002</v>
      </c>
      <c r="N10260">
        <v>19427384.420000002</v>
      </c>
      <c r="O10260">
        <v>19363284.420000002</v>
      </c>
      <c r="P10260">
        <v>48343461.420000002</v>
      </c>
      <c r="Q10260">
        <v>48343461.420000002</v>
      </c>
      <c r="R10260" s="14">
        <f>_xlfn.XLOOKUP(Table2[[#This Row],[LoanID]],Table1[G-L ID],Table1[ManagerCode],-99)</f>
        <v>183</v>
      </c>
      <c r="T10260"/>
    </row>
    <row r="10261" spans="1:20" x14ac:dyDescent="0.25">
      <c r="A10261">
        <v>20200131</v>
      </c>
      <c r="B10261">
        <v>2020</v>
      </c>
      <c r="C10261">
        <v>1</v>
      </c>
      <c r="D10261">
        <v>1</v>
      </c>
      <c r="E10261">
        <v>13400</v>
      </c>
      <c r="F10261">
        <v>78881.94</v>
      </c>
      <c r="G10261">
        <v>0</v>
      </c>
      <c r="H10261">
        <v>0</v>
      </c>
      <c r="I10261">
        <v>0</v>
      </c>
      <c r="J10261">
        <v>0</v>
      </c>
      <c r="K10261">
        <v>0</v>
      </c>
      <c r="L10261">
        <v>31750000</v>
      </c>
      <c r="M10261">
        <v>31750000</v>
      </c>
      <c r="N10261">
        <v>11112500</v>
      </c>
      <c r="O10261">
        <v>11112500</v>
      </c>
      <c r="P10261">
        <v>31750000</v>
      </c>
      <c r="Q10261">
        <v>31750000</v>
      </c>
      <c r="R10261" s="14">
        <f>_xlfn.XLOOKUP(Table2[[#This Row],[LoanID]],Table1[G-L ID],Table1[ManagerCode],-99)</f>
        <v>183</v>
      </c>
      <c r="T10261"/>
    </row>
    <row r="10262" spans="1:20" x14ac:dyDescent="0.25">
      <c r="A10262">
        <v>20200131</v>
      </c>
      <c r="B10262">
        <v>2020</v>
      </c>
      <c r="C10262">
        <v>1</v>
      </c>
      <c r="D10262">
        <v>1</v>
      </c>
      <c r="E10262">
        <v>13410</v>
      </c>
      <c r="F10262">
        <v>72407.97</v>
      </c>
      <c r="G10262">
        <v>0</v>
      </c>
      <c r="H10262">
        <v>0</v>
      </c>
      <c r="I10262">
        <v>0</v>
      </c>
      <c r="J10262">
        <v>-166929.98000000001</v>
      </c>
      <c r="K10262">
        <v>0</v>
      </c>
      <c r="L10262">
        <v>35139867.009999998</v>
      </c>
      <c r="M10262">
        <v>35306796.990000002</v>
      </c>
      <c r="N10262">
        <v>14269867.01</v>
      </c>
      <c r="O10262">
        <v>14436796.99</v>
      </c>
      <c r="P10262">
        <v>35139867.009999998</v>
      </c>
      <c r="Q10262">
        <v>35306796.990000002</v>
      </c>
      <c r="R10262" s="14">
        <f>_xlfn.XLOOKUP(Table2[[#This Row],[LoanID]],Table1[G-L ID],Table1[ManagerCode],-99)</f>
        <v>183</v>
      </c>
      <c r="T10262"/>
    </row>
    <row r="10263" spans="1:20" x14ac:dyDescent="0.25">
      <c r="A10263">
        <v>20200131</v>
      </c>
      <c r="B10263">
        <v>2020</v>
      </c>
      <c r="C10263">
        <v>1</v>
      </c>
      <c r="D10263">
        <v>1</v>
      </c>
      <c r="E10263">
        <v>13420</v>
      </c>
      <c r="F10263">
        <v>64304.19</v>
      </c>
      <c r="G10263">
        <v>0</v>
      </c>
      <c r="H10263">
        <v>0</v>
      </c>
      <c r="I10263">
        <v>0</v>
      </c>
      <c r="J10263">
        <v>-64546.81</v>
      </c>
      <c r="K10263">
        <v>0</v>
      </c>
      <c r="L10263">
        <v>30550031.84</v>
      </c>
      <c r="M10263">
        <v>30614578.649999999</v>
      </c>
      <c r="N10263">
        <v>14055118.84</v>
      </c>
      <c r="O10263">
        <v>14119665.65</v>
      </c>
      <c r="P10263">
        <v>30550031.84</v>
      </c>
      <c r="Q10263">
        <v>30614578.649999999</v>
      </c>
      <c r="R10263" s="14">
        <f>_xlfn.XLOOKUP(Table2[[#This Row],[LoanID]],Table1[G-L ID],Table1[ManagerCode],-99)</f>
        <v>183</v>
      </c>
      <c r="T10263"/>
    </row>
    <row r="10264" spans="1:20" x14ac:dyDescent="0.25">
      <c r="A10264">
        <v>20200131</v>
      </c>
      <c r="B10264">
        <v>2020</v>
      </c>
      <c r="C10264">
        <v>1</v>
      </c>
      <c r="D10264">
        <v>1</v>
      </c>
      <c r="E10264">
        <v>13430</v>
      </c>
      <c r="F10264">
        <v>187406.22</v>
      </c>
      <c r="G10264">
        <v>0</v>
      </c>
      <c r="H10264">
        <v>0</v>
      </c>
      <c r="I10264">
        <v>0</v>
      </c>
      <c r="J10264">
        <v>0</v>
      </c>
      <c r="K10264">
        <v>0</v>
      </c>
      <c r="L10264">
        <v>75000000</v>
      </c>
      <c r="M10264">
        <v>75184698</v>
      </c>
      <c r="N10264">
        <v>30882353</v>
      </c>
      <c r="O10264">
        <v>31067051</v>
      </c>
      <c r="P10264">
        <v>75000000</v>
      </c>
      <c r="Q10264">
        <v>75000000</v>
      </c>
      <c r="R10264" s="14">
        <f>_xlfn.XLOOKUP(Table2[[#This Row],[LoanID]],Table1[G-L ID],Table1[ManagerCode],-99)</f>
        <v>183</v>
      </c>
      <c r="T10264"/>
    </row>
    <row r="10265" spans="1:20" x14ac:dyDescent="0.25">
      <c r="A10265">
        <v>20200131</v>
      </c>
      <c r="B10265">
        <v>2020</v>
      </c>
      <c r="C10265">
        <v>1</v>
      </c>
      <c r="D10265">
        <v>1</v>
      </c>
      <c r="E10265">
        <v>13440</v>
      </c>
      <c r="F10265">
        <v>0</v>
      </c>
      <c r="G10265">
        <v>122607.98</v>
      </c>
      <c r="H10265">
        <v>0</v>
      </c>
      <c r="I10265">
        <v>0</v>
      </c>
      <c r="J10265">
        <v>0</v>
      </c>
      <c r="K10265">
        <v>0</v>
      </c>
      <c r="L10265">
        <v>12382203.68</v>
      </c>
      <c r="M10265">
        <v>12504811.66</v>
      </c>
      <c r="N10265">
        <v>12382203.68</v>
      </c>
      <c r="O10265">
        <v>12504811.66</v>
      </c>
      <c r="P10265">
        <v>12382203.68</v>
      </c>
      <c r="Q10265">
        <v>12504811.66</v>
      </c>
      <c r="R10265" s="14">
        <f>_xlfn.XLOOKUP(Table2[[#This Row],[LoanID]],Table1[G-L ID],Table1[ManagerCode],-99)</f>
        <v>183</v>
      </c>
      <c r="T10265"/>
    </row>
    <row r="10266" spans="1:20" x14ac:dyDescent="0.25">
      <c r="A10266">
        <v>20200131</v>
      </c>
      <c r="B10266">
        <v>2020</v>
      </c>
      <c r="C10266">
        <v>1</v>
      </c>
      <c r="D10266">
        <v>1</v>
      </c>
      <c r="E10266">
        <v>13450</v>
      </c>
      <c r="F10266">
        <v>0</v>
      </c>
      <c r="G10266">
        <v>147235.69</v>
      </c>
      <c r="H10266">
        <v>0</v>
      </c>
      <c r="I10266">
        <v>0</v>
      </c>
      <c r="J10266">
        <v>-1792737.97</v>
      </c>
      <c r="K10266">
        <v>0</v>
      </c>
      <c r="L10266">
        <v>11862199.210000001</v>
      </c>
      <c r="M10266">
        <v>13802172.869999999</v>
      </c>
      <c r="N10266">
        <v>11862199.210000001</v>
      </c>
      <c r="O10266">
        <v>13802172.869999999</v>
      </c>
      <c r="P10266">
        <v>11862199.210000001</v>
      </c>
      <c r="Q10266">
        <v>13802172.869999999</v>
      </c>
      <c r="R10266" s="14">
        <f>_xlfn.XLOOKUP(Table2[[#This Row],[LoanID]],Table1[G-L ID],Table1[ManagerCode],-99)</f>
        <v>183</v>
      </c>
      <c r="T10266"/>
    </row>
    <row r="10267" spans="1:20" x14ac:dyDescent="0.25">
      <c r="A10267">
        <v>20200131</v>
      </c>
      <c r="B10267">
        <v>2020</v>
      </c>
      <c r="C10267">
        <v>1</v>
      </c>
      <c r="D10267">
        <v>1</v>
      </c>
      <c r="E10267">
        <v>13460</v>
      </c>
      <c r="F10267">
        <v>20706.95</v>
      </c>
      <c r="G10267">
        <v>25492.240000000002</v>
      </c>
      <c r="H10267">
        <v>0</v>
      </c>
      <c r="I10267">
        <v>0</v>
      </c>
      <c r="J10267">
        <v>-619737.65</v>
      </c>
      <c r="K10267">
        <v>0</v>
      </c>
      <c r="L10267">
        <v>4463572.95</v>
      </c>
      <c r="M10267">
        <v>5108802.84</v>
      </c>
      <c r="N10267">
        <v>4463572.95</v>
      </c>
      <c r="O10267">
        <v>5108802.84</v>
      </c>
      <c r="P10267">
        <v>4463572.95</v>
      </c>
      <c r="Q10267">
        <v>5108802.84</v>
      </c>
      <c r="R10267" s="14">
        <f>_xlfn.XLOOKUP(Table2[[#This Row],[LoanID]],Table1[G-L ID],Table1[ManagerCode],-99)</f>
        <v>183</v>
      </c>
      <c r="T10267"/>
    </row>
    <row r="10268" spans="1:20" x14ac:dyDescent="0.25">
      <c r="A10268">
        <v>20200131</v>
      </c>
      <c r="B10268">
        <v>2020</v>
      </c>
      <c r="C10268">
        <v>1</v>
      </c>
      <c r="D10268">
        <v>1</v>
      </c>
      <c r="E10268">
        <v>13470</v>
      </c>
      <c r="F10268">
        <v>356553.82</v>
      </c>
      <c r="G10268">
        <v>0</v>
      </c>
      <c r="H10268">
        <v>0</v>
      </c>
      <c r="I10268">
        <v>0</v>
      </c>
      <c r="J10268">
        <v>0</v>
      </c>
      <c r="K10268">
        <v>0</v>
      </c>
      <c r="L10268">
        <v>62500000</v>
      </c>
      <c r="M10268">
        <v>62500000</v>
      </c>
      <c r="N10268">
        <v>62500000</v>
      </c>
      <c r="O10268">
        <v>62500000</v>
      </c>
      <c r="P10268">
        <v>62500000</v>
      </c>
      <c r="Q10268">
        <v>62500000</v>
      </c>
      <c r="R10268" s="14">
        <f>_xlfn.XLOOKUP(Table2[[#This Row],[LoanID]],Table1[G-L ID],Table1[ManagerCode],-99)</f>
        <v>165</v>
      </c>
      <c r="T10268"/>
    </row>
    <row r="10269" spans="1:20" x14ac:dyDescent="0.25">
      <c r="A10269">
        <v>20200131</v>
      </c>
      <c r="B10269">
        <v>2020</v>
      </c>
      <c r="C10269">
        <v>1</v>
      </c>
      <c r="D10269">
        <v>1</v>
      </c>
      <c r="E10269">
        <v>13480</v>
      </c>
      <c r="F10269">
        <v>250531.67</v>
      </c>
      <c r="G10269">
        <v>0</v>
      </c>
      <c r="H10269">
        <v>0</v>
      </c>
      <c r="I10269">
        <v>0</v>
      </c>
      <c r="J10269">
        <v>0</v>
      </c>
      <c r="K10269">
        <v>0</v>
      </c>
      <c r="L10269">
        <v>39000000</v>
      </c>
      <c r="M10269">
        <v>39000000</v>
      </c>
      <c r="N10269">
        <v>39000000</v>
      </c>
      <c r="O10269">
        <v>39000000</v>
      </c>
      <c r="P10269">
        <v>39000000</v>
      </c>
      <c r="Q10269">
        <v>39000000</v>
      </c>
      <c r="R10269" s="14">
        <f>_xlfn.XLOOKUP(Table2[[#This Row],[LoanID]],Table1[G-L ID],Table1[ManagerCode],-99)</f>
        <v>165</v>
      </c>
      <c r="T10269"/>
    </row>
    <row r="10270" spans="1:20" x14ac:dyDescent="0.25">
      <c r="A10270">
        <v>20200131</v>
      </c>
      <c r="B10270">
        <v>2020</v>
      </c>
      <c r="C10270">
        <v>1</v>
      </c>
      <c r="D10270">
        <v>1</v>
      </c>
      <c r="E10270">
        <v>13490</v>
      </c>
      <c r="F10270">
        <v>303800</v>
      </c>
      <c r="G10270">
        <v>0</v>
      </c>
      <c r="H10270">
        <v>0</v>
      </c>
      <c r="I10270">
        <v>0</v>
      </c>
      <c r="J10270">
        <v>0</v>
      </c>
      <c r="K10270">
        <v>0</v>
      </c>
      <c r="L10270">
        <v>40000000</v>
      </c>
      <c r="M10270">
        <v>40000000</v>
      </c>
      <c r="N10270">
        <v>40000000</v>
      </c>
      <c r="O10270">
        <v>40000000</v>
      </c>
      <c r="P10270">
        <v>40000000</v>
      </c>
      <c r="Q10270">
        <v>40000000</v>
      </c>
      <c r="R10270" s="14">
        <f>_xlfn.XLOOKUP(Table2[[#This Row],[LoanID]],Table1[G-L ID],Table1[ManagerCode],-99)</f>
        <v>165</v>
      </c>
      <c r="T10270"/>
    </row>
    <row r="10271" spans="1:20" x14ac:dyDescent="0.25">
      <c r="A10271">
        <v>20200131</v>
      </c>
      <c r="B10271">
        <v>2020</v>
      </c>
      <c r="C10271">
        <v>1</v>
      </c>
      <c r="D10271">
        <v>1</v>
      </c>
      <c r="E10271">
        <v>13500</v>
      </c>
      <c r="F10271">
        <v>274479.17</v>
      </c>
      <c r="G10271">
        <v>0</v>
      </c>
      <c r="H10271">
        <v>0</v>
      </c>
      <c r="I10271">
        <v>0</v>
      </c>
      <c r="J10271">
        <v>0</v>
      </c>
      <c r="K10271">
        <v>0</v>
      </c>
      <c r="L10271">
        <v>42500000</v>
      </c>
      <c r="M10271">
        <v>42500000</v>
      </c>
      <c r="N10271">
        <v>42500000</v>
      </c>
      <c r="O10271">
        <v>42500000</v>
      </c>
      <c r="P10271">
        <v>42500000</v>
      </c>
      <c r="Q10271">
        <v>42500000</v>
      </c>
      <c r="R10271" s="14">
        <f>_xlfn.XLOOKUP(Table2[[#This Row],[LoanID]],Table1[G-L ID],Table1[ManagerCode],-99)</f>
        <v>165</v>
      </c>
      <c r="T10271"/>
    </row>
    <row r="10272" spans="1:20" x14ac:dyDescent="0.25">
      <c r="A10272">
        <v>20200131</v>
      </c>
      <c r="B10272">
        <v>2020</v>
      </c>
      <c r="C10272">
        <v>1</v>
      </c>
      <c r="D10272">
        <v>1</v>
      </c>
      <c r="E10272">
        <v>13510</v>
      </c>
      <c r="F10272">
        <v>317750</v>
      </c>
      <c r="G10272">
        <v>0</v>
      </c>
      <c r="H10272">
        <v>0</v>
      </c>
      <c r="I10272">
        <v>0</v>
      </c>
      <c r="J10272">
        <v>0</v>
      </c>
      <c r="K10272">
        <v>0</v>
      </c>
      <c r="L10272">
        <v>90000000</v>
      </c>
      <c r="M10272">
        <v>90000000</v>
      </c>
      <c r="N10272">
        <v>90000000</v>
      </c>
      <c r="O10272">
        <v>90000000</v>
      </c>
      <c r="P10272">
        <v>90000000</v>
      </c>
      <c r="Q10272">
        <v>90000000</v>
      </c>
      <c r="R10272" s="14">
        <f>_xlfn.XLOOKUP(Table2[[#This Row],[LoanID]],Table1[G-L ID],Table1[ManagerCode],-99)</f>
        <v>165</v>
      </c>
      <c r="T10272"/>
    </row>
    <row r="10273" spans="1:20" x14ac:dyDescent="0.25">
      <c r="A10273">
        <v>20200131</v>
      </c>
      <c r="B10273">
        <v>2020</v>
      </c>
      <c r="C10273">
        <v>1</v>
      </c>
      <c r="D10273">
        <v>1</v>
      </c>
      <c r="E10273">
        <v>13520</v>
      </c>
      <c r="F10273">
        <v>860572.92</v>
      </c>
      <c r="G10273">
        <v>0</v>
      </c>
      <c r="H10273">
        <v>0</v>
      </c>
      <c r="I10273">
        <v>0</v>
      </c>
      <c r="J10273">
        <v>0</v>
      </c>
      <c r="K10273">
        <v>0</v>
      </c>
      <c r="L10273">
        <v>195000000</v>
      </c>
      <c r="M10273">
        <v>195000000</v>
      </c>
      <c r="N10273">
        <v>195000000</v>
      </c>
      <c r="O10273">
        <v>195000000</v>
      </c>
      <c r="P10273">
        <v>195000000</v>
      </c>
      <c r="Q10273">
        <v>195000000</v>
      </c>
      <c r="R10273" s="14">
        <f>_xlfn.XLOOKUP(Table2[[#This Row],[LoanID]],Table1[G-L ID],Table1[ManagerCode],-99)</f>
        <v>165</v>
      </c>
      <c r="T10273"/>
    </row>
    <row r="10274" spans="1:20" x14ac:dyDescent="0.25">
      <c r="A10274">
        <v>20200131</v>
      </c>
      <c r="B10274">
        <v>2020</v>
      </c>
      <c r="C10274">
        <v>1</v>
      </c>
      <c r="D10274">
        <v>1</v>
      </c>
      <c r="E10274">
        <v>13530</v>
      </c>
      <c r="F10274">
        <v>403645.83</v>
      </c>
      <c r="G10274">
        <v>0</v>
      </c>
      <c r="H10274">
        <v>0</v>
      </c>
      <c r="I10274">
        <v>0</v>
      </c>
      <c r="J10274">
        <v>0</v>
      </c>
      <c r="K10274">
        <v>0</v>
      </c>
      <c r="L10274">
        <v>75000000</v>
      </c>
      <c r="M10274">
        <v>75000000</v>
      </c>
      <c r="N10274">
        <v>75000000</v>
      </c>
      <c r="O10274">
        <v>75000000</v>
      </c>
      <c r="P10274">
        <v>75000000</v>
      </c>
      <c r="Q10274">
        <v>75000000</v>
      </c>
      <c r="R10274" s="14">
        <f>_xlfn.XLOOKUP(Table2[[#This Row],[LoanID]],Table1[G-L ID],Table1[ManagerCode],-99)</f>
        <v>165</v>
      </c>
      <c r="T10274"/>
    </row>
    <row r="10275" spans="1:20" x14ac:dyDescent="0.25">
      <c r="A10275">
        <v>20200131</v>
      </c>
      <c r="B10275">
        <v>2020</v>
      </c>
      <c r="C10275">
        <v>1</v>
      </c>
      <c r="D10275">
        <v>1</v>
      </c>
      <c r="E10275">
        <v>13550</v>
      </c>
      <c r="F10275">
        <v>1682872.91</v>
      </c>
      <c r="G10275">
        <v>0</v>
      </c>
      <c r="H10275">
        <v>0</v>
      </c>
      <c r="I10275">
        <v>0</v>
      </c>
      <c r="J10275">
        <v>0</v>
      </c>
      <c r="K10275">
        <v>0</v>
      </c>
      <c r="L10275">
        <v>355328004.80000001</v>
      </c>
      <c r="M10275">
        <v>355328004.80000001</v>
      </c>
      <c r="N10275">
        <v>355328004.80000001</v>
      </c>
      <c r="O10275">
        <v>355328004.80000001</v>
      </c>
      <c r="P10275">
        <v>355328004.80000001</v>
      </c>
      <c r="Q10275">
        <v>355328004.80000001</v>
      </c>
      <c r="R10275" s="14">
        <f>_xlfn.XLOOKUP(Table2[[#This Row],[LoanID]],Table1[G-L ID],Table1[ManagerCode],-99)</f>
        <v>165</v>
      </c>
      <c r="T10275"/>
    </row>
    <row r="10276" spans="1:20" x14ac:dyDescent="0.25">
      <c r="A10276">
        <v>20200131</v>
      </c>
      <c r="B10276">
        <v>2020</v>
      </c>
      <c r="C10276">
        <v>1</v>
      </c>
      <c r="D10276">
        <v>1</v>
      </c>
      <c r="E10276">
        <v>13560</v>
      </c>
      <c r="F10276">
        <v>564200</v>
      </c>
      <c r="G10276">
        <v>-3173.34</v>
      </c>
      <c r="H10276">
        <v>0</v>
      </c>
      <c r="I10276">
        <v>0</v>
      </c>
      <c r="J10276">
        <v>0</v>
      </c>
      <c r="K10276">
        <v>0</v>
      </c>
      <c r="L10276">
        <v>105309400</v>
      </c>
      <c r="M10276">
        <v>105306226.7</v>
      </c>
      <c r="N10276">
        <v>105309400</v>
      </c>
      <c r="O10276">
        <v>105306226.7</v>
      </c>
      <c r="P10276">
        <v>105309400</v>
      </c>
      <c r="Q10276">
        <v>105306226.7</v>
      </c>
      <c r="R10276" s="14">
        <f>_xlfn.XLOOKUP(Table2[[#This Row],[LoanID]],Table1[G-L ID],Table1[ManagerCode],-99)</f>
        <v>219</v>
      </c>
      <c r="T10276"/>
    </row>
    <row r="10277" spans="1:20" x14ac:dyDescent="0.25">
      <c r="A10277">
        <v>20200131</v>
      </c>
      <c r="B10277">
        <v>2020</v>
      </c>
      <c r="C10277">
        <v>1</v>
      </c>
      <c r="D10277">
        <v>1</v>
      </c>
      <c r="E10277">
        <v>13580</v>
      </c>
      <c r="F10277">
        <v>429479.17</v>
      </c>
      <c r="G10277">
        <v>0</v>
      </c>
      <c r="H10277">
        <v>0</v>
      </c>
      <c r="I10277">
        <v>0</v>
      </c>
      <c r="J10277">
        <v>0</v>
      </c>
      <c r="K10277">
        <v>0</v>
      </c>
      <c r="L10277">
        <v>64168686</v>
      </c>
      <c r="M10277">
        <v>64241597.189999998</v>
      </c>
      <c r="N10277">
        <v>64168686</v>
      </c>
      <c r="O10277">
        <v>64241597.189999998</v>
      </c>
      <c r="P10277">
        <v>66500000</v>
      </c>
      <c r="Q10277">
        <v>66500000</v>
      </c>
      <c r="R10277" s="14">
        <f>_xlfn.XLOOKUP(Table2[[#This Row],[LoanID]],Table1[G-L ID],Table1[ManagerCode],-99)</f>
        <v>298</v>
      </c>
      <c r="T10277"/>
    </row>
    <row r="10278" spans="1:20" x14ac:dyDescent="0.25">
      <c r="A10278">
        <v>20200131</v>
      </c>
      <c r="B10278">
        <v>2020</v>
      </c>
      <c r="C10278">
        <v>1</v>
      </c>
      <c r="D10278">
        <v>1</v>
      </c>
      <c r="E10278">
        <v>13600</v>
      </c>
      <c r="F10278">
        <v>379029.03</v>
      </c>
      <c r="G10278">
        <v>0</v>
      </c>
      <c r="H10278">
        <v>0</v>
      </c>
      <c r="I10278">
        <v>0</v>
      </c>
      <c r="J10278">
        <v>0</v>
      </c>
      <c r="K10278">
        <v>0</v>
      </c>
      <c r="L10278">
        <v>45970000</v>
      </c>
      <c r="M10278">
        <v>45970000</v>
      </c>
      <c r="N10278">
        <v>45970000</v>
      </c>
      <c r="O10278">
        <v>45970000</v>
      </c>
      <c r="P10278">
        <v>45970000</v>
      </c>
      <c r="Q10278">
        <v>45970000</v>
      </c>
      <c r="R10278" s="14">
        <f>_xlfn.XLOOKUP(Table2[[#This Row],[LoanID]],Table1[G-L ID],Table1[ManagerCode],-99)</f>
        <v>298</v>
      </c>
      <c r="T10278"/>
    </row>
    <row r="10279" spans="1:20" x14ac:dyDescent="0.25">
      <c r="A10279">
        <v>20200131</v>
      </c>
      <c r="B10279">
        <v>2020</v>
      </c>
      <c r="C10279">
        <v>1</v>
      </c>
      <c r="D10279">
        <v>1</v>
      </c>
      <c r="E10279">
        <v>13610</v>
      </c>
      <c r="F10279">
        <v>63291.67</v>
      </c>
      <c r="G10279">
        <v>0</v>
      </c>
      <c r="H10279">
        <v>0</v>
      </c>
      <c r="I10279">
        <v>0</v>
      </c>
      <c r="J10279">
        <v>0</v>
      </c>
      <c r="K10279">
        <v>0</v>
      </c>
      <c r="L10279">
        <v>10385796.220000001</v>
      </c>
      <c r="M10279">
        <v>10385796.220000001</v>
      </c>
      <c r="N10279">
        <v>10385796.220000001</v>
      </c>
      <c r="O10279">
        <v>10385796.220000001</v>
      </c>
      <c r="P10279">
        <v>10500000</v>
      </c>
      <c r="Q10279">
        <v>10500000</v>
      </c>
      <c r="R10279" s="14">
        <f>_xlfn.XLOOKUP(Table2[[#This Row],[LoanID]],Table1[G-L ID],Table1[ManagerCode],-99)</f>
        <v>298</v>
      </c>
      <c r="T10279"/>
    </row>
    <row r="10280" spans="1:20" x14ac:dyDescent="0.25">
      <c r="A10280">
        <v>20200131</v>
      </c>
      <c r="B10280">
        <v>2020</v>
      </c>
      <c r="C10280">
        <v>1</v>
      </c>
      <c r="D10280">
        <v>1</v>
      </c>
      <c r="E10280">
        <v>13620</v>
      </c>
      <c r="F10280">
        <v>339708.33</v>
      </c>
      <c r="G10280">
        <v>0</v>
      </c>
      <c r="H10280">
        <v>0</v>
      </c>
      <c r="I10280">
        <v>0</v>
      </c>
      <c r="J10280">
        <v>0</v>
      </c>
      <c r="K10280">
        <v>0</v>
      </c>
      <c r="L10280">
        <v>49865510.369999997</v>
      </c>
      <c r="M10280">
        <v>49865510.369999997</v>
      </c>
      <c r="N10280">
        <v>49865510.369999997</v>
      </c>
      <c r="O10280">
        <v>49865510.369999997</v>
      </c>
      <c r="P10280">
        <v>50000000</v>
      </c>
      <c r="Q10280">
        <v>50000000</v>
      </c>
      <c r="R10280" s="14">
        <f>_xlfn.XLOOKUP(Table2[[#This Row],[LoanID]],Table1[G-L ID],Table1[ManagerCode],-99)</f>
        <v>298</v>
      </c>
      <c r="T10280"/>
    </row>
    <row r="10281" spans="1:20" x14ac:dyDescent="0.25">
      <c r="A10281">
        <v>20200131</v>
      </c>
      <c r="B10281">
        <v>2020</v>
      </c>
      <c r="C10281">
        <v>1</v>
      </c>
      <c r="D10281">
        <v>1</v>
      </c>
      <c r="E10281">
        <v>13630</v>
      </c>
      <c r="F10281">
        <v>218506.94</v>
      </c>
      <c r="G10281">
        <v>0</v>
      </c>
      <c r="H10281">
        <v>0</v>
      </c>
      <c r="I10281">
        <v>0</v>
      </c>
      <c r="J10281">
        <v>0</v>
      </c>
      <c r="K10281">
        <v>0</v>
      </c>
      <c r="L10281">
        <v>22527136.07</v>
      </c>
      <c r="M10281">
        <v>22527136.07</v>
      </c>
      <c r="N10281">
        <v>22527136.07</v>
      </c>
      <c r="O10281">
        <v>22527136.07</v>
      </c>
      <c r="P10281">
        <v>35000000</v>
      </c>
      <c r="Q10281">
        <v>35000000</v>
      </c>
      <c r="R10281" s="14">
        <f>_xlfn.XLOOKUP(Table2[[#This Row],[LoanID]],Table1[G-L ID],Table1[ManagerCode],-99)</f>
        <v>298</v>
      </c>
      <c r="T10281"/>
    </row>
    <row r="10282" spans="1:20" x14ac:dyDescent="0.25">
      <c r="A10282">
        <v>20200131</v>
      </c>
      <c r="B10282">
        <v>2020</v>
      </c>
      <c r="C10282">
        <v>1</v>
      </c>
      <c r="D10282">
        <v>1</v>
      </c>
      <c r="E10282">
        <v>13640</v>
      </c>
      <c r="F10282">
        <v>226983.51</v>
      </c>
      <c r="G10282">
        <v>0</v>
      </c>
      <c r="H10282">
        <v>0</v>
      </c>
      <c r="I10282">
        <v>0</v>
      </c>
      <c r="J10282">
        <v>0</v>
      </c>
      <c r="K10282">
        <v>0</v>
      </c>
      <c r="L10282">
        <v>30234429.84</v>
      </c>
      <c r="M10282">
        <v>30234429.84</v>
      </c>
      <c r="N10282">
        <v>30234429.84</v>
      </c>
      <c r="O10282">
        <v>30234429.84</v>
      </c>
      <c r="P10282">
        <v>30125000</v>
      </c>
      <c r="Q10282">
        <v>30125000</v>
      </c>
      <c r="R10282" s="14">
        <f>_xlfn.XLOOKUP(Table2[[#This Row],[LoanID]],Table1[G-L ID],Table1[ManagerCode],-99)</f>
        <v>298</v>
      </c>
      <c r="T10282"/>
    </row>
    <row r="10283" spans="1:20" x14ac:dyDescent="0.25">
      <c r="A10283">
        <v>20200131</v>
      </c>
      <c r="B10283">
        <v>2020</v>
      </c>
      <c r="C10283">
        <v>1</v>
      </c>
      <c r="D10283">
        <v>1</v>
      </c>
      <c r="E10283">
        <v>13650</v>
      </c>
      <c r="F10283">
        <v>223888.89</v>
      </c>
      <c r="G10283">
        <v>0</v>
      </c>
      <c r="H10283">
        <v>0</v>
      </c>
      <c r="I10283">
        <v>0</v>
      </c>
      <c r="J10283">
        <v>0</v>
      </c>
      <c r="K10283">
        <v>0</v>
      </c>
      <c r="L10283">
        <v>39537559.880000003</v>
      </c>
      <c r="M10283">
        <v>39537559.880000003</v>
      </c>
      <c r="N10283">
        <v>39537559.880000003</v>
      </c>
      <c r="O10283">
        <v>39537559.880000003</v>
      </c>
      <c r="P10283">
        <v>40000000</v>
      </c>
      <c r="Q10283">
        <v>40000000</v>
      </c>
      <c r="R10283" s="14">
        <f>_xlfn.XLOOKUP(Table2[[#This Row],[LoanID]],Table1[G-L ID],Table1[ManagerCode],-99)</f>
        <v>298</v>
      </c>
      <c r="T10283"/>
    </row>
    <row r="10284" spans="1:20" x14ac:dyDescent="0.25">
      <c r="A10284">
        <v>20200131</v>
      </c>
      <c r="B10284">
        <v>2020</v>
      </c>
      <c r="C10284">
        <v>1</v>
      </c>
      <c r="D10284">
        <v>1</v>
      </c>
      <c r="E10284">
        <v>13660</v>
      </c>
      <c r="F10284">
        <v>117972.22</v>
      </c>
      <c r="G10284">
        <v>0</v>
      </c>
      <c r="H10284">
        <v>0</v>
      </c>
      <c r="I10284">
        <v>0</v>
      </c>
      <c r="J10284">
        <v>0</v>
      </c>
      <c r="K10284">
        <v>0</v>
      </c>
      <c r="L10284">
        <v>19633684.649999999</v>
      </c>
      <c r="M10284">
        <v>19633684.649999999</v>
      </c>
      <c r="N10284">
        <v>19633684.649999999</v>
      </c>
      <c r="O10284">
        <v>19633684.649999999</v>
      </c>
      <c r="P10284">
        <v>20000000</v>
      </c>
      <c r="Q10284">
        <v>20000000</v>
      </c>
      <c r="R10284" s="14">
        <f>_xlfn.XLOOKUP(Table2[[#This Row],[LoanID]],Table1[G-L ID],Table1[ManagerCode],-99)</f>
        <v>298</v>
      </c>
      <c r="T10284"/>
    </row>
    <row r="10285" spans="1:20" x14ac:dyDescent="0.25">
      <c r="A10285">
        <v>20200131</v>
      </c>
      <c r="B10285">
        <v>2020</v>
      </c>
      <c r="C10285">
        <v>1</v>
      </c>
      <c r="D10285">
        <v>1</v>
      </c>
      <c r="E10285">
        <v>13670</v>
      </c>
      <c r="F10285">
        <v>0</v>
      </c>
      <c r="G10285">
        <v>0</v>
      </c>
      <c r="H10285">
        <v>0</v>
      </c>
      <c r="I10285">
        <v>0</v>
      </c>
      <c r="J10285">
        <v>0</v>
      </c>
      <c r="K10285">
        <v>0</v>
      </c>
      <c r="L10285">
        <v>11889143.83</v>
      </c>
      <c r="M10285">
        <v>11889143.83</v>
      </c>
      <c r="N10285">
        <v>11889143.83</v>
      </c>
      <c r="O10285">
        <v>11889143.83</v>
      </c>
      <c r="P10285">
        <v>40082033.079999998</v>
      </c>
      <c r="Q10285">
        <v>40470735.259999998</v>
      </c>
      <c r="R10285" s="14">
        <f>_xlfn.XLOOKUP(Table2[[#This Row],[LoanID]],Table1[G-L ID],Table1[ManagerCode],-99)</f>
        <v>298</v>
      </c>
      <c r="T10285"/>
    </row>
    <row r="10286" spans="1:20" x14ac:dyDescent="0.25">
      <c r="A10286">
        <v>20200131</v>
      </c>
      <c r="B10286">
        <v>2020</v>
      </c>
      <c r="C10286">
        <v>1</v>
      </c>
      <c r="D10286">
        <v>1</v>
      </c>
      <c r="E10286">
        <v>13690</v>
      </c>
      <c r="F10286">
        <v>133472.22</v>
      </c>
      <c r="G10286">
        <v>0</v>
      </c>
      <c r="H10286">
        <v>0</v>
      </c>
      <c r="I10286">
        <v>0</v>
      </c>
      <c r="J10286">
        <v>0</v>
      </c>
      <c r="K10286">
        <v>0</v>
      </c>
      <c r="L10286">
        <v>20825761.02</v>
      </c>
      <c r="M10286">
        <v>20825761.02</v>
      </c>
      <c r="N10286">
        <v>20825761.02</v>
      </c>
      <c r="O10286">
        <v>20825761.02</v>
      </c>
      <c r="P10286">
        <v>20000000</v>
      </c>
      <c r="Q10286">
        <v>20000000</v>
      </c>
      <c r="R10286" s="14">
        <f>_xlfn.XLOOKUP(Table2[[#This Row],[LoanID]],Table1[G-L ID],Table1[ManagerCode],-99)</f>
        <v>298</v>
      </c>
      <c r="T10286"/>
    </row>
    <row r="10287" spans="1:20" x14ac:dyDescent="0.25">
      <c r="A10287">
        <v>20200131</v>
      </c>
      <c r="B10287">
        <v>2020</v>
      </c>
      <c r="C10287">
        <v>1</v>
      </c>
      <c r="D10287">
        <v>1</v>
      </c>
      <c r="E10287">
        <v>13790</v>
      </c>
      <c r="F10287">
        <v>145654.01999999999</v>
      </c>
      <c r="G10287">
        <v>29221.98</v>
      </c>
      <c r="H10287">
        <v>0</v>
      </c>
      <c r="I10287">
        <v>0</v>
      </c>
      <c r="J10287">
        <v>0</v>
      </c>
      <c r="K10287">
        <v>0</v>
      </c>
      <c r="L10287">
        <v>20716489.260000002</v>
      </c>
      <c r="M10287">
        <v>20745711.239999998</v>
      </c>
      <c r="N10287">
        <v>20716489.260000002</v>
      </c>
      <c r="O10287">
        <v>20745711.239999998</v>
      </c>
      <c r="P10287">
        <v>20716489.260000002</v>
      </c>
      <c r="Q10287">
        <v>20745711.239999998</v>
      </c>
      <c r="R10287" s="14">
        <f>_xlfn.XLOOKUP(Table2[[#This Row],[LoanID]],Table1[G-L ID],Table1[ManagerCode],-99)</f>
        <v>219</v>
      </c>
      <c r="T10287"/>
    </row>
    <row r="10288" spans="1:20" x14ac:dyDescent="0.25">
      <c r="A10288">
        <v>20200131</v>
      </c>
      <c r="B10288">
        <v>2020</v>
      </c>
      <c r="C10288">
        <v>1</v>
      </c>
      <c r="D10288">
        <v>1</v>
      </c>
      <c r="E10288">
        <v>13800</v>
      </c>
      <c r="F10288">
        <v>281927.78000000003</v>
      </c>
      <c r="G10288">
        <v>0</v>
      </c>
      <c r="H10288">
        <v>0</v>
      </c>
      <c r="I10288">
        <v>0</v>
      </c>
      <c r="J10288">
        <v>0</v>
      </c>
      <c r="K10288">
        <v>0</v>
      </c>
      <c r="L10288">
        <v>80700000</v>
      </c>
      <c r="M10288">
        <v>80700000</v>
      </c>
      <c r="N10288">
        <v>32279999.719999999</v>
      </c>
      <c r="O10288">
        <v>32279999.719999999</v>
      </c>
      <c r="P10288">
        <v>80700000</v>
      </c>
      <c r="Q10288">
        <v>80700000</v>
      </c>
      <c r="R10288" s="14">
        <f>_xlfn.XLOOKUP(Table2[[#This Row],[LoanID]],Table1[G-L ID],Table1[ManagerCode],-99)</f>
        <v>183</v>
      </c>
      <c r="T10288"/>
    </row>
    <row r="10289" spans="1:20" x14ac:dyDescent="0.25">
      <c r="A10289">
        <v>20200131</v>
      </c>
      <c r="B10289">
        <v>2020</v>
      </c>
      <c r="C10289">
        <v>1</v>
      </c>
      <c r="D10289">
        <v>1</v>
      </c>
      <c r="E10289">
        <v>13810</v>
      </c>
      <c r="F10289">
        <v>135085.56</v>
      </c>
      <c r="G10289">
        <v>0</v>
      </c>
      <c r="H10289">
        <v>0</v>
      </c>
      <c r="I10289">
        <v>0</v>
      </c>
      <c r="J10289">
        <v>-251227.53</v>
      </c>
      <c r="K10289">
        <v>0</v>
      </c>
      <c r="L10289">
        <v>43474779.630000003</v>
      </c>
      <c r="M10289">
        <v>43703369.159999996</v>
      </c>
      <c r="N10289">
        <v>19349033.850000001</v>
      </c>
      <c r="O10289">
        <v>19577623.379999999</v>
      </c>
      <c r="P10289">
        <v>43474779.630000003</v>
      </c>
      <c r="Q10289">
        <v>43726007.159999996</v>
      </c>
      <c r="R10289" s="14">
        <f>_xlfn.XLOOKUP(Table2[[#This Row],[LoanID]],Table1[G-L ID],Table1[ManagerCode],-99)</f>
        <v>183</v>
      </c>
      <c r="T10289"/>
    </row>
    <row r="10290" spans="1:20" x14ac:dyDescent="0.25">
      <c r="A10290">
        <v>20200131</v>
      </c>
      <c r="B10290">
        <v>2020</v>
      </c>
      <c r="C10290">
        <v>1</v>
      </c>
      <c r="D10290">
        <v>1</v>
      </c>
      <c r="E10290">
        <v>13820</v>
      </c>
      <c r="F10290">
        <v>324364.43</v>
      </c>
      <c r="G10290">
        <v>0</v>
      </c>
      <c r="H10290">
        <v>0</v>
      </c>
      <c r="I10290">
        <v>0</v>
      </c>
      <c r="J10290">
        <v>0</v>
      </c>
      <c r="K10290">
        <v>0</v>
      </c>
      <c r="L10290">
        <v>66500000</v>
      </c>
      <c r="M10290">
        <v>66500000</v>
      </c>
      <c r="N10290">
        <v>66500000</v>
      </c>
      <c r="O10290">
        <v>66500000</v>
      </c>
      <c r="P10290">
        <v>66500000</v>
      </c>
      <c r="Q10290">
        <v>66500000</v>
      </c>
      <c r="R10290" s="14">
        <f>_xlfn.XLOOKUP(Table2[[#This Row],[LoanID]],Table1[G-L ID],Table1[ManagerCode],-99)</f>
        <v>183</v>
      </c>
      <c r="T10290"/>
    </row>
    <row r="10291" spans="1:20" x14ac:dyDescent="0.25">
      <c r="A10291">
        <v>20200131</v>
      </c>
      <c r="B10291">
        <v>2020</v>
      </c>
      <c r="C10291">
        <v>1</v>
      </c>
      <c r="D10291">
        <v>1</v>
      </c>
      <c r="E10291">
        <v>13830</v>
      </c>
      <c r="F10291">
        <v>208771.39</v>
      </c>
      <c r="G10291">
        <v>0</v>
      </c>
      <c r="H10291">
        <v>0</v>
      </c>
      <c r="I10291">
        <v>0</v>
      </c>
      <c r="J10291">
        <v>0</v>
      </c>
      <c r="K10291">
        <v>0</v>
      </c>
      <c r="L10291">
        <v>101000000</v>
      </c>
      <c r="M10291">
        <v>101000000</v>
      </c>
      <c r="N10291">
        <v>35350000</v>
      </c>
      <c r="O10291">
        <v>35350000</v>
      </c>
      <c r="P10291">
        <v>101000000</v>
      </c>
      <c r="Q10291">
        <v>101000000</v>
      </c>
      <c r="R10291" s="14">
        <f>_xlfn.XLOOKUP(Table2[[#This Row],[LoanID]],Table1[G-L ID],Table1[ManagerCode],-99)</f>
        <v>183</v>
      </c>
      <c r="T10291"/>
    </row>
    <row r="10292" spans="1:20" x14ac:dyDescent="0.25">
      <c r="A10292">
        <v>20200131</v>
      </c>
      <c r="B10292">
        <v>2020</v>
      </c>
      <c r="C10292">
        <v>1</v>
      </c>
      <c r="D10292">
        <v>1</v>
      </c>
      <c r="E10292">
        <v>14000</v>
      </c>
      <c r="F10292">
        <v>189749.24</v>
      </c>
      <c r="G10292">
        <v>0</v>
      </c>
      <c r="H10292">
        <v>0</v>
      </c>
      <c r="I10292">
        <v>0</v>
      </c>
      <c r="J10292">
        <v>0</v>
      </c>
      <c r="K10292">
        <v>0</v>
      </c>
      <c r="L10292">
        <v>98000000</v>
      </c>
      <c r="M10292">
        <v>98000000</v>
      </c>
      <c r="N10292">
        <v>39200000</v>
      </c>
      <c r="O10292">
        <v>39200000</v>
      </c>
      <c r="P10292">
        <v>98000000</v>
      </c>
      <c r="Q10292">
        <v>98000000</v>
      </c>
      <c r="R10292" s="14">
        <f>_xlfn.XLOOKUP(Table2[[#This Row],[LoanID]],Table1[G-L ID],Table1[ManagerCode],-99)</f>
        <v>183</v>
      </c>
      <c r="T10292"/>
    </row>
    <row r="10293" spans="1:20" x14ac:dyDescent="0.25">
      <c r="A10293">
        <v>20200131</v>
      </c>
      <c r="B10293">
        <v>2020</v>
      </c>
      <c r="C10293">
        <v>1</v>
      </c>
      <c r="D10293">
        <v>1</v>
      </c>
      <c r="E10293">
        <v>14660</v>
      </c>
      <c r="F10293">
        <v>141670</v>
      </c>
      <c r="G10293">
        <v>0</v>
      </c>
      <c r="H10293">
        <v>0</v>
      </c>
      <c r="I10293">
        <v>0</v>
      </c>
      <c r="J10293">
        <v>0</v>
      </c>
      <c r="K10293">
        <v>0</v>
      </c>
      <c r="L10293">
        <v>18141670</v>
      </c>
      <c r="M10293">
        <v>18141670</v>
      </c>
      <c r="N10293">
        <v>18141670</v>
      </c>
      <c r="O10293">
        <v>18141670</v>
      </c>
      <c r="P10293">
        <v>18141670</v>
      </c>
      <c r="Q10293">
        <v>18141670</v>
      </c>
      <c r="R10293" s="14">
        <f>_xlfn.XLOOKUP(Table2[[#This Row],[LoanID]],Table1[G-L ID],Table1[ManagerCode],-99)</f>
        <v>219</v>
      </c>
      <c r="T10293"/>
    </row>
    <row r="10294" spans="1:20" x14ac:dyDescent="0.25">
      <c r="A10294">
        <v>20200131</v>
      </c>
      <c r="B10294">
        <v>2020</v>
      </c>
      <c r="C10294">
        <v>1</v>
      </c>
      <c r="D10294">
        <v>1</v>
      </c>
      <c r="E10294">
        <v>14680</v>
      </c>
      <c r="F10294">
        <v>47725.47</v>
      </c>
      <c r="G10294">
        <v>0</v>
      </c>
      <c r="H10294">
        <v>0</v>
      </c>
      <c r="I10294">
        <v>0</v>
      </c>
      <c r="J10294">
        <v>-195516.91</v>
      </c>
      <c r="K10294">
        <v>0</v>
      </c>
      <c r="L10294">
        <v>30610000</v>
      </c>
      <c r="M10294">
        <v>30790000</v>
      </c>
      <c r="N10294">
        <v>8165011.7999999998</v>
      </c>
      <c r="O10294">
        <v>8345011.7999999998</v>
      </c>
      <c r="P10294">
        <v>30570657.100000001</v>
      </c>
      <c r="Q10294">
        <v>30766174.010000002</v>
      </c>
      <c r="R10294" s="14">
        <f>_xlfn.XLOOKUP(Table2[[#This Row],[LoanID]],Table1[G-L ID],Table1[ManagerCode],-99)</f>
        <v>220</v>
      </c>
      <c r="T10294"/>
    </row>
    <row r="10295" spans="1:20" x14ac:dyDescent="0.25">
      <c r="A10295">
        <v>20200131</v>
      </c>
      <c r="B10295">
        <v>2020</v>
      </c>
      <c r="C10295">
        <v>1</v>
      </c>
      <c r="D10295">
        <v>1</v>
      </c>
      <c r="E10295">
        <v>14690</v>
      </c>
      <c r="F10295">
        <v>105598.6</v>
      </c>
      <c r="G10295">
        <v>0</v>
      </c>
      <c r="H10295">
        <v>0</v>
      </c>
      <c r="I10295">
        <v>0</v>
      </c>
      <c r="J10295">
        <v>-349475.78</v>
      </c>
      <c r="K10295">
        <v>0</v>
      </c>
      <c r="L10295">
        <v>43055541.659999996</v>
      </c>
      <c r="M10295">
        <v>43405017.439999998</v>
      </c>
      <c r="N10295">
        <v>15537791.66</v>
      </c>
      <c r="O10295">
        <v>15887267.439999999</v>
      </c>
      <c r="P10295">
        <v>43055541.659999996</v>
      </c>
      <c r="Q10295">
        <v>43405017.439999998</v>
      </c>
      <c r="R10295" s="14">
        <f>_xlfn.XLOOKUP(Table2[[#This Row],[LoanID]],Table1[G-L ID],Table1[ManagerCode],-99)</f>
        <v>220</v>
      </c>
      <c r="T10295"/>
    </row>
    <row r="10296" spans="1:20" x14ac:dyDescent="0.25">
      <c r="A10296">
        <v>20200131</v>
      </c>
      <c r="B10296">
        <v>2020</v>
      </c>
      <c r="C10296">
        <v>1</v>
      </c>
      <c r="D10296">
        <v>1</v>
      </c>
      <c r="E10296">
        <v>14700</v>
      </c>
      <c r="F10296">
        <v>92014.64</v>
      </c>
      <c r="G10296">
        <v>0</v>
      </c>
      <c r="H10296">
        <v>0</v>
      </c>
      <c r="I10296">
        <v>0</v>
      </c>
      <c r="J10296">
        <v>0</v>
      </c>
      <c r="K10296">
        <v>0</v>
      </c>
      <c r="L10296">
        <v>36143315.479999997</v>
      </c>
      <c r="M10296">
        <v>36143315.479999997</v>
      </c>
      <c r="N10296">
        <v>11555815.48</v>
      </c>
      <c r="O10296">
        <v>11555815.48</v>
      </c>
      <c r="P10296">
        <v>36143315.479999997</v>
      </c>
      <c r="Q10296">
        <v>36143315.479999997</v>
      </c>
      <c r="R10296" s="14">
        <f>_xlfn.XLOOKUP(Table2[[#This Row],[LoanID]],Table1[G-L ID],Table1[ManagerCode],-99)</f>
        <v>220</v>
      </c>
      <c r="T10296"/>
    </row>
    <row r="10297" spans="1:20" x14ac:dyDescent="0.25">
      <c r="A10297">
        <v>20200131</v>
      </c>
      <c r="B10297">
        <v>2020</v>
      </c>
      <c r="C10297">
        <v>1</v>
      </c>
      <c r="D10297">
        <v>1</v>
      </c>
      <c r="E10297">
        <v>14710</v>
      </c>
      <c r="F10297">
        <v>75599.399999999994</v>
      </c>
      <c r="G10297">
        <v>0</v>
      </c>
      <c r="H10297">
        <v>0</v>
      </c>
      <c r="I10297">
        <v>0</v>
      </c>
      <c r="J10297">
        <v>0</v>
      </c>
      <c r="K10297">
        <v>0</v>
      </c>
      <c r="L10297">
        <v>33650000</v>
      </c>
      <c r="M10297">
        <v>33650000</v>
      </c>
      <c r="N10297">
        <v>11777500</v>
      </c>
      <c r="O10297">
        <v>11777500</v>
      </c>
      <c r="P10297">
        <v>33650000</v>
      </c>
      <c r="Q10297">
        <v>33650000</v>
      </c>
      <c r="R10297" s="14">
        <f>_xlfn.XLOOKUP(Table2[[#This Row],[LoanID]],Table1[G-L ID],Table1[ManagerCode],-99)</f>
        <v>220</v>
      </c>
      <c r="T10297"/>
    </row>
    <row r="10298" spans="1:20" x14ac:dyDescent="0.25">
      <c r="A10298">
        <v>20200131</v>
      </c>
      <c r="B10298">
        <v>2020</v>
      </c>
      <c r="C10298">
        <v>1</v>
      </c>
      <c r="D10298">
        <v>1</v>
      </c>
      <c r="E10298">
        <v>14720</v>
      </c>
      <c r="F10298">
        <v>48395</v>
      </c>
      <c r="G10298">
        <v>0</v>
      </c>
      <c r="H10298">
        <v>0</v>
      </c>
      <c r="I10298">
        <v>0</v>
      </c>
      <c r="J10298">
        <v>0</v>
      </c>
      <c r="K10298">
        <v>0</v>
      </c>
      <c r="L10298">
        <v>23003037.93</v>
      </c>
      <c r="M10298">
        <v>23003037.93</v>
      </c>
      <c r="N10298">
        <v>9276037.9299999997</v>
      </c>
      <c r="O10298">
        <v>9276037.9299999997</v>
      </c>
      <c r="P10298">
        <v>22999192.010000002</v>
      </c>
      <c r="Q10298">
        <v>22999192.010000002</v>
      </c>
      <c r="R10298" s="14">
        <f>_xlfn.XLOOKUP(Table2[[#This Row],[LoanID]],Table1[G-L ID],Table1[ManagerCode],-99)</f>
        <v>220</v>
      </c>
      <c r="T10298"/>
    </row>
    <row r="10299" spans="1:20" x14ac:dyDescent="0.25">
      <c r="A10299">
        <v>20200131</v>
      </c>
      <c r="B10299">
        <v>2020</v>
      </c>
      <c r="C10299">
        <v>1</v>
      </c>
      <c r="D10299">
        <v>1</v>
      </c>
      <c r="E10299">
        <v>14740</v>
      </c>
      <c r="F10299">
        <v>94533.54</v>
      </c>
      <c r="G10299">
        <v>0</v>
      </c>
      <c r="H10299">
        <v>0</v>
      </c>
      <c r="I10299">
        <v>0</v>
      </c>
      <c r="J10299">
        <v>0</v>
      </c>
      <c r="K10299">
        <v>0</v>
      </c>
      <c r="L10299">
        <v>35000000</v>
      </c>
      <c r="M10299">
        <v>34570000</v>
      </c>
      <c r="N10299">
        <v>14000000</v>
      </c>
      <c r="O10299">
        <v>13570000</v>
      </c>
      <c r="P10299">
        <v>35000000</v>
      </c>
      <c r="Q10299">
        <v>35000000</v>
      </c>
      <c r="R10299" s="14">
        <f>_xlfn.XLOOKUP(Table2[[#This Row],[LoanID]],Table1[G-L ID],Table1[ManagerCode],-99)</f>
        <v>220</v>
      </c>
      <c r="T10299"/>
    </row>
    <row r="10300" spans="1:20" x14ac:dyDescent="0.25">
      <c r="A10300">
        <v>20200131</v>
      </c>
      <c r="B10300">
        <v>2020</v>
      </c>
      <c r="C10300">
        <v>1</v>
      </c>
      <c r="D10300">
        <v>1</v>
      </c>
      <c r="E10300">
        <v>14750</v>
      </c>
      <c r="F10300">
        <v>104749.18</v>
      </c>
      <c r="G10300">
        <v>0</v>
      </c>
      <c r="H10300">
        <v>0</v>
      </c>
      <c r="I10300">
        <v>0</v>
      </c>
      <c r="J10300">
        <v>0</v>
      </c>
      <c r="K10300">
        <v>0</v>
      </c>
      <c r="L10300">
        <v>59078453.039999999</v>
      </c>
      <c r="M10300">
        <v>59078453.039999999</v>
      </c>
      <c r="N10300">
        <v>23328453.039999999</v>
      </c>
      <c r="O10300">
        <v>23328453.039999999</v>
      </c>
      <c r="P10300">
        <v>59078453.039999999</v>
      </c>
      <c r="Q10300">
        <v>59078453.039999999</v>
      </c>
      <c r="R10300" s="14">
        <f>_xlfn.XLOOKUP(Table2[[#This Row],[LoanID]],Table1[G-L ID],Table1[ManagerCode],-99)</f>
        <v>220</v>
      </c>
      <c r="T10300"/>
    </row>
    <row r="10301" spans="1:20" x14ac:dyDescent="0.25">
      <c r="A10301">
        <v>20200131</v>
      </c>
      <c r="B10301">
        <v>2020</v>
      </c>
      <c r="C10301">
        <v>1</v>
      </c>
      <c r="D10301">
        <v>1</v>
      </c>
      <c r="E10301">
        <v>14760</v>
      </c>
      <c r="F10301">
        <v>215417.7</v>
      </c>
      <c r="G10301">
        <v>0</v>
      </c>
      <c r="H10301">
        <v>0</v>
      </c>
      <c r="I10301">
        <v>0</v>
      </c>
      <c r="J10301">
        <v>0</v>
      </c>
      <c r="K10301">
        <v>0</v>
      </c>
      <c r="L10301">
        <v>105000000</v>
      </c>
      <c r="M10301">
        <v>105000000</v>
      </c>
      <c r="N10301">
        <v>26250000</v>
      </c>
      <c r="O10301">
        <v>26250000</v>
      </c>
      <c r="P10301">
        <v>105000000</v>
      </c>
      <c r="Q10301">
        <v>105000000</v>
      </c>
      <c r="R10301" s="14">
        <f>_xlfn.XLOOKUP(Table2[[#This Row],[LoanID]],Table1[G-L ID],Table1[ManagerCode],-99)</f>
        <v>220</v>
      </c>
      <c r="T10301"/>
    </row>
    <row r="10302" spans="1:20" x14ac:dyDescent="0.25">
      <c r="A10302">
        <v>20200131</v>
      </c>
      <c r="B10302">
        <v>2020</v>
      </c>
      <c r="C10302">
        <v>1</v>
      </c>
      <c r="D10302">
        <v>1</v>
      </c>
      <c r="E10302">
        <v>14770</v>
      </c>
      <c r="F10302">
        <v>248038.75</v>
      </c>
      <c r="G10302">
        <v>0</v>
      </c>
      <c r="H10302">
        <v>0</v>
      </c>
      <c r="I10302">
        <v>0</v>
      </c>
      <c r="J10302">
        <v>0</v>
      </c>
      <c r="K10302">
        <v>0</v>
      </c>
      <c r="L10302">
        <v>55500000</v>
      </c>
      <c r="M10302">
        <v>55500000</v>
      </c>
      <c r="N10302">
        <v>55500000</v>
      </c>
      <c r="O10302">
        <v>55500000</v>
      </c>
      <c r="P10302">
        <v>55500000</v>
      </c>
      <c r="Q10302">
        <v>55500000</v>
      </c>
      <c r="R10302" s="14">
        <f>_xlfn.XLOOKUP(Table2[[#This Row],[LoanID]],Table1[G-L ID],Table1[ManagerCode],-99)</f>
        <v>220</v>
      </c>
      <c r="T10302"/>
    </row>
    <row r="10303" spans="1:20" x14ac:dyDescent="0.25">
      <c r="A10303">
        <v>20200131</v>
      </c>
      <c r="B10303">
        <v>2020</v>
      </c>
      <c r="C10303">
        <v>1</v>
      </c>
      <c r="D10303">
        <v>1</v>
      </c>
      <c r="E10303">
        <v>14780</v>
      </c>
      <c r="F10303">
        <v>107290.24000000001</v>
      </c>
      <c r="G10303">
        <v>0</v>
      </c>
      <c r="H10303">
        <v>0</v>
      </c>
      <c r="I10303">
        <v>0</v>
      </c>
      <c r="J10303">
        <v>0</v>
      </c>
      <c r="K10303">
        <v>0</v>
      </c>
      <c r="L10303">
        <v>51000000</v>
      </c>
      <c r="M10303">
        <v>51000000</v>
      </c>
      <c r="N10303">
        <v>15300000</v>
      </c>
      <c r="O10303">
        <v>15300000</v>
      </c>
      <c r="P10303">
        <v>51000000</v>
      </c>
      <c r="Q10303">
        <v>51000000</v>
      </c>
      <c r="R10303" s="14">
        <f>_xlfn.XLOOKUP(Table2[[#This Row],[LoanID]],Table1[G-L ID],Table1[ManagerCode],-99)</f>
        <v>220</v>
      </c>
      <c r="T10303"/>
    </row>
    <row r="10304" spans="1:20" x14ac:dyDescent="0.25">
      <c r="A10304">
        <v>20200131</v>
      </c>
      <c r="B10304">
        <v>2020</v>
      </c>
      <c r="C10304">
        <v>1</v>
      </c>
      <c r="D10304">
        <v>1</v>
      </c>
      <c r="E10304">
        <v>14790</v>
      </c>
      <c r="F10304">
        <v>129284.58</v>
      </c>
      <c r="G10304">
        <v>0</v>
      </c>
      <c r="H10304">
        <v>0</v>
      </c>
      <c r="I10304">
        <v>0</v>
      </c>
      <c r="J10304">
        <v>0</v>
      </c>
      <c r="K10304">
        <v>0</v>
      </c>
      <c r="L10304">
        <v>80360000</v>
      </c>
      <c r="M10304">
        <v>80360000</v>
      </c>
      <c r="N10304">
        <v>25960000</v>
      </c>
      <c r="O10304">
        <v>25960000</v>
      </c>
      <c r="P10304">
        <v>80000000</v>
      </c>
      <c r="Q10304">
        <v>80000000</v>
      </c>
      <c r="R10304" s="14">
        <f>_xlfn.XLOOKUP(Table2[[#This Row],[LoanID]],Table1[G-L ID],Table1[ManagerCode],-99)</f>
        <v>220</v>
      </c>
      <c r="T10304"/>
    </row>
    <row r="10305" spans="1:20" x14ac:dyDescent="0.25">
      <c r="A10305">
        <v>20200131</v>
      </c>
      <c r="B10305">
        <v>2020</v>
      </c>
      <c r="C10305">
        <v>1</v>
      </c>
      <c r="D10305">
        <v>1</v>
      </c>
      <c r="E10305">
        <v>14800</v>
      </c>
      <c r="F10305">
        <v>110186.91</v>
      </c>
      <c r="G10305">
        <v>0</v>
      </c>
      <c r="H10305">
        <v>0</v>
      </c>
      <c r="I10305">
        <v>0</v>
      </c>
      <c r="J10305">
        <v>0</v>
      </c>
      <c r="K10305">
        <v>0</v>
      </c>
      <c r="L10305">
        <v>51000000</v>
      </c>
      <c r="M10305">
        <v>51000000</v>
      </c>
      <c r="N10305">
        <v>17850000</v>
      </c>
      <c r="O10305">
        <v>17850000</v>
      </c>
      <c r="P10305">
        <v>51000000</v>
      </c>
      <c r="Q10305">
        <v>51000000</v>
      </c>
      <c r="R10305" s="14">
        <f>_xlfn.XLOOKUP(Table2[[#This Row],[LoanID]],Table1[G-L ID],Table1[ManagerCode],-99)</f>
        <v>220</v>
      </c>
      <c r="T10305"/>
    </row>
    <row r="10306" spans="1:20" x14ac:dyDescent="0.25">
      <c r="A10306">
        <v>20200131</v>
      </c>
      <c r="B10306">
        <v>2020</v>
      </c>
      <c r="C10306">
        <v>1</v>
      </c>
      <c r="D10306">
        <v>1</v>
      </c>
      <c r="E10306">
        <v>14810</v>
      </c>
      <c r="F10306">
        <v>94457</v>
      </c>
      <c r="G10306">
        <v>0</v>
      </c>
      <c r="H10306">
        <v>0</v>
      </c>
      <c r="I10306">
        <v>0</v>
      </c>
      <c r="J10306">
        <v>0</v>
      </c>
      <c r="K10306">
        <v>0</v>
      </c>
      <c r="L10306">
        <v>24940000</v>
      </c>
      <c r="M10306">
        <v>24930000</v>
      </c>
      <c r="N10306">
        <v>24940000</v>
      </c>
      <c r="O10306">
        <v>24930000</v>
      </c>
      <c r="P10306">
        <v>24930000</v>
      </c>
      <c r="Q10306">
        <v>24930000</v>
      </c>
      <c r="R10306" s="14">
        <f>_xlfn.XLOOKUP(Table2[[#This Row],[LoanID]],Table1[G-L ID],Table1[ManagerCode],-99)</f>
        <v>220</v>
      </c>
      <c r="T10306"/>
    </row>
    <row r="10307" spans="1:20" x14ac:dyDescent="0.25">
      <c r="A10307">
        <v>20200131</v>
      </c>
      <c r="B10307">
        <v>2020</v>
      </c>
      <c r="C10307">
        <v>1</v>
      </c>
      <c r="D10307">
        <v>1</v>
      </c>
      <c r="E10307">
        <v>14820</v>
      </c>
      <c r="F10307">
        <v>76517.05</v>
      </c>
      <c r="G10307">
        <v>0</v>
      </c>
      <c r="H10307">
        <v>0</v>
      </c>
      <c r="I10307">
        <v>0</v>
      </c>
      <c r="J10307">
        <v>0</v>
      </c>
      <c r="K10307">
        <v>-7278744.4699999997</v>
      </c>
      <c r="L10307">
        <v>23287391.140000001</v>
      </c>
      <c r="M10307">
        <v>23287391.140000001</v>
      </c>
      <c r="N10307">
        <v>12369274.439999999</v>
      </c>
      <c r="O10307">
        <v>19648018.91</v>
      </c>
      <c r="P10307">
        <v>23287391.140000001</v>
      </c>
      <c r="Q10307">
        <v>23287391.140000001</v>
      </c>
      <c r="R10307" s="14">
        <f>_xlfn.XLOOKUP(Table2[[#This Row],[LoanID]],Table1[G-L ID],Table1[ManagerCode],-99)</f>
        <v>220</v>
      </c>
      <c r="T10307"/>
    </row>
    <row r="10308" spans="1:20" x14ac:dyDescent="0.25">
      <c r="A10308">
        <v>20200131</v>
      </c>
      <c r="B10308">
        <v>2020</v>
      </c>
      <c r="C10308">
        <v>1</v>
      </c>
      <c r="D10308">
        <v>1</v>
      </c>
      <c r="E10308">
        <v>14830</v>
      </c>
      <c r="F10308">
        <v>238328.86</v>
      </c>
      <c r="G10308">
        <v>0</v>
      </c>
      <c r="H10308">
        <v>0</v>
      </c>
      <c r="I10308">
        <v>0</v>
      </c>
      <c r="J10308">
        <v>0</v>
      </c>
      <c r="K10308">
        <v>15534944.300000001</v>
      </c>
      <c r="L10308">
        <v>37124679.07</v>
      </c>
      <c r="M10308">
        <v>0</v>
      </c>
      <c r="N10308">
        <v>15659623.369999999</v>
      </c>
      <c r="O10308">
        <v>0</v>
      </c>
      <c r="P10308">
        <v>37000000</v>
      </c>
      <c r="Q10308">
        <v>0</v>
      </c>
      <c r="R10308" s="14">
        <f>_xlfn.XLOOKUP(Table2[[#This Row],[LoanID]],Table1[G-L ID],Table1[ManagerCode],-99)</f>
        <v>220</v>
      </c>
      <c r="T10308"/>
    </row>
    <row r="10309" spans="1:20" x14ac:dyDescent="0.25">
      <c r="A10309">
        <v>20200131</v>
      </c>
      <c r="B10309">
        <v>2020</v>
      </c>
      <c r="C10309">
        <v>1</v>
      </c>
      <c r="D10309">
        <v>1</v>
      </c>
      <c r="E10309">
        <v>14840</v>
      </c>
      <c r="F10309">
        <v>67717.89</v>
      </c>
      <c r="G10309">
        <v>0</v>
      </c>
      <c r="H10309">
        <v>0</v>
      </c>
      <c r="I10309">
        <v>0</v>
      </c>
      <c r="J10309">
        <v>0</v>
      </c>
      <c r="K10309">
        <v>0</v>
      </c>
      <c r="L10309">
        <v>32514668.289999999</v>
      </c>
      <c r="M10309">
        <v>32514668.289999999</v>
      </c>
      <c r="N10309">
        <v>13316135.25</v>
      </c>
      <c r="O10309">
        <v>13316135.25</v>
      </c>
      <c r="P10309">
        <v>32484668.289999999</v>
      </c>
      <c r="Q10309">
        <v>32484668.289999999</v>
      </c>
      <c r="R10309" s="14">
        <f>_xlfn.XLOOKUP(Table2[[#This Row],[LoanID]],Table1[G-L ID],Table1[ManagerCode],-99)</f>
        <v>220</v>
      </c>
      <c r="T10309"/>
    </row>
    <row r="10310" spans="1:20" x14ac:dyDescent="0.25">
      <c r="A10310">
        <v>20200131</v>
      </c>
      <c r="B10310">
        <v>2020</v>
      </c>
      <c r="C10310">
        <v>1</v>
      </c>
      <c r="D10310">
        <v>1</v>
      </c>
      <c r="E10310">
        <v>14850</v>
      </c>
      <c r="F10310">
        <v>175185.51</v>
      </c>
      <c r="G10310">
        <v>0</v>
      </c>
      <c r="H10310">
        <v>0</v>
      </c>
      <c r="I10310">
        <v>0</v>
      </c>
      <c r="J10310">
        <v>-96945.32</v>
      </c>
      <c r="K10310">
        <v>0</v>
      </c>
      <c r="L10310">
        <v>88260559.060000002</v>
      </c>
      <c r="M10310">
        <v>88357504.379999995</v>
      </c>
      <c r="N10310">
        <v>36632033.18</v>
      </c>
      <c r="O10310">
        <v>36728978.5</v>
      </c>
      <c r="P10310">
        <v>88185464.280000001</v>
      </c>
      <c r="Q10310">
        <v>88282409.599999994</v>
      </c>
      <c r="R10310" s="14">
        <f>_xlfn.XLOOKUP(Table2[[#This Row],[LoanID]],Table1[G-L ID],Table1[ManagerCode],-99)</f>
        <v>220</v>
      </c>
      <c r="T10310"/>
    </row>
    <row r="10311" spans="1:20" x14ac:dyDescent="0.25">
      <c r="A10311">
        <v>20200131</v>
      </c>
      <c r="B10311">
        <v>2020</v>
      </c>
      <c r="C10311">
        <v>1</v>
      </c>
      <c r="D10311">
        <v>1</v>
      </c>
      <c r="E10311">
        <v>14860</v>
      </c>
      <c r="F10311">
        <v>143548.26999999999</v>
      </c>
      <c r="G10311">
        <v>0</v>
      </c>
      <c r="H10311">
        <v>0</v>
      </c>
      <c r="I10311">
        <v>0</v>
      </c>
      <c r="J10311">
        <v>0</v>
      </c>
      <c r="K10311">
        <v>0</v>
      </c>
      <c r="L10311">
        <v>65150000</v>
      </c>
      <c r="M10311">
        <v>65150000</v>
      </c>
      <c r="N10311">
        <v>26291000</v>
      </c>
      <c r="O10311">
        <v>26291000</v>
      </c>
      <c r="P10311">
        <v>65000000</v>
      </c>
      <c r="Q10311">
        <v>65000000</v>
      </c>
      <c r="R10311" s="14">
        <f>_xlfn.XLOOKUP(Table2[[#This Row],[LoanID]],Table1[G-L ID],Table1[ManagerCode],-99)</f>
        <v>220</v>
      </c>
      <c r="T10311"/>
    </row>
    <row r="10312" spans="1:20" x14ac:dyDescent="0.25">
      <c r="A10312">
        <v>20200131</v>
      </c>
      <c r="B10312">
        <v>2020</v>
      </c>
      <c r="C10312">
        <v>1</v>
      </c>
      <c r="D10312">
        <v>1</v>
      </c>
      <c r="E10312">
        <v>14870</v>
      </c>
      <c r="F10312">
        <v>431881.33</v>
      </c>
      <c r="G10312">
        <v>0</v>
      </c>
      <c r="H10312">
        <v>0</v>
      </c>
      <c r="I10312">
        <v>0</v>
      </c>
      <c r="J10312">
        <v>0</v>
      </c>
      <c r="K10312">
        <v>-37270710.869999997</v>
      </c>
      <c r="L10312">
        <v>123570216</v>
      </c>
      <c r="M10312">
        <v>123570216</v>
      </c>
      <c r="N10312">
        <v>67664149.700000003</v>
      </c>
      <c r="O10312">
        <v>104934860.56999999</v>
      </c>
      <c r="P10312">
        <v>123501436</v>
      </c>
      <c r="Q10312">
        <v>123501436</v>
      </c>
      <c r="R10312" s="14">
        <f>_xlfn.XLOOKUP(Table2[[#This Row],[LoanID]],Table1[G-L ID],Table1[ManagerCode],-99)</f>
        <v>220</v>
      </c>
      <c r="T10312"/>
    </row>
    <row r="10313" spans="1:20" x14ac:dyDescent="0.25">
      <c r="A10313">
        <v>20200131</v>
      </c>
      <c r="B10313">
        <v>2020</v>
      </c>
      <c r="C10313">
        <v>1</v>
      </c>
      <c r="D10313">
        <v>1</v>
      </c>
      <c r="E10313">
        <v>14880</v>
      </c>
      <c r="F10313">
        <v>142358.5</v>
      </c>
      <c r="G10313">
        <v>0</v>
      </c>
      <c r="H10313">
        <v>0</v>
      </c>
      <c r="I10313">
        <v>0</v>
      </c>
      <c r="J10313">
        <v>0</v>
      </c>
      <c r="K10313">
        <v>0</v>
      </c>
      <c r="L10313">
        <v>20296304.09</v>
      </c>
      <c r="M10313">
        <v>20296304.09</v>
      </c>
      <c r="N10313">
        <v>20296304.09</v>
      </c>
      <c r="O10313">
        <v>20296304.09</v>
      </c>
      <c r="P10313">
        <v>20296304.09</v>
      </c>
      <c r="Q10313">
        <v>20296304.09</v>
      </c>
      <c r="R10313" s="14">
        <f>_xlfn.XLOOKUP(Table2[[#This Row],[LoanID]],Table1[G-L ID],Table1[ManagerCode],-99)</f>
        <v>220</v>
      </c>
      <c r="T10313"/>
    </row>
    <row r="10314" spans="1:20" x14ac:dyDescent="0.25">
      <c r="A10314">
        <v>20200131</v>
      </c>
      <c r="B10314">
        <v>2020</v>
      </c>
      <c r="C10314">
        <v>1</v>
      </c>
      <c r="D10314">
        <v>1</v>
      </c>
      <c r="E10314">
        <v>14890</v>
      </c>
      <c r="F10314">
        <v>58446.98</v>
      </c>
      <c r="G10314">
        <v>0</v>
      </c>
      <c r="H10314">
        <v>0</v>
      </c>
      <c r="I10314">
        <v>0</v>
      </c>
      <c r="J10314">
        <v>0</v>
      </c>
      <c r="K10314">
        <v>0</v>
      </c>
      <c r="L10314">
        <v>34000000</v>
      </c>
      <c r="M10314">
        <v>34000000</v>
      </c>
      <c r="N10314">
        <v>14177663.98</v>
      </c>
      <c r="O10314">
        <v>14177663.98</v>
      </c>
      <c r="P10314">
        <v>34000000</v>
      </c>
      <c r="Q10314">
        <v>34000000</v>
      </c>
      <c r="R10314" s="14">
        <f>_xlfn.XLOOKUP(Table2[[#This Row],[LoanID]],Table1[G-L ID],Table1[ManagerCode],-99)</f>
        <v>220</v>
      </c>
      <c r="T10314"/>
    </row>
    <row r="10315" spans="1:20" x14ac:dyDescent="0.25">
      <c r="A10315">
        <v>20200131</v>
      </c>
      <c r="B10315">
        <v>2020</v>
      </c>
      <c r="C10315">
        <v>1</v>
      </c>
      <c r="D10315">
        <v>1</v>
      </c>
      <c r="E10315">
        <v>14900</v>
      </c>
      <c r="F10315">
        <v>109229.27</v>
      </c>
      <c r="G10315">
        <v>0</v>
      </c>
      <c r="H10315">
        <v>0</v>
      </c>
      <c r="I10315">
        <v>0</v>
      </c>
      <c r="J10315">
        <v>0</v>
      </c>
      <c r="K10315">
        <v>0</v>
      </c>
      <c r="L10315">
        <v>66096659.850000001</v>
      </c>
      <c r="M10315">
        <v>66096659.850000001</v>
      </c>
      <c r="N10315">
        <v>24496659.850000001</v>
      </c>
      <c r="O10315">
        <v>24496659.850000001</v>
      </c>
      <c r="P10315">
        <v>66096659.850000001</v>
      </c>
      <c r="Q10315">
        <v>66096659.850000001</v>
      </c>
      <c r="R10315" s="14">
        <f>_xlfn.XLOOKUP(Table2[[#This Row],[LoanID]],Table1[G-L ID],Table1[ManagerCode],-99)</f>
        <v>220</v>
      </c>
      <c r="T10315"/>
    </row>
    <row r="10316" spans="1:20" x14ac:dyDescent="0.25">
      <c r="A10316">
        <v>20200131</v>
      </c>
      <c r="B10316">
        <v>2020</v>
      </c>
      <c r="C10316">
        <v>1</v>
      </c>
      <c r="D10316">
        <v>1</v>
      </c>
      <c r="E10316">
        <v>14910</v>
      </c>
      <c r="F10316">
        <v>84078.5</v>
      </c>
      <c r="G10316">
        <v>0</v>
      </c>
      <c r="H10316">
        <v>0</v>
      </c>
      <c r="I10316">
        <v>0</v>
      </c>
      <c r="J10316">
        <v>0</v>
      </c>
      <c r="K10316">
        <v>0</v>
      </c>
      <c r="L10316">
        <v>39447378.079999998</v>
      </c>
      <c r="M10316">
        <v>39447378.079999998</v>
      </c>
      <c r="N10316">
        <v>12847378.08</v>
      </c>
      <c r="O10316">
        <v>12847378.08</v>
      </c>
      <c r="P10316">
        <v>39447378.079999998</v>
      </c>
      <c r="Q10316">
        <v>39447378.079999998</v>
      </c>
      <c r="R10316" s="14">
        <f>_xlfn.XLOOKUP(Table2[[#This Row],[LoanID]],Table1[G-L ID],Table1[ManagerCode],-99)</f>
        <v>220</v>
      </c>
      <c r="T10316"/>
    </row>
    <row r="10317" spans="1:20" x14ac:dyDescent="0.25">
      <c r="A10317">
        <v>20200131</v>
      </c>
      <c r="B10317">
        <v>2020</v>
      </c>
      <c r="C10317">
        <v>1</v>
      </c>
      <c r="D10317">
        <v>1</v>
      </c>
      <c r="E10317">
        <v>14920</v>
      </c>
      <c r="F10317">
        <v>146171.51</v>
      </c>
      <c r="G10317">
        <v>0</v>
      </c>
      <c r="H10317">
        <v>0</v>
      </c>
      <c r="I10317">
        <v>0</v>
      </c>
      <c r="J10317">
        <v>-197425.84</v>
      </c>
      <c r="K10317">
        <v>0</v>
      </c>
      <c r="L10317">
        <v>70810684.870000005</v>
      </c>
      <c r="M10317">
        <v>71008110.709999993</v>
      </c>
      <c r="N10317">
        <v>21810684.870000001</v>
      </c>
      <c r="O10317">
        <v>22008110.710000001</v>
      </c>
      <c r="P10317">
        <v>70810684.870000005</v>
      </c>
      <c r="Q10317">
        <v>71008110.709999993</v>
      </c>
      <c r="R10317" s="14">
        <f>_xlfn.XLOOKUP(Table2[[#This Row],[LoanID]],Table1[G-L ID],Table1[ManagerCode],-99)</f>
        <v>220</v>
      </c>
      <c r="T10317"/>
    </row>
    <row r="10318" spans="1:20" x14ac:dyDescent="0.25">
      <c r="A10318">
        <v>20200131</v>
      </c>
      <c r="B10318">
        <v>2020</v>
      </c>
      <c r="C10318">
        <v>1</v>
      </c>
      <c r="D10318">
        <v>1</v>
      </c>
      <c r="E10318">
        <v>14930</v>
      </c>
      <c r="F10318">
        <v>85676.25</v>
      </c>
      <c r="G10318">
        <v>0</v>
      </c>
      <c r="H10318">
        <v>0</v>
      </c>
      <c r="I10318">
        <v>0</v>
      </c>
      <c r="J10318">
        <v>0</v>
      </c>
      <c r="K10318">
        <v>0</v>
      </c>
      <c r="L10318">
        <v>55000000</v>
      </c>
      <c r="M10318">
        <v>54540000</v>
      </c>
      <c r="N10318">
        <v>19250000</v>
      </c>
      <c r="O10318">
        <v>18790000</v>
      </c>
      <c r="P10318">
        <v>55000000</v>
      </c>
      <c r="Q10318">
        <v>55000000</v>
      </c>
      <c r="R10318" s="14">
        <f>_xlfn.XLOOKUP(Table2[[#This Row],[LoanID]],Table1[G-L ID],Table1[ManagerCode],-99)</f>
        <v>220</v>
      </c>
      <c r="T10318"/>
    </row>
    <row r="10319" spans="1:20" x14ac:dyDescent="0.25">
      <c r="A10319">
        <v>20200131</v>
      </c>
      <c r="B10319">
        <v>2020</v>
      </c>
      <c r="C10319">
        <v>1</v>
      </c>
      <c r="D10319">
        <v>1</v>
      </c>
      <c r="E10319">
        <v>14940</v>
      </c>
      <c r="F10319">
        <v>152747.23000000001</v>
      </c>
      <c r="G10319">
        <v>0</v>
      </c>
      <c r="H10319">
        <v>0</v>
      </c>
      <c r="I10319">
        <v>0</v>
      </c>
      <c r="J10319">
        <v>-805816.79</v>
      </c>
      <c r="K10319">
        <v>0</v>
      </c>
      <c r="L10319">
        <v>75090000</v>
      </c>
      <c r="M10319">
        <v>75895816.790000007</v>
      </c>
      <c r="N10319">
        <v>36634058.229999997</v>
      </c>
      <c r="O10319">
        <v>37439875.020000003</v>
      </c>
      <c r="P10319">
        <v>74946882.430000007</v>
      </c>
      <c r="Q10319">
        <v>75752699.219999999</v>
      </c>
      <c r="R10319" s="14">
        <f>_xlfn.XLOOKUP(Table2[[#This Row],[LoanID]],Table1[G-L ID],Table1[ManagerCode],-99)</f>
        <v>220</v>
      </c>
      <c r="T10319"/>
    </row>
    <row r="10320" spans="1:20" x14ac:dyDescent="0.25">
      <c r="A10320">
        <v>20200131</v>
      </c>
      <c r="B10320">
        <v>2020</v>
      </c>
      <c r="C10320">
        <v>1</v>
      </c>
      <c r="D10320">
        <v>1</v>
      </c>
      <c r="E10320">
        <v>14950</v>
      </c>
      <c r="F10320">
        <v>202533.33</v>
      </c>
      <c r="G10320">
        <v>0</v>
      </c>
      <c r="H10320">
        <v>0</v>
      </c>
      <c r="I10320">
        <v>0</v>
      </c>
      <c r="J10320">
        <v>0</v>
      </c>
      <c r="K10320">
        <v>0</v>
      </c>
      <c r="L10320">
        <v>35000000</v>
      </c>
      <c r="M10320">
        <v>35000000</v>
      </c>
      <c r="N10320">
        <v>35000000</v>
      </c>
      <c r="O10320">
        <v>35000000</v>
      </c>
      <c r="P10320">
        <v>35000000</v>
      </c>
      <c r="Q10320">
        <v>35000000</v>
      </c>
      <c r="R10320" s="14">
        <f>_xlfn.XLOOKUP(Table2[[#This Row],[LoanID]],Table1[G-L ID],Table1[ManagerCode],-99)</f>
        <v>220</v>
      </c>
      <c r="T10320"/>
    </row>
    <row r="10321" spans="1:20" x14ac:dyDescent="0.25">
      <c r="A10321">
        <v>20200131</v>
      </c>
      <c r="B10321">
        <v>2020</v>
      </c>
      <c r="C10321">
        <v>1</v>
      </c>
      <c r="D10321">
        <v>1</v>
      </c>
      <c r="E10321">
        <v>14960</v>
      </c>
      <c r="F10321">
        <v>31243.8</v>
      </c>
      <c r="G10321">
        <v>0</v>
      </c>
      <c r="H10321">
        <v>0</v>
      </c>
      <c r="I10321">
        <v>0</v>
      </c>
      <c r="J10321">
        <v>0</v>
      </c>
      <c r="K10321">
        <v>-4627474.63</v>
      </c>
      <c r="L10321">
        <v>14840000</v>
      </c>
      <c r="M10321">
        <v>14840000</v>
      </c>
      <c r="N10321">
        <v>7898788.0499999998</v>
      </c>
      <c r="O10321">
        <v>12526262.68</v>
      </c>
      <c r="P10321">
        <v>14805000</v>
      </c>
      <c r="Q10321">
        <v>14805000</v>
      </c>
      <c r="R10321" s="14">
        <f>_xlfn.XLOOKUP(Table2[[#This Row],[LoanID]],Table1[G-L ID],Table1[ManagerCode],-99)</f>
        <v>220</v>
      </c>
      <c r="T10321"/>
    </row>
    <row r="10322" spans="1:20" x14ac:dyDescent="0.25">
      <c r="A10322">
        <v>20200131</v>
      </c>
      <c r="B10322">
        <v>2020</v>
      </c>
      <c r="C10322">
        <v>1</v>
      </c>
      <c r="D10322">
        <v>1</v>
      </c>
      <c r="E10322">
        <v>14970</v>
      </c>
      <c r="F10322">
        <v>69781.39</v>
      </c>
      <c r="G10322">
        <v>0</v>
      </c>
      <c r="H10322">
        <v>0</v>
      </c>
      <c r="I10322">
        <v>0</v>
      </c>
      <c r="J10322">
        <v>0</v>
      </c>
      <c r="K10322">
        <v>0</v>
      </c>
      <c r="L10322">
        <v>29700000</v>
      </c>
      <c r="M10322">
        <v>29700000</v>
      </c>
      <c r="N10322">
        <v>10395000</v>
      </c>
      <c r="O10322">
        <v>10395000</v>
      </c>
      <c r="P10322">
        <v>29700000</v>
      </c>
      <c r="Q10322">
        <v>29700000</v>
      </c>
      <c r="R10322" s="14">
        <f>_xlfn.XLOOKUP(Table2[[#This Row],[LoanID]],Table1[G-L ID],Table1[ManagerCode],-99)</f>
        <v>220</v>
      </c>
      <c r="T10322"/>
    </row>
    <row r="10323" spans="1:20" x14ac:dyDescent="0.25">
      <c r="A10323">
        <v>20200131</v>
      </c>
      <c r="B10323">
        <v>2020</v>
      </c>
      <c r="C10323">
        <v>1</v>
      </c>
      <c r="D10323">
        <v>1</v>
      </c>
      <c r="E10323">
        <v>14980</v>
      </c>
      <c r="F10323">
        <v>158745.82999999999</v>
      </c>
      <c r="G10323">
        <v>0</v>
      </c>
      <c r="H10323">
        <v>0</v>
      </c>
      <c r="I10323">
        <v>0</v>
      </c>
      <c r="J10323">
        <v>0</v>
      </c>
      <c r="K10323">
        <v>0</v>
      </c>
      <c r="L10323">
        <v>75000000</v>
      </c>
      <c r="M10323">
        <v>75000000</v>
      </c>
      <c r="N10323">
        <v>22500000</v>
      </c>
      <c r="O10323">
        <v>22500000</v>
      </c>
      <c r="P10323">
        <v>75000000</v>
      </c>
      <c r="Q10323">
        <v>75000000</v>
      </c>
      <c r="R10323" s="14">
        <f>_xlfn.XLOOKUP(Table2[[#This Row],[LoanID]],Table1[G-L ID],Table1[ManagerCode],-99)</f>
        <v>220</v>
      </c>
      <c r="T10323"/>
    </row>
    <row r="10324" spans="1:20" x14ac:dyDescent="0.25">
      <c r="A10324">
        <v>20200131</v>
      </c>
      <c r="B10324">
        <v>2020</v>
      </c>
      <c r="C10324">
        <v>1</v>
      </c>
      <c r="D10324">
        <v>1</v>
      </c>
      <c r="E10324">
        <v>14990</v>
      </c>
      <c r="F10324">
        <v>65817.87</v>
      </c>
      <c r="G10324">
        <v>0</v>
      </c>
      <c r="H10324">
        <v>0</v>
      </c>
      <c r="I10324">
        <v>0</v>
      </c>
      <c r="J10324">
        <v>0</v>
      </c>
      <c r="K10324">
        <v>0</v>
      </c>
      <c r="L10324">
        <v>32650000</v>
      </c>
      <c r="M10324">
        <v>32650000</v>
      </c>
      <c r="N10324">
        <v>9795000</v>
      </c>
      <c r="O10324">
        <v>9795000</v>
      </c>
      <c r="P10324">
        <v>32650000</v>
      </c>
      <c r="Q10324">
        <v>32650000</v>
      </c>
      <c r="R10324" s="14">
        <f>_xlfn.XLOOKUP(Table2[[#This Row],[LoanID]],Table1[G-L ID],Table1[ManagerCode],-99)</f>
        <v>220</v>
      </c>
      <c r="T10324"/>
    </row>
    <row r="10325" spans="1:20" x14ac:dyDescent="0.25">
      <c r="A10325">
        <v>20200131</v>
      </c>
      <c r="B10325">
        <v>2020</v>
      </c>
      <c r="C10325">
        <v>1</v>
      </c>
      <c r="D10325">
        <v>1</v>
      </c>
      <c r="E10325">
        <v>15000</v>
      </c>
      <c r="F10325">
        <v>168826.99</v>
      </c>
      <c r="G10325">
        <v>0</v>
      </c>
      <c r="H10325">
        <v>0</v>
      </c>
      <c r="I10325">
        <v>0</v>
      </c>
      <c r="J10325">
        <v>-630113.01</v>
      </c>
      <c r="K10325">
        <v>0</v>
      </c>
      <c r="L10325">
        <v>112232682.3</v>
      </c>
      <c r="M10325">
        <v>112862795.3</v>
      </c>
      <c r="N10325">
        <v>35232682.299999997</v>
      </c>
      <c r="O10325">
        <v>35862795.299999997</v>
      </c>
      <c r="P10325">
        <v>112232682.3</v>
      </c>
      <c r="Q10325">
        <v>112862795.3</v>
      </c>
      <c r="R10325" s="14">
        <f>_xlfn.XLOOKUP(Table2[[#This Row],[LoanID]],Table1[G-L ID],Table1[ManagerCode],-99)</f>
        <v>220</v>
      </c>
      <c r="T10325"/>
    </row>
    <row r="10326" spans="1:20" x14ac:dyDescent="0.25">
      <c r="A10326">
        <v>20200131</v>
      </c>
      <c r="B10326">
        <v>2020</v>
      </c>
      <c r="C10326">
        <v>1</v>
      </c>
      <c r="D10326">
        <v>1</v>
      </c>
      <c r="E10326">
        <v>15010</v>
      </c>
      <c r="F10326">
        <v>70634.12</v>
      </c>
      <c r="G10326">
        <v>0</v>
      </c>
      <c r="H10326">
        <v>0</v>
      </c>
      <c r="I10326">
        <v>0</v>
      </c>
      <c r="J10326">
        <v>0</v>
      </c>
      <c r="K10326">
        <v>0</v>
      </c>
      <c r="L10326">
        <v>30960000</v>
      </c>
      <c r="M10326">
        <v>30960000</v>
      </c>
      <c r="N10326">
        <v>10836000</v>
      </c>
      <c r="O10326">
        <v>10836000</v>
      </c>
      <c r="P10326">
        <v>30960000</v>
      </c>
      <c r="Q10326">
        <v>30960000</v>
      </c>
      <c r="R10326" s="14">
        <f>_xlfn.XLOOKUP(Table2[[#This Row],[LoanID]],Table1[G-L ID],Table1[ManagerCode],-99)</f>
        <v>220</v>
      </c>
      <c r="T10326"/>
    </row>
    <row r="10327" spans="1:20" x14ac:dyDescent="0.25">
      <c r="A10327">
        <v>20200131</v>
      </c>
      <c r="B10327">
        <v>2020</v>
      </c>
      <c r="C10327">
        <v>1</v>
      </c>
      <c r="D10327">
        <v>1</v>
      </c>
      <c r="E10327">
        <v>15020</v>
      </c>
      <c r="F10327">
        <v>113831.22</v>
      </c>
      <c r="G10327">
        <v>0</v>
      </c>
      <c r="H10327">
        <v>0</v>
      </c>
      <c r="I10327">
        <v>0</v>
      </c>
      <c r="J10327">
        <v>0</v>
      </c>
      <c r="K10327">
        <v>-20823070.030000001</v>
      </c>
      <c r="L10327">
        <v>69000000</v>
      </c>
      <c r="M10327">
        <v>69000000</v>
      </c>
      <c r="N10327">
        <v>37765394.960000001</v>
      </c>
      <c r="O10327">
        <v>58588464.990000002</v>
      </c>
      <c r="P10327">
        <v>69000000</v>
      </c>
      <c r="Q10327">
        <v>69000000</v>
      </c>
      <c r="R10327" s="14">
        <f>_xlfn.XLOOKUP(Table2[[#This Row],[LoanID]],Table1[G-L ID],Table1[ManagerCode],-99)</f>
        <v>220</v>
      </c>
      <c r="T10327"/>
    </row>
    <row r="10328" spans="1:20" x14ac:dyDescent="0.25">
      <c r="A10328">
        <v>20200131</v>
      </c>
      <c r="B10328">
        <v>2020</v>
      </c>
      <c r="C10328">
        <v>1</v>
      </c>
      <c r="D10328">
        <v>1</v>
      </c>
      <c r="E10328">
        <v>15030</v>
      </c>
      <c r="F10328">
        <v>87014.94</v>
      </c>
      <c r="G10328">
        <v>0</v>
      </c>
      <c r="H10328">
        <v>0</v>
      </c>
      <c r="I10328">
        <v>0</v>
      </c>
      <c r="J10328">
        <v>-1233104.06</v>
      </c>
      <c r="K10328">
        <v>0</v>
      </c>
      <c r="L10328">
        <v>40320000</v>
      </c>
      <c r="M10328">
        <v>41551704.759999998</v>
      </c>
      <c r="N10328">
        <v>15565282.59</v>
      </c>
      <c r="O10328">
        <v>16796987.350000001</v>
      </c>
      <c r="P10328">
        <v>40292710.170000002</v>
      </c>
      <c r="Q10328">
        <v>41525814.229999997</v>
      </c>
      <c r="R10328" s="14">
        <f>_xlfn.XLOOKUP(Table2[[#This Row],[LoanID]],Table1[G-L ID],Table1[ManagerCode],-99)</f>
        <v>220</v>
      </c>
      <c r="T10328"/>
    </row>
    <row r="10329" spans="1:20" x14ac:dyDescent="0.25">
      <c r="A10329">
        <v>20200131</v>
      </c>
      <c r="B10329">
        <v>2020</v>
      </c>
      <c r="C10329">
        <v>1</v>
      </c>
      <c r="D10329">
        <v>1</v>
      </c>
      <c r="E10329">
        <v>15040</v>
      </c>
      <c r="F10329">
        <v>111268.17</v>
      </c>
      <c r="G10329">
        <v>0</v>
      </c>
      <c r="H10329">
        <v>0</v>
      </c>
      <c r="I10329">
        <v>0</v>
      </c>
      <c r="J10329">
        <v>0</v>
      </c>
      <c r="K10329">
        <v>0</v>
      </c>
      <c r="L10329">
        <v>51908397.469999999</v>
      </c>
      <c r="M10329">
        <v>51816695.469999999</v>
      </c>
      <c r="N10329">
        <v>18823397.469999999</v>
      </c>
      <c r="O10329">
        <v>18731695.469999999</v>
      </c>
      <c r="P10329">
        <v>51908397.469999999</v>
      </c>
      <c r="Q10329">
        <v>51908397.469999999</v>
      </c>
      <c r="R10329" s="14">
        <f>_xlfn.XLOOKUP(Table2[[#This Row],[LoanID]],Table1[G-L ID],Table1[ManagerCode],-99)</f>
        <v>183</v>
      </c>
      <c r="T10329"/>
    </row>
    <row r="10330" spans="1:20" x14ac:dyDescent="0.25">
      <c r="A10330">
        <v>20200131</v>
      </c>
      <c r="B10330">
        <v>2020</v>
      </c>
      <c r="C10330">
        <v>1</v>
      </c>
      <c r="D10330">
        <v>1</v>
      </c>
      <c r="E10330">
        <v>15050</v>
      </c>
      <c r="F10330">
        <v>105186.54</v>
      </c>
      <c r="G10330">
        <v>0</v>
      </c>
      <c r="H10330">
        <v>0</v>
      </c>
      <c r="I10330">
        <v>0</v>
      </c>
      <c r="J10330">
        <v>0</v>
      </c>
      <c r="K10330">
        <v>0</v>
      </c>
      <c r="L10330">
        <v>47510000</v>
      </c>
      <c r="M10330">
        <v>47510000</v>
      </c>
      <c r="N10330">
        <v>16628500</v>
      </c>
      <c r="O10330">
        <v>16628500</v>
      </c>
      <c r="P10330">
        <v>47510000</v>
      </c>
      <c r="Q10330">
        <v>47510000</v>
      </c>
      <c r="R10330" s="14">
        <f>_xlfn.XLOOKUP(Table2[[#This Row],[LoanID]],Table1[G-L ID],Table1[ManagerCode],-99)</f>
        <v>183</v>
      </c>
      <c r="T10330"/>
    </row>
    <row r="10331" spans="1:20" x14ac:dyDescent="0.25">
      <c r="A10331">
        <v>20200131</v>
      </c>
      <c r="B10331">
        <v>2020</v>
      </c>
      <c r="C10331">
        <v>1</v>
      </c>
      <c r="D10331">
        <v>1</v>
      </c>
      <c r="E10331">
        <v>15060</v>
      </c>
      <c r="F10331">
        <v>55807.23</v>
      </c>
      <c r="G10331">
        <v>0</v>
      </c>
      <c r="H10331">
        <v>0</v>
      </c>
      <c r="I10331">
        <v>0</v>
      </c>
      <c r="J10331">
        <v>0</v>
      </c>
      <c r="K10331">
        <v>0</v>
      </c>
      <c r="L10331">
        <v>27750000</v>
      </c>
      <c r="M10331">
        <v>27750000</v>
      </c>
      <c r="N10331">
        <v>9712500</v>
      </c>
      <c r="O10331">
        <v>9712500</v>
      </c>
      <c r="P10331">
        <v>27750000</v>
      </c>
      <c r="Q10331">
        <v>27750000</v>
      </c>
      <c r="R10331" s="14">
        <f>_xlfn.XLOOKUP(Table2[[#This Row],[LoanID]],Table1[G-L ID],Table1[ManagerCode],-99)</f>
        <v>183</v>
      </c>
      <c r="T10331"/>
    </row>
    <row r="10332" spans="1:20" x14ac:dyDescent="0.25">
      <c r="A10332">
        <v>20200131</v>
      </c>
      <c r="B10332">
        <v>2020</v>
      </c>
      <c r="C10332">
        <v>1</v>
      </c>
      <c r="D10332">
        <v>1</v>
      </c>
      <c r="E10332">
        <v>15070</v>
      </c>
      <c r="F10332">
        <v>141848.06</v>
      </c>
      <c r="G10332">
        <v>0</v>
      </c>
      <c r="H10332">
        <v>0</v>
      </c>
      <c r="I10332">
        <v>0</v>
      </c>
      <c r="J10332">
        <v>-38822.69</v>
      </c>
      <c r="K10332">
        <v>0</v>
      </c>
      <c r="L10332">
        <v>77999623.150000006</v>
      </c>
      <c r="M10332">
        <v>78038445.840000004</v>
      </c>
      <c r="N10332">
        <v>23748923.149999999</v>
      </c>
      <c r="O10332">
        <v>23787745.84</v>
      </c>
      <c r="P10332">
        <v>77999623.150000006</v>
      </c>
      <c r="Q10332">
        <v>78038445.840000004</v>
      </c>
      <c r="R10332" s="14">
        <f>_xlfn.XLOOKUP(Table2[[#This Row],[LoanID]],Table1[G-L ID],Table1[ManagerCode],-99)</f>
        <v>183</v>
      </c>
      <c r="T10332"/>
    </row>
    <row r="10333" spans="1:20" x14ac:dyDescent="0.25">
      <c r="A10333">
        <v>20200131</v>
      </c>
      <c r="B10333">
        <v>2020</v>
      </c>
      <c r="C10333">
        <v>1</v>
      </c>
      <c r="D10333">
        <v>1</v>
      </c>
      <c r="E10333">
        <v>15350</v>
      </c>
      <c r="F10333">
        <v>228194.44</v>
      </c>
      <c r="G10333">
        <v>0.44</v>
      </c>
      <c r="H10333">
        <v>0</v>
      </c>
      <c r="I10333">
        <v>0</v>
      </c>
      <c r="J10333">
        <v>0</v>
      </c>
      <c r="K10333">
        <v>0</v>
      </c>
      <c r="L10333">
        <v>40228194</v>
      </c>
      <c r="M10333">
        <v>40228194.439999998</v>
      </c>
      <c r="N10333">
        <v>40228194</v>
      </c>
      <c r="O10333">
        <v>40228194.439999998</v>
      </c>
      <c r="P10333">
        <v>40228194</v>
      </c>
      <c r="Q10333">
        <v>40228194.439999998</v>
      </c>
      <c r="R10333" s="14">
        <f>_xlfn.XLOOKUP(Table2[[#This Row],[LoanID]],Table1[G-L ID],Table1[ManagerCode],-99)</f>
        <v>219</v>
      </c>
      <c r="T10333"/>
    </row>
    <row r="10334" spans="1:20" x14ac:dyDescent="0.25">
      <c r="A10334">
        <v>20200131</v>
      </c>
      <c r="B10334">
        <v>2020</v>
      </c>
      <c r="C10334">
        <v>1</v>
      </c>
      <c r="D10334">
        <v>1</v>
      </c>
      <c r="E10334">
        <v>15360</v>
      </c>
      <c r="F10334">
        <v>2388.98</v>
      </c>
      <c r="G10334">
        <v>4461.32</v>
      </c>
      <c r="H10334">
        <v>0</v>
      </c>
      <c r="I10334">
        <v>0</v>
      </c>
      <c r="J10334">
        <v>-1634532.2</v>
      </c>
      <c r="K10334">
        <v>0</v>
      </c>
      <c r="L10334">
        <v>481549.87</v>
      </c>
      <c r="M10334">
        <v>2120543.39</v>
      </c>
      <c r="N10334">
        <v>481549.87</v>
      </c>
      <c r="O10334">
        <v>2120543.39</v>
      </c>
      <c r="P10334">
        <v>481549.87</v>
      </c>
      <c r="Q10334">
        <v>2120543.39</v>
      </c>
      <c r="R10334" s="14">
        <f>_xlfn.XLOOKUP(Table2[[#This Row],[LoanID]],Table1[G-L ID],Table1[ManagerCode],-99)</f>
        <v>219</v>
      </c>
      <c r="T10334"/>
    </row>
    <row r="10335" spans="1:20" x14ac:dyDescent="0.25">
      <c r="A10335">
        <v>20200131</v>
      </c>
      <c r="B10335">
        <v>2020</v>
      </c>
      <c r="C10335">
        <v>1</v>
      </c>
      <c r="D10335">
        <v>1</v>
      </c>
      <c r="E10335">
        <v>15370</v>
      </c>
      <c r="F10335">
        <v>0</v>
      </c>
      <c r="G10335">
        <v>0</v>
      </c>
      <c r="H10335">
        <v>0</v>
      </c>
      <c r="I10335">
        <v>0</v>
      </c>
      <c r="J10335">
        <v>0</v>
      </c>
      <c r="K10335">
        <v>0</v>
      </c>
      <c r="L10335">
        <v>103322000</v>
      </c>
      <c r="M10335">
        <v>103322000</v>
      </c>
      <c r="N10335">
        <v>103322000</v>
      </c>
      <c r="O10335">
        <v>103322000</v>
      </c>
      <c r="P10335">
        <v>103322000</v>
      </c>
      <c r="Q10335">
        <v>103322000</v>
      </c>
      <c r="R10335" s="14">
        <f>_xlfn.XLOOKUP(Table2[[#This Row],[LoanID]],Table1[G-L ID],Table1[ManagerCode],-99)</f>
        <v>220</v>
      </c>
      <c r="T10335"/>
    </row>
    <row r="10336" spans="1:20" x14ac:dyDescent="0.25">
      <c r="A10336">
        <v>20200131</v>
      </c>
      <c r="B10336">
        <v>2020</v>
      </c>
      <c r="C10336">
        <v>1</v>
      </c>
      <c r="D10336">
        <v>1</v>
      </c>
      <c r="E10336">
        <v>15380</v>
      </c>
      <c r="F10336">
        <v>91501.56</v>
      </c>
      <c r="G10336">
        <v>0</v>
      </c>
      <c r="H10336">
        <v>0</v>
      </c>
      <c r="I10336">
        <v>0</v>
      </c>
      <c r="J10336">
        <v>0</v>
      </c>
      <c r="K10336">
        <v>0</v>
      </c>
      <c r="L10336">
        <v>34930000</v>
      </c>
      <c r="M10336">
        <v>34930000</v>
      </c>
      <c r="N10336">
        <v>12225500</v>
      </c>
      <c r="O10336">
        <v>12225500</v>
      </c>
      <c r="P10336">
        <v>34930000</v>
      </c>
      <c r="Q10336">
        <v>34930000</v>
      </c>
      <c r="R10336" s="14">
        <f>_xlfn.XLOOKUP(Table2[[#This Row],[LoanID]],Table1[G-L ID],Table1[ManagerCode],-99)</f>
        <v>220</v>
      </c>
      <c r="T10336"/>
    </row>
    <row r="10337" spans="1:20" x14ac:dyDescent="0.25">
      <c r="A10337">
        <v>20200131</v>
      </c>
      <c r="B10337">
        <v>2020</v>
      </c>
      <c r="C10337">
        <v>1</v>
      </c>
      <c r="D10337">
        <v>1</v>
      </c>
      <c r="E10337">
        <v>15390</v>
      </c>
      <c r="F10337">
        <v>76567.520000000004</v>
      </c>
      <c r="G10337">
        <v>0</v>
      </c>
      <c r="H10337">
        <v>0</v>
      </c>
      <c r="I10337">
        <v>0</v>
      </c>
      <c r="J10337">
        <v>0</v>
      </c>
      <c r="K10337">
        <v>0</v>
      </c>
      <c r="L10337">
        <v>35300000</v>
      </c>
      <c r="M10337">
        <v>35300000</v>
      </c>
      <c r="N10337">
        <v>10590000</v>
      </c>
      <c r="O10337">
        <v>10590000</v>
      </c>
      <c r="P10337">
        <v>35300000</v>
      </c>
      <c r="Q10337">
        <v>35300000</v>
      </c>
      <c r="R10337" s="14">
        <f>_xlfn.XLOOKUP(Table2[[#This Row],[LoanID]],Table1[G-L ID],Table1[ManagerCode],-99)</f>
        <v>220</v>
      </c>
      <c r="T10337"/>
    </row>
    <row r="10338" spans="1:20" x14ac:dyDescent="0.25">
      <c r="A10338">
        <v>20200131</v>
      </c>
      <c r="B10338">
        <v>2020</v>
      </c>
      <c r="C10338">
        <v>1</v>
      </c>
      <c r="D10338">
        <v>1</v>
      </c>
      <c r="E10338">
        <v>15400</v>
      </c>
      <c r="F10338">
        <v>77947.27</v>
      </c>
      <c r="G10338">
        <v>0</v>
      </c>
      <c r="H10338">
        <v>0</v>
      </c>
      <c r="I10338">
        <v>0</v>
      </c>
      <c r="J10338">
        <v>-467683.62</v>
      </c>
      <c r="K10338">
        <v>0</v>
      </c>
      <c r="L10338">
        <v>22428000</v>
      </c>
      <c r="M10338">
        <v>22895683.620000001</v>
      </c>
      <c r="N10338">
        <v>22428000</v>
      </c>
      <c r="O10338">
        <v>22895683.620000001</v>
      </c>
      <c r="P10338">
        <v>22428000</v>
      </c>
      <c r="Q10338">
        <v>22895683.620000001</v>
      </c>
      <c r="R10338" s="14">
        <f>_xlfn.XLOOKUP(Table2[[#This Row],[LoanID]],Table1[G-L ID],Table1[ManagerCode],-99)</f>
        <v>220</v>
      </c>
      <c r="T10338"/>
    </row>
    <row r="10339" spans="1:20" x14ac:dyDescent="0.25">
      <c r="A10339">
        <v>20200131</v>
      </c>
      <c r="B10339">
        <v>2020</v>
      </c>
      <c r="C10339">
        <v>1</v>
      </c>
      <c r="D10339">
        <v>1</v>
      </c>
      <c r="E10339">
        <v>15410</v>
      </c>
      <c r="F10339">
        <v>59804.44</v>
      </c>
      <c r="G10339">
        <v>0</v>
      </c>
      <c r="H10339">
        <v>0</v>
      </c>
      <c r="I10339">
        <v>0</v>
      </c>
      <c r="J10339">
        <v>0</v>
      </c>
      <c r="K10339">
        <v>44800000</v>
      </c>
      <c r="L10339">
        <v>64000000</v>
      </c>
      <c r="M10339">
        <v>64000000</v>
      </c>
      <c r="N10339">
        <v>64000000</v>
      </c>
      <c r="O10339">
        <v>19200000</v>
      </c>
      <c r="P10339">
        <v>64000000</v>
      </c>
      <c r="Q10339">
        <v>64000000</v>
      </c>
      <c r="R10339" s="14">
        <f>_xlfn.XLOOKUP(Table2[[#This Row],[LoanID]],Table1[G-L ID],Table1[ManagerCode],-99)</f>
        <v>220</v>
      </c>
      <c r="T10339"/>
    </row>
    <row r="10340" spans="1:20" x14ac:dyDescent="0.25">
      <c r="A10340">
        <v>20200131</v>
      </c>
      <c r="B10340">
        <v>2020</v>
      </c>
      <c r="C10340">
        <v>1</v>
      </c>
      <c r="D10340">
        <v>1</v>
      </c>
      <c r="E10340">
        <v>15420</v>
      </c>
      <c r="F10340">
        <v>76144.789999999994</v>
      </c>
      <c r="G10340">
        <v>0</v>
      </c>
      <c r="H10340">
        <v>0</v>
      </c>
      <c r="I10340">
        <v>0</v>
      </c>
      <c r="J10340">
        <v>0</v>
      </c>
      <c r="K10340">
        <v>0</v>
      </c>
      <c r="L10340">
        <v>44630000</v>
      </c>
      <c r="M10340">
        <v>44630000</v>
      </c>
      <c r="N10340">
        <v>15620500</v>
      </c>
      <c r="O10340">
        <v>15620500</v>
      </c>
      <c r="P10340">
        <v>44630000</v>
      </c>
      <c r="Q10340">
        <v>44630000</v>
      </c>
      <c r="R10340" s="14">
        <f>_xlfn.XLOOKUP(Table2[[#This Row],[LoanID]],Table1[G-L ID],Table1[ManagerCode],-99)</f>
        <v>183</v>
      </c>
      <c r="T10340"/>
    </row>
    <row r="10341" spans="1:20" x14ac:dyDescent="0.25">
      <c r="A10341">
        <v>20200131</v>
      </c>
      <c r="B10341">
        <v>2020</v>
      </c>
      <c r="C10341">
        <v>1</v>
      </c>
      <c r="D10341">
        <v>1</v>
      </c>
      <c r="E10341">
        <v>15430</v>
      </c>
      <c r="F10341">
        <v>82110.559999999998</v>
      </c>
      <c r="G10341">
        <v>0</v>
      </c>
      <c r="H10341">
        <v>0</v>
      </c>
      <c r="I10341">
        <v>0</v>
      </c>
      <c r="J10341">
        <v>0</v>
      </c>
      <c r="K10341">
        <v>0</v>
      </c>
      <c r="L10341">
        <v>51064800</v>
      </c>
      <c r="M10341">
        <v>51064800</v>
      </c>
      <c r="N10341">
        <v>17872680</v>
      </c>
      <c r="O10341">
        <v>17872680</v>
      </c>
      <c r="P10341">
        <v>51064800</v>
      </c>
      <c r="Q10341">
        <v>51064800</v>
      </c>
      <c r="R10341" s="14">
        <f>_xlfn.XLOOKUP(Table2[[#This Row],[LoanID]],Table1[G-L ID],Table1[ManagerCode],-99)</f>
        <v>183</v>
      </c>
      <c r="T10341"/>
    </row>
    <row r="10342" spans="1:20" x14ac:dyDescent="0.25">
      <c r="A10342">
        <v>20200131</v>
      </c>
      <c r="B10342">
        <v>2020</v>
      </c>
      <c r="C10342">
        <v>1</v>
      </c>
      <c r="D10342">
        <v>1</v>
      </c>
      <c r="E10342">
        <v>15440</v>
      </c>
      <c r="F10342">
        <v>36357.910000000003</v>
      </c>
      <c r="G10342">
        <v>0</v>
      </c>
      <c r="H10342">
        <v>0</v>
      </c>
      <c r="I10342">
        <v>0</v>
      </c>
      <c r="J10342">
        <v>0</v>
      </c>
      <c r="K10342">
        <v>0</v>
      </c>
      <c r="L10342">
        <v>21500000</v>
      </c>
      <c r="M10342">
        <v>21443599</v>
      </c>
      <c r="N10342">
        <v>7525000</v>
      </c>
      <c r="O10342">
        <v>7468599</v>
      </c>
      <c r="P10342">
        <v>21500000</v>
      </c>
      <c r="Q10342">
        <v>21500000</v>
      </c>
      <c r="R10342" s="14">
        <f>_xlfn.XLOOKUP(Table2[[#This Row],[LoanID]],Table1[G-L ID],Table1[ManagerCode],-99)</f>
        <v>183</v>
      </c>
      <c r="T10342"/>
    </row>
    <row r="10343" spans="1:20" x14ac:dyDescent="0.25">
      <c r="A10343">
        <v>20200131</v>
      </c>
      <c r="B10343">
        <v>2020</v>
      </c>
      <c r="C10343">
        <v>1</v>
      </c>
      <c r="D10343">
        <v>1</v>
      </c>
      <c r="E10343">
        <v>15450</v>
      </c>
      <c r="F10343">
        <v>48691.11</v>
      </c>
      <c r="G10343">
        <v>0</v>
      </c>
      <c r="H10343">
        <v>0</v>
      </c>
      <c r="I10343">
        <v>0</v>
      </c>
      <c r="J10343">
        <v>0</v>
      </c>
      <c r="K10343">
        <v>0</v>
      </c>
      <c r="L10343">
        <v>30000000</v>
      </c>
      <c r="M10343">
        <v>30000000</v>
      </c>
      <c r="N10343">
        <v>10500000</v>
      </c>
      <c r="O10343">
        <v>10500000</v>
      </c>
      <c r="P10343">
        <v>30000000</v>
      </c>
      <c r="Q10343">
        <v>30000000</v>
      </c>
      <c r="R10343" s="14">
        <f>_xlfn.XLOOKUP(Table2[[#This Row],[LoanID]],Table1[G-L ID],Table1[ManagerCode],-99)</f>
        <v>183</v>
      </c>
      <c r="T10343"/>
    </row>
    <row r="10344" spans="1:20" x14ac:dyDescent="0.25">
      <c r="A10344">
        <v>20200131</v>
      </c>
      <c r="B10344">
        <v>2020</v>
      </c>
      <c r="C10344">
        <v>1</v>
      </c>
      <c r="D10344">
        <v>1</v>
      </c>
      <c r="E10344">
        <v>15460</v>
      </c>
      <c r="F10344">
        <v>145561.94</v>
      </c>
      <c r="G10344">
        <v>0</v>
      </c>
      <c r="H10344">
        <v>0</v>
      </c>
      <c r="I10344">
        <v>0</v>
      </c>
      <c r="J10344">
        <v>-1037127.89</v>
      </c>
      <c r="K10344">
        <v>0</v>
      </c>
      <c r="L10344">
        <v>67000000</v>
      </c>
      <c r="M10344">
        <v>67812915.890000001</v>
      </c>
      <c r="N10344">
        <v>29241500</v>
      </c>
      <c r="O10344">
        <v>30054415.890000001</v>
      </c>
      <c r="P10344">
        <v>67000000</v>
      </c>
      <c r="Q10344">
        <v>68037127.890000001</v>
      </c>
      <c r="R10344" s="14">
        <f>_xlfn.XLOOKUP(Table2[[#This Row],[LoanID]],Table1[G-L ID],Table1[ManagerCode],-99)</f>
        <v>183</v>
      </c>
      <c r="T10344"/>
    </row>
    <row r="10345" spans="1:20" x14ac:dyDescent="0.25">
      <c r="A10345">
        <v>20200131</v>
      </c>
      <c r="B10345">
        <v>2020</v>
      </c>
      <c r="C10345">
        <v>1</v>
      </c>
      <c r="D10345">
        <v>1</v>
      </c>
      <c r="E10345">
        <v>15470</v>
      </c>
      <c r="F10345">
        <v>293349.98</v>
      </c>
      <c r="G10345">
        <v>0</v>
      </c>
      <c r="H10345">
        <v>0</v>
      </c>
      <c r="I10345">
        <v>0</v>
      </c>
      <c r="J10345">
        <v>0</v>
      </c>
      <c r="K10345">
        <v>0</v>
      </c>
      <c r="L10345">
        <v>85500000</v>
      </c>
      <c r="M10345">
        <v>85500000</v>
      </c>
      <c r="N10345">
        <v>85500000</v>
      </c>
      <c r="O10345">
        <v>85500000</v>
      </c>
      <c r="P10345">
        <v>85500000</v>
      </c>
      <c r="Q10345">
        <v>85500000</v>
      </c>
      <c r="R10345" s="14">
        <f>_xlfn.XLOOKUP(Table2[[#This Row],[LoanID]],Table1[G-L ID],Table1[ManagerCode],-99)</f>
        <v>183</v>
      </c>
      <c r="T10345"/>
    </row>
    <row r="10346" spans="1:20" x14ac:dyDescent="0.25">
      <c r="A10346">
        <v>20200131</v>
      </c>
      <c r="B10346">
        <v>2020</v>
      </c>
      <c r="C10346">
        <v>1</v>
      </c>
      <c r="D10346">
        <v>1</v>
      </c>
      <c r="E10346">
        <v>15480</v>
      </c>
      <c r="F10346">
        <v>105284.38</v>
      </c>
      <c r="G10346">
        <v>0</v>
      </c>
      <c r="H10346">
        <v>0</v>
      </c>
      <c r="I10346">
        <v>0</v>
      </c>
      <c r="J10346">
        <v>0</v>
      </c>
      <c r="K10346">
        <v>0</v>
      </c>
      <c r="L10346">
        <v>68160000</v>
      </c>
      <c r="M10346">
        <v>68160000</v>
      </c>
      <c r="N10346">
        <v>20448000</v>
      </c>
      <c r="O10346">
        <v>20448000</v>
      </c>
      <c r="P10346">
        <v>68160000</v>
      </c>
      <c r="Q10346">
        <v>68160000</v>
      </c>
      <c r="R10346" s="14">
        <f>_xlfn.XLOOKUP(Table2[[#This Row],[LoanID]],Table1[G-L ID],Table1[ManagerCode],-99)</f>
        <v>183</v>
      </c>
      <c r="T10346"/>
    </row>
    <row r="10347" spans="1:20" x14ac:dyDescent="0.25">
      <c r="A10347">
        <v>20200131</v>
      </c>
      <c r="B10347">
        <v>2020</v>
      </c>
      <c r="C10347">
        <v>1</v>
      </c>
      <c r="D10347">
        <v>1</v>
      </c>
      <c r="E10347">
        <v>15490</v>
      </c>
      <c r="F10347">
        <v>105593.69</v>
      </c>
      <c r="G10347">
        <v>0</v>
      </c>
      <c r="H10347">
        <v>0</v>
      </c>
      <c r="I10347">
        <v>0</v>
      </c>
      <c r="J10347">
        <v>0</v>
      </c>
      <c r="K10347">
        <v>0</v>
      </c>
      <c r="L10347">
        <v>56000000</v>
      </c>
      <c r="M10347">
        <v>56000000</v>
      </c>
      <c r="N10347">
        <v>21781663</v>
      </c>
      <c r="O10347">
        <v>21781663</v>
      </c>
      <c r="P10347">
        <v>56000000</v>
      </c>
      <c r="Q10347">
        <v>56000000</v>
      </c>
      <c r="R10347" s="14">
        <f>_xlfn.XLOOKUP(Table2[[#This Row],[LoanID]],Table1[G-L ID],Table1[ManagerCode],-99)</f>
        <v>183</v>
      </c>
      <c r="T10347"/>
    </row>
    <row r="10348" spans="1:20" x14ac:dyDescent="0.25">
      <c r="A10348">
        <v>20200131</v>
      </c>
      <c r="B10348">
        <v>2020</v>
      </c>
      <c r="C10348">
        <v>1</v>
      </c>
      <c r="D10348">
        <v>1</v>
      </c>
      <c r="E10348">
        <v>15500</v>
      </c>
      <c r="F10348">
        <v>87605.98</v>
      </c>
      <c r="G10348">
        <v>0</v>
      </c>
      <c r="H10348">
        <v>0</v>
      </c>
      <c r="I10348">
        <v>0</v>
      </c>
      <c r="J10348">
        <v>0</v>
      </c>
      <c r="K10348">
        <v>0</v>
      </c>
      <c r="L10348">
        <v>51250000</v>
      </c>
      <c r="M10348">
        <v>51250000</v>
      </c>
      <c r="N10348">
        <v>18185889.219999999</v>
      </c>
      <c r="O10348">
        <v>18185889.219999999</v>
      </c>
      <c r="P10348">
        <v>51250000</v>
      </c>
      <c r="Q10348">
        <v>51250000</v>
      </c>
      <c r="R10348" s="14">
        <f>_xlfn.XLOOKUP(Table2[[#This Row],[LoanID]],Table1[G-L ID],Table1[ManagerCode],-99)</f>
        <v>183</v>
      </c>
      <c r="T10348"/>
    </row>
    <row r="10349" spans="1:20" x14ac:dyDescent="0.25">
      <c r="A10349">
        <v>20200131</v>
      </c>
      <c r="B10349">
        <v>2020</v>
      </c>
      <c r="C10349">
        <v>1</v>
      </c>
      <c r="D10349">
        <v>1</v>
      </c>
      <c r="E10349">
        <v>15510</v>
      </c>
      <c r="F10349">
        <v>175079.42</v>
      </c>
      <c r="G10349">
        <v>0</v>
      </c>
      <c r="H10349">
        <v>0</v>
      </c>
      <c r="I10349">
        <v>0</v>
      </c>
      <c r="J10349">
        <v>0</v>
      </c>
      <c r="K10349">
        <v>0</v>
      </c>
      <c r="L10349">
        <v>190000000</v>
      </c>
      <c r="M10349">
        <v>189352611</v>
      </c>
      <c r="N10349">
        <v>53200000</v>
      </c>
      <c r="O10349">
        <v>52552611</v>
      </c>
      <c r="P10349">
        <v>190000000</v>
      </c>
      <c r="Q10349">
        <v>190000000</v>
      </c>
      <c r="R10349" s="14">
        <f>_xlfn.XLOOKUP(Table2[[#This Row],[LoanID]],Table1[G-L ID],Table1[ManagerCode],-99)</f>
        <v>183</v>
      </c>
      <c r="T10349"/>
    </row>
    <row r="10350" spans="1:20" x14ac:dyDescent="0.25">
      <c r="A10350">
        <v>20200131</v>
      </c>
      <c r="B10350">
        <v>2020</v>
      </c>
      <c r="C10350">
        <v>1</v>
      </c>
      <c r="D10350">
        <v>1</v>
      </c>
      <c r="E10350">
        <v>15520</v>
      </c>
      <c r="F10350">
        <v>48430.239999999998</v>
      </c>
      <c r="G10350">
        <v>0</v>
      </c>
      <c r="H10350">
        <v>0</v>
      </c>
      <c r="I10350">
        <v>0</v>
      </c>
      <c r="J10350">
        <v>-434553.51</v>
      </c>
      <c r="K10350">
        <v>260732.11</v>
      </c>
      <c r="L10350">
        <v>52091275.270000003</v>
      </c>
      <c r="M10350">
        <v>52525828.780000001</v>
      </c>
      <c r="N10350">
        <v>20666510.100000001</v>
      </c>
      <c r="O10350">
        <v>20840331.5</v>
      </c>
      <c r="P10350">
        <v>52091275.270000003</v>
      </c>
      <c r="Q10350">
        <v>52525828.780000001</v>
      </c>
      <c r="R10350" s="14">
        <f>_xlfn.XLOOKUP(Table2[[#This Row],[LoanID]],Table1[G-L ID],Table1[ManagerCode],-99)</f>
        <v>183</v>
      </c>
      <c r="T10350"/>
    </row>
    <row r="10351" spans="1:20" x14ac:dyDescent="0.25">
      <c r="A10351">
        <v>20200131</v>
      </c>
      <c r="B10351">
        <v>2020</v>
      </c>
      <c r="C10351">
        <v>1</v>
      </c>
      <c r="D10351">
        <v>1</v>
      </c>
      <c r="E10351">
        <v>15530</v>
      </c>
      <c r="F10351">
        <v>0</v>
      </c>
      <c r="G10351">
        <v>27655</v>
      </c>
      <c r="H10351">
        <v>0</v>
      </c>
      <c r="I10351">
        <v>0</v>
      </c>
      <c r="J10351">
        <v>-4966300.9000000004</v>
      </c>
      <c r="K10351">
        <v>0</v>
      </c>
      <c r="L10351">
        <v>3220374.83</v>
      </c>
      <c r="M10351">
        <v>8214330.7300000004</v>
      </c>
      <c r="N10351">
        <v>3220374.83</v>
      </c>
      <c r="O10351">
        <v>8214330.7300000004</v>
      </c>
      <c r="P10351">
        <v>3220374.83</v>
      </c>
      <c r="Q10351">
        <v>8214330.7300000004</v>
      </c>
      <c r="R10351" s="14">
        <f>_xlfn.XLOOKUP(Table2[[#This Row],[LoanID]],Table1[G-L ID],Table1[ManagerCode],-99)</f>
        <v>183</v>
      </c>
      <c r="T10351"/>
    </row>
    <row r="10352" spans="1:20" x14ac:dyDescent="0.25">
      <c r="A10352">
        <v>20200131</v>
      </c>
      <c r="B10352">
        <v>2020</v>
      </c>
      <c r="C10352">
        <v>1</v>
      </c>
      <c r="D10352">
        <v>1</v>
      </c>
      <c r="E10352">
        <v>15540</v>
      </c>
      <c r="F10352">
        <v>283872.8</v>
      </c>
      <c r="G10352">
        <v>6249.05</v>
      </c>
      <c r="H10352">
        <v>0</v>
      </c>
      <c r="I10352">
        <v>-2856.32</v>
      </c>
      <c r="J10352">
        <v>-2120249.4700000002</v>
      </c>
      <c r="K10352">
        <v>0</v>
      </c>
      <c r="L10352">
        <v>66682946.600000001</v>
      </c>
      <c r="M10352">
        <v>68809445.120000005</v>
      </c>
      <c r="N10352">
        <v>66682946.600000001</v>
      </c>
      <c r="O10352">
        <v>68809445.120000005</v>
      </c>
      <c r="P10352">
        <v>66682946.600000001</v>
      </c>
      <c r="Q10352">
        <v>68809445.120000005</v>
      </c>
      <c r="R10352" s="14">
        <f>_xlfn.XLOOKUP(Table2[[#This Row],[LoanID]],Table1[G-L ID],Table1[ManagerCode],-99)</f>
        <v>212</v>
      </c>
      <c r="T10352"/>
    </row>
    <row r="10353" spans="1:20" x14ac:dyDescent="0.25">
      <c r="A10353">
        <v>20200131</v>
      </c>
      <c r="B10353">
        <v>2020</v>
      </c>
      <c r="C10353">
        <v>1</v>
      </c>
      <c r="D10353">
        <v>1</v>
      </c>
      <c r="E10353">
        <v>15560</v>
      </c>
      <c r="F10353">
        <v>261751.87</v>
      </c>
      <c r="G10353">
        <v>-1496.2</v>
      </c>
      <c r="H10353">
        <v>0</v>
      </c>
      <c r="I10353">
        <v>0</v>
      </c>
      <c r="J10353">
        <v>0</v>
      </c>
      <c r="K10353">
        <v>0</v>
      </c>
      <c r="L10353">
        <v>49650041.350000001</v>
      </c>
      <c r="M10353">
        <v>49648545.149999999</v>
      </c>
      <c r="N10353">
        <v>49650041.350000001</v>
      </c>
      <c r="O10353">
        <v>49648545.149999999</v>
      </c>
      <c r="P10353">
        <v>49650041.350000001</v>
      </c>
      <c r="Q10353">
        <v>49648545.149999999</v>
      </c>
      <c r="R10353" s="14">
        <f>_xlfn.XLOOKUP(Table2[[#This Row],[LoanID]],Table1[G-L ID],Table1[ManagerCode],-99)</f>
        <v>212</v>
      </c>
      <c r="T10353"/>
    </row>
    <row r="10354" spans="1:20" x14ac:dyDescent="0.25">
      <c r="A10354">
        <v>20200131</v>
      </c>
      <c r="B10354">
        <v>2020</v>
      </c>
      <c r="C10354">
        <v>1</v>
      </c>
      <c r="D10354">
        <v>1</v>
      </c>
      <c r="E10354">
        <v>15570</v>
      </c>
      <c r="F10354">
        <v>175446.56</v>
      </c>
      <c r="G10354">
        <v>-16407.080000000002</v>
      </c>
      <c r="H10354">
        <v>0</v>
      </c>
      <c r="I10354">
        <v>0</v>
      </c>
      <c r="J10354">
        <v>0</v>
      </c>
      <c r="K10354">
        <v>0</v>
      </c>
      <c r="L10354">
        <v>26612750.559999999</v>
      </c>
      <c r="M10354">
        <v>26596343.48</v>
      </c>
      <c r="N10354">
        <v>26612750.559999999</v>
      </c>
      <c r="O10354">
        <v>26596343.48</v>
      </c>
      <c r="P10354">
        <v>26612750.559999999</v>
      </c>
      <c r="Q10354">
        <v>26596343.48</v>
      </c>
      <c r="R10354" s="14">
        <f>_xlfn.XLOOKUP(Table2[[#This Row],[LoanID]],Table1[G-L ID],Table1[ManagerCode],-99)</f>
        <v>212</v>
      </c>
      <c r="T10354"/>
    </row>
    <row r="10355" spans="1:20" x14ac:dyDescent="0.25">
      <c r="A10355">
        <v>20200131</v>
      </c>
      <c r="B10355">
        <v>2020</v>
      </c>
      <c r="C10355">
        <v>1</v>
      </c>
      <c r="D10355">
        <v>1</v>
      </c>
      <c r="E10355">
        <v>15580</v>
      </c>
      <c r="F10355">
        <v>114404.02</v>
      </c>
      <c r="G10355">
        <v>-71.66</v>
      </c>
      <c r="H10355">
        <v>0</v>
      </c>
      <c r="I10355">
        <v>0</v>
      </c>
      <c r="J10355">
        <v>0</v>
      </c>
      <c r="K10355">
        <v>8997.2900000000009</v>
      </c>
      <c r="L10355">
        <v>14477245.859999999</v>
      </c>
      <c r="M10355">
        <v>14468176.91</v>
      </c>
      <c r="N10355">
        <v>14477245.859999999</v>
      </c>
      <c r="O10355">
        <v>14468176.91</v>
      </c>
      <c r="P10355">
        <v>14477245.859999999</v>
      </c>
      <c r="Q10355">
        <v>14468176.91</v>
      </c>
      <c r="R10355" s="14">
        <f>_xlfn.XLOOKUP(Table2[[#This Row],[LoanID]],Table1[G-L ID],Table1[ManagerCode],-99)</f>
        <v>212</v>
      </c>
      <c r="T10355"/>
    </row>
    <row r="10356" spans="1:20" x14ac:dyDescent="0.25">
      <c r="A10356">
        <v>20200131</v>
      </c>
      <c r="B10356">
        <v>2020</v>
      </c>
      <c r="C10356">
        <v>1</v>
      </c>
      <c r="D10356">
        <v>1</v>
      </c>
      <c r="E10356">
        <v>15590</v>
      </c>
      <c r="F10356">
        <v>353656.06</v>
      </c>
      <c r="G10356">
        <v>2772.72</v>
      </c>
      <c r="H10356">
        <v>0</v>
      </c>
      <c r="I10356">
        <v>-4472.13</v>
      </c>
      <c r="J10356">
        <v>-148647.99</v>
      </c>
      <c r="K10356">
        <v>0</v>
      </c>
      <c r="L10356">
        <v>104222487.8</v>
      </c>
      <c r="M10356">
        <v>104373908.5</v>
      </c>
      <c r="N10356">
        <v>104222487.8</v>
      </c>
      <c r="O10356">
        <v>104373908.5</v>
      </c>
      <c r="P10356">
        <v>104222487.8</v>
      </c>
      <c r="Q10356">
        <v>104373908.5</v>
      </c>
      <c r="R10356" s="14">
        <f>_xlfn.XLOOKUP(Table2[[#This Row],[LoanID]],Table1[G-L ID],Table1[ManagerCode],-99)</f>
        <v>212</v>
      </c>
      <c r="T10356"/>
    </row>
    <row r="10357" spans="1:20" x14ac:dyDescent="0.25">
      <c r="A10357">
        <v>20200131</v>
      </c>
      <c r="B10357">
        <v>2020</v>
      </c>
      <c r="C10357">
        <v>1</v>
      </c>
      <c r="D10357">
        <v>1</v>
      </c>
      <c r="E10357">
        <v>15600</v>
      </c>
      <c r="F10357">
        <v>0</v>
      </c>
      <c r="G10357">
        <v>608865.82999999996</v>
      </c>
      <c r="H10357">
        <v>0</v>
      </c>
      <c r="I10357">
        <v>0</v>
      </c>
      <c r="J10357">
        <v>0</v>
      </c>
      <c r="K10357">
        <v>0</v>
      </c>
      <c r="L10357">
        <v>182000000</v>
      </c>
      <c r="M10357">
        <v>182608865.80000001</v>
      </c>
      <c r="N10357">
        <v>182000000</v>
      </c>
      <c r="O10357">
        <v>182608865.80000001</v>
      </c>
      <c r="P10357">
        <v>182000000</v>
      </c>
      <c r="Q10357">
        <v>182608865.80000001</v>
      </c>
      <c r="R10357" s="14">
        <f>_xlfn.XLOOKUP(Table2[[#This Row],[LoanID]],Table1[G-L ID],Table1[ManagerCode],-99)</f>
        <v>212</v>
      </c>
      <c r="T10357"/>
    </row>
    <row r="10358" spans="1:20" x14ac:dyDescent="0.25">
      <c r="A10358">
        <v>20200131</v>
      </c>
      <c r="B10358">
        <v>2020</v>
      </c>
      <c r="C10358">
        <v>1</v>
      </c>
      <c r="D10358">
        <v>1</v>
      </c>
      <c r="E10358">
        <v>15610</v>
      </c>
      <c r="F10358">
        <v>850839.96</v>
      </c>
      <c r="G10358">
        <v>5921.88</v>
      </c>
      <c r="H10358">
        <v>0</v>
      </c>
      <c r="I10358">
        <v>-9551.41</v>
      </c>
      <c r="J10358">
        <v>0</v>
      </c>
      <c r="K10358">
        <v>0</v>
      </c>
      <c r="L10358">
        <v>222690133.90000001</v>
      </c>
      <c r="M10358">
        <v>222696055.69999999</v>
      </c>
      <c r="N10358">
        <v>222690133.90000001</v>
      </c>
      <c r="O10358">
        <v>222696055.69999999</v>
      </c>
      <c r="P10358">
        <v>222690133.90000001</v>
      </c>
      <c r="Q10358">
        <v>222696055.69999999</v>
      </c>
      <c r="R10358" s="14">
        <f>_xlfn.XLOOKUP(Table2[[#This Row],[LoanID]],Table1[G-L ID],Table1[ManagerCode],-99)</f>
        <v>212</v>
      </c>
      <c r="T10358"/>
    </row>
    <row r="10359" spans="1:20" x14ac:dyDescent="0.25">
      <c r="A10359">
        <v>20200131</v>
      </c>
      <c r="B10359">
        <v>2020</v>
      </c>
      <c r="C10359">
        <v>1</v>
      </c>
      <c r="D10359">
        <v>1</v>
      </c>
      <c r="E10359">
        <v>15620</v>
      </c>
      <c r="F10359">
        <v>309542.87</v>
      </c>
      <c r="G10359">
        <v>2107.12</v>
      </c>
      <c r="H10359">
        <v>0</v>
      </c>
      <c r="I10359">
        <v>-3398.58</v>
      </c>
      <c r="J10359">
        <v>0</v>
      </c>
      <c r="K10359">
        <v>0</v>
      </c>
      <c r="L10359">
        <v>79244355.280000001</v>
      </c>
      <c r="M10359">
        <v>79246462.400000006</v>
      </c>
      <c r="N10359">
        <v>79244355.280000001</v>
      </c>
      <c r="O10359">
        <v>79246462.400000006</v>
      </c>
      <c r="P10359">
        <v>79244355.280000001</v>
      </c>
      <c r="Q10359">
        <v>79246462.400000006</v>
      </c>
      <c r="R10359" s="14">
        <f>_xlfn.XLOOKUP(Table2[[#This Row],[LoanID]],Table1[G-L ID],Table1[ManagerCode],-99)</f>
        <v>212</v>
      </c>
      <c r="T10359"/>
    </row>
    <row r="10360" spans="1:20" x14ac:dyDescent="0.25">
      <c r="A10360">
        <v>20200131</v>
      </c>
      <c r="B10360">
        <v>2020</v>
      </c>
      <c r="C10360">
        <v>1</v>
      </c>
      <c r="D10360">
        <v>1</v>
      </c>
      <c r="E10360">
        <v>15630</v>
      </c>
      <c r="F10360">
        <v>578979.43999999994</v>
      </c>
      <c r="G10360">
        <v>1248.4100000000001</v>
      </c>
      <c r="H10360">
        <v>0</v>
      </c>
      <c r="I10360">
        <v>-3868.71</v>
      </c>
      <c r="J10360">
        <v>-14546689.449999999</v>
      </c>
      <c r="K10360">
        <v>0</v>
      </c>
      <c r="L10360">
        <v>158636458.80000001</v>
      </c>
      <c r="M10360">
        <v>173184396.59999999</v>
      </c>
      <c r="N10360">
        <v>158636458.80000001</v>
      </c>
      <c r="O10360">
        <v>173184396.59999999</v>
      </c>
      <c r="P10360">
        <v>158636458.80000001</v>
      </c>
      <c r="Q10360">
        <v>173184396.59999999</v>
      </c>
      <c r="R10360" s="14">
        <f>_xlfn.XLOOKUP(Table2[[#This Row],[LoanID]],Table1[G-L ID],Table1[ManagerCode],-99)</f>
        <v>212</v>
      </c>
      <c r="T10360"/>
    </row>
    <row r="10361" spans="1:20" x14ac:dyDescent="0.25">
      <c r="A10361">
        <v>20200131</v>
      </c>
      <c r="B10361">
        <v>2020</v>
      </c>
      <c r="C10361">
        <v>1</v>
      </c>
      <c r="D10361">
        <v>1</v>
      </c>
      <c r="E10361">
        <v>15640</v>
      </c>
      <c r="F10361">
        <v>116666.67</v>
      </c>
      <c r="G10361">
        <v>0</v>
      </c>
      <c r="H10361">
        <v>315000</v>
      </c>
      <c r="I10361">
        <v>0</v>
      </c>
      <c r="J10361">
        <v>-42000000</v>
      </c>
      <c r="K10361">
        <v>0</v>
      </c>
      <c r="L10361">
        <v>0</v>
      </c>
      <c r="M10361">
        <v>42000000</v>
      </c>
      <c r="N10361">
        <v>0</v>
      </c>
      <c r="O10361">
        <v>42000000</v>
      </c>
      <c r="P10361">
        <v>0</v>
      </c>
      <c r="Q10361">
        <v>42000000</v>
      </c>
      <c r="R10361" s="14">
        <f>_xlfn.XLOOKUP(Table2[[#This Row],[LoanID]],Table1[G-L ID],Table1[ManagerCode],-99)</f>
        <v>183</v>
      </c>
      <c r="T10361"/>
    </row>
    <row r="10362" spans="1:20" x14ac:dyDescent="0.25">
      <c r="A10362">
        <v>20200131</v>
      </c>
      <c r="B10362">
        <v>2020</v>
      </c>
      <c r="C10362">
        <v>1</v>
      </c>
      <c r="D10362">
        <v>1</v>
      </c>
      <c r="E10362">
        <v>15670</v>
      </c>
      <c r="F10362">
        <v>75233.13</v>
      </c>
      <c r="G10362">
        <v>0</v>
      </c>
      <c r="H10362">
        <v>0</v>
      </c>
      <c r="I10362">
        <v>0</v>
      </c>
      <c r="J10362">
        <v>0</v>
      </c>
      <c r="K10362">
        <v>0</v>
      </c>
      <c r="L10362">
        <v>17650000</v>
      </c>
      <c r="M10362">
        <v>17650000</v>
      </c>
      <c r="N10362">
        <v>17650000</v>
      </c>
      <c r="O10362">
        <v>17650000</v>
      </c>
      <c r="P10362">
        <v>17650000</v>
      </c>
      <c r="Q10362">
        <v>17650000</v>
      </c>
      <c r="R10362" s="14">
        <f>_xlfn.XLOOKUP(Table2[[#This Row],[LoanID]],Table1[G-L ID],Table1[ManagerCode],-99)</f>
        <v>103</v>
      </c>
      <c r="T10362"/>
    </row>
    <row r="10363" spans="1:20" x14ac:dyDescent="0.25">
      <c r="A10363">
        <v>20200131</v>
      </c>
      <c r="B10363">
        <v>2020</v>
      </c>
      <c r="C10363">
        <v>1</v>
      </c>
      <c r="D10363">
        <v>1</v>
      </c>
      <c r="E10363">
        <v>15680</v>
      </c>
      <c r="F10363">
        <v>423962.5</v>
      </c>
      <c r="G10363">
        <v>0</v>
      </c>
      <c r="H10363">
        <v>0</v>
      </c>
      <c r="I10363">
        <v>0</v>
      </c>
      <c r="J10363">
        <v>0</v>
      </c>
      <c r="K10363">
        <v>0</v>
      </c>
      <c r="L10363">
        <v>65000000</v>
      </c>
      <c r="M10363">
        <v>65000000</v>
      </c>
      <c r="N10363">
        <v>65000000</v>
      </c>
      <c r="O10363">
        <v>65000000</v>
      </c>
      <c r="P10363">
        <v>65000000</v>
      </c>
      <c r="Q10363">
        <v>65000000</v>
      </c>
      <c r="R10363" s="14">
        <f>_xlfn.XLOOKUP(Table2[[#This Row],[LoanID]],Table1[G-L ID],Table1[ManagerCode],-99)</f>
        <v>103</v>
      </c>
      <c r="T10363"/>
    </row>
    <row r="10364" spans="1:20" x14ac:dyDescent="0.25">
      <c r="A10364">
        <v>20200131</v>
      </c>
      <c r="B10364">
        <v>2020</v>
      </c>
      <c r="C10364">
        <v>1</v>
      </c>
      <c r="D10364">
        <v>1</v>
      </c>
      <c r="E10364">
        <v>15690</v>
      </c>
      <c r="F10364">
        <v>115335.99</v>
      </c>
      <c r="G10364">
        <v>0</v>
      </c>
      <c r="H10364">
        <v>0</v>
      </c>
      <c r="I10364">
        <v>0</v>
      </c>
      <c r="J10364">
        <v>0</v>
      </c>
      <c r="K10364">
        <v>0</v>
      </c>
      <c r="L10364">
        <v>14495516</v>
      </c>
      <c r="M10364">
        <v>14495516</v>
      </c>
      <c r="N10364">
        <v>14495516</v>
      </c>
      <c r="O10364">
        <v>14495516</v>
      </c>
      <c r="P10364">
        <v>14495516</v>
      </c>
      <c r="Q10364">
        <v>14495516</v>
      </c>
      <c r="R10364" s="14">
        <f>_xlfn.XLOOKUP(Table2[[#This Row],[LoanID]],Table1[G-L ID],Table1[ManagerCode],-99)</f>
        <v>193</v>
      </c>
      <c r="T10364"/>
    </row>
    <row r="10365" spans="1:20" x14ac:dyDescent="0.25">
      <c r="A10365">
        <v>20200131</v>
      </c>
      <c r="B10365">
        <v>2020</v>
      </c>
      <c r="C10365">
        <v>1</v>
      </c>
      <c r="D10365">
        <v>1</v>
      </c>
      <c r="E10365">
        <v>15700</v>
      </c>
      <c r="F10365">
        <v>233576.39</v>
      </c>
      <c r="G10365">
        <v>0</v>
      </c>
      <c r="H10365">
        <v>0</v>
      </c>
      <c r="I10365">
        <v>0</v>
      </c>
      <c r="J10365">
        <v>0</v>
      </c>
      <c r="K10365">
        <v>0</v>
      </c>
      <c r="L10365">
        <v>35000000</v>
      </c>
      <c r="M10365">
        <v>35000000</v>
      </c>
      <c r="N10365">
        <v>35000000</v>
      </c>
      <c r="O10365">
        <v>35000000</v>
      </c>
      <c r="P10365">
        <v>35000000</v>
      </c>
      <c r="Q10365">
        <v>35000000</v>
      </c>
      <c r="R10365" s="14">
        <f>_xlfn.XLOOKUP(Table2[[#This Row],[LoanID]],Table1[G-L ID],Table1[ManagerCode],-99)</f>
        <v>193</v>
      </c>
      <c r="T10365"/>
    </row>
    <row r="10366" spans="1:20" x14ac:dyDescent="0.25">
      <c r="A10366">
        <v>20200131</v>
      </c>
      <c r="B10366">
        <v>2020</v>
      </c>
      <c r="C10366">
        <v>1</v>
      </c>
      <c r="D10366">
        <v>1</v>
      </c>
      <c r="E10366">
        <v>15710</v>
      </c>
      <c r="F10366">
        <v>393958.85</v>
      </c>
      <c r="G10366">
        <v>0</v>
      </c>
      <c r="H10366">
        <v>0</v>
      </c>
      <c r="I10366">
        <v>0</v>
      </c>
      <c r="J10366">
        <v>-840468.87</v>
      </c>
      <c r="K10366">
        <v>0</v>
      </c>
      <c r="L10366">
        <v>70963331.239999995</v>
      </c>
      <c r="M10366">
        <v>71803800.109999999</v>
      </c>
      <c r="N10366">
        <v>70963331.239999995</v>
      </c>
      <c r="O10366">
        <v>71803800.109999999</v>
      </c>
      <c r="P10366">
        <v>70963331.239999995</v>
      </c>
      <c r="Q10366">
        <v>71803800.109999999</v>
      </c>
      <c r="R10366" s="14">
        <f>_xlfn.XLOOKUP(Table2[[#This Row],[LoanID]],Table1[G-L ID],Table1[ManagerCode],-99)</f>
        <v>193</v>
      </c>
      <c r="T10366"/>
    </row>
    <row r="10367" spans="1:20" x14ac:dyDescent="0.25">
      <c r="A10367">
        <v>20200131</v>
      </c>
      <c r="B10367">
        <v>2020</v>
      </c>
      <c r="C10367">
        <v>1</v>
      </c>
      <c r="D10367">
        <v>1</v>
      </c>
      <c r="E10367">
        <v>15720</v>
      </c>
      <c r="F10367">
        <v>156444.44</v>
      </c>
      <c r="G10367">
        <v>0</v>
      </c>
      <c r="H10367">
        <v>0</v>
      </c>
      <c r="I10367">
        <v>0</v>
      </c>
      <c r="J10367">
        <v>0</v>
      </c>
      <c r="K10367">
        <v>0</v>
      </c>
      <c r="L10367">
        <v>22000000</v>
      </c>
      <c r="M10367">
        <v>22000000</v>
      </c>
      <c r="N10367">
        <v>22000000</v>
      </c>
      <c r="O10367">
        <v>22000000</v>
      </c>
      <c r="P10367">
        <v>22000000</v>
      </c>
      <c r="Q10367">
        <v>22000000</v>
      </c>
      <c r="R10367" s="14">
        <f>_xlfn.XLOOKUP(Table2[[#This Row],[LoanID]],Table1[G-L ID],Table1[ManagerCode],-99)</f>
        <v>193</v>
      </c>
      <c r="T10367"/>
    </row>
    <row r="10368" spans="1:20" x14ac:dyDescent="0.25">
      <c r="A10368">
        <v>20200131</v>
      </c>
      <c r="B10368">
        <v>2020</v>
      </c>
      <c r="C10368">
        <v>1</v>
      </c>
      <c r="D10368">
        <v>1</v>
      </c>
      <c r="E10368">
        <v>15730</v>
      </c>
      <c r="F10368">
        <v>134424.91</v>
      </c>
      <c r="G10368">
        <v>0</v>
      </c>
      <c r="H10368">
        <v>0</v>
      </c>
      <c r="I10368">
        <v>0</v>
      </c>
      <c r="J10368">
        <v>-708511.11</v>
      </c>
      <c r="K10368">
        <v>0</v>
      </c>
      <c r="L10368">
        <v>18362000</v>
      </c>
      <c r="M10368">
        <v>19070511.109999999</v>
      </c>
      <c r="N10368">
        <v>18362000</v>
      </c>
      <c r="O10368">
        <v>19070511.109999999</v>
      </c>
      <c r="P10368">
        <v>18362000</v>
      </c>
      <c r="Q10368">
        <v>19070511.109999999</v>
      </c>
      <c r="R10368" s="14">
        <f>_xlfn.XLOOKUP(Table2[[#This Row],[LoanID]],Table1[G-L ID],Table1[ManagerCode],-99)</f>
        <v>193</v>
      </c>
      <c r="T10368"/>
    </row>
    <row r="10369" spans="1:20" x14ac:dyDescent="0.25">
      <c r="A10369">
        <v>20200131</v>
      </c>
      <c r="B10369">
        <v>2020</v>
      </c>
      <c r="C10369">
        <v>1</v>
      </c>
      <c r="D10369">
        <v>1</v>
      </c>
      <c r="E10369">
        <v>15740</v>
      </c>
      <c r="F10369">
        <v>366986.67</v>
      </c>
      <c r="G10369">
        <v>0</v>
      </c>
      <c r="H10369">
        <v>0</v>
      </c>
      <c r="I10369">
        <v>0</v>
      </c>
      <c r="J10369">
        <v>0</v>
      </c>
      <c r="K10369">
        <v>0</v>
      </c>
      <c r="L10369">
        <v>60000000</v>
      </c>
      <c r="M10369">
        <v>60000000</v>
      </c>
      <c r="N10369">
        <v>60000000</v>
      </c>
      <c r="O10369">
        <v>60000000</v>
      </c>
      <c r="P10369">
        <v>60000000</v>
      </c>
      <c r="Q10369">
        <v>60000000</v>
      </c>
      <c r="R10369" s="14">
        <f>_xlfn.XLOOKUP(Table2[[#This Row],[LoanID]],Table1[G-L ID],Table1[ManagerCode],-99)</f>
        <v>193</v>
      </c>
      <c r="T10369"/>
    </row>
    <row r="10370" spans="1:20" x14ac:dyDescent="0.25">
      <c r="A10370">
        <v>20200131</v>
      </c>
      <c r="B10370">
        <v>2020</v>
      </c>
      <c r="C10370">
        <v>1</v>
      </c>
      <c r="D10370">
        <v>1</v>
      </c>
      <c r="E10370">
        <v>15750</v>
      </c>
      <c r="F10370">
        <v>204267.18</v>
      </c>
      <c r="G10370">
        <v>0</v>
      </c>
      <c r="H10370">
        <v>0</v>
      </c>
      <c r="I10370">
        <v>0</v>
      </c>
      <c r="J10370">
        <v>0</v>
      </c>
      <c r="K10370">
        <v>0</v>
      </c>
      <c r="L10370">
        <v>36500000</v>
      </c>
      <c r="M10370">
        <v>36500000</v>
      </c>
      <c r="N10370">
        <v>36500000</v>
      </c>
      <c r="O10370">
        <v>36500000</v>
      </c>
      <c r="P10370">
        <v>36500000</v>
      </c>
      <c r="Q10370">
        <v>36500000</v>
      </c>
      <c r="R10370" s="14">
        <f>_xlfn.XLOOKUP(Table2[[#This Row],[LoanID]],Table1[G-L ID],Table1[ManagerCode],-99)</f>
        <v>193</v>
      </c>
      <c r="T10370"/>
    </row>
    <row r="10371" spans="1:20" x14ac:dyDescent="0.25">
      <c r="A10371">
        <v>20200131</v>
      </c>
      <c r="B10371">
        <v>2020</v>
      </c>
      <c r="C10371">
        <v>1</v>
      </c>
      <c r="D10371">
        <v>1</v>
      </c>
      <c r="E10371">
        <v>15760</v>
      </c>
      <c r="F10371">
        <v>290106.18</v>
      </c>
      <c r="G10371">
        <v>0</v>
      </c>
      <c r="H10371">
        <v>0</v>
      </c>
      <c r="I10371">
        <v>0</v>
      </c>
      <c r="J10371">
        <v>0</v>
      </c>
      <c r="K10371">
        <v>0</v>
      </c>
      <c r="L10371">
        <v>42500000</v>
      </c>
      <c r="M10371">
        <v>42500000</v>
      </c>
      <c r="N10371">
        <v>42500000</v>
      </c>
      <c r="O10371">
        <v>42500000</v>
      </c>
      <c r="P10371">
        <v>42500000</v>
      </c>
      <c r="Q10371">
        <v>42500000</v>
      </c>
      <c r="R10371" s="14">
        <f>_xlfn.XLOOKUP(Table2[[#This Row],[LoanID]],Table1[G-L ID],Table1[ManagerCode],-99)</f>
        <v>193</v>
      </c>
      <c r="T10371"/>
    </row>
    <row r="10372" spans="1:20" x14ac:dyDescent="0.25">
      <c r="A10372">
        <v>20200131</v>
      </c>
      <c r="B10372">
        <v>2020</v>
      </c>
      <c r="C10372">
        <v>1</v>
      </c>
      <c r="D10372">
        <v>1</v>
      </c>
      <c r="E10372">
        <v>15770</v>
      </c>
      <c r="F10372">
        <v>714722.22</v>
      </c>
      <c r="G10372">
        <v>0</v>
      </c>
      <c r="H10372">
        <v>0</v>
      </c>
      <c r="I10372">
        <v>0</v>
      </c>
      <c r="J10372">
        <v>0</v>
      </c>
      <c r="K10372">
        <v>0</v>
      </c>
      <c r="L10372">
        <v>100000000</v>
      </c>
      <c r="M10372">
        <v>100000000</v>
      </c>
      <c r="N10372">
        <v>100000000</v>
      </c>
      <c r="O10372">
        <v>100000000</v>
      </c>
      <c r="P10372">
        <v>100000000</v>
      </c>
      <c r="Q10372">
        <v>100000000</v>
      </c>
      <c r="R10372" s="14">
        <f>_xlfn.XLOOKUP(Table2[[#This Row],[LoanID]],Table1[G-L ID],Table1[ManagerCode],-99)</f>
        <v>193</v>
      </c>
      <c r="T10372"/>
    </row>
    <row r="10373" spans="1:20" x14ac:dyDescent="0.25">
      <c r="A10373">
        <v>20200131</v>
      </c>
      <c r="B10373">
        <v>2020</v>
      </c>
      <c r="C10373">
        <v>1</v>
      </c>
      <c r="D10373">
        <v>1</v>
      </c>
      <c r="E10373">
        <v>15780</v>
      </c>
      <c r="F10373">
        <v>114062.5</v>
      </c>
      <c r="G10373">
        <v>0</v>
      </c>
      <c r="H10373">
        <v>0</v>
      </c>
      <c r="I10373">
        <v>0</v>
      </c>
      <c r="J10373">
        <v>0</v>
      </c>
      <c r="K10373">
        <v>0</v>
      </c>
      <c r="L10373">
        <v>15000000</v>
      </c>
      <c r="M10373">
        <v>15000000</v>
      </c>
      <c r="N10373">
        <v>15000000</v>
      </c>
      <c r="O10373">
        <v>15000000</v>
      </c>
      <c r="P10373">
        <v>15000000</v>
      </c>
      <c r="Q10373">
        <v>15000000</v>
      </c>
      <c r="R10373" s="14">
        <f>_xlfn.XLOOKUP(Table2[[#This Row],[LoanID]],Table1[G-L ID],Table1[ManagerCode],-99)</f>
        <v>193</v>
      </c>
      <c r="T10373"/>
    </row>
    <row r="10374" spans="1:20" x14ac:dyDescent="0.25">
      <c r="A10374">
        <v>20200131</v>
      </c>
      <c r="B10374">
        <v>2020</v>
      </c>
      <c r="C10374">
        <v>1</v>
      </c>
      <c r="D10374">
        <v>1</v>
      </c>
      <c r="E10374">
        <v>15790</v>
      </c>
      <c r="F10374">
        <v>268258.08</v>
      </c>
      <c r="G10374">
        <v>0</v>
      </c>
      <c r="H10374">
        <v>0</v>
      </c>
      <c r="I10374">
        <v>0</v>
      </c>
      <c r="J10374">
        <v>0</v>
      </c>
      <c r="K10374">
        <v>0</v>
      </c>
      <c r="L10374">
        <v>50000000</v>
      </c>
      <c r="M10374">
        <v>50000000</v>
      </c>
      <c r="N10374">
        <v>50000000</v>
      </c>
      <c r="O10374">
        <v>50000000</v>
      </c>
      <c r="P10374">
        <v>50000000</v>
      </c>
      <c r="Q10374">
        <v>50000000</v>
      </c>
      <c r="R10374" s="14">
        <f>_xlfn.XLOOKUP(Table2[[#This Row],[LoanID]],Table1[G-L ID],Table1[ManagerCode],-99)</f>
        <v>193</v>
      </c>
      <c r="T10374"/>
    </row>
    <row r="10375" spans="1:20" x14ac:dyDescent="0.25">
      <c r="A10375">
        <v>20200131</v>
      </c>
      <c r="B10375">
        <v>2020</v>
      </c>
      <c r="C10375">
        <v>1</v>
      </c>
      <c r="D10375">
        <v>1</v>
      </c>
      <c r="E10375">
        <v>15800</v>
      </c>
      <c r="F10375">
        <v>420868.06</v>
      </c>
      <c r="G10375">
        <v>0</v>
      </c>
      <c r="H10375">
        <v>0</v>
      </c>
      <c r="I10375">
        <v>-7659.72</v>
      </c>
      <c r="J10375">
        <v>0</v>
      </c>
      <c r="K10375">
        <v>0</v>
      </c>
      <c r="L10375">
        <v>85420868.060000002</v>
      </c>
      <c r="M10375">
        <v>85420868.060000002</v>
      </c>
      <c r="N10375">
        <v>85420868.060000002</v>
      </c>
      <c r="O10375">
        <v>85420868.060000002</v>
      </c>
      <c r="P10375">
        <v>85420868.060000002</v>
      </c>
      <c r="Q10375">
        <v>85420868.060000002</v>
      </c>
      <c r="R10375" s="14">
        <f>_xlfn.XLOOKUP(Table2[[#This Row],[LoanID]],Table1[G-L ID],Table1[ManagerCode],-99)</f>
        <v>212</v>
      </c>
      <c r="T10375"/>
    </row>
    <row r="10376" spans="1:20" x14ac:dyDescent="0.25">
      <c r="A10376">
        <v>20200229</v>
      </c>
      <c r="B10376">
        <v>2020</v>
      </c>
      <c r="C10376">
        <v>2</v>
      </c>
      <c r="D10376">
        <v>1</v>
      </c>
      <c r="E10376">
        <v>10050</v>
      </c>
      <c r="F10376">
        <v>153981.01999999999</v>
      </c>
      <c r="G10376">
        <v>0</v>
      </c>
      <c r="H10376">
        <v>0</v>
      </c>
      <c r="I10376">
        <v>-69.44</v>
      </c>
      <c r="J10376">
        <v>0</v>
      </c>
      <c r="K10376">
        <v>0</v>
      </c>
      <c r="L10376">
        <v>37751147</v>
      </c>
      <c r="M10376">
        <v>38054907</v>
      </c>
      <c r="N10376">
        <v>37751147</v>
      </c>
      <c r="O10376">
        <v>38054907</v>
      </c>
      <c r="P10376">
        <v>33333334</v>
      </c>
      <c r="Q10376">
        <v>33333334</v>
      </c>
      <c r="R10376" s="14">
        <f>_xlfn.XLOOKUP(Table2[[#This Row],[LoanID]],Table1[G-L ID],Table1[ManagerCode],-99)</f>
        <v>103</v>
      </c>
      <c r="T10376"/>
    </row>
    <row r="10377" spans="1:20" x14ac:dyDescent="0.25">
      <c r="A10377">
        <v>20200229</v>
      </c>
      <c r="B10377">
        <v>2020</v>
      </c>
      <c r="C10377">
        <v>2</v>
      </c>
      <c r="D10377">
        <v>1</v>
      </c>
      <c r="E10377">
        <v>10220</v>
      </c>
      <c r="F10377">
        <v>0</v>
      </c>
      <c r="G10377">
        <v>0</v>
      </c>
      <c r="H10377">
        <v>0</v>
      </c>
      <c r="I10377">
        <v>0</v>
      </c>
      <c r="J10377">
        <v>0</v>
      </c>
      <c r="K10377">
        <v>0</v>
      </c>
      <c r="L10377">
        <v>109002561</v>
      </c>
      <c r="M10377">
        <v>109276887</v>
      </c>
      <c r="N10377">
        <v>109002561</v>
      </c>
      <c r="O10377">
        <v>109276887</v>
      </c>
      <c r="P10377">
        <v>100000000</v>
      </c>
      <c r="Q10377">
        <v>100000000</v>
      </c>
      <c r="R10377" s="14">
        <f>_xlfn.XLOOKUP(Table2[[#This Row],[LoanID]],Table1[G-L ID],Table1[ManagerCode],-99)</f>
        <v>103</v>
      </c>
      <c r="T10377"/>
    </row>
    <row r="10378" spans="1:20" x14ac:dyDescent="0.25">
      <c r="A10378">
        <v>20200229</v>
      </c>
      <c r="B10378">
        <v>2020</v>
      </c>
      <c r="C10378">
        <v>2</v>
      </c>
      <c r="D10378">
        <v>1</v>
      </c>
      <c r="E10378">
        <v>11340</v>
      </c>
      <c r="F10378">
        <v>280596.23</v>
      </c>
      <c r="G10378">
        <v>0</v>
      </c>
      <c r="H10378">
        <v>7165487.5499999998</v>
      </c>
      <c r="I10378">
        <v>0</v>
      </c>
      <c r="J10378">
        <v>0</v>
      </c>
      <c r="K10378">
        <v>46550526.280000001</v>
      </c>
      <c r="L10378">
        <v>51110923</v>
      </c>
      <c r="M10378">
        <v>0</v>
      </c>
      <c r="N10378">
        <v>51110923</v>
      </c>
      <c r="O10378">
        <v>0</v>
      </c>
      <c r="P10378">
        <v>46550526.270000003</v>
      </c>
      <c r="Q10378">
        <v>0</v>
      </c>
      <c r="R10378" s="14">
        <f>_xlfn.XLOOKUP(Table2[[#This Row],[LoanID]],Table1[G-L ID],Table1[ManagerCode],-99)</f>
        <v>103</v>
      </c>
      <c r="T10378"/>
    </row>
    <row r="10379" spans="1:20" x14ac:dyDescent="0.25">
      <c r="A10379">
        <v>20200229</v>
      </c>
      <c r="B10379">
        <v>2020</v>
      </c>
      <c r="C10379">
        <v>2</v>
      </c>
      <c r="D10379">
        <v>1</v>
      </c>
      <c r="E10379">
        <v>11680</v>
      </c>
      <c r="F10379">
        <v>50325.78</v>
      </c>
      <c r="G10379">
        <v>0</v>
      </c>
      <c r="H10379">
        <v>0</v>
      </c>
      <c r="I10379">
        <v>0</v>
      </c>
      <c r="J10379">
        <v>0</v>
      </c>
      <c r="K10379">
        <v>0</v>
      </c>
      <c r="L10379">
        <v>6600000</v>
      </c>
      <c r="M10379">
        <v>6600000</v>
      </c>
      <c r="N10379">
        <v>6600000</v>
      </c>
      <c r="O10379">
        <v>6600000</v>
      </c>
      <c r="P10379">
        <v>6600000</v>
      </c>
      <c r="Q10379">
        <v>6600000</v>
      </c>
      <c r="R10379" s="14">
        <f>_xlfn.XLOOKUP(Table2[[#This Row],[LoanID]],Table1[G-L ID],Table1[ManagerCode],-99)</f>
        <v>183</v>
      </c>
      <c r="T10379"/>
    </row>
    <row r="10380" spans="1:20" x14ac:dyDescent="0.25">
      <c r="A10380">
        <v>20200229</v>
      </c>
      <c r="B10380">
        <v>2020</v>
      </c>
      <c r="C10380">
        <v>2</v>
      </c>
      <c r="D10380">
        <v>1</v>
      </c>
      <c r="E10380">
        <v>12180</v>
      </c>
      <c r="F10380">
        <v>0</v>
      </c>
      <c r="G10380">
        <v>0</v>
      </c>
      <c r="H10380">
        <v>0</v>
      </c>
      <c r="I10380">
        <v>0</v>
      </c>
      <c r="J10380">
        <v>0</v>
      </c>
      <c r="K10380">
        <v>0</v>
      </c>
      <c r="L10380">
        <v>1</v>
      </c>
      <c r="M10380">
        <v>1</v>
      </c>
      <c r="N10380">
        <v>1</v>
      </c>
      <c r="O10380">
        <v>1</v>
      </c>
      <c r="P10380">
        <v>31963806.68</v>
      </c>
      <c r="Q10380">
        <v>31963806.68</v>
      </c>
      <c r="R10380" s="14">
        <f>_xlfn.XLOOKUP(Table2[[#This Row],[LoanID]],Table1[G-L ID],Table1[ManagerCode],-99)</f>
        <v>220</v>
      </c>
      <c r="T10380"/>
    </row>
    <row r="10381" spans="1:20" x14ac:dyDescent="0.25">
      <c r="A10381">
        <v>20200229</v>
      </c>
      <c r="B10381">
        <v>2020</v>
      </c>
      <c r="C10381">
        <v>2</v>
      </c>
      <c r="D10381">
        <v>1</v>
      </c>
      <c r="E10381">
        <v>12340</v>
      </c>
      <c r="F10381">
        <v>93396.46</v>
      </c>
      <c r="G10381">
        <v>0</v>
      </c>
      <c r="H10381">
        <v>0</v>
      </c>
      <c r="I10381">
        <v>0</v>
      </c>
      <c r="J10381">
        <v>0</v>
      </c>
      <c r="K10381">
        <v>0</v>
      </c>
      <c r="L10381">
        <v>24180000</v>
      </c>
      <c r="M10381">
        <v>24180000</v>
      </c>
      <c r="N10381">
        <v>12180000</v>
      </c>
      <c r="O10381">
        <v>12180000</v>
      </c>
      <c r="P10381">
        <v>24180000</v>
      </c>
      <c r="Q10381">
        <v>24180000</v>
      </c>
      <c r="R10381" s="14">
        <f>_xlfn.XLOOKUP(Table2[[#This Row],[LoanID]],Table1[G-L ID],Table1[ManagerCode],-99)</f>
        <v>183</v>
      </c>
      <c r="T10381"/>
    </row>
    <row r="10382" spans="1:20" x14ac:dyDescent="0.25">
      <c r="A10382">
        <v>20200229</v>
      </c>
      <c r="B10382">
        <v>2020</v>
      </c>
      <c r="C10382">
        <v>2</v>
      </c>
      <c r="D10382">
        <v>1</v>
      </c>
      <c r="E10382">
        <v>12350</v>
      </c>
      <c r="F10382">
        <v>259263.28</v>
      </c>
      <c r="G10382">
        <v>0</v>
      </c>
      <c r="H10382">
        <v>0</v>
      </c>
      <c r="I10382">
        <v>0</v>
      </c>
      <c r="J10382">
        <v>0</v>
      </c>
      <c r="K10382">
        <v>0</v>
      </c>
      <c r="L10382">
        <v>78700000</v>
      </c>
      <c r="M10382">
        <v>78700000</v>
      </c>
      <c r="N10382">
        <v>40914236.340000004</v>
      </c>
      <c r="O10382">
        <v>40914236.340000004</v>
      </c>
      <c r="P10382">
        <v>78700000</v>
      </c>
      <c r="Q10382">
        <v>78700000</v>
      </c>
      <c r="R10382" s="14">
        <f>_xlfn.XLOOKUP(Table2[[#This Row],[LoanID]],Table1[G-L ID],Table1[ManagerCode],-99)</f>
        <v>183</v>
      </c>
      <c r="T10382"/>
    </row>
    <row r="10383" spans="1:20" x14ac:dyDescent="0.25">
      <c r="A10383">
        <v>20200229</v>
      </c>
      <c r="B10383">
        <v>2020</v>
      </c>
      <c r="C10383">
        <v>2</v>
      </c>
      <c r="D10383">
        <v>1</v>
      </c>
      <c r="E10383">
        <v>12370</v>
      </c>
      <c r="F10383">
        <v>241098.58</v>
      </c>
      <c r="G10383">
        <v>0</v>
      </c>
      <c r="H10383">
        <v>0</v>
      </c>
      <c r="I10383">
        <v>0</v>
      </c>
      <c r="J10383">
        <v>0</v>
      </c>
      <c r="K10383">
        <v>0</v>
      </c>
      <c r="L10383">
        <v>81600000</v>
      </c>
      <c r="M10383">
        <v>81600000</v>
      </c>
      <c r="N10383">
        <v>36461538.549999997</v>
      </c>
      <c r="O10383">
        <v>36461538.549999997</v>
      </c>
      <c r="P10383">
        <v>81600000</v>
      </c>
      <c r="Q10383">
        <v>81600000</v>
      </c>
      <c r="R10383" s="14">
        <f>_xlfn.XLOOKUP(Table2[[#This Row],[LoanID]],Table1[G-L ID],Table1[ManagerCode],-99)</f>
        <v>183</v>
      </c>
      <c r="T10383"/>
    </row>
    <row r="10384" spans="1:20" x14ac:dyDescent="0.25">
      <c r="A10384">
        <v>20200229</v>
      </c>
      <c r="B10384">
        <v>2020</v>
      </c>
      <c r="C10384">
        <v>2</v>
      </c>
      <c r="D10384">
        <v>1</v>
      </c>
      <c r="E10384">
        <v>12380</v>
      </c>
      <c r="F10384">
        <v>82982.039999999994</v>
      </c>
      <c r="G10384">
        <v>0</v>
      </c>
      <c r="H10384">
        <v>0</v>
      </c>
      <c r="I10384">
        <v>0</v>
      </c>
      <c r="J10384">
        <v>0</v>
      </c>
      <c r="K10384">
        <v>0</v>
      </c>
      <c r="L10384">
        <v>32500000</v>
      </c>
      <c r="M10384">
        <v>32500000</v>
      </c>
      <c r="N10384">
        <v>12350000</v>
      </c>
      <c r="O10384">
        <v>12350000</v>
      </c>
      <c r="P10384">
        <v>32500000</v>
      </c>
      <c r="Q10384">
        <v>32500000</v>
      </c>
      <c r="R10384" s="14">
        <f>_xlfn.XLOOKUP(Table2[[#This Row],[LoanID]],Table1[G-L ID],Table1[ManagerCode],-99)</f>
        <v>183</v>
      </c>
      <c r="T10384"/>
    </row>
    <row r="10385" spans="1:20" x14ac:dyDescent="0.25">
      <c r="A10385">
        <v>20200229</v>
      </c>
      <c r="B10385">
        <v>2020</v>
      </c>
      <c r="C10385">
        <v>2</v>
      </c>
      <c r="D10385">
        <v>1</v>
      </c>
      <c r="E10385">
        <v>12390</v>
      </c>
      <c r="F10385">
        <v>1128261.08</v>
      </c>
      <c r="G10385">
        <v>627563.31000000006</v>
      </c>
      <c r="H10385">
        <v>0</v>
      </c>
      <c r="I10385">
        <v>0</v>
      </c>
      <c r="J10385">
        <v>-2533162.38</v>
      </c>
      <c r="K10385">
        <v>0</v>
      </c>
      <c r="L10385">
        <v>166541343.19999999</v>
      </c>
      <c r="M10385">
        <v>169702068.90000001</v>
      </c>
      <c r="N10385">
        <v>166541343.19999999</v>
      </c>
      <c r="O10385">
        <v>169702068.90000001</v>
      </c>
      <c r="P10385">
        <v>166541343.19999999</v>
      </c>
      <c r="Q10385">
        <v>169702068.90000001</v>
      </c>
      <c r="R10385" s="14">
        <f>_xlfn.XLOOKUP(Table2[[#This Row],[LoanID]],Table1[G-L ID],Table1[ManagerCode],-99)</f>
        <v>183</v>
      </c>
      <c r="T10385"/>
    </row>
    <row r="10386" spans="1:20" x14ac:dyDescent="0.25">
      <c r="A10386">
        <v>20200229</v>
      </c>
      <c r="B10386">
        <v>2020</v>
      </c>
      <c r="C10386">
        <v>2</v>
      </c>
      <c r="D10386">
        <v>1</v>
      </c>
      <c r="E10386">
        <v>12400</v>
      </c>
      <c r="F10386">
        <v>334134.17</v>
      </c>
      <c r="G10386">
        <v>139960.26</v>
      </c>
      <c r="H10386">
        <v>0</v>
      </c>
      <c r="I10386">
        <v>0</v>
      </c>
      <c r="J10386">
        <v>-1064459.96</v>
      </c>
      <c r="K10386">
        <v>0</v>
      </c>
      <c r="L10386">
        <v>63016343.200000003</v>
      </c>
      <c r="M10386">
        <v>64220763.420000002</v>
      </c>
      <c r="N10386">
        <v>63016343.200000003</v>
      </c>
      <c r="O10386">
        <v>64220763.420000002</v>
      </c>
      <c r="P10386">
        <v>63016343.200000003</v>
      </c>
      <c r="Q10386">
        <v>64220763.420000002</v>
      </c>
      <c r="R10386" s="14">
        <f>_xlfn.XLOOKUP(Table2[[#This Row],[LoanID]],Table1[G-L ID],Table1[ManagerCode],-99)</f>
        <v>183</v>
      </c>
      <c r="T10386"/>
    </row>
    <row r="10387" spans="1:20" x14ac:dyDescent="0.25">
      <c r="A10387">
        <v>20200229</v>
      </c>
      <c r="B10387">
        <v>2020</v>
      </c>
      <c r="C10387">
        <v>2</v>
      </c>
      <c r="D10387">
        <v>1</v>
      </c>
      <c r="E10387">
        <v>12410</v>
      </c>
      <c r="F10387">
        <v>0</v>
      </c>
      <c r="G10387">
        <v>125000</v>
      </c>
      <c r="H10387">
        <v>0</v>
      </c>
      <c r="I10387">
        <v>0</v>
      </c>
      <c r="J10387">
        <v>0</v>
      </c>
      <c r="K10387">
        <v>0</v>
      </c>
      <c r="L10387">
        <v>60348807.539999999</v>
      </c>
      <c r="M10387">
        <v>60473807.539999999</v>
      </c>
      <c r="N10387">
        <v>60348807.539999999</v>
      </c>
      <c r="O10387">
        <v>60473807.539999999</v>
      </c>
      <c r="P10387">
        <v>66629789.659999996</v>
      </c>
      <c r="Q10387">
        <v>66754789.659999996</v>
      </c>
      <c r="R10387" s="14">
        <f>_xlfn.XLOOKUP(Table2[[#This Row],[LoanID]],Table1[G-L ID],Table1[ManagerCode],-99)</f>
        <v>103</v>
      </c>
      <c r="T10387"/>
    </row>
    <row r="10388" spans="1:20" x14ac:dyDescent="0.25">
      <c r="A10388">
        <v>20200229</v>
      </c>
      <c r="B10388">
        <v>2020</v>
      </c>
      <c r="C10388">
        <v>2</v>
      </c>
      <c r="D10388">
        <v>1</v>
      </c>
      <c r="E10388">
        <v>12430</v>
      </c>
      <c r="F10388">
        <v>94383.360000000001</v>
      </c>
      <c r="G10388">
        <v>0</v>
      </c>
      <c r="H10388">
        <v>0</v>
      </c>
      <c r="I10388">
        <v>0</v>
      </c>
      <c r="J10388">
        <v>-94383.360000000001</v>
      </c>
      <c r="K10388">
        <v>0</v>
      </c>
      <c r="L10388">
        <v>26899257</v>
      </c>
      <c r="M10388">
        <v>26988921</v>
      </c>
      <c r="N10388">
        <v>26899257</v>
      </c>
      <c r="O10388">
        <v>26988921</v>
      </c>
      <c r="P10388">
        <v>28453118.23</v>
      </c>
      <c r="Q10388">
        <v>28547501.59</v>
      </c>
      <c r="R10388" s="14">
        <f>_xlfn.XLOOKUP(Table2[[#This Row],[LoanID]],Table1[G-L ID],Table1[ManagerCode],-99)</f>
        <v>103</v>
      </c>
      <c r="T10388"/>
    </row>
    <row r="10389" spans="1:20" x14ac:dyDescent="0.25">
      <c r="A10389">
        <v>20200229</v>
      </c>
      <c r="B10389">
        <v>2020</v>
      </c>
      <c r="C10389">
        <v>2</v>
      </c>
      <c r="D10389">
        <v>1</v>
      </c>
      <c r="E10389">
        <v>12440</v>
      </c>
      <c r="F10389">
        <v>23549.16</v>
      </c>
      <c r="G10389">
        <v>0</v>
      </c>
      <c r="H10389">
        <v>0</v>
      </c>
      <c r="I10389">
        <v>0</v>
      </c>
      <c r="J10389">
        <v>0</v>
      </c>
      <c r="K10389">
        <v>59817.11</v>
      </c>
      <c r="L10389">
        <v>3145721</v>
      </c>
      <c r="M10389">
        <v>3085374</v>
      </c>
      <c r="N10389">
        <v>3145721</v>
      </c>
      <c r="O10389">
        <v>3085374</v>
      </c>
      <c r="P10389">
        <v>2825899.66</v>
      </c>
      <c r="Q10389">
        <v>2766082.55</v>
      </c>
      <c r="R10389" s="14">
        <f>_xlfn.XLOOKUP(Table2[[#This Row],[LoanID]],Table1[G-L ID],Table1[ManagerCode],-99)</f>
        <v>103</v>
      </c>
      <c r="T10389"/>
    </row>
    <row r="10390" spans="1:20" x14ac:dyDescent="0.25">
      <c r="A10390">
        <v>20200229</v>
      </c>
      <c r="B10390">
        <v>2020</v>
      </c>
      <c r="C10390">
        <v>2</v>
      </c>
      <c r="D10390">
        <v>1</v>
      </c>
      <c r="E10390">
        <v>12460</v>
      </c>
      <c r="F10390">
        <v>48216.26</v>
      </c>
      <c r="G10390">
        <v>48457.35</v>
      </c>
      <c r="H10390">
        <v>0</v>
      </c>
      <c r="I10390">
        <v>0</v>
      </c>
      <c r="J10390">
        <v>0</v>
      </c>
      <c r="K10390">
        <v>0</v>
      </c>
      <c r="L10390">
        <v>9691468.7699999996</v>
      </c>
      <c r="M10390">
        <v>9739926.1199999992</v>
      </c>
      <c r="N10390">
        <v>9691468.7699999996</v>
      </c>
      <c r="O10390">
        <v>9739926.1199999992</v>
      </c>
      <c r="P10390">
        <v>9691468.7699999996</v>
      </c>
      <c r="Q10390">
        <v>9739926.1199999992</v>
      </c>
      <c r="R10390" s="14">
        <f>_xlfn.XLOOKUP(Table2[[#This Row],[LoanID]],Table1[G-L ID],Table1[ManagerCode],-99)</f>
        <v>183</v>
      </c>
      <c r="T10390"/>
    </row>
    <row r="10391" spans="1:20" x14ac:dyDescent="0.25">
      <c r="A10391">
        <v>20200229</v>
      </c>
      <c r="B10391">
        <v>2020</v>
      </c>
      <c r="C10391">
        <v>2</v>
      </c>
      <c r="D10391">
        <v>1</v>
      </c>
      <c r="E10391">
        <v>12470</v>
      </c>
      <c r="F10391">
        <v>291251.78000000003</v>
      </c>
      <c r="G10391">
        <v>0</v>
      </c>
      <c r="H10391">
        <v>0</v>
      </c>
      <c r="I10391">
        <v>0</v>
      </c>
      <c r="J10391">
        <v>0</v>
      </c>
      <c r="K10391">
        <v>0</v>
      </c>
      <c r="L10391">
        <v>114578356</v>
      </c>
      <c r="M10391">
        <v>114578356</v>
      </c>
      <c r="N10391">
        <v>45578356</v>
      </c>
      <c r="O10391">
        <v>45578356</v>
      </c>
      <c r="P10391">
        <v>115000000</v>
      </c>
      <c r="Q10391">
        <v>115000000</v>
      </c>
      <c r="R10391" s="14">
        <f>_xlfn.XLOOKUP(Table2[[#This Row],[LoanID]],Table1[G-L ID],Table1[ManagerCode],-99)</f>
        <v>183</v>
      </c>
      <c r="T10391"/>
    </row>
    <row r="10392" spans="1:20" x14ac:dyDescent="0.25">
      <c r="A10392">
        <v>20200229</v>
      </c>
      <c r="B10392">
        <v>2020</v>
      </c>
      <c r="C10392">
        <v>2</v>
      </c>
      <c r="D10392">
        <v>1</v>
      </c>
      <c r="E10392">
        <v>12490</v>
      </c>
      <c r="F10392">
        <v>130119.43</v>
      </c>
      <c r="G10392">
        <v>0</v>
      </c>
      <c r="H10392">
        <v>0</v>
      </c>
      <c r="I10392">
        <v>0</v>
      </c>
      <c r="J10392">
        <v>0</v>
      </c>
      <c r="K10392">
        <v>0</v>
      </c>
      <c r="L10392">
        <v>50200000</v>
      </c>
      <c r="M10392">
        <v>50200000</v>
      </c>
      <c r="N10392">
        <v>19600000</v>
      </c>
      <c r="O10392">
        <v>19600000</v>
      </c>
      <c r="P10392">
        <v>50200000</v>
      </c>
      <c r="Q10392">
        <v>50200000</v>
      </c>
      <c r="R10392" s="14">
        <f>_xlfn.XLOOKUP(Table2[[#This Row],[LoanID]],Table1[G-L ID],Table1[ManagerCode],-99)</f>
        <v>183</v>
      </c>
      <c r="T10392"/>
    </row>
    <row r="10393" spans="1:20" x14ac:dyDescent="0.25">
      <c r="A10393">
        <v>20200229</v>
      </c>
      <c r="B10393">
        <v>2020</v>
      </c>
      <c r="C10393">
        <v>2</v>
      </c>
      <c r="D10393">
        <v>1</v>
      </c>
      <c r="E10393">
        <v>12520</v>
      </c>
      <c r="F10393">
        <v>188577.67</v>
      </c>
      <c r="G10393">
        <v>0</v>
      </c>
      <c r="H10393">
        <v>0</v>
      </c>
      <c r="I10393">
        <v>0</v>
      </c>
      <c r="J10393">
        <v>0</v>
      </c>
      <c r="K10393">
        <v>0</v>
      </c>
      <c r="L10393">
        <v>48569301.140000001</v>
      </c>
      <c r="M10393">
        <v>48569301.140000001</v>
      </c>
      <c r="N10393">
        <v>23819301.140000001</v>
      </c>
      <c r="O10393">
        <v>23819301.140000001</v>
      </c>
      <c r="P10393">
        <v>48569301.140000001</v>
      </c>
      <c r="Q10393">
        <v>48569301.140000001</v>
      </c>
      <c r="R10393" s="14">
        <f>_xlfn.XLOOKUP(Table2[[#This Row],[LoanID]],Table1[G-L ID],Table1[ManagerCode],-99)</f>
        <v>183</v>
      </c>
      <c r="T10393"/>
    </row>
    <row r="10394" spans="1:20" x14ac:dyDescent="0.25">
      <c r="A10394">
        <v>20200229</v>
      </c>
      <c r="B10394">
        <v>2020</v>
      </c>
      <c r="C10394">
        <v>2</v>
      </c>
      <c r="D10394">
        <v>1</v>
      </c>
      <c r="E10394">
        <v>12650</v>
      </c>
      <c r="F10394">
        <v>333724.33</v>
      </c>
      <c r="G10394">
        <v>0</v>
      </c>
      <c r="H10394">
        <v>0</v>
      </c>
      <c r="I10394">
        <v>0</v>
      </c>
      <c r="J10394">
        <v>0</v>
      </c>
      <c r="K10394">
        <v>0</v>
      </c>
      <c r="L10394">
        <v>123200000</v>
      </c>
      <c r="M10394">
        <v>123200000</v>
      </c>
      <c r="N10394">
        <v>49280000</v>
      </c>
      <c r="O10394">
        <v>49280000</v>
      </c>
      <c r="P10394">
        <v>123200000</v>
      </c>
      <c r="Q10394">
        <v>123200000</v>
      </c>
      <c r="R10394" s="14">
        <f>_xlfn.XLOOKUP(Table2[[#This Row],[LoanID]],Table1[G-L ID],Table1[ManagerCode],-99)</f>
        <v>183</v>
      </c>
      <c r="T10394"/>
    </row>
    <row r="10395" spans="1:20" x14ac:dyDescent="0.25">
      <c r="A10395">
        <v>20200229</v>
      </c>
      <c r="B10395">
        <v>2020</v>
      </c>
      <c r="C10395">
        <v>2</v>
      </c>
      <c r="D10395">
        <v>1</v>
      </c>
      <c r="E10395">
        <v>12670</v>
      </c>
      <c r="F10395">
        <v>77011.210000000006</v>
      </c>
      <c r="G10395">
        <v>0</v>
      </c>
      <c r="H10395">
        <v>0</v>
      </c>
      <c r="I10395">
        <v>0</v>
      </c>
      <c r="J10395">
        <v>0</v>
      </c>
      <c r="K10395">
        <v>0</v>
      </c>
      <c r="L10395">
        <v>15494098</v>
      </c>
      <c r="M10395">
        <v>15494098</v>
      </c>
      <c r="N10395">
        <v>15494098</v>
      </c>
      <c r="O10395">
        <v>15494098</v>
      </c>
      <c r="P10395">
        <v>15500000</v>
      </c>
      <c r="Q10395">
        <v>15500000</v>
      </c>
      <c r="R10395" s="14">
        <f>_xlfn.XLOOKUP(Table2[[#This Row],[LoanID]],Table1[G-L ID],Table1[ManagerCode],-99)</f>
        <v>183</v>
      </c>
      <c r="T10395"/>
    </row>
    <row r="10396" spans="1:20" x14ac:dyDescent="0.25">
      <c r="A10396">
        <v>20200229</v>
      </c>
      <c r="B10396">
        <v>2020</v>
      </c>
      <c r="C10396">
        <v>2</v>
      </c>
      <c r="D10396">
        <v>1</v>
      </c>
      <c r="E10396">
        <v>12720</v>
      </c>
      <c r="F10396">
        <v>505376.58</v>
      </c>
      <c r="G10396">
        <v>0</v>
      </c>
      <c r="H10396">
        <v>0</v>
      </c>
      <c r="I10396">
        <v>0</v>
      </c>
      <c r="J10396">
        <v>-1228072</v>
      </c>
      <c r="K10396">
        <v>0</v>
      </c>
      <c r="L10396">
        <v>204907901.09999999</v>
      </c>
      <c r="M10396">
        <v>206135973.09999999</v>
      </c>
      <c r="N10396">
        <v>103026901.09999999</v>
      </c>
      <c r="O10396">
        <v>104254973.09999999</v>
      </c>
      <c r="P10396">
        <v>204907901.09999999</v>
      </c>
      <c r="Q10396">
        <v>206135973.09999999</v>
      </c>
      <c r="R10396" s="14">
        <f>_xlfn.XLOOKUP(Table2[[#This Row],[LoanID]],Table1[G-L ID],Table1[ManagerCode],-99)</f>
        <v>183</v>
      </c>
      <c r="T10396"/>
    </row>
    <row r="10397" spans="1:20" x14ac:dyDescent="0.25">
      <c r="A10397">
        <v>20200229</v>
      </c>
      <c r="B10397">
        <v>2020</v>
      </c>
      <c r="C10397">
        <v>2</v>
      </c>
      <c r="D10397">
        <v>1</v>
      </c>
      <c r="E10397">
        <v>12730</v>
      </c>
      <c r="F10397">
        <v>79124.27</v>
      </c>
      <c r="G10397">
        <v>0</v>
      </c>
      <c r="H10397">
        <v>0</v>
      </c>
      <c r="I10397">
        <v>0</v>
      </c>
      <c r="J10397">
        <v>0</v>
      </c>
      <c r="K10397">
        <v>0</v>
      </c>
      <c r="L10397">
        <v>38460000</v>
      </c>
      <c r="M10397">
        <v>38460000</v>
      </c>
      <c r="N10397">
        <v>13460000</v>
      </c>
      <c r="O10397">
        <v>13460000</v>
      </c>
      <c r="P10397">
        <v>38460000</v>
      </c>
      <c r="Q10397">
        <v>38460000</v>
      </c>
      <c r="R10397" s="14">
        <f>_xlfn.XLOOKUP(Table2[[#This Row],[LoanID]],Table1[G-L ID],Table1[ManagerCode],-99)</f>
        <v>183</v>
      </c>
      <c r="T10397"/>
    </row>
    <row r="10398" spans="1:20" x14ac:dyDescent="0.25">
      <c r="A10398">
        <v>20200229</v>
      </c>
      <c r="B10398">
        <v>2020</v>
      </c>
      <c r="C10398">
        <v>2</v>
      </c>
      <c r="D10398">
        <v>1</v>
      </c>
      <c r="E10398">
        <v>12740</v>
      </c>
      <c r="F10398">
        <v>158985.48000000001</v>
      </c>
      <c r="G10398">
        <v>74485.100000000006</v>
      </c>
      <c r="H10398">
        <v>0</v>
      </c>
      <c r="I10398">
        <v>0</v>
      </c>
      <c r="J10398">
        <v>-292254.96999999997</v>
      </c>
      <c r="K10398">
        <v>0</v>
      </c>
      <c r="L10398">
        <v>34432098.539999999</v>
      </c>
      <c r="M10398">
        <v>34798838.609999999</v>
      </c>
      <c r="N10398">
        <v>34432098.539999999</v>
      </c>
      <c r="O10398">
        <v>34798838.609999999</v>
      </c>
      <c r="P10398">
        <v>34432098.539999999</v>
      </c>
      <c r="Q10398">
        <v>34798838.609999999</v>
      </c>
      <c r="R10398" s="14">
        <f>_xlfn.XLOOKUP(Table2[[#This Row],[LoanID]],Table1[G-L ID],Table1[ManagerCode],-99)</f>
        <v>183</v>
      </c>
      <c r="T10398"/>
    </row>
    <row r="10399" spans="1:20" x14ac:dyDescent="0.25">
      <c r="A10399">
        <v>20200229</v>
      </c>
      <c r="B10399">
        <v>2020</v>
      </c>
      <c r="C10399">
        <v>2</v>
      </c>
      <c r="D10399">
        <v>1</v>
      </c>
      <c r="E10399">
        <v>13000</v>
      </c>
      <c r="F10399">
        <v>169970.57</v>
      </c>
      <c r="G10399">
        <v>0</v>
      </c>
      <c r="H10399">
        <v>0</v>
      </c>
      <c r="I10399">
        <v>0</v>
      </c>
      <c r="J10399">
        <v>0</v>
      </c>
      <c r="K10399">
        <v>0</v>
      </c>
      <c r="L10399">
        <v>48515493</v>
      </c>
      <c r="M10399">
        <v>48515493</v>
      </c>
      <c r="N10399">
        <v>48515493</v>
      </c>
      <c r="O10399">
        <v>48515493</v>
      </c>
      <c r="P10399">
        <v>51068938.649999999</v>
      </c>
      <c r="Q10399">
        <v>51068938.649999999</v>
      </c>
      <c r="R10399" s="14">
        <f>_xlfn.XLOOKUP(Table2[[#This Row],[LoanID]],Table1[G-L ID],Table1[ManagerCode],-99)</f>
        <v>103</v>
      </c>
      <c r="T10399"/>
    </row>
    <row r="10400" spans="1:20" x14ac:dyDescent="0.25">
      <c r="A10400">
        <v>20200229</v>
      </c>
      <c r="B10400">
        <v>2020</v>
      </c>
      <c r="C10400">
        <v>2</v>
      </c>
      <c r="D10400">
        <v>1</v>
      </c>
      <c r="E10400">
        <v>13010</v>
      </c>
      <c r="F10400">
        <v>1050000</v>
      </c>
      <c r="G10400">
        <v>350000</v>
      </c>
      <c r="H10400">
        <v>0</v>
      </c>
      <c r="I10400">
        <v>0</v>
      </c>
      <c r="J10400">
        <v>0</v>
      </c>
      <c r="K10400">
        <v>0</v>
      </c>
      <c r="L10400">
        <v>201950200</v>
      </c>
      <c r="M10400">
        <v>202300200</v>
      </c>
      <c r="N10400">
        <v>201950200</v>
      </c>
      <c r="O10400">
        <v>202300200</v>
      </c>
      <c r="P10400">
        <v>212450000</v>
      </c>
      <c r="Q10400">
        <v>212800000</v>
      </c>
      <c r="R10400" s="14">
        <f>_xlfn.XLOOKUP(Table2[[#This Row],[LoanID]],Table1[G-L ID],Table1[ManagerCode],-99)</f>
        <v>103</v>
      </c>
      <c r="T10400"/>
    </row>
    <row r="10401" spans="1:20" x14ac:dyDescent="0.25">
      <c r="A10401">
        <v>20200229</v>
      </c>
      <c r="B10401">
        <v>2020</v>
      </c>
      <c r="C10401">
        <v>2</v>
      </c>
      <c r="D10401">
        <v>1</v>
      </c>
      <c r="E10401">
        <v>13030</v>
      </c>
      <c r="F10401">
        <v>300057.28999999998</v>
      </c>
      <c r="G10401">
        <v>0</v>
      </c>
      <c r="H10401">
        <v>0</v>
      </c>
      <c r="I10401">
        <v>0</v>
      </c>
      <c r="J10401">
        <v>0</v>
      </c>
      <c r="K10401">
        <v>0</v>
      </c>
      <c r="L10401">
        <v>114000000</v>
      </c>
      <c r="M10401">
        <v>114000000</v>
      </c>
      <c r="N10401">
        <v>51276576</v>
      </c>
      <c r="O10401">
        <v>51276576</v>
      </c>
      <c r="P10401">
        <v>114000000</v>
      </c>
      <c r="Q10401">
        <v>114000000</v>
      </c>
      <c r="R10401" s="14">
        <f>_xlfn.XLOOKUP(Table2[[#This Row],[LoanID]],Table1[G-L ID],Table1[ManagerCode],-99)</f>
        <v>183</v>
      </c>
      <c r="T10401"/>
    </row>
    <row r="10402" spans="1:20" x14ac:dyDescent="0.25">
      <c r="A10402">
        <v>20200229</v>
      </c>
      <c r="B10402">
        <v>2020</v>
      </c>
      <c r="C10402">
        <v>2</v>
      </c>
      <c r="D10402">
        <v>1</v>
      </c>
      <c r="E10402">
        <v>13040</v>
      </c>
      <c r="F10402">
        <v>84648.49</v>
      </c>
      <c r="G10402">
        <v>0</v>
      </c>
      <c r="H10402">
        <v>0</v>
      </c>
      <c r="I10402">
        <v>0</v>
      </c>
      <c r="J10402">
        <v>-51001.91</v>
      </c>
      <c r="K10402">
        <v>0</v>
      </c>
      <c r="L10402">
        <v>36685109.189999998</v>
      </c>
      <c r="M10402">
        <v>36736111.100000001</v>
      </c>
      <c r="N10402">
        <v>16512722.189999999</v>
      </c>
      <c r="O10402">
        <v>16563724.1</v>
      </c>
      <c r="P10402">
        <v>36685109.189999998</v>
      </c>
      <c r="Q10402">
        <v>36736111.100000001</v>
      </c>
      <c r="R10402" s="14">
        <f>_xlfn.XLOOKUP(Table2[[#This Row],[LoanID]],Table1[G-L ID],Table1[ManagerCode],-99)</f>
        <v>183</v>
      </c>
      <c r="T10402"/>
    </row>
    <row r="10403" spans="1:20" x14ac:dyDescent="0.25">
      <c r="A10403">
        <v>20200229</v>
      </c>
      <c r="B10403">
        <v>2020</v>
      </c>
      <c r="C10403">
        <v>2</v>
      </c>
      <c r="D10403">
        <v>1</v>
      </c>
      <c r="E10403">
        <v>13050</v>
      </c>
      <c r="F10403">
        <v>62198.28</v>
      </c>
      <c r="G10403">
        <v>0</v>
      </c>
      <c r="H10403">
        <v>0</v>
      </c>
      <c r="I10403">
        <v>0</v>
      </c>
      <c r="J10403">
        <v>0</v>
      </c>
      <c r="K10403">
        <v>0</v>
      </c>
      <c r="L10403">
        <v>42575000</v>
      </c>
      <c r="M10403">
        <v>42575000</v>
      </c>
      <c r="N10403">
        <v>14901424</v>
      </c>
      <c r="O10403">
        <v>14901424</v>
      </c>
      <c r="P10403">
        <v>42575000</v>
      </c>
      <c r="Q10403">
        <v>42575000</v>
      </c>
      <c r="R10403" s="14">
        <f>_xlfn.XLOOKUP(Table2[[#This Row],[LoanID]],Table1[G-L ID],Table1[ManagerCode],-99)</f>
        <v>183</v>
      </c>
      <c r="T10403"/>
    </row>
    <row r="10404" spans="1:20" x14ac:dyDescent="0.25">
      <c r="A10404">
        <v>20200229</v>
      </c>
      <c r="B10404">
        <v>2020</v>
      </c>
      <c r="C10404">
        <v>2</v>
      </c>
      <c r="D10404">
        <v>1</v>
      </c>
      <c r="E10404">
        <v>13060</v>
      </c>
      <c r="F10404">
        <v>91690.61</v>
      </c>
      <c r="G10404">
        <v>0</v>
      </c>
      <c r="H10404">
        <v>0</v>
      </c>
      <c r="I10404">
        <v>0</v>
      </c>
      <c r="J10404">
        <v>-313360.46000000002</v>
      </c>
      <c r="K10404">
        <v>0</v>
      </c>
      <c r="L10404">
        <v>47525785.82</v>
      </c>
      <c r="M10404">
        <v>47839146.280000001</v>
      </c>
      <c r="N10404">
        <v>21276929.66</v>
      </c>
      <c r="O10404">
        <v>21590290.120000001</v>
      </c>
      <c r="P10404">
        <v>47645781.82</v>
      </c>
      <c r="Q10404">
        <v>47959142.280000001</v>
      </c>
      <c r="R10404" s="14">
        <f>_xlfn.XLOOKUP(Table2[[#This Row],[LoanID]],Table1[G-L ID],Table1[ManagerCode],-99)</f>
        <v>183</v>
      </c>
      <c r="T10404"/>
    </row>
    <row r="10405" spans="1:20" x14ac:dyDescent="0.25">
      <c r="A10405">
        <v>20200229</v>
      </c>
      <c r="B10405">
        <v>2020</v>
      </c>
      <c r="C10405">
        <v>2</v>
      </c>
      <c r="D10405">
        <v>1</v>
      </c>
      <c r="E10405">
        <v>13070</v>
      </c>
      <c r="F10405">
        <v>385997.71</v>
      </c>
      <c r="G10405">
        <v>0</v>
      </c>
      <c r="H10405">
        <v>0</v>
      </c>
      <c r="I10405">
        <v>0</v>
      </c>
      <c r="J10405">
        <v>0</v>
      </c>
      <c r="K10405">
        <v>0</v>
      </c>
      <c r="L10405">
        <v>96551295</v>
      </c>
      <c r="M10405">
        <v>96551295</v>
      </c>
      <c r="N10405">
        <v>56551295</v>
      </c>
      <c r="O10405">
        <v>56551295</v>
      </c>
      <c r="P10405">
        <v>96551295</v>
      </c>
      <c r="Q10405">
        <v>96551295</v>
      </c>
      <c r="R10405" s="14">
        <f>_xlfn.XLOOKUP(Table2[[#This Row],[LoanID]],Table1[G-L ID],Table1[ManagerCode],-99)</f>
        <v>183</v>
      </c>
      <c r="T10405"/>
    </row>
    <row r="10406" spans="1:20" x14ac:dyDescent="0.25">
      <c r="A10406">
        <v>20200229</v>
      </c>
      <c r="B10406">
        <v>2020</v>
      </c>
      <c r="C10406">
        <v>2</v>
      </c>
      <c r="D10406">
        <v>1</v>
      </c>
      <c r="E10406">
        <v>13080</v>
      </c>
      <c r="F10406">
        <v>103743.6</v>
      </c>
      <c r="G10406">
        <v>0</v>
      </c>
      <c r="H10406">
        <v>0</v>
      </c>
      <c r="I10406">
        <v>0</v>
      </c>
      <c r="J10406">
        <v>0</v>
      </c>
      <c r="K10406">
        <v>0</v>
      </c>
      <c r="L10406">
        <v>43000000</v>
      </c>
      <c r="M10406">
        <v>43000000</v>
      </c>
      <c r="N10406">
        <v>21500000</v>
      </c>
      <c r="O10406">
        <v>21500000</v>
      </c>
      <c r="P10406">
        <v>43000000</v>
      </c>
      <c r="Q10406">
        <v>43000000</v>
      </c>
      <c r="R10406" s="14">
        <f>_xlfn.XLOOKUP(Table2[[#This Row],[LoanID]],Table1[G-L ID],Table1[ManagerCode],-99)</f>
        <v>183</v>
      </c>
      <c r="T10406"/>
    </row>
    <row r="10407" spans="1:20" x14ac:dyDescent="0.25">
      <c r="A10407">
        <v>20200229</v>
      </c>
      <c r="B10407">
        <v>2020</v>
      </c>
      <c r="C10407">
        <v>2</v>
      </c>
      <c r="D10407">
        <v>1</v>
      </c>
      <c r="E10407">
        <v>13090</v>
      </c>
      <c r="F10407">
        <v>95812.78</v>
      </c>
      <c r="G10407">
        <v>0</v>
      </c>
      <c r="H10407">
        <v>0</v>
      </c>
      <c r="I10407">
        <v>0</v>
      </c>
      <c r="J10407">
        <v>0</v>
      </c>
      <c r="K10407">
        <v>0</v>
      </c>
      <c r="L10407">
        <v>20000000</v>
      </c>
      <c r="M10407">
        <v>20000000</v>
      </c>
      <c r="N10407">
        <v>20000000</v>
      </c>
      <c r="O10407">
        <v>20000000</v>
      </c>
      <c r="P10407">
        <v>20000000</v>
      </c>
      <c r="Q10407">
        <v>20000000</v>
      </c>
      <c r="R10407" s="14">
        <f>_xlfn.XLOOKUP(Table2[[#This Row],[LoanID]],Table1[G-L ID],Table1[ManagerCode],-99)</f>
        <v>183</v>
      </c>
      <c r="T10407"/>
    </row>
    <row r="10408" spans="1:20" x14ac:dyDescent="0.25">
      <c r="A10408">
        <v>20200229</v>
      </c>
      <c r="B10408">
        <v>2020</v>
      </c>
      <c r="C10408">
        <v>2</v>
      </c>
      <c r="D10408">
        <v>1</v>
      </c>
      <c r="E10408">
        <v>13100</v>
      </c>
      <c r="F10408">
        <v>141740.49</v>
      </c>
      <c r="G10408">
        <v>0</v>
      </c>
      <c r="H10408">
        <v>0</v>
      </c>
      <c r="I10408">
        <v>0</v>
      </c>
      <c r="J10408">
        <v>-68357.600000000006</v>
      </c>
      <c r="K10408">
        <v>68357.600000000006</v>
      </c>
      <c r="L10408">
        <v>27543533.609999999</v>
      </c>
      <c r="M10408">
        <v>26867117.829999998</v>
      </c>
      <c r="N10408">
        <v>8632419.2699999996</v>
      </c>
      <c r="O10408">
        <v>8632419.2699999996</v>
      </c>
      <c r="P10408">
        <v>27543533.609999999</v>
      </c>
      <c r="Q10408">
        <v>26867117.829999998</v>
      </c>
      <c r="R10408" s="14">
        <f>_xlfn.XLOOKUP(Table2[[#This Row],[LoanID]],Table1[G-L ID],Table1[ManagerCode],-99)</f>
        <v>183</v>
      </c>
      <c r="T10408"/>
    </row>
    <row r="10409" spans="1:20" x14ac:dyDescent="0.25">
      <c r="A10409">
        <v>20200229</v>
      </c>
      <c r="B10409">
        <v>2020</v>
      </c>
      <c r="C10409">
        <v>2</v>
      </c>
      <c r="D10409">
        <v>1</v>
      </c>
      <c r="E10409">
        <v>13110</v>
      </c>
      <c r="F10409">
        <v>78493.77</v>
      </c>
      <c r="G10409">
        <v>0</v>
      </c>
      <c r="H10409">
        <v>0</v>
      </c>
      <c r="I10409">
        <v>0</v>
      </c>
      <c r="J10409">
        <v>-189670</v>
      </c>
      <c r="K10409">
        <v>0</v>
      </c>
      <c r="L10409">
        <v>46103200.240000002</v>
      </c>
      <c r="M10409">
        <v>46181214.240000002</v>
      </c>
      <c r="N10409">
        <v>19826950.239999998</v>
      </c>
      <c r="O10409">
        <v>19904964.239999998</v>
      </c>
      <c r="P10409">
        <v>46103200.240000002</v>
      </c>
      <c r="Q10409">
        <v>46292870.240000002</v>
      </c>
      <c r="R10409" s="14">
        <f>_xlfn.XLOOKUP(Table2[[#This Row],[LoanID]],Table1[G-L ID],Table1[ManagerCode],-99)</f>
        <v>183</v>
      </c>
      <c r="T10409"/>
    </row>
    <row r="10410" spans="1:20" x14ac:dyDescent="0.25">
      <c r="A10410">
        <v>20200229</v>
      </c>
      <c r="B10410">
        <v>2020</v>
      </c>
      <c r="C10410">
        <v>2</v>
      </c>
      <c r="D10410">
        <v>1</v>
      </c>
      <c r="E10410">
        <v>13120</v>
      </c>
      <c r="F10410">
        <v>57072.58</v>
      </c>
      <c r="G10410">
        <v>0</v>
      </c>
      <c r="H10410">
        <v>0</v>
      </c>
      <c r="I10410">
        <v>0</v>
      </c>
      <c r="J10410">
        <v>0</v>
      </c>
      <c r="K10410">
        <v>0</v>
      </c>
      <c r="L10410">
        <v>27360000</v>
      </c>
      <c r="M10410">
        <v>27360000</v>
      </c>
      <c r="N10410">
        <v>9576000</v>
      </c>
      <c r="O10410">
        <v>9576000</v>
      </c>
      <c r="P10410">
        <v>27360000</v>
      </c>
      <c r="Q10410">
        <v>27360000</v>
      </c>
      <c r="R10410" s="14">
        <f>_xlfn.XLOOKUP(Table2[[#This Row],[LoanID]],Table1[G-L ID],Table1[ManagerCode],-99)</f>
        <v>183</v>
      </c>
      <c r="T10410"/>
    </row>
    <row r="10411" spans="1:20" x14ac:dyDescent="0.25">
      <c r="A10411">
        <v>20200229</v>
      </c>
      <c r="B10411">
        <v>2020</v>
      </c>
      <c r="C10411">
        <v>2</v>
      </c>
      <c r="D10411">
        <v>1</v>
      </c>
      <c r="E10411">
        <v>13130</v>
      </c>
      <c r="F10411">
        <v>375341.52</v>
      </c>
      <c r="G10411">
        <v>0</v>
      </c>
      <c r="H10411">
        <v>0</v>
      </c>
      <c r="I10411">
        <v>0</v>
      </c>
      <c r="J10411">
        <v>0</v>
      </c>
      <c r="K10411">
        <v>0</v>
      </c>
      <c r="L10411">
        <v>198680193.09999999</v>
      </c>
      <c r="M10411">
        <v>198680193.09999999</v>
      </c>
      <c r="N10411">
        <v>98680193.099999994</v>
      </c>
      <c r="O10411">
        <v>98680193.099999994</v>
      </c>
      <c r="P10411">
        <v>199592738.09999999</v>
      </c>
      <c r="Q10411">
        <v>199592738.09999999</v>
      </c>
      <c r="R10411" s="14">
        <f>_xlfn.XLOOKUP(Table2[[#This Row],[LoanID]],Table1[G-L ID],Table1[ManagerCode],-99)</f>
        <v>183</v>
      </c>
      <c r="T10411"/>
    </row>
    <row r="10412" spans="1:20" x14ac:dyDescent="0.25">
      <c r="A10412">
        <v>20200229</v>
      </c>
      <c r="B10412">
        <v>2020</v>
      </c>
      <c r="C10412">
        <v>2</v>
      </c>
      <c r="D10412">
        <v>1</v>
      </c>
      <c r="E10412">
        <v>13140</v>
      </c>
      <c r="F10412">
        <v>166674.01999999999</v>
      </c>
      <c r="G10412">
        <v>0</v>
      </c>
      <c r="H10412">
        <v>354878.57</v>
      </c>
      <c r="I10412">
        <v>0</v>
      </c>
      <c r="J10412">
        <v>0</v>
      </c>
      <c r="K10412">
        <v>50253918.68</v>
      </c>
      <c r="L10412">
        <v>141951589</v>
      </c>
      <c r="M10412">
        <v>0</v>
      </c>
      <c r="N10412">
        <v>50253918.68</v>
      </c>
      <c r="O10412">
        <v>0</v>
      </c>
      <c r="P10412">
        <v>141951589</v>
      </c>
      <c r="Q10412">
        <v>0</v>
      </c>
      <c r="R10412" s="14">
        <f>_xlfn.XLOOKUP(Table2[[#This Row],[LoanID]],Table1[G-L ID],Table1[ManagerCode],-99)</f>
        <v>183</v>
      </c>
      <c r="T10412"/>
    </row>
    <row r="10413" spans="1:20" x14ac:dyDescent="0.25">
      <c r="A10413">
        <v>20200229</v>
      </c>
      <c r="B10413">
        <v>2020</v>
      </c>
      <c r="C10413">
        <v>2</v>
      </c>
      <c r="D10413">
        <v>1</v>
      </c>
      <c r="E10413">
        <v>13150</v>
      </c>
      <c r="F10413">
        <v>143335.19</v>
      </c>
      <c r="G10413">
        <v>0</v>
      </c>
      <c r="H10413">
        <v>0</v>
      </c>
      <c r="I10413">
        <v>0</v>
      </c>
      <c r="J10413">
        <v>-566269.17000000004</v>
      </c>
      <c r="K10413">
        <v>0</v>
      </c>
      <c r="L10413">
        <v>87675043.400000006</v>
      </c>
      <c r="M10413">
        <v>88241312.569999993</v>
      </c>
      <c r="N10413">
        <v>31870850.440000001</v>
      </c>
      <c r="O10413">
        <v>32437119.609999999</v>
      </c>
      <c r="P10413">
        <v>87808570.400000006</v>
      </c>
      <c r="Q10413">
        <v>88374839.569999993</v>
      </c>
      <c r="R10413" s="14">
        <f>_xlfn.XLOOKUP(Table2[[#This Row],[LoanID]],Table1[G-L ID],Table1[ManagerCode],-99)</f>
        <v>183</v>
      </c>
      <c r="T10413"/>
    </row>
    <row r="10414" spans="1:20" x14ac:dyDescent="0.25">
      <c r="A10414">
        <v>20200229</v>
      </c>
      <c r="B10414">
        <v>2020</v>
      </c>
      <c r="C10414">
        <v>2</v>
      </c>
      <c r="D10414">
        <v>1</v>
      </c>
      <c r="E10414">
        <v>13160</v>
      </c>
      <c r="F10414">
        <v>109200.72</v>
      </c>
      <c r="G10414">
        <v>0</v>
      </c>
      <c r="H10414">
        <v>0</v>
      </c>
      <c r="I10414">
        <v>0</v>
      </c>
      <c r="J10414">
        <v>0</v>
      </c>
      <c r="K10414">
        <v>0</v>
      </c>
      <c r="L10414">
        <v>41900000</v>
      </c>
      <c r="M10414">
        <v>41900000</v>
      </c>
      <c r="N10414">
        <v>21854858</v>
      </c>
      <c r="O10414">
        <v>21854858</v>
      </c>
      <c r="P10414">
        <v>41900000</v>
      </c>
      <c r="Q10414">
        <v>41900000</v>
      </c>
      <c r="R10414" s="14">
        <f>_xlfn.XLOOKUP(Table2[[#This Row],[LoanID]],Table1[G-L ID],Table1[ManagerCode],-99)</f>
        <v>183</v>
      </c>
      <c r="T10414"/>
    </row>
    <row r="10415" spans="1:20" x14ac:dyDescent="0.25">
      <c r="A10415">
        <v>20200229</v>
      </c>
      <c r="B10415">
        <v>2020</v>
      </c>
      <c r="C10415">
        <v>2</v>
      </c>
      <c r="D10415">
        <v>1</v>
      </c>
      <c r="E10415">
        <v>13170</v>
      </c>
      <c r="F10415">
        <v>11845.57</v>
      </c>
      <c r="G10415">
        <v>0</v>
      </c>
      <c r="H10415">
        <v>0</v>
      </c>
      <c r="I10415">
        <v>0</v>
      </c>
      <c r="J10415">
        <v>0</v>
      </c>
      <c r="K10415">
        <v>0</v>
      </c>
      <c r="L10415">
        <v>50272256</v>
      </c>
      <c r="M10415">
        <v>50272256</v>
      </c>
      <c r="N10415">
        <v>17472256</v>
      </c>
      <c r="O10415">
        <v>17472256</v>
      </c>
      <c r="P10415">
        <v>50400000</v>
      </c>
      <c r="Q10415">
        <v>50400000</v>
      </c>
      <c r="R10415" s="14">
        <f>_xlfn.XLOOKUP(Table2[[#This Row],[LoanID]],Table1[G-L ID],Table1[ManagerCode],-99)</f>
        <v>183</v>
      </c>
      <c r="T10415"/>
    </row>
    <row r="10416" spans="1:20" x14ac:dyDescent="0.25">
      <c r="A10416">
        <v>20200229</v>
      </c>
      <c r="B10416">
        <v>2020</v>
      </c>
      <c r="C10416">
        <v>2</v>
      </c>
      <c r="D10416">
        <v>1</v>
      </c>
      <c r="E10416">
        <v>13180</v>
      </c>
      <c r="F10416">
        <v>160895.74</v>
      </c>
      <c r="G10416">
        <v>0</v>
      </c>
      <c r="H10416">
        <v>0</v>
      </c>
      <c r="I10416">
        <v>0</v>
      </c>
      <c r="J10416">
        <v>0</v>
      </c>
      <c r="K10416">
        <v>0</v>
      </c>
      <c r="L10416">
        <v>39780000</v>
      </c>
      <c r="M10416">
        <v>39780000</v>
      </c>
      <c r="N10416">
        <v>15930000</v>
      </c>
      <c r="O10416">
        <v>15930000</v>
      </c>
      <c r="P10416">
        <v>39780000</v>
      </c>
      <c r="Q10416">
        <v>39780000</v>
      </c>
      <c r="R10416" s="14">
        <f>_xlfn.XLOOKUP(Table2[[#This Row],[LoanID]],Table1[G-L ID],Table1[ManagerCode],-99)</f>
        <v>183</v>
      </c>
      <c r="T10416"/>
    </row>
    <row r="10417" spans="1:20" x14ac:dyDescent="0.25">
      <c r="A10417">
        <v>20200229</v>
      </c>
      <c r="B10417">
        <v>2020</v>
      </c>
      <c r="C10417">
        <v>2</v>
      </c>
      <c r="D10417">
        <v>1</v>
      </c>
      <c r="E10417">
        <v>13190</v>
      </c>
      <c r="F10417">
        <v>80788.490000000005</v>
      </c>
      <c r="G10417">
        <v>53829.42</v>
      </c>
      <c r="H10417">
        <v>0</v>
      </c>
      <c r="I10417">
        <v>0</v>
      </c>
      <c r="J10417">
        <v>-84310.48</v>
      </c>
      <c r="K10417">
        <v>0</v>
      </c>
      <c r="L10417">
        <v>16859450.109999999</v>
      </c>
      <c r="M10417">
        <v>16997590.010000002</v>
      </c>
      <c r="N10417">
        <v>16859450.109999999</v>
      </c>
      <c r="O10417">
        <v>16997590.010000002</v>
      </c>
      <c r="P10417">
        <v>16859450.109999999</v>
      </c>
      <c r="Q10417">
        <v>16997590.010000002</v>
      </c>
      <c r="R10417" s="14">
        <f>_xlfn.XLOOKUP(Table2[[#This Row],[LoanID]],Table1[G-L ID],Table1[ManagerCode],-99)</f>
        <v>183</v>
      </c>
      <c r="T10417"/>
    </row>
    <row r="10418" spans="1:20" x14ac:dyDescent="0.25">
      <c r="A10418">
        <v>20200229</v>
      </c>
      <c r="B10418">
        <v>2020</v>
      </c>
      <c r="C10418">
        <v>2</v>
      </c>
      <c r="D10418">
        <v>1</v>
      </c>
      <c r="E10418">
        <v>13200</v>
      </c>
      <c r="F10418">
        <v>116209.42</v>
      </c>
      <c r="G10418">
        <v>65531.69</v>
      </c>
      <c r="H10418">
        <v>0</v>
      </c>
      <c r="I10418">
        <v>0</v>
      </c>
      <c r="J10418">
        <v>-634341.06000000006</v>
      </c>
      <c r="K10418">
        <v>0</v>
      </c>
      <c r="L10418">
        <v>23644747.059999999</v>
      </c>
      <c r="M10418">
        <v>24344619.809999999</v>
      </c>
      <c r="N10418">
        <v>23644747.059999999</v>
      </c>
      <c r="O10418">
        <v>24344619.809999999</v>
      </c>
      <c r="P10418">
        <v>23644747.059999999</v>
      </c>
      <c r="Q10418">
        <v>24344619.809999999</v>
      </c>
      <c r="R10418" s="14">
        <f>_xlfn.XLOOKUP(Table2[[#This Row],[LoanID]],Table1[G-L ID],Table1[ManagerCode],-99)</f>
        <v>183</v>
      </c>
      <c r="T10418"/>
    </row>
    <row r="10419" spans="1:20" x14ac:dyDescent="0.25">
      <c r="A10419">
        <v>20200229</v>
      </c>
      <c r="B10419">
        <v>2020</v>
      </c>
      <c r="C10419">
        <v>2</v>
      </c>
      <c r="D10419">
        <v>1</v>
      </c>
      <c r="E10419">
        <v>13210</v>
      </c>
      <c r="F10419">
        <v>0</v>
      </c>
      <c r="G10419">
        <v>206445.76</v>
      </c>
      <c r="H10419">
        <v>0</v>
      </c>
      <c r="I10419">
        <v>0</v>
      </c>
      <c r="J10419">
        <v>-1447252.05</v>
      </c>
      <c r="K10419">
        <v>0</v>
      </c>
      <c r="L10419">
        <v>18152303.539999999</v>
      </c>
      <c r="M10419">
        <v>19806001.350000001</v>
      </c>
      <c r="N10419">
        <v>18152303.539999999</v>
      </c>
      <c r="O10419">
        <v>19806001.350000001</v>
      </c>
      <c r="P10419">
        <v>18152303.539999999</v>
      </c>
      <c r="Q10419">
        <v>19806001.350000001</v>
      </c>
      <c r="R10419" s="14">
        <f>_xlfn.XLOOKUP(Table2[[#This Row],[LoanID]],Table1[G-L ID],Table1[ManagerCode],-99)</f>
        <v>183</v>
      </c>
      <c r="T10419"/>
    </row>
    <row r="10420" spans="1:20" x14ac:dyDescent="0.25">
      <c r="A10420">
        <v>20200229</v>
      </c>
      <c r="B10420">
        <v>2020</v>
      </c>
      <c r="C10420">
        <v>2</v>
      </c>
      <c r="D10420">
        <v>1</v>
      </c>
      <c r="E10420">
        <v>13240</v>
      </c>
      <c r="F10420">
        <v>73123.88</v>
      </c>
      <c r="G10420">
        <v>-4660.09</v>
      </c>
      <c r="H10420">
        <v>0</v>
      </c>
      <c r="I10420">
        <v>0</v>
      </c>
      <c r="J10420">
        <v>-107201.14</v>
      </c>
      <c r="K10420">
        <v>0</v>
      </c>
      <c r="L10420">
        <v>7873598.1699999999</v>
      </c>
      <c r="M10420">
        <v>7976139.2199999997</v>
      </c>
      <c r="N10420">
        <v>7873598.1699999999</v>
      </c>
      <c r="O10420">
        <v>7976139.2199999997</v>
      </c>
      <c r="P10420">
        <v>7873598.1699999999</v>
      </c>
      <c r="Q10420">
        <v>7976139.2199999997</v>
      </c>
      <c r="R10420" s="14">
        <f>_xlfn.XLOOKUP(Table2[[#This Row],[LoanID]],Table1[G-L ID],Table1[ManagerCode],-99)</f>
        <v>219</v>
      </c>
      <c r="T10420"/>
    </row>
    <row r="10421" spans="1:20" x14ac:dyDescent="0.25">
      <c r="A10421">
        <v>20200229</v>
      </c>
      <c r="B10421">
        <v>2020</v>
      </c>
      <c r="C10421">
        <v>2</v>
      </c>
      <c r="D10421">
        <v>1</v>
      </c>
      <c r="E10421">
        <v>13260</v>
      </c>
      <c r="F10421">
        <v>175270.56</v>
      </c>
      <c r="G10421">
        <v>-11457.79</v>
      </c>
      <c r="H10421">
        <v>0</v>
      </c>
      <c r="I10421">
        <v>0</v>
      </c>
      <c r="J10421">
        <v>0</v>
      </c>
      <c r="K10421">
        <v>0</v>
      </c>
      <c r="L10421">
        <v>20096116.109999999</v>
      </c>
      <c r="M10421">
        <v>20084658.32</v>
      </c>
      <c r="N10421">
        <v>20096116.109999999</v>
      </c>
      <c r="O10421">
        <v>20084658.32</v>
      </c>
      <c r="P10421">
        <v>20096116.109999999</v>
      </c>
      <c r="Q10421">
        <v>20084658.32</v>
      </c>
      <c r="R10421" s="14">
        <f>_xlfn.XLOOKUP(Table2[[#This Row],[LoanID]],Table1[G-L ID],Table1[ManagerCode],-99)</f>
        <v>219</v>
      </c>
      <c r="T10421"/>
    </row>
    <row r="10422" spans="1:20" x14ac:dyDescent="0.25">
      <c r="A10422">
        <v>20200229</v>
      </c>
      <c r="B10422">
        <v>2020</v>
      </c>
      <c r="C10422">
        <v>2</v>
      </c>
      <c r="D10422">
        <v>1</v>
      </c>
      <c r="E10422">
        <v>13270</v>
      </c>
      <c r="F10422">
        <v>143891.67000000001</v>
      </c>
      <c r="G10422">
        <v>-9790.83</v>
      </c>
      <c r="H10422">
        <v>0</v>
      </c>
      <c r="I10422">
        <v>0</v>
      </c>
      <c r="J10422">
        <v>0</v>
      </c>
      <c r="K10422">
        <v>0</v>
      </c>
      <c r="L10422">
        <v>25097745</v>
      </c>
      <c r="M10422">
        <v>25087954.170000002</v>
      </c>
      <c r="N10422">
        <v>25097745</v>
      </c>
      <c r="O10422">
        <v>25087954.170000002</v>
      </c>
      <c r="P10422">
        <v>25097745</v>
      </c>
      <c r="Q10422">
        <v>25087954.170000002</v>
      </c>
      <c r="R10422" s="14">
        <f>_xlfn.XLOOKUP(Table2[[#This Row],[LoanID]],Table1[G-L ID],Table1[ManagerCode],-99)</f>
        <v>219</v>
      </c>
      <c r="T10422"/>
    </row>
    <row r="10423" spans="1:20" x14ac:dyDescent="0.25">
      <c r="A10423">
        <v>20200229</v>
      </c>
      <c r="B10423">
        <v>2020</v>
      </c>
      <c r="C10423">
        <v>2</v>
      </c>
      <c r="D10423">
        <v>1</v>
      </c>
      <c r="E10423">
        <v>13300</v>
      </c>
      <c r="F10423">
        <v>215277.78</v>
      </c>
      <c r="G10423">
        <v>-13888.89</v>
      </c>
      <c r="H10423">
        <v>0</v>
      </c>
      <c r="I10423">
        <v>0</v>
      </c>
      <c r="J10423">
        <v>0</v>
      </c>
      <c r="K10423">
        <v>0</v>
      </c>
      <c r="L10423">
        <v>25215277.780000001</v>
      </c>
      <c r="M10423">
        <v>25201388.890000001</v>
      </c>
      <c r="N10423">
        <v>25215277.780000001</v>
      </c>
      <c r="O10423">
        <v>25201388.890000001</v>
      </c>
      <c r="P10423">
        <v>25215277.780000001</v>
      </c>
      <c r="Q10423">
        <v>25201388.890000001</v>
      </c>
      <c r="R10423" s="14">
        <f>_xlfn.XLOOKUP(Table2[[#This Row],[LoanID]],Table1[G-L ID],Table1[ManagerCode],-99)</f>
        <v>219</v>
      </c>
      <c r="T10423"/>
    </row>
    <row r="10424" spans="1:20" x14ac:dyDescent="0.25">
      <c r="A10424">
        <v>20200229</v>
      </c>
      <c r="B10424">
        <v>2020</v>
      </c>
      <c r="C10424">
        <v>2</v>
      </c>
      <c r="D10424">
        <v>1</v>
      </c>
      <c r="E10424">
        <v>13370</v>
      </c>
      <c r="F10424">
        <v>159184.57</v>
      </c>
      <c r="G10424">
        <v>0</v>
      </c>
      <c r="H10424">
        <v>0</v>
      </c>
      <c r="I10424">
        <v>0</v>
      </c>
      <c r="J10424">
        <v>-198015.1</v>
      </c>
      <c r="K10424">
        <v>0</v>
      </c>
      <c r="L10424">
        <v>44600825.82</v>
      </c>
      <c r="M10424">
        <v>44798840.920000002</v>
      </c>
      <c r="N10424">
        <v>44600825.82</v>
      </c>
      <c r="O10424">
        <v>44798840.920000002</v>
      </c>
      <c r="P10424">
        <v>44600825.82</v>
      </c>
      <c r="Q10424">
        <v>44798840.920000002</v>
      </c>
      <c r="R10424" s="14">
        <f>_xlfn.XLOOKUP(Table2[[#This Row],[LoanID]],Table1[G-L ID],Table1[ManagerCode],-99)</f>
        <v>183</v>
      </c>
      <c r="T10424"/>
    </row>
    <row r="10425" spans="1:20" x14ac:dyDescent="0.25">
      <c r="A10425">
        <v>20200229</v>
      </c>
      <c r="B10425">
        <v>2020</v>
      </c>
      <c r="C10425">
        <v>2</v>
      </c>
      <c r="D10425">
        <v>1</v>
      </c>
      <c r="E10425">
        <v>13380</v>
      </c>
      <c r="F10425">
        <v>49418.69</v>
      </c>
      <c r="G10425">
        <v>0</v>
      </c>
      <c r="H10425">
        <v>0</v>
      </c>
      <c r="I10425">
        <v>0</v>
      </c>
      <c r="J10425">
        <v>0</v>
      </c>
      <c r="K10425">
        <v>0</v>
      </c>
      <c r="L10425">
        <v>32000000</v>
      </c>
      <c r="M10425">
        <v>32000000</v>
      </c>
      <c r="N10425">
        <v>11200000</v>
      </c>
      <c r="O10425">
        <v>11200000</v>
      </c>
      <c r="P10425">
        <v>32000000</v>
      </c>
      <c r="Q10425">
        <v>32000000</v>
      </c>
      <c r="R10425" s="14">
        <f>_xlfn.XLOOKUP(Table2[[#This Row],[LoanID]],Table1[G-L ID],Table1[ManagerCode],-99)</f>
        <v>183</v>
      </c>
      <c r="T10425"/>
    </row>
    <row r="10426" spans="1:20" x14ac:dyDescent="0.25">
      <c r="A10426">
        <v>20200229</v>
      </c>
      <c r="B10426">
        <v>2020</v>
      </c>
      <c r="C10426">
        <v>2</v>
      </c>
      <c r="D10426">
        <v>1</v>
      </c>
      <c r="E10426">
        <v>13390</v>
      </c>
      <c r="F10426">
        <v>139437.21</v>
      </c>
      <c r="G10426">
        <v>0</v>
      </c>
      <c r="H10426">
        <v>0</v>
      </c>
      <c r="I10426">
        <v>0</v>
      </c>
      <c r="J10426">
        <v>0</v>
      </c>
      <c r="K10426">
        <v>0</v>
      </c>
      <c r="L10426">
        <v>48279361.420000002</v>
      </c>
      <c r="M10426">
        <v>48279361.420000002</v>
      </c>
      <c r="N10426">
        <v>19363284.420000002</v>
      </c>
      <c r="O10426">
        <v>19363284.420000002</v>
      </c>
      <c r="P10426">
        <v>48343461.420000002</v>
      </c>
      <c r="Q10426">
        <v>48343461.420000002</v>
      </c>
      <c r="R10426" s="14">
        <f>_xlfn.XLOOKUP(Table2[[#This Row],[LoanID]],Table1[G-L ID],Table1[ManagerCode],-99)</f>
        <v>183</v>
      </c>
      <c r="T10426"/>
    </row>
    <row r="10427" spans="1:20" x14ac:dyDescent="0.25">
      <c r="A10427">
        <v>20200229</v>
      </c>
      <c r="B10427">
        <v>2020</v>
      </c>
      <c r="C10427">
        <v>2</v>
      </c>
      <c r="D10427">
        <v>1</v>
      </c>
      <c r="E10427">
        <v>13400</v>
      </c>
      <c r="F10427">
        <v>71955.44</v>
      </c>
      <c r="G10427">
        <v>0</v>
      </c>
      <c r="H10427">
        <v>0</v>
      </c>
      <c r="I10427">
        <v>0</v>
      </c>
      <c r="J10427">
        <v>0</v>
      </c>
      <c r="K10427">
        <v>0</v>
      </c>
      <c r="L10427">
        <v>31750000</v>
      </c>
      <c r="M10427">
        <v>31750000</v>
      </c>
      <c r="N10427">
        <v>11112500</v>
      </c>
      <c r="O10427">
        <v>11112500</v>
      </c>
      <c r="P10427">
        <v>31750000</v>
      </c>
      <c r="Q10427">
        <v>31750000</v>
      </c>
      <c r="R10427" s="14">
        <f>_xlfn.XLOOKUP(Table2[[#This Row],[LoanID]],Table1[G-L ID],Table1[ManagerCode],-99)</f>
        <v>183</v>
      </c>
      <c r="T10427"/>
    </row>
    <row r="10428" spans="1:20" x14ac:dyDescent="0.25">
      <c r="A10428">
        <v>20200229</v>
      </c>
      <c r="B10428">
        <v>2020</v>
      </c>
      <c r="C10428">
        <v>2</v>
      </c>
      <c r="D10428">
        <v>1</v>
      </c>
      <c r="E10428">
        <v>13410</v>
      </c>
      <c r="F10428">
        <v>66506.48</v>
      </c>
      <c r="G10428">
        <v>0</v>
      </c>
      <c r="H10428">
        <v>0</v>
      </c>
      <c r="I10428">
        <v>0</v>
      </c>
      <c r="J10428">
        <v>-103125.09</v>
      </c>
      <c r="K10428">
        <v>0</v>
      </c>
      <c r="L10428">
        <v>35306796.990000002</v>
      </c>
      <c r="M10428">
        <v>35409922.079999998</v>
      </c>
      <c r="N10428">
        <v>14436796.99</v>
      </c>
      <c r="O10428">
        <v>14539922.08</v>
      </c>
      <c r="P10428">
        <v>35306796.990000002</v>
      </c>
      <c r="Q10428">
        <v>35409922.079999998</v>
      </c>
      <c r="R10428" s="14">
        <f>_xlfn.XLOOKUP(Table2[[#This Row],[LoanID]],Table1[G-L ID],Table1[ManagerCode],-99)</f>
        <v>183</v>
      </c>
      <c r="T10428"/>
    </row>
    <row r="10429" spans="1:20" x14ac:dyDescent="0.25">
      <c r="A10429">
        <v>20200229</v>
      </c>
      <c r="B10429">
        <v>2020</v>
      </c>
      <c r="C10429">
        <v>2</v>
      </c>
      <c r="D10429">
        <v>1</v>
      </c>
      <c r="E10429">
        <v>13420</v>
      </c>
      <c r="F10429">
        <v>59312.54</v>
      </c>
      <c r="G10429">
        <v>0</v>
      </c>
      <c r="H10429">
        <v>0</v>
      </c>
      <c r="I10429">
        <v>0</v>
      </c>
      <c r="J10429">
        <v>-177263.28</v>
      </c>
      <c r="K10429">
        <v>0</v>
      </c>
      <c r="L10429">
        <v>30614578.649999999</v>
      </c>
      <c r="M10429">
        <v>30791841.93</v>
      </c>
      <c r="N10429">
        <v>14119665.65</v>
      </c>
      <c r="O10429">
        <v>14296928.93</v>
      </c>
      <c r="P10429">
        <v>30614578.649999999</v>
      </c>
      <c r="Q10429">
        <v>30791841.93</v>
      </c>
      <c r="R10429" s="14">
        <f>_xlfn.XLOOKUP(Table2[[#This Row],[LoanID]],Table1[G-L ID],Table1[ManagerCode],-99)</f>
        <v>183</v>
      </c>
      <c r="T10429"/>
    </row>
    <row r="10430" spans="1:20" x14ac:dyDescent="0.25">
      <c r="A10430">
        <v>20200229</v>
      </c>
      <c r="B10430">
        <v>2020</v>
      </c>
      <c r="C10430">
        <v>2</v>
      </c>
      <c r="D10430">
        <v>1</v>
      </c>
      <c r="E10430">
        <v>13430</v>
      </c>
      <c r="F10430">
        <v>179532.01</v>
      </c>
      <c r="G10430">
        <v>0</v>
      </c>
      <c r="H10430">
        <v>0</v>
      </c>
      <c r="I10430">
        <v>0</v>
      </c>
      <c r="J10430">
        <v>0</v>
      </c>
      <c r="K10430">
        <v>0</v>
      </c>
      <c r="L10430">
        <v>75184698</v>
      </c>
      <c r="M10430">
        <v>75184698</v>
      </c>
      <c r="N10430">
        <v>31067051</v>
      </c>
      <c r="O10430">
        <v>31067051</v>
      </c>
      <c r="P10430">
        <v>75000000</v>
      </c>
      <c r="Q10430">
        <v>75000000</v>
      </c>
      <c r="R10430" s="14">
        <f>_xlfn.XLOOKUP(Table2[[#This Row],[LoanID]],Table1[G-L ID],Table1[ManagerCode],-99)</f>
        <v>183</v>
      </c>
      <c r="T10430"/>
    </row>
    <row r="10431" spans="1:20" x14ac:dyDescent="0.25">
      <c r="A10431">
        <v>20200229</v>
      </c>
      <c r="B10431">
        <v>2020</v>
      </c>
      <c r="C10431">
        <v>2</v>
      </c>
      <c r="D10431">
        <v>1</v>
      </c>
      <c r="E10431">
        <v>13440</v>
      </c>
      <c r="F10431">
        <v>0</v>
      </c>
      <c r="G10431">
        <v>123822.04</v>
      </c>
      <c r="H10431">
        <v>0</v>
      </c>
      <c r="I10431">
        <v>0</v>
      </c>
      <c r="J10431">
        <v>0</v>
      </c>
      <c r="K10431">
        <v>0</v>
      </c>
      <c r="L10431">
        <v>12504811.66</v>
      </c>
      <c r="M10431">
        <v>12628633.699999999</v>
      </c>
      <c r="N10431">
        <v>12504811.66</v>
      </c>
      <c r="O10431">
        <v>12628633.699999999</v>
      </c>
      <c r="P10431">
        <v>12504811.66</v>
      </c>
      <c r="Q10431">
        <v>12628633.699999999</v>
      </c>
      <c r="R10431" s="14">
        <f>_xlfn.XLOOKUP(Table2[[#This Row],[LoanID]],Table1[G-L ID],Table1[ManagerCode],-99)</f>
        <v>183</v>
      </c>
      <c r="T10431"/>
    </row>
    <row r="10432" spans="1:20" x14ac:dyDescent="0.25">
      <c r="A10432">
        <v>20200229</v>
      </c>
      <c r="B10432">
        <v>2020</v>
      </c>
      <c r="C10432">
        <v>2</v>
      </c>
      <c r="D10432">
        <v>1</v>
      </c>
      <c r="E10432">
        <v>13450</v>
      </c>
      <c r="F10432">
        <v>0</v>
      </c>
      <c r="G10432">
        <v>147928.49</v>
      </c>
      <c r="H10432">
        <v>0</v>
      </c>
      <c r="I10432">
        <v>0</v>
      </c>
      <c r="J10432">
        <v>0</v>
      </c>
      <c r="K10432">
        <v>0</v>
      </c>
      <c r="L10432">
        <v>13802172.869999999</v>
      </c>
      <c r="M10432">
        <v>13950101.359999999</v>
      </c>
      <c r="N10432">
        <v>13802172.869999999</v>
      </c>
      <c r="O10432">
        <v>13950101.359999999</v>
      </c>
      <c r="P10432">
        <v>13802172.869999999</v>
      </c>
      <c r="Q10432">
        <v>13950101.359999999</v>
      </c>
      <c r="R10432" s="14">
        <f>_xlfn.XLOOKUP(Table2[[#This Row],[LoanID]],Table1[G-L ID],Table1[ManagerCode],-99)</f>
        <v>183</v>
      </c>
      <c r="T10432"/>
    </row>
    <row r="10433" spans="1:20" x14ac:dyDescent="0.25">
      <c r="A10433">
        <v>20200229</v>
      </c>
      <c r="B10433">
        <v>2020</v>
      </c>
      <c r="C10433">
        <v>2</v>
      </c>
      <c r="D10433">
        <v>1</v>
      </c>
      <c r="E10433">
        <v>13460</v>
      </c>
      <c r="F10433">
        <v>22184.53</v>
      </c>
      <c r="G10433">
        <v>24103.35</v>
      </c>
      <c r="H10433">
        <v>0</v>
      </c>
      <c r="I10433">
        <v>0</v>
      </c>
      <c r="J10433">
        <v>-606742.76</v>
      </c>
      <c r="K10433">
        <v>0</v>
      </c>
      <c r="L10433">
        <v>5108802.84</v>
      </c>
      <c r="M10433">
        <v>5739648.9500000002</v>
      </c>
      <c r="N10433">
        <v>5108802.84</v>
      </c>
      <c r="O10433">
        <v>5739648.9500000002</v>
      </c>
      <c r="P10433">
        <v>5108802.84</v>
      </c>
      <c r="Q10433">
        <v>5739648.9500000002</v>
      </c>
      <c r="R10433" s="14">
        <f>_xlfn.XLOOKUP(Table2[[#This Row],[LoanID]],Table1[G-L ID],Table1[ManagerCode],-99)</f>
        <v>183</v>
      </c>
      <c r="T10433"/>
    </row>
    <row r="10434" spans="1:20" x14ac:dyDescent="0.25">
      <c r="A10434">
        <v>20200229</v>
      </c>
      <c r="B10434">
        <v>2020</v>
      </c>
      <c r="C10434">
        <v>2</v>
      </c>
      <c r="D10434">
        <v>1</v>
      </c>
      <c r="E10434">
        <v>13470</v>
      </c>
      <c r="F10434">
        <v>360026.04</v>
      </c>
      <c r="G10434">
        <v>0</v>
      </c>
      <c r="H10434">
        <v>0</v>
      </c>
      <c r="I10434">
        <v>0</v>
      </c>
      <c r="J10434">
        <v>0</v>
      </c>
      <c r="K10434">
        <v>0</v>
      </c>
      <c r="L10434">
        <v>62500000</v>
      </c>
      <c r="M10434">
        <v>62500000</v>
      </c>
      <c r="N10434">
        <v>62500000</v>
      </c>
      <c r="O10434">
        <v>62500000</v>
      </c>
      <c r="P10434">
        <v>62500000</v>
      </c>
      <c r="Q10434">
        <v>62500000</v>
      </c>
      <c r="R10434" s="14">
        <f>_xlfn.XLOOKUP(Table2[[#This Row],[LoanID]],Table1[G-L ID],Table1[ManagerCode],-99)</f>
        <v>165</v>
      </c>
      <c r="T10434"/>
    </row>
    <row r="10435" spans="1:20" x14ac:dyDescent="0.25">
      <c r="A10435">
        <v>20200229</v>
      </c>
      <c r="B10435">
        <v>2020</v>
      </c>
      <c r="C10435">
        <v>2</v>
      </c>
      <c r="D10435">
        <v>1</v>
      </c>
      <c r="E10435">
        <v>13480</v>
      </c>
      <c r="F10435">
        <v>327618.34000000003</v>
      </c>
      <c r="G10435">
        <v>0</v>
      </c>
      <c r="H10435">
        <v>0</v>
      </c>
      <c r="I10435">
        <v>0</v>
      </c>
      <c r="J10435">
        <v>0</v>
      </c>
      <c r="K10435">
        <v>0</v>
      </c>
      <c r="L10435">
        <v>39000000</v>
      </c>
      <c r="M10435">
        <v>39000000</v>
      </c>
      <c r="N10435">
        <v>39000000</v>
      </c>
      <c r="O10435">
        <v>39000000</v>
      </c>
      <c r="P10435">
        <v>39000000</v>
      </c>
      <c r="Q10435">
        <v>39000000</v>
      </c>
      <c r="R10435" s="14">
        <f>_xlfn.XLOOKUP(Table2[[#This Row],[LoanID]],Table1[G-L ID],Table1[ManagerCode],-99)</f>
        <v>165</v>
      </c>
      <c r="T10435"/>
    </row>
    <row r="10436" spans="1:20" x14ac:dyDescent="0.25">
      <c r="A10436">
        <v>20200229</v>
      </c>
      <c r="B10436">
        <v>2020</v>
      </c>
      <c r="C10436">
        <v>2</v>
      </c>
      <c r="D10436">
        <v>1</v>
      </c>
      <c r="E10436">
        <v>13490</v>
      </c>
      <c r="F10436">
        <v>303800</v>
      </c>
      <c r="G10436">
        <v>0</v>
      </c>
      <c r="H10436">
        <v>0</v>
      </c>
      <c r="I10436">
        <v>0</v>
      </c>
      <c r="J10436">
        <v>0</v>
      </c>
      <c r="K10436">
        <v>0</v>
      </c>
      <c r="L10436">
        <v>40000000</v>
      </c>
      <c r="M10436">
        <v>40000000</v>
      </c>
      <c r="N10436">
        <v>40000000</v>
      </c>
      <c r="O10436">
        <v>40000000</v>
      </c>
      <c r="P10436">
        <v>40000000</v>
      </c>
      <c r="Q10436">
        <v>40000000</v>
      </c>
      <c r="R10436" s="14">
        <f>_xlfn.XLOOKUP(Table2[[#This Row],[LoanID]],Table1[G-L ID],Table1[ManagerCode],-99)</f>
        <v>165</v>
      </c>
      <c r="T10436"/>
    </row>
    <row r="10437" spans="1:20" x14ac:dyDescent="0.25">
      <c r="A10437">
        <v>20200229</v>
      </c>
      <c r="B10437">
        <v>2020</v>
      </c>
      <c r="C10437">
        <v>2</v>
      </c>
      <c r="D10437">
        <v>1</v>
      </c>
      <c r="E10437">
        <v>13500</v>
      </c>
      <c r="F10437">
        <v>283628.46999999997</v>
      </c>
      <c r="G10437">
        <v>0</v>
      </c>
      <c r="H10437">
        <v>0</v>
      </c>
      <c r="I10437">
        <v>0</v>
      </c>
      <c r="J10437">
        <v>0</v>
      </c>
      <c r="K10437">
        <v>0</v>
      </c>
      <c r="L10437">
        <v>42500000</v>
      </c>
      <c r="M10437">
        <v>42500000</v>
      </c>
      <c r="N10437">
        <v>42500000</v>
      </c>
      <c r="O10437">
        <v>42500000</v>
      </c>
      <c r="P10437">
        <v>42500000</v>
      </c>
      <c r="Q10437">
        <v>42500000</v>
      </c>
      <c r="R10437" s="14">
        <f>_xlfn.XLOOKUP(Table2[[#This Row],[LoanID]],Table1[G-L ID],Table1[ManagerCode],-99)</f>
        <v>165</v>
      </c>
      <c r="T10437"/>
    </row>
    <row r="10438" spans="1:20" x14ac:dyDescent="0.25">
      <c r="A10438">
        <v>20200229</v>
      </c>
      <c r="B10438">
        <v>2020</v>
      </c>
      <c r="C10438">
        <v>2</v>
      </c>
      <c r="D10438">
        <v>1</v>
      </c>
      <c r="E10438">
        <v>13510</v>
      </c>
      <c r="F10438">
        <v>317750</v>
      </c>
      <c r="G10438">
        <v>0</v>
      </c>
      <c r="H10438">
        <v>0</v>
      </c>
      <c r="I10438">
        <v>0</v>
      </c>
      <c r="J10438">
        <v>0</v>
      </c>
      <c r="K10438">
        <v>0</v>
      </c>
      <c r="L10438">
        <v>90000000</v>
      </c>
      <c r="M10438">
        <v>90000000</v>
      </c>
      <c r="N10438">
        <v>90000000</v>
      </c>
      <c r="O10438">
        <v>90000000</v>
      </c>
      <c r="P10438">
        <v>90000000</v>
      </c>
      <c r="Q10438">
        <v>90000000</v>
      </c>
      <c r="R10438" s="14">
        <f>_xlfn.XLOOKUP(Table2[[#This Row],[LoanID]],Table1[G-L ID],Table1[ManagerCode],-99)</f>
        <v>165</v>
      </c>
      <c r="T10438"/>
    </row>
    <row r="10439" spans="1:20" x14ac:dyDescent="0.25">
      <c r="A10439">
        <v>20200229</v>
      </c>
      <c r="B10439">
        <v>2020</v>
      </c>
      <c r="C10439">
        <v>2</v>
      </c>
      <c r="D10439">
        <v>1</v>
      </c>
      <c r="E10439">
        <v>13520</v>
      </c>
      <c r="F10439">
        <v>860572.92</v>
      </c>
      <c r="G10439">
        <v>0</v>
      </c>
      <c r="H10439">
        <v>0</v>
      </c>
      <c r="I10439">
        <v>0</v>
      </c>
      <c r="J10439">
        <v>0</v>
      </c>
      <c r="K10439">
        <v>0</v>
      </c>
      <c r="L10439">
        <v>195000000</v>
      </c>
      <c r="M10439">
        <v>195000000</v>
      </c>
      <c r="N10439">
        <v>195000000</v>
      </c>
      <c r="O10439">
        <v>195000000</v>
      </c>
      <c r="P10439">
        <v>195000000</v>
      </c>
      <c r="Q10439">
        <v>195000000</v>
      </c>
      <c r="R10439" s="14">
        <f>_xlfn.XLOOKUP(Table2[[#This Row],[LoanID]],Table1[G-L ID],Table1[ManagerCode],-99)</f>
        <v>165</v>
      </c>
      <c r="T10439"/>
    </row>
    <row r="10440" spans="1:20" x14ac:dyDescent="0.25">
      <c r="A10440">
        <v>20200229</v>
      </c>
      <c r="B10440">
        <v>2020</v>
      </c>
      <c r="C10440">
        <v>2</v>
      </c>
      <c r="D10440">
        <v>1</v>
      </c>
      <c r="E10440">
        <v>13530</v>
      </c>
      <c r="F10440">
        <v>403645.83</v>
      </c>
      <c r="G10440">
        <v>0</v>
      </c>
      <c r="H10440">
        <v>0</v>
      </c>
      <c r="I10440">
        <v>0</v>
      </c>
      <c r="J10440">
        <v>0</v>
      </c>
      <c r="K10440">
        <v>0</v>
      </c>
      <c r="L10440">
        <v>75000000</v>
      </c>
      <c r="M10440">
        <v>75000000</v>
      </c>
      <c r="N10440">
        <v>75000000</v>
      </c>
      <c r="O10440">
        <v>75000000</v>
      </c>
      <c r="P10440">
        <v>75000000</v>
      </c>
      <c r="Q10440">
        <v>75000000</v>
      </c>
      <c r="R10440" s="14">
        <f>_xlfn.XLOOKUP(Table2[[#This Row],[LoanID]],Table1[G-L ID],Table1[ManagerCode],-99)</f>
        <v>165</v>
      </c>
      <c r="T10440"/>
    </row>
    <row r="10441" spans="1:20" x14ac:dyDescent="0.25">
      <c r="A10441">
        <v>20200229</v>
      </c>
      <c r="B10441">
        <v>2020</v>
      </c>
      <c r="C10441">
        <v>2</v>
      </c>
      <c r="D10441">
        <v>1</v>
      </c>
      <c r="E10441">
        <v>13550</v>
      </c>
      <c r="F10441">
        <v>1682872.91</v>
      </c>
      <c r="G10441">
        <v>0</v>
      </c>
      <c r="H10441">
        <v>0</v>
      </c>
      <c r="I10441">
        <v>0</v>
      </c>
      <c r="J10441">
        <v>0</v>
      </c>
      <c r="K10441">
        <v>0</v>
      </c>
      <c r="L10441">
        <v>355328004.80000001</v>
      </c>
      <c r="M10441">
        <v>355328004.80000001</v>
      </c>
      <c r="N10441">
        <v>355328004.80000001</v>
      </c>
      <c r="O10441">
        <v>355328004.80000001</v>
      </c>
      <c r="P10441">
        <v>355328004.80000001</v>
      </c>
      <c r="Q10441">
        <v>355328004.80000001</v>
      </c>
      <c r="R10441" s="14">
        <f>_xlfn.XLOOKUP(Table2[[#This Row],[LoanID]],Table1[G-L ID],Table1[ManagerCode],-99)</f>
        <v>165</v>
      </c>
      <c r="T10441"/>
    </row>
    <row r="10442" spans="1:20" x14ac:dyDescent="0.25">
      <c r="A10442">
        <v>20200229</v>
      </c>
      <c r="B10442">
        <v>2020</v>
      </c>
      <c r="C10442">
        <v>2</v>
      </c>
      <c r="D10442">
        <v>1</v>
      </c>
      <c r="E10442">
        <v>13560</v>
      </c>
      <c r="F10442">
        <v>558413.32999999996</v>
      </c>
      <c r="G10442">
        <v>-36770.410000000003</v>
      </c>
      <c r="H10442">
        <v>0</v>
      </c>
      <c r="I10442">
        <v>0</v>
      </c>
      <c r="J10442">
        <v>0</v>
      </c>
      <c r="K10442">
        <v>0</v>
      </c>
      <c r="L10442">
        <v>105306226.7</v>
      </c>
      <c r="M10442">
        <v>105269456.3</v>
      </c>
      <c r="N10442">
        <v>105306226.7</v>
      </c>
      <c r="O10442">
        <v>105269456.3</v>
      </c>
      <c r="P10442">
        <v>105306226.7</v>
      </c>
      <c r="Q10442">
        <v>105269456.3</v>
      </c>
      <c r="R10442" s="14">
        <f>_xlfn.XLOOKUP(Table2[[#This Row],[LoanID]],Table1[G-L ID],Table1[ManagerCode],-99)</f>
        <v>219</v>
      </c>
      <c r="T10442"/>
    </row>
    <row r="10443" spans="1:20" x14ac:dyDescent="0.25">
      <c r="A10443">
        <v>20200229</v>
      </c>
      <c r="B10443">
        <v>2020</v>
      </c>
      <c r="C10443">
        <v>2</v>
      </c>
      <c r="D10443">
        <v>1</v>
      </c>
      <c r="E10443">
        <v>13580</v>
      </c>
      <c r="F10443">
        <v>429479.17</v>
      </c>
      <c r="G10443">
        <v>0</v>
      </c>
      <c r="H10443">
        <v>0</v>
      </c>
      <c r="I10443">
        <v>0</v>
      </c>
      <c r="J10443">
        <v>0</v>
      </c>
      <c r="K10443">
        <v>0</v>
      </c>
      <c r="L10443">
        <v>64241597.189999998</v>
      </c>
      <c r="M10443">
        <v>64309804.439999998</v>
      </c>
      <c r="N10443">
        <v>64241597.189999998</v>
      </c>
      <c r="O10443">
        <v>64309804.439999998</v>
      </c>
      <c r="P10443">
        <v>66500000</v>
      </c>
      <c r="Q10443">
        <v>66500000</v>
      </c>
      <c r="R10443" s="14">
        <f>_xlfn.XLOOKUP(Table2[[#This Row],[LoanID]],Table1[G-L ID],Table1[ManagerCode],-99)</f>
        <v>298</v>
      </c>
      <c r="T10443"/>
    </row>
    <row r="10444" spans="1:20" x14ac:dyDescent="0.25">
      <c r="A10444">
        <v>20200229</v>
      </c>
      <c r="B10444">
        <v>2020</v>
      </c>
      <c r="C10444">
        <v>2</v>
      </c>
      <c r="D10444">
        <v>1</v>
      </c>
      <c r="E10444">
        <v>13600</v>
      </c>
      <c r="F10444">
        <v>379029.03</v>
      </c>
      <c r="G10444">
        <v>0</v>
      </c>
      <c r="H10444">
        <v>0</v>
      </c>
      <c r="I10444">
        <v>0</v>
      </c>
      <c r="J10444">
        <v>0</v>
      </c>
      <c r="K10444">
        <v>0</v>
      </c>
      <c r="L10444">
        <v>45970000</v>
      </c>
      <c r="M10444">
        <v>45970000</v>
      </c>
      <c r="N10444">
        <v>45970000</v>
      </c>
      <c r="O10444">
        <v>45970000</v>
      </c>
      <c r="P10444">
        <v>45970000</v>
      </c>
      <c r="Q10444">
        <v>45970000</v>
      </c>
      <c r="R10444" s="14">
        <f>_xlfn.XLOOKUP(Table2[[#This Row],[LoanID]],Table1[G-L ID],Table1[ManagerCode],-99)</f>
        <v>298</v>
      </c>
      <c r="T10444"/>
    </row>
    <row r="10445" spans="1:20" x14ac:dyDescent="0.25">
      <c r="A10445">
        <v>20200229</v>
      </c>
      <c r="B10445">
        <v>2020</v>
      </c>
      <c r="C10445">
        <v>2</v>
      </c>
      <c r="D10445">
        <v>1</v>
      </c>
      <c r="E10445">
        <v>13610</v>
      </c>
      <c r="F10445">
        <v>63291.67</v>
      </c>
      <c r="G10445">
        <v>0</v>
      </c>
      <c r="H10445">
        <v>0</v>
      </c>
      <c r="I10445">
        <v>0</v>
      </c>
      <c r="J10445">
        <v>0</v>
      </c>
      <c r="K10445">
        <v>0</v>
      </c>
      <c r="L10445">
        <v>10385796.220000001</v>
      </c>
      <c r="M10445">
        <v>10385796.220000001</v>
      </c>
      <c r="N10445">
        <v>10385796.220000001</v>
      </c>
      <c r="O10445">
        <v>10385796.220000001</v>
      </c>
      <c r="P10445">
        <v>10500000</v>
      </c>
      <c r="Q10445">
        <v>10500000</v>
      </c>
      <c r="R10445" s="14">
        <f>_xlfn.XLOOKUP(Table2[[#This Row],[LoanID]],Table1[G-L ID],Table1[ManagerCode],-99)</f>
        <v>298</v>
      </c>
      <c r="T10445"/>
    </row>
    <row r="10446" spans="1:20" x14ac:dyDescent="0.25">
      <c r="A10446">
        <v>20200229</v>
      </c>
      <c r="B10446">
        <v>2020</v>
      </c>
      <c r="C10446">
        <v>2</v>
      </c>
      <c r="D10446">
        <v>1</v>
      </c>
      <c r="E10446">
        <v>13620</v>
      </c>
      <c r="F10446">
        <v>336995.83</v>
      </c>
      <c r="G10446">
        <v>0</v>
      </c>
      <c r="H10446">
        <v>0</v>
      </c>
      <c r="I10446">
        <v>0</v>
      </c>
      <c r="J10446">
        <v>0</v>
      </c>
      <c r="K10446">
        <v>0</v>
      </c>
      <c r="L10446">
        <v>49865510.369999997</v>
      </c>
      <c r="M10446">
        <v>49865510.369999997</v>
      </c>
      <c r="N10446">
        <v>49865510.369999997</v>
      </c>
      <c r="O10446">
        <v>49865510.369999997</v>
      </c>
      <c r="P10446">
        <v>50000000</v>
      </c>
      <c r="Q10446">
        <v>50000000</v>
      </c>
      <c r="R10446" s="14">
        <f>_xlfn.XLOOKUP(Table2[[#This Row],[LoanID]],Table1[G-L ID],Table1[ManagerCode],-99)</f>
        <v>298</v>
      </c>
      <c r="T10446"/>
    </row>
    <row r="10447" spans="1:20" x14ac:dyDescent="0.25">
      <c r="A10447">
        <v>20200229</v>
      </c>
      <c r="B10447">
        <v>2020</v>
      </c>
      <c r="C10447">
        <v>2</v>
      </c>
      <c r="D10447">
        <v>1</v>
      </c>
      <c r="E10447">
        <v>13630</v>
      </c>
      <c r="F10447">
        <v>218506.94</v>
      </c>
      <c r="G10447">
        <v>0</v>
      </c>
      <c r="H10447">
        <v>0</v>
      </c>
      <c r="I10447">
        <v>0</v>
      </c>
      <c r="J10447">
        <v>0</v>
      </c>
      <c r="K10447">
        <v>0</v>
      </c>
      <c r="L10447">
        <v>22527136.07</v>
      </c>
      <c r="M10447">
        <v>22527136.07</v>
      </c>
      <c r="N10447">
        <v>22527136.07</v>
      </c>
      <c r="O10447">
        <v>22527136.07</v>
      </c>
      <c r="P10447">
        <v>35000000</v>
      </c>
      <c r="Q10447">
        <v>35000000</v>
      </c>
      <c r="R10447" s="14">
        <f>_xlfn.XLOOKUP(Table2[[#This Row],[LoanID]],Table1[G-L ID],Table1[ManagerCode],-99)</f>
        <v>298</v>
      </c>
      <c r="T10447"/>
    </row>
    <row r="10448" spans="1:20" x14ac:dyDescent="0.25">
      <c r="A10448">
        <v>20200229</v>
      </c>
      <c r="B10448">
        <v>2020</v>
      </c>
      <c r="C10448">
        <v>2</v>
      </c>
      <c r="D10448">
        <v>1</v>
      </c>
      <c r="E10448">
        <v>13640</v>
      </c>
      <c r="F10448">
        <v>226983.51</v>
      </c>
      <c r="G10448">
        <v>0</v>
      </c>
      <c r="H10448">
        <v>0</v>
      </c>
      <c r="I10448">
        <v>0</v>
      </c>
      <c r="J10448">
        <v>0</v>
      </c>
      <c r="K10448">
        <v>0</v>
      </c>
      <c r="L10448">
        <v>30234429.84</v>
      </c>
      <c r="M10448">
        <v>30234429.84</v>
      </c>
      <c r="N10448">
        <v>30234429.84</v>
      </c>
      <c r="O10448">
        <v>30234429.84</v>
      </c>
      <c r="P10448">
        <v>30125000</v>
      </c>
      <c r="Q10448">
        <v>30125000</v>
      </c>
      <c r="R10448" s="14">
        <f>_xlfn.XLOOKUP(Table2[[#This Row],[LoanID]],Table1[G-L ID],Table1[ManagerCode],-99)</f>
        <v>298</v>
      </c>
      <c r="T10448"/>
    </row>
    <row r="10449" spans="1:20" x14ac:dyDescent="0.25">
      <c r="A10449">
        <v>20200229</v>
      </c>
      <c r="B10449">
        <v>2020</v>
      </c>
      <c r="C10449">
        <v>2</v>
      </c>
      <c r="D10449">
        <v>1</v>
      </c>
      <c r="E10449">
        <v>13650</v>
      </c>
      <c r="F10449">
        <v>223888.89</v>
      </c>
      <c r="G10449">
        <v>0</v>
      </c>
      <c r="H10449">
        <v>0</v>
      </c>
      <c r="I10449">
        <v>0</v>
      </c>
      <c r="J10449">
        <v>0</v>
      </c>
      <c r="K10449">
        <v>0</v>
      </c>
      <c r="L10449">
        <v>39537559.880000003</v>
      </c>
      <c r="M10449">
        <v>39537559.880000003</v>
      </c>
      <c r="N10449">
        <v>39537559.880000003</v>
      </c>
      <c r="O10449">
        <v>39537559.880000003</v>
      </c>
      <c r="P10449">
        <v>40000000</v>
      </c>
      <c r="Q10449">
        <v>40000000</v>
      </c>
      <c r="R10449" s="14">
        <f>_xlfn.XLOOKUP(Table2[[#This Row],[LoanID]],Table1[G-L ID],Table1[ManagerCode],-99)</f>
        <v>298</v>
      </c>
      <c r="T10449"/>
    </row>
    <row r="10450" spans="1:20" x14ac:dyDescent="0.25">
      <c r="A10450">
        <v>20200229</v>
      </c>
      <c r="B10450">
        <v>2020</v>
      </c>
      <c r="C10450">
        <v>2</v>
      </c>
      <c r="D10450">
        <v>1</v>
      </c>
      <c r="E10450">
        <v>13660</v>
      </c>
      <c r="F10450">
        <v>117972.22</v>
      </c>
      <c r="G10450">
        <v>0</v>
      </c>
      <c r="H10450">
        <v>0</v>
      </c>
      <c r="I10450">
        <v>0</v>
      </c>
      <c r="J10450">
        <v>0</v>
      </c>
      <c r="K10450">
        <v>0</v>
      </c>
      <c r="L10450">
        <v>19633684.649999999</v>
      </c>
      <c r="M10450">
        <v>19633684.649999999</v>
      </c>
      <c r="N10450">
        <v>19633684.649999999</v>
      </c>
      <c r="O10450">
        <v>19633684.649999999</v>
      </c>
      <c r="P10450">
        <v>20000000</v>
      </c>
      <c r="Q10450">
        <v>20000000</v>
      </c>
      <c r="R10450" s="14">
        <f>_xlfn.XLOOKUP(Table2[[#This Row],[LoanID]],Table1[G-L ID],Table1[ManagerCode],-99)</f>
        <v>298</v>
      </c>
      <c r="T10450"/>
    </row>
    <row r="10451" spans="1:20" x14ac:dyDescent="0.25">
      <c r="A10451">
        <v>20200229</v>
      </c>
      <c r="B10451">
        <v>2020</v>
      </c>
      <c r="C10451">
        <v>2</v>
      </c>
      <c r="D10451">
        <v>1</v>
      </c>
      <c r="E10451">
        <v>13670</v>
      </c>
      <c r="F10451">
        <v>0</v>
      </c>
      <c r="G10451">
        <v>0</v>
      </c>
      <c r="H10451">
        <v>0</v>
      </c>
      <c r="I10451">
        <v>0</v>
      </c>
      <c r="J10451">
        <v>0</v>
      </c>
      <c r="K10451">
        <v>0</v>
      </c>
      <c r="L10451">
        <v>11889143.83</v>
      </c>
      <c r="M10451">
        <v>11889143.83</v>
      </c>
      <c r="N10451">
        <v>11889143.83</v>
      </c>
      <c r="O10451">
        <v>11889143.83</v>
      </c>
      <c r="P10451">
        <v>40470735.259999998</v>
      </c>
      <c r="Q10451">
        <v>40863266.729999997</v>
      </c>
      <c r="R10451" s="14">
        <f>_xlfn.XLOOKUP(Table2[[#This Row],[LoanID]],Table1[G-L ID],Table1[ManagerCode],-99)</f>
        <v>298</v>
      </c>
      <c r="T10451"/>
    </row>
    <row r="10452" spans="1:20" x14ac:dyDescent="0.25">
      <c r="A10452">
        <v>20200229</v>
      </c>
      <c r="B10452">
        <v>2020</v>
      </c>
      <c r="C10452">
        <v>2</v>
      </c>
      <c r="D10452">
        <v>1</v>
      </c>
      <c r="E10452">
        <v>13690</v>
      </c>
      <c r="F10452">
        <v>258333.33</v>
      </c>
      <c r="G10452">
        <v>0</v>
      </c>
      <c r="H10452">
        <v>0</v>
      </c>
      <c r="I10452">
        <v>0</v>
      </c>
      <c r="J10452">
        <v>0</v>
      </c>
      <c r="K10452">
        <v>0</v>
      </c>
      <c r="L10452">
        <v>20825761.02</v>
      </c>
      <c r="M10452">
        <v>20825761.02</v>
      </c>
      <c r="N10452">
        <v>20825761.02</v>
      </c>
      <c r="O10452">
        <v>20825761.02</v>
      </c>
      <c r="P10452">
        <v>20000000</v>
      </c>
      <c r="Q10452">
        <v>20000000</v>
      </c>
      <c r="R10452" s="14">
        <f>_xlfn.XLOOKUP(Table2[[#This Row],[LoanID]],Table1[G-L ID],Table1[ManagerCode],-99)</f>
        <v>298</v>
      </c>
      <c r="T10452"/>
    </row>
    <row r="10453" spans="1:20" x14ac:dyDescent="0.25">
      <c r="A10453">
        <v>20200229</v>
      </c>
      <c r="B10453">
        <v>2020</v>
      </c>
      <c r="C10453">
        <v>2</v>
      </c>
      <c r="D10453">
        <v>1</v>
      </c>
      <c r="E10453">
        <v>13790</v>
      </c>
      <c r="F10453">
        <v>145724.97</v>
      </c>
      <c r="G10453">
        <v>-9980.1299999999992</v>
      </c>
      <c r="H10453">
        <v>0</v>
      </c>
      <c r="I10453">
        <v>0</v>
      </c>
      <c r="J10453">
        <v>0</v>
      </c>
      <c r="K10453">
        <v>0</v>
      </c>
      <c r="L10453">
        <v>20745711.239999998</v>
      </c>
      <c r="M10453">
        <v>20735731.109999999</v>
      </c>
      <c r="N10453">
        <v>20745711.239999998</v>
      </c>
      <c r="O10453">
        <v>20735731.109999999</v>
      </c>
      <c r="P10453">
        <v>20745711.239999998</v>
      </c>
      <c r="Q10453">
        <v>20735731.109999999</v>
      </c>
      <c r="R10453" s="14">
        <f>_xlfn.XLOOKUP(Table2[[#This Row],[LoanID]],Table1[G-L ID],Table1[ManagerCode],-99)</f>
        <v>219</v>
      </c>
      <c r="T10453"/>
    </row>
    <row r="10454" spans="1:20" x14ac:dyDescent="0.25">
      <c r="A10454">
        <v>20200229</v>
      </c>
      <c r="B10454">
        <v>2020</v>
      </c>
      <c r="C10454">
        <v>2</v>
      </c>
      <c r="D10454">
        <v>1</v>
      </c>
      <c r="E10454">
        <v>13800</v>
      </c>
      <c r="F10454">
        <v>335961.31</v>
      </c>
      <c r="G10454">
        <v>0</v>
      </c>
      <c r="H10454">
        <v>0</v>
      </c>
      <c r="I10454">
        <v>0</v>
      </c>
      <c r="J10454">
        <v>0</v>
      </c>
      <c r="K10454">
        <v>0</v>
      </c>
      <c r="L10454">
        <v>80700000</v>
      </c>
      <c r="M10454">
        <v>80700000</v>
      </c>
      <c r="N10454">
        <v>32279999.719999999</v>
      </c>
      <c r="O10454">
        <v>32279999.719999999</v>
      </c>
      <c r="P10454">
        <v>80700000</v>
      </c>
      <c r="Q10454">
        <v>80700000</v>
      </c>
      <c r="R10454" s="14">
        <f>_xlfn.XLOOKUP(Table2[[#This Row],[LoanID]],Table1[G-L ID],Table1[ManagerCode],-99)</f>
        <v>183</v>
      </c>
      <c r="T10454"/>
    </row>
    <row r="10455" spans="1:20" x14ac:dyDescent="0.25">
      <c r="A10455">
        <v>20200229</v>
      </c>
      <c r="B10455">
        <v>2020</v>
      </c>
      <c r="C10455">
        <v>2</v>
      </c>
      <c r="D10455">
        <v>1</v>
      </c>
      <c r="E10455">
        <v>13810</v>
      </c>
      <c r="F10455">
        <v>124271.94</v>
      </c>
      <c r="G10455">
        <v>0</v>
      </c>
      <c r="H10455">
        <v>0</v>
      </c>
      <c r="I10455">
        <v>0</v>
      </c>
      <c r="J10455">
        <v>-332694.57</v>
      </c>
      <c r="K10455">
        <v>0</v>
      </c>
      <c r="L10455">
        <v>43703369.159999996</v>
      </c>
      <c r="M10455">
        <v>44036063.729999997</v>
      </c>
      <c r="N10455">
        <v>19577623.379999999</v>
      </c>
      <c r="O10455">
        <v>19910317.949999999</v>
      </c>
      <c r="P10455">
        <v>43726007.159999996</v>
      </c>
      <c r="Q10455">
        <v>44058701.729999997</v>
      </c>
      <c r="R10455" s="14">
        <f>_xlfn.XLOOKUP(Table2[[#This Row],[LoanID]],Table1[G-L ID],Table1[ManagerCode],-99)</f>
        <v>183</v>
      </c>
      <c r="T10455"/>
    </row>
    <row r="10456" spans="1:20" x14ac:dyDescent="0.25">
      <c r="A10456">
        <v>20200229</v>
      </c>
      <c r="B10456">
        <v>2020</v>
      </c>
      <c r="C10456">
        <v>2</v>
      </c>
      <c r="D10456">
        <v>1</v>
      </c>
      <c r="E10456">
        <v>13820</v>
      </c>
      <c r="F10456">
        <v>299868.36</v>
      </c>
      <c r="G10456">
        <v>0</v>
      </c>
      <c r="H10456">
        <v>0</v>
      </c>
      <c r="I10456">
        <v>0</v>
      </c>
      <c r="J10456">
        <v>0</v>
      </c>
      <c r="K10456">
        <v>0</v>
      </c>
      <c r="L10456">
        <v>66500000</v>
      </c>
      <c r="M10456">
        <v>66500000</v>
      </c>
      <c r="N10456">
        <v>66500000</v>
      </c>
      <c r="O10456">
        <v>66500000</v>
      </c>
      <c r="P10456">
        <v>66500000</v>
      </c>
      <c r="Q10456">
        <v>66500000</v>
      </c>
      <c r="R10456" s="14">
        <f>_xlfn.XLOOKUP(Table2[[#This Row],[LoanID]],Table1[G-L ID],Table1[ManagerCode],-99)</f>
        <v>183</v>
      </c>
      <c r="T10456"/>
    </row>
    <row r="10457" spans="1:20" x14ac:dyDescent="0.25">
      <c r="A10457">
        <v>20200229</v>
      </c>
      <c r="B10457">
        <v>2020</v>
      </c>
      <c r="C10457">
        <v>2</v>
      </c>
      <c r="D10457">
        <v>1</v>
      </c>
      <c r="E10457">
        <v>13830</v>
      </c>
      <c r="F10457">
        <v>196240.96</v>
      </c>
      <c r="G10457">
        <v>0</v>
      </c>
      <c r="H10457">
        <v>0</v>
      </c>
      <c r="I10457">
        <v>0</v>
      </c>
      <c r="J10457">
        <v>0</v>
      </c>
      <c r="K10457">
        <v>0</v>
      </c>
      <c r="L10457">
        <v>101000000</v>
      </c>
      <c r="M10457">
        <v>101000000</v>
      </c>
      <c r="N10457">
        <v>35350000</v>
      </c>
      <c r="O10457">
        <v>35350000</v>
      </c>
      <c r="P10457">
        <v>101000000</v>
      </c>
      <c r="Q10457">
        <v>101000000</v>
      </c>
      <c r="R10457" s="14">
        <f>_xlfn.XLOOKUP(Table2[[#This Row],[LoanID]],Table1[G-L ID],Table1[ManagerCode],-99)</f>
        <v>183</v>
      </c>
      <c r="T10457"/>
    </row>
    <row r="10458" spans="1:20" x14ac:dyDescent="0.25">
      <c r="A10458">
        <v>20200229</v>
      </c>
      <c r="B10458">
        <v>2020</v>
      </c>
      <c r="C10458">
        <v>2</v>
      </c>
      <c r="D10458">
        <v>1</v>
      </c>
      <c r="E10458">
        <v>14000</v>
      </c>
      <c r="F10458">
        <v>201478.51</v>
      </c>
      <c r="G10458">
        <v>0</v>
      </c>
      <c r="H10458">
        <v>0</v>
      </c>
      <c r="I10458">
        <v>0</v>
      </c>
      <c r="J10458">
        <v>0</v>
      </c>
      <c r="K10458">
        <v>0</v>
      </c>
      <c r="L10458">
        <v>98000000</v>
      </c>
      <c r="M10458">
        <v>98000000</v>
      </c>
      <c r="N10458">
        <v>39200000</v>
      </c>
      <c r="O10458">
        <v>39200000</v>
      </c>
      <c r="P10458">
        <v>98000000</v>
      </c>
      <c r="Q10458">
        <v>98000000</v>
      </c>
      <c r="R10458" s="14">
        <f>_xlfn.XLOOKUP(Table2[[#This Row],[LoanID]],Table1[G-L ID],Table1[ManagerCode],-99)</f>
        <v>183</v>
      </c>
      <c r="T10458"/>
    </row>
    <row r="10459" spans="1:20" x14ac:dyDescent="0.25">
      <c r="A10459">
        <v>20200229</v>
      </c>
      <c r="B10459">
        <v>2020</v>
      </c>
      <c r="C10459">
        <v>2</v>
      </c>
      <c r="D10459">
        <v>1</v>
      </c>
      <c r="E10459">
        <v>14660</v>
      </c>
      <c r="F10459">
        <v>141670</v>
      </c>
      <c r="G10459">
        <v>-9140</v>
      </c>
      <c r="H10459">
        <v>0</v>
      </c>
      <c r="I10459">
        <v>0</v>
      </c>
      <c r="J10459">
        <v>0</v>
      </c>
      <c r="K10459">
        <v>0</v>
      </c>
      <c r="L10459">
        <v>18141670</v>
      </c>
      <c r="M10459">
        <v>18132530</v>
      </c>
      <c r="N10459">
        <v>18141670</v>
      </c>
      <c r="O10459">
        <v>18132530</v>
      </c>
      <c r="P10459">
        <v>18141670</v>
      </c>
      <c r="Q10459">
        <v>18132530</v>
      </c>
      <c r="R10459" s="14">
        <f>_xlfn.XLOOKUP(Table2[[#This Row],[LoanID]],Table1[G-L ID],Table1[ManagerCode],-99)</f>
        <v>219</v>
      </c>
      <c r="T10459"/>
    </row>
    <row r="10460" spans="1:20" x14ac:dyDescent="0.25">
      <c r="A10460">
        <v>20200229</v>
      </c>
      <c r="B10460">
        <v>2020</v>
      </c>
      <c r="C10460">
        <v>2</v>
      </c>
      <c r="D10460">
        <v>1</v>
      </c>
      <c r="E10460">
        <v>14680</v>
      </c>
      <c r="F10460">
        <v>55605.86</v>
      </c>
      <c r="G10460">
        <v>0</v>
      </c>
      <c r="H10460">
        <v>0</v>
      </c>
      <c r="I10460">
        <v>0</v>
      </c>
      <c r="J10460">
        <v>0</v>
      </c>
      <c r="K10460">
        <v>0</v>
      </c>
      <c r="L10460">
        <v>30790000</v>
      </c>
      <c r="M10460">
        <v>30790000</v>
      </c>
      <c r="N10460">
        <v>8345011.7999999998</v>
      </c>
      <c r="O10460">
        <v>8345011.7999999998</v>
      </c>
      <c r="P10460">
        <v>30766174.010000002</v>
      </c>
      <c r="Q10460">
        <v>30766174.010000002</v>
      </c>
      <c r="R10460" s="14">
        <f>_xlfn.XLOOKUP(Table2[[#This Row],[LoanID]],Table1[G-L ID],Table1[ManagerCode],-99)</f>
        <v>220</v>
      </c>
      <c r="T10460"/>
    </row>
    <row r="10461" spans="1:20" x14ac:dyDescent="0.25">
      <c r="A10461">
        <v>20200229</v>
      </c>
      <c r="B10461">
        <v>2020</v>
      </c>
      <c r="C10461">
        <v>2</v>
      </c>
      <c r="D10461">
        <v>1</v>
      </c>
      <c r="E10461">
        <v>14690</v>
      </c>
      <c r="F10461">
        <v>113040.37</v>
      </c>
      <c r="G10461">
        <v>0</v>
      </c>
      <c r="H10461">
        <v>0</v>
      </c>
      <c r="I10461">
        <v>0</v>
      </c>
      <c r="J10461">
        <v>0</v>
      </c>
      <c r="K10461">
        <v>0</v>
      </c>
      <c r="L10461">
        <v>43405017.439999998</v>
      </c>
      <c r="M10461">
        <v>43405017.439999998</v>
      </c>
      <c r="N10461">
        <v>15887267.439999999</v>
      </c>
      <c r="O10461">
        <v>15887267.439999999</v>
      </c>
      <c r="P10461">
        <v>43405017.439999998</v>
      </c>
      <c r="Q10461">
        <v>43405017.439999998</v>
      </c>
      <c r="R10461" s="14">
        <f>_xlfn.XLOOKUP(Table2[[#This Row],[LoanID]],Table1[G-L ID],Table1[ManagerCode],-99)</f>
        <v>220</v>
      </c>
      <c r="T10461"/>
    </row>
    <row r="10462" spans="1:20" x14ac:dyDescent="0.25">
      <c r="A10462">
        <v>20200229</v>
      </c>
      <c r="B10462">
        <v>2020</v>
      </c>
      <c r="C10462">
        <v>2</v>
      </c>
      <c r="D10462">
        <v>1</v>
      </c>
      <c r="E10462">
        <v>14700</v>
      </c>
      <c r="F10462">
        <v>94388.91</v>
      </c>
      <c r="G10462">
        <v>0</v>
      </c>
      <c r="H10462">
        <v>0</v>
      </c>
      <c r="I10462">
        <v>0</v>
      </c>
      <c r="J10462">
        <v>0</v>
      </c>
      <c r="K10462">
        <v>0</v>
      </c>
      <c r="L10462">
        <v>36143315.479999997</v>
      </c>
      <c r="M10462">
        <v>36143315.479999997</v>
      </c>
      <c r="N10462">
        <v>11555815.48</v>
      </c>
      <c r="O10462">
        <v>11555815.48</v>
      </c>
      <c r="P10462">
        <v>36143315.479999997</v>
      </c>
      <c r="Q10462">
        <v>36143315.479999997</v>
      </c>
      <c r="R10462" s="14">
        <f>_xlfn.XLOOKUP(Table2[[#This Row],[LoanID]],Table1[G-L ID],Table1[ManagerCode],-99)</f>
        <v>220</v>
      </c>
      <c r="T10462"/>
    </row>
    <row r="10463" spans="1:20" x14ac:dyDescent="0.25">
      <c r="A10463">
        <v>20200229</v>
      </c>
      <c r="B10463">
        <v>2020</v>
      </c>
      <c r="C10463">
        <v>2</v>
      </c>
      <c r="D10463">
        <v>1</v>
      </c>
      <c r="E10463">
        <v>14710</v>
      </c>
      <c r="F10463">
        <v>76729.48</v>
      </c>
      <c r="G10463">
        <v>0</v>
      </c>
      <c r="H10463">
        <v>0</v>
      </c>
      <c r="I10463">
        <v>0</v>
      </c>
      <c r="J10463">
        <v>0</v>
      </c>
      <c r="K10463">
        <v>0</v>
      </c>
      <c r="L10463">
        <v>33650000</v>
      </c>
      <c r="M10463">
        <v>33650000</v>
      </c>
      <c r="N10463">
        <v>11777500</v>
      </c>
      <c r="O10463">
        <v>11777500</v>
      </c>
      <c r="P10463">
        <v>33650000</v>
      </c>
      <c r="Q10463">
        <v>33650000</v>
      </c>
      <c r="R10463" s="14">
        <f>_xlfn.XLOOKUP(Table2[[#This Row],[LoanID]],Table1[G-L ID],Table1[ManagerCode],-99)</f>
        <v>220</v>
      </c>
      <c r="T10463"/>
    </row>
    <row r="10464" spans="1:20" x14ac:dyDescent="0.25">
      <c r="A10464">
        <v>20200229</v>
      </c>
      <c r="B10464">
        <v>2020</v>
      </c>
      <c r="C10464">
        <v>2</v>
      </c>
      <c r="D10464">
        <v>1</v>
      </c>
      <c r="E10464">
        <v>14720</v>
      </c>
      <c r="F10464">
        <v>52846.16</v>
      </c>
      <c r="G10464">
        <v>0</v>
      </c>
      <c r="H10464">
        <v>0</v>
      </c>
      <c r="I10464">
        <v>0</v>
      </c>
      <c r="J10464">
        <v>0</v>
      </c>
      <c r="K10464">
        <v>0</v>
      </c>
      <c r="L10464">
        <v>23003037.93</v>
      </c>
      <c r="M10464">
        <v>23003037.93</v>
      </c>
      <c r="N10464">
        <v>9276037.9299999997</v>
      </c>
      <c r="O10464">
        <v>9276037.9299999997</v>
      </c>
      <c r="P10464">
        <v>22999192.010000002</v>
      </c>
      <c r="Q10464">
        <v>22999192.010000002</v>
      </c>
      <c r="R10464" s="14">
        <f>_xlfn.XLOOKUP(Table2[[#This Row],[LoanID]],Table1[G-L ID],Table1[ManagerCode],-99)</f>
        <v>220</v>
      </c>
      <c r="T10464"/>
    </row>
    <row r="10465" spans="1:20" x14ac:dyDescent="0.25">
      <c r="A10465">
        <v>20200229</v>
      </c>
      <c r="B10465">
        <v>2020</v>
      </c>
      <c r="C10465">
        <v>2</v>
      </c>
      <c r="D10465">
        <v>1</v>
      </c>
      <c r="E10465">
        <v>14740</v>
      </c>
      <c r="F10465">
        <v>89386.36</v>
      </c>
      <c r="G10465">
        <v>0</v>
      </c>
      <c r="H10465">
        <v>0</v>
      </c>
      <c r="I10465">
        <v>0</v>
      </c>
      <c r="J10465">
        <v>0</v>
      </c>
      <c r="K10465">
        <v>0</v>
      </c>
      <c r="L10465">
        <v>34570000</v>
      </c>
      <c r="M10465">
        <v>34570000</v>
      </c>
      <c r="N10465">
        <v>13570000</v>
      </c>
      <c r="O10465">
        <v>13570000</v>
      </c>
      <c r="P10465">
        <v>35000000</v>
      </c>
      <c r="Q10465">
        <v>35000000</v>
      </c>
      <c r="R10465" s="14">
        <f>_xlfn.XLOOKUP(Table2[[#This Row],[LoanID]],Table1[G-L ID],Table1[ManagerCode],-99)</f>
        <v>220</v>
      </c>
      <c r="T10465"/>
    </row>
    <row r="10466" spans="1:20" x14ac:dyDescent="0.25">
      <c r="A10466">
        <v>20200229</v>
      </c>
      <c r="B10466">
        <v>2020</v>
      </c>
      <c r="C10466">
        <v>2</v>
      </c>
      <c r="D10466">
        <v>1</v>
      </c>
      <c r="E10466">
        <v>14750</v>
      </c>
      <c r="F10466">
        <v>116613.27</v>
      </c>
      <c r="G10466">
        <v>0</v>
      </c>
      <c r="H10466">
        <v>0</v>
      </c>
      <c r="I10466">
        <v>0</v>
      </c>
      <c r="J10466">
        <v>0</v>
      </c>
      <c r="K10466">
        <v>0</v>
      </c>
      <c r="L10466">
        <v>59078453.039999999</v>
      </c>
      <c r="M10466">
        <v>59078453.039999999</v>
      </c>
      <c r="N10466">
        <v>23328453.039999999</v>
      </c>
      <c r="O10466">
        <v>23328453.039999999</v>
      </c>
      <c r="P10466">
        <v>59078453.039999999</v>
      </c>
      <c r="Q10466">
        <v>59078453.039999999</v>
      </c>
      <c r="R10466" s="14">
        <f>_xlfn.XLOOKUP(Table2[[#This Row],[LoanID]],Table1[G-L ID],Table1[ManagerCode],-99)</f>
        <v>220</v>
      </c>
      <c r="T10466"/>
    </row>
    <row r="10467" spans="1:20" x14ac:dyDescent="0.25">
      <c r="A10467">
        <v>20200229</v>
      </c>
      <c r="B10467">
        <v>2020</v>
      </c>
      <c r="C10467">
        <v>2</v>
      </c>
      <c r="D10467">
        <v>1</v>
      </c>
      <c r="E10467">
        <v>14760</v>
      </c>
      <c r="F10467">
        <v>219486.45</v>
      </c>
      <c r="G10467">
        <v>0</v>
      </c>
      <c r="H10467">
        <v>0</v>
      </c>
      <c r="I10467">
        <v>0</v>
      </c>
      <c r="J10467">
        <v>0</v>
      </c>
      <c r="K10467">
        <v>0</v>
      </c>
      <c r="L10467">
        <v>105000000</v>
      </c>
      <c r="M10467">
        <v>105000000</v>
      </c>
      <c r="N10467">
        <v>26250000</v>
      </c>
      <c r="O10467">
        <v>26250000</v>
      </c>
      <c r="P10467">
        <v>105000000</v>
      </c>
      <c r="Q10467">
        <v>105000000</v>
      </c>
      <c r="R10467" s="14">
        <f>_xlfn.XLOOKUP(Table2[[#This Row],[LoanID]],Table1[G-L ID],Table1[ManagerCode],-99)</f>
        <v>220</v>
      </c>
      <c r="T10467"/>
    </row>
    <row r="10468" spans="1:20" x14ac:dyDescent="0.25">
      <c r="A10468">
        <v>20200229</v>
      </c>
      <c r="B10468">
        <v>2020</v>
      </c>
      <c r="C10468">
        <v>2</v>
      </c>
      <c r="D10468">
        <v>1</v>
      </c>
      <c r="E10468">
        <v>14770</v>
      </c>
      <c r="F10468">
        <v>248038.75</v>
      </c>
      <c r="G10468">
        <v>0</v>
      </c>
      <c r="H10468">
        <v>0</v>
      </c>
      <c r="I10468">
        <v>0</v>
      </c>
      <c r="J10468">
        <v>0</v>
      </c>
      <c r="K10468">
        <v>0</v>
      </c>
      <c r="L10468">
        <v>55500000</v>
      </c>
      <c r="M10468">
        <v>55500000</v>
      </c>
      <c r="N10468">
        <v>55500000</v>
      </c>
      <c r="O10468">
        <v>55500000</v>
      </c>
      <c r="P10468">
        <v>55500000</v>
      </c>
      <c r="Q10468">
        <v>55500000</v>
      </c>
      <c r="R10468" s="14">
        <f>_xlfn.XLOOKUP(Table2[[#This Row],[LoanID]],Table1[G-L ID],Table1[ManagerCode],-99)</f>
        <v>220</v>
      </c>
      <c r="T10468"/>
    </row>
    <row r="10469" spans="1:20" x14ac:dyDescent="0.25">
      <c r="A10469">
        <v>20200229</v>
      </c>
      <c r="B10469">
        <v>2020</v>
      </c>
      <c r="C10469">
        <v>2</v>
      </c>
      <c r="D10469">
        <v>1</v>
      </c>
      <c r="E10469">
        <v>14780</v>
      </c>
      <c r="F10469">
        <v>116944.77</v>
      </c>
      <c r="G10469">
        <v>0</v>
      </c>
      <c r="H10469">
        <v>0</v>
      </c>
      <c r="I10469">
        <v>0</v>
      </c>
      <c r="J10469">
        <v>0</v>
      </c>
      <c r="K10469">
        <v>0</v>
      </c>
      <c r="L10469">
        <v>51000000</v>
      </c>
      <c r="M10469">
        <v>51000000</v>
      </c>
      <c r="N10469">
        <v>15300000</v>
      </c>
      <c r="O10469">
        <v>15300000</v>
      </c>
      <c r="P10469">
        <v>51000000</v>
      </c>
      <c r="Q10469">
        <v>51000000</v>
      </c>
      <c r="R10469" s="14">
        <f>_xlfn.XLOOKUP(Table2[[#This Row],[LoanID]],Table1[G-L ID],Table1[ManagerCode],-99)</f>
        <v>220</v>
      </c>
      <c r="T10469"/>
    </row>
    <row r="10470" spans="1:20" x14ac:dyDescent="0.25">
      <c r="A10470">
        <v>20200229</v>
      </c>
      <c r="B10470">
        <v>2020</v>
      </c>
      <c r="C10470">
        <v>2</v>
      </c>
      <c r="D10470">
        <v>1</v>
      </c>
      <c r="E10470">
        <v>14790</v>
      </c>
      <c r="F10470">
        <v>130238</v>
      </c>
      <c r="G10470">
        <v>0</v>
      </c>
      <c r="H10470">
        <v>0</v>
      </c>
      <c r="I10470">
        <v>0</v>
      </c>
      <c r="J10470">
        <v>0</v>
      </c>
      <c r="K10470">
        <v>0</v>
      </c>
      <c r="L10470">
        <v>80360000</v>
      </c>
      <c r="M10470">
        <v>80360000</v>
      </c>
      <c r="N10470">
        <v>25960000</v>
      </c>
      <c r="O10470">
        <v>25960000</v>
      </c>
      <c r="P10470">
        <v>80000000</v>
      </c>
      <c r="Q10470">
        <v>80000000</v>
      </c>
      <c r="R10470" s="14">
        <f>_xlfn.XLOOKUP(Table2[[#This Row],[LoanID]],Table1[G-L ID],Table1[ManagerCode],-99)</f>
        <v>220</v>
      </c>
      <c r="T10470"/>
    </row>
    <row r="10471" spans="1:20" x14ac:dyDescent="0.25">
      <c r="A10471">
        <v>20200229</v>
      </c>
      <c r="B10471">
        <v>2020</v>
      </c>
      <c r="C10471">
        <v>2</v>
      </c>
      <c r="D10471">
        <v>1</v>
      </c>
      <c r="E10471">
        <v>14800</v>
      </c>
      <c r="F10471">
        <v>290320.33</v>
      </c>
      <c r="G10471">
        <v>0</v>
      </c>
      <c r="H10471">
        <v>0</v>
      </c>
      <c r="I10471">
        <v>0</v>
      </c>
      <c r="J10471">
        <v>0</v>
      </c>
      <c r="K10471">
        <v>17850000</v>
      </c>
      <c r="L10471">
        <v>51000000</v>
      </c>
      <c r="M10471">
        <v>0</v>
      </c>
      <c r="N10471">
        <v>17850000</v>
      </c>
      <c r="O10471">
        <v>0</v>
      </c>
      <c r="P10471">
        <v>51000000</v>
      </c>
      <c r="Q10471">
        <v>0</v>
      </c>
      <c r="R10471" s="14">
        <f>_xlfn.XLOOKUP(Table2[[#This Row],[LoanID]],Table1[G-L ID],Table1[ManagerCode],-99)</f>
        <v>220</v>
      </c>
      <c r="T10471"/>
    </row>
    <row r="10472" spans="1:20" x14ac:dyDescent="0.25">
      <c r="A10472">
        <v>20200229</v>
      </c>
      <c r="B10472">
        <v>2020</v>
      </c>
      <c r="C10472">
        <v>2</v>
      </c>
      <c r="D10472">
        <v>1</v>
      </c>
      <c r="E10472">
        <v>14810</v>
      </c>
      <c r="F10472">
        <v>94457</v>
      </c>
      <c r="G10472">
        <v>0</v>
      </c>
      <c r="H10472">
        <v>0</v>
      </c>
      <c r="I10472">
        <v>0</v>
      </c>
      <c r="J10472">
        <v>0</v>
      </c>
      <c r="K10472">
        <v>0</v>
      </c>
      <c r="L10472">
        <v>24930000</v>
      </c>
      <c r="M10472">
        <v>24930000</v>
      </c>
      <c r="N10472">
        <v>24930000</v>
      </c>
      <c r="O10472">
        <v>24930000</v>
      </c>
      <c r="P10472">
        <v>24930000</v>
      </c>
      <c r="Q10472">
        <v>24930000</v>
      </c>
      <c r="R10472" s="14">
        <f>_xlfn.XLOOKUP(Table2[[#This Row],[LoanID]],Table1[G-L ID],Table1[ManagerCode],-99)</f>
        <v>220</v>
      </c>
      <c r="T10472"/>
    </row>
    <row r="10473" spans="1:20" x14ac:dyDescent="0.25">
      <c r="A10473">
        <v>20200229</v>
      </c>
      <c r="B10473">
        <v>2020</v>
      </c>
      <c r="C10473">
        <v>2</v>
      </c>
      <c r="D10473">
        <v>1</v>
      </c>
      <c r="E10473">
        <v>14820</v>
      </c>
      <c r="F10473">
        <v>98673.29</v>
      </c>
      <c r="G10473">
        <v>0</v>
      </c>
      <c r="H10473">
        <v>0</v>
      </c>
      <c r="I10473">
        <v>0</v>
      </c>
      <c r="J10473">
        <v>0</v>
      </c>
      <c r="K10473">
        <v>-3638372.23</v>
      </c>
      <c r="L10473">
        <v>23287391.140000001</v>
      </c>
      <c r="M10473">
        <v>23287391.140000001</v>
      </c>
      <c r="N10473">
        <v>19648018.91</v>
      </c>
      <c r="O10473">
        <v>23286391.140000001</v>
      </c>
      <c r="P10473">
        <v>23287391.140000001</v>
      </c>
      <c r="Q10473">
        <v>23287391.140000001</v>
      </c>
      <c r="R10473" s="14">
        <f>_xlfn.XLOOKUP(Table2[[#This Row],[LoanID]],Table1[G-L ID],Table1[ManagerCode],-99)</f>
        <v>220</v>
      </c>
      <c r="T10473"/>
    </row>
    <row r="10474" spans="1:20" x14ac:dyDescent="0.25">
      <c r="A10474">
        <v>20200229</v>
      </c>
      <c r="B10474">
        <v>2020</v>
      </c>
      <c r="C10474">
        <v>2</v>
      </c>
      <c r="D10474">
        <v>1</v>
      </c>
      <c r="E10474">
        <v>14840</v>
      </c>
      <c r="F10474">
        <v>73176.5</v>
      </c>
      <c r="G10474">
        <v>0</v>
      </c>
      <c r="H10474">
        <v>0</v>
      </c>
      <c r="I10474">
        <v>0</v>
      </c>
      <c r="J10474">
        <v>0</v>
      </c>
      <c r="K10474">
        <v>0</v>
      </c>
      <c r="L10474">
        <v>32514668.289999999</v>
      </c>
      <c r="M10474">
        <v>32514668.289999999</v>
      </c>
      <c r="N10474">
        <v>13316135.25</v>
      </c>
      <c r="O10474">
        <v>13316135.25</v>
      </c>
      <c r="P10474">
        <v>32484668.289999999</v>
      </c>
      <c r="Q10474">
        <v>32484668.289999999</v>
      </c>
      <c r="R10474" s="14">
        <f>_xlfn.XLOOKUP(Table2[[#This Row],[LoanID]],Table1[G-L ID],Table1[ManagerCode],-99)</f>
        <v>220</v>
      </c>
      <c r="T10474"/>
    </row>
    <row r="10475" spans="1:20" x14ac:dyDescent="0.25">
      <c r="A10475">
        <v>20200229</v>
      </c>
      <c r="B10475">
        <v>2020</v>
      </c>
      <c r="C10475">
        <v>2</v>
      </c>
      <c r="D10475">
        <v>1</v>
      </c>
      <c r="E10475">
        <v>14850</v>
      </c>
      <c r="F10475">
        <v>188953.48</v>
      </c>
      <c r="G10475">
        <v>0</v>
      </c>
      <c r="H10475">
        <v>0</v>
      </c>
      <c r="I10475">
        <v>0</v>
      </c>
      <c r="J10475">
        <v>0</v>
      </c>
      <c r="K10475">
        <v>0</v>
      </c>
      <c r="L10475">
        <v>88357504.379999995</v>
      </c>
      <c r="M10475">
        <v>88357504.379999995</v>
      </c>
      <c r="N10475">
        <v>36728978.5</v>
      </c>
      <c r="O10475">
        <v>36728978.5</v>
      </c>
      <c r="P10475">
        <v>88282409.599999994</v>
      </c>
      <c r="Q10475">
        <v>88282409.599999994</v>
      </c>
      <c r="R10475" s="14">
        <f>_xlfn.XLOOKUP(Table2[[#This Row],[LoanID]],Table1[G-L ID],Table1[ManagerCode],-99)</f>
        <v>220</v>
      </c>
      <c r="T10475"/>
    </row>
    <row r="10476" spans="1:20" x14ac:dyDescent="0.25">
      <c r="A10476">
        <v>20200229</v>
      </c>
      <c r="B10476">
        <v>2020</v>
      </c>
      <c r="C10476">
        <v>2</v>
      </c>
      <c r="D10476">
        <v>1</v>
      </c>
      <c r="E10476">
        <v>14860</v>
      </c>
      <c r="F10476">
        <v>153601.32999999999</v>
      </c>
      <c r="G10476">
        <v>0</v>
      </c>
      <c r="H10476">
        <v>0</v>
      </c>
      <c r="I10476">
        <v>0</v>
      </c>
      <c r="J10476">
        <v>0</v>
      </c>
      <c r="K10476">
        <v>0</v>
      </c>
      <c r="L10476">
        <v>65150000</v>
      </c>
      <c r="M10476">
        <v>65150000</v>
      </c>
      <c r="N10476">
        <v>26291000</v>
      </c>
      <c r="O10476">
        <v>26291000</v>
      </c>
      <c r="P10476">
        <v>65000000</v>
      </c>
      <c r="Q10476">
        <v>65000000</v>
      </c>
      <c r="R10476" s="14">
        <f>_xlfn.XLOOKUP(Table2[[#This Row],[LoanID]],Table1[G-L ID],Table1[ManagerCode],-99)</f>
        <v>220</v>
      </c>
      <c r="T10476"/>
    </row>
    <row r="10477" spans="1:20" x14ac:dyDescent="0.25">
      <c r="A10477">
        <v>20200229</v>
      </c>
      <c r="B10477">
        <v>2020</v>
      </c>
      <c r="C10477">
        <v>2</v>
      </c>
      <c r="D10477">
        <v>1</v>
      </c>
      <c r="E10477">
        <v>14870</v>
      </c>
      <c r="F10477">
        <v>544354.79</v>
      </c>
      <c r="G10477">
        <v>0</v>
      </c>
      <c r="H10477">
        <v>0</v>
      </c>
      <c r="I10477">
        <v>0</v>
      </c>
      <c r="J10477">
        <v>-1050306</v>
      </c>
      <c r="K10477">
        <v>-18634355.43</v>
      </c>
      <c r="L10477">
        <v>123570216</v>
      </c>
      <c r="M10477">
        <v>124620522</v>
      </c>
      <c r="N10477">
        <v>104934860.56999999</v>
      </c>
      <c r="O10477">
        <v>124619522</v>
      </c>
      <c r="P10477">
        <v>123501436</v>
      </c>
      <c r="Q10477">
        <v>124551742</v>
      </c>
      <c r="R10477" s="14">
        <f>_xlfn.XLOOKUP(Table2[[#This Row],[LoanID]],Table1[G-L ID],Table1[ManagerCode],-99)</f>
        <v>220</v>
      </c>
      <c r="T10477"/>
    </row>
    <row r="10478" spans="1:20" x14ac:dyDescent="0.25">
      <c r="A10478">
        <v>20200229</v>
      </c>
      <c r="B10478">
        <v>2020</v>
      </c>
      <c r="C10478">
        <v>2</v>
      </c>
      <c r="D10478">
        <v>1</v>
      </c>
      <c r="E10478">
        <v>14880</v>
      </c>
      <c r="F10478">
        <v>142388.16</v>
      </c>
      <c r="G10478">
        <v>0</v>
      </c>
      <c r="H10478">
        <v>0</v>
      </c>
      <c r="I10478">
        <v>0</v>
      </c>
      <c r="J10478">
        <v>0</v>
      </c>
      <c r="K10478">
        <v>0</v>
      </c>
      <c r="L10478">
        <v>20296304.09</v>
      </c>
      <c r="M10478">
        <v>20296304.09</v>
      </c>
      <c r="N10478">
        <v>20296304.09</v>
      </c>
      <c r="O10478">
        <v>20296304.09</v>
      </c>
      <c r="P10478">
        <v>20296304.09</v>
      </c>
      <c r="Q10478">
        <v>20296304.09</v>
      </c>
      <c r="R10478" s="14">
        <f>_xlfn.XLOOKUP(Table2[[#This Row],[LoanID]],Table1[G-L ID],Table1[ManagerCode],-99)</f>
        <v>220</v>
      </c>
      <c r="T10478"/>
    </row>
    <row r="10479" spans="1:20" x14ac:dyDescent="0.25">
      <c r="A10479">
        <v>20200229</v>
      </c>
      <c r="B10479">
        <v>2020</v>
      </c>
      <c r="C10479">
        <v>2</v>
      </c>
      <c r="D10479">
        <v>1</v>
      </c>
      <c r="E10479">
        <v>14890</v>
      </c>
      <c r="F10479">
        <v>63456.29</v>
      </c>
      <c r="G10479">
        <v>0</v>
      </c>
      <c r="H10479">
        <v>0</v>
      </c>
      <c r="I10479">
        <v>0</v>
      </c>
      <c r="J10479">
        <v>0</v>
      </c>
      <c r="K10479">
        <v>0</v>
      </c>
      <c r="L10479">
        <v>34000000</v>
      </c>
      <c r="M10479">
        <v>34000000</v>
      </c>
      <c r="N10479">
        <v>14177663.98</v>
      </c>
      <c r="O10479">
        <v>14177663.98</v>
      </c>
      <c r="P10479">
        <v>34000000</v>
      </c>
      <c r="Q10479">
        <v>34000000</v>
      </c>
      <c r="R10479" s="14">
        <f>_xlfn.XLOOKUP(Table2[[#This Row],[LoanID]],Table1[G-L ID],Table1[ManagerCode],-99)</f>
        <v>220</v>
      </c>
      <c r="T10479"/>
    </row>
    <row r="10480" spans="1:20" x14ac:dyDescent="0.25">
      <c r="A10480">
        <v>20200229</v>
      </c>
      <c r="B10480">
        <v>2020</v>
      </c>
      <c r="C10480">
        <v>2</v>
      </c>
      <c r="D10480">
        <v>1</v>
      </c>
      <c r="E10480">
        <v>14900</v>
      </c>
      <c r="F10480">
        <v>110590.52</v>
      </c>
      <c r="G10480">
        <v>0</v>
      </c>
      <c r="H10480">
        <v>0</v>
      </c>
      <c r="I10480">
        <v>0</v>
      </c>
      <c r="J10480">
        <v>0</v>
      </c>
      <c r="K10480">
        <v>0</v>
      </c>
      <c r="L10480">
        <v>66096659.850000001</v>
      </c>
      <c r="M10480">
        <v>66096659.850000001</v>
      </c>
      <c r="N10480">
        <v>24496659.850000001</v>
      </c>
      <c r="O10480">
        <v>24496659.850000001</v>
      </c>
      <c r="P10480">
        <v>66096659.850000001</v>
      </c>
      <c r="Q10480">
        <v>66096659.850000001</v>
      </c>
      <c r="R10480" s="14">
        <f>_xlfn.XLOOKUP(Table2[[#This Row],[LoanID]],Table1[G-L ID],Table1[ManagerCode],-99)</f>
        <v>220</v>
      </c>
      <c r="T10480"/>
    </row>
    <row r="10481" spans="1:20" x14ac:dyDescent="0.25">
      <c r="A10481">
        <v>20200229</v>
      </c>
      <c r="B10481">
        <v>2020</v>
      </c>
      <c r="C10481">
        <v>2</v>
      </c>
      <c r="D10481">
        <v>1</v>
      </c>
      <c r="E10481">
        <v>14910</v>
      </c>
      <c r="F10481">
        <v>91493.74</v>
      </c>
      <c r="G10481">
        <v>0</v>
      </c>
      <c r="H10481">
        <v>0</v>
      </c>
      <c r="I10481">
        <v>0</v>
      </c>
      <c r="J10481">
        <v>0</v>
      </c>
      <c r="K10481">
        <v>0</v>
      </c>
      <c r="L10481">
        <v>39447378.079999998</v>
      </c>
      <c r="M10481">
        <v>39447378.079999998</v>
      </c>
      <c r="N10481">
        <v>12847378.08</v>
      </c>
      <c r="O10481">
        <v>12847378.08</v>
      </c>
      <c r="P10481">
        <v>39447378.079999998</v>
      </c>
      <c r="Q10481">
        <v>39447378.079999998</v>
      </c>
      <c r="R10481" s="14">
        <f>_xlfn.XLOOKUP(Table2[[#This Row],[LoanID]],Table1[G-L ID],Table1[ManagerCode],-99)</f>
        <v>220</v>
      </c>
      <c r="T10481"/>
    </row>
    <row r="10482" spans="1:20" x14ac:dyDescent="0.25">
      <c r="A10482">
        <v>20200229</v>
      </c>
      <c r="B10482">
        <v>2020</v>
      </c>
      <c r="C10482">
        <v>2</v>
      </c>
      <c r="D10482">
        <v>1</v>
      </c>
      <c r="E10482">
        <v>14920</v>
      </c>
      <c r="F10482">
        <v>159941.31</v>
      </c>
      <c r="G10482">
        <v>0</v>
      </c>
      <c r="H10482">
        <v>0</v>
      </c>
      <c r="I10482">
        <v>0</v>
      </c>
      <c r="J10482">
        <v>0</v>
      </c>
      <c r="K10482">
        <v>0</v>
      </c>
      <c r="L10482">
        <v>71008110.709999993</v>
      </c>
      <c r="M10482">
        <v>71008110.709999993</v>
      </c>
      <c r="N10482">
        <v>22008110.710000001</v>
      </c>
      <c r="O10482">
        <v>22008110.710000001</v>
      </c>
      <c r="P10482">
        <v>71008110.709999993</v>
      </c>
      <c r="Q10482">
        <v>71008110.709999993</v>
      </c>
      <c r="R10482" s="14">
        <f>_xlfn.XLOOKUP(Table2[[#This Row],[LoanID]],Table1[G-L ID],Table1[ManagerCode],-99)</f>
        <v>220</v>
      </c>
      <c r="T10482"/>
    </row>
    <row r="10483" spans="1:20" x14ac:dyDescent="0.25">
      <c r="A10483">
        <v>20200229</v>
      </c>
      <c r="B10483">
        <v>2020</v>
      </c>
      <c r="C10483">
        <v>2</v>
      </c>
      <c r="D10483">
        <v>1</v>
      </c>
      <c r="E10483">
        <v>14930</v>
      </c>
      <c r="F10483">
        <v>87523.34</v>
      </c>
      <c r="G10483">
        <v>0</v>
      </c>
      <c r="H10483">
        <v>0</v>
      </c>
      <c r="I10483">
        <v>0</v>
      </c>
      <c r="J10483">
        <v>0</v>
      </c>
      <c r="K10483">
        <v>0</v>
      </c>
      <c r="L10483">
        <v>54540000</v>
      </c>
      <c r="M10483">
        <v>54540000</v>
      </c>
      <c r="N10483">
        <v>18790000</v>
      </c>
      <c r="O10483">
        <v>18790000</v>
      </c>
      <c r="P10483">
        <v>55000000</v>
      </c>
      <c r="Q10483">
        <v>55000000</v>
      </c>
      <c r="R10483" s="14">
        <f>_xlfn.XLOOKUP(Table2[[#This Row],[LoanID]],Table1[G-L ID],Table1[ManagerCode],-99)</f>
        <v>220</v>
      </c>
      <c r="T10483"/>
    </row>
    <row r="10484" spans="1:20" x14ac:dyDescent="0.25">
      <c r="A10484">
        <v>20200229</v>
      </c>
      <c r="B10484">
        <v>2020</v>
      </c>
      <c r="C10484">
        <v>2</v>
      </c>
      <c r="D10484">
        <v>1</v>
      </c>
      <c r="E10484">
        <v>14940</v>
      </c>
      <c r="F10484">
        <v>146504.22</v>
      </c>
      <c r="G10484">
        <v>0</v>
      </c>
      <c r="H10484">
        <v>0</v>
      </c>
      <c r="I10484">
        <v>0</v>
      </c>
      <c r="J10484">
        <v>-1053861.58</v>
      </c>
      <c r="K10484">
        <v>0</v>
      </c>
      <c r="L10484">
        <v>75895816.790000007</v>
      </c>
      <c r="M10484">
        <v>76949678.370000005</v>
      </c>
      <c r="N10484">
        <v>37439875.020000003</v>
      </c>
      <c r="O10484">
        <v>38493736.600000001</v>
      </c>
      <c r="P10484">
        <v>75752699.219999999</v>
      </c>
      <c r="Q10484">
        <v>76806560.799999997</v>
      </c>
      <c r="R10484" s="14">
        <f>_xlfn.XLOOKUP(Table2[[#This Row],[LoanID]],Table1[G-L ID],Table1[ManagerCode],-99)</f>
        <v>220</v>
      </c>
      <c r="T10484"/>
    </row>
    <row r="10485" spans="1:20" x14ac:dyDescent="0.25">
      <c r="A10485">
        <v>20200229</v>
      </c>
      <c r="B10485">
        <v>2020</v>
      </c>
      <c r="C10485">
        <v>2</v>
      </c>
      <c r="D10485">
        <v>1</v>
      </c>
      <c r="E10485">
        <v>14950</v>
      </c>
      <c r="F10485">
        <v>234422.22</v>
      </c>
      <c r="G10485">
        <v>0</v>
      </c>
      <c r="H10485">
        <v>0</v>
      </c>
      <c r="I10485">
        <v>0</v>
      </c>
      <c r="J10485">
        <v>0</v>
      </c>
      <c r="K10485">
        <v>35000000</v>
      </c>
      <c r="L10485">
        <v>35000000</v>
      </c>
      <c r="M10485">
        <v>0</v>
      </c>
      <c r="N10485">
        <v>35000000</v>
      </c>
      <c r="O10485">
        <v>0</v>
      </c>
      <c r="P10485">
        <v>35000000</v>
      </c>
      <c r="Q10485">
        <v>0</v>
      </c>
      <c r="R10485" s="14">
        <f>_xlfn.XLOOKUP(Table2[[#This Row],[LoanID]],Table1[G-L ID],Table1[ManagerCode],-99)</f>
        <v>220</v>
      </c>
      <c r="T10485"/>
    </row>
    <row r="10486" spans="1:20" x14ac:dyDescent="0.25">
      <c r="A10486">
        <v>20200229</v>
      </c>
      <c r="B10486">
        <v>2020</v>
      </c>
      <c r="C10486">
        <v>2</v>
      </c>
      <c r="D10486">
        <v>1</v>
      </c>
      <c r="E10486">
        <v>14960</v>
      </c>
      <c r="F10486">
        <v>45724.88</v>
      </c>
      <c r="G10486">
        <v>0</v>
      </c>
      <c r="H10486">
        <v>0</v>
      </c>
      <c r="I10486">
        <v>0</v>
      </c>
      <c r="J10486">
        <v>0</v>
      </c>
      <c r="K10486">
        <v>-2312737.3199999998</v>
      </c>
      <c r="L10486">
        <v>14840000</v>
      </c>
      <c r="M10486">
        <v>14840000</v>
      </c>
      <c r="N10486">
        <v>12526262.68</v>
      </c>
      <c r="O10486">
        <v>14839000</v>
      </c>
      <c r="P10486">
        <v>14805000</v>
      </c>
      <c r="Q10486">
        <v>14805000</v>
      </c>
      <c r="R10486" s="14">
        <f>_xlfn.XLOOKUP(Table2[[#This Row],[LoanID]],Table1[G-L ID],Table1[ManagerCode],-99)</f>
        <v>220</v>
      </c>
      <c r="T10486"/>
    </row>
    <row r="10487" spans="1:20" x14ac:dyDescent="0.25">
      <c r="A10487">
        <v>20200229</v>
      </c>
      <c r="B10487">
        <v>2020</v>
      </c>
      <c r="C10487">
        <v>2</v>
      </c>
      <c r="D10487">
        <v>1</v>
      </c>
      <c r="E10487">
        <v>14970</v>
      </c>
      <c r="F10487">
        <v>70778.81</v>
      </c>
      <c r="G10487">
        <v>0</v>
      </c>
      <c r="H10487">
        <v>0</v>
      </c>
      <c r="I10487">
        <v>0</v>
      </c>
      <c r="J10487">
        <v>0</v>
      </c>
      <c r="K10487">
        <v>0</v>
      </c>
      <c r="L10487">
        <v>29700000</v>
      </c>
      <c r="M10487">
        <v>29700000</v>
      </c>
      <c r="N10487">
        <v>10395000</v>
      </c>
      <c r="O10487">
        <v>10395000</v>
      </c>
      <c r="P10487">
        <v>29700000</v>
      </c>
      <c r="Q10487">
        <v>29700000</v>
      </c>
      <c r="R10487" s="14">
        <f>_xlfn.XLOOKUP(Table2[[#This Row],[LoanID]],Table1[G-L ID],Table1[ManagerCode],-99)</f>
        <v>220</v>
      </c>
      <c r="T10487"/>
    </row>
    <row r="10488" spans="1:20" x14ac:dyDescent="0.25">
      <c r="A10488">
        <v>20200229</v>
      </c>
      <c r="B10488">
        <v>2020</v>
      </c>
      <c r="C10488">
        <v>2</v>
      </c>
      <c r="D10488">
        <v>1</v>
      </c>
      <c r="E10488">
        <v>14980</v>
      </c>
      <c r="F10488">
        <v>161458.32999999999</v>
      </c>
      <c r="G10488">
        <v>0</v>
      </c>
      <c r="H10488">
        <v>0</v>
      </c>
      <c r="I10488">
        <v>0</v>
      </c>
      <c r="J10488">
        <v>0</v>
      </c>
      <c r="K10488">
        <v>0</v>
      </c>
      <c r="L10488">
        <v>75000000</v>
      </c>
      <c r="M10488">
        <v>75000000</v>
      </c>
      <c r="N10488">
        <v>22500000</v>
      </c>
      <c r="O10488">
        <v>22500000</v>
      </c>
      <c r="P10488">
        <v>75000000</v>
      </c>
      <c r="Q10488">
        <v>75000000</v>
      </c>
      <c r="R10488" s="14">
        <f>_xlfn.XLOOKUP(Table2[[#This Row],[LoanID]],Table1[G-L ID],Table1[ManagerCode],-99)</f>
        <v>220</v>
      </c>
      <c r="T10488"/>
    </row>
    <row r="10489" spans="1:20" x14ac:dyDescent="0.25">
      <c r="A10489">
        <v>20200229</v>
      </c>
      <c r="B10489">
        <v>2020</v>
      </c>
      <c r="C10489">
        <v>2</v>
      </c>
      <c r="D10489">
        <v>1</v>
      </c>
      <c r="E10489">
        <v>14990</v>
      </c>
      <c r="F10489">
        <v>66998.710000000006</v>
      </c>
      <c r="G10489">
        <v>0</v>
      </c>
      <c r="H10489">
        <v>0</v>
      </c>
      <c r="I10489">
        <v>0</v>
      </c>
      <c r="J10489">
        <v>0</v>
      </c>
      <c r="K10489">
        <v>0</v>
      </c>
      <c r="L10489">
        <v>32650000</v>
      </c>
      <c r="M10489">
        <v>32650000</v>
      </c>
      <c r="N10489">
        <v>9795000</v>
      </c>
      <c r="O10489">
        <v>9795000</v>
      </c>
      <c r="P10489">
        <v>32650000</v>
      </c>
      <c r="Q10489">
        <v>32650000</v>
      </c>
      <c r="R10489" s="14">
        <f>_xlfn.XLOOKUP(Table2[[#This Row],[LoanID]],Table1[G-L ID],Table1[ManagerCode],-99)</f>
        <v>220</v>
      </c>
      <c r="T10489"/>
    </row>
    <row r="10490" spans="1:20" x14ac:dyDescent="0.25">
      <c r="A10490">
        <v>20200229</v>
      </c>
      <c r="B10490">
        <v>2020</v>
      </c>
      <c r="C10490">
        <v>2</v>
      </c>
      <c r="D10490">
        <v>1</v>
      </c>
      <c r="E10490">
        <v>15000</v>
      </c>
      <c r="F10490">
        <v>173909.72</v>
      </c>
      <c r="G10490">
        <v>0</v>
      </c>
      <c r="H10490">
        <v>0</v>
      </c>
      <c r="I10490">
        <v>0</v>
      </c>
      <c r="J10490">
        <v>-723020.45</v>
      </c>
      <c r="K10490">
        <v>0</v>
      </c>
      <c r="L10490">
        <v>112862795.3</v>
      </c>
      <c r="M10490">
        <v>113585815.7</v>
      </c>
      <c r="N10490">
        <v>35862795.299999997</v>
      </c>
      <c r="O10490">
        <v>36585815.700000003</v>
      </c>
      <c r="P10490">
        <v>112862795.3</v>
      </c>
      <c r="Q10490">
        <v>113585815.7</v>
      </c>
      <c r="R10490" s="14">
        <f>_xlfn.XLOOKUP(Table2[[#This Row],[LoanID]],Table1[G-L ID],Table1[ManagerCode],-99)</f>
        <v>220</v>
      </c>
      <c r="T10490"/>
    </row>
    <row r="10491" spans="1:20" x14ac:dyDescent="0.25">
      <c r="A10491">
        <v>20200229</v>
      </c>
      <c r="B10491">
        <v>2020</v>
      </c>
      <c r="C10491">
        <v>2</v>
      </c>
      <c r="D10491">
        <v>1</v>
      </c>
      <c r="E10491">
        <v>15010</v>
      </c>
      <c r="F10491">
        <v>76188.149999999994</v>
      </c>
      <c r="G10491">
        <v>0</v>
      </c>
      <c r="H10491">
        <v>0</v>
      </c>
      <c r="I10491">
        <v>0</v>
      </c>
      <c r="J10491">
        <v>0</v>
      </c>
      <c r="K10491">
        <v>0</v>
      </c>
      <c r="L10491">
        <v>30960000</v>
      </c>
      <c r="M10491">
        <v>30960000</v>
      </c>
      <c r="N10491">
        <v>10836000</v>
      </c>
      <c r="O10491">
        <v>10836000</v>
      </c>
      <c r="P10491">
        <v>30960000</v>
      </c>
      <c r="Q10491">
        <v>30960000</v>
      </c>
      <c r="R10491" s="14">
        <f>_xlfn.XLOOKUP(Table2[[#This Row],[LoanID]],Table1[G-L ID],Table1[ManagerCode],-99)</f>
        <v>220</v>
      </c>
      <c r="T10491"/>
    </row>
    <row r="10492" spans="1:20" x14ac:dyDescent="0.25">
      <c r="A10492">
        <v>20200229</v>
      </c>
      <c r="B10492">
        <v>2020</v>
      </c>
      <c r="C10492">
        <v>2</v>
      </c>
      <c r="D10492">
        <v>1</v>
      </c>
      <c r="E10492">
        <v>15020</v>
      </c>
      <c r="F10492">
        <v>177215.91</v>
      </c>
      <c r="G10492">
        <v>0</v>
      </c>
      <c r="H10492">
        <v>0</v>
      </c>
      <c r="I10492">
        <v>0</v>
      </c>
      <c r="J10492">
        <v>0</v>
      </c>
      <c r="K10492">
        <v>-10410535.01</v>
      </c>
      <c r="L10492">
        <v>69000000</v>
      </c>
      <c r="M10492">
        <v>69000000</v>
      </c>
      <c r="N10492">
        <v>58588464.990000002</v>
      </c>
      <c r="O10492">
        <v>68999000</v>
      </c>
      <c r="P10492">
        <v>69000000</v>
      </c>
      <c r="Q10492">
        <v>69000000</v>
      </c>
      <c r="R10492" s="14">
        <f>_xlfn.XLOOKUP(Table2[[#This Row],[LoanID]],Table1[G-L ID],Table1[ManagerCode],-99)</f>
        <v>220</v>
      </c>
      <c r="T10492"/>
    </row>
    <row r="10493" spans="1:20" x14ac:dyDescent="0.25">
      <c r="A10493">
        <v>20200229</v>
      </c>
      <c r="B10493">
        <v>2020</v>
      </c>
      <c r="C10493">
        <v>2</v>
      </c>
      <c r="D10493">
        <v>1</v>
      </c>
      <c r="E10493">
        <v>15030</v>
      </c>
      <c r="F10493">
        <v>97194.19</v>
      </c>
      <c r="G10493">
        <v>0</v>
      </c>
      <c r="H10493">
        <v>0</v>
      </c>
      <c r="I10493">
        <v>0</v>
      </c>
      <c r="J10493">
        <v>0</v>
      </c>
      <c r="K10493">
        <v>0</v>
      </c>
      <c r="L10493">
        <v>41551704.759999998</v>
      </c>
      <c r="M10493">
        <v>41551704.759999998</v>
      </c>
      <c r="N10493">
        <v>16796987.350000001</v>
      </c>
      <c r="O10493">
        <v>16796987.350000001</v>
      </c>
      <c r="P10493">
        <v>41525814.229999997</v>
      </c>
      <c r="Q10493">
        <v>41525814.229999997</v>
      </c>
      <c r="R10493" s="14">
        <f>_xlfn.XLOOKUP(Table2[[#This Row],[LoanID]],Table1[G-L ID],Table1[ManagerCode],-99)</f>
        <v>220</v>
      </c>
      <c r="T10493"/>
    </row>
    <row r="10494" spans="1:20" x14ac:dyDescent="0.25">
      <c r="A10494">
        <v>20200229</v>
      </c>
      <c r="B10494">
        <v>2020</v>
      </c>
      <c r="C10494">
        <v>2</v>
      </c>
      <c r="D10494">
        <v>1</v>
      </c>
      <c r="E10494">
        <v>15040</v>
      </c>
      <c r="F10494">
        <v>105016.78</v>
      </c>
      <c r="G10494">
        <v>0</v>
      </c>
      <c r="H10494">
        <v>0</v>
      </c>
      <c r="I10494">
        <v>0</v>
      </c>
      <c r="J10494">
        <v>-369991.75</v>
      </c>
      <c r="K10494">
        <v>0</v>
      </c>
      <c r="L10494">
        <v>51816695.469999999</v>
      </c>
      <c r="M10494">
        <v>52186687.219999999</v>
      </c>
      <c r="N10494">
        <v>18731695.469999999</v>
      </c>
      <c r="O10494">
        <v>19101687.219999999</v>
      </c>
      <c r="P10494">
        <v>51908397.469999999</v>
      </c>
      <c r="Q10494">
        <v>52278389.219999999</v>
      </c>
      <c r="R10494" s="14">
        <f>_xlfn.XLOOKUP(Table2[[#This Row],[LoanID]],Table1[G-L ID],Table1[ManagerCode],-99)</f>
        <v>183</v>
      </c>
      <c r="T10494"/>
    </row>
    <row r="10495" spans="1:20" x14ac:dyDescent="0.25">
      <c r="A10495">
        <v>20200229</v>
      </c>
      <c r="B10495">
        <v>2020</v>
      </c>
      <c r="C10495">
        <v>2</v>
      </c>
      <c r="D10495">
        <v>1</v>
      </c>
      <c r="E10495">
        <v>15050</v>
      </c>
      <c r="F10495">
        <v>93938.36</v>
      </c>
      <c r="G10495">
        <v>0</v>
      </c>
      <c r="H10495">
        <v>0</v>
      </c>
      <c r="I10495">
        <v>0</v>
      </c>
      <c r="J10495">
        <v>0</v>
      </c>
      <c r="K10495">
        <v>0</v>
      </c>
      <c r="L10495">
        <v>47510000</v>
      </c>
      <c r="M10495">
        <v>47510000</v>
      </c>
      <c r="N10495">
        <v>16628500</v>
      </c>
      <c r="O10495">
        <v>16628500</v>
      </c>
      <c r="P10495">
        <v>47510000</v>
      </c>
      <c r="Q10495">
        <v>47510000</v>
      </c>
      <c r="R10495" s="14">
        <f>_xlfn.XLOOKUP(Table2[[#This Row],[LoanID]],Table1[G-L ID],Table1[ManagerCode],-99)</f>
        <v>183</v>
      </c>
      <c r="T10495"/>
    </row>
    <row r="10496" spans="1:20" x14ac:dyDescent="0.25">
      <c r="A10496">
        <v>20200229</v>
      </c>
      <c r="B10496">
        <v>2020</v>
      </c>
      <c r="C10496">
        <v>2</v>
      </c>
      <c r="D10496">
        <v>1</v>
      </c>
      <c r="E10496">
        <v>15060</v>
      </c>
      <c r="F10496">
        <v>52464.66</v>
      </c>
      <c r="G10496">
        <v>0</v>
      </c>
      <c r="H10496">
        <v>0</v>
      </c>
      <c r="I10496">
        <v>0</v>
      </c>
      <c r="J10496">
        <v>0</v>
      </c>
      <c r="K10496">
        <v>0</v>
      </c>
      <c r="L10496">
        <v>27750000</v>
      </c>
      <c r="M10496">
        <v>27750000</v>
      </c>
      <c r="N10496">
        <v>9712500</v>
      </c>
      <c r="O10496">
        <v>9712500</v>
      </c>
      <c r="P10496">
        <v>27750000</v>
      </c>
      <c r="Q10496">
        <v>27750000</v>
      </c>
      <c r="R10496" s="14">
        <f>_xlfn.XLOOKUP(Table2[[#This Row],[LoanID]],Table1[G-L ID],Table1[ManagerCode],-99)</f>
        <v>183</v>
      </c>
      <c r="T10496"/>
    </row>
    <row r="10497" spans="1:20" x14ac:dyDescent="0.25">
      <c r="A10497">
        <v>20200229</v>
      </c>
      <c r="B10497">
        <v>2020</v>
      </c>
      <c r="C10497">
        <v>2</v>
      </c>
      <c r="D10497">
        <v>1</v>
      </c>
      <c r="E10497">
        <v>15070</v>
      </c>
      <c r="F10497">
        <v>133863.6</v>
      </c>
      <c r="G10497">
        <v>0</v>
      </c>
      <c r="H10497">
        <v>0</v>
      </c>
      <c r="I10497">
        <v>0</v>
      </c>
      <c r="J10497">
        <v>-154875.29</v>
      </c>
      <c r="K10497">
        <v>0</v>
      </c>
      <c r="L10497">
        <v>78038445.840000004</v>
      </c>
      <c r="M10497">
        <v>78193321.129999995</v>
      </c>
      <c r="N10497">
        <v>23787745.84</v>
      </c>
      <c r="O10497">
        <v>23942621.129999999</v>
      </c>
      <c r="P10497">
        <v>78038445.840000004</v>
      </c>
      <c r="Q10497">
        <v>78193321.129999995</v>
      </c>
      <c r="R10497" s="14">
        <f>_xlfn.XLOOKUP(Table2[[#This Row],[LoanID]],Table1[G-L ID],Table1[ManagerCode],-99)</f>
        <v>183</v>
      </c>
      <c r="T10497"/>
    </row>
    <row r="10498" spans="1:20" x14ac:dyDescent="0.25">
      <c r="A10498">
        <v>20200229</v>
      </c>
      <c r="B10498">
        <v>2020</v>
      </c>
      <c r="C10498">
        <v>2</v>
      </c>
      <c r="D10498">
        <v>1</v>
      </c>
      <c r="E10498">
        <v>15350</v>
      </c>
      <c r="F10498">
        <v>228194.44</v>
      </c>
      <c r="G10498">
        <v>-14722.22</v>
      </c>
      <c r="H10498">
        <v>0</v>
      </c>
      <c r="I10498">
        <v>0</v>
      </c>
      <c r="J10498">
        <v>0</v>
      </c>
      <c r="K10498">
        <v>0</v>
      </c>
      <c r="L10498">
        <v>40228194.439999998</v>
      </c>
      <c r="M10498">
        <v>40213472.219999999</v>
      </c>
      <c r="N10498">
        <v>40228194.439999998</v>
      </c>
      <c r="O10498">
        <v>40213472.219999999</v>
      </c>
      <c r="P10498">
        <v>40228194.439999998</v>
      </c>
      <c r="Q10498">
        <v>40213472.219999999</v>
      </c>
      <c r="R10498" s="14">
        <f>_xlfn.XLOOKUP(Table2[[#This Row],[LoanID]],Table1[G-L ID],Table1[ManagerCode],-99)</f>
        <v>219</v>
      </c>
      <c r="T10498"/>
    </row>
    <row r="10499" spans="1:20" x14ac:dyDescent="0.25">
      <c r="A10499">
        <v>20200229</v>
      </c>
      <c r="B10499">
        <v>2020</v>
      </c>
      <c r="C10499">
        <v>2</v>
      </c>
      <c r="D10499">
        <v>1</v>
      </c>
      <c r="E10499">
        <v>15360</v>
      </c>
      <c r="F10499">
        <v>11265.96</v>
      </c>
      <c r="G10499">
        <v>3312.44</v>
      </c>
      <c r="H10499">
        <v>0</v>
      </c>
      <c r="I10499">
        <v>0</v>
      </c>
      <c r="J10499">
        <v>-404235.14</v>
      </c>
      <c r="K10499">
        <v>0</v>
      </c>
      <c r="L10499">
        <v>2120543.39</v>
      </c>
      <c r="M10499">
        <v>2528090.9700000002</v>
      </c>
      <c r="N10499">
        <v>2120543.39</v>
      </c>
      <c r="O10499">
        <v>2528090.9700000002</v>
      </c>
      <c r="P10499">
        <v>2120543.39</v>
      </c>
      <c r="Q10499">
        <v>2528090.9700000002</v>
      </c>
      <c r="R10499" s="14">
        <f>_xlfn.XLOOKUP(Table2[[#This Row],[LoanID]],Table1[G-L ID],Table1[ManagerCode],-99)</f>
        <v>219</v>
      </c>
      <c r="T10499"/>
    </row>
    <row r="10500" spans="1:20" x14ac:dyDescent="0.25">
      <c r="A10500">
        <v>20200229</v>
      </c>
      <c r="B10500">
        <v>2020</v>
      </c>
      <c r="C10500">
        <v>2</v>
      </c>
      <c r="D10500">
        <v>1</v>
      </c>
      <c r="E10500">
        <v>15370</v>
      </c>
      <c r="F10500">
        <v>427064.27</v>
      </c>
      <c r="G10500">
        <v>0</v>
      </c>
      <c r="H10500">
        <v>0</v>
      </c>
      <c r="I10500">
        <v>0</v>
      </c>
      <c r="J10500">
        <v>-4726715.1399999997</v>
      </c>
      <c r="K10500">
        <v>0</v>
      </c>
      <c r="L10500">
        <v>103322000</v>
      </c>
      <c r="M10500">
        <v>108048715.09999999</v>
      </c>
      <c r="N10500">
        <v>103322000</v>
      </c>
      <c r="O10500">
        <v>108048715.09999999</v>
      </c>
      <c r="P10500">
        <v>103322000</v>
      </c>
      <c r="Q10500">
        <v>108048715.09999999</v>
      </c>
      <c r="R10500" s="14">
        <f>_xlfn.XLOOKUP(Table2[[#This Row],[LoanID]],Table1[G-L ID],Table1[ManagerCode],-99)</f>
        <v>220</v>
      </c>
      <c r="T10500"/>
    </row>
    <row r="10501" spans="1:20" x14ac:dyDescent="0.25">
      <c r="A10501">
        <v>20200229</v>
      </c>
      <c r="B10501">
        <v>2020</v>
      </c>
      <c r="C10501">
        <v>2</v>
      </c>
      <c r="D10501">
        <v>1</v>
      </c>
      <c r="E10501">
        <v>15380</v>
      </c>
      <c r="F10501">
        <v>70007.97</v>
      </c>
      <c r="G10501">
        <v>0</v>
      </c>
      <c r="H10501">
        <v>0</v>
      </c>
      <c r="I10501">
        <v>0</v>
      </c>
      <c r="J10501">
        <v>0</v>
      </c>
      <c r="K10501">
        <v>0</v>
      </c>
      <c r="L10501">
        <v>34930000</v>
      </c>
      <c r="M10501">
        <v>34930000</v>
      </c>
      <c r="N10501">
        <v>12225500</v>
      </c>
      <c r="O10501">
        <v>12225500</v>
      </c>
      <c r="P10501">
        <v>34930000</v>
      </c>
      <c r="Q10501">
        <v>34930000</v>
      </c>
      <c r="R10501" s="14">
        <f>_xlfn.XLOOKUP(Table2[[#This Row],[LoanID]],Table1[G-L ID],Table1[ManagerCode],-99)</f>
        <v>220</v>
      </c>
      <c r="T10501"/>
    </row>
    <row r="10502" spans="1:20" x14ac:dyDescent="0.25">
      <c r="A10502">
        <v>20200229</v>
      </c>
      <c r="B10502">
        <v>2020</v>
      </c>
      <c r="C10502">
        <v>2</v>
      </c>
      <c r="D10502">
        <v>1</v>
      </c>
      <c r="E10502">
        <v>15390</v>
      </c>
      <c r="F10502">
        <v>68503.820000000007</v>
      </c>
      <c r="G10502">
        <v>0</v>
      </c>
      <c r="H10502">
        <v>0</v>
      </c>
      <c r="I10502">
        <v>0</v>
      </c>
      <c r="J10502">
        <v>-525375.5</v>
      </c>
      <c r="K10502">
        <v>0</v>
      </c>
      <c r="L10502">
        <v>35300000</v>
      </c>
      <c r="M10502">
        <v>35825375.5</v>
      </c>
      <c r="N10502">
        <v>10590000</v>
      </c>
      <c r="O10502">
        <v>11115375.5</v>
      </c>
      <c r="P10502">
        <v>35300000</v>
      </c>
      <c r="Q10502">
        <v>35825375.5</v>
      </c>
      <c r="R10502" s="14">
        <f>_xlfn.XLOOKUP(Table2[[#This Row],[LoanID]],Table1[G-L ID],Table1[ManagerCode],-99)</f>
        <v>220</v>
      </c>
      <c r="T10502"/>
    </row>
    <row r="10503" spans="1:20" x14ac:dyDescent="0.25">
      <c r="A10503">
        <v>20200229</v>
      </c>
      <c r="B10503">
        <v>2020</v>
      </c>
      <c r="C10503">
        <v>2</v>
      </c>
      <c r="D10503">
        <v>1</v>
      </c>
      <c r="E10503">
        <v>15400</v>
      </c>
      <c r="F10503">
        <v>79022.429999999993</v>
      </c>
      <c r="G10503">
        <v>0</v>
      </c>
      <c r="H10503">
        <v>0</v>
      </c>
      <c r="I10503">
        <v>0</v>
      </c>
      <c r="J10503">
        <v>0</v>
      </c>
      <c r="K10503">
        <v>0</v>
      </c>
      <c r="L10503">
        <v>22895683.620000001</v>
      </c>
      <c r="M10503">
        <v>22895683.620000001</v>
      </c>
      <c r="N10503">
        <v>22895683.620000001</v>
      </c>
      <c r="O10503">
        <v>22895683.620000001</v>
      </c>
      <c r="P10503">
        <v>22895683.620000001</v>
      </c>
      <c r="Q10503">
        <v>22895683.620000001</v>
      </c>
      <c r="R10503" s="14">
        <f>_xlfn.XLOOKUP(Table2[[#This Row],[LoanID]],Table1[G-L ID],Table1[ManagerCode],-99)</f>
        <v>220</v>
      </c>
      <c r="T10503"/>
    </row>
    <row r="10504" spans="1:20" x14ac:dyDescent="0.25">
      <c r="A10504">
        <v>20200229</v>
      </c>
      <c r="B10504">
        <v>2020</v>
      </c>
      <c r="C10504">
        <v>2</v>
      </c>
      <c r="D10504">
        <v>1</v>
      </c>
      <c r="E10504">
        <v>15410</v>
      </c>
      <c r="F10504">
        <v>138097.78</v>
      </c>
      <c r="G10504">
        <v>0</v>
      </c>
      <c r="H10504">
        <v>0</v>
      </c>
      <c r="I10504">
        <v>0</v>
      </c>
      <c r="J10504">
        <v>0</v>
      </c>
      <c r="K10504">
        <v>0</v>
      </c>
      <c r="L10504">
        <v>64000000</v>
      </c>
      <c r="M10504">
        <v>64000000</v>
      </c>
      <c r="N10504">
        <v>19200000</v>
      </c>
      <c r="O10504">
        <v>19200000</v>
      </c>
      <c r="P10504">
        <v>64000000</v>
      </c>
      <c r="Q10504">
        <v>64000000</v>
      </c>
      <c r="R10504" s="14">
        <f>_xlfn.XLOOKUP(Table2[[#This Row],[LoanID]],Table1[G-L ID],Table1[ManagerCode],-99)</f>
        <v>220</v>
      </c>
      <c r="T10504"/>
    </row>
    <row r="10505" spans="1:20" x14ac:dyDescent="0.25">
      <c r="A10505">
        <v>20200229</v>
      </c>
      <c r="B10505">
        <v>2020</v>
      </c>
      <c r="C10505">
        <v>2</v>
      </c>
      <c r="D10505">
        <v>1</v>
      </c>
      <c r="E10505">
        <v>15420</v>
      </c>
      <c r="F10505">
        <v>67121.38</v>
      </c>
      <c r="G10505">
        <v>0</v>
      </c>
      <c r="H10505">
        <v>0</v>
      </c>
      <c r="I10505">
        <v>0</v>
      </c>
      <c r="J10505">
        <v>0</v>
      </c>
      <c r="K10505">
        <v>0</v>
      </c>
      <c r="L10505">
        <v>44630000</v>
      </c>
      <c r="M10505">
        <v>44630000</v>
      </c>
      <c r="N10505">
        <v>15620500</v>
      </c>
      <c r="O10505">
        <v>15620500</v>
      </c>
      <c r="P10505">
        <v>44630000</v>
      </c>
      <c r="Q10505">
        <v>44630000</v>
      </c>
      <c r="R10505" s="14">
        <f>_xlfn.XLOOKUP(Table2[[#This Row],[LoanID]],Table1[G-L ID],Table1[ManagerCode],-99)</f>
        <v>183</v>
      </c>
      <c r="T10505"/>
    </row>
    <row r="10506" spans="1:20" x14ac:dyDescent="0.25">
      <c r="A10506">
        <v>20200229</v>
      </c>
      <c r="B10506">
        <v>2020</v>
      </c>
      <c r="C10506">
        <v>2</v>
      </c>
      <c r="D10506">
        <v>1</v>
      </c>
      <c r="E10506">
        <v>15430</v>
      </c>
      <c r="F10506">
        <v>74546.84</v>
      </c>
      <c r="G10506">
        <v>0</v>
      </c>
      <c r="H10506">
        <v>0</v>
      </c>
      <c r="I10506">
        <v>0</v>
      </c>
      <c r="J10506">
        <v>0</v>
      </c>
      <c r="K10506">
        <v>0</v>
      </c>
      <c r="L10506">
        <v>51064800</v>
      </c>
      <c r="M10506">
        <v>51064800</v>
      </c>
      <c r="N10506">
        <v>17872680</v>
      </c>
      <c r="O10506">
        <v>17872680</v>
      </c>
      <c r="P10506">
        <v>51064800</v>
      </c>
      <c r="Q10506">
        <v>51064800</v>
      </c>
      <c r="R10506" s="14">
        <f>_xlfn.XLOOKUP(Table2[[#This Row],[LoanID]],Table1[G-L ID],Table1[ManagerCode],-99)</f>
        <v>183</v>
      </c>
      <c r="T10506"/>
    </row>
    <row r="10507" spans="1:20" x14ac:dyDescent="0.25">
      <c r="A10507">
        <v>20200229</v>
      </c>
      <c r="B10507">
        <v>2020</v>
      </c>
      <c r="C10507">
        <v>2</v>
      </c>
      <c r="D10507">
        <v>1</v>
      </c>
      <c r="E10507">
        <v>15440</v>
      </c>
      <c r="F10507">
        <v>34021.53</v>
      </c>
      <c r="G10507">
        <v>0</v>
      </c>
      <c r="H10507">
        <v>0</v>
      </c>
      <c r="I10507">
        <v>0</v>
      </c>
      <c r="J10507">
        <v>0</v>
      </c>
      <c r="K10507">
        <v>0</v>
      </c>
      <c r="L10507">
        <v>21443599</v>
      </c>
      <c r="M10507">
        <v>21443599</v>
      </c>
      <c r="N10507">
        <v>7468599</v>
      </c>
      <c r="O10507">
        <v>7468599</v>
      </c>
      <c r="P10507">
        <v>21500000</v>
      </c>
      <c r="Q10507">
        <v>21500000</v>
      </c>
      <c r="R10507" s="14">
        <f>_xlfn.XLOOKUP(Table2[[#This Row],[LoanID]],Table1[G-L ID],Table1[ManagerCode],-99)</f>
        <v>183</v>
      </c>
      <c r="T10507"/>
    </row>
    <row r="10508" spans="1:20" x14ac:dyDescent="0.25">
      <c r="A10508">
        <v>20200229</v>
      </c>
      <c r="B10508">
        <v>2020</v>
      </c>
      <c r="C10508">
        <v>2</v>
      </c>
      <c r="D10508">
        <v>1</v>
      </c>
      <c r="E10508">
        <v>15450</v>
      </c>
      <c r="F10508">
        <v>41036.89</v>
      </c>
      <c r="G10508">
        <v>0</v>
      </c>
      <c r="H10508">
        <v>0</v>
      </c>
      <c r="I10508">
        <v>0</v>
      </c>
      <c r="J10508">
        <v>0</v>
      </c>
      <c r="K10508">
        <v>0</v>
      </c>
      <c r="L10508">
        <v>30000000</v>
      </c>
      <c r="M10508">
        <v>30000000</v>
      </c>
      <c r="N10508">
        <v>10500000</v>
      </c>
      <c r="O10508">
        <v>10500000</v>
      </c>
      <c r="P10508">
        <v>30000000</v>
      </c>
      <c r="Q10508">
        <v>30000000</v>
      </c>
      <c r="R10508" s="14">
        <f>_xlfn.XLOOKUP(Table2[[#This Row],[LoanID]],Table1[G-L ID],Table1[ManagerCode],-99)</f>
        <v>183</v>
      </c>
      <c r="T10508"/>
    </row>
    <row r="10509" spans="1:20" x14ac:dyDescent="0.25">
      <c r="A10509">
        <v>20200229</v>
      </c>
      <c r="B10509">
        <v>2020</v>
      </c>
      <c r="C10509">
        <v>2</v>
      </c>
      <c r="D10509">
        <v>1</v>
      </c>
      <c r="E10509">
        <v>15460</v>
      </c>
      <c r="F10509">
        <v>143315.74</v>
      </c>
      <c r="G10509">
        <v>0</v>
      </c>
      <c r="H10509">
        <v>0</v>
      </c>
      <c r="I10509">
        <v>0</v>
      </c>
      <c r="J10509">
        <v>0</v>
      </c>
      <c r="K10509">
        <v>0</v>
      </c>
      <c r="L10509">
        <v>67812915.890000001</v>
      </c>
      <c r="M10509">
        <v>67812915.890000001</v>
      </c>
      <c r="N10509">
        <v>30054415.890000001</v>
      </c>
      <c r="O10509">
        <v>30054415.890000001</v>
      </c>
      <c r="P10509">
        <v>68037127.890000001</v>
      </c>
      <c r="Q10509">
        <v>68037127.890000001</v>
      </c>
      <c r="R10509" s="14">
        <f>_xlfn.XLOOKUP(Table2[[#This Row],[LoanID]],Table1[G-L ID],Table1[ManagerCode],-99)</f>
        <v>183</v>
      </c>
      <c r="T10509"/>
    </row>
    <row r="10510" spans="1:20" x14ac:dyDescent="0.25">
      <c r="A10510">
        <v>20200229</v>
      </c>
      <c r="B10510">
        <v>2020</v>
      </c>
      <c r="C10510">
        <v>2</v>
      </c>
      <c r="D10510">
        <v>1</v>
      </c>
      <c r="E10510">
        <v>15470</v>
      </c>
      <c r="F10510">
        <v>260530.38</v>
      </c>
      <c r="G10510">
        <v>0</v>
      </c>
      <c r="H10510">
        <v>0</v>
      </c>
      <c r="I10510">
        <v>0</v>
      </c>
      <c r="J10510">
        <v>0</v>
      </c>
      <c r="K10510">
        <v>0</v>
      </c>
      <c r="L10510">
        <v>85500000</v>
      </c>
      <c r="M10510">
        <v>85500000</v>
      </c>
      <c r="N10510">
        <v>85500000</v>
      </c>
      <c r="O10510">
        <v>85500000</v>
      </c>
      <c r="P10510">
        <v>85500000</v>
      </c>
      <c r="Q10510">
        <v>85500000</v>
      </c>
      <c r="R10510" s="14">
        <f>_xlfn.XLOOKUP(Table2[[#This Row],[LoanID]],Table1[G-L ID],Table1[ManagerCode],-99)</f>
        <v>183</v>
      </c>
      <c r="T10510"/>
    </row>
    <row r="10511" spans="1:20" x14ac:dyDescent="0.25">
      <c r="A10511">
        <v>20200229</v>
      </c>
      <c r="B10511">
        <v>2020</v>
      </c>
      <c r="C10511">
        <v>2</v>
      </c>
      <c r="D10511">
        <v>1</v>
      </c>
      <c r="E10511">
        <v>15480</v>
      </c>
      <c r="F10511">
        <v>106053.17</v>
      </c>
      <c r="G10511">
        <v>0</v>
      </c>
      <c r="H10511">
        <v>0</v>
      </c>
      <c r="I10511">
        <v>0</v>
      </c>
      <c r="J10511">
        <v>0</v>
      </c>
      <c r="K10511">
        <v>0</v>
      </c>
      <c r="L10511">
        <v>68160000</v>
      </c>
      <c r="M10511">
        <v>68160000</v>
      </c>
      <c r="N10511">
        <v>20448000</v>
      </c>
      <c r="O10511">
        <v>20448000</v>
      </c>
      <c r="P10511">
        <v>68160000</v>
      </c>
      <c r="Q10511">
        <v>68160000</v>
      </c>
      <c r="R10511" s="14">
        <f>_xlfn.XLOOKUP(Table2[[#This Row],[LoanID]],Table1[G-L ID],Table1[ManagerCode],-99)</f>
        <v>183</v>
      </c>
      <c r="T10511"/>
    </row>
    <row r="10512" spans="1:20" x14ac:dyDescent="0.25">
      <c r="A10512">
        <v>20200229</v>
      </c>
      <c r="B10512">
        <v>2020</v>
      </c>
      <c r="C10512">
        <v>2</v>
      </c>
      <c r="D10512">
        <v>1</v>
      </c>
      <c r="E10512">
        <v>15490</v>
      </c>
      <c r="F10512">
        <v>91459.22</v>
      </c>
      <c r="G10512">
        <v>0</v>
      </c>
      <c r="H10512">
        <v>0</v>
      </c>
      <c r="I10512">
        <v>0</v>
      </c>
      <c r="J10512">
        <v>0</v>
      </c>
      <c r="K10512">
        <v>0</v>
      </c>
      <c r="L10512">
        <v>56000000</v>
      </c>
      <c r="M10512">
        <v>56000000</v>
      </c>
      <c r="N10512">
        <v>21781663</v>
      </c>
      <c r="O10512">
        <v>21781663</v>
      </c>
      <c r="P10512">
        <v>56000000</v>
      </c>
      <c r="Q10512">
        <v>56000000</v>
      </c>
      <c r="R10512" s="14">
        <f>_xlfn.XLOOKUP(Table2[[#This Row],[LoanID]],Table1[G-L ID],Table1[ManagerCode],-99)</f>
        <v>183</v>
      </c>
      <c r="T10512"/>
    </row>
    <row r="10513" spans="1:20" x14ac:dyDescent="0.25">
      <c r="A10513">
        <v>20200229</v>
      </c>
      <c r="B10513">
        <v>2020</v>
      </c>
      <c r="C10513">
        <v>2</v>
      </c>
      <c r="D10513">
        <v>1</v>
      </c>
      <c r="E10513">
        <v>15500</v>
      </c>
      <c r="F10513">
        <v>88138.72</v>
      </c>
      <c r="G10513">
        <v>0</v>
      </c>
      <c r="H10513">
        <v>0</v>
      </c>
      <c r="I10513">
        <v>0</v>
      </c>
      <c r="J10513">
        <v>0</v>
      </c>
      <c r="K10513">
        <v>0</v>
      </c>
      <c r="L10513">
        <v>51250000</v>
      </c>
      <c r="M10513">
        <v>51250000</v>
      </c>
      <c r="N10513">
        <v>18185889.219999999</v>
      </c>
      <c r="O10513">
        <v>18185889.219999999</v>
      </c>
      <c r="P10513">
        <v>51250000</v>
      </c>
      <c r="Q10513">
        <v>51250000</v>
      </c>
      <c r="R10513" s="14">
        <f>_xlfn.XLOOKUP(Table2[[#This Row],[LoanID]],Table1[G-L ID],Table1[ManagerCode],-99)</f>
        <v>183</v>
      </c>
      <c r="T10513"/>
    </row>
    <row r="10514" spans="1:20" x14ac:dyDescent="0.25">
      <c r="A10514">
        <v>20200229</v>
      </c>
      <c r="B10514">
        <v>2020</v>
      </c>
      <c r="C10514">
        <v>2</v>
      </c>
      <c r="D10514">
        <v>1</v>
      </c>
      <c r="E10514">
        <v>15510</v>
      </c>
      <c r="F10514">
        <v>119080.17</v>
      </c>
      <c r="G10514">
        <v>0</v>
      </c>
      <c r="H10514">
        <v>0</v>
      </c>
      <c r="I10514">
        <v>0</v>
      </c>
      <c r="J10514">
        <v>0</v>
      </c>
      <c r="K10514">
        <v>0</v>
      </c>
      <c r="L10514">
        <v>189352611</v>
      </c>
      <c r="M10514">
        <v>189352611</v>
      </c>
      <c r="N10514">
        <v>52552611</v>
      </c>
      <c r="O10514">
        <v>52552611</v>
      </c>
      <c r="P10514">
        <v>190000000</v>
      </c>
      <c r="Q10514">
        <v>190000000</v>
      </c>
      <c r="R10514" s="14">
        <f>_xlfn.XLOOKUP(Table2[[#This Row],[LoanID]],Table1[G-L ID],Table1[ManagerCode],-99)</f>
        <v>183</v>
      </c>
      <c r="T10514"/>
    </row>
    <row r="10515" spans="1:20" x14ac:dyDescent="0.25">
      <c r="A10515">
        <v>20200229</v>
      </c>
      <c r="B10515">
        <v>2020</v>
      </c>
      <c r="C10515">
        <v>2</v>
      </c>
      <c r="D10515">
        <v>1</v>
      </c>
      <c r="E10515">
        <v>15520</v>
      </c>
      <c r="F10515">
        <v>137418.94</v>
      </c>
      <c r="G10515">
        <v>0</v>
      </c>
      <c r="H10515">
        <v>0</v>
      </c>
      <c r="I10515">
        <v>0</v>
      </c>
      <c r="J10515">
        <v>-757096.12</v>
      </c>
      <c r="K10515">
        <v>454257.67</v>
      </c>
      <c r="L10515">
        <v>52525828.780000001</v>
      </c>
      <c r="M10515">
        <v>53282924.899999999</v>
      </c>
      <c r="N10515">
        <v>20840331.5</v>
      </c>
      <c r="O10515">
        <v>21143169.949999999</v>
      </c>
      <c r="P10515">
        <v>52525828.780000001</v>
      </c>
      <c r="Q10515">
        <v>53282924.899999999</v>
      </c>
      <c r="R10515" s="14">
        <f>_xlfn.XLOOKUP(Table2[[#This Row],[LoanID]],Table1[G-L ID],Table1[ManagerCode],-99)</f>
        <v>183</v>
      </c>
      <c r="T10515"/>
    </row>
    <row r="10516" spans="1:20" x14ac:dyDescent="0.25">
      <c r="A10516">
        <v>20200229</v>
      </c>
      <c r="B10516">
        <v>2020</v>
      </c>
      <c r="C10516">
        <v>2</v>
      </c>
      <c r="D10516">
        <v>1</v>
      </c>
      <c r="E10516">
        <v>15530</v>
      </c>
      <c r="F10516">
        <v>0</v>
      </c>
      <c r="G10516">
        <v>84745.17</v>
      </c>
      <c r="H10516">
        <v>0</v>
      </c>
      <c r="I10516">
        <v>0</v>
      </c>
      <c r="J10516">
        <v>-5746899.0800000001</v>
      </c>
      <c r="K10516">
        <v>0</v>
      </c>
      <c r="L10516">
        <v>8214330.7300000004</v>
      </c>
      <c r="M10516">
        <v>14045974.98</v>
      </c>
      <c r="N10516">
        <v>8214330.7300000004</v>
      </c>
      <c r="O10516">
        <v>14045974.98</v>
      </c>
      <c r="P10516">
        <v>8214330.7300000004</v>
      </c>
      <c r="Q10516">
        <v>14045974.98</v>
      </c>
      <c r="R10516" s="14">
        <f>_xlfn.XLOOKUP(Table2[[#This Row],[LoanID]],Table1[G-L ID],Table1[ManagerCode],-99)</f>
        <v>183</v>
      </c>
      <c r="T10516"/>
    </row>
    <row r="10517" spans="1:20" x14ac:dyDescent="0.25">
      <c r="A10517">
        <v>20200229</v>
      </c>
      <c r="B10517">
        <v>2020</v>
      </c>
      <c r="C10517">
        <v>2</v>
      </c>
      <c r="D10517">
        <v>1</v>
      </c>
      <c r="E10517">
        <v>15540</v>
      </c>
      <c r="F10517">
        <v>290130.71000000002</v>
      </c>
      <c r="G10517">
        <v>-17812.36</v>
      </c>
      <c r="H10517">
        <v>0</v>
      </c>
      <c r="I10517">
        <v>-2910.04</v>
      </c>
      <c r="J10517">
        <v>-1053861.99</v>
      </c>
      <c r="K10517">
        <v>0</v>
      </c>
      <c r="L10517">
        <v>68809445.120000005</v>
      </c>
      <c r="M10517">
        <v>69845494.75</v>
      </c>
      <c r="N10517">
        <v>68809445.120000005</v>
      </c>
      <c r="O10517">
        <v>69845494.75</v>
      </c>
      <c r="P10517">
        <v>68809445.120000005</v>
      </c>
      <c r="Q10517">
        <v>69845494.75</v>
      </c>
      <c r="R10517" s="14">
        <f>_xlfn.XLOOKUP(Table2[[#This Row],[LoanID]],Table1[G-L ID],Table1[ManagerCode],-99)</f>
        <v>212</v>
      </c>
      <c r="T10517"/>
    </row>
    <row r="10518" spans="1:20" x14ac:dyDescent="0.25">
      <c r="A10518">
        <v>20200229</v>
      </c>
      <c r="B10518">
        <v>2020</v>
      </c>
      <c r="C10518">
        <v>2</v>
      </c>
      <c r="D10518">
        <v>1</v>
      </c>
      <c r="E10518">
        <v>15550</v>
      </c>
      <c r="F10518">
        <v>97600.67</v>
      </c>
      <c r="G10518">
        <v>0</v>
      </c>
      <c r="H10518">
        <v>375200</v>
      </c>
      <c r="I10518">
        <v>0</v>
      </c>
      <c r="J10518">
        <v>-31790000</v>
      </c>
      <c r="K10518">
        <v>0</v>
      </c>
      <c r="L10518">
        <v>0</v>
      </c>
      <c r="M10518">
        <v>31790000</v>
      </c>
      <c r="N10518">
        <v>0</v>
      </c>
      <c r="O10518">
        <v>31790000</v>
      </c>
      <c r="P10518">
        <v>0</v>
      </c>
      <c r="Q10518">
        <v>31790000</v>
      </c>
      <c r="R10518" s="14">
        <f>_xlfn.XLOOKUP(Table2[[#This Row],[LoanID]],Table1[G-L ID],Table1[ManagerCode],-99)</f>
        <v>212</v>
      </c>
      <c r="T10518"/>
    </row>
    <row r="10519" spans="1:20" x14ac:dyDescent="0.25">
      <c r="A10519">
        <v>20200229</v>
      </c>
      <c r="B10519">
        <v>2020</v>
      </c>
      <c r="C10519">
        <v>2</v>
      </c>
      <c r="D10519">
        <v>1</v>
      </c>
      <c r="E10519">
        <v>15560</v>
      </c>
      <c r="F10519">
        <v>259023.51</v>
      </c>
      <c r="G10519">
        <v>-17247.52</v>
      </c>
      <c r="H10519">
        <v>0</v>
      </c>
      <c r="I10519">
        <v>0</v>
      </c>
      <c r="J10519">
        <v>0</v>
      </c>
      <c r="K10519">
        <v>0</v>
      </c>
      <c r="L10519">
        <v>49648545.149999999</v>
      </c>
      <c r="M10519">
        <v>49631297.630000003</v>
      </c>
      <c r="N10519">
        <v>49648545.149999999</v>
      </c>
      <c r="O10519">
        <v>49631297.630000003</v>
      </c>
      <c r="P10519">
        <v>49648545.149999999</v>
      </c>
      <c r="Q10519">
        <v>49631297.630000003</v>
      </c>
      <c r="R10519" s="14">
        <f>_xlfn.XLOOKUP(Table2[[#This Row],[LoanID]],Table1[G-L ID],Table1[ManagerCode],-99)</f>
        <v>212</v>
      </c>
      <c r="T10519"/>
    </row>
    <row r="10520" spans="1:20" x14ac:dyDescent="0.25">
      <c r="A10520">
        <v>20200229</v>
      </c>
      <c r="B10520">
        <v>2020</v>
      </c>
      <c r="C10520">
        <v>2</v>
      </c>
      <c r="D10520">
        <v>1</v>
      </c>
      <c r="E10520">
        <v>15570</v>
      </c>
      <c r="F10520">
        <v>107451.52</v>
      </c>
      <c r="G10520">
        <v>-11666.2</v>
      </c>
      <c r="H10520">
        <v>0</v>
      </c>
      <c r="I10520">
        <v>0</v>
      </c>
      <c r="J10520">
        <v>0</v>
      </c>
      <c r="K10520">
        <v>0</v>
      </c>
      <c r="L10520">
        <v>26596343.48</v>
      </c>
      <c r="M10520">
        <v>26584677.280000001</v>
      </c>
      <c r="N10520">
        <v>26596343.48</v>
      </c>
      <c r="O10520">
        <v>26584677.280000001</v>
      </c>
      <c r="P10520">
        <v>26596343.48</v>
      </c>
      <c r="Q10520">
        <v>26584677.280000001</v>
      </c>
      <c r="R10520" s="14">
        <f>_xlfn.XLOOKUP(Table2[[#This Row],[LoanID]],Table1[G-L ID],Table1[ManagerCode],-99)</f>
        <v>212</v>
      </c>
      <c r="T10520"/>
    </row>
    <row r="10521" spans="1:20" x14ac:dyDescent="0.25">
      <c r="A10521">
        <v>20200229</v>
      </c>
      <c r="B10521">
        <v>2020</v>
      </c>
      <c r="C10521">
        <v>2</v>
      </c>
      <c r="D10521">
        <v>1</v>
      </c>
      <c r="E10521">
        <v>15580</v>
      </c>
      <c r="F10521">
        <v>114332.36</v>
      </c>
      <c r="G10521">
        <v>-7443.86</v>
      </c>
      <c r="H10521">
        <v>0</v>
      </c>
      <c r="I10521">
        <v>0</v>
      </c>
      <c r="J10521">
        <v>0</v>
      </c>
      <c r="K10521">
        <v>9068.9500000000007</v>
      </c>
      <c r="L10521">
        <v>14468176.91</v>
      </c>
      <c r="M10521">
        <v>14451664.1</v>
      </c>
      <c r="N10521">
        <v>14468176.91</v>
      </c>
      <c r="O10521">
        <v>14451664.1</v>
      </c>
      <c r="P10521">
        <v>14468176.91</v>
      </c>
      <c r="Q10521">
        <v>14451664.1</v>
      </c>
      <c r="R10521" s="14">
        <f>_xlfn.XLOOKUP(Table2[[#This Row],[LoanID]],Table1[G-L ID],Table1[ManagerCode],-99)</f>
        <v>212</v>
      </c>
      <c r="T10521"/>
    </row>
    <row r="10522" spans="1:20" x14ac:dyDescent="0.25">
      <c r="A10522">
        <v>20200229</v>
      </c>
      <c r="B10522">
        <v>2020</v>
      </c>
      <c r="C10522">
        <v>2</v>
      </c>
      <c r="D10522">
        <v>1</v>
      </c>
      <c r="E10522">
        <v>15590</v>
      </c>
      <c r="F10522">
        <v>356428.78</v>
      </c>
      <c r="G10522">
        <v>-28050.01</v>
      </c>
      <c r="H10522">
        <v>0</v>
      </c>
      <c r="I10522">
        <v>-4472.13</v>
      </c>
      <c r="J10522">
        <v>0</v>
      </c>
      <c r="K10522">
        <v>0</v>
      </c>
      <c r="L10522">
        <v>104373908.5</v>
      </c>
      <c r="M10522">
        <v>104345858.5</v>
      </c>
      <c r="N10522">
        <v>104373908.5</v>
      </c>
      <c r="O10522">
        <v>104345858.5</v>
      </c>
      <c r="P10522">
        <v>104373908.5</v>
      </c>
      <c r="Q10522">
        <v>104345858.5</v>
      </c>
      <c r="R10522" s="14">
        <f>_xlfn.XLOOKUP(Table2[[#This Row],[LoanID]],Table1[G-L ID],Table1[ManagerCode],-99)</f>
        <v>212</v>
      </c>
      <c r="T10522"/>
    </row>
    <row r="10523" spans="1:20" x14ac:dyDescent="0.25">
      <c r="A10523">
        <v>20200229</v>
      </c>
      <c r="B10523">
        <v>2020</v>
      </c>
      <c r="C10523">
        <v>2</v>
      </c>
      <c r="D10523">
        <v>1</v>
      </c>
      <c r="E10523">
        <v>15600</v>
      </c>
      <c r="F10523">
        <v>608865.82999999996</v>
      </c>
      <c r="G10523">
        <v>-49104.6</v>
      </c>
      <c r="H10523">
        <v>0</v>
      </c>
      <c r="I10523">
        <v>-7836.11</v>
      </c>
      <c r="J10523">
        <v>0</v>
      </c>
      <c r="K10523">
        <v>0</v>
      </c>
      <c r="L10523">
        <v>182608865.80000001</v>
      </c>
      <c r="M10523">
        <v>182559761.19999999</v>
      </c>
      <c r="N10523">
        <v>182608865.80000001</v>
      </c>
      <c r="O10523">
        <v>182559761.19999999</v>
      </c>
      <c r="P10523">
        <v>182608865.80000001</v>
      </c>
      <c r="Q10523">
        <v>182559761.19999999</v>
      </c>
      <c r="R10523" s="14">
        <f>_xlfn.XLOOKUP(Table2[[#This Row],[LoanID]],Table1[G-L ID],Table1[ManagerCode],-99)</f>
        <v>212</v>
      </c>
      <c r="T10523"/>
    </row>
    <row r="10524" spans="1:20" x14ac:dyDescent="0.25">
      <c r="A10524">
        <v>20200229</v>
      </c>
      <c r="B10524">
        <v>2020</v>
      </c>
      <c r="C10524">
        <v>2</v>
      </c>
      <c r="D10524">
        <v>1</v>
      </c>
      <c r="E10524">
        <v>15610</v>
      </c>
      <c r="F10524">
        <v>856761.84</v>
      </c>
      <c r="G10524">
        <v>-64571.23</v>
      </c>
      <c r="H10524">
        <v>0</v>
      </c>
      <c r="I10524">
        <v>-9551.41</v>
      </c>
      <c r="J10524">
        <v>-1090629.6599999999</v>
      </c>
      <c r="K10524">
        <v>0</v>
      </c>
      <c r="L10524">
        <v>222696055.69999999</v>
      </c>
      <c r="M10524">
        <v>223722114.19999999</v>
      </c>
      <c r="N10524">
        <v>222696055.69999999</v>
      </c>
      <c r="O10524">
        <v>223722114.19999999</v>
      </c>
      <c r="P10524">
        <v>222696055.69999999</v>
      </c>
      <c r="Q10524">
        <v>223722114.19999999</v>
      </c>
      <c r="R10524" s="14">
        <f>_xlfn.XLOOKUP(Table2[[#This Row],[LoanID]],Table1[G-L ID],Table1[ManagerCode],-99)</f>
        <v>212</v>
      </c>
      <c r="T10524"/>
    </row>
    <row r="10525" spans="1:20" x14ac:dyDescent="0.25">
      <c r="A10525">
        <v>20200229</v>
      </c>
      <c r="B10525">
        <v>2020</v>
      </c>
      <c r="C10525">
        <v>2</v>
      </c>
      <c r="D10525">
        <v>1</v>
      </c>
      <c r="E10525">
        <v>15620</v>
      </c>
      <c r="F10525">
        <v>311649.99</v>
      </c>
      <c r="G10525">
        <v>-24366.74</v>
      </c>
      <c r="H10525">
        <v>0</v>
      </c>
      <c r="I10525">
        <v>-3398.58</v>
      </c>
      <c r="J10525">
        <v>0</v>
      </c>
      <c r="K10525">
        <v>0</v>
      </c>
      <c r="L10525">
        <v>79246462.400000006</v>
      </c>
      <c r="M10525">
        <v>79222095.659999996</v>
      </c>
      <c r="N10525">
        <v>79246462.400000006</v>
      </c>
      <c r="O10525">
        <v>79222095.659999996</v>
      </c>
      <c r="P10525">
        <v>79246462.400000006</v>
      </c>
      <c r="Q10525">
        <v>79222095.659999996</v>
      </c>
      <c r="R10525" s="14">
        <f>_xlfn.XLOOKUP(Table2[[#This Row],[LoanID]],Table1[G-L ID],Table1[ManagerCode],-99)</f>
        <v>212</v>
      </c>
      <c r="T10525"/>
    </row>
    <row r="10526" spans="1:20" x14ac:dyDescent="0.25">
      <c r="A10526">
        <v>20200229</v>
      </c>
      <c r="B10526">
        <v>2020</v>
      </c>
      <c r="C10526">
        <v>2</v>
      </c>
      <c r="D10526">
        <v>1</v>
      </c>
      <c r="E10526">
        <v>15630</v>
      </c>
      <c r="F10526">
        <v>583199.18000000005</v>
      </c>
      <c r="G10526">
        <v>38089.57</v>
      </c>
      <c r="H10526">
        <v>0</v>
      </c>
      <c r="I10526">
        <v>-6805.12</v>
      </c>
      <c r="J10526">
        <v>0</v>
      </c>
      <c r="K10526">
        <v>0</v>
      </c>
      <c r="L10526">
        <v>173184396.59999999</v>
      </c>
      <c r="M10526">
        <v>173222486.19999999</v>
      </c>
      <c r="N10526">
        <v>173184396.59999999</v>
      </c>
      <c r="O10526">
        <v>173222486.19999999</v>
      </c>
      <c r="P10526">
        <v>173184396.59999999</v>
      </c>
      <c r="Q10526">
        <v>173222486.19999999</v>
      </c>
      <c r="R10526" s="14">
        <f>_xlfn.XLOOKUP(Table2[[#This Row],[LoanID]],Table1[G-L ID],Table1[ManagerCode],-99)</f>
        <v>212</v>
      </c>
      <c r="T10526"/>
    </row>
    <row r="10527" spans="1:20" x14ac:dyDescent="0.25">
      <c r="A10527">
        <v>20200229</v>
      </c>
      <c r="B10527">
        <v>2020</v>
      </c>
      <c r="C10527">
        <v>2</v>
      </c>
      <c r="D10527">
        <v>1</v>
      </c>
      <c r="E10527">
        <v>15640</v>
      </c>
      <c r="F10527">
        <v>130666.67</v>
      </c>
      <c r="G10527">
        <v>0</v>
      </c>
      <c r="H10527">
        <v>0</v>
      </c>
      <c r="I10527">
        <v>0</v>
      </c>
      <c r="J10527">
        <v>0</v>
      </c>
      <c r="K10527">
        <v>0</v>
      </c>
      <c r="L10527">
        <v>42000000</v>
      </c>
      <c r="M10527">
        <v>42000000</v>
      </c>
      <c r="N10527">
        <v>42000000</v>
      </c>
      <c r="O10527">
        <v>42000000</v>
      </c>
      <c r="P10527">
        <v>42000000</v>
      </c>
      <c r="Q10527">
        <v>42000000</v>
      </c>
      <c r="R10527" s="14">
        <f>_xlfn.XLOOKUP(Table2[[#This Row],[LoanID]],Table1[G-L ID],Table1[ManagerCode],-99)</f>
        <v>183</v>
      </c>
      <c r="T10527"/>
    </row>
    <row r="10528" spans="1:20" x14ac:dyDescent="0.25">
      <c r="A10528">
        <v>20200229</v>
      </c>
      <c r="B10528">
        <v>2020</v>
      </c>
      <c r="C10528">
        <v>2</v>
      </c>
      <c r="D10528">
        <v>1</v>
      </c>
      <c r="E10528">
        <v>15650</v>
      </c>
      <c r="F10528">
        <v>0</v>
      </c>
      <c r="G10528">
        <v>0</v>
      </c>
      <c r="H10528">
        <v>116250</v>
      </c>
      <c r="I10528">
        <v>0</v>
      </c>
      <c r="J10528">
        <v>-14000000</v>
      </c>
      <c r="K10528">
        <v>0</v>
      </c>
      <c r="L10528">
        <v>0</v>
      </c>
      <c r="M10528">
        <v>13951866</v>
      </c>
      <c r="N10528">
        <v>0</v>
      </c>
      <c r="O10528">
        <v>13951866</v>
      </c>
      <c r="P10528">
        <v>0</v>
      </c>
      <c r="Q10528">
        <v>14000000</v>
      </c>
      <c r="R10528" s="14">
        <f>_xlfn.XLOOKUP(Table2[[#This Row],[LoanID]],Table1[G-L ID],Table1[ManagerCode],-99)</f>
        <v>183</v>
      </c>
      <c r="T10528"/>
    </row>
    <row r="10529" spans="1:20" x14ac:dyDescent="0.25">
      <c r="A10529">
        <v>20200229</v>
      </c>
      <c r="B10529">
        <v>2020</v>
      </c>
      <c r="C10529">
        <v>2</v>
      </c>
      <c r="D10529">
        <v>1</v>
      </c>
      <c r="E10529">
        <v>15660</v>
      </c>
      <c r="F10529">
        <v>0</v>
      </c>
      <c r="G10529">
        <v>0</v>
      </c>
      <c r="H10529">
        <v>354188</v>
      </c>
      <c r="I10529">
        <v>0</v>
      </c>
      <c r="J10529">
        <v>-40000000</v>
      </c>
      <c r="K10529">
        <v>0</v>
      </c>
      <c r="L10529">
        <v>0</v>
      </c>
      <c r="M10529">
        <v>40000000</v>
      </c>
      <c r="N10529">
        <v>0</v>
      </c>
      <c r="O10529">
        <v>40000000</v>
      </c>
      <c r="P10529">
        <v>0</v>
      </c>
      <c r="Q10529">
        <v>40000000</v>
      </c>
      <c r="R10529" s="14">
        <f>_xlfn.XLOOKUP(Table2[[#This Row],[LoanID]],Table1[G-L ID],Table1[ManagerCode],-99)</f>
        <v>183</v>
      </c>
      <c r="T10529"/>
    </row>
    <row r="10530" spans="1:20" x14ac:dyDescent="0.25">
      <c r="A10530">
        <v>20200229</v>
      </c>
      <c r="B10530">
        <v>2020</v>
      </c>
      <c r="C10530">
        <v>2</v>
      </c>
      <c r="D10530">
        <v>1</v>
      </c>
      <c r="E10530">
        <v>15670</v>
      </c>
      <c r="F10530">
        <v>76601</v>
      </c>
      <c r="G10530">
        <v>0</v>
      </c>
      <c r="H10530">
        <v>0</v>
      </c>
      <c r="I10530">
        <v>0</v>
      </c>
      <c r="J10530">
        <v>0</v>
      </c>
      <c r="K10530">
        <v>0</v>
      </c>
      <c r="L10530">
        <v>17650000</v>
      </c>
      <c r="M10530">
        <v>17650000</v>
      </c>
      <c r="N10530">
        <v>17650000</v>
      </c>
      <c r="O10530">
        <v>17650000</v>
      </c>
      <c r="P10530">
        <v>17650000</v>
      </c>
      <c r="Q10530">
        <v>17650000</v>
      </c>
      <c r="R10530" s="14">
        <f>_xlfn.XLOOKUP(Table2[[#This Row],[LoanID]],Table1[G-L ID],Table1[ManagerCode],-99)</f>
        <v>103</v>
      </c>
      <c r="T10530"/>
    </row>
    <row r="10531" spans="1:20" x14ac:dyDescent="0.25">
      <c r="A10531">
        <v>20200229</v>
      </c>
      <c r="B10531">
        <v>2020</v>
      </c>
      <c r="C10531">
        <v>2</v>
      </c>
      <c r="D10531">
        <v>1</v>
      </c>
      <c r="E10531">
        <v>15680</v>
      </c>
      <c r="F10531">
        <v>423962.5</v>
      </c>
      <c r="G10531">
        <v>0</v>
      </c>
      <c r="H10531">
        <v>0</v>
      </c>
      <c r="I10531">
        <v>0</v>
      </c>
      <c r="J10531">
        <v>0</v>
      </c>
      <c r="K10531">
        <v>0</v>
      </c>
      <c r="L10531">
        <v>65000000</v>
      </c>
      <c r="M10531">
        <v>65000000</v>
      </c>
      <c r="N10531">
        <v>65000000</v>
      </c>
      <c r="O10531">
        <v>65000000</v>
      </c>
      <c r="P10531">
        <v>65000000</v>
      </c>
      <c r="Q10531">
        <v>65000000</v>
      </c>
      <c r="R10531" s="14">
        <f>_xlfn.XLOOKUP(Table2[[#This Row],[LoanID]],Table1[G-L ID],Table1[ManagerCode],-99)</f>
        <v>103</v>
      </c>
      <c r="T10531"/>
    </row>
    <row r="10532" spans="1:20" x14ac:dyDescent="0.25">
      <c r="A10532">
        <v>20200229</v>
      </c>
      <c r="B10532">
        <v>2020</v>
      </c>
      <c r="C10532">
        <v>2</v>
      </c>
      <c r="D10532">
        <v>1</v>
      </c>
      <c r="E10532">
        <v>15690</v>
      </c>
      <c r="F10532">
        <v>114549.6</v>
      </c>
      <c r="G10532">
        <v>0</v>
      </c>
      <c r="H10532">
        <v>0</v>
      </c>
      <c r="I10532">
        <v>0</v>
      </c>
      <c r="J10532">
        <v>0</v>
      </c>
      <c r="K10532">
        <v>0</v>
      </c>
      <c r="L10532">
        <v>14495516</v>
      </c>
      <c r="M10532">
        <v>14495516</v>
      </c>
      <c r="N10532">
        <v>14495516</v>
      </c>
      <c r="O10532">
        <v>14495516</v>
      </c>
      <c r="P10532">
        <v>14495516</v>
      </c>
      <c r="Q10532">
        <v>14495516</v>
      </c>
      <c r="R10532" s="14">
        <f>_xlfn.XLOOKUP(Table2[[#This Row],[LoanID]],Table1[G-L ID],Table1[ManagerCode],-99)</f>
        <v>193</v>
      </c>
      <c r="T10532"/>
    </row>
    <row r="10533" spans="1:20" x14ac:dyDescent="0.25">
      <c r="A10533">
        <v>20200229</v>
      </c>
      <c r="B10533">
        <v>2020</v>
      </c>
      <c r="C10533">
        <v>2</v>
      </c>
      <c r="D10533">
        <v>1</v>
      </c>
      <c r="E10533">
        <v>15700</v>
      </c>
      <c r="F10533">
        <v>233576.39</v>
      </c>
      <c r="G10533">
        <v>0</v>
      </c>
      <c r="H10533">
        <v>0</v>
      </c>
      <c r="I10533">
        <v>0</v>
      </c>
      <c r="J10533">
        <v>0</v>
      </c>
      <c r="K10533">
        <v>0</v>
      </c>
      <c r="L10533">
        <v>35000000</v>
      </c>
      <c r="M10533">
        <v>35000000</v>
      </c>
      <c r="N10533">
        <v>35000000</v>
      </c>
      <c r="O10533">
        <v>35000000</v>
      </c>
      <c r="P10533">
        <v>35000000</v>
      </c>
      <c r="Q10533">
        <v>35000000</v>
      </c>
      <c r="R10533" s="14">
        <f>_xlfn.XLOOKUP(Table2[[#This Row],[LoanID]],Table1[G-L ID],Table1[ManagerCode],-99)</f>
        <v>193</v>
      </c>
      <c r="T10533"/>
    </row>
    <row r="10534" spans="1:20" x14ac:dyDescent="0.25">
      <c r="A10534">
        <v>20200229</v>
      </c>
      <c r="B10534">
        <v>2020</v>
      </c>
      <c r="C10534">
        <v>2</v>
      </c>
      <c r="D10534">
        <v>1</v>
      </c>
      <c r="E10534">
        <v>15710</v>
      </c>
      <c r="F10534">
        <v>380199.41</v>
      </c>
      <c r="G10534">
        <v>0</v>
      </c>
      <c r="H10534">
        <v>0</v>
      </c>
      <c r="I10534">
        <v>0</v>
      </c>
      <c r="J10534">
        <v>-1413598.55</v>
      </c>
      <c r="K10534">
        <v>0</v>
      </c>
      <c r="L10534">
        <v>71803800.109999999</v>
      </c>
      <c r="M10534">
        <v>73217398.659999996</v>
      </c>
      <c r="N10534">
        <v>71803800.109999999</v>
      </c>
      <c r="O10534">
        <v>73217398.659999996</v>
      </c>
      <c r="P10534">
        <v>71803800.109999999</v>
      </c>
      <c r="Q10534">
        <v>73217398.659999996</v>
      </c>
      <c r="R10534" s="14">
        <f>_xlfn.XLOOKUP(Table2[[#This Row],[LoanID]],Table1[G-L ID],Table1[ManagerCode],-99)</f>
        <v>193</v>
      </c>
      <c r="T10534"/>
    </row>
    <row r="10535" spans="1:20" x14ac:dyDescent="0.25">
      <c r="A10535">
        <v>20200229</v>
      </c>
      <c r="B10535">
        <v>2020</v>
      </c>
      <c r="C10535">
        <v>2</v>
      </c>
      <c r="D10535">
        <v>1</v>
      </c>
      <c r="E10535">
        <v>15720</v>
      </c>
      <c r="F10535">
        <v>136888.89000000001</v>
      </c>
      <c r="G10535">
        <v>0</v>
      </c>
      <c r="H10535">
        <v>0</v>
      </c>
      <c r="I10535">
        <v>0</v>
      </c>
      <c r="J10535">
        <v>0</v>
      </c>
      <c r="K10535">
        <v>0</v>
      </c>
      <c r="L10535">
        <v>22000000</v>
      </c>
      <c r="M10535">
        <v>22000000</v>
      </c>
      <c r="N10535">
        <v>22000000</v>
      </c>
      <c r="O10535">
        <v>22000000</v>
      </c>
      <c r="P10535">
        <v>22000000</v>
      </c>
      <c r="Q10535">
        <v>22000000</v>
      </c>
      <c r="R10535" s="14">
        <f>_xlfn.XLOOKUP(Table2[[#This Row],[LoanID]],Table1[G-L ID],Table1[ManagerCode],-99)</f>
        <v>193</v>
      </c>
      <c r="T10535"/>
    </row>
    <row r="10536" spans="1:20" x14ac:dyDescent="0.25">
      <c r="A10536">
        <v>20200229</v>
      </c>
      <c r="B10536">
        <v>2020</v>
      </c>
      <c r="C10536">
        <v>2</v>
      </c>
      <c r="D10536">
        <v>1</v>
      </c>
      <c r="E10536">
        <v>15730</v>
      </c>
      <c r="F10536">
        <v>125341.46</v>
      </c>
      <c r="G10536">
        <v>0</v>
      </c>
      <c r="H10536">
        <v>0</v>
      </c>
      <c r="I10536">
        <v>0</v>
      </c>
      <c r="J10536">
        <v>0</v>
      </c>
      <c r="K10536">
        <v>0</v>
      </c>
      <c r="L10536">
        <v>19070511.109999999</v>
      </c>
      <c r="M10536">
        <v>19070511.109999999</v>
      </c>
      <c r="N10536">
        <v>19070511.109999999</v>
      </c>
      <c r="O10536">
        <v>19070511.109999999</v>
      </c>
      <c r="P10536">
        <v>19070511.109999999</v>
      </c>
      <c r="Q10536">
        <v>19070511.109999999</v>
      </c>
      <c r="R10536" s="14">
        <f>_xlfn.XLOOKUP(Table2[[#This Row],[LoanID]],Table1[G-L ID],Table1[ManagerCode],-99)</f>
        <v>193</v>
      </c>
      <c r="T10536"/>
    </row>
    <row r="10537" spans="1:20" x14ac:dyDescent="0.25">
      <c r="A10537">
        <v>20200229</v>
      </c>
      <c r="B10537">
        <v>2020</v>
      </c>
      <c r="C10537">
        <v>2</v>
      </c>
      <c r="D10537">
        <v>1</v>
      </c>
      <c r="E10537">
        <v>15740</v>
      </c>
      <c r="F10537">
        <v>315233.33</v>
      </c>
      <c r="G10537">
        <v>0</v>
      </c>
      <c r="H10537">
        <v>0</v>
      </c>
      <c r="I10537">
        <v>0</v>
      </c>
      <c r="J10537">
        <v>0</v>
      </c>
      <c r="K10537">
        <v>0</v>
      </c>
      <c r="L10537">
        <v>60000000</v>
      </c>
      <c r="M10537">
        <v>60000000</v>
      </c>
      <c r="N10537">
        <v>60000000</v>
      </c>
      <c r="O10537">
        <v>60000000</v>
      </c>
      <c r="P10537">
        <v>60000000</v>
      </c>
      <c r="Q10537">
        <v>60000000</v>
      </c>
      <c r="R10537" s="14">
        <f>_xlfn.XLOOKUP(Table2[[#This Row],[LoanID]],Table1[G-L ID],Table1[ManagerCode],-99)</f>
        <v>193</v>
      </c>
      <c r="T10537"/>
    </row>
    <row r="10538" spans="1:20" x14ac:dyDescent="0.25">
      <c r="A10538">
        <v>20200229</v>
      </c>
      <c r="B10538">
        <v>2020</v>
      </c>
      <c r="C10538">
        <v>2</v>
      </c>
      <c r="D10538">
        <v>1</v>
      </c>
      <c r="E10538">
        <v>15750</v>
      </c>
      <c r="F10538">
        <v>190265.38</v>
      </c>
      <c r="G10538">
        <v>0</v>
      </c>
      <c r="H10538">
        <v>0</v>
      </c>
      <c r="I10538">
        <v>0</v>
      </c>
      <c r="J10538">
        <v>0</v>
      </c>
      <c r="K10538">
        <v>0</v>
      </c>
      <c r="L10538">
        <v>36500000</v>
      </c>
      <c r="M10538">
        <v>36500000</v>
      </c>
      <c r="N10538">
        <v>36500000</v>
      </c>
      <c r="O10538">
        <v>36500000</v>
      </c>
      <c r="P10538">
        <v>36500000</v>
      </c>
      <c r="Q10538">
        <v>36500000</v>
      </c>
      <c r="R10538" s="14">
        <f>_xlfn.XLOOKUP(Table2[[#This Row],[LoanID]],Table1[G-L ID],Table1[ManagerCode],-99)</f>
        <v>193</v>
      </c>
      <c r="T10538"/>
    </row>
    <row r="10539" spans="1:20" x14ac:dyDescent="0.25">
      <c r="A10539">
        <v>20200229</v>
      </c>
      <c r="B10539">
        <v>2020</v>
      </c>
      <c r="C10539">
        <v>2</v>
      </c>
      <c r="D10539">
        <v>1</v>
      </c>
      <c r="E10539">
        <v>15760</v>
      </c>
      <c r="F10539">
        <v>270773.40000000002</v>
      </c>
      <c r="G10539">
        <v>0</v>
      </c>
      <c r="H10539">
        <v>0</v>
      </c>
      <c r="I10539">
        <v>0</v>
      </c>
      <c r="J10539">
        <v>0</v>
      </c>
      <c r="K10539">
        <v>0</v>
      </c>
      <c r="L10539">
        <v>42500000</v>
      </c>
      <c r="M10539">
        <v>42500000</v>
      </c>
      <c r="N10539">
        <v>42500000</v>
      </c>
      <c r="O10539">
        <v>42500000</v>
      </c>
      <c r="P10539">
        <v>42500000</v>
      </c>
      <c r="Q10539">
        <v>42500000</v>
      </c>
      <c r="R10539" s="14">
        <f>_xlfn.XLOOKUP(Table2[[#This Row],[LoanID]],Table1[G-L ID],Table1[ManagerCode],-99)</f>
        <v>193</v>
      </c>
      <c r="T10539"/>
    </row>
    <row r="10540" spans="1:20" x14ac:dyDescent="0.25">
      <c r="A10540">
        <v>20200229</v>
      </c>
      <c r="B10540">
        <v>2020</v>
      </c>
      <c r="C10540">
        <v>2</v>
      </c>
      <c r="D10540">
        <v>1</v>
      </c>
      <c r="E10540">
        <v>15770</v>
      </c>
      <c r="F10540">
        <v>714722.22</v>
      </c>
      <c r="G10540">
        <v>0</v>
      </c>
      <c r="H10540">
        <v>0</v>
      </c>
      <c r="I10540">
        <v>0</v>
      </c>
      <c r="J10540">
        <v>0</v>
      </c>
      <c r="K10540">
        <v>0</v>
      </c>
      <c r="L10540">
        <v>100000000</v>
      </c>
      <c r="M10540">
        <v>100000000</v>
      </c>
      <c r="N10540">
        <v>100000000</v>
      </c>
      <c r="O10540">
        <v>100000000</v>
      </c>
      <c r="P10540">
        <v>100000000</v>
      </c>
      <c r="Q10540">
        <v>100000000</v>
      </c>
      <c r="R10540" s="14">
        <f>_xlfn.XLOOKUP(Table2[[#This Row],[LoanID]],Table1[G-L ID],Table1[ManagerCode],-99)</f>
        <v>193</v>
      </c>
      <c r="T10540"/>
    </row>
    <row r="10541" spans="1:20" x14ac:dyDescent="0.25">
      <c r="A10541">
        <v>20200229</v>
      </c>
      <c r="B10541">
        <v>2020</v>
      </c>
      <c r="C10541">
        <v>2</v>
      </c>
      <c r="D10541">
        <v>1</v>
      </c>
      <c r="E10541">
        <v>15780</v>
      </c>
      <c r="F10541">
        <v>114062.5</v>
      </c>
      <c r="G10541">
        <v>0</v>
      </c>
      <c r="H10541">
        <v>0</v>
      </c>
      <c r="I10541">
        <v>0</v>
      </c>
      <c r="J10541">
        <v>0</v>
      </c>
      <c r="K10541">
        <v>0</v>
      </c>
      <c r="L10541">
        <v>15000000</v>
      </c>
      <c r="M10541">
        <v>15000000</v>
      </c>
      <c r="N10541">
        <v>15000000</v>
      </c>
      <c r="O10541">
        <v>15000000</v>
      </c>
      <c r="P10541">
        <v>15000000</v>
      </c>
      <c r="Q10541">
        <v>15000000</v>
      </c>
      <c r="R10541" s="14">
        <f>_xlfn.XLOOKUP(Table2[[#This Row],[LoanID]],Table1[G-L ID],Table1[ManagerCode],-99)</f>
        <v>193</v>
      </c>
      <c r="T10541"/>
    </row>
    <row r="10542" spans="1:20" x14ac:dyDescent="0.25">
      <c r="A10542">
        <v>20200229</v>
      </c>
      <c r="B10542">
        <v>2020</v>
      </c>
      <c r="C10542">
        <v>2</v>
      </c>
      <c r="D10542">
        <v>1</v>
      </c>
      <c r="E10542">
        <v>15790</v>
      </c>
      <c r="F10542">
        <v>268258.08</v>
      </c>
      <c r="G10542">
        <v>0</v>
      </c>
      <c r="H10542">
        <v>0</v>
      </c>
      <c r="I10542">
        <v>0</v>
      </c>
      <c r="J10542">
        <v>0</v>
      </c>
      <c r="K10542">
        <v>0</v>
      </c>
      <c r="L10542">
        <v>50000000</v>
      </c>
      <c r="M10542">
        <v>50000000</v>
      </c>
      <c r="N10542">
        <v>50000000</v>
      </c>
      <c r="O10542">
        <v>50000000</v>
      </c>
      <c r="P10542">
        <v>50000000</v>
      </c>
      <c r="Q10542">
        <v>50000000</v>
      </c>
      <c r="R10542" s="14">
        <f>_xlfn.XLOOKUP(Table2[[#This Row],[LoanID]],Table1[G-L ID],Table1[ManagerCode],-99)</f>
        <v>193</v>
      </c>
      <c r="T10542"/>
    </row>
    <row r="10543" spans="1:20" x14ac:dyDescent="0.25">
      <c r="A10543">
        <v>20200229</v>
      </c>
      <c r="B10543">
        <v>2020</v>
      </c>
      <c r="C10543">
        <v>2</v>
      </c>
      <c r="D10543">
        <v>1</v>
      </c>
      <c r="E10543">
        <v>15800</v>
      </c>
      <c r="F10543">
        <v>420868.06</v>
      </c>
      <c r="G10543">
        <v>-27152.78</v>
      </c>
      <c r="H10543">
        <v>0</v>
      </c>
      <c r="I10543">
        <v>-3659.72</v>
      </c>
      <c r="J10543">
        <v>0</v>
      </c>
      <c r="K10543">
        <v>0</v>
      </c>
      <c r="L10543">
        <v>85420868.060000002</v>
      </c>
      <c r="M10543">
        <v>85393715.280000001</v>
      </c>
      <c r="N10543">
        <v>85420868.060000002</v>
      </c>
      <c r="O10543">
        <v>85393715.280000001</v>
      </c>
      <c r="P10543">
        <v>85420868.060000002</v>
      </c>
      <c r="Q10543">
        <v>85393715.280000001</v>
      </c>
      <c r="R10543" s="14">
        <f>_xlfn.XLOOKUP(Table2[[#This Row],[LoanID]],Table1[G-L ID],Table1[ManagerCode],-99)</f>
        <v>212</v>
      </c>
      <c r="T10543"/>
    </row>
    <row r="10544" spans="1:20" x14ac:dyDescent="0.25">
      <c r="A10544">
        <v>20200331</v>
      </c>
      <c r="B10544">
        <v>2020</v>
      </c>
      <c r="C10544">
        <v>3</v>
      </c>
      <c r="D10544">
        <v>1</v>
      </c>
      <c r="E10544">
        <v>10050</v>
      </c>
      <c r="F10544">
        <v>144046.76</v>
      </c>
      <c r="G10544">
        <v>0</v>
      </c>
      <c r="H10544">
        <v>0</v>
      </c>
      <c r="I10544">
        <v>-69.44</v>
      </c>
      <c r="J10544">
        <v>0</v>
      </c>
      <c r="K10544">
        <v>0</v>
      </c>
      <c r="L10544">
        <v>38054907</v>
      </c>
      <c r="M10544">
        <v>35842305</v>
      </c>
      <c r="N10544">
        <v>38054907</v>
      </c>
      <c r="O10544">
        <v>35842305</v>
      </c>
      <c r="P10544">
        <v>33333334</v>
      </c>
      <c r="Q10544">
        <v>33333334</v>
      </c>
      <c r="R10544" s="14">
        <f>_xlfn.XLOOKUP(Table2[[#This Row],[LoanID]],Table1[G-L ID],Table1[ManagerCode],-99)</f>
        <v>103</v>
      </c>
      <c r="T10544"/>
    </row>
    <row r="10545" spans="1:20" x14ac:dyDescent="0.25">
      <c r="A10545">
        <v>20200331</v>
      </c>
      <c r="B10545">
        <v>2020</v>
      </c>
      <c r="C10545">
        <v>3</v>
      </c>
      <c r="D10545">
        <v>1</v>
      </c>
      <c r="E10545">
        <v>10220</v>
      </c>
      <c r="F10545">
        <v>523611.11</v>
      </c>
      <c r="G10545">
        <v>0</v>
      </c>
      <c r="H10545">
        <v>0</v>
      </c>
      <c r="I10545">
        <v>0</v>
      </c>
      <c r="J10545">
        <v>0</v>
      </c>
      <c r="K10545">
        <v>0</v>
      </c>
      <c r="L10545">
        <v>109276887</v>
      </c>
      <c r="M10545">
        <v>106354648</v>
      </c>
      <c r="N10545">
        <v>109276887</v>
      </c>
      <c r="O10545">
        <v>106354648</v>
      </c>
      <c r="P10545">
        <v>100000000</v>
      </c>
      <c r="Q10545">
        <v>100000000</v>
      </c>
      <c r="R10545" s="14">
        <f>_xlfn.XLOOKUP(Table2[[#This Row],[LoanID]],Table1[G-L ID],Table1[ManagerCode],-99)</f>
        <v>103</v>
      </c>
      <c r="T10545"/>
    </row>
    <row r="10546" spans="1:20" x14ac:dyDescent="0.25">
      <c r="A10546">
        <v>20200331</v>
      </c>
      <c r="B10546">
        <v>2020</v>
      </c>
      <c r="C10546">
        <v>3</v>
      </c>
      <c r="D10546">
        <v>1</v>
      </c>
      <c r="E10546">
        <v>11680</v>
      </c>
      <c r="F10546">
        <v>50325.78</v>
      </c>
      <c r="G10546">
        <v>0</v>
      </c>
      <c r="H10546">
        <v>0</v>
      </c>
      <c r="I10546">
        <v>0</v>
      </c>
      <c r="J10546">
        <v>0</v>
      </c>
      <c r="K10546">
        <v>0</v>
      </c>
      <c r="L10546">
        <v>6600000</v>
      </c>
      <c r="M10546">
        <v>6600000</v>
      </c>
      <c r="N10546">
        <v>6600000</v>
      </c>
      <c r="O10546">
        <v>6600000</v>
      </c>
      <c r="P10546">
        <v>6600000</v>
      </c>
      <c r="Q10546">
        <v>6600000</v>
      </c>
      <c r="R10546" s="14">
        <f>_xlfn.XLOOKUP(Table2[[#This Row],[LoanID]],Table1[G-L ID],Table1[ManagerCode],-99)</f>
        <v>183</v>
      </c>
      <c r="T10546"/>
    </row>
    <row r="10547" spans="1:20" x14ac:dyDescent="0.25">
      <c r="A10547">
        <v>20200331</v>
      </c>
      <c r="B10547">
        <v>2020</v>
      </c>
      <c r="C10547">
        <v>3</v>
      </c>
      <c r="D10547">
        <v>1</v>
      </c>
      <c r="E10547">
        <v>12180</v>
      </c>
      <c r="F10547">
        <v>0</v>
      </c>
      <c r="G10547">
        <v>0</v>
      </c>
      <c r="H10547">
        <v>0</v>
      </c>
      <c r="I10547">
        <v>0</v>
      </c>
      <c r="J10547">
        <v>0</v>
      </c>
      <c r="K10547">
        <v>1</v>
      </c>
      <c r="L10547">
        <v>1</v>
      </c>
      <c r="M10547">
        <v>0</v>
      </c>
      <c r="N10547">
        <v>1</v>
      </c>
      <c r="O10547">
        <v>0</v>
      </c>
      <c r="P10547">
        <v>31963806.68</v>
      </c>
      <c r="Q10547">
        <v>0</v>
      </c>
      <c r="R10547" s="14">
        <f>_xlfn.XLOOKUP(Table2[[#This Row],[LoanID]],Table1[G-L ID],Table1[ManagerCode],-99)</f>
        <v>220</v>
      </c>
      <c r="T10547"/>
    </row>
    <row r="10548" spans="1:20" x14ac:dyDescent="0.25">
      <c r="A10548">
        <v>20200331</v>
      </c>
      <c r="B10548">
        <v>2020</v>
      </c>
      <c r="C10548">
        <v>3</v>
      </c>
      <c r="D10548">
        <v>1</v>
      </c>
      <c r="E10548">
        <v>12340</v>
      </c>
      <c r="F10548">
        <v>29700.1</v>
      </c>
      <c r="G10548">
        <v>0</v>
      </c>
      <c r="H10548">
        <v>0</v>
      </c>
      <c r="I10548">
        <v>0</v>
      </c>
      <c r="J10548">
        <v>0</v>
      </c>
      <c r="K10548">
        <v>0</v>
      </c>
      <c r="L10548">
        <v>24180000</v>
      </c>
      <c r="M10548">
        <v>24180000</v>
      </c>
      <c r="N10548">
        <v>12180000</v>
      </c>
      <c r="O10548">
        <v>12180000</v>
      </c>
      <c r="P10548">
        <v>24180000</v>
      </c>
      <c r="Q10548">
        <v>24180000</v>
      </c>
      <c r="R10548" s="14">
        <f>_xlfn.XLOOKUP(Table2[[#This Row],[LoanID]],Table1[G-L ID],Table1[ManagerCode],-99)</f>
        <v>183</v>
      </c>
      <c r="T10548"/>
    </row>
    <row r="10549" spans="1:20" x14ac:dyDescent="0.25">
      <c r="A10549">
        <v>20200331</v>
      </c>
      <c r="B10549">
        <v>2020</v>
      </c>
      <c r="C10549">
        <v>3</v>
      </c>
      <c r="D10549">
        <v>1</v>
      </c>
      <c r="E10549">
        <v>12350</v>
      </c>
      <c r="F10549">
        <v>212724.86</v>
      </c>
      <c r="G10549">
        <v>0</v>
      </c>
      <c r="H10549">
        <v>0</v>
      </c>
      <c r="I10549">
        <v>0</v>
      </c>
      <c r="J10549">
        <v>0</v>
      </c>
      <c r="K10549">
        <v>0</v>
      </c>
      <c r="L10549">
        <v>78700000</v>
      </c>
      <c r="M10549">
        <v>78700000</v>
      </c>
      <c r="N10549">
        <v>40914236.340000004</v>
      </c>
      <c r="O10549">
        <v>40914236.340000004</v>
      </c>
      <c r="P10549">
        <v>78700000</v>
      </c>
      <c r="Q10549">
        <v>78700000</v>
      </c>
      <c r="R10549" s="14">
        <f>_xlfn.XLOOKUP(Table2[[#This Row],[LoanID]],Table1[G-L ID],Table1[ManagerCode],-99)</f>
        <v>183</v>
      </c>
      <c r="T10549"/>
    </row>
    <row r="10550" spans="1:20" x14ac:dyDescent="0.25">
      <c r="A10550">
        <v>20200331</v>
      </c>
      <c r="B10550">
        <v>2020</v>
      </c>
      <c r="C10550">
        <v>3</v>
      </c>
      <c r="D10550">
        <v>1</v>
      </c>
      <c r="E10550">
        <v>12370</v>
      </c>
      <c r="F10550">
        <v>267284.59999999998</v>
      </c>
      <c r="G10550">
        <v>0</v>
      </c>
      <c r="H10550">
        <v>0</v>
      </c>
      <c r="I10550">
        <v>0</v>
      </c>
      <c r="J10550">
        <v>0</v>
      </c>
      <c r="K10550">
        <v>-14841599</v>
      </c>
      <c r="L10550">
        <v>81600000</v>
      </c>
      <c r="M10550">
        <v>81600000</v>
      </c>
      <c r="N10550">
        <v>36461538.549999997</v>
      </c>
      <c r="O10550">
        <v>51303137.549999997</v>
      </c>
      <c r="P10550">
        <v>81600000</v>
      </c>
      <c r="Q10550">
        <v>81600000</v>
      </c>
      <c r="R10550" s="14">
        <f>_xlfn.XLOOKUP(Table2[[#This Row],[LoanID]],Table1[G-L ID],Table1[ManagerCode],-99)</f>
        <v>183</v>
      </c>
      <c r="T10550"/>
    </row>
    <row r="10551" spans="1:20" x14ac:dyDescent="0.25">
      <c r="A10551">
        <v>20200331</v>
      </c>
      <c r="B10551">
        <v>2020</v>
      </c>
      <c r="C10551">
        <v>3</v>
      </c>
      <c r="D10551">
        <v>1</v>
      </c>
      <c r="E10551">
        <v>12380</v>
      </c>
      <c r="F10551">
        <v>83825.789999999994</v>
      </c>
      <c r="G10551">
        <v>0</v>
      </c>
      <c r="H10551">
        <v>0</v>
      </c>
      <c r="I10551">
        <v>0</v>
      </c>
      <c r="J10551">
        <v>0</v>
      </c>
      <c r="K10551">
        <v>0</v>
      </c>
      <c r="L10551">
        <v>32500000</v>
      </c>
      <c r="M10551">
        <v>32500000</v>
      </c>
      <c r="N10551">
        <v>12350000</v>
      </c>
      <c r="O10551">
        <v>12350000</v>
      </c>
      <c r="P10551">
        <v>32500000</v>
      </c>
      <c r="Q10551">
        <v>32500000</v>
      </c>
      <c r="R10551" s="14">
        <f>_xlfn.XLOOKUP(Table2[[#This Row],[LoanID]],Table1[G-L ID],Table1[ManagerCode],-99)</f>
        <v>183</v>
      </c>
      <c r="T10551"/>
    </row>
    <row r="10552" spans="1:20" x14ac:dyDescent="0.25">
      <c r="A10552">
        <v>20200331</v>
      </c>
      <c r="B10552">
        <v>2020</v>
      </c>
      <c r="C10552">
        <v>3</v>
      </c>
      <c r="D10552">
        <v>1</v>
      </c>
      <c r="E10552">
        <v>12390</v>
      </c>
      <c r="F10552">
        <v>1134543.7</v>
      </c>
      <c r="G10552">
        <v>635336.4</v>
      </c>
      <c r="H10552">
        <v>0</v>
      </c>
      <c r="I10552">
        <v>0</v>
      </c>
      <c r="J10552">
        <v>-276971.7</v>
      </c>
      <c r="K10552">
        <v>0</v>
      </c>
      <c r="L10552">
        <v>169702068.90000001</v>
      </c>
      <c r="M10552">
        <v>170614377</v>
      </c>
      <c r="N10552">
        <v>169702068.90000001</v>
      </c>
      <c r="O10552">
        <v>170614377</v>
      </c>
      <c r="P10552">
        <v>169702068.90000001</v>
      </c>
      <c r="Q10552">
        <v>170614377</v>
      </c>
      <c r="R10552" s="14">
        <f>_xlfn.XLOOKUP(Table2[[#This Row],[LoanID]],Table1[G-L ID],Table1[ManagerCode],-99)</f>
        <v>183</v>
      </c>
      <c r="T10552"/>
    </row>
    <row r="10553" spans="1:20" x14ac:dyDescent="0.25">
      <c r="A10553">
        <v>20200331</v>
      </c>
      <c r="B10553">
        <v>2020</v>
      </c>
      <c r="C10553">
        <v>3</v>
      </c>
      <c r="D10553">
        <v>1</v>
      </c>
      <c r="E10553">
        <v>12400</v>
      </c>
      <c r="F10553">
        <v>229816.45</v>
      </c>
      <c r="G10553">
        <v>140717.15</v>
      </c>
      <c r="H10553">
        <v>0</v>
      </c>
      <c r="I10553">
        <v>0</v>
      </c>
      <c r="J10553">
        <v>-1650724.98</v>
      </c>
      <c r="K10553">
        <v>0</v>
      </c>
      <c r="L10553">
        <v>64220763.420000002</v>
      </c>
      <c r="M10553">
        <v>66012205.549999997</v>
      </c>
      <c r="N10553">
        <v>64220763.420000002</v>
      </c>
      <c r="O10553">
        <v>66012205.549999997</v>
      </c>
      <c r="P10553">
        <v>64220763.420000002</v>
      </c>
      <c r="Q10553">
        <v>66012205.549999997</v>
      </c>
      <c r="R10553" s="14">
        <f>_xlfn.XLOOKUP(Table2[[#This Row],[LoanID]],Table1[G-L ID],Table1[ManagerCode],-99)</f>
        <v>183</v>
      </c>
      <c r="T10553"/>
    </row>
    <row r="10554" spans="1:20" x14ac:dyDescent="0.25">
      <c r="A10554">
        <v>20200331</v>
      </c>
      <c r="B10554">
        <v>2020</v>
      </c>
      <c r="C10554">
        <v>3</v>
      </c>
      <c r="D10554">
        <v>1</v>
      </c>
      <c r="E10554">
        <v>12410</v>
      </c>
      <c r="F10554">
        <v>250000</v>
      </c>
      <c r="G10554">
        <v>125000</v>
      </c>
      <c r="H10554">
        <v>0</v>
      </c>
      <c r="I10554">
        <v>0</v>
      </c>
      <c r="J10554">
        <v>0</v>
      </c>
      <c r="K10554">
        <v>0</v>
      </c>
      <c r="L10554">
        <v>60473807.539999999</v>
      </c>
      <c r="M10554">
        <v>60598807.539999999</v>
      </c>
      <c r="N10554">
        <v>60473807.539999999</v>
      </c>
      <c r="O10554">
        <v>60598807.539999999</v>
      </c>
      <c r="P10554">
        <v>66754789.659999996</v>
      </c>
      <c r="Q10554">
        <v>66879789.659999996</v>
      </c>
      <c r="R10554" s="14">
        <f>_xlfn.XLOOKUP(Table2[[#This Row],[LoanID]],Table1[G-L ID],Table1[ManagerCode],-99)</f>
        <v>103</v>
      </c>
      <c r="T10554"/>
    </row>
    <row r="10555" spans="1:20" x14ac:dyDescent="0.25">
      <c r="A10555">
        <v>20200331</v>
      </c>
      <c r="B10555">
        <v>2020</v>
      </c>
      <c r="C10555">
        <v>3</v>
      </c>
      <c r="D10555">
        <v>1</v>
      </c>
      <c r="E10555">
        <v>12430</v>
      </c>
      <c r="F10555">
        <v>94697.97</v>
      </c>
      <c r="G10555">
        <v>0</v>
      </c>
      <c r="H10555">
        <v>0</v>
      </c>
      <c r="I10555">
        <v>0</v>
      </c>
      <c r="J10555">
        <v>-94697.97</v>
      </c>
      <c r="K10555">
        <v>0</v>
      </c>
      <c r="L10555">
        <v>26988921</v>
      </c>
      <c r="M10555">
        <v>26955459</v>
      </c>
      <c r="N10555">
        <v>26988921</v>
      </c>
      <c r="O10555">
        <v>26955459</v>
      </c>
      <c r="P10555">
        <v>28547501.59</v>
      </c>
      <c r="Q10555">
        <v>28642199.559999999</v>
      </c>
      <c r="R10555" s="14">
        <f>_xlfn.XLOOKUP(Table2[[#This Row],[LoanID]],Table1[G-L ID],Table1[ManagerCode],-99)</f>
        <v>103</v>
      </c>
      <c r="T10555"/>
    </row>
    <row r="10556" spans="1:20" x14ac:dyDescent="0.25">
      <c r="A10556">
        <v>20200331</v>
      </c>
      <c r="B10556">
        <v>2020</v>
      </c>
      <c r="C10556">
        <v>3</v>
      </c>
      <c r="D10556">
        <v>1</v>
      </c>
      <c r="E10556">
        <v>12440</v>
      </c>
      <c r="F10556">
        <v>23050.69</v>
      </c>
      <c r="G10556">
        <v>0</v>
      </c>
      <c r="H10556">
        <v>0</v>
      </c>
      <c r="I10556">
        <v>0</v>
      </c>
      <c r="J10556">
        <v>0</v>
      </c>
      <c r="K10556">
        <v>60315.58</v>
      </c>
      <c r="L10556">
        <v>3085374</v>
      </c>
      <c r="M10556">
        <v>2943050</v>
      </c>
      <c r="N10556">
        <v>3085374</v>
      </c>
      <c r="O10556">
        <v>2943050</v>
      </c>
      <c r="P10556">
        <v>2766082.55</v>
      </c>
      <c r="Q10556">
        <v>2705766.97</v>
      </c>
      <c r="R10556" s="14">
        <f>_xlfn.XLOOKUP(Table2[[#This Row],[LoanID]],Table1[G-L ID],Table1[ManagerCode],-99)</f>
        <v>103</v>
      </c>
      <c r="T10556"/>
    </row>
    <row r="10557" spans="1:20" x14ac:dyDescent="0.25">
      <c r="A10557">
        <v>20200331</v>
      </c>
      <c r="B10557">
        <v>2020</v>
      </c>
      <c r="C10557">
        <v>3</v>
      </c>
      <c r="D10557">
        <v>1</v>
      </c>
      <c r="E10557">
        <v>12460</v>
      </c>
      <c r="F10557">
        <v>48457.34</v>
      </c>
      <c r="G10557">
        <v>48699.63</v>
      </c>
      <c r="H10557">
        <v>0</v>
      </c>
      <c r="I10557">
        <v>0</v>
      </c>
      <c r="J10557">
        <v>0</v>
      </c>
      <c r="K10557">
        <v>0</v>
      </c>
      <c r="L10557">
        <v>9739926.1199999992</v>
      </c>
      <c r="M10557">
        <v>9788625.75</v>
      </c>
      <c r="N10557">
        <v>9739926.1199999992</v>
      </c>
      <c r="O10557">
        <v>9788625.75</v>
      </c>
      <c r="P10557">
        <v>9739926.1199999992</v>
      </c>
      <c r="Q10557">
        <v>9788625.75</v>
      </c>
      <c r="R10557" s="14">
        <f>_xlfn.XLOOKUP(Table2[[#This Row],[LoanID]],Table1[G-L ID],Table1[ManagerCode],-99)</f>
        <v>183</v>
      </c>
      <c r="T10557"/>
    </row>
    <row r="10558" spans="1:20" x14ac:dyDescent="0.25">
      <c r="A10558">
        <v>20200331</v>
      </c>
      <c r="B10558">
        <v>2020</v>
      </c>
      <c r="C10558">
        <v>3</v>
      </c>
      <c r="D10558">
        <v>1</v>
      </c>
      <c r="E10558">
        <v>12470</v>
      </c>
      <c r="F10558">
        <v>292670.21000000002</v>
      </c>
      <c r="G10558">
        <v>0</v>
      </c>
      <c r="H10558">
        <v>0</v>
      </c>
      <c r="I10558">
        <v>0</v>
      </c>
      <c r="J10558">
        <v>0</v>
      </c>
      <c r="K10558">
        <v>0</v>
      </c>
      <c r="L10558">
        <v>114578356</v>
      </c>
      <c r="M10558">
        <v>114578356</v>
      </c>
      <c r="N10558">
        <v>45578356</v>
      </c>
      <c r="O10558">
        <v>45578356</v>
      </c>
      <c r="P10558">
        <v>115000000</v>
      </c>
      <c r="Q10558">
        <v>115000000</v>
      </c>
      <c r="R10558" s="14">
        <f>_xlfn.XLOOKUP(Table2[[#This Row],[LoanID]],Table1[G-L ID],Table1[ManagerCode],-99)</f>
        <v>183</v>
      </c>
      <c r="T10558"/>
    </row>
    <row r="10559" spans="1:20" x14ac:dyDescent="0.25">
      <c r="A10559">
        <v>20200331</v>
      </c>
      <c r="B10559">
        <v>2020</v>
      </c>
      <c r="C10559">
        <v>3</v>
      </c>
      <c r="D10559">
        <v>1</v>
      </c>
      <c r="E10559">
        <v>12490</v>
      </c>
      <c r="F10559">
        <v>135641.92000000001</v>
      </c>
      <c r="G10559">
        <v>0</v>
      </c>
      <c r="H10559">
        <v>0</v>
      </c>
      <c r="I10559">
        <v>0</v>
      </c>
      <c r="J10559">
        <v>0</v>
      </c>
      <c r="K10559">
        <v>0</v>
      </c>
      <c r="L10559">
        <v>50200000</v>
      </c>
      <c r="M10559">
        <v>50200000</v>
      </c>
      <c r="N10559">
        <v>19600000</v>
      </c>
      <c r="O10559">
        <v>19600000</v>
      </c>
      <c r="P10559">
        <v>50200000</v>
      </c>
      <c r="Q10559">
        <v>50200000</v>
      </c>
      <c r="R10559" s="14">
        <f>_xlfn.XLOOKUP(Table2[[#This Row],[LoanID]],Table1[G-L ID],Table1[ManagerCode],-99)</f>
        <v>183</v>
      </c>
      <c r="T10559"/>
    </row>
    <row r="10560" spans="1:20" x14ac:dyDescent="0.25">
      <c r="A10560">
        <v>20200331</v>
      </c>
      <c r="B10560">
        <v>2020</v>
      </c>
      <c r="C10560">
        <v>3</v>
      </c>
      <c r="D10560">
        <v>1</v>
      </c>
      <c r="E10560">
        <v>12520</v>
      </c>
      <c r="F10560">
        <v>187458.39</v>
      </c>
      <c r="G10560">
        <v>0</v>
      </c>
      <c r="H10560">
        <v>0</v>
      </c>
      <c r="I10560">
        <v>0</v>
      </c>
      <c r="J10560">
        <v>0</v>
      </c>
      <c r="K10560">
        <v>0</v>
      </c>
      <c r="L10560">
        <v>48569301.140000001</v>
      </c>
      <c r="M10560">
        <v>48569301.140000001</v>
      </c>
      <c r="N10560">
        <v>23819301.140000001</v>
      </c>
      <c r="O10560">
        <v>23819301.140000001</v>
      </c>
      <c r="P10560">
        <v>48569301.140000001</v>
      </c>
      <c r="Q10560">
        <v>48569301.140000001</v>
      </c>
      <c r="R10560" s="14">
        <f>_xlfn.XLOOKUP(Table2[[#This Row],[LoanID]],Table1[G-L ID],Table1[ManagerCode],-99)</f>
        <v>183</v>
      </c>
      <c r="T10560"/>
    </row>
    <row r="10561" spans="1:20" x14ac:dyDescent="0.25">
      <c r="A10561">
        <v>20200331</v>
      </c>
      <c r="B10561">
        <v>2020</v>
      </c>
      <c r="C10561">
        <v>3</v>
      </c>
      <c r="D10561">
        <v>1</v>
      </c>
      <c r="E10561">
        <v>12650</v>
      </c>
      <c r="F10561">
        <v>384357.07</v>
      </c>
      <c r="G10561">
        <v>0</v>
      </c>
      <c r="H10561">
        <v>0</v>
      </c>
      <c r="I10561">
        <v>0</v>
      </c>
      <c r="J10561">
        <v>0</v>
      </c>
      <c r="K10561">
        <v>0</v>
      </c>
      <c r="L10561">
        <v>123200000</v>
      </c>
      <c r="M10561">
        <v>123200000</v>
      </c>
      <c r="N10561">
        <v>49280000</v>
      </c>
      <c r="O10561">
        <v>49280000</v>
      </c>
      <c r="P10561">
        <v>123200000</v>
      </c>
      <c r="Q10561">
        <v>123200000</v>
      </c>
      <c r="R10561" s="14">
        <f>_xlfn.XLOOKUP(Table2[[#This Row],[LoanID]],Table1[G-L ID],Table1[ManagerCode],-99)</f>
        <v>183</v>
      </c>
      <c r="T10561"/>
    </row>
    <row r="10562" spans="1:20" x14ac:dyDescent="0.25">
      <c r="A10562">
        <v>20200331</v>
      </c>
      <c r="B10562">
        <v>2020</v>
      </c>
      <c r="C10562">
        <v>3</v>
      </c>
      <c r="D10562">
        <v>1</v>
      </c>
      <c r="E10562">
        <v>12670</v>
      </c>
      <c r="F10562">
        <v>81337.97</v>
      </c>
      <c r="G10562">
        <v>0</v>
      </c>
      <c r="H10562">
        <v>0</v>
      </c>
      <c r="I10562">
        <v>0</v>
      </c>
      <c r="J10562">
        <v>0</v>
      </c>
      <c r="K10562">
        <v>0</v>
      </c>
      <c r="L10562">
        <v>15494098</v>
      </c>
      <c r="M10562">
        <v>15494098</v>
      </c>
      <c r="N10562">
        <v>15494098</v>
      </c>
      <c r="O10562">
        <v>15494098</v>
      </c>
      <c r="P10562">
        <v>15500000</v>
      </c>
      <c r="Q10562">
        <v>15500000</v>
      </c>
      <c r="R10562" s="14">
        <f>_xlfn.XLOOKUP(Table2[[#This Row],[LoanID]],Table1[G-L ID],Table1[ManagerCode],-99)</f>
        <v>183</v>
      </c>
      <c r="T10562"/>
    </row>
    <row r="10563" spans="1:20" x14ac:dyDescent="0.25">
      <c r="A10563">
        <v>20200331</v>
      </c>
      <c r="B10563">
        <v>2020</v>
      </c>
      <c r="C10563">
        <v>3</v>
      </c>
      <c r="D10563">
        <v>1</v>
      </c>
      <c r="E10563">
        <v>12720</v>
      </c>
      <c r="F10563">
        <v>563666.62</v>
      </c>
      <c r="G10563">
        <v>0</v>
      </c>
      <c r="H10563">
        <v>0</v>
      </c>
      <c r="I10563">
        <v>0</v>
      </c>
      <c r="J10563">
        <v>-1293024.72</v>
      </c>
      <c r="K10563">
        <v>0</v>
      </c>
      <c r="L10563">
        <v>206135973.09999999</v>
      </c>
      <c r="M10563">
        <v>207188511.90000001</v>
      </c>
      <c r="N10563">
        <v>104254973.09999999</v>
      </c>
      <c r="O10563">
        <v>105307511.90000001</v>
      </c>
      <c r="P10563">
        <v>206135973.09999999</v>
      </c>
      <c r="Q10563">
        <v>207428997.90000001</v>
      </c>
      <c r="R10563" s="14">
        <f>_xlfn.XLOOKUP(Table2[[#This Row],[LoanID]],Table1[G-L ID],Table1[ManagerCode],-99)</f>
        <v>183</v>
      </c>
      <c r="T10563"/>
    </row>
    <row r="10564" spans="1:20" x14ac:dyDescent="0.25">
      <c r="A10564">
        <v>20200331</v>
      </c>
      <c r="B10564">
        <v>2020</v>
      </c>
      <c r="C10564">
        <v>3</v>
      </c>
      <c r="D10564">
        <v>1</v>
      </c>
      <c r="E10564">
        <v>12730</v>
      </c>
      <c r="F10564">
        <v>86817</v>
      </c>
      <c r="G10564">
        <v>0</v>
      </c>
      <c r="H10564">
        <v>0</v>
      </c>
      <c r="I10564">
        <v>0</v>
      </c>
      <c r="J10564">
        <v>0</v>
      </c>
      <c r="K10564">
        <v>0</v>
      </c>
      <c r="L10564">
        <v>38460000</v>
      </c>
      <c r="M10564">
        <v>38460000</v>
      </c>
      <c r="N10564">
        <v>13460000</v>
      </c>
      <c r="O10564">
        <v>13460000</v>
      </c>
      <c r="P10564">
        <v>38460000</v>
      </c>
      <c r="Q10564">
        <v>38460000</v>
      </c>
      <c r="R10564" s="14">
        <f>_xlfn.XLOOKUP(Table2[[#This Row],[LoanID]],Table1[G-L ID],Table1[ManagerCode],-99)</f>
        <v>183</v>
      </c>
      <c r="T10564"/>
    </row>
    <row r="10565" spans="1:20" x14ac:dyDescent="0.25">
      <c r="A10565">
        <v>20200331</v>
      </c>
      <c r="B10565">
        <v>2020</v>
      </c>
      <c r="C10565">
        <v>3</v>
      </c>
      <c r="D10565">
        <v>1</v>
      </c>
      <c r="E10565">
        <v>12740</v>
      </c>
      <c r="F10565">
        <v>170993.73</v>
      </c>
      <c r="G10565">
        <v>80243.19</v>
      </c>
      <c r="H10565">
        <v>0</v>
      </c>
      <c r="I10565">
        <v>0</v>
      </c>
      <c r="J10565">
        <v>0</v>
      </c>
      <c r="K10565">
        <v>0</v>
      </c>
      <c r="L10565">
        <v>34798838.609999999</v>
      </c>
      <c r="M10565">
        <v>34879081.799999997</v>
      </c>
      <c r="N10565">
        <v>34798838.609999999</v>
      </c>
      <c r="O10565">
        <v>34879081.799999997</v>
      </c>
      <c r="P10565">
        <v>34798838.609999999</v>
      </c>
      <c r="Q10565">
        <v>34879081.799999997</v>
      </c>
      <c r="R10565" s="14">
        <f>_xlfn.XLOOKUP(Table2[[#This Row],[LoanID]],Table1[G-L ID],Table1[ManagerCode],-99)</f>
        <v>183</v>
      </c>
      <c r="T10565"/>
    </row>
    <row r="10566" spans="1:20" x14ac:dyDescent="0.25">
      <c r="A10566">
        <v>20200331</v>
      </c>
      <c r="B10566">
        <v>2020</v>
      </c>
      <c r="C10566">
        <v>3</v>
      </c>
      <c r="D10566">
        <v>1</v>
      </c>
      <c r="E10566">
        <v>13000</v>
      </c>
      <c r="F10566">
        <v>170229.8</v>
      </c>
      <c r="G10566">
        <v>0</v>
      </c>
      <c r="H10566">
        <v>0</v>
      </c>
      <c r="I10566">
        <v>0</v>
      </c>
      <c r="J10566">
        <v>0</v>
      </c>
      <c r="K10566">
        <v>0</v>
      </c>
      <c r="L10566">
        <v>48515493</v>
      </c>
      <c r="M10566">
        <v>47213361</v>
      </c>
      <c r="N10566">
        <v>48515493</v>
      </c>
      <c r="O10566">
        <v>47213361</v>
      </c>
      <c r="P10566">
        <v>51068938.649999999</v>
      </c>
      <c r="Q10566">
        <v>51068938.649999999</v>
      </c>
      <c r="R10566" s="14">
        <f>_xlfn.XLOOKUP(Table2[[#This Row],[LoanID]],Table1[G-L ID],Table1[ManagerCode],-99)</f>
        <v>103</v>
      </c>
      <c r="T10566"/>
    </row>
    <row r="10567" spans="1:20" x14ac:dyDescent="0.25">
      <c r="A10567">
        <v>20200331</v>
      </c>
      <c r="B10567">
        <v>2020</v>
      </c>
      <c r="C10567">
        <v>3</v>
      </c>
      <c r="D10567">
        <v>1</v>
      </c>
      <c r="E10567">
        <v>13010</v>
      </c>
      <c r="F10567">
        <v>1050000</v>
      </c>
      <c r="G10567">
        <v>350000</v>
      </c>
      <c r="H10567">
        <v>0</v>
      </c>
      <c r="I10567">
        <v>0</v>
      </c>
      <c r="J10567">
        <v>0</v>
      </c>
      <c r="K10567">
        <v>0</v>
      </c>
      <c r="L10567">
        <v>202300200</v>
      </c>
      <c r="M10567">
        <v>198229500</v>
      </c>
      <c r="N10567">
        <v>202300200</v>
      </c>
      <c r="O10567">
        <v>198229500</v>
      </c>
      <c r="P10567">
        <v>212800000</v>
      </c>
      <c r="Q10567">
        <v>213150000</v>
      </c>
      <c r="R10567" s="14">
        <f>_xlfn.XLOOKUP(Table2[[#This Row],[LoanID]],Table1[G-L ID],Table1[ManagerCode],-99)</f>
        <v>103</v>
      </c>
      <c r="T10567"/>
    </row>
    <row r="10568" spans="1:20" x14ac:dyDescent="0.25">
      <c r="A10568">
        <v>20200331</v>
      </c>
      <c r="B10568">
        <v>2020</v>
      </c>
      <c r="C10568">
        <v>3</v>
      </c>
      <c r="D10568">
        <v>1</v>
      </c>
      <c r="E10568">
        <v>13030</v>
      </c>
      <c r="F10568">
        <v>333026.98</v>
      </c>
      <c r="G10568">
        <v>0</v>
      </c>
      <c r="H10568">
        <v>0</v>
      </c>
      <c r="I10568">
        <v>0</v>
      </c>
      <c r="J10568">
        <v>-2660670.29</v>
      </c>
      <c r="K10568">
        <v>0</v>
      </c>
      <c r="L10568">
        <v>114000000</v>
      </c>
      <c r="M10568">
        <v>116593371.3</v>
      </c>
      <c r="N10568">
        <v>51276576</v>
      </c>
      <c r="O10568">
        <v>53869947.299999997</v>
      </c>
      <c r="P10568">
        <v>114000000</v>
      </c>
      <c r="Q10568">
        <v>116660670.3</v>
      </c>
      <c r="R10568" s="14">
        <f>_xlfn.XLOOKUP(Table2[[#This Row],[LoanID]],Table1[G-L ID],Table1[ManagerCode],-99)</f>
        <v>183</v>
      </c>
      <c r="T10568"/>
    </row>
    <row r="10569" spans="1:20" x14ac:dyDescent="0.25">
      <c r="A10569">
        <v>20200331</v>
      </c>
      <c r="B10569">
        <v>2020</v>
      </c>
      <c r="C10569">
        <v>3</v>
      </c>
      <c r="D10569">
        <v>1</v>
      </c>
      <c r="E10569">
        <v>13040</v>
      </c>
      <c r="F10569">
        <v>106685.43</v>
      </c>
      <c r="G10569">
        <v>0</v>
      </c>
      <c r="H10569">
        <v>0</v>
      </c>
      <c r="I10569">
        <v>0</v>
      </c>
      <c r="J10569">
        <v>0</v>
      </c>
      <c r="K10569">
        <v>0</v>
      </c>
      <c r="L10569">
        <v>36736111.100000001</v>
      </c>
      <c r="M10569">
        <v>36736111.100000001</v>
      </c>
      <c r="N10569">
        <v>16563724.1</v>
      </c>
      <c r="O10569">
        <v>16563724.1</v>
      </c>
      <c r="P10569">
        <v>36736111.100000001</v>
      </c>
      <c r="Q10569">
        <v>36736111.100000001</v>
      </c>
      <c r="R10569" s="14">
        <f>_xlfn.XLOOKUP(Table2[[#This Row],[LoanID]],Table1[G-L ID],Table1[ManagerCode],-99)</f>
        <v>183</v>
      </c>
      <c r="T10569"/>
    </row>
    <row r="10570" spans="1:20" x14ac:dyDescent="0.25">
      <c r="A10570">
        <v>20200331</v>
      </c>
      <c r="B10570">
        <v>2020</v>
      </c>
      <c r="C10570">
        <v>3</v>
      </c>
      <c r="D10570">
        <v>1</v>
      </c>
      <c r="E10570">
        <v>13050</v>
      </c>
      <c r="F10570">
        <v>77090.58</v>
      </c>
      <c r="G10570">
        <v>0</v>
      </c>
      <c r="H10570">
        <v>0</v>
      </c>
      <c r="I10570">
        <v>0</v>
      </c>
      <c r="J10570">
        <v>0</v>
      </c>
      <c r="K10570">
        <v>0</v>
      </c>
      <c r="L10570">
        <v>42575000</v>
      </c>
      <c r="M10570">
        <v>42477092</v>
      </c>
      <c r="N10570">
        <v>14901424</v>
      </c>
      <c r="O10570">
        <v>14803516</v>
      </c>
      <c r="P10570">
        <v>42575000</v>
      </c>
      <c r="Q10570">
        <v>42575000</v>
      </c>
      <c r="R10570" s="14">
        <f>_xlfn.XLOOKUP(Table2[[#This Row],[LoanID]],Table1[G-L ID],Table1[ManagerCode],-99)</f>
        <v>183</v>
      </c>
      <c r="T10570"/>
    </row>
    <row r="10571" spans="1:20" x14ac:dyDescent="0.25">
      <c r="A10571">
        <v>20200331</v>
      </c>
      <c r="B10571">
        <v>2020</v>
      </c>
      <c r="C10571">
        <v>3</v>
      </c>
      <c r="D10571">
        <v>1</v>
      </c>
      <c r="E10571">
        <v>13060</v>
      </c>
      <c r="F10571">
        <v>104102.66</v>
      </c>
      <c r="G10571">
        <v>0</v>
      </c>
      <c r="H10571">
        <v>0</v>
      </c>
      <c r="I10571">
        <v>0</v>
      </c>
      <c r="J10571">
        <v>-434325.26</v>
      </c>
      <c r="K10571">
        <v>0</v>
      </c>
      <c r="L10571">
        <v>47839146.280000001</v>
      </c>
      <c r="M10571">
        <v>48273471.539999999</v>
      </c>
      <c r="N10571">
        <v>21590290.120000001</v>
      </c>
      <c r="O10571">
        <v>22024615.379999999</v>
      </c>
      <c r="P10571">
        <v>47959142.280000001</v>
      </c>
      <c r="Q10571">
        <v>48393467.539999999</v>
      </c>
      <c r="R10571" s="14">
        <f>_xlfn.XLOOKUP(Table2[[#This Row],[LoanID]],Table1[G-L ID],Table1[ManagerCode],-99)</f>
        <v>183</v>
      </c>
      <c r="T10571"/>
    </row>
    <row r="10572" spans="1:20" x14ac:dyDescent="0.25">
      <c r="A10572">
        <v>20200331</v>
      </c>
      <c r="B10572">
        <v>2020</v>
      </c>
      <c r="C10572">
        <v>3</v>
      </c>
      <c r="D10572">
        <v>1</v>
      </c>
      <c r="E10572">
        <v>13070</v>
      </c>
      <c r="F10572">
        <v>416196.79</v>
      </c>
      <c r="G10572">
        <v>0</v>
      </c>
      <c r="H10572">
        <v>0</v>
      </c>
      <c r="I10572">
        <v>0</v>
      </c>
      <c r="J10572">
        <v>-2035850</v>
      </c>
      <c r="K10572">
        <v>0</v>
      </c>
      <c r="L10572">
        <v>96551295</v>
      </c>
      <c r="M10572">
        <v>98587145</v>
      </c>
      <c r="N10572">
        <v>56551295</v>
      </c>
      <c r="O10572">
        <v>58587145</v>
      </c>
      <c r="P10572">
        <v>96551295</v>
      </c>
      <c r="Q10572">
        <v>98587145</v>
      </c>
      <c r="R10572" s="14">
        <f>_xlfn.XLOOKUP(Table2[[#This Row],[LoanID]],Table1[G-L ID],Table1[ManagerCode],-99)</f>
        <v>183</v>
      </c>
      <c r="T10572"/>
    </row>
    <row r="10573" spans="1:20" x14ac:dyDescent="0.25">
      <c r="A10573">
        <v>20200331</v>
      </c>
      <c r="B10573">
        <v>2020</v>
      </c>
      <c r="C10573">
        <v>3</v>
      </c>
      <c r="D10573">
        <v>1</v>
      </c>
      <c r="E10573">
        <v>13080</v>
      </c>
      <c r="F10573">
        <v>125637.49</v>
      </c>
      <c r="G10573">
        <v>0</v>
      </c>
      <c r="H10573">
        <v>0</v>
      </c>
      <c r="I10573">
        <v>0</v>
      </c>
      <c r="J10573">
        <v>0</v>
      </c>
      <c r="K10573">
        <v>0</v>
      </c>
      <c r="L10573">
        <v>43000000</v>
      </c>
      <c r="M10573">
        <v>43000000</v>
      </c>
      <c r="N10573">
        <v>21500000</v>
      </c>
      <c r="O10573">
        <v>21500000</v>
      </c>
      <c r="P10573">
        <v>43000000</v>
      </c>
      <c r="Q10573">
        <v>43000000</v>
      </c>
      <c r="R10573" s="14">
        <f>_xlfn.XLOOKUP(Table2[[#This Row],[LoanID]],Table1[G-L ID],Table1[ManagerCode],-99)</f>
        <v>183</v>
      </c>
      <c r="T10573"/>
    </row>
    <row r="10574" spans="1:20" x14ac:dyDescent="0.25">
      <c r="A10574">
        <v>20200331</v>
      </c>
      <c r="B10574">
        <v>2020</v>
      </c>
      <c r="C10574">
        <v>3</v>
      </c>
      <c r="D10574">
        <v>1</v>
      </c>
      <c r="E10574">
        <v>13090</v>
      </c>
      <c r="F10574">
        <v>84589.18</v>
      </c>
      <c r="G10574">
        <v>0</v>
      </c>
      <c r="H10574">
        <v>0</v>
      </c>
      <c r="I10574">
        <v>0</v>
      </c>
      <c r="J10574">
        <v>0</v>
      </c>
      <c r="K10574">
        <v>0</v>
      </c>
      <c r="L10574">
        <v>20000000</v>
      </c>
      <c r="M10574">
        <v>20000000</v>
      </c>
      <c r="N10574">
        <v>20000000</v>
      </c>
      <c r="O10574">
        <v>20000000</v>
      </c>
      <c r="P10574">
        <v>20000000</v>
      </c>
      <c r="Q10574">
        <v>20000000</v>
      </c>
      <c r="R10574" s="14">
        <f>_xlfn.XLOOKUP(Table2[[#This Row],[LoanID]],Table1[G-L ID],Table1[ManagerCode],-99)</f>
        <v>183</v>
      </c>
      <c r="T10574"/>
    </row>
    <row r="10575" spans="1:20" x14ac:dyDescent="0.25">
      <c r="A10575">
        <v>20200331</v>
      </c>
      <c r="B10575">
        <v>2020</v>
      </c>
      <c r="C10575">
        <v>3</v>
      </c>
      <c r="D10575">
        <v>1</v>
      </c>
      <c r="E10575">
        <v>13100</v>
      </c>
      <c r="F10575">
        <v>35498.03</v>
      </c>
      <c r="G10575">
        <v>0</v>
      </c>
      <c r="H10575">
        <v>0</v>
      </c>
      <c r="I10575">
        <v>0</v>
      </c>
      <c r="J10575">
        <v>-61384.76</v>
      </c>
      <c r="K10575">
        <v>61384.76</v>
      </c>
      <c r="L10575">
        <v>26867117.829999998</v>
      </c>
      <c r="M10575">
        <v>25712445.329999998</v>
      </c>
      <c r="N10575">
        <v>8632419.2699999996</v>
      </c>
      <c r="O10575">
        <v>8632419.2699999996</v>
      </c>
      <c r="P10575">
        <v>26867117.829999998</v>
      </c>
      <c r="Q10575">
        <v>25712445.329999998</v>
      </c>
      <c r="R10575" s="14">
        <f>_xlfn.XLOOKUP(Table2[[#This Row],[LoanID]],Table1[G-L ID],Table1[ManagerCode],-99)</f>
        <v>183</v>
      </c>
      <c r="T10575"/>
    </row>
    <row r="10576" spans="1:20" x14ac:dyDescent="0.25">
      <c r="A10576">
        <v>20200331</v>
      </c>
      <c r="B10576">
        <v>2020</v>
      </c>
      <c r="C10576">
        <v>3</v>
      </c>
      <c r="D10576">
        <v>1</v>
      </c>
      <c r="E10576">
        <v>13110</v>
      </c>
      <c r="F10576">
        <v>97648.93</v>
      </c>
      <c r="G10576">
        <v>0</v>
      </c>
      <c r="H10576">
        <v>0</v>
      </c>
      <c r="I10576">
        <v>0</v>
      </c>
      <c r="J10576">
        <v>0</v>
      </c>
      <c r="K10576">
        <v>1369273.66</v>
      </c>
      <c r="L10576">
        <v>46181214.240000002</v>
      </c>
      <c r="M10576">
        <v>45822581.119999997</v>
      </c>
      <c r="N10576">
        <v>19904964.239999998</v>
      </c>
      <c r="O10576">
        <v>18177057.460000001</v>
      </c>
      <c r="P10576">
        <v>46292870.240000002</v>
      </c>
      <c r="Q10576">
        <v>46292870.240000002</v>
      </c>
      <c r="R10576" s="14">
        <f>_xlfn.XLOOKUP(Table2[[#This Row],[LoanID]],Table1[G-L ID],Table1[ManagerCode],-99)</f>
        <v>183</v>
      </c>
      <c r="T10576"/>
    </row>
    <row r="10577" spans="1:20" x14ac:dyDescent="0.25">
      <c r="A10577">
        <v>20200331</v>
      </c>
      <c r="B10577">
        <v>2020</v>
      </c>
      <c r="C10577">
        <v>3</v>
      </c>
      <c r="D10577">
        <v>1</v>
      </c>
      <c r="E10577">
        <v>13120</v>
      </c>
      <c r="F10577">
        <v>73200.539999999994</v>
      </c>
      <c r="G10577">
        <v>0</v>
      </c>
      <c r="H10577">
        <v>0</v>
      </c>
      <c r="I10577">
        <v>0</v>
      </c>
      <c r="J10577">
        <v>0</v>
      </c>
      <c r="K10577">
        <v>0</v>
      </c>
      <c r="L10577">
        <v>27360000</v>
      </c>
      <c r="M10577">
        <v>27360000</v>
      </c>
      <c r="N10577">
        <v>9576000</v>
      </c>
      <c r="O10577">
        <v>9576000</v>
      </c>
      <c r="P10577">
        <v>27360000</v>
      </c>
      <c r="Q10577">
        <v>27360000</v>
      </c>
      <c r="R10577" s="14">
        <f>_xlfn.XLOOKUP(Table2[[#This Row],[LoanID]],Table1[G-L ID],Table1[ManagerCode],-99)</f>
        <v>183</v>
      </c>
      <c r="T10577"/>
    </row>
    <row r="10578" spans="1:20" x14ac:dyDescent="0.25">
      <c r="A10578">
        <v>20200331</v>
      </c>
      <c r="B10578">
        <v>2020</v>
      </c>
      <c r="C10578">
        <v>3</v>
      </c>
      <c r="D10578">
        <v>1</v>
      </c>
      <c r="E10578">
        <v>13130</v>
      </c>
      <c r="F10578">
        <v>409714.83</v>
      </c>
      <c r="G10578">
        <v>0</v>
      </c>
      <c r="H10578">
        <v>0</v>
      </c>
      <c r="I10578">
        <v>0</v>
      </c>
      <c r="J10578">
        <v>-6111782.4400000004</v>
      </c>
      <c r="K10578">
        <v>0</v>
      </c>
      <c r="L10578">
        <v>198680193.09999999</v>
      </c>
      <c r="M10578">
        <v>197958502.09999999</v>
      </c>
      <c r="N10578">
        <v>98680193.099999994</v>
      </c>
      <c r="O10578">
        <v>97958502.099999994</v>
      </c>
      <c r="P10578">
        <v>199592738.09999999</v>
      </c>
      <c r="Q10578">
        <v>205704520.59999999</v>
      </c>
      <c r="R10578" s="14">
        <f>_xlfn.XLOOKUP(Table2[[#This Row],[LoanID]],Table1[G-L ID],Table1[ManagerCode],-99)</f>
        <v>183</v>
      </c>
      <c r="T10578"/>
    </row>
    <row r="10579" spans="1:20" x14ac:dyDescent="0.25">
      <c r="A10579">
        <v>20200331</v>
      </c>
      <c r="B10579">
        <v>2020</v>
      </c>
      <c r="C10579">
        <v>3</v>
      </c>
      <c r="D10579">
        <v>1</v>
      </c>
      <c r="E10579">
        <v>13150</v>
      </c>
      <c r="F10579">
        <v>168639.78</v>
      </c>
      <c r="G10579">
        <v>0</v>
      </c>
      <c r="H10579">
        <v>0</v>
      </c>
      <c r="I10579">
        <v>0</v>
      </c>
      <c r="J10579">
        <v>-243982.5</v>
      </c>
      <c r="K10579">
        <v>0</v>
      </c>
      <c r="L10579">
        <v>88241312.569999993</v>
      </c>
      <c r="M10579">
        <v>88485295.069999993</v>
      </c>
      <c r="N10579">
        <v>32437119.609999999</v>
      </c>
      <c r="O10579">
        <v>32681102.109999999</v>
      </c>
      <c r="P10579">
        <v>88374839.569999993</v>
      </c>
      <c r="Q10579">
        <v>88618822.069999993</v>
      </c>
      <c r="R10579" s="14">
        <f>_xlfn.XLOOKUP(Table2[[#This Row],[LoanID]],Table1[G-L ID],Table1[ManagerCode],-99)</f>
        <v>183</v>
      </c>
      <c r="T10579"/>
    </row>
    <row r="10580" spans="1:20" x14ac:dyDescent="0.25">
      <c r="A10580">
        <v>20200331</v>
      </c>
      <c r="B10580">
        <v>2020</v>
      </c>
      <c r="C10580">
        <v>3</v>
      </c>
      <c r="D10580">
        <v>1</v>
      </c>
      <c r="E10580">
        <v>13160</v>
      </c>
      <c r="F10580">
        <v>114066.89</v>
      </c>
      <c r="G10580">
        <v>0</v>
      </c>
      <c r="H10580">
        <v>0</v>
      </c>
      <c r="I10580">
        <v>0</v>
      </c>
      <c r="J10580">
        <v>0</v>
      </c>
      <c r="K10580">
        <v>0</v>
      </c>
      <c r="L10580">
        <v>41900000</v>
      </c>
      <c r="M10580">
        <v>41900000</v>
      </c>
      <c r="N10580">
        <v>21854858</v>
      </c>
      <c r="O10580">
        <v>21854858</v>
      </c>
      <c r="P10580">
        <v>41900000</v>
      </c>
      <c r="Q10580">
        <v>41900000</v>
      </c>
      <c r="R10580" s="14">
        <f>_xlfn.XLOOKUP(Table2[[#This Row],[LoanID]],Table1[G-L ID],Table1[ManagerCode],-99)</f>
        <v>183</v>
      </c>
      <c r="T10580"/>
    </row>
    <row r="10581" spans="1:20" x14ac:dyDescent="0.25">
      <c r="A10581">
        <v>20200331</v>
      </c>
      <c r="B10581">
        <v>2020</v>
      </c>
      <c r="C10581">
        <v>3</v>
      </c>
      <c r="D10581">
        <v>1</v>
      </c>
      <c r="E10581">
        <v>13170</v>
      </c>
      <c r="F10581">
        <v>23797.21</v>
      </c>
      <c r="G10581">
        <v>0</v>
      </c>
      <c r="H10581">
        <v>0</v>
      </c>
      <c r="I10581">
        <v>0</v>
      </c>
      <c r="J10581">
        <v>0</v>
      </c>
      <c r="K10581">
        <v>733333.33</v>
      </c>
      <c r="L10581">
        <v>50272256</v>
      </c>
      <c r="M10581">
        <v>48300000</v>
      </c>
      <c r="N10581">
        <v>17472256</v>
      </c>
      <c r="O10581">
        <v>16866666.670000002</v>
      </c>
      <c r="P10581">
        <v>50400000</v>
      </c>
      <c r="Q10581">
        <v>48300000</v>
      </c>
      <c r="R10581" s="14">
        <f>_xlfn.XLOOKUP(Table2[[#This Row],[LoanID]],Table1[G-L ID],Table1[ManagerCode],-99)</f>
        <v>183</v>
      </c>
      <c r="T10581"/>
    </row>
    <row r="10582" spans="1:20" x14ac:dyDescent="0.25">
      <c r="A10582">
        <v>20200331</v>
      </c>
      <c r="B10582">
        <v>2020</v>
      </c>
      <c r="C10582">
        <v>3</v>
      </c>
      <c r="D10582">
        <v>1</v>
      </c>
      <c r="E10582">
        <v>13180</v>
      </c>
      <c r="F10582">
        <v>23678</v>
      </c>
      <c r="G10582">
        <v>0</v>
      </c>
      <c r="H10582">
        <v>0</v>
      </c>
      <c r="I10582">
        <v>0</v>
      </c>
      <c r="J10582">
        <v>0</v>
      </c>
      <c r="K10582">
        <v>0</v>
      </c>
      <c r="L10582">
        <v>39780000</v>
      </c>
      <c r="M10582">
        <v>39780000</v>
      </c>
      <c r="N10582">
        <v>15930000</v>
      </c>
      <c r="O10582">
        <v>15930000</v>
      </c>
      <c r="P10582">
        <v>39780000</v>
      </c>
      <c r="Q10582">
        <v>39780000</v>
      </c>
      <c r="R10582" s="14">
        <f>_xlfn.XLOOKUP(Table2[[#This Row],[LoanID]],Table1[G-L ID],Table1[ManagerCode],-99)</f>
        <v>183</v>
      </c>
      <c r="T10582"/>
    </row>
    <row r="10583" spans="1:20" x14ac:dyDescent="0.25">
      <c r="A10583">
        <v>20200331</v>
      </c>
      <c r="B10583">
        <v>2020</v>
      </c>
      <c r="C10583">
        <v>3</v>
      </c>
      <c r="D10583">
        <v>1</v>
      </c>
      <c r="E10583">
        <v>13190</v>
      </c>
      <c r="F10583">
        <v>88194.78</v>
      </c>
      <c r="G10583">
        <v>58167.18</v>
      </c>
      <c r="H10583">
        <v>0</v>
      </c>
      <c r="I10583">
        <v>0</v>
      </c>
      <c r="J10583">
        <v>-504967.11</v>
      </c>
      <c r="K10583">
        <v>0</v>
      </c>
      <c r="L10583">
        <v>16997590.010000002</v>
      </c>
      <c r="M10583">
        <v>17560724.300000001</v>
      </c>
      <c r="N10583">
        <v>16997590.010000002</v>
      </c>
      <c r="O10583">
        <v>17560724.300000001</v>
      </c>
      <c r="P10583">
        <v>16997590.010000002</v>
      </c>
      <c r="Q10583">
        <v>17560724.300000001</v>
      </c>
      <c r="R10583" s="14">
        <f>_xlfn.XLOOKUP(Table2[[#This Row],[LoanID]],Table1[G-L ID],Table1[ManagerCode],-99)</f>
        <v>183</v>
      </c>
      <c r="T10583"/>
    </row>
    <row r="10584" spans="1:20" x14ac:dyDescent="0.25">
      <c r="A10584">
        <v>20200331</v>
      </c>
      <c r="B10584">
        <v>2020</v>
      </c>
      <c r="C10584">
        <v>3</v>
      </c>
      <c r="D10584">
        <v>1</v>
      </c>
      <c r="E10584">
        <v>13200</v>
      </c>
      <c r="F10584">
        <v>128222.12</v>
      </c>
      <c r="G10584">
        <v>70802.09</v>
      </c>
      <c r="H10584">
        <v>0</v>
      </c>
      <c r="I10584">
        <v>0</v>
      </c>
      <c r="J10584">
        <v>-328489.51</v>
      </c>
      <c r="K10584">
        <v>0</v>
      </c>
      <c r="L10584">
        <v>24344619.809999999</v>
      </c>
      <c r="M10584">
        <v>24743911.41</v>
      </c>
      <c r="N10584">
        <v>24344619.809999999</v>
      </c>
      <c r="O10584">
        <v>24743911.41</v>
      </c>
      <c r="P10584">
        <v>24344619.809999999</v>
      </c>
      <c r="Q10584">
        <v>24743911.41</v>
      </c>
      <c r="R10584" s="14">
        <f>_xlfn.XLOOKUP(Table2[[#This Row],[LoanID]],Table1[G-L ID],Table1[ManagerCode],-99)</f>
        <v>183</v>
      </c>
      <c r="T10584"/>
    </row>
    <row r="10585" spans="1:20" x14ac:dyDescent="0.25">
      <c r="A10585">
        <v>20200331</v>
      </c>
      <c r="B10585">
        <v>2020</v>
      </c>
      <c r="C10585">
        <v>3</v>
      </c>
      <c r="D10585">
        <v>1</v>
      </c>
      <c r="E10585">
        <v>13210</v>
      </c>
      <c r="F10585">
        <v>0</v>
      </c>
      <c r="G10585">
        <v>215038.58</v>
      </c>
      <c r="H10585">
        <v>0</v>
      </c>
      <c r="I10585">
        <v>0</v>
      </c>
      <c r="J10585">
        <v>-82199.86</v>
      </c>
      <c r="K10585">
        <v>0</v>
      </c>
      <c r="L10585">
        <v>19806001.350000001</v>
      </c>
      <c r="M10585">
        <v>20103239.789999999</v>
      </c>
      <c r="N10585">
        <v>19806001.350000001</v>
      </c>
      <c r="O10585">
        <v>20103239.789999999</v>
      </c>
      <c r="P10585">
        <v>19806001.350000001</v>
      </c>
      <c r="Q10585">
        <v>20103239.789999999</v>
      </c>
      <c r="R10585" s="14">
        <f>_xlfn.XLOOKUP(Table2[[#This Row],[LoanID]],Table1[G-L ID],Table1[ManagerCode],-99)</f>
        <v>183</v>
      </c>
      <c r="T10585"/>
    </row>
    <row r="10586" spans="1:20" x14ac:dyDescent="0.25">
      <c r="A10586">
        <v>20200331</v>
      </c>
      <c r="B10586">
        <v>2020</v>
      </c>
      <c r="C10586">
        <v>3</v>
      </c>
      <c r="D10586">
        <v>1</v>
      </c>
      <c r="E10586">
        <v>13240</v>
      </c>
      <c r="F10586">
        <v>73027.3</v>
      </c>
      <c r="G10586">
        <v>5223.55</v>
      </c>
      <c r="H10586">
        <v>0</v>
      </c>
      <c r="I10586">
        <v>0</v>
      </c>
      <c r="J10586">
        <v>-82342.87</v>
      </c>
      <c r="K10586">
        <v>0</v>
      </c>
      <c r="L10586">
        <v>7976139.2199999997</v>
      </c>
      <c r="M10586">
        <v>8063705.6399999997</v>
      </c>
      <c r="N10586">
        <v>7976139.2199999997</v>
      </c>
      <c r="O10586">
        <v>8063705.6399999997</v>
      </c>
      <c r="P10586">
        <v>7976139.2199999997</v>
      </c>
      <c r="Q10586">
        <v>8063705.6399999997</v>
      </c>
      <c r="R10586" s="14">
        <f>_xlfn.XLOOKUP(Table2[[#This Row],[LoanID]],Table1[G-L ID],Table1[ManagerCode],-99)</f>
        <v>219</v>
      </c>
      <c r="T10586"/>
    </row>
    <row r="10587" spans="1:20" x14ac:dyDescent="0.25">
      <c r="A10587">
        <v>20200331</v>
      </c>
      <c r="B10587">
        <v>2020</v>
      </c>
      <c r="C10587">
        <v>3</v>
      </c>
      <c r="D10587">
        <v>1</v>
      </c>
      <c r="E10587">
        <v>13260</v>
      </c>
      <c r="F10587">
        <v>163672.78</v>
      </c>
      <c r="G10587">
        <v>2277.7800000000002</v>
      </c>
      <c r="H10587">
        <v>0</v>
      </c>
      <c r="I10587">
        <v>0</v>
      </c>
      <c r="J10587">
        <v>0</v>
      </c>
      <c r="K10587">
        <v>0</v>
      </c>
      <c r="L10587">
        <v>20084658.32</v>
      </c>
      <c r="M10587">
        <v>20086936.100000001</v>
      </c>
      <c r="N10587">
        <v>20084658.32</v>
      </c>
      <c r="O10587">
        <v>20086936.100000001</v>
      </c>
      <c r="P10587">
        <v>20084658.32</v>
      </c>
      <c r="Q10587">
        <v>20086936.100000001</v>
      </c>
      <c r="R10587" s="14">
        <f>_xlfn.XLOOKUP(Table2[[#This Row],[LoanID]],Table1[G-L ID],Table1[ManagerCode],-99)</f>
        <v>219</v>
      </c>
      <c r="T10587"/>
    </row>
    <row r="10588" spans="1:20" x14ac:dyDescent="0.25">
      <c r="A10588">
        <v>20200331</v>
      </c>
      <c r="B10588">
        <v>2020</v>
      </c>
      <c r="C10588">
        <v>3</v>
      </c>
      <c r="D10588">
        <v>1</v>
      </c>
      <c r="E10588">
        <v>13270</v>
      </c>
      <c r="F10588">
        <v>134245.82999999999</v>
      </c>
      <c r="G10588">
        <v>-87954.17</v>
      </c>
      <c r="H10588">
        <v>0</v>
      </c>
      <c r="I10588">
        <v>0</v>
      </c>
      <c r="J10588">
        <v>0</v>
      </c>
      <c r="K10588">
        <v>25000000</v>
      </c>
      <c r="L10588">
        <v>25087954.170000002</v>
      </c>
      <c r="M10588">
        <v>0</v>
      </c>
      <c r="N10588">
        <v>25087954.170000002</v>
      </c>
      <c r="O10588">
        <v>0</v>
      </c>
      <c r="P10588">
        <v>25087954.170000002</v>
      </c>
      <c r="Q10588">
        <v>0</v>
      </c>
      <c r="R10588" s="14">
        <f>_xlfn.XLOOKUP(Table2[[#This Row],[LoanID]],Table1[G-L ID],Table1[ManagerCode],-99)</f>
        <v>219</v>
      </c>
      <c r="T10588"/>
    </row>
    <row r="10589" spans="1:20" x14ac:dyDescent="0.25">
      <c r="A10589">
        <v>20200331</v>
      </c>
      <c r="B10589">
        <v>2020</v>
      </c>
      <c r="C10589">
        <v>3</v>
      </c>
      <c r="D10589">
        <v>1</v>
      </c>
      <c r="E10589">
        <v>13300</v>
      </c>
      <c r="F10589">
        <v>201388.89</v>
      </c>
      <c r="G10589">
        <v>13888.89</v>
      </c>
      <c r="H10589">
        <v>0</v>
      </c>
      <c r="I10589">
        <v>0</v>
      </c>
      <c r="J10589">
        <v>0</v>
      </c>
      <c r="K10589">
        <v>0</v>
      </c>
      <c r="L10589">
        <v>25201388.890000001</v>
      </c>
      <c r="M10589">
        <v>24065277.780000001</v>
      </c>
      <c r="N10589">
        <v>25201388.890000001</v>
      </c>
      <c r="O10589">
        <v>24065277.780000001</v>
      </c>
      <c r="P10589">
        <v>25201388.890000001</v>
      </c>
      <c r="Q10589">
        <v>25215277.780000001</v>
      </c>
      <c r="R10589" s="14">
        <f>_xlfn.XLOOKUP(Table2[[#This Row],[LoanID]],Table1[G-L ID],Table1[ManagerCode],-99)</f>
        <v>219</v>
      </c>
      <c r="T10589"/>
    </row>
    <row r="10590" spans="1:20" x14ac:dyDescent="0.25">
      <c r="A10590">
        <v>20200331</v>
      </c>
      <c r="B10590">
        <v>2020</v>
      </c>
      <c r="C10590">
        <v>3</v>
      </c>
      <c r="D10590">
        <v>1</v>
      </c>
      <c r="E10590">
        <v>13370</v>
      </c>
      <c r="F10590">
        <v>158701.95000000001</v>
      </c>
      <c r="G10590">
        <v>0</v>
      </c>
      <c r="H10590">
        <v>0</v>
      </c>
      <c r="I10590">
        <v>0</v>
      </c>
      <c r="J10590">
        <v>-131660.15</v>
      </c>
      <c r="K10590">
        <v>0</v>
      </c>
      <c r="L10590">
        <v>44798840.920000002</v>
      </c>
      <c r="M10590">
        <v>44930501.07</v>
      </c>
      <c r="N10590">
        <v>44798840.920000002</v>
      </c>
      <c r="O10590">
        <v>44930501.07</v>
      </c>
      <c r="P10590">
        <v>44798840.920000002</v>
      </c>
      <c r="Q10590">
        <v>44930501.07</v>
      </c>
      <c r="R10590" s="14">
        <f>_xlfn.XLOOKUP(Table2[[#This Row],[LoanID]],Table1[G-L ID],Table1[ManagerCode],-99)</f>
        <v>183</v>
      </c>
      <c r="T10590"/>
    </row>
    <row r="10591" spans="1:20" x14ac:dyDescent="0.25">
      <c r="A10591">
        <v>20200331</v>
      </c>
      <c r="B10591">
        <v>2020</v>
      </c>
      <c r="C10591">
        <v>3</v>
      </c>
      <c r="D10591">
        <v>1</v>
      </c>
      <c r="E10591">
        <v>13380</v>
      </c>
      <c r="F10591">
        <v>53243.519999999997</v>
      </c>
      <c r="G10591">
        <v>0</v>
      </c>
      <c r="H10591">
        <v>0</v>
      </c>
      <c r="I10591">
        <v>0</v>
      </c>
      <c r="J10591">
        <v>0</v>
      </c>
      <c r="K10591">
        <v>0</v>
      </c>
      <c r="L10591">
        <v>32000000</v>
      </c>
      <c r="M10591">
        <v>31909739</v>
      </c>
      <c r="N10591">
        <v>11200000</v>
      </c>
      <c r="O10591">
        <v>11109739</v>
      </c>
      <c r="P10591">
        <v>32000000</v>
      </c>
      <c r="Q10591">
        <v>32000000</v>
      </c>
      <c r="R10591" s="14">
        <f>_xlfn.XLOOKUP(Table2[[#This Row],[LoanID]],Table1[G-L ID],Table1[ManagerCode],-99)</f>
        <v>183</v>
      </c>
      <c r="T10591"/>
    </row>
    <row r="10592" spans="1:20" x14ac:dyDescent="0.25">
      <c r="A10592">
        <v>20200331</v>
      </c>
      <c r="B10592">
        <v>2020</v>
      </c>
      <c r="C10592">
        <v>3</v>
      </c>
      <c r="D10592">
        <v>1</v>
      </c>
      <c r="E10592">
        <v>13390</v>
      </c>
      <c r="F10592">
        <v>-65066.27</v>
      </c>
      <c r="G10592">
        <v>0</v>
      </c>
      <c r="H10592">
        <v>0</v>
      </c>
      <c r="I10592">
        <v>0</v>
      </c>
      <c r="J10592">
        <v>0</v>
      </c>
      <c r="K10592">
        <v>0</v>
      </c>
      <c r="L10592">
        <v>48279361.420000002</v>
      </c>
      <c r="M10592">
        <v>17110980.399999999</v>
      </c>
      <c r="N10592">
        <v>19363284.420000002</v>
      </c>
      <c r="O10592">
        <v>-11805096.6</v>
      </c>
      <c r="P10592">
        <v>48343461.420000002</v>
      </c>
      <c r="Q10592">
        <v>48343461.420000002</v>
      </c>
      <c r="R10592" s="14">
        <f>_xlfn.XLOOKUP(Table2[[#This Row],[LoanID]],Table1[G-L ID],Table1[ManagerCode],-99)</f>
        <v>183</v>
      </c>
      <c r="T10592"/>
    </row>
    <row r="10593" spans="1:20" x14ac:dyDescent="0.25">
      <c r="A10593">
        <v>20200331</v>
      </c>
      <c r="B10593">
        <v>2020</v>
      </c>
      <c r="C10593">
        <v>3</v>
      </c>
      <c r="D10593">
        <v>1</v>
      </c>
      <c r="E10593">
        <v>13400</v>
      </c>
      <c r="F10593">
        <v>85861.440000000002</v>
      </c>
      <c r="G10593">
        <v>0</v>
      </c>
      <c r="H10593">
        <v>0</v>
      </c>
      <c r="I10593">
        <v>0</v>
      </c>
      <c r="J10593">
        <v>0</v>
      </c>
      <c r="K10593">
        <v>0</v>
      </c>
      <c r="L10593">
        <v>31750000</v>
      </c>
      <c r="M10593">
        <v>31750000</v>
      </c>
      <c r="N10593">
        <v>11112500</v>
      </c>
      <c r="O10593">
        <v>11112500</v>
      </c>
      <c r="P10593">
        <v>31750000</v>
      </c>
      <c r="Q10593">
        <v>31750000</v>
      </c>
      <c r="R10593" s="14">
        <f>_xlfn.XLOOKUP(Table2[[#This Row],[LoanID]],Table1[G-L ID],Table1[ManagerCode],-99)</f>
        <v>183</v>
      </c>
      <c r="T10593"/>
    </row>
    <row r="10594" spans="1:20" x14ac:dyDescent="0.25">
      <c r="A10594">
        <v>20200331</v>
      </c>
      <c r="B10594">
        <v>2020</v>
      </c>
      <c r="C10594">
        <v>3</v>
      </c>
      <c r="D10594">
        <v>1</v>
      </c>
      <c r="E10594">
        <v>13410</v>
      </c>
      <c r="F10594">
        <v>77156.240000000005</v>
      </c>
      <c r="G10594">
        <v>0</v>
      </c>
      <c r="H10594">
        <v>0</v>
      </c>
      <c r="I10594">
        <v>0</v>
      </c>
      <c r="J10594">
        <v>-121790.63</v>
      </c>
      <c r="K10594">
        <v>0</v>
      </c>
      <c r="L10594">
        <v>35409922.079999998</v>
      </c>
      <c r="M10594">
        <v>35531712.710000001</v>
      </c>
      <c r="N10594">
        <v>14539922.08</v>
      </c>
      <c r="O10594">
        <v>14661712.710000001</v>
      </c>
      <c r="P10594">
        <v>35409922.079999998</v>
      </c>
      <c r="Q10594">
        <v>35531712.710000001</v>
      </c>
      <c r="R10594" s="14">
        <f>_xlfn.XLOOKUP(Table2[[#This Row],[LoanID]],Table1[G-L ID],Table1[ManagerCode],-99)</f>
        <v>183</v>
      </c>
      <c r="T10594"/>
    </row>
    <row r="10595" spans="1:20" x14ac:dyDescent="0.25">
      <c r="A10595">
        <v>20200331</v>
      </c>
      <c r="B10595">
        <v>2020</v>
      </c>
      <c r="C10595">
        <v>3</v>
      </c>
      <c r="D10595">
        <v>1</v>
      </c>
      <c r="E10595">
        <v>13420</v>
      </c>
      <c r="F10595">
        <v>68911.88</v>
      </c>
      <c r="G10595">
        <v>0</v>
      </c>
      <c r="H10595">
        <v>0</v>
      </c>
      <c r="I10595">
        <v>0</v>
      </c>
      <c r="J10595">
        <v>-53565.64</v>
      </c>
      <c r="K10595">
        <v>0</v>
      </c>
      <c r="L10595">
        <v>30791841.93</v>
      </c>
      <c r="M10595">
        <v>30845407.57</v>
      </c>
      <c r="N10595">
        <v>14296928.93</v>
      </c>
      <c r="O10595">
        <v>14350494.57</v>
      </c>
      <c r="P10595">
        <v>30791841.93</v>
      </c>
      <c r="Q10595">
        <v>30845407.57</v>
      </c>
      <c r="R10595" s="14">
        <f>_xlfn.XLOOKUP(Table2[[#This Row],[LoanID]],Table1[G-L ID],Table1[ManagerCode],-99)</f>
        <v>183</v>
      </c>
      <c r="T10595"/>
    </row>
    <row r="10596" spans="1:20" x14ac:dyDescent="0.25">
      <c r="A10596">
        <v>20200331</v>
      </c>
      <c r="B10596">
        <v>2020</v>
      </c>
      <c r="C10596">
        <v>3</v>
      </c>
      <c r="D10596">
        <v>1</v>
      </c>
      <c r="E10596">
        <v>13430</v>
      </c>
      <c r="F10596">
        <v>174669.24</v>
      </c>
      <c r="G10596">
        <v>0</v>
      </c>
      <c r="H10596">
        <v>0</v>
      </c>
      <c r="I10596">
        <v>0</v>
      </c>
      <c r="J10596">
        <v>0</v>
      </c>
      <c r="K10596">
        <v>0</v>
      </c>
      <c r="L10596">
        <v>75184698</v>
      </c>
      <c r="M10596">
        <v>75184698</v>
      </c>
      <c r="N10596">
        <v>31067051</v>
      </c>
      <c r="O10596">
        <v>31067051</v>
      </c>
      <c r="P10596">
        <v>75000000</v>
      </c>
      <c r="Q10596">
        <v>75000000</v>
      </c>
      <c r="R10596" s="14">
        <f>_xlfn.XLOOKUP(Table2[[#This Row],[LoanID]],Table1[G-L ID],Table1[ManagerCode],-99)</f>
        <v>183</v>
      </c>
      <c r="T10596"/>
    </row>
    <row r="10597" spans="1:20" x14ac:dyDescent="0.25">
      <c r="A10597">
        <v>20200331</v>
      </c>
      <c r="B10597">
        <v>2020</v>
      </c>
      <c r="C10597">
        <v>3</v>
      </c>
      <c r="D10597">
        <v>1</v>
      </c>
      <c r="E10597">
        <v>13440</v>
      </c>
      <c r="F10597">
        <v>0</v>
      </c>
      <c r="G10597">
        <v>125048.12</v>
      </c>
      <c r="H10597">
        <v>0</v>
      </c>
      <c r="I10597">
        <v>0</v>
      </c>
      <c r="J10597">
        <v>0</v>
      </c>
      <c r="K10597">
        <v>0</v>
      </c>
      <c r="L10597">
        <v>12628633.699999999</v>
      </c>
      <c r="M10597">
        <v>12753681.82</v>
      </c>
      <c r="N10597">
        <v>12628633.699999999</v>
      </c>
      <c r="O10597">
        <v>12753681.82</v>
      </c>
      <c r="P10597">
        <v>12628633.699999999</v>
      </c>
      <c r="Q10597">
        <v>12753681.82</v>
      </c>
      <c r="R10597" s="14">
        <f>_xlfn.XLOOKUP(Table2[[#This Row],[LoanID]],Table1[G-L ID],Table1[ManagerCode],-99)</f>
        <v>183</v>
      </c>
      <c r="T10597"/>
    </row>
    <row r="10598" spans="1:20" x14ac:dyDescent="0.25">
      <c r="A10598">
        <v>20200331</v>
      </c>
      <c r="B10598">
        <v>2020</v>
      </c>
      <c r="C10598">
        <v>3</v>
      </c>
      <c r="D10598">
        <v>1</v>
      </c>
      <c r="E10598">
        <v>13450</v>
      </c>
      <c r="F10598">
        <v>0</v>
      </c>
      <c r="G10598">
        <v>149523.54</v>
      </c>
      <c r="H10598">
        <v>0</v>
      </c>
      <c r="I10598">
        <v>0</v>
      </c>
      <c r="J10598">
        <v>0</v>
      </c>
      <c r="K10598">
        <v>0</v>
      </c>
      <c r="L10598">
        <v>13950101.359999999</v>
      </c>
      <c r="M10598">
        <v>14099624.9</v>
      </c>
      <c r="N10598">
        <v>13950101.359999999</v>
      </c>
      <c r="O10598">
        <v>14099624.9</v>
      </c>
      <c r="P10598">
        <v>13950101.359999999</v>
      </c>
      <c r="Q10598">
        <v>14099624.9</v>
      </c>
      <c r="R10598" s="14">
        <f>_xlfn.XLOOKUP(Table2[[#This Row],[LoanID]],Table1[G-L ID],Table1[ManagerCode],-99)</f>
        <v>183</v>
      </c>
      <c r="T10598"/>
    </row>
    <row r="10599" spans="1:20" x14ac:dyDescent="0.25">
      <c r="A10599">
        <v>20200331</v>
      </c>
      <c r="B10599">
        <v>2020</v>
      </c>
      <c r="C10599">
        <v>3</v>
      </c>
      <c r="D10599">
        <v>1</v>
      </c>
      <c r="E10599">
        <v>13460</v>
      </c>
      <c r="F10599">
        <v>26300.82</v>
      </c>
      <c r="G10599">
        <v>26040.32</v>
      </c>
      <c r="H10599">
        <v>0</v>
      </c>
      <c r="I10599">
        <v>0</v>
      </c>
      <c r="J10599">
        <v>-423746.64</v>
      </c>
      <c r="K10599">
        <v>0</v>
      </c>
      <c r="L10599">
        <v>5739648.9500000002</v>
      </c>
      <c r="M10599">
        <v>6189435.9100000001</v>
      </c>
      <c r="N10599">
        <v>5739648.9500000002</v>
      </c>
      <c r="O10599">
        <v>6189435.9100000001</v>
      </c>
      <c r="P10599">
        <v>5739648.9500000002</v>
      </c>
      <c r="Q10599">
        <v>6189435.9100000001</v>
      </c>
      <c r="R10599" s="14">
        <f>_xlfn.XLOOKUP(Table2[[#This Row],[LoanID]],Table1[G-L ID],Table1[ManagerCode],-99)</f>
        <v>183</v>
      </c>
      <c r="T10599"/>
    </row>
    <row r="10600" spans="1:20" x14ac:dyDescent="0.25">
      <c r="A10600">
        <v>20200331</v>
      </c>
      <c r="B10600">
        <v>2020</v>
      </c>
      <c r="C10600">
        <v>3</v>
      </c>
      <c r="D10600">
        <v>1</v>
      </c>
      <c r="E10600">
        <v>13470</v>
      </c>
      <c r="F10600">
        <v>346137.15</v>
      </c>
      <c r="G10600">
        <v>0</v>
      </c>
      <c r="H10600">
        <v>0</v>
      </c>
      <c r="I10600">
        <v>0</v>
      </c>
      <c r="J10600">
        <v>0</v>
      </c>
      <c r="K10600">
        <v>0</v>
      </c>
      <c r="L10600">
        <v>62500000</v>
      </c>
      <c r="M10600">
        <v>62500000</v>
      </c>
      <c r="N10600">
        <v>62500000</v>
      </c>
      <c r="O10600">
        <v>62500000</v>
      </c>
      <c r="P10600">
        <v>62500000</v>
      </c>
      <c r="Q10600">
        <v>62500000</v>
      </c>
      <c r="R10600" s="14">
        <f>_xlfn.XLOOKUP(Table2[[#This Row],[LoanID]],Table1[G-L ID],Table1[ManagerCode],-99)</f>
        <v>165</v>
      </c>
      <c r="T10600"/>
    </row>
    <row r="10601" spans="1:20" x14ac:dyDescent="0.25">
      <c r="A10601">
        <v>20200331</v>
      </c>
      <c r="B10601">
        <v>2020</v>
      </c>
      <c r="C10601">
        <v>3</v>
      </c>
      <c r="D10601">
        <v>1</v>
      </c>
      <c r="E10601">
        <v>13480</v>
      </c>
      <c r="F10601">
        <v>234368.33</v>
      </c>
      <c r="G10601">
        <v>0</v>
      </c>
      <c r="H10601">
        <v>0</v>
      </c>
      <c r="I10601">
        <v>0</v>
      </c>
      <c r="J10601">
        <v>0</v>
      </c>
      <c r="K10601">
        <v>0</v>
      </c>
      <c r="L10601">
        <v>39000000</v>
      </c>
      <c r="M10601">
        <v>39000000</v>
      </c>
      <c r="N10601">
        <v>39000000</v>
      </c>
      <c r="O10601">
        <v>39000000</v>
      </c>
      <c r="P10601">
        <v>39000000</v>
      </c>
      <c r="Q10601">
        <v>39000000</v>
      </c>
      <c r="R10601" s="14">
        <f>_xlfn.XLOOKUP(Table2[[#This Row],[LoanID]],Table1[G-L ID],Table1[ManagerCode],-99)</f>
        <v>165</v>
      </c>
      <c r="T10601"/>
    </row>
    <row r="10602" spans="1:20" x14ac:dyDescent="0.25">
      <c r="A10602">
        <v>20200331</v>
      </c>
      <c r="B10602">
        <v>2020</v>
      </c>
      <c r="C10602">
        <v>3</v>
      </c>
      <c r="D10602">
        <v>1</v>
      </c>
      <c r="E10602">
        <v>13490</v>
      </c>
      <c r="F10602">
        <v>284200</v>
      </c>
      <c r="G10602">
        <v>0</v>
      </c>
      <c r="H10602">
        <v>0</v>
      </c>
      <c r="I10602">
        <v>0</v>
      </c>
      <c r="J10602">
        <v>0</v>
      </c>
      <c r="K10602">
        <v>0</v>
      </c>
      <c r="L10602">
        <v>40000000</v>
      </c>
      <c r="M10602">
        <v>40000000</v>
      </c>
      <c r="N10602">
        <v>40000000</v>
      </c>
      <c r="O10602">
        <v>40000000</v>
      </c>
      <c r="P10602">
        <v>40000000</v>
      </c>
      <c r="Q10602">
        <v>40000000</v>
      </c>
      <c r="R10602" s="14">
        <f>_xlfn.XLOOKUP(Table2[[#This Row],[LoanID]],Table1[G-L ID],Table1[ManagerCode],-99)</f>
        <v>165</v>
      </c>
      <c r="T10602"/>
    </row>
    <row r="10603" spans="1:20" x14ac:dyDescent="0.25">
      <c r="A10603">
        <v>20200331</v>
      </c>
      <c r="B10603">
        <v>2020</v>
      </c>
      <c r="C10603">
        <v>3</v>
      </c>
      <c r="D10603">
        <v>1</v>
      </c>
      <c r="E10603">
        <v>13500</v>
      </c>
      <c r="F10603">
        <v>265329.86</v>
      </c>
      <c r="G10603">
        <v>0</v>
      </c>
      <c r="H10603">
        <v>0</v>
      </c>
      <c r="I10603">
        <v>0</v>
      </c>
      <c r="J10603">
        <v>0</v>
      </c>
      <c r="K10603">
        <v>0</v>
      </c>
      <c r="L10603">
        <v>42500000</v>
      </c>
      <c r="M10603">
        <v>42500000</v>
      </c>
      <c r="N10603">
        <v>42500000</v>
      </c>
      <c r="O10603">
        <v>42500000</v>
      </c>
      <c r="P10603">
        <v>42500000</v>
      </c>
      <c r="Q10603">
        <v>42500000</v>
      </c>
      <c r="R10603" s="14">
        <f>_xlfn.XLOOKUP(Table2[[#This Row],[LoanID]],Table1[G-L ID],Table1[ManagerCode],-99)</f>
        <v>165</v>
      </c>
      <c r="T10603"/>
    </row>
    <row r="10604" spans="1:20" x14ac:dyDescent="0.25">
      <c r="A10604">
        <v>20200331</v>
      </c>
      <c r="B10604">
        <v>2020</v>
      </c>
      <c r="C10604">
        <v>3</v>
      </c>
      <c r="D10604">
        <v>1</v>
      </c>
      <c r="E10604">
        <v>13510</v>
      </c>
      <c r="F10604">
        <v>297250</v>
      </c>
      <c r="G10604">
        <v>0</v>
      </c>
      <c r="H10604">
        <v>0</v>
      </c>
      <c r="I10604">
        <v>0</v>
      </c>
      <c r="J10604">
        <v>0</v>
      </c>
      <c r="K10604">
        <v>0</v>
      </c>
      <c r="L10604">
        <v>90000000</v>
      </c>
      <c r="M10604">
        <v>90000000</v>
      </c>
      <c r="N10604">
        <v>90000000</v>
      </c>
      <c r="O10604">
        <v>90000000</v>
      </c>
      <c r="P10604">
        <v>90000000</v>
      </c>
      <c r="Q10604">
        <v>90000000</v>
      </c>
      <c r="R10604" s="14">
        <f>_xlfn.XLOOKUP(Table2[[#This Row],[LoanID]],Table1[G-L ID],Table1[ManagerCode],-99)</f>
        <v>165</v>
      </c>
      <c r="T10604"/>
    </row>
    <row r="10605" spans="1:20" x14ac:dyDescent="0.25">
      <c r="A10605">
        <v>20200331</v>
      </c>
      <c r="B10605">
        <v>2020</v>
      </c>
      <c r="C10605">
        <v>3</v>
      </c>
      <c r="D10605">
        <v>1</v>
      </c>
      <c r="E10605">
        <v>13520</v>
      </c>
      <c r="F10605">
        <v>805052.08</v>
      </c>
      <c r="G10605">
        <v>0</v>
      </c>
      <c r="H10605">
        <v>0</v>
      </c>
      <c r="I10605">
        <v>0</v>
      </c>
      <c r="J10605">
        <v>0</v>
      </c>
      <c r="K10605">
        <v>0</v>
      </c>
      <c r="L10605">
        <v>195000000</v>
      </c>
      <c r="M10605">
        <v>195000000</v>
      </c>
      <c r="N10605">
        <v>195000000</v>
      </c>
      <c r="O10605">
        <v>195000000</v>
      </c>
      <c r="P10605">
        <v>195000000</v>
      </c>
      <c r="Q10605">
        <v>195000000</v>
      </c>
      <c r="R10605" s="14">
        <f>_xlfn.XLOOKUP(Table2[[#This Row],[LoanID]],Table1[G-L ID],Table1[ManagerCode],-99)</f>
        <v>165</v>
      </c>
      <c r="T10605"/>
    </row>
    <row r="10606" spans="1:20" x14ac:dyDescent="0.25">
      <c r="A10606">
        <v>20200331</v>
      </c>
      <c r="B10606">
        <v>2020</v>
      </c>
      <c r="C10606">
        <v>3</v>
      </c>
      <c r="D10606">
        <v>1</v>
      </c>
      <c r="E10606">
        <v>13530</v>
      </c>
      <c r="F10606">
        <v>377604.17</v>
      </c>
      <c r="G10606">
        <v>0</v>
      </c>
      <c r="H10606">
        <v>0</v>
      </c>
      <c r="I10606">
        <v>0</v>
      </c>
      <c r="J10606">
        <v>0</v>
      </c>
      <c r="K10606">
        <v>0</v>
      </c>
      <c r="L10606">
        <v>75000000</v>
      </c>
      <c r="M10606">
        <v>75000000</v>
      </c>
      <c r="N10606">
        <v>75000000</v>
      </c>
      <c r="O10606">
        <v>75000000</v>
      </c>
      <c r="P10606">
        <v>75000000</v>
      </c>
      <c r="Q10606">
        <v>75000000</v>
      </c>
      <c r="R10606" s="14">
        <f>_xlfn.XLOOKUP(Table2[[#This Row],[LoanID]],Table1[G-L ID],Table1[ManagerCode],-99)</f>
        <v>165</v>
      </c>
      <c r="T10606"/>
    </row>
    <row r="10607" spans="1:20" x14ac:dyDescent="0.25">
      <c r="A10607">
        <v>20200331</v>
      </c>
      <c r="B10607">
        <v>2020</v>
      </c>
      <c r="C10607">
        <v>3</v>
      </c>
      <c r="D10607">
        <v>1</v>
      </c>
      <c r="E10607">
        <v>13550</v>
      </c>
      <c r="F10607">
        <v>1574300.47</v>
      </c>
      <c r="G10607">
        <v>0</v>
      </c>
      <c r="H10607">
        <v>0</v>
      </c>
      <c r="I10607">
        <v>0</v>
      </c>
      <c r="J10607">
        <v>0</v>
      </c>
      <c r="K10607">
        <v>0</v>
      </c>
      <c r="L10607">
        <v>355328004.80000001</v>
      </c>
      <c r="M10607">
        <v>355328004.80000001</v>
      </c>
      <c r="N10607">
        <v>355328004.80000001</v>
      </c>
      <c r="O10607">
        <v>355328004.80000001</v>
      </c>
      <c r="P10607">
        <v>355328004.80000001</v>
      </c>
      <c r="Q10607">
        <v>355328004.80000001</v>
      </c>
      <c r="R10607" s="14">
        <f>_xlfn.XLOOKUP(Table2[[#This Row],[LoanID]],Table1[G-L ID],Table1[ManagerCode],-99)</f>
        <v>165</v>
      </c>
      <c r="T10607"/>
    </row>
    <row r="10608" spans="1:20" x14ac:dyDescent="0.25">
      <c r="A10608">
        <v>20200331</v>
      </c>
      <c r="B10608">
        <v>2020</v>
      </c>
      <c r="C10608">
        <v>3</v>
      </c>
      <c r="D10608">
        <v>1</v>
      </c>
      <c r="E10608">
        <v>13560</v>
      </c>
      <c r="F10608">
        <v>520948.75</v>
      </c>
      <c r="G10608">
        <v>-11375</v>
      </c>
      <c r="H10608">
        <v>0</v>
      </c>
      <c r="I10608">
        <v>0</v>
      </c>
      <c r="J10608">
        <v>0</v>
      </c>
      <c r="K10608">
        <v>0</v>
      </c>
      <c r="L10608">
        <v>105269456.3</v>
      </c>
      <c r="M10608">
        <v>105258081.3</v>
      </c>
      <c r="N10608">
        <v>105269456.3</v>
      </c>
      <c r="O10608">
        <v>105258081.3</v>
      </c>
      <c r="P10608">
        <v>105269456.3</v>
      </c>
      <c r="Q10608">
        <v>105258081.3</v>
      </c>
      <c r="R10608" s="14">
        <f>_xlfn.XLOOKUP(Table2[[#This Row],[LoanID]],Table1[G-L ID],Table1[ManagerCode],-99)</f>
        <v>219</v>
      </c>
      <c r="T10608"/>
    </row>
    <row r="10609" spans="1:20" x14ac:dyDescent="0.25">
      <c r="A10609">
        <v>20200331</v>
      </c>
      <c r="B10609">
        <v>2020</v>
      </c>
      <c r="C10609">
        <v>3</v>
      </c>
      <c r="D10609">
        <v>1</v>
      </c>
      <c r="E10609">
        <v>13580</v>
      </c>
      <c r="F10609">
        <v>401770.83</v>
      </c>
      <c r="G10609">
        <v>0</v>
      </c>
      <c r="H10609">
        <v>0</v>
      </c>
      <c r="I10609">
        <v>0</v>
      </c>
      <c r="J10609">
        <v>0</v>
      </c>
      <c r="K10609">
        <v>0</v>
      </c>
      <c r="L10609">
        <v>64309804.439999998</v>
      </c>
      <c r="M10609">
        <v>64021590</v>
      </c>
      <c r="N10609">
        <v>64309804.439999998</v>
      </c>
      <c r="O10609">
        <v>64021590</v>
      </c>
      <c r="P10609">
        <v>66500000</v>
      </c>
      <c r="Q10609">
        <v>66500000</v>
      </c>
      <c r="R10609" s="14">
        <f>_xlfn.XLOOKUP(Table2[[#This Row],[LoanID]],Table1[G-L ID],Table1[ManagerCode],-99)</f>
        <v>298</v>
      </c>
      <c r="T10609"/>
    </row>
    <row r="10610" spans="1:20" x14ac:dyDescent="0.25">
      <c r="A10610">
        <v>20200331</v>
      </c>
      <c r="B10610">
        <v>2020</v>
      </c>
      <c r="C10610">
        <v>3</v>
      </c>
      <c r="D10610">
        <v>1</v>
      </c>
      <c r="E10610">
        <v>13600</v>
      </c>
      <c r="F10610">
        <v>354575.55</v>
      </c>
      <c r="G10610">
        <v>0</v>
      </c>
      <c r="H10610">
        <v>0</v>
      </c>
      <c r="I10610">
        <v>0</v>
      </c>
      <c r="J10610">
        <v>0</v>
      </c>
      <c r="K10610">
        <v>0</v>
      </c>
      <c r="L10610">
        <v>45970000</v>
      </c>
      <c r="M10610">
        <v>45970000</v>
      </c>
      <c r="N10610">
        <v>45970000</v>
      </c>
      <c r="O10610">
        <v>45970000</v>
      </c>
      <c r="P10610">
        <v>45970000</v>
      </c>
      <c r="Q10610">
        <v>45970000</v>
      </c>
      <c r="R10610" s="14">
        <f>_xlfn.XLOOKUP(Table2[[#This Row],[LoanID]],Table1[G-L ID],Table1[ManagerCode],-99)</f>
        <v>298</v>
      </c>
      <c r="T10610"/>
    </row>
    <row r="10611" spans="1:20" x14ac:dyDescent="0.25">
      <c r="A10611">
        <v>20200331</v>
      </c>
      <c r="B10611">
        <v>2020</v>
      </c>
      <c r="C10611">
        <v>3</v>
      </c>
      <c r="D10611">
        <v>1</v>
      </c>
      <c r="E10611">
        <v>13610</v>
      </c>
      <c r="F10611">
        <v>59208.33</v>
      </c>
      <c r="G10611">
        <v>0</v>
      </c>
      <c r="H10611">
        <v>0</v>
      </c>
      <c r="I10611">
        <v>0</v>
      </c>
      <c r="J10611">
        <v>0</v>
      </c>
      <c r="K10611">
        <v>0</v>
      </c>
      <c r="L10611">
        <v>10385796.220000001</v>
      </c>
      <c r="M10611">
        <v>10385796.220000001</v>
      </c>
      <c r="N10611">
        <v>10385796.220000001</v>
      </c>
      <c r="O10611">
        <v>10385796.220000001</v>
      </c>
      <c r="P10611">
        <v>10500000</v>
      </c>
      <c r="Q10611">
        <v>10500000</v>
      </c>
      <c r="R10611" s="14">
        <f>_xlfn.XLOOKUP(Table2[[#This Row],[LoanID]],Table1[G-L ID],Table1[ManagerCode],-99)</f>
        <v>298</v>
      </c>
      <c r="T10611"/>
    </row>
    <row r="10612" spans="1:20" x14ac:dyDescent="0.25">
      <c r="A10612">
        <v>20200331</v>
      </c>
      <c r="B10612">
        <v>2020</v>
      </c>
      <c r="C10612">
        <v>3</v>
      </c>
      <c r="D10612">
        <v>1</v>
      </c>
      <c r="E10612">
        <v>13620</v>
      </c>
      <c r="F10612">
        <v>314529.17</v>
      </c>
      <c r="G10612">
        <v>0</v>
      </c>
      <c r="H10612">
        <v>0</v>
      </c>
      <c r="I10612">
        <v>0</v>
      </c>
      <c r="J10612">
        <v>0</v>
      </c>
      <c r="K10612">
        <v>0</v>
      </c>
      <c r="L10612">
        <v>49865510.369999997</v>
      </c>
      <c r="M10612">
        <v>49865510.369999997</v>
      </c>
      <c r="N10612">
        <v>49865510.369999997</v>
      </c>
      <c r="O10612">
        <v>49865510.369999997</v>
      </c>
      <c r="P10612">
        <v>50000000</v>
      </c>
      <c r="Q10612">
        <v>50000000</v>
      </c>
      <c r="R10612" s="14">
        <f>_xlfn.XLOOKUP(Table2[[#This Row],[LoanID]],Table1[G-L ID],Table1[ManagerCode],-99)</f>
        <v>298</v>
      </c>
      <c r="T10612"/>
    </row>
    <row r="10613" spans="1:20" x14ac:dyDescent="0.25">
      <c r="A10613">
        <v>20200331</v>
      </c>
      <c r="B10613">
        <v>2020</v>
      </c>
      <c r="C10613">
        <v>3</v>
      </c>
      <c r="D10613">
        <v>1</v>
      </c>
      <c r="E10613">
        <v>13630</v>
      </c>
      <c r="F10613">
        <v>204409.72</v>
      </c>
      <c r="G10613">
        <v>0</v>
      </c>
      <c r="H10613">
        <v>0</v>
      </c>
      <c r="I10613">
        <v>0</v>
      </c>
      <c r="J10613">
        <v>0</v>
      </c>
      <c r="K10613">
        <v>0</v>
      </c>
      <c r="L10613">
        <v>22527136.07</v>
      </c>
      <c r="M10613">
        <v>22527136.07</v>
      </c>
      <c r="N10613">
        <v>22527136.07</v>
      </c>
      <c r="O10613">
        <v>22527136.07</v>
      </c>
      <c r="P10613">
        <v>35000000</v>
      </c>
      <c r="Q10613">
        <v>35000000</v>
      </c>
      <c r="R10613" s="14">
        <f>_xlfn.XLOOKUP(Table2[[#This Row],[LoanID]],Table1[G-L ID],Table1[ManagerCode],-99)</f>
        <v>298</v>
      </c>
      <c r="T10613"/>
    </row>
    <row r="10614" spans="1:20" x14ac:dyDescent="0.25">
      <c r="A10614">
        <v>20200331</v>
      </c>
      <c r="B10614">
        <v>2020</v>
      </c>
      <c r="C10614">
        <v>3</v>
      </c>
      <c r="D10614">
        <v>1</v>
      </c>
      <c r="E10614">
        <v>13640</v>
      </c>
      <c r="F10614">
        <v>212339.41</v>
      </c>
      <c r="G10614">
        <v>0</v>
      </c>
      <c r="H10614">
        <v>0</v>
      </c>
      <c r="I10614">
        <v>0</v>
      </c>
      <c r="J10614">
        <v>0</v>
      </c>
      <c r="K10614">
        <v>0</v>
      </c>
      <c r="L10614">
        <v>30234429.84</v>
      </c>
      <c r="M10614">
        <v>30234429.84</v>
      </c>
      <c r="N10614">
        <v>30234429.84</v>
      </c>
      <c r="O10614">
        <v>30234429.84</v>
      </c>
      <c r="P10614">
        <v>30125000</v>
      </c>
      <c r="Q10614">
        <v>30125000</v>
      </c>
      <c r="R10614" s="14">
        <f>_xlfn.XLOOKUP(Table2[[#This Row],[LoanID]],Table1[G-L ID],Table1[ManagerCode],-99)</f>
        <v>298</v>
      </c>
      <c r="T10614"/>
    </row>
    <row r="10615" spans="1:20" x14ac:dyDescent="0.25">
      <c r="A10615">
        <v>20200331</v>
      </c>
      <c r="B10615">
        <v>2020</v>
      </c>
      <c r="C10615">
        <v>3</v>
      </c>
      <c r="D10615">
        <v>1</v>
      </c>
      <c r="E10615">
        <v>13650</v>
      </c>
      <c r="F10615">
        <v>209444.44</v>
      </c>
      <c r="G10615">
        <v>0</v>
      </c>
      <c r="H10615">
        <v>0</v>
      </c>
      <c r="I10615">
        <v>0</v>
      </c>
      <c r="J10615">
        <v>0</v>
      </c>
      <c r="K10615">
        <v>0</v>
      </c>
      <c r="L10615">
        <v>39537559.880000003</v>
      </c>
      <c r="M10615">
        <v>39537559.880000003</v>
      </c>
      <c r="N10615">
        <v>39537559.880000003</v>
      </c>
      <c r="O10615">
        <v>39537559.880000003</v>
      </c>
      <c r="P10615">
        <v>40000000</v>
      </c>
      <c r="Q10615">
        <v>40000000</v>
      </c>
      <c r="R10615" s="14">
        <f>_xlfn.XLOOKUP(Table2[[#This Row],[LoanID]],Table1[G-L ID],Table1[ManagerCode],-99)</f>
        <v>298</v>
      </c>
      <c r="T10615"/>
    </row>
    <row r="10616" spans="1:20" x14ac:dyDescent="0.25">
      <c r="A10616">
        <v>20200331</v>
      </c>
      <c r="B10616">
        <v>2020</v>
      </c>
      <c r="C10616">
        <v>3</v>
      </c>
      <c r="D10616">
        <v>1</v>
      </c>
      <c r="E10616">
        <v>13660</v>
      </c>
      <c r="F10616">
        <v>110361.11</v>
      </c>
      <c r="G10616">
        <v>0</v>
      </c>
      <c r="H10616">
        <v>0</v>
      </c>
      <c r="I10616">
        <v>0</v>
      </c>
      <c r="J10616">
        <v>0</v>
      </c>
      <c r="K10616">
        <v>0</v>
      </c>
      <c r="L10616">
        <v>19633684.649999999</v>
      </c>
      <c r="M10616">
        <v>19633684.649999999</v>
      </c>
      <c r="N10616">
        <v>19633684.649999999</v>
      </c>
      <c r="O10616">
        <v>19633684.649999999</v>
      </c>
      <c r="P10616">
        <v>20000000</v>
      </c>
      <c r="Q10616">
        <v>20000000</v>
      </c>
      <c r="R10616" s="14">
        <f>_xlfn.XLOOKUP(Table2[[#This Row],[LoanID]],Table1[G-L ID],Table1[ManagerCode],-99)</f>
        <v>298</v>
      </c>
      <c r="T10616"/>
    </row>
    <row r="10617" spans="1:20" x14ac:dyDescent="0.25">
      <c r="A10617">
        <v>20200331</v>
      </c>
      <c r="B10617">
        <v>2020</v>
      </c>
      <c r="C10617">
        <v>3</v>
      </c>
      <c r="D10617">
        <v>1</v>
      </c>
      <c r="E10617">
        <v>13670</v>
      </c>
      <c r="F10617">
        <v>0</v>
      </c>
      <c r="G10617">
        <v>0</v>
      </c>
      <c r="H10617">
        <v>0</v>
      </c>
      <c r="I10617">
        <v>0</v>
      </c>
      <c r="J10617">
        <v>0</v>
      </c>
      <c r="K10617">
        <v>0</v>
      </c>
      <c r="L10617">
        <v>11889143.83</v>
      </c>
      <c r="M10617">
        <v>1</v>
      </c>
      <c r="N10617">
        <v>11889143.83</v>
      </c>
      <c r="O10617">
        <v>1</v>
      </c>
      <c r="P10617">
        <v>40863266.729999997</v>
      </c>
      <c r="Q10617">
        <v>41234091.700000003</v>
      </c>
      <c r="R10617" s="14">
        <f>_xlfn.XLOOKUP(Table2[[#This Row],[LoanID]],Table1[G-L ID],Table1[ManagerCode],-99)</f>
        <v>298</v>
      </c>
      <c r="T10617"/>
    </row>
    <row r="10618" spans="1:20" x14ac:dyDescent="0.25">
      <c r="A10618">
        <v>20200331</v>
      </c>
      <c r="B10618">
        <v>2020</v>
      </c>
      <c r="C10618">
        <v>3</v>
      </c>
      <c r="D10618">
        <v>1</v>
      </c>
      <c r="E10618">
        <v>13690</v>
      </c>
      <c r="F10618">
        <v>0</v>
      </c>
      <c r="G10618">
        <v>0</v>
      </c>
      <c r="H10618">
        <v>0</v>
      </c>
      <c r="I10618">
        <v>0</v>
      </c>
      <c r="J10618">
        <v>0</v>
      </c>
      <c r="K10618">
        <v>0</v>
      </c>
      <c r="L10618">
        <v>20825761.02</v>
      </c>
      <c r="M10618">
        <v>20825761.02</v>
      </c>
      <c r="N10618">
        <v>20825761.02</v>
      </c>
      <c r="O10618">
        <v>20825761.02</v>
      </c>
      <c r="P10618">
        <v>20000000</v>
      </c>
      <c r="Q10618">
        <v>20000000</v>
      </c>
      <c r="R10618" s="14">
        <f>_xlfn.XLOOKUP(Table2[[#This Row],[LoanID]],Table1[G-L ID],Table1[ManagerCode],-99)</f>
        <v>298</v>
      </c>
      <c r="T10618"/>
    </row>
    <row r="10619" spans="1:20" x14ac:dyDescent="0.25">
      <c r="A10619">
        <v>20200331</v>
      </c>
      <c r="B10619">
        <v>2020</v>
      </c>
      <c r="C10619">
        <v>3</v>
      </c>
      <c r="D10619">
        <v>1</v>
      </c>
      <c r="E10619">
        <v>13790</v>
      </c>
      <c r="F10619">
        <v>135576.60999999999</v>
      </c>
      <c r="G10619">
        <v>-303.27999999999997</v>
      </c>
      <c r="H10619">
        <v>0</v>
      </c>
      <c r="I10619">
        <v>0</v>
      </c>
      <c r="J10619">
        <v>0</v>
      </c>
      <c r="K10619">
        <v>0</v>
      </c>
      <c r="L10619">
        <v>20735731.109999999</v>
      </c>
      <c r="M10619">
        <v>20735427.829999998</v>
      </c>
      <c r="N10619">
        <v>20735731.109999999</v>
      </c>
      <c r="O10619">
        <v>20735427.829999998</v>
      </c>
      <c r="P10619">
        <v>20735731.109999999</v>
      </c>
      <c r="Q10619">
        <v>20735427.829999998</v>
      </c>
      <c r="R10619" s="14">
        <f>_xlfn.XLOOKUP(Table2[[#This Row],[LoanID]],Table1[G-L ID],Table1[ManagerCode],-99)</f>
        <v>219</v>
      </c>
      <c r="T10619"/>
    </row>
    <row r="10620" spans="1:20" x14ac:dyDescent="0.25">
      <c r="A10620">
        <v>20200331</v>
      </c>
      <c r="B10620">
        <v>2020</v>
      </c>
      <c r="C10620">
        <v>3</v>
      </c>
      <c r="D10620">
        <v>1</v>
      </c>
      <c r="E10620">
        <v>13800</v>
      </c>
      <c r="F10620">
        <v>216425.17</v>
      </c>
      <c r="G10620">
        <v>0</v>
      </c>
      <c r="H10620">
        <v>0</v>
      </c>
      <c r="I10620">
        <v>0</v>
      </c>
      <c r="J10620">
        <v>0</v>
      </c>
      <c r="K10620">
        <v>0</v>
      </c>
      <c r="L10620">
        <v>80700000</v>
      </c>
      <c r="M10620">
        <v>80700000</v>
      </c>
      <c r="N10620">
        <v>32279999.719999999</v>
      </c>
      <c r="O10620">
        <v>32279999.719999999</v>
      </c>
      <c r="P10620">
        <v>80700000</v>
      </c>
      <c r="Q10620">
        <v>80700000</v>
      </c>
      <c r="R10620" s="14">
        <f>_xlfn.XLOOKUP(Table2[[#This Row],[LoanID]],Table1[G-L ID],Table1[ManagerCode],-99)</f>
        <v>183</v>
      </c>
      <c r="T10620"/>
    </row>
    <row r="10621" spans="1:20" x14ac:dyDescent="0.25">
      <c r="A10621">
        <v>20200331</v>
      </c>
      <c r="B10621">
        <v>2020</v>
      </c>
      <c r="C10621">
        <v>3</v>
      </c>
      <c r="D10621">
        <v>1</v>
      </c>
      <c r="E10621">
        <v>13810</v>
      </c>
      <c r="F10621">
        <v>150002.6</v>
      </c>
      <c r="G10621">
        <v>0</v>
      </c>
      <c r="H10621">
        <v>0</v>
      </c>
      <c r="I10621">
        <v>0</v>
      </c>
      <c r="J10621">
        <v>-126884.47</v>
      </c>
      <c r="K10621">
        <v>0</v>
      </c>
      <c r="L10621">
        <v>44036063.729999997</v>
      </c>
      <c r="M10621">
        <v>44162948.200000003</v>
      </c>
      <c r="N10621">
        <v>19910317.949999999</v>
      </c>
      <c r="O10621">
        <v>20037202.420000002</v>
      </c>
      <c r="P10621">
        <v>44058701.729999997</v>
      </c>
      <c r="Q10621">
        <v>44185586.200000003</v>
      </c>
      <c r="R10621" s="14">
        <f>_xlfn.XLOOKUP(Table2[[#This Row],[LoanID]],Table1[G-L ID],Table1[ManagerCode],-99)</f>
        <v>183</v>
      </c>
      <c r="T10621"/>
    </row>
    <row r="10622" spans="1:20" x14ac:dyDescent="0.25">
      <c r="A10622">
        <v>20200331</v>
      </c>
      <c r="B10622">
        <v>2020</v>
      </c>
      <c r="C10622">
        <v>3</v>
      </c>
      <c r="D10622">
        <v>1</v>
      </c>
      <c r="E10622">
        <v>13820</v>
      </c>
      <c r="F10622">
        <v>315588.74</v>
      </c>
      <c r="G10622">
        <v>0</v>
      </c>
      <c r="H10622">
        <v>0</v>
      </c>
      <c r="I10622">
        <v>0</v>
      </c>
      <c r="J10622">
        <v>0</v>
      </c>
      <c r="K10622">
        <v>0</v>
      </c>
      <c r="L10622">
        <v>66500000</v>
      </c>
      <c r="M10622">
        <v>66465840</v>
      </c>
      <c r="N10622">
        <v>66500000</v>
      </c>
      <c r="O10622">
        <v>66465840</v>
      </c>
      <c r="P10622">
        <v>66500000</v>
      </c>
      <c r="Q10622">
        <v>66500000</v>
      </c>
      <c r="R10622" s="14">
        <f>_xlfn.XLOOKUP(Table2[[#This Row],[LoanID]],Table1[G-L ID],Table1[ManagerCode],-99)</f>
        <v>183</v>
      </c>
      <c r="T10622"/>
    </row>
    <row r="10623" spans="1:20" x14ac:dyDescent="0.25">
      <c r="A10623">
        <v>20200331</v>
      </c>
      <c r="B10623">
        <v>2020</v>
      </c>
      <c r="C10623">
        <v>3</v>
      </c>
      <c r="D10623">
        <v>1</v>
      </c>
      <c r="E10623">
        <v>13830</v>
      </c>
      <c r="F10623">
        <v>263698.96000000002</v>
      </c>
      <c r="G10623">
        <v>0</v>
      </c>
      <c r="H10623">
        <v>0</v>
      </c>
      <c r="I10623">
        <v>0</v>
      </c>
      <c r="J10623">
        <v>0</v>
      </c>
      <c r="K10623">
        <v>0</v>
      </c>
      <c r="L10623">
        <v>101000000</v>
      </c>
      <c r="M10623">
        <v>101000000</v>
      </c>
      <c r="N10623">
        <v>35350000</v>
      </c>
      <c r="O10623">
        <v>35350000</v>
      </c>
      <c r="P10623">
        <v>101000000</v>
      </c>
      <c r="Q10623">
        <v>101000000</v>
      </c>
      <c r="R10623" s="14">
        <f>_xlfn.XLOOKUP(Table2[[#This Row],[LoanID]],Table1[G-L ID],Table1[ManagerCode],-99)</f>
        <v>183</v>
      </c>
      <c r="T10623"/>
    </row>
    <row r="10624" spans="1:20" x14ac:dyDescent="0.25">
      <c r="A10624">
        <v>20200331</v>
      </c>
      <c r="B10624">
        <v>2020</v>
      </c>
      <c r="C10624">
        <v>3</v>
      </c>
      <c r="D10624">
        <v>1</v>
      </c>
      <c r="E10624">
        <v>14000</v>
      </c>
      <c r="F10624">
        <v>189061.9</v>
      </c>
      <c r="G10624">
        <v>0</v>
      </c>
      <c r="H10624">
        <v>0</v>
      </c>
      <c r="I10624">
        <v>0</v>
      </c>
      <c r="J10624">
        <v>0</v>
      </c>
      <c r="K10624">
        <v>0</v>
      </c>
      <c r="L10624">
        <v>98000000</v>
      </c>
      <c r="M10624">
        <v>98000000</v>
      </c>
      <c r="N10624">
        <v>39200000</v>
      </c>
      <c r="O10624">
        <v>39200000</v>
      </c>
      <c r="P10624">
        <v>98000000</v>
      </c>
      <c r="Q10624">
        <v>98000000</v>
      </c>
      <c r="R10624" s="14">
        <f>_xlfn.XLOOKUP(Table2[[#This Row],[LoanID]],Table1[G-L ID],Table1[ManagerCode],-99)</f>
        <v>183</v>
      </c>
      <c r="T10624"/>
    </row>
    <row r="10625" spans="1:20" x14ac:dyDescent="0.25">
      <c r="A10625">
        <v>20200331</v>
      </c>
      <c r="B10625">
        <v>2020</v>
      </c>
      <c r="C10625">
        <v>3</v>
      </c>
      <c r="D10625">
        <v>1</v>
      </c>
      <c r="E10625">
        <v>14660</v>
      </c>
      <c r="F10625">
        <v>132530</v>
      </c>
      <c r="G10625">
        <v>9140</v>
      </c>
      <c r="H10625">
        <v>0</v>
      </c>
      <c r="I10625">
        <v>0</v>
      </c>
      <c r="J10625">
        <v>0</v>
      </c>
      <c r="K10625">
        <v>0</v>
      </c>
      <c r="L10625">
        <v>18132530</v>
      </c>
      <c r="M10625">
        <v>17754419</v>
      </c>
      <c r="N10625">
        <v>18132530</v>
      </c>
      <c r="O10625">
        <v>17754419</v>
      </c>
      <c r="P10625">
        <v>18132530</v>
      </c>
      <c r="Q10625">
        <v>18141670</v>
      </c>
      <c r="R10625" s="14">
        <f>_xlfn.XLOOKUP(Table2[[#This Row],[LoanID]],Table1[G-L ID],Table1[ManagerCode],-99)</f>
        <v>219</v>
      </c>
      <c r="T10625"/>
    </row>
    <row r="10626" spans="1:20" x14ac:dyDescent="0.25">
      <c r="A10626">
        <v>20200331</v>
      </c>
      <c r="B10626">
        <v>2020</v>
      </c>
      <c r="C10626">
        <v>3</v>
      </c>
      <c r="D10626">
        <v>1</v>
      </c>
      <c r="E10626">
        <v>14680</v>
      </c>
      <c r="F10626">
        <v>48846.78</v>
      </c>
      <c r="G10626">
        <v>0</v>
      </c>
      <c r="H10626">
        <v>0</v>
      </c>
      <c r="I10626">
        <v>0</v>
      </c>
      <c r="J10626">
        <v>0</v>
      </c>
      <c r="K10626">
        <v>0</v>
      </c>
      <c r="L10626">
        <v>30790000</v>
      </c>
      <c r="M10626">
        <v>30790000</v>
      </c>
      <c r="N10626">
        <v>8345011.7999999998</v>
      </c>
      <c r="O10626">
        <v>8345011.7999999998</v>
      </c>
      <c r="P10626">
        <v>30766174.010000002</v>
      </c>
      <c r="Q10626">
        <v>30766174.010000002</v>
      </c>
      <c r="R10626" s="14">
        <f>_xlfn.XLOOKUP(Table2[[#This Row],[LoanID]],Table1[G-L ID],Table1[ManagerCode],-99)</f>
        <v>220</v>
      </c>
      <c r="T10626"/>
    </row>
    <row r="10627" spans="1:20" x14ac:dyDescent="0.25">
      <c r="A10627">
        <v>20200331</v>
      </c>
      <c r="B10627">
        <v>2020</v>
      </c>
      <c r="C10627">
        <v>3</v>
      </c>
      <c r="D10627">
        <v>1</v>
      </c>
      <c r="E10627">
        <v>14690</v>
      </c>
      <c r="F10627">
        <v>105572.92</v>
      </c>
      <c r="G10627">
        <v>0</v>
      </c>
      <c r="H10627">
        <v>0</v>
      </c>
      <c r="I10627">
        <v>0</v>
      </c>
      <c r="J10627">
        <v>0</v>
      </c>
      <c r="K10627">
        <v>0</v>
      </c>
      <c r="L10627">
        <v>43405017.439999998</v>
      </c>
      <c r="M10627">
        <v>43405017.439999998</v>
      </c>
      <c r="N10627">
        <v>15887267.439999999</v>
      </c>
      <c r="O10627">
        <v>15887267.439999999</v>
      </c>
      <c r="P10627">
        <v>43405017.439999998</v>
      </c>
      <c r="Q10627">
        <v>43405017.439999998</v>
      </c>
      <c r="R10627" s="14">
        <f>_xlfn.XLOOKUP(Table2[[#This Row],[LoanID]],Table1[G-L ID],Table1[ManagerCode],-99)</f>
        <v>220</v>
      </c>
      <c r="T10627"/>
    </row>
    <row r="10628" spans="1:20" x14ac:dyDescent="0.25">
      <c r="A10628">
        <v>20200331</v>
      </c>
      <c r="B10628">
        <v>2020</v>
      </c>
      <c r="C10628">
        <v>3</v>
      </c>
      <c r="D10628">
        <v>1</v>
      </c>
      <c r="E10628">
        <v>14700</v>
      </c>
      <c r="F10628">
        <v>88695.43</v>
      </c>
      <c r="G10628">
        <v>0</v>
      </c>
      <c r="H10628">
        <v>0</v>
      </c>
      <c r="I10628">
        <v>0</v>
      </c>
      <c r="J10628">
        <v>0</v>
      </c>
      <c r="K10628">
        <v>0</v>
      </c>
      <c r="L10628">
        <v>36143315.479999997</v>
      </c>
      <c r="M10628">
        <v>36143315.479999997</v>
      </c>
      <c r="N10628">
        <v>11555815.48</v>
      </c>
      <c r="O10628">
        <v>11555815.48</v>
      </c>
      <c r="P10628">
        <v>36143315.479999997</v>
      </c>
      <c r="Q10628">
        <v>36143315.479999997</v>
      </c>
      <c r="R10628" s="14">
        <f>_xlfn.XLOOKUP(Table2[[#This Row],[LoanID]],Table1[G-L ID],Table1[ManagerCode],-99)</f>
        <v>220</v>
      </c>
      <c r="T10628"/>
    </row>
    <row r="10629" spans="1:20" x14ac:dyDescent="0.25">
      <c r="A10629">
        <v>20200331</v>
      </c>
      <c r="B10629">
        <v>2020</v>
      </c>
      <c r="C10629">
        <v>3</v>
      </c>
      <c r="D10629">
        <v>1</v>
      </c>
      <c r="E10629">
        <v>14710</v>
      </c>
      <c r="F10629">
        <v>72131.58</v>
      </c>
      <c r="G10629">
        <v>0</v>
      </c>
      <c r="H10629">
        <v>0</v>
      </c>
      <c r="I10629">
        <v>0</v>
      </c>
      <c r="J10629">
        <v>0</v>
      </c>
      <c r="K10629">
        <v>0</v>
      </c>
      <c r="L10629">
        <v>33650000</v>
      </c>
      <c r="M10629">
        <v>33650000</v>
      </c>
      <c r="N10629">
        <v>11777500</v>
      </c>
      <c r="O10629">
        <v>11777500</v>
      </c>
      <c r="P10629">
        <v>33650000</v>
      </c>
      <c r="Q10629">
        <v>33650000</v>
      </c>
      <c r="R10629" s="14">
        <f>_xlfn.XLOOKUP(Table2[[#This Row],[LoanID]],Table1[G-L ID],Table1[ManagerCode],-99)</f>
        <v>220</v>
      </c>
      <c r="T10629"/>
    </row>
    <row r="10630" spans="1:20" x14ac:dyDescent="0.25">
      <c r="A10630">
        <v>20200331</v>
      </c>
      <c r="B10630">
        <v>2020</v>
      </c>
      <c r="C10630">
        <v>3</v>
      </c>
      <c r="D10630">
        <v>1</v>
      </c>
      <c r="E10630">
        <v>14720</v>
      </c>
      <c r="F10630">
        <v>48393.55</v>
      </c>
      <c r="G10630">
        <v>0</v>
      </c>
      <c r="H10630">
        <v>0</v>
      </c>
      <c r="I10630">
        <v>0</v>
      </c>
      <c r="J10630">
        <v>-456215.57</v>
      </c>
      <c r="K10630">
        <v>0</v>
      </c>
      <c r="L10630">
        <v>23003037.93</v>
      </c>
      <c r="M10630">
        <v>23459253.5</v>
      </c>
      <c r="N10630">
        <v>9276037.9299999997</v>
      </c>
      <c r="O10630">
        <v>9732253.5</v>
      </c>
      <c r="P10630">
        <v>22999192.010000002</v>
      </c>
      <c r="Q10630">
        <v>23455407.579999998</v>
      </c>
      <c r="R10630" s="14">
        <f>_xlfn.XLOOKUP(Table2[[#This Row],[LoanID]],Table1[G-L ID],Table1[ManagerCode],-99)</f>
        <v>220</v>
      </c>
      <c r="T10630"/>
    </row>
    <row r="10631" spans="1:20" x14ac:dyDescent="0.25">
      <c r="A10631">
        <v>20200331</v>
      </c>
      <c r="B10631">
        <v>2020</v>
      </c>
      <c r="C10631">
        <v>3</v>
      </c>
      <c r="D10631">
        <v>1</v>
      </c>
      <c r="E10631">
        <v>14740</v>
      </c>
      <c r="F10631">
        <v>89919.37</v>
      </c>
      <c r="G10631">
        <v>0</v>
      </c>
      <c r="H10631">
        <v>0</v>
      </c>
      <c r="I10631">
        <v>0</v>
      </c>
      <c r="J10631">
        <v>0</v>
      </c>
      <c r="K10631">
        <v>0</v>
      </c>
      <c r="L10631">
        <v>34570000</v>
      </c>
      <c r="M10631">
        <v>34570000</v>
      </c>
      <c r="N10631">
        <v>13570000</v>
      </c>
      <c r="O10631">
        <v>13570000</v>
      </c>
      <c r="P10631">
        <v>35000000</v>
      </c>
      <c r="Q10631">
        <v>35000000</v>
      </c>
      <c r="R10631" s="14">
        <f>_xlfn.XLOOKUP(Table2[[#This Row],[LoanID]],Table1[G-L ID],Table1[ManagerCode],-99)</f>
        <v>220</v>
      </c>
      <c r="T10631"/>
    </row>
    <row r="10632" spans="1:20" x14ac:dyDescent="0.25">
      <c r="A10632">
        <v>20200331</v>
      </c>
      <c r="B10632">
        <v>2020</v>
      </c>
      <c r="C10632">
        <v>3</v>
      </c>
      <c r="D10632">
        <v>1</v>
      </c>
      <c r="E10632">
        <v>14750</v>
      </c>
      <c r="F10632">
        <v>106373.01</v>
      </c>
      <c r="G10632">
        <v>0</v>
      </c>
      <c r="H10632">
        <v>0</v>
      </c>
      <c r="I10632">
        <v>0</v>
      </c>
      <c r="J10632">
        <v>0</v>
      </c>
      <c r="K10632">
        <v>0</v>
      </c>
      <c r="L10632">
        <v>59078453.039999999</v>
      </c>
      <c r="M10632">
        <v>59078453.039999999</v>
      </c>
      <c r="N10632">
        <v>23328453.039999999</v>
      </c>
      <c r="O10632">
        <v>23328453.039999999</v>
      </c>
      <c r="P10632">
        <v>59078453.039999999</v>
      </c>
      <c r="Q10632">
        <v>59078453.039999999</v>
      </c>
      <c r="R10632" s="14">
        <f>_xlfn.XLOOKUP(Table2[[#This Row],[LoanID]],Table1[G-L ID],Table1[ManagerCode],-99)</f>
        <v>220</v>
      </c>
      <c r="T10632"/>
    </row>
    <row r="10633" spans="1:20" x14ac:dyDescent="0.25">
      <c r="A10633">
        <v>20200331</v>
      </c>
      <c r="B10633">
        <v>2020</v>
      </c>
      <c r="C10633">
        <v>3</v>
      </c>
      <c r="D10633">
        <v>1</v>
      </c>
      <c r="E10633">
        <v>14760</v>
      </c>
      <c r="F10633">
        <v>206594.79</v>
      </c>
      <c r="G10633">
        <v>0</v>
      </c>
      <c r="H10633">
        <v>0</v>
      </c>
      <c r="I10633">
        <v>0</v>
      </c>
      <c r="J10633">
        <v>0</v>
      </c>
      <c r="K10633">
        <v>0</v>
      </c>
      <c r="L10633">
        <v>105000000</v>
      </c>
      <c r="M10633">
        <v>105000000</v>
      </c>
      <c r="N10633">
        <v>26250000</v>
      </c>
      <c r="O10633">
        <v>26250000</v>
      </c>
      <c r="P10633">
        <v>105000000</v>
      </c>
      <c r="Q10633">
        <v>105000000</v>
      </c>
      <c r="R10633" s="14">
        <f>_xlfn.XLOOKUP(Table2[[#This Row],[LoanID]],Table1[G-L ID],Table1[ManagerCode],-99)</f>
        <v>220</v>
      </c>
      <c r="T10633"/>
    </row>
    <row r="10634" spans="1:20" x14ac:dyDescent="0.25">
      <c r="A10634">
        <v>20200331</v>
      </c>
      <c r="B10634">
        <v>2020</v>
      </c>
      <c r="C10634">
        <v>3</v>
      </c>
      <c r="D10634">
        <v>1</v>
      </c>
      <c r="E10634">
        <v>14770</v>
      </c>
      <c r="F10634">
        <v>232036.25</v>
      </c>
      <c r="G10634">
        <v>0</v>
      </c>
      <c r="H10634">
        <v>0</v>
      </c>
      <c r="I10634">
        <v>0</v>
      </c>
      <c r="J10634">
        <v>0</v>
      </c>
      <c r="K10634">
        <v>0</v>
      </c>
      <c r="L10634">
        <v>55500000</v>
      </c>
      <c r="M10634">
        <v>55500000</v>
      </c>
      <c r="N10634">
        <v>55500000</v>
      </c>
      <c r="O10634">
        <v>55500000</v>
      </c>
      <c r="P10634">
        <v>55500000</v>
      </c>
      <c r="Q10634">
        <v>55500000</v>
      </c>
      <c r="R10634" s="14">
        <f>_xlfn.XLOOKUP(Table2[[#This Row],[LoanID]],Table1[G-L ID],Table1[ManagerCode],-99)</f>
        <v>220</v>
      </c>
      <c r="T10634"/>
    </row>
    <row r="10635" spans="1:20" x14ac:dyDescent="0.25">
      <c r="A10635">
        <v>20200331</v>
      </c>
      <c r="B10635">
        <v>2020</v>
      </c>
      <c r="C10635">
        <v>3</v>
      </c>
      <c r="D10635">
        <v>1</v>
      </c>
      <c r="E10635">
        <v>14780</v>
      </c>
      <c r="F10635">
        <v>106779.69</v>
      </c>
      <c r="G10635">
        <v>0</v>
      </c>
      <c r="H10635">
        <v>0</v>
      </c>
      <c r="I10635">
        <v>0</v>
      </c>
      <c r="J10635">
        <v>0</v>
      </c>
      <c r="K10635">
        <v>0</v>
      </c>
      <c r="L10635">
        <v>51000000</v>
      </c>
      <c r="M10635">
        <v>51000000</v>
      </c>
      <c r="N10635">
        <v>15300000</v>
      </c>
      <c r="O10635">
        <v>15300000</v>
      </c>
      <c r="P10635">
        <v>51000000</v>
      </c>
      <c r="Q10635">
        <v>51000000</v>
      </c>
      <c r="R10635" s="14">
        <f>_xlfn.XLOOKUP(Table2[[#This Row],[LoanID]],Table1[G-L ID],Table1[ManagerCode],-99)</f>
        <v>220</v>
      </c>
      <c r="T10635"/>
    </row>
    <row r="10636" spans="1:20" x14ac:dyDescent="0.25">
      <c r="A10636">
        <v>20200331</v>
      </c>
      <c r="B10636">
        <v>2020</v>
      </c>
      <c r="C10636">
        <v>3</v>
      </c>
      <c r="D10636">
        <v>1</v>
      </c>
      <c r="E10636">
        <v>14790</v>
      </c>
      <c r="F10636">
        <v>120305</v>
      </c>
      <c r="G10636">
        <v>0</v>
      </c>
      <c r="H10636">
        <v>0</v>
      </c>
      <c r="I10636">
        <v>0</v>
      </c>
      <c r="J10636">
        <v>0</v>
      </c>
      <c r="K10636">
        <v>0</v>
      </c>
      <c r="L10636">
        <v>80360000</v>
      </c>
      <c r="M10636">
        <v>80360000</v>
      </c>
      <c r="N10636">
        <v>25960000</v>
      </c>
      <c r="O10636">
        <v>25960000</v>
      </c>
      <c r="P10636">
        <v>80000000</v>
      </c>
      <c r="Q10636">
        <v>80000000</v>
      </c>
      <c r="R10636" s="14">
        <f>_xlfn.XLOOKUP(Table2[[#This Row],[LoanID]],Table1[G-L ID],Table1[ManagerCode],-99)</f>
        <v>220</v>
      </c>
      <c r="T10636"/>
    </row>
    <row r="10637" spans="1:20" x14ac:dyDescent="0.25">
      <c r="A10637">
        <v>20200331</v>
      </c>
      <c r="B10637">
        <v>2020</v>
      </c>
      <c r="C10637">
        <v>3</v>
      </c>
      <c r="D10637">
        <v>1</v>
      </c>
      <c r="E10637">
        <v>14810</v>
      </c>
      <c r="F10637">
        <v>88363</v>
      </c>
      <c r="G10637">
        <v>0</v>
      </c>
      <c r="H10637">
        <v>0</v>
      </c>
      <c r="I10637">
        <v>0</v>
      </c>
      <c r="J10637">
        <v>0</v>
      </c>
      <c r="K10637">
        <v>0</v>
      </c>
      <c r="L10637">
        <v>24930000</v>
      </c>
      <c r="M10637">
        <v>24930000</v>
      </c>
      <c r="N10637">
        <v>24930000</v>
      </c>
      <c r="O10637">
        <v>24930000</v>
      </c>
      <c r="P10637">
        <v>24930000</v>
      </c>
      <c r="Q10637">
        <v>24930000</v>
      </c>
      <c r="R10637" s="14">
        <f>_xlfn.XLOOKUP(Table2[[#This Row],[LoanID]],Table1[G-L ID],Table1[ManagerCode],-99)</f>
        <v>220</v>
      </c>
      <c r="T10637"/>
    </row>
    <row r="10638" spans="1:20" x14ac:dyDescent="0.25">
      <c r="A10638">
        <v>20200331</v>
      </c>
      <c r="B10638">
        <v>2020</v>
      </c>
      <c r="C10638">
        <v>3</v>
      </c>
      <c r="D10638">
        <v>1</v>
      </c>
      <c r="E10638">
        <v>14820</v>
      </c>
      <c r="F10638">
        <v>109157.73</v>
      </c>
      <c r="G10638">
        <v>0</v>
      </c>
      <c r="H10638">
        <v>0</v>
      </c>
      <c r="I10638">
        <v>0</v>
      </c>
      <c r="J10638">
        <v>0</v>
      </c>
      <c r="K10638">
        <v>16882358.579999998</v>
      </c>
      <c r="L10638">
        <v>23287391.140000001</v>
      </c>
      <c r="M10638">
        <v>23287391.140000001</v>
      </c>
      <c r="N10638">
        <v>23286391.140000001</v>
      </c>
      <c r="O10638">
        <v>6404032.5599999996</v>
      </c>
      <c r="P10638">
        <v>23287391.140000001</v>
      </c>
      <c r="Q10638">
        <v>23287391.140000001</v>
      </c>
      <c r="R10638" s="14">
        <f>_xlfn.XLOOKUP(Table2[[#This Row],[LoanID]],Table1[G-L ID],Table1[ManagerCode],-99)</f>
        <v>220</v>
      </c>
      <c r="T10638"/>
    </row>
    <row r="10639" spans="1:20" x14ac:dyDescent="0.25">
      <c r="A10639">
        <v>20200331</v>
      </c>
      <c r="B10639">
        <v>2020</v>
      </c>
      <c r="C10639">
        <v>3</v>
      </c>
      <c r="D10639">
        <v>1</v>
      </c>
      <c r="E10639">
        <v>14840</v>
      </c>
      <c r="F10639">
        <v>66921.61</v>
      </c>
      <c r="G10639">
        <v>0</v>
      </c>
      <c r="H10639">
        <v>0</v>
      </c>
      <c r="I10639">
        <v>0</v>
      </c>
      <c r="J10639">
        <v>0</v>
      </c>
      <c r="K10639">
        <v>0</v>
      </c>
      <c r="L10639">
        <v>32514668.289999999</v>
      </c>
      <c r="M10639">
        <v>32514668.289999999</v>
      </c>
      <c r="N10639">
        <v>13316135.25</v>
      </c>
      <c r="O10639">
        <v>13316135.25</v>
      </c>
      <c r="P10639">
        <v>32484668.289999999</v>
      </c>
      <c r="Q10639">
        <v>32484668.289999999</v>
      </c>
      <c r="R10639" s="14">
        <f>_xlfn.XLOOKUP(Table2[[#This Row],[LoanID]],Table1[G-L ID],Table1[ManagerCode],-99)</f>
        <v>220</v>
      </c>
      <c r="T10639"/>
    </row>
    <row r="10640" spans="1:20" x14ac:dyDescent="0.25">
      <c r="A10640">
        <v>20200331</v>
      </c>
      <c r="B10640">
        <v>2020</v>
      </c>
      <c r="C10640">
        <v>3</v>
      </c>
      <c r="D10640">
        <v>1</v>
      </c>
      <c r="E10640">
        <v>14850</v>
      </c>
      <c r="F10640">
        <v>171051.8</v>
      </c>
      <c r="G10640">
        <v>0</v>
      </c>
      <c r="H10640">
        <v>0</v>
      </c>
      <c r="I10640">
        <v>0</v>
      </c>
      <c r="J10640">
        <v>0</v>
      </c>
      <c r="K10640">
        <v>0</v>
      </c>
      <c r="L10640">
        <v>88357504.379999995</v>
      </c>
      <c r="M10640">
        <v>88357504.379999995</v>
      </c>
      <c r="N10640">
        <v>36728978.5</v>
      </c>
      <c r="O10640">
        <v>36728978.5</v>
      </c>
      <c r="P10640">
        <v>88282409.599999994</v>
      </c>
      <c r="Q10640">
        <v>88282409.599999994</v>
      </c>
      <c r="R10640" s="14">
        <f>_xlfn.XLOOKUP(Table2[[#This Row],[LoanID]],Table1[G-L ID],Table1[ManagerCode],-99)</f>
        <v>220</v>
      </c>
      <c r="T10640"/>
    </row>
    <row r="10641" spans="1:20" x14ac:dyDescent="0.25">
      <c r="A10641">
        <v>20200331</v>
      </c>
      <c r="B10641">
        <v>2020</v>
      </c>
      <c r="C10641">
        <v>3</v>
      </c>
      <c r="D10641">
        <v>1</v>
      </c>
      <c r="E10641">
        <v>14860</v>
      </c>
      <c r="F10641">
        <v>195297.85</v>
      </c>
      <c r="G10641">
        <v>0</v>
      </c>
      <c r="H10641">
        <v>0</v>
      </c>
      <c r="I10641">
        <v>0</v>
      </c>
      <c r="J10641">
        <v>0</v>
      </c>
      <c r="K10641">
        <v>26141000</v>
      </c>
      <c r="L10641">
        <v>65150000</v>
      </c>
      <c r="M10641">
        <v>0</v>
      </c>
      <c r="N10641">
        <v>26291000</v>
      </c>
      <c r="O10641">
        <v>0</v>
      </c>
      <c r="P10641">
        <v>65000000</v>
      </c>
      <c r="Q10641">
        <v>0</v>
      </c>
      <c r="R10641" s="14">
        <f>_xlfn.XLOOKUP(Table2[[#This Row],[LoanID]],Table1[G-L ID],Table1[ManagerCode],-99)</f>
        <v>220</v>
      </c>
      <c r="T10641"/>
    </row>
    <row r="10642" spans="1:20" x14ac:dyDescent="0.25">
      <c r="A10642">
        <v>20200331</v>
      </c>
      <c r="B10642">
        <v>2020</v>
      </c>
      <c r="C10642">
        <v>3</v>
      </c>
      <c r="D10642">
        <v>1</v>
      </c>
      <c r="E10642">
        <v>14870</v>
      </c>
      <c r="F10642">
        <v>595528.23</v>
      </c>
      <c r="G10642">
        <v>0</v>
      </c>
      <c r="H10642">
        <v>0</v>
      </c>
      <c r="I10642">
        <v>0</v>
      </c>
      <c r="J10642">
        <v>0</v>
      </c>
      <c r="K10642">
        <v>0</v>
      </c>
      <c r="L10642">
        <v>124620522</v>
      </c>
      <c r="M10642">
        <v>124620522</v>
      </c>
      <c r="N10642">
        <v>124619522</v>
      </c>
      <c r="O10642">
        <v>124619522</v>
      </c>
      <c r="P10642">
        <v>124551742</v>
      </c>
      <c r="Q10642">
        <v>124551742</v>
      </c>
      <c r="R10642" s="14">
        <f>_xlfn.XLOOKUP(Table2[[#This Row],[LoanID]],Table1[G-L ID],Table1[ManagerCode],-99)</f>
        <v>220</v>
      </c>
      <c r="T10642"/>
    </row>
    <row r="10643" spans="1:20" x14ac:dyDescent="0.25">
      <c r="A10643">
        <v>20200331</v>
      </c>
      <c r="B10643">
        <v>2020</v>
      </c>
      <c r="C10643">
        <v>3</v>
      </c>
      <c r="D10643">
        <v>1</v>
      </c>
      <c r="E10643">
        <v>14880</v>
      </c>
      <c r="F10643">
        <v>133201.82</v>
      </c>
      <c r="G10643">
        <v>0</v>
      </c>
      <c r="H10643">
        <v>0</v>
      </c>
      <c r="I10643">
        <v>0</v>
      </c>
      <c r="J10643">
        <v>0</v>
      </c>
      <c r="K10643">
        <v>0</v>
      </c>
      <c r="L10643">
        <v>20296304.09</v>
      </c>
      <c r="M10643">
        <v>20296304.09</v>
      </c>
      <c r="N10643">
        <v>20296304.09</v>
      </c>
      <c r="O10643">
        <v>20296304.09</v>
      </c>
      <c r="P10643">
        <v>20296304.09</v>
      </c>
      <c r="Q10643">
        <v>20296304.09</v>
      </c>
      <c r="R10643" s="14">
        <f>_xlfn.XLOOKUP(Table2[[#This Row],[LoanID]],Table1[G-L ID],Table1[ManagerCode],-99)</f>
        <v>220</v>
      </c>
      <c r="T10643"/>
    </row>
    <row r="10644" spans="1:20" x14ac:dyDescent="0.25">
      <c r="A10644">
        <v>20200331</v>
      </c>
      <c r="B10644">
        <v>2020</v>
      </c>
      <c r="C10644">
        <v>3</v>
      </c>
      <c r="D10644">
        <v>1</v>
      </c>
      <c r="E10644">
        <v>14890</v>
      </c>
      <c r="F10644">
        <v>57113.17</v>
      </c>
      <c r="G10644">
        <v>0</v>
      </c>
      <c r="H10644">
        <v>0</v>
      </c>
      <c r="I10644">
        <v>0</v>
      </c>
      <c r="J10644">
        <v>0</v>
      </c>
      <c r="K10644">
        <v>0</v>
      </c>
      <c r="L10644">
        <v>34000000</v>
      </c>
      <c r="M10644">
        <v>34000000</v>
      </c>
      <c r="N10644">
        <v>14177663.98</v>
      </c>
      <c r="O10644">
        <v>14177663.98</v>
      </c>
      <c r="P10644">
        <v>34000000</v>
      </c>
      <c r="Q10644">
        <v>34000000</v>
      </c>
      <c r="R10644" s="14">
        <f>_xlfn.XLOOKUP(Table2[[#This Row],[LoanID]],Table1[G-L ID],Table1[ManagerCode],-99)</f>
        <v>220</v>
      </c>
      <c r="T10644"/>
    </row>
    <row r="10645" spans="1:20" x14ac:dyDescent="0.25">
      <c r="A10645">
        <v>20200331</v>
      </c>
      <c r="B10645">
        <v>2020</v>
      </c>
      <c r="C10645">
        <v>3</v>
      </c>
      <c r="D10645">
        <v>1</v>
      </c>
      <c r="E10645">
        <v>14900</v>
      </c>
      <c r="F10645">
        <v>103665.09</v>
      </c>
      <c r="G10645">
        <v>0</v>
      </c>
      <c r="H10645">
        <v>0</v>
      </c>
      <c r="I10645">
        <v>0</v>
      </c>
      <c r="J10645">
        <v>0</v>
      </c>
      <c r="K10645">
        <v>0</v>
      </c>
      <c r="L10645">
        <v>66096659.850000001</v>
      </c>
      <c r="M10645">
        <v>66096659.850000001</v>
      </c>
      <c r="N10645">
        <v>24496659.850000001</v>
      </c>
      <c r="O10645">
        <v>24496659.850000001</v>
      </c>
      <c r="P10645">
        <v>66096659.850000001</v>
      </c>
      <c r="Q10645">
        <v>66096659.850000001</v>
      </c>
      <c r="R10645" s="14">
        <f>_xlfn.XLOOKUP(Table2[[#This Row],[LoanID]],Table1[G-L ID],Table1[ManagerCode],-99)</f>
        <v>220</v>
      </c>
      <c r="T10645"/>
    </row>
    <row r="10646" spans="1:20" x14ac:dyDescent="0.25">
      <c r="A10646">
        <v>20200331</v>
      </c>
      <c r="B10646">
        <v>2020</v>
      </c>
      <c r="C10646">
        <v>3</v>
      </c>
      <c r="D10646">
        <v>1</v>
      </c>
      <c r="E10646">
        <v>14910</v>
      </c>
      <c r="F10646">
        <v>83534.89</v>
      </c>
      <c r="G10646">
        <v>0</v>
      </c>
      <c r="H10646">
        <v>0</v>
      </c>
      <c r="I10646">
        <v>0</v>
      </c>
      <c r="J10646">
        <v>0</v>
      </c>
      <c r="K10646">
        <v>0</v>
      </c>
      <c r="L10646">
        <v>39447378.079999998</v>
      </c>
      <c r="M10646">
        <v>39447378.079999998</v>
      </c>
      <c r="N10646">
        <v>12847378.08</v>
      </c>
      <c r="O10646">
        <v>12847378.08</v>
      </c>
      <c r="P10646">
        <v>39447378.079999998</v>
      </c>
      <c r="Q10646">
        <v>39447378.079999998</v>
      </c>
      <c r="R10646" s="14">
        <f>_xlfn.XLOOKUP(Table2[[#This Row],[LoanID]],Table1[G-L ID],Table1[ManagerCode],-99)</f>
        <v>220</v>
      </c>
      <c r="T10646"/>
    </row>
    <row r="10647" spans="1:20" x14ac:dyDescent="0.25">
      <c r="A10647">
        <v>20200331</v>
      </c>
      <c r="B10647">
        <v>2020</v>
      </c>
      <c r="C10647">
        <v>3</v>
      </c>
      <c r="D10647">
        <v>1</v>
      </c>
      <c r="E10647">
        <v>14920</v>
      </c>
      <c r="F10647">
        <v>146341.54999999999</v>
      </c>
      <c r="G10647">
        <v>0</v>
      </c>
      <c r="H10647">
        <v>0</v>
      </c>
      <c r="I10647">
        <v>0</v>
      </c>
      <c r="J10647">
        <v>0</v>
      </c>
      <c r="K10647">
        <v>0</v>
      </c>
      <c r="L10647">
        <v>71008110.709999993</v>
      </c>
      <c r="M10647">
        <v>71008110.709999993</v>
      </c>
      <c r="N10647">
        <v>22008110.710000001</v>
      </c>
      <c r="O10647">
        <v>22008110.710000001</v>
      </c>
      <c r="P10647">
        <v>71008110.709999993</v>
      </c>
      <c r="Q10647">
        <v>71008110.709999993</v>
      </c>
      <c r="R10647" s="14">
        <f>_xlfn.XLOOKUP(Table2[[#This Row],[LoanID]],Table1[G-L ID],Table1[ManagerCode],-99)</f>
        <v>220</v>
      </c>
      <c r="T10647"/>
    </row>
    <row r="10648" spans="1:20" x14ac:dyDescent="0.25">
      <c r="A10648">
        <v>20200331</v>
      </c>
      <c r="B10648">
        <v>2020</v>
      </c>
      <c r="C10648">
        <v>3</v>
      </c>
      <c r="D10648">
        <v>1</v>
      </c>
      <c r="E10648">
        <v>14930</v>
      </c>
      <c r="F10648">
        <v>82452.639999999999</v>
      </c>
      <c r="G10648">
        <v>0</v>
      </c>
      <c r="H10648">
        <v>0</v>
      </c>
      <c r="I10648">
        <v>0</v>
      </c>
      <c r="J10648">
        <v>0</v>
      </c>
      <c r="K10648">
        <v>0</v>
      </c>
      <c r="L10648">
        <v>54540000</v>
      </c>
      <c r="M10648">
        <v>54540000</v>
      </c>
      <c r="N10648">
        <v>18790000</v>
      </c>
      <c r="O10648">
        <v>18790000</v>
      </c>
      <c r="P10648">
        <v>55000000</v>
      </c>
      <c r="Q10648">
        <v>55000000</v>
      </c>
      <c r="R10648" s="14">
        <f>_xlfn.XLOOKUP(Table2[[#This Row],[LoanID]],Table1[G-L ID],Table1[ManagerCode],-99)</f>
        <v>220</v>
      </c>
      <c r="T10648"/>
    </row>
    <row r="10649" spans="1:20" x14ac:dyDescent="0.25">
      <c r="A10649">
        <v>20200331</v>
      </c>
      <c r="B10649">
        <v>2020</v>
      </c>
      <c r="C10649">
        <v>3</v>
      </c>
      <c r="D10649">
        <v>1</v>
      </c>
      <c r="E10649">
        <v>14940</v>
      </c>
      <c r="F10649">
        <v>151454.19</v>
      </c>
      <c r="G10649">
        <v>0</v>
      </c>
      <c r="H10649">
        <v>0</v>
      </c>
      <c r="I10649">
        <v>0</v>
      </c>
      <c r="J10649">
        <v>-250374.08</v>
      </c>
      <c r="K10649">
        <v>0</v>
      </c>
      <c r="L10649">
        <v>76949678.370000005</v>
      </c>
      <c r="M10649">
        <v>77160000</v>
      </c>
      <c r="N10649">
        <v>38493736.600000001</v>
      </c>
      <c r="O10649">
        <v>38704058.229999997</v>
      </c>
      <c r="P10649">
        <v>76806560.799999997</v>
      </c>
      <c r="Q10649">
        <v>77056934.879999995</v>
      </c>
      <c r="R10649" s="14">
        <f>_xlfn.XLOOKUP(Table2[[#This Row],[LoanID]],Table1[G-L ID],Table1[ManagerCode],-99)</f>
        <v>220</v>
      </c>
      <c r="T10649"/>
    </row>
    <row r="10650" spans="1:20" x14ac:dyDescent="0.25">
      <c r="A10650">
        <v>20200331</v>
      </c>
      <c r="B10650">
        <v>2020</v>
      </c>
      <c r="C10650">
        <v>3</v>
      </c>
      <c r="D10650">
        <v>1</v>
      </c>
      <c r="E10650">
        <v>14960</v>
      </c>
      <c r="F10650">
        <v>52687.61</v>
      </c>
      <c r="G10650">
        <v>0</v>
      </c>
      <c r="H10650">
        <v>0</v>
      </c>
      <c r="I10650">
        <v>0</v>
      </c>
      <c r="J10650">
        <v>0</v>
      </c>
      <c r="K10650">
        <v>0</v>
      </c>
      <c r="L10650">
        <v>14840000</v>
      </c>
      <c r="M10650">
        <v>14840000</v>
      </c>
      <c r="N10650">
        <v>14839000</v>
      </c>
      <c r="O10650">
        <v>14839000</v>
      </c>
      <c r="P10650">
        <v>14805000</v>
      </c>
      <c r="Q10650">
        <v>14805000</v>
      </c>
      <c r="R10650" s="14">
        <f>_xlfn.XLOOKUP(Table2[[#This Row],[LoanID]],Table1[G-L ID],Table1[ManagerCode],-99)</f>
        <v>220</v>
      </c>
      <c r="T10650"/>
    </row>
    <row r="10651" spans="1:20" x14ac:dyDescent="0.25">
      <c r="A10651">
        <v>20200331</v>
      </c>
      <c r="B10651">
        <v>2020</v>
      </c>
      <c r="C10651">
        <v>3</v>
      </c>
      <c r="D10651">
        <v>1</v>
      </c>
      <c r="E10651">
        <v>14970</v>
      </c>
      <c r="F10651">
        <v>66523.460000000006</v>
      </c>
      <c r="G10651">
        <v>0</v>
      </c>
      <c r="H10651">
        <v>0</v>
      </c>
      <c r="I10651">
        <v>0</v>
      </c>
      <c r="J10651">
        <v>0</v>
      </c>
      <c r="K10651">
        <v>0</v>
      </c>
      <c r="L10651">
        <v>29700000</v>
      </c>
      <c r="M10651">
        <v>29700000</v>
      </c>
      <c r="N10651">
        <v>10395000</v>
      </c>
      <c r="O10651">
        <v>10395000</v>
      </c>
      <c r="P10651">
        <v>29700000</v>
      </c>
      <c r="Q10651">
        <v>29700000</v>
      </c>
      <c r="R10651" s="14">
        <f>_xlfn.XLOOKUP(Table2[[#This Row],[LoanID]],Table1[G-L ID],Table1[ManagerCode],-99)</f>
        <v>220</v>
      </c>
      <c r="T10651"/>
    </row>
    <row r="10652" spans="1:20" x14ac:dyDescent="0.25">
      <c r="A10652">
        <v>20200331</v>
      </c>
      <c r="B10652">
        <v>2020</v>
      </c>
      <c r="C10652">
        <v>3</v>
      </c>
      <c r="D10652">
        <v>1</v>
      </c>
      <c r="E10652">
        <v>14980</v>
      </c>
      <c r="F10652">
        <v>151887.5</v>
      </c>
      <c r="G10652">
        <v>0</v>
      </c>
      <c r="H10652">
        <v>0</v>
      </c>
      <c r="I10652">
        <v>0</v>
      </c>
      <c r="J10652">
        <v>0</v>
      </c>
      <c r="K10652">
        <v>0</v>
      </c>
      <c r="L10652">
        <v>75000000</v>
      </c>
      <c r="M10652">
        <v>75000000</v>
      </c>
      <c r="N10652">
        <v>22500000</v>
      </c>
      <c r="O10652">
        <v>22500000</v>
      </c>
      <c r="P10652">
        <v>75000000</v>
      </c>
      <c r="Q10652">
        <v>75000000</v>
      </c>
      <c r="R10652" s="14">
        <f>_xlfn.XLOOKUP(Table2[[#This Row],[LoanID]],Table1[G-L ID],Table1[ManagerCode],-99)</f>
        <v>220</v>
      </c>
      <c r="T10652"/>
    </row>
    <row r="10653" spans="1:20" x14ac:dyDescent="0.25">
      <c r="A10653">
        <v>20200331</v>
      </c>
      <c r="B10653">
        <v>2020</v>
      </c>
      <c r="C10653">
        <v>3</v>
      </c>
      <c r="D10653">
        <v>1</v>
      </c>
      <c r="E10653">
        <v>14990</v>
      </c>
      <c r="F10653">
        <v>63044.42</v>
      </c>
      <c r="G10653">
        <v>0</v>
      </c>
      <c r="H10653">
        <v>0</v>
      </c>
      <c r="I10653">
        <v>0</v>
      </c>
      <c r="J10653">
        <v>0</v>
      </c>
      <c r="K10653">
        <v>0</v>
      </c>
      <c r="L10653">
        <v>32650000</v>
      </c>
      <c r="M10653">
        <v>32650000</v>
      </c>
      <c r="N10653">
        <v>9795000</v>
      </c>
      <c r="O10653">
        <v>9795000</v>
      </c>
      <c r="P10653">
        <v>32650000</v>
      </c>
      <c r="Q10653">
        <v>32650000</v>
      </c>
      <c r="R10653" s="14">
        <f>_xlfn.XLOOKUP(Table2[[#This Row],[LoanID]],Table1[G-L ID],Table1[ManagerCode],-99)</f>
        <v>220</v>
      </c>
      <c r="T10653"/>
    </row>
    <row r="10654" spans="1:20" x14ac:dyDescent="0.25">
      <c r="A10654">
        <v>20200331</v>
      </c>
      <c r="B10654">
        <v>2020</v>
      </c>
      <c r="C10654">
        <v>3</v>
      </c>
      <c r="D10654">
        <v>1</v>
      </c>
      <c r="E10654">
        <v>15000</v>
      </c>
      <c r="F10654">
        <v>163362.93</v>
      </c>
      <c r="G10654">
        <v>0</v>
      </c>
      <c r="H10654">
        <v>0</v>
      </c>
      <c r="I10654">
        <v>0</v>
      </c>
      <c r="J10654">
        <v>-410931.13</v>
      </c>
      <c r="K10654">
        <v>0</v>
      </c>
      <c r="L10654">
        <v>113585815.7</v>
      </c>
      <c r="M10654">
        <v>113996746.90000001</v>
      </c>
      <c r="N10654">
        <v>36585815.700000003</v>
      </c>
      <c r="O10654">
        <v>36996746.899999999</v>
      </c>
      <c r="P10654">
        <v>113585815.7</v>
      </c>
      <c r="Q10654">
        <v>113996746.90000001</v>
      </c>
      <c r="R10654" s="14">
        <f>_xlfn.XLOOKUP(Table2[[#This Row],[LoanID]],Table1[G-L ID],Table1[ManagerCode],-99)</f>
        <v>220</v>
      </c>
      <c r="T10654"/>
    </row>
    <row r="10655" spans="1:20" x14ac:dyDescent="0.25">
      <c r="A10655">
        <v>20200331</v>
      </c>
      <c r="B10655">
        <v>2020</v>
      </c>
      <c r="C10655">
        <v>3</v>
      </c>
      <c r="D10655">
        <v>1</v>
      </c>
      <c r="E10655">
        <v>15010</v>
      </c>
      <c r="F10655">
        <v>69743.460000000006</v>
      </c>
      <c r="G10655">
        <v>0</v>
      </c>
      <c r="H10655">
        <v>0</v>
      </c>
      <c r="I10655">
        <v>0</v>
      </c>
      <c r="J10655">
        <v>0</v>
      </c>
      <c r="K10655">
        <v>0</v>
      </c>
      <c r="L10655">
        <v>30960000</v>
      </c>
      <c r="M10655">
        <v>30960000</v>
      </c>
      <c r="N10655">
        <v>10836000</v>
      </c>
      <c r="O10655">
        <v>10836000</v>
      </c>
      <c r="P10655">
        <v>30960000</v>
      </c>
      <c r="Q10655">
        <v>30960000</v>
      </c>
      <c r="R10655" s="14">
        <f>_xlfn.XLOOKUP(Table2[[#This Row],[LoanID]],Table1[G-L ID],Table1[ManagerCode],-99)</f>
        <v>220</v>
      </c>
      <c r="T10655"/>
    </row>
    <row r="10656" spans="1:20" x14ac:dyDescent="0.25">
      <c r="A10656">
        <v>20200331</v>
      </c>
      <c r="B10656">
        <v>2020</v>
      </c>
      <c r="C10656">
        <v>3</v>
      </c>
      <c r="D10656">
        <v>1</v>
      </c>
      <c r="E10656">
        <v>15020</v>
      </c>
      <c r="F10656">
        <v>213993.27</v>
      </c>
      <c r="G10656">
        <v>0</v>
      </c>
      <c r="H10656">
        <v>0</v>
      </c>
      <c r="I10656">
        <v>0</v>
      </c>
      <c r="J10656">
        <v>0</v>
      </c>
      <c r="K10656">
        <v>33117641.420000002</v>
      </c>
      <c r="L10656">
        <v>69000000</v>
      </c>
      <c r="M10656">
        <v>69000000</v>
      </c>
      <c r="N10656">
        <v>68999000</v>
      </c>
      <c r="O10656">
        <v>35881358.579999998</v>
      </c>
      <c r="P10656">
        <v>69000000</v>
      </c>
      <c r="Q10656">
        <v>69000000</v>
      </c>
      <c r="R10656" s="14">
        <f>_xlfn.XLOOKUP(Table2[[#This Row],[LoanID]],Table1[G-L ID],Table1[ManagerCode],-99)</f>
        <v>220</v>
      </c>
      <c r="T10656"/>
    </row>
    <row r="10657" spans="1:20" x14ac:dyDescent="0.25">
      <c r="A10657">
        <v>20200331</v>
      </c>
      <c r="B10657">
        <v>2020</v>
      </c>
      <c r="C10657">
        <v>3</v>
      </c>
      <c r="D10657">
        <v>1</v>
      </c>
      <c r="E10657">
        <v>15030</v>
      </c>
      <c r="F10657">
        <v>91762.19</v>
      </c>
      <c r="G10657">
        <v>0</v>
      </c>
      <c r="H10657">
        <v>0</v>
      </c>
      <c r="I10657">
        <v>0</v>
      </c>
      <c r="J10657">
        <v>-4246.5</v>
      </c>
      <c r="K10657">
        <v>0</v>
      </c>
      <c r="L10657">
        <v>41551704.759999998</v>
      </c>
      <c r="M10657">
        <v>41530060.729999997</v>
      </c>
      <c r="N10657">
        <v>16796987.350000001</v>
      </c>
      <c r="O10657">
        <v>16775343.32</v>
      </c>
      <c r="P10657">
        <v>41525814.229999997</v>
      </c>
      <c r="Q10657">
        <v>41530060.729999997</v>
      </c>
      <c r="R10657" s="14">
        <f>_xlfn.XLOOKUP(Table2[[#This Row],[LoanID]],Table1[G-L ID],Table1[ManagerCode],-99)</f>
        <v>220</v>
      </c>
      <c r="T10657"/>
    </row>
    <row r="10658" spans="1:20" x14ac:dyDescent="0.25">
      <c r="A10658">
        <v>20200331</v>
      </c>
      <c r="B10658">
        <v>2020</v>
      </c>
      <c r="C10658">
        <v>3</v>
      </c>
      <c r="D10658">
        <v>1</v>
      </c>
      <c r="E10658">
        <v>15040</v>
      </c>
      <c r="F10658">
        <v>139490.63</v>
      </c>
      <c r="G10658">
        <v>0</v>
      </c>
      <c r="H10658">
        <v>0</v>
      </c>
      <c r="I10658">
        <v>0</v>
      </c>
      <c r="J10658">
        <v>0</v>
      </c>
      <c r="K10658">
        <v>0</v>
      </c>
      <c r="L10658">
        <v>52186687.219999999</v>
      </c>
      <c r="M10658">
        <v>52186687.219999999</v>
      </c>
      <c r="N10658">
        <v>19101687.219999999</v>
      </c>
      <c r="O10658">
        <v>19101687.219999999</v>
      </c>
      <c r="P10658">
        <v>52278389.219999999</v>
      </c>
      <c r="Q10658">
        <v>52278389.219999999</v>
      </c>
      <c r="R10658" s="14">
        <f>_xlfn.XLOOKUP(Table2[[#This Row],[LoanID]],Table1[G-L ID],Table1[ManagerCode],-99)</f>
        <v>183</v>
      </c>
      <c r="T10658"/>
    </row>
    <row r="10659" spans="1:20" x14ac:dyDescent="0.25">
      <c r="A10659">
        <v>20200331</v>
      </c>
      <c r="B10659">
        <v>2020</v>
      </c>
      <c r="C10659">
        <v>3</v>
      </c>
      <c r="D10659">
        <v>1</v>
      </c>
      <c r="E10659">
        <v>15050</v>
      </c>
      <c r="F10659">
        <v>121759.4</v>
      </c>
      <c r="G10659">
        <v>0</v>
      </c>
      <c r="H10659">
        <v>0</v>
      </c>
      <c r="I10659">
        <v>0</v>
      </c>
      <c r="J10659">
        <v>0</v>
      </c>
      <c r="K10659">
        <v>0</v>
      </c>
      <c r="L10659">
        <v>47510000</v>
      </c>
      <c r="M10659">
        <v>47510000</v>
      </c>
      <c r="N10659">
        <v>16628500</v>
      </c>
      <c r="O10659">
        <v>16628500</v>
      </c>
      <c r="P10659">
        <v>47510000</v>
      </c>
      <c r="Q10659">
        <v>47510000</v>
      </c>
      <c r="R10659" s="14">
        <f>_xlfn.XLOOKUP(Table2[[#This Row],[LoanID]],Table1[G-L ID],Table1[ManagerCode],-99)</f>
        <v>183</v>
      </c>
      <c r="T10659"/>
    </row>
    <row r="10660" spans="1:20" x14ac:dyDescent="0.25">
      <c r="A10660">
        <v>20200331</v>
      </c>
      <c r="B10660">
        <v>2020</v>
      </c>
      <c r="C10660">
        <v>3</v>
      </c>
      <c r="D10660">
        <v>1</v>
      </c>
      <c r="E10660">
        <v>15060</v>
      </c>
      <c r="F10660">
        <v>70898.720000000001</v>
      </c>
      <c r="G10660">
        <v>0</v>
      </c>
      <c r="H10660">
        <v>0</v>
      </c>
      <c r="I10660">
        <v>0</v>
      </c>
      <c r="J10660">
        <v>0</v>
      </c>
      <c r="K10660">
        <v>0</v>
      </c>
      <c r="L10660">
        <v>27750000</v>
      </c>
      <c r="M10660">
        <v>27750000</v>
      </c>
      <c r="N10660">
        <v>9712500</v>
      </c>
      <c r="O10660">
        <v>9712500</v>
      </c>
      <c r="P10660">
        <v>27750000</v>
      </c>
      <c r="Q10660">
        <v>27750000</v>
      </c>
      <c r="R10660" s="14">
        <f>_xlfn.XLOOKUP(Table2[[#This Row],[LoanID]],Table1[G-L ID],Table1[ManagerCode],-99)</f>
        <v>183</v>
      </c>
      <c r="T10660"/>
    </row>
    <row r="10661" spans="1:20" x14ac:dyDescent="0.25">
      <c r="A10661">
        <v>20200331</v>
      </c>
      <c r="B10661">
        <v>2020</v>
      </c>
      <c r="C10661">
        <v>3</v>
      </c>
      <c r="D10661">
        <v>1</v>
      </c>
      <c r="E10661">
        <v>15070</v>
      </c>
      <c r="F10661">
        <v>186946.21</v>
      </c>
      <c r="G10661">
        <v>0</v>
      </c>
      <c r="H10661">
        <v>0</v>
      </c>
      <c r="I10661">
        <v>0</v>
      </c>
      <c r="J10661">
        <v>-303107.02</v>
      </c>
      <c r="K10661">
        <v>0</v>
      </c>
      <c r="L10661">
        <v>78193321.129999995</v>
      </c>
      <c r="M10661">
        <v>78496428.150000006</v>
      </c>
      <c r="N10661">
        <v>23942621.129999999</v>
      </c>
      <c r="O10661">
        <v>24245728.149999999</v>
      </c>
      <c r="P10661">
        <v>78193321.129999995</v>
      </c>
      <c r="Q10661">
        <v>78496428.150000006</v>
      </c>
      <c r="R10661" s="14">
        <f>_xlfn.XLOOKUP(Table2[[#This Row],[LoanID]],Table1[G-L ID],Table1[ManagerCode],-99)</f>
        <v>183</v>
      </c>
      <c r="T10661"/>
    </row>
    <row r="10662" spans="1:20" x14ac:dyDescent="0.25">
      <c r="A10662">
        <v>20200331</v>
      </c>
      <c r="B10662">
        <v>2020</v>
      </c>
      <c r="C10662">
        <v>3</v>
      </c>
      <c r="D10662">
        <v>1</v>
      </c>
      <c r="E10662">
        <v>15350</v>
      </c>
      <c r="F10662">
        <v>213472.22</v>
      </c>
      <c r="G10662">
        <v>14722.22</v>
      </c>
      <c r="H10662">
        <v>0</v>
      </c>
      <c r="I10662">
        <v>0</v>
      </c>
      <c r="J10662">
        <v>0</v>
      </c>
      <c r="K10662">
        <v>0</v>
      </c>
      <c r="L10662">
        <v>40213472.219999999</v>
      </c>
      <c r="M10662">
        <v>40228194.439999998</v>
      </c>
      <c r="N10662">
        <v>40213472.219999999</v>
      </c>
      <c r="O10662">
        <v>40228194.439999998</v>
      </c>
      <c r="P10662">
        <v>40213472.219999999</v>
      </c>
      <c r="Q10662">
        <v>40228194.439999998</v>
      </c>
      <c r="R10662" s="14">
        <f>_xlfn.XLOOKUP(Table2[[#This Row],[LoanID]],Table1[G-L ID],Table1[ManagerCode],-99)</f>
        <v>219</v>
      </c>
      <c r="T10662"/>
    </row>
    <row r="10663" spans="1:20" x14ac:dyDescent="0.25">
      <c r="A10663">
        <v>20200331</v>
      </c>
      <c r="B10663">
        <v>2020</v>
      </c>
      <c r="C10663">
        <v>3</v>
      </c>
      <c r="D10663">
        <v>1</v>
      </c>
      <c r="E10663">
        <v>15360</v>
      </c>
      <c r="F10663">
        <v>12083.92</v>
      </c>
      <c r="G10663">
        <v>3840.55</v>
      </c>
      <c r="H10663">
        <v>0</v>
      </c>
      <c r="I10663">
        <v>0</v>
      </c>
      <c r="J10663">
        <v>-563662.57999999996</v>
      </c>
      <c r="K10663">
        <v>0</v>
      </c>
      <c r="L10663">
        <v>2528090.9700000002</v>
      </c>
      <c r="M10663">
        <v>3095594.1</v>
      </c>
      <c r="N10663">
        <v>2528090.9700000002</v>
      </c>
      <c r="O10663">
        <v>3095594.1</v>
      </c>
      <c r="P10663">
        <v>2528090.9700000002</v>
      </c>
      <c r="Q10663">
        <v>3095594.1</v>
      </c>
      <c r="R10663" s="14">
        <f>_xlfn.XLOOKUP(Table2[[#This Row],[LoanID]],Table1[G-L ID],Table1[ManagerCode],-99)</f>
        <v>219</v>
      </c>
      <c r="T10663"/>
    </row>
    <row r="10664" spans="1:20" x14ac:dyDescent="0.25">
      <c r="A10664">
        <v>20200331</v>
      </c>
      <c r="B10664">
        <v>2020</v>
      </c>
      <c r="C10664">
        <v>3</v>
      </c>
      <c r="D10664">
        <v>1</v>
      </c>
      <c r="E10664">
        <v>15370</v>
      </c>
      <c r="F10664">
        <v>414602.22</v>
      </c>
      <c r="G10664">
        <v>0</v>
      </c>
      <c r="H10664">
        <v>0</v>
      </c>
      <c r="I10664">
        <v>0</v>
      </c>
      <c r="J10664">
        <v>-940970.37</v>
      </c>
      <c r="K10664">
        <v>0</v>
      </c>
      <c r="L10664">
        <v>108048715.09999999</v>
      </c>
      <c r="M10664">
        <v>108989685.5</v>
      </c>
      <c r="N10664">
        <v>108048715.09999999</v>
      </c>
      <c r="O10664">
        <v>108989685.5</v>
      </c>
      <c r="P10664">
        <v>108048715.09999999</v>
      </c>
      <c r="Q10664">
        <v>108989685.5</v>
      </c>
      <c r="R10664" s="14">
        <f>_xlfn.XLOOKUP(Table2[[#This Row],[LoanID]],Table1[G-L ID],Table1[ManagerCode],-99)</f>
        <v>220</v>
      </c>
      <c r="T10664"/>
    </row>
    <row r="10665" spans="1:20" x14ac:dyDescent="0.25">
      <c r="A10665">
        <v>20200331</v>
      </c>
      <c r="B10665">
        <v>2020</v>
      </c>
      <c r="C10665">
        <v>3</v>
      </c>
      <c r="D10665">
        <v>1</v>
      </c>
      <c r="E10665">
        <v>15380</v>
      </c>
      <c r="F10665">
        <v>65857.11</v>
      </c>
      <c r="G10665">
        <v>0</v>
      </c>
      <c r="H10665">
        <v>0</v>
      </c>
      <c r="I10665">
        <v>0</v>
      </c>
      <c r="J10665">
        <v>-270505.65999999997</v>
      </c>
      <c r="K10665">
        <v>0</v>
      </c>
      <c r="L10665">
        <v>34930000</v>
      </c>
      <c r="M10665">
        <v>35200505.659999996</v>
      </c>
      <c r="N10665">
        <v>12225500</v>
      </c>
      <c r="O10665">
        <v>12496005.66</v>
      </c>
      <c r="P10665">
        <v>34930000</v>
      </c>
      <c r="Q10665">
        <v>35200505.659999996</v>
      </c>
      <c r="R10665" s="14">
        <f>_xlfn.XLOOKUP(Table2[[#This Row],[LoanID]],Table1[G-L ID],Table1[ManagerCode],-99)</f>
        <v>220</v>
      </c>
      <c r="T10665"/>
    </row>
    <row r="10666" spans="1:20" x14ac:dyDescent="0.25">
      <c r="A10666">
        <v>20200331</v>
      </c>
      <c r="B10666">
        <v>2020</v>
      </c>
      <c r="C10666">
        <v>3</v>
      </c>
      <c r="D10666">
        <v>1</v>
      </c>
      <c r="E10666">
        <v>15390</v>
      </c>
      <c r="F10666">
        <v>63912.75</v>
      </c>
      <c r="G10666">
        <v>0</v>
      </c>
      <c r="H10666">
        <v>0</v>
      </c>
      <c r="I10666">
        <v>0</v>
      </c>
      <c r="J10666">
        <v>-1053729.3999999999</v>
      </c>
      <c r="K10666">
        <v>0</v>
      </c>
      <c r="L10666">
        <v>35825375.5</v>
      </c>
      <c r="M10666">
        <v>36879104.899999999</v>
      </c>
      <c r="N10666">
        <v>11115375.5</v>
      </c>
      <c r="O10666">
        <v>12169104.9</v>
      </c>
      <c r="P10666">
        <v>35825375.5</v>
      </c>
      <c r="Q10666">
        <v>36879104.899999999</v>
      </c>
      <c r="R10666" s="14">
        <f>_xlfn.XLOOKUP(Table2[[#This Row],[LoanID]],Table1[G-L ID],Table1[ManagerCode],-99)</f>
        <v>220</v>
      </c>
      <c r="T10666"/>
    </row>
    <row r="10667" spans="1:20" x14ac:dyDescent="0.25">
      <c r="A10667">
        <v>20200331</v>
      </c>
      <c r="B10667">
        <v>2020</v>
      </c>
      <c r="C10667">
        <v>3</v>
      </c>
      <c r="D10667">
        <v>1</v>
      </c>
      <c r="E10667">
        <v>15400</v>
      </c>
      <c r="F10667">
        <v>73682.759999999995</v>
      </c>
      <c r="G10667">
        <v>0</v>
      </c>
      <c r="H10667">
        <v>0</v>
      </c>
      <c r="I10667">
        <v>0</v>
      </c>
      <c r="J10667">
        <v>0</v>
      </c>
      <c r="K10667">
        <v>0</v>
      </c>
      <c r="L10667">
        <v>22895683.620000001</v>
      </c>
      <c r="M10667">
        <v>22895683.620000001</v>
      </c>
      <c r="N10667">
        <v>22895683.620000001</v>
      </c>
      <c r="O10667">
        <v>22895683.620000001</v>
      </c>
      <c r="P10667">
        <v>22895683.620000001</v>
      </c>
      <c r="Q10667">
        <v>22895683.620000001</v>
      </c>
      <c r="R10667" s="14">
        <f>_xlfn.XLOOKUP(Table2[[#This Row],[LoanID]],Table1[G-L ID],Table1[ManagerCode],-99)</f>
        <v>220</v>
      </c>
      <c r="T10667"/>
    </row>
    <row r="10668" spans="1:20" x14ac:dyDescent="0.25">
      <c r="A10668">
        <v>20200331</v>
      </c>
      <c r="B10668">
        <v>2020</v>
      </c>
      <c r="C10668">
        <v>3</v>
      </c>
      <c r="D10668">
        <v>1</v>
      </c>
      <c r="E10668">
        <v>15410</v>
      </c>
      <c r="F10668">
        <v>108163.55</v>
      </c>
      <c r="G10668">
        <v>0</v>
      </c>
      <c r="H10668">
        <v>0</v>
      </c>
      <c r="I10668">
        <v>0</v>
      </c>
      <c r="J10668">
        <v>0</v>
      </c>
      <c r="K10668">
        <v>0</v>
      </c>
      <c r="L10668">
        <v>64000000</v>
      </c>
      <c r="M10668">
        <v>64000000</v>
      </c>
      <c r="N10668">
        <v>19200000</v>
      </c>
      <c r="O10668">
        <v>19200000</v>
      </c>
      <c r="P10668">
        <v>64000000</v>
      </c>
      <c r="Q10668">
        <v>64000000</v>
      </c>
      <c r="R10668" s="14">
        <f>_xlfn.XLOOKUP(Table2[[#This Row],[LoanID]],Table1[G-L ID],Table1[ManagerCode],-99)</f>
        <v>220</v>
      </c>
      <c r="T10668"/>
    </row>
    <row r="10669" spans="1:20" x14ac:dyDescent="0.25">
      <c r="A10669">
        <v>20200331</v>
      </c>
      <c r="B10669">
        <v>2020</v>
      </c>
      <c r="C10669">
        <v>3</v>
      </c>
      <c r="D10669">
        <v>1</v>
      </c>
      <c r="E10669">
        <v>15420</v>
      </c>
      <c r="F10669">
        <v>93464.78</v>
      </c>
      <c r="G10669">
        <v>0</v>
      </c>
      <c r="H10669">
        <v>0</v>
      </c>
      <c r="I10669">
        <v>0</v>
      </c>
      <c r="J10669">
        <v>0</v>
      </c>
      <c r="K10669">
        <v>0</v>
      </c>
      <c r="L10669">
        <v>44630000</v>
      </c>
      <c r="M10669">
        <v>44630000</v>
      </c>
      <c r="N10669">
        <v>15620500</v>
      </c>
      <c r="O10669">
        <v>15620500</v>
      </c>
      <c r="P10669">
        <v>44630000</v>
      </c>
      <c r="Q10669">
        <v>44630000</v>
      </c>
      <c r="R10669" s="14">
        <f>_xlfn.XLOOKUP(Table2[[#This Row],[LoanID]],Table1[G-L ID],Table1[ManagerCode],-99)</f>
        <v>183</v>
      </c>
      <c r="T10669"/>
    </row>
    <row r="10670" spans="1:20" x14ac:dyDescent="0.25">
      <c r="A10670">
        <v>20200331</v>
      </c>
      <c r="B10670">
        <v>2020</v>
      </c>
      <c r="C10670">
        <v>3</v>
      </c>
      <c r="D10670">
        <v>1</v>
      </c>
      <c r="E10670">
        <v>15430</v>
      </c>
      <c r="F10670">
        <v>106427.61</v>
      </c>
      <c r="G10670">
        <v>0</v>
      </c>
      <c r="H10670">
        <v>0</v>
      </c>
      <c r="I10670">
        <v>0</v>
      </c>
      <c r="J10670">
        <v>-94706.84</v>
      </c>
      <c r="K10670">
        <v>0</v>
      </c>
      <c r="L10670">
        <v>51064800</v>
      </c>
      <c r="M10670">
        <v>51159506.840000004</v>
      </c>
      <c r="N10670">
        <v>17872680</v>
      </c>
      <c r="O10670">
        <v>17967386.84</v>
      </c>
      <c r="P10670">
        <v>51064800</v>
      </c>
      <c r="Q10670">
        <v>51159506.840000004</v>
      </c>
      <c r="R10670" s="14">
        <f>_xlfn.XLOOKUP(Table2[[#This Row],[LoanID]],Table1[G-L ID],Table1[ManagerCode],-99)</f>
        <v>183</v>
      </c>
      <c r="T10670"/>
    </row>
    <row r="10671" spans="1:20" x14ac:dyDescent="0.25">
      <c r="A10671">
        <v>20200331</v>
      </c>
      <c r="B10671">
        <v>2020</v>
      </c>
      <c r="C10671">
        <v>3</v>
      </c>
      <c r="D10671">
        <v>1</v>
      </c>
      <c r="E10671">
        <v>15440</v>
      </c>
      <c r="F10671">
        <v>47846.74</v>
      </c>
      <c r="G10671">
        <v>0</v>
      </c>
      <c r="H10671">
        <v>0</v>
      </c>
      <c r="I10671">
        <v>0</v>
      </c>
      <c r="J10671">
        <v>0</v>
      </c>
      <c r="K10671">
        <v>0</v>
      </c>
      <c r="L10671">
        <v>21443599</v>
      </c>
      <c r="M10671">
        <v>21443599</v>
      </c>
      <c r="N10671">
        <v>7468599</v>
      </c>
      <c r="O10671">
        <v>7468599</v>
      </c>
      <c r="P10671">
        <v>21500000</v>
      </c>
      <c r="Q10671">
        <v>21500000</v>
      </c>
      <c r="R10671" s="14">
        <f>_xlfn.XLOOKUP(Table2[[#This Row],[LoanID]],Table1[G-L ID],Table1[ManagerCode],-99)</f>
        <v>183</v>
      </c>
      <c r="T10671"/>
    </row>
    <row r="10672" spans="1:20" x14ac:dyDescent="0.25">
      <c r="A10672">
        <v>20200331</v>
      </c>
      <c r="B10672">
        <v>2020</v>
      </c>
      <c r="C10672">
        <v>3</v>
      </c>
      <c r="D10672">
        <v>1</v>
      </c>
      <c r="E10672">
        <v>15450</v>
      </c>
      <c r="F10672">
        <v>65993.100000000006</v>
      </c>
      <c r="G10672">
        <v>0</v>
      </c>
      <c r="H10672">
        <v>0</v>
      </c>
      <c r="I10672">
        <v>0</v>
      </c>
      <c r="J10672">
        <v>0</v>
      </c>
      <c r="K10672">
        <v>0</v>
      </c>
      <c r="L10672">
        <v>30000000</v>
      </c>
      <c r="M10672">
        <v>29941975</v>
      </c>
      <c r="N10672">
        <v>10500000</v>
      </c>
      <c r="O10672">
        <v>10441975</v>
      </c>
      <c r="P10672">
        <v>30000000</v>
      </c>
      <c r="Q10672">
        <v>30000000</v>
      </c>
      <c r="R10672" s="14">
        <f>_xlfn.XLOOKUP(Table2[[#This Row],[LoanID]],Table1[G-L ID],Table1[ManagerCode],-99)</f>
        <v>183</v>
      </c>
      <c r="T10672"/>
    </row>
    <row r="10673" spans="1:20" x14ac:dyDescent="0.25">
      <c r="A10673">
        <v>20200331</v>
      </c>
      <c r="B10673">
        <v>2020</v>
      </c>
      <c r="C10673">
        <v>3</v>
      </c>
      <c r="D10673">
        <v>1</v>
      </c>
      <c r="E10673">
        <v>15460</v>
      </c>
      <c r="F10673">
        <v>147634.32</v>
      </c>
      <c r="G10673">
        <v>0</v>
      </c>
      <c r="H10673">
        <v>0</v>
      </c>
      <c r="I10673">
        <v>0</v>
      </c>
      <c r="J10673">
        <v>-943918.6</v>
      </c>
      <c r="K10673">
        <v>0</v>
      </c>
      <c r="L10673">
        <v>67812915.890000001</v>
      </c>
      <c r="M10673">
        <v>68756834.489999995</v>
      </c>
      <c r="N10673">
        <v>30054415.890000001</v>
      </c>
      <c r="O10673">
        <v>30998334.489999998</v>
      </c>
      <c r="P10673">
        <v>68037127.890000001</v>
      </c>
      <c r="Q10673">
        <v>68981046.489999995</v>
      </c>
      <c r="R10673" s="14">
        <f>_xlfn.XLOOKUP(Table2[[#This Row],[LoanID]],Table1[G-L ID],Table1[ManagerCode],-99)</f>
        <v>183</v>
      </c>
      <c r="T10673"/>
    </row>
    <row r="10674" spans="1:20" x14ac:dyDescent="0.25">
      <c r="A10674">
        <v>20200331</v>
      </c>
      <c r="B10674">
        <v>2020</v>
      </c>
      <c r="C10674">
        <v>3</v>
      </c>
      <c r="D10674">
        <v>1</v>
      </c>
      <c r="E10674">
        <v>15470</v>
      </c>
      <c r="F10674">
        <v>292600</v>
      </c>
      <c r="G10674">
        <v>0</v>
      </c>
      <c r="H10674">
        <v>0</v>
      </c>
      <c r="I10674">
        <v>0</v>
      </c>
      <c r="J10674">
        <v>0</v>
      </c>
      <c r="K10674">
        <v>0</v>
      </c>
      <c r="L10674">
        <v>85500000</v>
      </c>
      <c r="M10674">
        <v>85121870</v>
      </c>
      <c r="N10674">
        <v>85500000</v>
      </c>
      <c r="O10674">
        <v>85121870</v>
      </c>
      <c r="P10674">
        <v>85500000</v>
      </c>
      <c r="Q10674">
        <v>85500000</v>
      </c>
      <c r="R10674" s="14">
        <f>_xlfn.XLOOKUP(Table2[[#This Row],[LoanID]],Table1[G-L ID],Table1[ManagerCode],-99)</f>
        <v>183</v>
      </c>
      <c r="T10674"/>
    </row>
    <row r="10675" spans="1:20" x14ac:dyDescent="0.25">
      <c r="A10675">
        <v>20200331</v>
      </c>
      <c r="B10675">
        <v>2020</v>
      </c>
      <c r="C10675">
        <v>3</v>
      </c>
      <c r="D10675">
        <v>1</v>
      </c>
      <c r="E10675">
        <v>15480</v>
      </c>
      <c r="F10675">
        <v>116046.08</v>
      </c>
      <c r="G10675">
        <v>0</v>
      </c>
      <c r="H10675">
        <v>0</v>
      </c>
      <c r="I10675">
        <v>0</v>
      </c>
      <c r="J10675">
        <v>0</v>
      </c>
      <c r="K10675">
        <v>0</v>
      </c>
      <c r="L10675">
        <v>68160000</v>
      </c>
      <c r="M10675">
        <v>67935989</v>
      </c>
      <c r="N10675">
        <v>20448000</v>
      </c>
      <c r="O10675">
        <v>20223989</v>
      </c>
      <c r="P10675">
        <v>68160000</v>
      </c>
      <c r="Q10675">
        <v>68160000</v>
      </c>
      <c r="R10675" s="14">
        <f>_xlfn.XLOOKUP(Table2[[#This Row],[LoanID]],Table1[G-L ID],Table1[ManagerCode],-99)</f>
        <v>183</v>
      </c>
      <c r="T10675"/>
    </row>
    <row r="10676" spans="1:20" x14ac:dyDescent="0.25">
      <c r="A10676">
        <v>20200331</v>
      </c>
      <c r="B10676">
        <v>2020</v>
      </c>
      <c r="C10676">
        <v>3</v>
      </c>
      <c r="D10676">
        <v>1</v>
      </c>
      <c r="E10676">
        <v>15490</v>
      </c>
      <c r="F10676">
        <v>134671.32999999999</v>
      </c>
      <c r="G10676">
        <v>0</v>
      </c>
      <c r="H10676">
        <v>0</v>
      </c>
      <c r="I10676">
        <v>0</v>
      </c>
      <c r="J10676">
        <v>0</v>
      </c>
      <c r="K10676">
        <v>2669163</v>
      </c>
      <c r="L10676">
        <v>56000000</v>
      </c>
      <c r="M10676">
        <v>55816588</v>
      </c>
      <c r="N10676">
        <v>21781663</v>
      </c>
      <c r="O10676">
        <v>18929088</v>
      </c>
      <c r="P10676">
        <v>56000000</v>
      </c>
      <c r="Q10676">
        <v>56000000</v>
      </c>
      <c r="R10676" s="14">
        <f>_xlfn.XLOOKUP(Table2[[#This Row],[LoanID]],Table1[G-L ID],Table1[ManagerCode],-99)</f>
        <v>183</v>
      </c>
      <c r="T10676"/>
    </row>
    <row r="10677" spans="1:20" x14ac:dyDescent="0.25">
      <c r="A10677">
        <v>20200331</v>
      </c>
      <c r="B10677">
        <v>2020</v>
      </c>
      <c r="C10677">
        <v>3</v>
      </c>
      <c r="D10677">
        <v>1</v>
      </c>
      <c r="E10677">
        <v>15500</v>
      </c>
      <c r="F10677">
        <v>94388.61</v>
      </c>
      <c r="G10677">
        <v>0</v>
      </c>
      <c r="H10677">
        <v>0</v>
      </c>
      <c r="I10677">
        <v>0</v>
      </c>
      <c r="J10677">
        <v>0</v>
      </c>
      <c r="K10677">
        <v>0</v>
      </c>
      <c r="L10677">
        <v>51250000</v>
      </c>
      <c r="M10677">
        <v>51111212</v>
      </c>
      <c r="N10677">
        <v>18185889.219999999</v>
      </c>
      <c r="O10677">
        <v>18047101.219999999</v>
      </c>
      <c r="P10677">
        <v>51250000</v>
      </c>
      <c r="Q10677">
        <v>51250000</v>
      </c>
      <c r="R10677" s="14">
        <f>_xlfn.XLOOKUP(Table2[[#This Row],[LoanID]],Table1[G-L ID],Table1[ManagerCode],-99)</f>
        <v>183</v>
      </c>
      <c r="T10677"/>
    </row>
    <row r="10678" spans="1:20" x14ac:dyDescent="0.25">
      <c r="A10678">
        <v>20200331</v>
      </c>
      <c r="B10678">
        <v>2020</v>
      </c>
      <c r="C10678">
        <v>3</v>
      </c>
      <c r="D10678">
        <v>1</v>
      </c>
      <c r="E10678">
        <v>15510</v>
      </c>
      <c r="F10678">
        <v>246628</v>
      </c>
      <c r="G10678">
        <v>0</v>
      </c>
      <c r="H10678">
        <v>0</v>
      </c>
      <c r="I10678">
        <v>0</v>
      </c>
      <c r="J10678">
        <v>-2772278.19</v>
      </c>
      <c r="K10678">
        <v>0</v>
      </c>
      <c r="L10678">
        <v>189352611</v>
      </c>
      <c r="M10678">
        <v>192124889.19999999</v>
      </c>
      <c r="N10678">
        <v>52552611</v>
      </c>
      <c r="O10678">
        <v>55324889.200000003</v>
      </c>
      <c r="P10678">
        <v>190000000</v>
      </c>
      <c r="Q10678">
        <v>192772278.19999999</v>
      </c>
      <c r="R10678" s="14">
        <f>_xlfn.XLOOKUP(Table2[[#This Row],[LoanID]],Table1[G-L ID],Table1[ManagerCode],-99)</f>
        <v>183</v>
      </c>
      <c r="T10678"/>
    </row>
    <row r="10679" spans="1:20" x14ac:dyDescent="0.25">
      <c r="A10679">
        <v>20200331</v>
      </c>
      <c r="B10679">
        <v>2020</v>
      </c>
      <c r="C10679">
        <v>3</v>
      </c>
      <c r="D10679">
        <v>1</v>
      </c>
      <c r="E10679">
        <v>15520</v>
      </c>
      <c r="F10679">
        <v>112866.07</v>
      </c>
      <c r="G10679">
        <v>0</v>
      </c>
      <c r="H10679">
        <v>0</v>
      </c>
      <c r="I10679">
        <v>0</v>
      </c>
      <c r="J10679">
        <v>-1076995.3700000001</v>
      </c>
      <c r="K10679">
        <v>646197.22</v>
      </c>
      <c r="L10679">
        <v>53282924.899999999</v>
      </c>
      <c r="M10679">
        <v>54359920.270000003</v>
      </c>
      <c r="N10679">
        <v>21143169.949999999</v>
      </c>
      <c r="O10679">
        <v>21573968.100000001</v>
      </c>
      <c r="P10679">
        <v>53282924.899999999</v>
      </c>
      <c r="Q10679">
        <v>54359920.270000003</v>
      </c>
      <c r="R10679" s="14">
        <f>_xlfn.XLOOKUP(Table2[[#This Row],[LoanID]],Table1[G-L ID],Table1[ManagerCode],-99)</f>
        <v>183</v>
      </c>
      <c r="T10679"/>
    </row>
    <row r="10680" spans="1:20" x14ac:dyDescent="0.25">
      <c r="A10680">
        <v>20200331</v>
      </c>
      <c r="B10680">
        <v>2020</v>
      </c>
      <c r="C10680">
        <v>3</v>
      </c>
      <c r="D10680">
        <v>1</v>
      </c>
      <c r="E10680">
        <v>15530</v>
      </c>
      <c r="F10680">
        <v>0</v>
      </c>
      <c r="G10680">
        <v>134987.75</v>
      </c>
      <c r="H10680">
        <v>0</v>
      </c>
      <c r="I10680">
        <v>0</v>
      </c>
      <c r="J10680">
        <v>-6439518.6900000004</v>
      </c>
      <c r="K10680">
        <v>0</v>
      </c>
      <c r="L10680">
        <v>14045974.98</v>
      </c>
      <c r="M10680">
        <v>20620481.420000002</v>
      </c>
      <c r="N10680">
        <v>14045974.98</v>
      </c>
      <c r="O10680">
        <v>20620481.420000002</v>
      </c>
      <c r="P10680">
        <v>14045974.98</v>
      </c>
      <c r="Q10680">
        <v>20620481.420000002</v>
      </c>
      <c r="R10680" s="14">
        <f>_xlfn.XLOOKUP(Table2[[#This Row],[LoanID]],Table1[G-L ID],Table1[ManagerCode],-99)</f>
        <v>183</v>
      </c>
      <c r="T10680"/>
    </row>
    <row r="10681" spans="1:20" x14ac:dyDescent="0.25">
      <c r="A10681">
        <v>20200331</v>
      </c>
      <c r="B10681">
        <v>2020</v>
      </c>
      <c r="C10681">
        <v>3</v>
      </c>
      <c r="D10681">
        <v>1</v>
      </c>
      <c r="E10681">
        <v>15540</v>
      </c>
      <c r="F10681">
        <v>272318.34999999998</v>
      </c>
      <c r="G10681">
        <v>9332.9599999999991</v>
      </c>
      <c r="H10681">
        <v>0</v>
      </c>
      <c r="I10681">
        <v>-2936.25</v>
      </c>
      <c r="J10681">
        <v>-1073502.82</v>
      </c>
      <c r="K10681">
        <v>0</v>
      </c>
      <c r="L10681">
        <v>69845494.75</v>
      </c>
      <c r="M10681">
        <v>70928330.530000001</v>
      </c>
      <c r="N10681">
        <v>69845494.75</v>
      </c>
      <c r="O10681">
        <v>70928330.530000001</v>
      </c>
      <c r="P10681">
        <v>69845494.75</v>
      </c>
      <c r="Q10681">
        <v>70928330.530000001</v>
      </c>
      <c r="R10681" s="14">
        <f>_xlfn.XLOOKUP(Table2[[#This Row],[LoanID]],Table1[G-L ID],Table1[ManagerCode],-99)</f>
        <v>212</v>
      </c>
      <c r="T10681"/>
    </row>
    <row r="10682" spans="1:20" x14ac:dyDescent="0.25">
      <c r="A10682">
        <v>20200331</v>
      </c>
      <c r="B10682">
        <v>2020</v>
      </c>
      <c r="C10682">
        <v>3</v>
      </c>
      <c r="D10682">
        <v>1</v>
      </c>
      <c r="E10682">
        <v>15550</v>
      </c>
      <c r="F10682">
        <v>0</v>
      </c>
      <c r="G10682">
        <v>187243.1</v>
      </c>
      <c r="H10682">
        <v>0</v>
      </c>
      <c r="I10682">
        <v>0</v>
      </c>
      <c r="J10682">
        <v>0</v>
      </c>
      <c r="K10682">
        <v>0</v>
      </c>
      <c r="L10682">
        <v>31790000</v>
      </c>
      <c r="M10682">
        <v>31977243.100000001</v>
      </c>
      <c r="N10682">
        <v>31790000</v>
      </c>
      <c r="O10682">
        <v>31977243.100000001</v>
      </c>
      <c r="P10682">
        <v>31790000</v>
      </c>
      <c r="Q10682">
        <v>31977243.100000001</v>
      </c>
      <c r="R10682" s="14">
        <f>_xlfn.XLOOKUP(Table2[[#This Row],[LoanID]],Table1[G-L ID],Table1[ManagerCode],-99)</f>
        <v>212</v>
      </c>
      <c r="T10682"/>
    </row>
    <row r="10683" spans="1:20" x14ac:dyDescent="0.25">
      <c r="A10683">
        <v>20200331</v>
      </c>
      <c r="B10683">
        <v>2020</v>
      </c>
      <c r="C10683">
        <v>3</v>
      </c>
      <c r="D10683">
        <v>1</v>
      </c>
      <c r="E10683">
        <v>15560</v>
      </c>
      <c r="F10683">
        <v>241275.43</v>
      </c>
      <c r="G10683">
        <v>-6649.71</v>
      </c>
      <c r="H10683">
        <v>0</v>
      </c>
      <c r="I10683">
        <v>0</v>
      </c>
      <c r="J10683">
        <v>0</v>
      </c>
      <c r="K10683">
        <v>1407000</v>
      </c>
      <c r="L10683">
        <v>49631297.630000003</v>
      </c>
      <c r="M10683">
        <v>48217647.920000002</v>
      </c>
      <c r="N10683">
        <v>49631297.630000003</v>
      </c>
      <c r="O10683">
        <v>48217647.920000002</v>
      </c>
      <c r="P10683">
        <v>49631297.630000003</v>
      </c>
      <c r="Q10683">
        <v>48217647.920000002</v>
      </c>
      <c r="R10683" s="14">
        <f>_xlfn.XLOOKUP(Table2[[#This Row],[LoanID]],Table1[G-L ID],Table1[ManagerCode],-99)</f>
        <v>212</v>
      </c>
      <c r="T10683"/>
    </row>
    <row r="10684" spans="1:20" x14ac:dyDescent="0.25">
      <c r="A10684">
        <v>20200331</v>
      </c>
      <c r="B10684">
        <v>2020</v>
      </c>
      <c r="C10684">
        <v>3</v>
      </c>
      <c r="D10684">
        <v>1</v>
      </c>
      <c r="E10684">
        <v>15570</v>
      </c>
      <c r="F10684">
        <v>298285.49</v>
      </c>
      <c r="G10684">
        <v>-147373.28</v>
      </c>
      <c r="H10684">
        <v>0</v>
      </c>
      <c r="I10684">
        <v>0</v>
      </c>
      <c r="J10684">
        <v>0</v>
      </c>
      <c r="K10684">
        <v>0</v>
      </c>
      <c r="L10684">
        <v>26584677.280000001</v>
      </c>
      <c r="M10684">
        <v>26437304</v>
      </c>
      <c r="N10684">
        <v>26584677.280000001</v>
      </c>
      <c r="O10684">
        <v>26437304</v>
      </c>
      <c r="P10684">
        <v>26584677.280000001</v>
      </c>
      <c r="Q10684">
        <v>26437304</v>
      </c>
      <c r="R10684" s="14">
        <f>_xlfn.XLOOKUP(Table2[[#This Row],[LoanID]],Table1[G-L ID],Table1[ManagerCode],-99)</f>
        <v>212</v>
      </c>
      <c r="T10684"/>
    </row>
    <row r="10685" spans="1:20" x14ac:dyDescent="0.25">
      <c r="A10685">
        <v>20200331</v>
      </c>
      <c r="B10685">
        <v>2020</v>
      </c>
      <c r="C10685">
        <v>3</v>
      </c>
      <c r="D10685">
        <v>1</v>
      </c>
      <c r="E10685">
        <v>15580</v>
      </c>
      <c r="F10685">
        <v>106888.5</v>
      </c>
      <c r="G10685">
        <v>7240.09</v>
      </c>
      <c r="H10685">
        <v>0</v>
      </c>
      <c r="I10685">
        <v>0</v>
      </c>
      <c r="J10685">
        <v>0</v>
      </c>
      <c r="K10685">
        <v>16512.810000000001</v>
      </c>
      <c r="L10685">
        <v>14451664.1</v>
      </c>
      <c r="M10685">
        <v>14442391.380000001</v>
      </c>
      <c r="N10685">
        <v>14451664.1</v>
      </c>
      <c r="O10685">
        <v>14442391.380000001</v>
      </c>
      <c r="P10685">
        <v>14451664.1</v>
      </c>
      <c r="Q10685">
        <v>14442391.380000001</v>
      </c>
      <c r="R10685" s="14">
        <f>_xlfn.XLOOKUP(Table2[[#This Row],[LoanID]],Table1[G-L ID],Table1[ManagerCode],-99)</f>
        <v>212</v>
      </c>
      <c r="T10685"/>
    </row>
    <row r="10686" spans="1:20" x14ac:dyDescent="0.25">
      <c r="A10686">
        <v>20200331</v>
      </c>
      <c r="B10686">
        <v>2020</v>
      </c>
      <c r="C10686">
        <v>3</v>
      </c>
      <c r="D10686">
        <v>1</v>
      </c>
      <c r="E10686">
        <v>15590</v>
      </c>
      <c r="F10686">
        <v>328378.76</v>
      </c>
      <c r="G10686">
        <v>-2992.59</v>
      </c>
      <c r="H10686">
        <v>0</v>
      </c>
      <c r="I10686">
        <v>-4190.63</v>
      </c>
      <c r="J10686">
        <v>-153726.31</v>
      </c>
      <c r="K10686">
        <v>0</v>
      </c>
      <c r="L10686">
        <v>104345858.5</v>
      </c>
      <c r="M10686">
        <v>104496592.2</v>
      </c>
      <c r="N10686">
        <v>104345858.5</v>
      </c>
      <c r="O10686">
        <v>104496592.2</v>
      </c>
      <c r="P10686">
        <v>104345858.5</v>
      </c>
      <c r="Q10686">
        <v>104496592.2</v>
      </c>
      <c r="R10686" s="14">
        <f>_xlfn.XLOOKUP(Table2[[#This Row],[LoanID]],Table1[G-L ID],Table1[ManagerCode],-99)</f>
        <v>212</v>
      </c>
      <c r="T10686"/>
    </row>
    <row r="10687" spans="1:20" x14ac:dyDescent="0.25">
      <c r="A10687">
        <v>20200331</v>
      </c>
      <c r="B10687">
        <v>2020</v>
      </c>
      <c r="C10687">
        <v>3</v>
      </c>
      <c r="D10687">
        <v>1</v>
      </c>
      <c r="E10687">
        <v>15600</v>
      </c>
      <c r="F10687">
        <v>559761.23</v>
      </c>
      <c r="G10687">
        <v>-7001.96</v>
      </c>
      <c r="H10687">
        <v>0</v>
      </c>
      <c r="I10687">
        <v>-7330.56</v>
      </c>
      <c r="J10687">
        <v>0</v>
      </c>
      <c r="K10687">
        <v>0</v>
      </c>
      <c r="L10687">
        <v>182559761.19999999</v>
      </c>
      <c r="M10687">
        <v>182552759.30000001</v>
      </c>
      <c r="N10687">
        <v>182559761.19999999</v>
      </c>
      <c r="O10687">
        <v>182552759.30000001</v>
      </c>
      <c r="P10687">
        <v>182559761.19999999</v>
      </c>
      <c r="Q10687">
        <v>182552759.30000001</v>
      </c>
      <c r="R10687" s="14">
        <f>_xlfn.XLOOKUP(Table2[[#This Row],[LoanID]],Table1[G-L ID],Table1[ManagerCode],-99)</f>
        <v>212</v>
      </c>
      <c r="T10687"/>
    </row>
    <row r="10688" spans="1:20" x14ac:dyDescent="0.25">
      <c r="A10688">
        <v>20200331</v>
      </c>
      <c r="B10688">
        <v>2020</v>
      </c>
      <c r="C10688">
        <v>3</v>
      </c>
      <c r="D10688">
        <v>1</v>
      </c>
      <c r="E10688">
        <v>15610</v>
      </c>
      <c r="F10688">
        <v>792190.61</v>
      </c>
      <c r="G10688">
        <v>20573.79</v>
      </c>
      <c r="H10688">
        <v>0</v>
      </c>
      <c r="I10688">
        <v>-8965.49</v>
      </c>
      <c r="J10688">
        <v>-7456312.7000000002</v>
      </c>
      <c r="K10688">
        <v>0</v>
      </c>
      <c r="L10688">
        <v>223722114.19999999</v>
      </c>
      <c r="M10688">
        <v>231199000.69999999</v>
      </c>
      <c r="N10688">
        <v>223722114.19999999</v>
      </c>
      <c r="O10688">
        <v>231199000.69999999</v>
      </c>
      <c r="P10688">
        <v>223722114.19999999</v>
      </c>
      <c r="Q10688">
        <v>231199000.69999999</v>
      </c>
      <c r="R10688" s="14">
        <f>_xlfn.XLOOKUP(Table2[[#This Row],[LoanID]],Table1[G-L ID],Table1[ManagerCode],-99)</f>
        <v>212</v>
      </c>
      <c r="T10688"/>
    </row>
    <row r="10689" spans="1:20" x14ac:dyDescent="0.25">
      <c r="A10689">
        <v>20200331</v>
      </c>
      <c r="B10689">
        <v>2020</v>
      </c>
      <c r="C10689">
        <v>3</v>
      </c>
      <c r="D10689">
        <v>1</v>
      </c>
      <c r="E10689">
        <v>15620</v>
      </c>
      <c r="F10689">
        <v>287283.25</v>
      </c>
      <c r="G10689">
        <v>32.89</v>
      </c>
      <c r="H10689">
        <v>0</v>
      </c>
      <c r="I10689">
        <v>-3179.32</v>
      </c>
      <c r="J10689">
        <v>0</v>
      </c>
      <c r="K10689">
        <v>0</v>
      </c>
      <c r="L10689">
        <v>79222095.659999996</v>
      </c>
      <c r="M10689">
        <v>79222128.549999997</v>
      </c>
      <c r="N10689">
        <v>79222095.659999996</v>
      </c>
      <c r="O10689">
        <v>79222128.549999997</v>
      </c>
      <c r="P10689">
        <v>79222095.659999996</v>
      </c>
      <c r="Q10689">
        <v>79222128.549999997</v>
      </c>
      <c r="R10689" s="14">
        <f>_xlfn.XLOOKUP(Table2[[#This Row],[LoanID]],Table1[G-L ID],Table1[ManagerCode],-99)</f>
        <v>212</v>
      </c>
      <c r="T10689"/>
    </row>
    <row r="10690" spans="1:20" x14ac:dyDescent="0.25">
      <c r="A10690">
        <v>20200331</v>
      </c>
      <c r="B10690">
        <v>2020</v>
      </c>
      <c r="C10690">
        <v>3</v>
      </c>
      <c r="D10690">
        <v>1</v>
      </c>
      <c r="E10690">
        <v>15630</v>
      </c>
      <c r="F10690">
        <v>621288.75</v>
      </c>
      <c r="G10690">
        <v>-37623.42</v>
      </c>
      <c r="H10690">
        <v>0</v>
      </c>
      <c r="I10690">
        <v>-7364.73</v>
      </c>
      <c r="J10690">
        <v>0</v>
      </c>
      <c r="K10690">
        <v>0</v>
      </c>
      <c r="L10690">
        <v>173222486.19999999</v>
      </c>
      <c r="M10690">
        <v>173184862.80000001</v>
      </c>
      <c r="N10690">
        <v>173222486.19999999</v>
      </c>
      <c r="O10690">
        <v>173184862.80000001</v>
      </c>
      <c r="P10690">
        <v>173222486.19999999</v>
      </c>
      <c r="Q10690">
        <v>173184862.80000001</v>
      </c>
      <c r="R10690" s="14">
        <f>_xlfn.XLOOKUP(Table2[[#This Row],[LoanID]],Table1[G-L ID],Table1[ManagerCode],-99)</f>
        <v>212</v>
      </c>
      <c r="T10690"/>
    </row>
    <row r="10691" spans="1:20" x14ac:dyDescent="0.25">
      <c r="A10691">
        <v>20200331</v>
      </c>
      <c r="B10691">
        <v>2020</v>
      </c>
      <c r="C10691">
        <v>3</v>
      </c>
      <c r="D10691">
        <v>1</v>
      </c>
      <c r="E10691">
        <v>15640</v>
      </c>
      <c r="F10691">
        <v>428180.15</v>
      </c>
      <c r="G10691">
        <v>0</v>
      </c>
      <c r="H10691">
        <v>0</v>
      </c>
      <c r="I10691">
        <v>0</v>
      </c>
      <c r="J10691">
        <v>0</v>
      </c>
      <c r="K10691">
        <v>27300000</v>
      </c>
      <c r="L10691">
        <v>42000000</v>
      </c>
      <c r="M10691">
        <v>41885228</v>
      </c>
      <c r="N10691">
        <v>42000000</v>
      </c>
      <c r="O10691">
        <v>14585228</v>
      </c>
      <c r="P10691">
        <v>42000000</v>
      </c>
      <c r="Q10691">
        <v>42000000</v>
      </c>
      <c r="R10691" s="14">
        <f>_xlfn.XLOOKUP(Table2[[#This Row],[LoanID]],Table1[G-L ID],Table1[ManagerCode],-99)</f>
        <v>183</v>
      </c>
      <c r="T10691"/>
    </row>
    <row r="10692" spans="1:20" x14ac:dyDescent="0.25">
      <c r="A10692">
        <v>20200331</v>
      </c>
      <c r="B10692">
        <v>2020</v>
      </c>
      <c r="C10692">
        <v>3</v>
      </c>
      <c r="D10692">
        <v>1</v>
      </c>
      <c r="E10692">
        <v>15650</v>
      </c>
      <c r="F10692">
        <v>84477.78</v>
      </c>
      <c r="G10692">
        <v>0</v>
      </c>
      <c r="H10692">
        <v>0</v>
      </c>
      <c r="I10692">
        <v>0</v>
      </c>
      <c r="J10692">
        <v>-84477.78</v>
      </c>
      <c r="K10692">
        <v>0</v>
      </c>
      <c r="L10692">
        <v>13951866</v>
      </c>
      <c r="M10692">
        <v>14036343.779999999</v>
      </c>
      <c r="N10692">
        <v>13951866</v>
      </c>
      <c r="O10692">
        <v>14036343.779999999</v>
      </c>
      <c r="P10692">
        <v>14000000</v>
      </c>
      <c r="Q10692">
        <v>14084477.779999999</v>
      </c>
      <c r="R10692" s="14">
        <f>_xlfn.XLOOKUP(Table2[[#This Row],[LoanID]],Table1[G-L ID],Table1[ManagerCode],-99)</f>
        <v>183</v>
      </c>
      <c r="T10692"/>
    </row>
    <row r="10693" spans="1:20" x14ac:dyDescent="0.25">
      <c r="A10693">
        <v>20200331</v>
      </c>
      <c r="B10693">
        <v>2020</v>
      </c>
      <c r="C10693">
        <v>3</v>
      </c>
      <c r="D10693">
        <v>1</v>
      </c>
      <c r="E10693">
        <v>15660</v>
      </c>
      <c r="F10693">
        <v>174205.11</v>
      </c>
      <c r="G10693">
        <v>0</v>
      </c>
      <c r="H10693">
        <v>0</v>
      </c>
      <c r="I10693">
        <v>0</v>
      </c>
      <c r="J10693">
        <v>0</v>
      </c>
      <c r="K10693">
        <v>20000000</v>
      </c>
      <c r="L10693">
        <v>40000000</v>
      </c>
      <c r="M10693">
        <v>40000000</v>
      </c>
      <c r="N10693">
        <v>40000000</v>
      </c>
      <c r="O10693">
        <v>20000000</v>
      </c>
      <c r="P10693">
        <v>40000000</v>
      </c>
      <c r="Q10693">
        <v>40000000</v>
      </c>
      <c r="R10693" s="14">
        <f>_xlfn.XLOOKUP(Table2[[#This Row],[LoanID]],Table1[G-L ID],Table1[ManagerCode],-99)</f>
        <v>183</v>
      </c>
      <c r="T10693"/>
    </row>
    <row r="10694" spans="1:20" x14ac:dyDescent="0.25">
      <c r="A10694">
        <v>20200331</v>
      </c>
      <c r="B10694">
        <v>2020</v>
      </c>
      <c r="C10694">
        <v>3</v>
      </c>
      <c r="D10694">
        <v>1</v>
      </c>
      <c r="E10694">
        <v>15670</v>
      </c>
      <c r="F10694">
        <v>69810.649999999994</v>
      </c>
      <c r="G10694">
        <v>0</v>
      </c>
      <c r="H10694">
        <v>0</v>
      </c>
      <c r="I10694">
        <v>0</v>
      </c>
      <c r="J10694">
        <v>0</v>
      </c>
      <c r="K10694">
        <v>0</v>
      </c>
      <c r="L10694">
        <v>17650000</v>
      </c>
      <c r="M10694">
        <v>17184146.969999999</v>
      </c>
      <c r="N10694">
        <v>17650000</v>
      </c>
      <c r="O10694">
        <v>17184146.969999999</v>
      </c>
      <c r="P10694">
        <v>17650000</v>
      </c>
      <c r="Q10694">
        <v>17650000</v>
      </c>
      <c r="R10694" s="14">
        <f>_xlfn.XLOOKUP(Table2[[#This Row],[LoanID]],Table1[G-L ID],Table1[ManagerCode],-99)</f>
        <v>103</v>
      </c>
      <c r="T10694"/>
    </row>
    <row r="10695" spans="1:20" x14ac:dyDescent="0.25">
      <c r="A10695">
        <v>20200331</v>
      </c>
      <c r="B10695">
        <v>2020</v>
      </c>
      <c r="C10695">
        <v>3</v>
      </c>
      <c r="D10695">
        <v>1</v>
      </c>
      <c r="E10695">
        <v>15680</v>
      </c>
      <c r="F10695">
        <v>423962.5</v>
      </c>
      <c r="G10695">
        <v>0</v>
      </c>
      <c r="H10695">
        <v>0</v>
      </c>
      <c r="I10695">
        <v>0</v>
      </c>
      <c r="J10695">
        <v>0</v>
      </c>
      <c r="K10695">
        <v>0</v>
      </c>
      <c r="L10695">
        <v>65000000</v>
      </c>
      <c r="M10695">
        <v>65000000</v>
      </c>
      <c r="N10695">
        <v>65000000</v>
      </c>
      <c r="O10695">
        <v>65000000</v>
      </c>
      <c r="P10695">
        <v>65000000</v>
      </c>
      <c r="Q10695">
        <v>65000000</v>
      </c>
      <c r="R10695" s="14">
        <f>_xlfn.XLOOKUP(Table2[[#This Row],[LoanID]],Table1[G-L ID],Table1[ManagerCode],-99)</f>
        <v>103</v>
      </c>
      <c r="T10695"/>
    </row>
    <row r="10696" spans="1:20" x14ac:dyDescent="0.25">
      <c r="A10696">
        <v>20200331</v>
      </c>
      <c r="B10696">
        <v>2020</v>
      </c>
      <c r="C10696">
        <v>3</v>
      </c>
      <c r="D10696">
        <v>1</v>
      </c>
      <c r="E10696">
        <v>15690</v>
      </c>
      <c r="F10696">
        <v>106949.12</v>
      </c>
      <c r="G10696">
        <v>0</v>
      </c>
      <c r="H10696">
        <v>0</v>
      </c>
      <c r="I10696">
        <v>0</v>
      </c>
      <c r="J10696">
        <v>0</v>
      </c>
      <c r="K10696">
        <v>0</v>
      </c>
      <c r="L10696">
        <v>14495516</v>
      </c>
      <c r="M10696">
        <v>13988229</v>
      </c>
      <c r="N10696">
        <v>14495516</v>
      </c>
      <c r="O10696">
        <v>13988229</v>
      </c>
      <c r="P10696">
        <v>14495516</v>
      </c>
      <c r="Q10696">
        <v>14495516</v>
      </c>
      <c r="R10696" s="14">
        <f>_xlfn.XLOOKUP(Table2[[#This Row],[LoanID]],Table1[G-L ID],Table1[ManagerCode],-99)</f>
        <v>193</v>
      </c>
      <c r="T10696"/>
    </row>
    <row r="10697" spans="1:20" x14ac:dyDescent="0.25">
      <c r="A10697">
        <v>20200331</v>
      </c>
      <c r="B10697">
        <v>2020</v>
      </c>
      <c r="C10697">
        <v>3</v>
      </c>
      <c r="D10697">
        <v>1</v>
      </c>
      <c r="E10697">
        <v>15700</v>
      </c>
      <c r="F10697">
        <v>233576.39</v>
      </c>
      <c r="G10697">
        <v>0</v>
      </c>
      <c r="H10697">
        <v>0</v>
      </c>
      <c r="I10697">
        <v>0</v>
      </c>
      <c r="J10697">
        <v>0</v>
      </c>
      <c r="K10697">
        <v>0</v>
      </c>
      <c r="L10697">
        <v>35000000</v>
      </c>
      <c r="M10697">
        <v>35000000</v>
      </c>
      <c r="N10697">
        <v>35000000</v>
      </c>
      <c r="O10697">
        <v>35000000</v>
      </c>
      <c r="P10697">
        <v>35000000</v>
      </c>
      <c r="Q10697">
        <v>35000000</v>
      </c>
      <c r="R10697" s="14">
        <f>_xlfn.XLOOKUP(Table2[[#This Row],[LoanID]],Table1[G-L ID],Table1[ManagerCode],-99)</f>
        <v>193</v>
      </c>
      <c r="T10697"/>
    </row>
    <row r="10698" spans="1:20" x14ac:dyDescent="0.25">
      <c r="A10698">
        <v>20200331</v>
      </c>
      <c r="B10698">
        <v>2020</v>
      </c>
      <c r="C10698">
        <v>3</v>
      </c>
      <c r="D10698">
        <v>1</v>
      </c>
      <c r="E10698">
        <v>15710</v>
      </c>
      <c r="F10698">
        <v>346029.05</v>
      </c>
      <c r="G10698">
        <v>0</v>
      </c>
      <c r="H10698">
        <v>0</v>
      </c>
      <c r="I10698">
        <v>0</v>
      </c>
      <c r="J10698">
        <v>-129149.03</v>
      </c>
      <c r="K10698">
        <v>0</v>
      </c>
      <c r="L10698">
        <v>73217398.659999996</v>
      </c>
      <c r="M10698">
        <v>73346547.689999998</v>
      </c>
      <c r="N10698">
        <v>73217398.659999996</v>
      </c>
      <c r="O10698">
        <v>73346547.689999998</v>
      </c>
      <c r="P10698">
        <v>73217398.659999996</v>
      </c>
      <c r="Q10698">
        <v>73346547.689999998</v>
      </c>
      <c r="R10698" s="14">
        <f>_xlfn.XLOOKUP(Table2[[#This Row],[LoanID]],Table1[G-L ID],Table1[ManagerCode],-99)</f>
        <v>193</v>
      </c>
      <c r="T10698"/>
    </row>
    <row r="10699" spans="1:20" x14ac:dyDescent="0.25">
      <c r="A10699">
        <v>20200331</v>
      </c>
      <c r="B10699">
        <v>2020</v>
      </c>
      <c r="C10699">
        <v>3</v>
      </c>
      <c r="D10699">
        <v>1</v>
      </c>
      <c r="E10699">
        <v>15720</v>
      </c>
      <c r="F10699">
        <v>146666.67000000001</v>
      </c>
      <c r="G10699">
        <v>0</v>
      </c>
      <c r="H10699">
        <v>0</v>
      </c>
      <c r="I10699">
        <v>0</v>
      </c>
      <c r="J10699">
        <v>0</v>
      </c>
      <c r="K10699">
        <v>0</v>
      </c>
      <c r="L10699">
        <v>22000000</v>
      </c>
      <c r="M10699">
        <v>22000000</v>
      </c>
      <c r="N10699">
        <v>22000000</v>
      </c>
      <c r="O10699">
        <v>22000000</v>
      </c>
      <c r="P10699">
        <v>22000000</v>
      </c>
      <c r="Q10699">
        <v>22000000</v>
      </c>
      <c r="R10699" s="14">
        <f>_xlfn.XLOOKUP(Table2[[#This Row],[LoanID]],Table1[G-L ID],Table1[ManagerCode],-99)</f>
        <v>193</v>
      </c>
      <c r="T10699"/>
    </row>
    <row r="10700" spans="1:20" x14ac:dyDescent="0.25">
      <c r="A10700">
        <v>20200331</v>
      </c>
      <c r="B10700">
        <v>2020</v>
      </c>
      <c r="C10700">
        <v>3</v>
      </c>
      <c r="D10700">
        <v>1</v>
      </c>
      <c r="E10700">
        <v>15730</v>
      </c>
      <c r="F10700">
        <v>123163.72</v>
      </c>
      <c r="G10700">
        <v>0</v>
      </c>
      <c r="H10700">
        <v>0</v>
      </c>
      <c r="I10700">
        <v>0</v>
      </c>
      <c r="J10700">
        <v>0</v>
      </c>
      <c r="K10700">
        <v>0</v>
      </c>
      <c r="L10700">
        <v>19070511.109999999</v>
      </c>
      <c r="M10700">
        <v>19070511.109999999</v>
      </c>
      <c r="N10700">
        <v>19070511.109999999</v>
      </c>
      <c r="O10700">
        <v>19070511.109999999</v>
      </c>
      <c r="P10700">
        <v>19070511.109999999</v>
      </c>
      <c r="Q10700">
        <v>19070511.109999999</v>
      </c>
      <c r="R10700" s="14">
        <f>_xlfn.XLOOKUP(Table2[[#This Row],[LoanID]],Table1[G-L ID],Table1[ManagerCode],-99)</f>
        <v>193</v>
      </c>
      <c r="T10700"/>
    </row>
    <row r="10701" spans="1:20" x14ac:dyDescent="0.25">
      <c r="A10701">
        <v>20200331</v>
      </c>
      <c r="B10701">
        <v>2020</v>
      </c>
      <c r="C10701">
        <v>3</v>
      </c>
      <c r="D10701">
        <v>1</v>
      </c>
      <c r="E10701">
        <v>15740</v>
      </c>
      <c r="F10701">
        <v>334050</v>
      </c>
      <c r="G10701">
        <v>0</v>
      </c>
      <c r="H10701">
        <v>0</v>
      </c>
      <c r="I10701">
        <v>0</v>
      </c>
      <c r="J10701">
        <v>0</v>
      </c>
      <c r="K10701">
        <v>0</v>
      </c>
      <c r="L10701">
        <v>60000000</v>
      </c>
      <c r="M10701">
        <v>60000000</v>
      </c>
      <c r="N10701">
        <v>60000000</v>
      </c>
      <c r="O10701">
        <v>60000000</v>
      </c>
      <c r="P10701">
        <v>60000000</v>
      </c>
      <c r="Q10701">
        <v>60000000</v>
      </c>
      <c r="R10701" s="14">
        <f>_xlfn.XLOOKUP(Table2[[#This Row],[LoanID]],Table1[G-L ID],Table1[ManagerCode],-99)</f>
        <v>193</v>
      </c>
      <c r="T10701"/>
    </row>
    <row r="10702" spans="1:20" x14ac:dyDescent="0.25">
      <c r="A10702">
        <v>20200331</v>
      </c>
      <c r="B10702">
        <v>2020</v>
      </c>
      <c r="C10702">
        <v>3</v>
      </c>
      <c r="D10702">
        <v>1</v>
      </c>
      <c r="E10702">
        <v>15750</v>
      </c>
      <c r="F10702">
        <v>182485.81</v>
      </c>
      <c r="G10702">
        <v>0</v>
      </c>
      <c r="H10702">
        <v>0</v>
      </c>
      <c r="I10702">
        <v>0</v>
      </c>
      <c r="J10702">
        <v>0</v>
      </c>
      <c r="K10702">
        <v>0</v>
      </c>
      <c r="L10702">
        <v>36500000</v>
      </c>
      <c r="M10702">
        <v>36500000</v>
      </c>
      <c r="N10702">
        <v>36500000</v>
      </c>
      <c r="O10702">
        <v>36500000</v>
      </c>
      <c r="P10702">
        <v>36500000</v>
      </c>
      <c r="Q10702">
        <v>36500000</v>
      </c>
      <c r="R10702" s="14">
        <f>_xlfn.XLOOKUP(Table2[[#This Row],[LoanID]],Table1[G-L ID],Table1[ManagerCode],-99)</f>
        <v>193</v>
      </c>
      <c r="T10702"/>
    </row>
    <row r="10703" spans="1:20" x14ac:dyDescent="0.25">
      <c r="A10703">
        <v>20200331</v>
      </c>
      <c r="B10703">
        <v>2020</v>
      </c>
      <c r="C10703">
        <v>3</v>
      </c>
      <c r="D10703">
        <v>1</v>
      </c>
      <c r="E10703">
        <v>15760</v>
      </c>
      <c r="F10703">
        <v>254533.68</v>
      </c>
      <c r="G10703">
        <v>0</v>
      </c>
      <c r="H10703">
        <v>0</v>
      </c>
      <c r="I10703">
        <v>0</v>
      </c>
      <c r="J10703">
        <v>0</v>
      </c>
      <c r="K10703">
        <v>0</v>
      </c>
      <c r="L10703">
        <v>42500000</v>
      </c>
      <c r="M10703">
        <v>42500000</v>
      </c>
      <c r="N10703">
        <v>42500000</v>
      </c>
      <c r="O10703">
        <v>42500000</v>
      </c>
      <c r="P10703">
        <v>42500000</v>
      </c>
      <c r="Q10703">
        <v>42500000</v>
      </c>
      <c r="R10703" s="14">
        <f>_xlfn.XLOOKUP(Table2[[#This Row],[LoanID]],Table1[G-L ID],Table1[ManagerCode],-99)</f>
        <v>193</v>
      </c>
      <c r="T10703"/>
    </row>
    <row r="10704" spans="1:20" x14ac:dyDescent="0.25">
      <c r="A10704">
        <v>20200331</v>
      </c>
      <c r="B10704">
        <v>2020</v>
      </c>
      <c r="C10704">
        <v>3</v>
      </c>
      <c r="D10704">
        <v>1</v>
      </c>
      <c r="E10704">
        <v>15770</v>
      </c>
      <c r="F10704">
        <v>714722.22</v>
      </c>
      <c r="G10704">
        <v>0</v>
      </c>
      <c r="H10704">
        <v>0</v>
      </c>
      <c r="I10704">
        <v>0</v>
      </c>
      <c r="J10704">
        <v>0</v>
      </c>
      <c r="K10704">
        <v>0</v>
      </c>
      <c r="L10704">
        <v>100000000</v>
      </c>
      <c r="M10704">
        <v>100000000</v>
      </c>
      <c r="N10704">
        <v>100000000</v>
      </c>
      <c r="O10704">
        <v>100000000</v>
      </c>
      <c r="P10704">
        <v>100000000</v>
      </c>
      <c r="Q10704">
        <v>100000000</v>
      </c>
      <c r="R10704" s="14">
        <f>_xlfn.XLOOKUP(Table2[[#This Row],[LoanID]],Table1[G-L ID],Table1[ManagerCode],-99)</f>
        <v>193</v>
      </c>
      <c r="T10704"/>
    </row>
    <row r="10705" spans="1:20" x14ac:dyDescent="0.25">
      <c r="A10705">
        <v>20200331</v>
      </c>
      <c r="B10705">
        <v>2020</v>
      </c>
      <c r="C10705">
        <v>3</v>
      </c>
      <c r="D10705">
        <v>1</v>
      </c>
      <c r="E10705">
        <v>15780</v>
      </c>
      <c r="F10705">
        <v>114062.5</v>
      </c>
      <c r="G10705">
        <v>0</v>
      </c>
      <c r="H10705">
        <v>0</v>
      </c>
      <c r="I10705">
        <v>0</v>
      </c>
      <c r="J10705">
        <v>0</v>
      </c>
      <c r="K10705">
        <v>0</v>
      </c>
      <c r="L10705">
        <v>15000000</v>
      </c>
      <c r="M10705">
        <v>15000000</v>
      </c>
      <c r="N10705">
        <v>15000000</v>
      </c>
      <c r="O10705">
        <v>15000000</v>
      </c>
      <c r="P10705">
        <v>15000000</v>
      </c>
      <c r="Q10705">
        <v>15000000</v>
      </c>
      <c r="R10705" s="14">
        <f>_xlfn.XLOOKUP(Table2[[#This Row],[LoanID]],Table1[G-L ID],Table1[ManagerCode],-99)</f>
        <v>193</v>
      </c>
      <c r="T10705"/>
    </row>
    <row r="10706" spans="1:20" x14ac:dyDescent="0.25">
      <c r="A10706">
        <v>20200331</v>
      </c>
      <c r="B10706">
        <v>2020</v>
      </c>
      <c r="C10706">
        <v>3</v>
      </c>
      <c r="D10706">
        <v>1</v>
      </c>
      <c r="E10706">
        <v>15790</v>
      </c>
      <c r="F10706">
        <v>268258.08</v>
      </c>
      <c r="G10706">
        <v>0</v>
      </c>
      <c r="H10706">
        <v>0</v>
      </c>
      <c r="I10706">
        <v>0</v>
      </c>
      <c r="J10706">
        <v>0</v>
      </c>
      <c r="K10706">
        <v>0</v>
      </c>
      <c r="L10706">
        <v>50000000</v>
      </c>
      <c r="M10706">
        <v>50000000</v>
      </c>
      <c r="N10706">
        <v>50000000</v>
      </c>
      <c r="O10706">
        <v>50000000</v>
      </c>
      <c r="P10706">
        <v>50000000</v>
      </c>
      <c r="Q10706">
        <v>50000000</v>
      </c>
      <c r="R10706" s="14">
        <f>_xlfn.XLOOKUP(Table2[[#This Row],[LoanID]],Table1[G-L ID],Table1[ManagerCode],-99)</f>
        <v>193</v>
      </c>
      <c r="T10706"/>
    </row>
    <row r="10707" spans="1:20" x14ac:dyDescent="0.25">
      <c r="A10707">
        <v>20200331</v>
      </c>
      <c r="B10707">
        <v>2020</v>
      </c>
      <c r="C10707">
        <v>3</v>
      </c>
      <c r="D10707">
        <v>1</v>
      </c>
      <c r="E10707">
        <v>15800</v>
      </c>
      <c r="F10707">
        <v>393715.28</v>
      </c>
      <c r="G10707">
        <v>27152.78</v>
      </c>
      <c r="H10707">
        <v>0</v>
      </c>
      <c r="I10707">
        <v>-3423.61</v>
      </c>
      <c r="J10707">
        <v>0</v>
      </c>
      <c r="K10707">
        <v>0</v>
      </c>
      <c r="L10707">
        <v>85393715.280000001</v>
      </c>
      <c r="M10707">
        <v>85420868.060000002</v>
      </c>
      <c r="N10707">
        <v>85393715.280000001</v>
      </c>
      <c r="O10707">
        <v>85420868.060000002</v>
      </c>
      <c r="P10707">
        <v>85393715.280000001</v>
      </c>
      <c r="Q10707">
        <v>85420868.060000002</v>
      </c>
      <c r="R10707" s="14">
        <f>_xlfn.XLOOKUP(Table2[[#This Row],[LoanID]],Table1[G-L ID],Table1[ManagerCode],-99)</f>
        <v>212</v>
      </c>
      <c r="T10707"/>
    </row>
    <row r="10708" spans="1:20" x14ac:dyDescent="0.25">
      <c r="A10708">
        <v>20200430</v>
      </c>
      <c r="B10708">
        <v>2020</v>
      </c>
      <c r="C10708">
        <v>4</v>
      </c>
      <c r="D10708">
        <v>1</v>
      </c>
      <c r="E10708">
        <v>10050</v>
      </c>
      <c r="F10708">
        <v>153981.01999999999</v>
      </c>
      <c r="G10708">
        <v>0</v>
      </c>
      <c r="H10708">
        <v>0</v>
      </c>
      <c r="I10708">
        <v>-69.44</v>
      </c>
      <c r="J10708">
        <v>0</v>
      </c>
      <c r="K10708">
        <v>0</v>
      </c>
      <c r="L10708">
        <v>35842305</v>
      </c>
      <c r="M10708">
        <v>36252471</v>
      </c>
      <c r="N10708">
        <v>35842305</v>
      </c>
      <c r="O10708">
        <v>36252471</v>
      </c>
      <c r="P10708">
        <v>33333334</v>
      </c>
      <c r="Q10708">
        <v>33333334</v>
      </c>
      <c r="R10708" s="14">
        <f>_xlfn.XLOOKUP(Table2[[#This Row],[LoanID]],Table1[G-L ID],Table1[ManagerCode],-99)</f>
        <v>103</v>
      </c>
      <c r="T10708"/>
    </row>
    <row r="10709" spans="1:20" x14ac:dyDescent="0.25">
      <c r="A10709">
        <v>20200430</v>
      </c>
      <c r="B10709">
        <v>2020</v>
      </c>
      <c r="C10709">
        <v>4</v>
      </c>
      <c r="D10709">
        <v>1</v>
      </c>
      <c r="E10709">
        <v>10220</v>
      </c>
      <c r="F10709">
        <v>559722.22</v>
      </c>
      <c r="G10709">
        <v>0</v>
      </c>
      <c r="H10709">
        <v>0</v>
      </c>
      <c r="I10709">
        <v>0</v>
      </c>
      <c r="J10709">
        <v>0</v>
      </c>
      <c r="K10709">
        <v>0</v>
      </c>
      <c r="L10709">
        <v>106354648</v>
      </c>
      <c r="M10709">
        <v>106725619</v>
      </c>
      <c r="N10709">
        <v>106354648</v>
      </c>
      <c r="O10709">
        <v>106725619</v>
      </c>
      <c r="P10709">
        <v>100000000</v>
      </c>
      <c r="Q10709">
        <v>100000000</v>
      </c>
      <c r="R10709" s="14">
        <f>_xlfn.XLOOKUP(Table2[[#This Row],[LoanID]],Table1[G-L ID],Table1[ManagerCode],-99)</f>
        <v>103</v>
      </c>
      <c r="T10709"/>
    </row>
    <row r="10710" spans="1:20" x14ac:dyDescent="0.25">
      <c r="A10710">
        <v>20200430</v>
      </c>
      <c r="B10710">
        <v>2020</v>
      </c>
      <c r="C10710">
        <v>4</v>
      </c>
      <c r="D10710">
        <v>1</v>
      </c>
      <c r="E10710">
        <v>11680</v>
      </c>
      <c r="F10710">
        <v>0</v>
      </c>
      <c r="G10710">
        <v>50325.78</v>
      </c>
      <c r="H10710">
        <v>0</v>
      </c>
      <c r="I10710">
        <v>0</v>
      </c>
      <c r="J10710">
        <v>0</v>
      </c>
      <c r="K10710">
        <v>0</v>
      </c>
      <c r="L10710">
        <v>6600000</v>
      </c>
      <c r="M10710">
        <v>6650325.7800000003</v>
      </c>
      <c r="N10710">
        <v>6600000</v>
      </c>
      <c r="O10710">
        <v>6650325.7800000003</v>
      </c>
      <c r="P10710">
        <v>6600000</v>
      </c>
      <c r="Q10710">
        <v>6650325.7800000003</v>
      </c>
      <c r="R10710" s="14">
        <f>_xlfn.XLOOKUP(Table2[[#This Row],[LoanID]],Table1[G-L ID],Table1[ManagerCode],-99)</f>
        <v>183</v>
      </c>
      <c r="T10710"/>
    </row>
    <row r="10711" spans="1:20" x14ac:dyDescent="0.25">
      <c r="A10711">
        <v>20200430</v>
      </c>
      <c r="B10711">
        <v>2020</v>
      </c>
      <c r="C10711">
        <v>4</v>
      </c>
      <c r="D10711">
        <v>1</v>
      </c>
      <c r="E10711">
        <v>12340</v>
      </c>
      <c r="F10711">
        <v>69424.210000000006</v>
      </c>
      <c r="G10711">
        <v>0</v>
      </c>
      <c r="H10711">
        <v>0</v>
      </c>
      <c r="I10711">
        <v>0</v>
      </c>
      <c r="J10711">
        <v>0</v>
      </c>
      <c r="K10711">
        <v>0</v>
      </c>
      <c r="L10711">
        <v>24180000</v>
      </c>
      <c r="M10711">
        <v>24180000</v>
      </c>
      <c r="N10711">
        <v>12180000</v>
      </c>
      <c r="O10711">
        <v>12180000</v>
      </c>
      <c r="P10711">
        <v>24180000</v>
      </c>
      <c r="Q10711">
        <v>24180000</v>
      </c>
      <c r="R10711" s="14">
        <f>_xlfn.XLOOKUP(Table2[[#This Row],[LoanID]],Table1[G-L ID],Table1[ManagerCode],-99)</f>
        <v>183</v>
      </c>
      <c r="T10711"/>
    </row>
    <row r="10712" spans="1:20" x14ac:dyDescent="0.25">
      <c r="A10712">
        <v>20200430</v>
      </c>
      <c r="B10712">
        <v>2020</v>
      </c>
      <c r="C10712">
        <v>4</v>
      </c>
      <c r="D10712">
        <v>1</v>
      </c>
      <c r="E10712">
        <v>12350</v>
      </c>
      <c r="F10712">
        <v>302765.28000000003</v>
      </c>
      <c r="G10712">
        <v>0</v>
      </c>
      <c r="H10712">
        <v>0</v>
      </c>
      <c r="I10712">
        <v>0</v>
      </c>
      <c r="J10712">
        <v>0</v>
      </c>
      <c r="K10712">
        <v>0</v>
      </c>
      <c r="L10712">
        <v>78700000</v>
      </c>
      <c r="M10712">
        <v>78700000</v>
      </c>
      <c r="N10712">
        <v>40914236.340000004</v>
      </c>
      <c r="O10712">
        <v>40914236.340000004</v>
      </c>
      <c r="P10712">
        <v>78700000</v>
      </c>
      <c r="Q10712">
        <v>78700000</v>
      </c>
      <c r="R10712" s="14">
        <f>_xlfn.XLOOKUP(Table2[[#This Row],[LoanID]],Table1[G-L ID],Table1[ManagerCode],-99)</f>
        <v>183</v>
      </c>
      <c r="T10712"/>
    </row>
    <row r="10713" spans="1:20" x14ac:dyDescent="0.25">
      <c r="A10713">
        <v>20200430</v>
      </c>
      <c r="B10713">
        <v>2020</v>
      </c>
      <c r="C10713">
        <v>4</v>
      </c>
      <c r="D10713">
        <v>1</v>
      </c>
      <c r="E10713">
        <v>12370</v>
      </c>
      <c r="F10713">
        <v>298649.18</v>
      </c>
      <c r="G10713">
        <v>0</v>
      </c>
      <c r="H10713">
        <v>0</v>
      </c>
      <c r="I10713">
        <v>0</v>
      </c>
      <c r="J10713">
        <v>0</v>
      </c>
      <c r="K10713">
        <v>0</v>
      </c>
      <c r="L10713">
        <v>81600000</v>
      </c>
      <c r="M10713">
        <v>81600000</v>
      </c>
      <c r="N10713">
        <v>51303137.549999997</v>
      </c>
      <c r="O10713">
        <v>51303137.549999997</v>
      </c>
      <c r="P10713">
        <v>81600000</v>
      </c>
      <c r="Q10713">
        <v>81600000</v>
      </c>
      <c r="R10713" s="14">
        <f>_xlfn.XLOOKUP(Table2[[#This Row],[LoanID]],Table1[G-L ID],Table1[ManagerCode],-99)</f>
        <v>183</v>
      </c>
      <c r="T10713"/>
    </row>
    <row r="10714" spans="1:20" x14ac:dyDescent="0.25">
      <c r="A10714">
        <v>20200430</v>
      </c>
      <c r="B10714">
        <v>2020</v>
      </c>
      <c r="C10714">
        <v>4</v>
      </c>
      <c r="D10714">
        <v>1</v>
      </c>
      <c r="E10714">
        <v>12380</v>
      </c>
      <c r="F10714">
        <v>43580.88</v>
      </c>
      <c r="G10714">
        <v>0</v>
      </c>
      <c r="H10714">
        <v>0</v>
      </c>
      <c r="I10714">
        <v>0</v>
      </c>
      <c r="J10714">
        <v>0</v>
      </c>
      <c r="K10714">
        <v>12350000</v>
      </c>
      <c r="L10714">
        <v>32500000</v>
      </c>
      <c r="M10714">
        <v>0</v>
      </c>
      <c r="N10714">
        <v>12350000</v>
      </c>
      <c r="O10714">
        <v>0</v>
      </c>
      <c r="P10714">
        <v>32500000</v>
      </c>
      <c r="Q10714">
        <v>0</v>
      </c>
      <c r="R10714" s="14">
        <f>_xlfn.XLOOKUP(Table2[[#This Row],[LoanID]],Table1[G-L ID],Table1[ManagerCode],-99)</f>
        <v>183</v>
      </c>
      <c r="T10714"/>
    </row>
    <row r="10715" spans="1:20" x14ac:dyDescent="0.25">
      <c r="A10715">
        <v>20200430</v>
      </c>
      <c r="B10715">
        <v>2020</v>
      </c>
      <c r="C10715">
        <v>4</v>
      </c>
      <c r="D10715">
        <v>1</v>
      </c>
      <c r="E10715">
        <v>12390</v>
      </c>
      <c r="F10715">
        <v>1152109.32</v>
      </c>
      <c r="G10715">
        <v>643227.43000000005</v>
      </c>
      <c r="H10715">
        <v>0</v>
      </c>
      <c r="I10715">
        <v>0</v>
      </c>
      <c r="J10715">
        <v>-281565.3</v>
      </c>
      <c r="K10715">
        <v>0</v>
      </c>
      <c r="L10715">
        <v>170614377</v>
      </c>
      <c r="M10715">
        <v>171539169.69999999</v>
      </c>
      <c r="N10715">
        <v>170614377</v>
      </c>
      <c r="O10715">
        <v>171539169.69999999</v>
      </c>
      <c r="P10715">
        <v>170614377</v>
      </c>
      <c r="Q10715">
        <v>171539169.69999999</v>
      </c>
      <c r="R10715" s="14">
        <f>_xlfn.XLOOKUP(Table2[[#This Row],[LoanID]],Table1[G-L ID],Table1[ManagerCode],-99)</f>
        <v>183</v>
      </c>
      <c r="T10715"/>
    </row>
    <row r="10716" spans="1:20" x14ac:dyDescent="0.25">
      <c r="A10716">
        <v>20200430</v>
      </c>
      <c r="B10716">
        <v>2020</v>
      </c>
      <c r="C10716">
        <v>4</v>
      </c>
      <c r="D10716">
        <v>1</v>
      </c>
      <c r="E10716">
        <v>12400</v>
      </c>
      <c r="F10716">
        <v>229816.45</v>
      </c>
      <c r="G10716">
        <v>141478.14000000001</v>
      </c>
      <c r="H10716">
        <v>0</v>
      </c>
      <c r="I10716">
        <v>0</v>
      </c>
      <c r="J10716">
        <v>-542635.46</v>
      </c>
      <c r="K10716">
        <v>0</v>
      </c>
      <c r="L10716">
        <v>66012205.549999997</v>
      </c>
      <c r="M10716">
        <v>66696319.149999999</v>
      </c>
      <c r="N10716">
        <v>66012205.549999997</v>
      </c>
      <c r="O10716">
        <v>66696319.149999999</v>
      </c>
      <c r="P10716">
        <v>66012205.549999997</v>
      </c>
      <c r="Q10716">
        <v>66696319.149999999</v>
      </c>
      <c r="R10716" s="14">
        <f>_xlfn.XLOOKUP(Table2[[#This Row],[LoanID]],Table1[G-L ID],Table1[ManagerCode],-99)</f>
        <v>183</v>
      </c>
      <c r="T10716"/>
    </row>
    <row r="10717" spans="1:20" x14ac:dyDescent="0.25">
      <c r="A10717">
        <v>20200430</v>
      </c>
      <c r="B10717">
        <v>2020</v>
      </c>
      <c r="C10717">
        <v>4</v>
      </c>
      <c r="D10717">
        <v>1</v>
      </c>
      <c r="E10717">
        <v>12410</v>
      </c>
      <c r="F10717">
        <v>250000</v>
      </c>
      <c r="G10717">
        <v>125000</v>
      </c>
      <c r="H10717">
        <v>0</v>
      </c>
      <c r="I10717">
        <v>0</v>
      </c>
      <c r="J10717">
        <v>0</v>
      </c>
      <c r="K10717">
        <v>0</v>
      </c>
      <c r="L10717">
        <v>60598807.539999999</v>
      </c>
      <c r="M10717">
        <v>68939377.629999995</v>
      </c>
      <c r="N10717">
        <v>60598807.539999999</v>
      </c>
      <c r="O10717">
        <v>68939377.629999995</v>
      </c>
      <c r="P10717">
        <v>66879789.659999996</v>
      </c>
      <c r="Q10717">
        <v>67004789.659999996</v>
      </c>
      <c r="R10717" s="14">
        <f>_xlfn.XLOOKUP(Table2[[#This Row],[LoanID]],Table1[G-L ID],Table1[ManagerCode],-99)</f>
        <v>103</v>
      </c>
      <c r="T10717"/>
    </row>
    <row r="10718" spans="1:20" x14ac:dyDescent="0.25">
      <c r="A10718">
        <v>20200430</v>
      </c>
      <c r="B10718">
        <v>2020</v>
      </c>
      <c r="C10718">
        <v>4</v>
      </c>
      <c r="D10718">
        <v>1</v>
      </c>
      <c r="E10718">
        <v>12430</v>
      </c>
      <c r="F10718">
        <v>95013.63</v>
      </c>
      <c r="G10718">
        <v>426142.43</v>
      </c>
      <c r="H10718">
        <v>0</v>
      </c>
      <c r="I10718">
        <v>-250</v>
      </c>
      <c r="J10718">
        <v>-95013.63</v>
      </c>
      <c r="K10718">
        <v>0</v>
      </c>
      <c r="L10718">
        <v>26955459</v>
      </c>
      <c r="M10718">
        <v>27504175</v>
      </c>
      <c r="N10718">
        <v>26955459</v>
      </c>
      <c r="O10718">
        <v>27504175</v>
      </c>
      <c r="P10718">
        <v>28642199.559999999</v>
      </c>
      <c r="Q10718">
        <v>29163355.620000001</v>
      </c>
      <c r="R10718" s="14">
        <f>_xlfn.XLOOKUP(Table2[[#This Row],[LoanID]],Table1[G-L ID],Table1[ManagerCode],-99)</f>
        <v>103</v>
      </c>
      <c r="T10718"/>
    </row>
    <row r="10719" spans="1:20" x14ac:dyDescent="0.25">
      <c r="A10719">
        <v>20200430</v>
      </c>
      <c r="B10719">
        <v>2020</v>
      </c>
      <c r="C10719">
        <v>4</v>
      </c>
      <c r="D10719">
        <v>1</v>
      </c>
      <c r="E10719">
        <v>12440</v>
      </c>
      <c r="F10719">
        <v>22548.06</v>
      </c>
      <c r="G10719">
        <v>0</v>
      </c>
      <c r="H10719">
        <v>0</v>
      </c>
      <c r="I10719">
        <v>-125</v>
      </c>
      <c r="J10719">
        <v>0</v>
      </c>
      <c r="K10719">
        <v>60818.21</v>
      </c>
      <c r="L10719">
        <v>2943050</v>
      </c>
      <c r="M10719">
        <v>2891570</v>
      </c>
      <c r="N10719">
        <v>2943050</v>
      </c>
      <c r="O10719">
        <v>2891570</v>
      </c>
      <c r="P10719">
        <v>2705766.97</v>
      </c>
      <c r="Q10719">
        <v>2644948.7599999998</v>
      </c>
      <c r="R10719" s="14">
        <f>_xlfn.XLOOKUP(Table2[[#This Row],[LoanID]],Table1[G-L ID],Table1[ManagerCode],-99)</f>
        <v>103</v>
      </c>
      <c r="T10719"/>
    </row>
    <row r="10720" spans="1:20" x14ac:dyDescent="0.25">
      <c r="A10720">
        <v>20200430</v>
      </c>
      <c r="B10720">
        <v>2020</v>
      </c>
      <c r="C10720">
        <v>4</v>
      </c>
      <c r="D10720">
        <v>1</v>
      </c>
      <c r="E10720">
        <v>12460</v>
      </c>
      <c r="F10720">
        <v>48699.63</v>
      </c>
      <c r="G10720">
        <v>48943.13</v>
      </c>
      <c r="H10720">
        <v>0</v>
      </c>
      <c r="I10720">
        <v>0</v>
      </c>
      <c r="J10720">
        <v>0</v>
      </c>
      <c r="K10720">
        <v>0</v>
      </c>
      <c r="L10720">
        <v>9788625.75</v>
      </c>
      <c r="M10720">
        <v>9837568.8800000008</v>
      </c>
      <c r="N10720">
        <v>9788625.75</v>
      </c>
      <c r="O10720">
        <v>9837568.8800000008</v>
      </c>
      <c r="P10720">
        <v>9788625.75</v>
      </c>
      <c r="Q10720">
        <v>9837568.8800000008</v>
      </c>
      <c r="R10720" s="14">
        <f>_xlfn.XLOOKUP(Table2[[#This Row],[LoanID]],Table1[G-L ID],Table1[ManagerCode],-99)</f>
        <v>183</v>
      </c>
      <c r="T10720"/>
    </row>
    <row r="10721" spans="1:20" x14ac:dyDescent="0.25">
      <c r="A10721">
        <v>20200430</v>
      </c>
      <c r="B10721">
        <v>2020</v>
      </c>
      <c r="C10721">
        <v>4</v>
      </c>
      <c r="D10721">
        <v>1</v>
      </c>
      <c r="E10721">
        <v>12470</v>
      </c>
      <c r="F10721">
        <v>301951.67</v>
      </c>
      <c r="G10721">
        <v>0</v>
      </c>
      <c r="H10721">
        <v>0</v>
      </c>
      <c r="I10721">
        <v>0</v>
      </c>
      <c r="J10721">
        <v>0</v>
      </c>
      <c r="K10721">
        <v>0</v>
      </c>
      <c r="L10721">
        <v>114578356</v>
      </c>
      <c r="M10721">
        <v>112213002</v>
      </c>
      <c r="N10721">
        <v>45578356</v>
      </c>
      <c r="O10721">
        <v>43213002</v>
      </c>
      <c r="P10721">
        <v>115000000</v>
      </c>
      <c r="Q10721">
        <v>115000000</v>
      </c>
      <c r="R10721" s="14">
        <f>_xlfn.XLOOKUP(Table2[[#This Row],[LoanID]],Table1[G-L ID],Table1[ManagerCode],-99)</f>
        <v>183</v>
      </c>
      <c r="T10721"/>
    </row>
    <row r="10722" spans="1:20" x14ac:dyDescent="0.25">
      <c r="A10722">
        <v>20200430</v>
      </c>
      <c r="B10722">
        <v>2020</v>
      </c>
      <c r="C10722">
        <v>4</v>
      </c>
      <c r="D10722">
        <v>1</v>
      </c>
      <c r="E10722">
        <v>12490</v>
      </c>
      <c r="F10722">
        <v>121547.79</v>
      </c>
      <c r="G10722">
        <v>0</v>
      </c>
      <c r="H10722">
        <v>0</v>
      </c>
      <c r="I10722">
        <v>0</v>
      </c>
      <c r="J10722">
        <v>0</v>
      </c>
      <c r="K10722">
        <v>0</v>
      </c>
      <c r="L10722">
        <v>50200000</v>
      </c>
      <c r="M10722">
        <v>50200000</v>
      </c>
      <c r="N10722">
        <v>19600000</v>
      </c>
      <c r="O10722">
        <v>19600000</v>
      </c>
      <c r="P10722">
        <v>50200000</v>
      </c>
      <c r="Q10722">
        <v>50200000</v>
      </c>
      <c r="R10722" s="14">
        <f>_xlfn.XLOOKUP(Table2[[#This Row],[LoanID]],Table1[G-L ID],Table1[ManagerCode],-99)</f>
        <v>183</v>
      </c>
      <c r="T10722"/>
    </row>
    <row r="10723" spans="1:20" x14ac:dyDescent="0.25">
      <c r="A10723">
        <v>20200430</v>
      </c>
      <c r="B10723">
        <v>2020</v>
      </c>
      <c r="C10723">
        <v>4</v>
      </c>
      <c r="D10723">
        <v>1</v>
      </c>
      <c r="E10723">
        <v>12520</v>
      </c>
      <c r="F10723">
        <v>190995.07</v>
      </c>
      <c r="G10723">
        <v>0</v>
      </c>
      <c r="H10723">
        <v>0</v>
      </c>
      <c r="I10723">
        <v>0</v>
      </c>
      <c r="J10723">
        <v>-528983.73</v>
      </c>
      <c r="K10723">
        <v>0</v>
      </c>
      <c r="L10723">
        <v>48569301.140000001</v>
      </c>
      <c r="M10723">
        <v>49449376.439999998</v>
      </c>
      <c r="N10723">
        <v>23819301.140000001</v>
      </c>
      <c r="O10723">
        <v>24699376.440000001</v>
      </c>
      <c r="P10723">
        <v>48569301.140000001</v>
      </c>
      <c r="Q10723">
        <v>49098284.869999997</v>
      </c>
      <c r="R10723" s="14">
        <f>_xlfn.XLOOKUP(Table2[[#This Row],[LoanID]],Table1[G-L ID],Table1[ManagerCode],-99)</f>
        <v>183</v>
      </c>
      <c r="T10723"/>
    </row>
    <row r="10724" spans="1:20" x14ac:dyDescent="0.25">
      <c r="A10724">
        <v>20200430</v>
      </c>
      <c r="B10724">
        <v>2020</v>
      </c>
      <c r="C10724">
        <v>4</v>
      </c>
      <c r="D10724">
        <v>1</v>
      </c>
      <c r="E10724">
        <v>12650</v>
      </c>
      <c r="F10724">
        <v>330365.93</v>
      </c>
      <c r="G10724">
        <v>0</v>
      </c>
      <c r="H10724">
        <v>0</v>
      </c>
      <c r="I10724">
        <v>0</v>
      </c>
      <c r="J10724">
        <v>0</v>
      </c>
      <c r="K10724">
        <v>0</v>
      </c>
      <c r="L10724">
        <v>123200000</v>
      </c>
      <c r="M10724">
        <v>123193646.09999999</v>
      </c>
      <c r="N10724">
        <v>49280000</v>
      </c>
      <c r="O10724">
        <v>49273646.100000001</v>
      </c>
      <c r="P10724">
        <v>123200000</v>
      </c>
      <c r="Q10724">
        <v>123200000</v>
      </c>
      <c r="R10724" s="14">
        <f>_xlfn.XLOOKUP(Table2[[#This Row],[LoanID]],Table1[G-L ID],Table1[ManagerCode],-99)</f>
        <v>183</v>
      </c>
      <c r="T10724"/>
    </row>
    <row r="10725" spans="1:20" x14ac:dyDescent="0.25">
      <c r="A10725">
        <v>20200430</v>
      </c>
      <c r="B10725">
        <v>2020</v>
      </c>
      <c r="C10725">
        <v>4</v>
      </c>
      <c r="D10725">
        <v>1</v>
      </c>
      <c r="E10725">
        <v>12670</v>
      </c>
      <c r="F10725">
        <v>78714.17</v>
      </c>
      <c r="G10725">
        <v>0</v>
      </c>
      <c r="H10725">
        <v>0</v>
      </c>
      <c r="I10725">
        <v>0</v>
      </c>
      <c r="J10725">
        <v>0</v>
      </c>
      <c r="K10725">
        <v>0</v>
      </c>
      <c r="L10725">
        <v>15494098</v>
      </c>
      <c r="M10725">
        <v>15560412.1</v>
      </c>
      <c r="N10725">
        <v>15494098</v>
      </c>
      <c r="O10725">
        <v>15560412.1</v>
      </c>
      <c r="P10725">
        <v>15500000</v>
      </c>
      <c r="Q10725">
        <v>15500000</v>
      </c>
      <c r="R10725" s="14">
        <f>_xlfn.XLOOKUP(Table2[[#This Row],[LoanID]],Table1[G-L ID],Table1[ManagerCode],-99)</f>
        <v>183</v>
      </c>
      <c r="T10725"/>
    </row>
    <row r="10726" spans="1:20" x14ac:dyDescent="0.25">
      <c r="A10726">
        <v>20200430</v>
      </c>
      <c r="B10726">
        <v>2020</v>
      </c>
      <c r="C10726">
        <v>4</v>
      </c>
      <c r="D10726">
        <v>1</v>
      </c>
      <c r="E10726">
        <v>12720</v>
      </c>
      <c r="F10726">
        <v>476946.13</v>
      </c>
      <c r="G10726">
        <v>0</v>
      </c>
      <c r="H10726">
        <v>0</v>
      </c>
      <c r="I10726">
        <v>0</v>
      </c>
      <c r="J10726">
        <v>-1515037.18</v>
      </c>
      <c r="K10726">
        <v>0</v>
      </c>
      <c r="L10726">
        <v>207188511.90000001</v>
      </c>
      <c r="M10726">
        <v>208944035</v>
      </c>
      <c r="N10726">
        <v>105307511.90000001</v>
      </c>
      <c r="O10726">
        <v>107063035</v>
      </c>
      <c r="P10726">
        <v>207428997.90000001</v>
      </c>
      <c r="Q10726">
        <v>208944035</v>
      </c>
      <c r="R10726" s="14">
        <f>_xlfn.XLOOKUP(Table2[[#This Row],[LoanID]],Table1[G-L ID],Table1[ManagerCode],-99)</f>
        <v>183</v>
      </c>
      <c r="T10726"/>
    </row>
    <row r="10727" spans="1:20" x14ac:dyDescent="0.25">
      <c r="A10727">
        <v>20200430</v>
      </c>
      <c r="B10727">
        <v>2020</v>
      </c>
      <c r="C10727">
        <v>4</v>
      </c>
      <c r="D10727">
        <v>1</v>
      </c>
      <c r="E10727">
        <v>12730</v>
      </c>
      <c r="F10727">
        <v>95156.37</v>
      </c>
      <c r="G10727">
        <v>0</v>
      </c>
      <c r="H10727">
        <v>0</v>
      </c>
      <c r="I10727">
        <v>0</v>
      </c>
      <c r="J10727">
        <v>0</v>
      </c>
      <c r="K10727">
        <v>0</v>
      </c>
      <c r="L10727">
        <v>38460000</v>
      </c>
      <c r="M10727">
        <v>38460000</v>
      </c>
      <c r="N10727">
        <v>13460000</v>
      </c>
      <c r="O10727">
        <v>13460000</v>
      </c>
      <c r="P10727">
        <v>38460000</v>
      </c>
      <c r="Q10727">
        <v>38460000</v>
      </c>
      <c r="R10727" s="14">
        <f>_xlfn.XLOOKUP(Table2[[#This Row],[LoanID]],Table1[G-L ID],Table1[ManagerCode],-99)</f>
        <v>183</v>
      </c>
      <c r="T10727"/>
    </row>
    <row r="10728" spans="1:20" x14ac:dyDescent="0.25">
      <c r="A10728">
        <v>20200430</v>
      </c>
      <c r="B10728">
        <v>2020</v>
      </c>
      <c r="C10728">
        <v>4</v>
      </c>
      <c r="D10728">
        <v>1</v>
      </c>
      <c r="E10728">
        <v>12740</v>
      </c>
      <c r="F10728">
        <v>170993.73</v>
      </c>
      <c r="G10728">
        <v>78391.17</v>
      </c>
      <c r="H10728">
        <v>0</v>
      </c>
      <c r="I10728">
        <v>0</v>
      </c>
      <c r="J10728">
        <v>-170993.73</v>
      </c>
      <c r="K10728">
        <v>0</v>
      </c>
      <c r="L10728">
        <v>34879081.799999997</v>
      </c>
      <c r="M10728">
        <v>35128466.700000003</v>
      </c>
      <c r="N10728">
        <v>34879081.799999997</v>
      </c>
      <c r="O10728">
        <v>35128466.700000003</v>
      </c>
      <c r="P10728">
        <v>34879081.799999997</v>
      </c>
      <c r="Q10728">
        <v>35128466.700000003</v>
      </c>
      <c r="R10728" s="14">
        <f>_xlfn.XLOOKUP(Table2[[#This Row],[LoanID]],Table1[G-L ID],Table1[ManagerCode],-99)</f>
        <v>183</v>
      </c>
      <c r="T10728"/>
    </row>
    <row r="10729" spans="1:20" x14ac:dyDescent="0.25">
      <c r="A10729">
        <v>20200430</v>
      </c>
      <c r="B10729">
        <v>2020</v>
      </c>
      <c r="C10729">
        <v>4</v>
      </c>
      <c r="D10729">
        <v>1</v>
      </c>
      <c r="E10729">
        <v>13000</v>
      </c>
      <c r="F10729">
        <v>170229.8</v>
      </c>
      <c r="G10729">
        <v>701841.47</v>
      </c>
      <c r="H10729">
        <v>0</v>
      </c>
      <c r="I10729">
        <v>-250</v>
      </c>
      <c r="J10729">
        <v>0</v>
      </c>
      <c r="K10729">
        <v>0</v>
      </c>
      <c r="L10729">
        <v>47213361</v>
      </c>
      <c r="M10729">
        <v>47899826</v>
      </c>
      <c r="N10729">
        <v>47213361</v>
      </c>
      <c r="O10729">
        <v>47899826</v>
      </c>
      <c r="P10729">
        <v>51068938.649999999</v>
      </c>
      <c r="Q10729">
        <v>51770780.119999997</v>
      </c>
      <c r="R10729" s="14">
        <f>_xlfn.XLOOKUP(Table2[[#This Row],[LoanID]],Table1[G-L ID],Table1[ManagerCode],-99)</f>
        <v>103</v>
      </c>
      <c r="T10729"/>
    </row>
    <row r="10730" spans="1:20" x14ac:dyDescent="0.25">
      <c r="A10730">
        <v>20200430</v>
      </c>
      <c r="B10730">
        <v>2020</v>
      </c>
      <c r="C10730">
        <v>4</v>
      </c>
      <c r="D10730">
        <v>1</v>
      </c>
      <c r="E10730">
        <v>13010</v>
      </c>
      <c r="F10730">
        <v>1050000</v>
      </c>
      <c r="G10730">
        <v>350000</v>
      </c>
      <c r="H10730">
        <v>0</v>
      </c>
      <c r="I10730">
        <v>0</v>
      </c>
      <c r="J10730">
        <v>0</v>
      </c>
      <c r="K10730">
        <v>0</v>
      </c>
      <c r="L10730">
        <v>198229500</v>
      </c>
      <c r="M10730">
        <v>197512209.09999999</v>
      </c>
      <c r="N10730">
        <v>198229500</v>
      </c>
      <c r="O10730">
        <v>197512209.09999999</v>
      </c>
      <c r="P10730">
        <v>213150000</v>
      </c>
      <c r="Q10730">
        <v>213500000</v>
      </c>
      <c r="R10730" s="14">
        <f>_xlfn.XLOOKUP(Table2[[#This Row],[LoanID]],Table1[G-L ID],Table1[ManagerCode],-99)</f>
        <v>103</v>
      </c>
      <c r="T10730"/>
    </row>
    <row r="10731" spans="1:20" x14ac:dyDescent="0.25">
      <c r="A10731">
        <v>20200430</v>
      </c>
      <c r="B10731">
        <v>2020</v>
      </c>
      <c r="C10731">
        <v>4</v>
      </c>
      <c r="D10731">
        <v>1</v>
      </c>
      <c r="E10731">
        <v>13030</v>
      </c>
      <c r="F10731">
        <v>343722.34</v>
      </c>
      <c r="G10731">
        <v>0</v>
      </c>
      <c r="H10731">
        <v>0</v>
      </c>
      <c r="I10731">
        <v>0</v>
      </c>
      <c r="J10731">
        <v>0</v>
      </c>
      <c r="K10731">
        <v>0</v>
      </c>
      <c r="L10731">
        <v>116593371.3</v>
      </c>
      <c r="M10731">
        <v>116593371.3</v>
      </c>
      <c r="N10731">
        <v>53869947.299999997</v>
      </c>
      <c r="O10731">
        <v>53869947.299999997</v>
      </c>
      <c r="P10731">
        <v>116660670.3</v>
      </c>
      <c r="Q10731">
        <v>116660670.3</v>
      </c>
      <c r="R10731" s="14">
        <f>_xlfn.XLOOKUP(Table2[[#This Row],[LoanID]],Table1[G-L ID],Table1[ManagerCode],-99)</f>
        <v>183</v>
      </c>
      <c r="T10731"/>
    </row>
    <row r="10732" spans="1:20" x14ac:dyDescent="0.25">
      <c r="A10732">
        <v>20200430</v>
      </c>
      <c r="B10732">
        <v>2020</v>
      </c>
      <c r="C10732">
        <v>4</v>
      </c>
      <c r="D10732">
        <v>1</v>
      </c>
      <c r="E10732">
        <v>13040</v>
      </c>
      <c r="F10732">
        <v>101922.67</v>
      </c>
      <c r="G10732">
        <v>0</v>
      </c>
      <c r="H10732">
        <v>0</v>
      </c>
      <c r="I10732">
        <v>0</v>
      </c>
      <c r="J10732">
        <v>0</v>
      </c>
      <c r="K10732">
        <v>0</v>
      </c>
      <c r="L10732">
        <v>36736111.100000001</v>
      </c>
      <c r="M10732">
        <v>36736111.100000001</v>
      </c>
      <c r="N10732">
        <v>16563724.1</v>
      </c>
      <c r="O10732">
        <v>16563724.1</v>
      </c>
      <c r="P10732">
        <v>36736111.100000001</v>
      </c>
      <c r="Q10732">
        <v>36736111.100000001</v>
      </c>
      <c r="R10732" s="14">
        <f>_xlfn.XLOOKUP(Table2[[#This Row],[LoanID]],Table1[G-L ID],Table1[ManagerCode],-99)</f>
        <v>183</v>
      </c>
      <c r="T10732"/>
    </row>
    <row r="10733" spans="1:20" x14ac:dyDescent="0.25">
      <c r="A10733">
        <v>20200430</v>
      </c>
      <c r="B10733">
        <v>2020</v>
      </c>
      <c r="C10733">
        <v>4</v>
      </c>
      <c r="D10733">
        <v>1</v>
      </c>
      <c r="E10733">
        <v>13050</v>
      </c>
      <c r="F10733">
        <v>60745.99</v>
      </c>
      <c r="G10733">
        <v>0</v>
      </c>
      <c r="H10733">
        <v>0</v>
      </c>
      <c r="I10733">
        <v>0</v>
      </c>
      <c r="J10733">
        <v>0</v>
      </c>
      <c r="K10733">
        <v>0</v>
      </c>
      <c r="L10733">
        <v>42477092</v>
      </c>
      <c r="M10733">
        <v>42477092</v>
      </c>
      <c r="N10733">
        <v>14803516</v>
      </c>
      <c r="O10733">
        <v>14803516</v>
      </c>
      <c r="P10733">
        <v>42575000</v>
      </c>
      <c r="Q10733">
        <v>42575000</v>
      </c>
      <c r="R10733" s="14">
        <f>_xlfn.XLOOKUP(Table2[[#This Row],[LoanID]],Table1[G-L ID],Table1[ManagerCode],-99)</f>
        <v>183</v>
      </c>
      <c r="T10733"/>
    </row>
    <row r="10734" spans="1:20" x14ac:dyDescent="0.25">
      <c r="A10734">
        <v>20200430</v>
      </c>
      <c r="B10734">
        <v>2020</v>
      </c>
      <c r="C10734">
        <v>4</v>
      </c>
      <c r="D10734">
        <v>1</v>
      </c>
      <c r="E10734">
        <v>13060</v>
      </c>
      <c r="F10734">
        <v>97033.34</v>
      </c>
      <c r="G10734">
        <v>0</v>
      </c>
      <c r="H10734">
        <v>0</v>
      </c>
      <c r="I10734">
        <v>0</v>
      </c>
      <c r="J10734">
        <v>-1636937.38</v>
      </c>
      <c r="K10734">
        <v>0</v>
      </c>
      <c r="L10734">
        <v>48273471.539999999</v>
      </c>
      <c r="M10734">
        <v>49057435.729999997</v>
      </c>
      <c r="N10734">
        <v>22024615.379999999</v>
      </c>
      <c r="O10734">
        <v>22808579.57</v>
      </c>
      <c r="P10734">
        <v>48393467.539999999</v>
      </c>
      <c r="Q10734">
        <v>50030404.920000002</v>
      </c>
      <c r="R10734" s="14">
        <f>_xlfn.XLOOKUP(Table2[[#This Row],[LoanID]],Table1[G-L ID],Table1[ManagerCode],-99)</f>
        <v>183</v>
      </c>
      <c r="T10734"/>
    </row>
    <row r="10735" spans="1:20" x14ac:dyDescent="0.25">
      <c r="A10735">
        <v>20200430</v>
      </c>
      <c r="B10735">
        <v>2020</v>
      </c>
      <c r="C10735">
        <v>4</v>
      </c>
      <c r="D10735">
        <v>1</v>
      </c>
      <c r="E10735">
        <v>13070</v>
      </c>
      <c r="F10735">
        <v>412036.2</v>
      </c>
      <c r="G10735">
        <v>0</v>
      </c>
      <c r="H10735">
        <v>0</v>
      </c>
      <c r="I10735">
        <v>0</v>
      </c>
      <c r="J10735">
        <v>-1017680</v>
      </c>
      <c r="K10735">
        <v>0</v>
      </c>
      <c r="L10735">
        <v>98587145</v>
      </c>
      <c r="M10735">
        <v>99604825</v>
      </c>
      <c r="N10735">
        <v>58587145</v>
      </c>
      <c r="O10735">
        <v>59604825</v>
      </c>
      <c r="P10735">
        <v>98587145</v>
      </c>
      <c r="Q10735">
        <v>99604825</v>
      </c>
      <c r="R10735" s="14">
        <f>_xlfn.XLOOKUP(Table2[[#This Row],[LoanID]],Table1[G-L ID],Table1[ManagerCode],-99)</f>
        <v>183</v>
      </c>
      <c r="T10735"/>
    </row>
    <row r="10736" spans="1:20" x14ac:dyDescent="0.25">
      <c r="A10736">
        <v>20200430</v>
      </c>
      <c r="B10736">
        <v>2020</v>
      </c>
      <c r="C10736">
        <v>4</v>
      </c>
      <c r="D10736">
        <v>1</v>
      </c>
      <c r="E10736">
        <v>13080</v>
      </c>
      <c r="F10736">
        <v>125320.99</v>
      </c>
      <c r="G10736">
        <v>0</v>
      </c>
      <c r="H10736">
        <v>0</v>
      </c>
      <c r="I10736">
        <v>0</v>
      </c>
      <c r="J10736">
        <v>0</v>
      </c>
      <c r="K10736">
        <v>0</v>
      </c>
      <c r="L10736">
        <v>43000000</v>
      </c>
      <c r="M10736">
        <v>43000000</v>
      </c>
      <c r="N10736">
        <v>21500000</v>
      </c>
      <c r="O10736">
        <v>21500000</v>
      </c>
      <c r="P10736">
        <v>43000000</v>
      </c>
      <c r="Q10736">
        <v>43000000</v>
      </c>
      <c r="R10736" s="14">
        <f>_xlfn.XLOOKUP(Table2[[#This Row],[LoanID]],Table1[G-L ID],Table1[ManagerCode],-99)</f>
        <v>183</v>
      </c>
      <c r="T10736"/>
    </row>
    <row r="10737" spans="1:20" x14ac:dyDescent="0.25">
      <c r="A10737">
        <v>20200430</v>
      </c>
      <c r="B10737">
        <v>2020</v>
      </c>
      <c r="C10737">
        <v>4</v>
      </c>
      <c r="D10737">
        <v>1</v>
      </c>
      <c r="E10737">
        <v>13090</v>
      </c>
      <c r="F10737">
        <v>84183.33</v>
      </c>
      <c r="G10737">
        <v>0</v>
      </c>
      <c r="H10737">
        <v>0</v>
      </c>
      <c r="I10737">
        <v>0</v>
      </c>
      <c r="J10737">
        <v>0</v>
      </c>
      <c r="K10737">
        <v>0</v>
      </c>
      <c r="L10737">
        <v>20000000</v>
      </c>
      <c r="M10737">
        <v>20000000</v>
      </c>
      <c r="N10737">
        <v>20000000</v>
      </c>
      <c r="O10737">
        <v>20000000</v>
      </c>
      <c r="P10737">
        <v>20000000</v>
      </c>
      <c r="Q10737">
        <v>20000000</v>
      </c>
      <c r="R10737" s="14">
        <f>_xlfn.XLOOKUP(Table2[[#This Row],[LoanID]],Table1[G-L ID],Table1[ManagerCode],-99)</f>
        <v>183</v>
      </c>
      <c r="T10737"/>
    </row>
    <row r="10738" spans="1:20" x14ac:dyDescent="0.25">
      <c r="A10738">
        <v>20200430</v>
      </c>
      <c r="B10738">
        <v>2020</v>
      </c>
      <c r="C10738">
        <v>4</v>
      </c>
      <c r="D10738">
        <v>1</v>
      </c>
      <c r="E10738">
        <v>13100</v>
      </c>
      <c r="F10738">
        <v>42680.63</v>
      </c>
      <c r="G10738">
        <v>0</v>
      </c>
      <c r="H10738">
        <v>0</v>
      </c>
      <c r="I10738">
        <v>0</v>
      </c>
      <c r="J10738">
        <v>-205564.58</v>
      </c>
      <c r="K10738">
        <v>205564.58</v>
      </c>
      <c r="L10738">
        <v>25712445.329999998</v>
      </c>
      <c r="M10738">
        <v>25918009.91</v>
      </c>
      <c r="N10738">
        <v>8632419.2699999996</v>
      </c>
      <c r="O10738">
        <v>8632419.2699999996</v>
      </c>
      <c r="P10738">
        <v>25712445.329999998</v>
      </c>
      <c r="Q10738">
        <v>25918009.91</v>
      </c>
      <c r="R10738" s="14">
        <f>_xlfn.XLOOKUP(Table2[[#This Row],[LoanID]],Table1[G-L ID],Table1[ManagerCode],-99)</f>
        <v>183</v>
      </c>
      <c r="T10738"/>
    </row>
    <row r="10739" spans="1:20" x14ac:dyDescent="0.25">
      <c r="A10739">
        <v>20200430</v>
      </c>
      <c r="B10739">
        <v>2020</v>
      </c>
      <c r="C10739">
        <v>4</v>
      </c>
      <c r="D10739">
        <v>1</v>
      </c>
      <c r="E10739">
        <v>13110</v>
      </c>
      <c r="F10739">
        <v>79004.7</v>
      </c>
      <c r="G10739">
        <v>0</v>
      </c>
      <c r="H10739">
        <v>0</v>
      </c>
      <c r="I10739">
        <v>0</v>
      </c>
      <c r="J10739">
        <v>-78328.149999999994</v>
      </c>
      <c r="K10739">
        <v>0</v>
      </c>
      <c r="L10739">
        <v>45822581.119999997</v>
      </c>
      <c r="M10739">
        <v>45900909.270000003</v>
      </c>
      <c r="N10739">
        <v>18177057.460000001</v>
      </c>
      <c r="O10739">
        <v>18255385.609999999</v>
      </c>
      <c r="P10739">
        <v>46292870.240000002</v>
      </c>
      <c r="Q10739">
        <v>46371198.390000001</v>
      </c>
      <c r="R10739" s="14">
        <f>_xlfn.XLOOKUP(Table2[[#This Row],[LoanID]],Table1[G-L ID],Table1[ManagerCode],-99)</f>
        <v>183</v>
      </c>
      <c r="T10739"/>
    </row>
    <row r="10740" spans="1:20" x14ac:dyDescent="0.25">
      <c r="A10740">
        <v>20200430</v>
      </c>
      <c r="B10740">
        <v>2020</v>
      </c>
      <c r="C10740">
        <v>4</v>
      </c>
      <c r="D10740">
        <v>1</v>
      </c>
      <c r="E10740">
        <v>13120</v>
      </c>
      <c r="F10740">
        <v>73929.759999999995</v>
      </c>
      <c r="G10740">
        <v>0</v>
      </c>
      <c r="H10740">
        <v>0</v>
      </c>
      <c r="I10740">
        <v>0</v>
      </c>
      <c r="J10740">
        <v>0</v>
      </c>
      <c r="K10740">
        <v>0</v>
      </c>
      <c r="L10740">
        <v>27360000</v>
      </c>
      <c r="M10740">
        <v>27360000</v>
      </c>
      <c r="N10740">
        <v>9576000</v>
      </c>
      <c r="O10740">
        <v>9576000</v>
      </c>
      <c r="P10740">
        <v>27360000</v>
      </c>
      <c r="Q10740">
        <v>27360000</v>
      </c>
      <c r="R10740" s="14">
        <f>_xlfn.XLOOKUP(Table2[[#This Row],[LoanID]],Table1[G-L ID],Table1[ManagerCode],-99)</f>
        <v>183</v>
      </c>
      <c r="T10740"/>
    </row>
    <row r="10741" spans="1:20" x14ac:dyDescent="0.25">
      <c r="A10741">
        <v>20200430</v>
      </c>
      <c r="B10741">
        <v>2020</v>
      </c>
      <c r="C10741">
        <v>4</v>
      </c>
      <c r="D10741">
        <v>1</v>
      </c>
      <c r="E10741">
        <v>13130</v>
      </c>
      <c r="F10741">
        <v>344914.64</v>
      </c>
      <c r="G10741">
        <v>0</v>
      </c>
      <c r="H10741">
        <v>0</v>
      </c>
      <c r="I10741">
        <v>0</v>
      </c>
      <c r="J10741">
        <v>-4667877.93</v>
      </c>
      <c r="K10741">
        <v>12330837</v>
      </c>
      <c r="L10741">
        <v>197958502.09999999</v>
      </c>
      <c r="M10741">
        <v>202626380</v>
      </c>
      <c r="N10741">
        <v>97958502.099999994</v>
      </c>
      <c r="O10741">
        <v>90295543</v>
      </c>
      <c r="P10741">
        <v>205704520.59999999</v>
      </c>
      <c r="Q10741">
        <v>210372398.5</v>
      </c>
      <c r="R10741" s="14">
        <f>_xlfn.XLOOKUP(Table2[[#This Row],[LoanID]],Table1[G-L ID],Table1[ManagerCode],-99)</f>
        <v>183</v>
      </c>
      <c r="T10741"/>
    </row>
    <row r="10742" spans="1:20" x14ac:dyDescent="0.25">
      <c r="A10742">
        <v>20200430</v>
      </c>
      <c r="B10742">
        <v>2020</v>
      </c>
      <c r="C10742">
        <v>4</v>
      </c>
      <c r="D10742">
        <v>1</v>
      </c>
      <c r="E10742">
        <v>13150</v>
      </c>
      <c r="F10742">
        <v>148930.60999999999</v>
      </c>
      <c r="G10742">
        <v>0</v>
      </c>
      <c r="H10742">
        <v>0</v>
      </c>
      <c r="I10742">
        <v>0</v>
      </c>
      <c r="J10742">
        <v>-788263.48</v>
      </c>
      <c r="K10742">
        <v>0</v>
      </c>
      <c r="L10742">
        <v>88485295.069999993</v>
      </c>
      <c r="M10742">
        <v>88090893.859999999</v>
      </c>
      <c r="N10742">
        <v>32681102.109999999</v>
      </c>
      <c r="O10742">
        <v>32286700.899999999</v>
      </c>
      <c r="P10742">
        <v>88618822.069999993</v>
      </c>
      <c r="Q10742">
        <v>89407085.549999997</v>
      </c>
      <c r="R10742" s="14">
        <f>_xlfn.XLOOKUP(Table2[[#This Row],[LoanID]],Table1[G-L ID],Table1[ManagerCode],-99)</f>
        <v>183</v>
      </c>
      <c r="T10742"/>
    </row>
    <row r="10743" spans="1:20" x14ac:dyDescent="0.25">
      <c r="A10743">
        <v>20200430</v>
      </c>
      <c r="B10743">
        <v>2020</v>
      </c>
      <c r="C10743">
        <v>4</v>
      </c>
      <c r="D10743">
        <v>1</v>
      </c>
      <c r="E10743">
        <v>13160</v>
      </c>
      <c r="F10743">
        <v>117040.03</v>
      </c>
      <c r="G10743">
        <v>0</v>
      </c>
      <c r="H10743">
        <v>0</v>
      </c>
      <c r="I10743">
        <v>0</v>
      </c>
      <c r="J10743">
        <v>0</v>
      </c>
      <c r="K10743">
        <v>0</v>
      </c>
      <c r="L10743">
        <v>41900000</v>
      </c>
      <c r="M10743">
        <v>41900000</v>
      </c>
      <c r="N10743">
        <v>21854858</v>
      </c>
      <c r="O10743">
        <v>21854858</v>
      </c>
      <c r="P10743">
        <v>41900000</v>
      </c>
      <c r="Q10743">
        <v>41900000</v>
      </c>
      <c r="R10743" s="14">
        <f>_xlfn.XLOOKUP(Table2[[#This Row],[LoanID]],Table1[G-L ID],Table1[ManagerCode],-99)</f>
        <v>183</v>
      </c>
      <c r="T10743"/>
    </row>
    <row r="10744" spans="1:20" x14ac:dyDescent="0.25">
      <c r="A10744">
        <v>20200430</v>
      </c>
      <c r="B10744">
        <v>2020</v>
      </c>
      <c r="C10744">
        <v>4</v>
      </c>
      <c r="D10744">
        <v>1</v>
      </c>
      <c r="E10744">
        <v>13170</v>
      </c>
      <c r="F10744">
        <v>135360.39000000001</v>
      </c>
      <c r="G10744">
        <v>0</v>
      </c>
      <c r="H10744">
        <v>0</v>
      </c>
      <c r="I10744">
        <v>0</v>
      </c>
      <c r="J10744">
        <v>0</v>
      </c>
      <c r="K10744">
        <v>0</v>
      </c>
      <c r="L10744">
        <v>48300000</v>
      </c>
      <c r="M10744">
        <v>48300000</v>
      </c>
      <c r="N10744">
        <v>16866666.670000002</v>
      </c>
      <c r="O10744">
        <v>16866666.670000002</v>
      </c>
      <c r="P10744">
        <v>48300000</v>
      </c>
      <c r="Q10744">
        <v>48300000</v>
      </c>
      <c r="R10744" s="14">
        <f>_xlfn.XLOOKUP(Table2[[#This Row],[LoanID]],Table1[G-L ID],Table1[ManagerCode],-99)</f>
        <v>183</v>
      </c>
      <c r="T10744"/>
    </row>
    <row r="10745" spans="1:20" x14ac:dyDescent="0.25">
      <c r="A10745">
        <v>20200430</v>
      </c>
      <c r="B10745">
        <v>2020</v>
      </c>
      <c r="C10745">
        <v>4</v>
      </c>
      <c r="D10745">
        <v>1</v>
      </c>
      <c r="E10745">
        <v>13180</v>
      </c>
      <c r="F10745">
        <v>114629.46</v>
      </c>
      <c r="G10745">
        <v>0</v>
      </c>
      <c r="H10745">
        <v>0</v>
      </c>
      <c r="I10745">
        <v>0</v>
      </c>
      <c r="J10745">
        <v>0</v>
      </c>
      <c r="K10745">
        <v>0</v>
      </c>
      <c r="L10745">
        <v>39780000</v>
      </c>
      <c r="M10745">
        <v>39780000</v>
      </c>
      <c r="N10745">
        <v>15930000</v>
      </c>
      <c r="O10745">
        <v>15930000</v>
      </c>
      <c r="P10745">
        <v>39780000</v>
      </c>
      <c r="Q10745">
        <v>39780000</v>
      </c>
      <c r="R10745" s="14">
        <f>_xlfn.XLOOKUP(Table2[[#This Row],[LoanID]],Table1[G-L ID],Table1[ManagerCode],-99)</f>
        <v>183</v>
      </c>
      <c r="T10745"/>
    </row>
    <row r="10746" spans="1:20" x14ac:dyDescent="0.25">
      <c r="A10746">
        <v>20200430</v>
      </c>
      <c r="B10746">
        <v>2020</v>
      </c>
      <c r="C10746">
        <v>4</v>
      </c>
      <c r="D10746">
        <v>1</v>
      </c>
      <c r="E10746">
        <v>13190</v>
      </c>
      <c r="F10746">
        <v>88194.78</v>
      </c>
      <c r="G10746">
        <v>56901.23</v>
      </c>
      <c r="H10746">
        <v>0</v>
      </c>
      <c r="I10746">
        <v>0</v>
      </c>
      <c r="J10746">
        <v>-1759233.49</v>
      </c>
      <c r="K10746">
        <v>0</v>
      </c>
      <c r="L10746">
        <v>17560724.300000001</v>
      </c>
      <c r="M10746">
        <v>19376859.02</v>
      </c>
      <c r="N10746">
        <v>17560724.300000001</v>
      </c>
      <c r="O10746">
        <v>19376859.02</v>
      </c>
      <c r="P10746">
        <v>17560724.300000001</v>
      </c>
      <c r="Q10746">
        <v>19376859.02</v>
      </c>
      <c r="R10746" s="14">
        <f>_xlfn.XLOOKUP(Table2[[#This Row],[LoanID]],Table1[G-L ID],Table1[ManagerCode],-99)</f>
        <v>183</v>
      </c>
      <c r="T10746"/>
    </row>
    <row r="10747" spans="1:20" x14ac:dyDescent="0.25">
      <c r="A10747">
        <v>20200430</v>
      </c>
      <c r="B10747">
        <v>2020</v>
      </c>
      <c r="C10747">
        <v>4</v>
      </c>
      <c r="D10747">
        <v>1</v>
      </c>
      <c r="E10747">
        <v>13200</v>
      </c>
      <c r="F10747">
        <v>128222.12</v>
      </c>
      <c r="G10747">
        <v>69250.990000000005</v>
      </c>
      <c r="H10747">
        <v>0</v>
      </c>
      <c r="I10747">
        <v>0</v>
      </c>
      <c r="J10747">
        <v>-1659702.35</v>
      </c>
      <c r="K10747">
        <v>0</v>
      </c>
      <c r="L10747">
        <v>24743911.41</v>
      </c>
      <c r="M10747">
        <v>26472865.359999999</v>
      </c>
      <c r="N10747">
        <v>24743911.41</v>
      </c>
      <c r="O10747">
        <v>26472865.359999999</v>
      </c>
      <c r="P10747">
        <v>24743911.41</v>
      </c>
      <c r="Q10747">
        <v>26472865.359999999</v>
      </c>
      <c r="R10747" s="14">
        <f>_xlfn.XLOOKUP(Table2[[#This Row],[LoanID]],Table1[G-L ID],Table1[ManagerCode],-99)</f>
        <v>183</v>
      </c>
      <c r="T10747"/>
    </row>
    <row r="10748" spans="1:20" x14ac:dyDescent="0.25">
      <c r="A10748">
        <v>20200430</v>
      </c>
      <c r="B10748">
        <v>2020</v>
      </c>
      <c r="C10748">
        <v>4</v>
      </c>
      <c r="D10748">
        <v>1</v>
      </c>
      <c r="E10748">
        <v>13210</v>
      </c>
      <c r="F10748">
        <v>0</v>
      </c>
      <c r="G10748">
        <v>215455.51</v>
      </c>
      <c r="H10748">
        <v>0</v>
      </c>
      <c r="I10748">
        <v>0</v>
      </c>
      <c r="J10748">
        <v>0</v>
      </c>
      <c r="K10748">
        <v>0</v>
      </c>
      <c r="L10748">
        <v>20103239.789999999</v>
      </c>
      <c r="M10748">
        <v>20318695.300000001</v>
      </c>
      <c r="N10748">
        <v>20103239.789999999</v>
      </c>
      <c r="O10748">
        <v>20318695.300000001</v>
      </c>
      <c r="P10748">
        <v>20103239.789999999</v>
      </c>
      <c r="Q10748">
        <v>20318695.300000001</v>
      </c>
      <c r="R10748" s="14">
        <f>_xlfn.XLOOKUP(Table2[[#This Row],[LoanID]],Table1[G-L ID],Table1[ManagerCode],-99)</f>
        <v>183</v>
      </c>
      <c r="T10748"/>
    </row>
    <row r="10749" spans="1:20" x14ac:dyDescent="0.25">
      <c r="A10749">
        <v>20200430</v>
      </c>
      <c r="B10749">
        <v>2020</v>
      </c>
      <c r="C10749">
        <v>4</v>
      </c>
      <c r="D10749">
        <v>1</v>
      </c>
      <c r="E10749">
        <v>13240</v>
      </c>
      <c r="F10749">
        <v>73287.350000000006</v>
      </c>
      <c r="G10749">
        <v>-75814.399999999994</v>
      </c>
      <c r="H10749">
        <v>0</v>
      </c>
      <c r="I10749">
        <v>0</v>
      </c>
      <c r="J10749">
        <v>0</v>
      </c>
      <c r="K10749">
        <v>7987891.2400000002</v>
      </c>
      <c r="L10749">
        <v>8063705.6399999997</v>
      </c>
      <c r="M10749">
        <v>0</v>
      </c>
      <c r="N10749">
        <v>8063705.6399999997</v>
      </c>
      <c r="O10749">
        <v>0</v>
      </c>
      <c r="P10749">
        <v>8063705.6399999997</v>
      </c>
      <c r="Q10749">
        <v>0</v>
      </c>
      <c r="R10749" s="14">
        <f>_xlfn.XLOOKUP(Table2[[#This Row],[LoanID]],Table1[G-L ID],Table1[ManagerCode],-99)</f>
        <v>219</v>
      </c>
      <c r="T10749"/>
    </row>
    <row r="10750" spans="1:20" x14ac:dyDescent="0.25">
      <c r="A10750">
        <v>20200430</v>
      </c>
      <c r="B10750">
        <v>2020</v>
      </c>
      <c r="C10750">
        <v>4</v>
      </c>
      <c r="D10750">
        <v>1</v>
      </c>
      <c r="E10750">
        <v>13260</v>
      </c>
      <c r="F10750">
        <v>0</v>
      </c>
      <c r="G10750">
        <v>154385.56</v>
      </c>
      <c r="H10750">
        <v>0</v>
      </c>
      <c r="I10750">
        <v>0</v>
      </c>
      <c r="J10750">
        <v>0</v>
      </c>
      <c r="K10750">
        <v>0</v>
      </c>
      <c r="L10750">
        <v>20086936.100000001</v>
      </c>
      <c r="M10750">
        <v>20241321.66</v>
      </c>
      <c r="N10750">
        <v>20086936.100000001</v>
      </c>
      <c r="O10750">
        <v>20241321.66</v>
      </c>
      <c r="P10750">
        <v>20086936.100000001</v>
      </c>
      <c r="Q10750">
        <v>20241321.66</v>
      </c>
      <c r="R10750" s="14">
        <f>_xlfn.XLOOKUP(Table2[[#This Row],[LoanID]],Table1[G-L ID],Table1[ManagerCode],-99)</f>
        <v>219</v>
      </c>
      <c r="T10750"/>
    </row>
    <row r="10751" spans="1:20" x14ac:dyDescent="0.25">
      <c r="A10751">
        <v>20200430</v>
      </c>
      <c r="B10751">
        <v>2020</v>
      </c>
      <c r="C10751">
        <v>4</v>
      </c>
      <c r="D10751">
        <v>1</v>
      </c>
      <c r="E10751">
        <v>13300</v>
      </c>
      <c r="F10751">
        <v>0</v>
      </c>
      <c r="G10751">
        <v>208333.33</v>
      </c>
      <c r="H10751">
        <v>0</v>
      </c>
      <c r="I10751">
        <v>0</v>
      </c>
      <c r="J10751">
        <v>0</v>
      </c>
      <c r="K10751">
        <v>0</v>
      </c>
      <c r="L10751">
        <v>24065277.780000001</v>
      </c>
      <c r="M10751">
        <v>24273611.109999999</v>
      </c>
      <c r="N10751">
        <v>24065277.780000001</v>
      </c>
      <c r="O10751">
        <v>24273611.109999999</v>
      </c>
      <c r="P10751">
        <v>25215277.780000001</v>
      </c>
      <c r="Q10751">
        <v>25423611.109999999</v>
      </c>
      <c r="R10751" s="14">
        <f>_xlfn.XLOOKUP(Table2[[#This Row],[LoanID]],Table1[G-L ID],Table1[ManagerCode],-99)</f>
        <v>219</v>
      </c>
      <c r="T10751"/>
    </row>
    <row r="10752" spans="1:20" x14ac:dyDescent="0.25">
      <c r="A10752">
        <v>20200430</v>
      </c>
      <c r="B10752">
        <v>2020</v>
      </c>
      <c r="C10752">
        <v>4</v>
      </c>
      <c r="D10752">
        <v>1</v>
      </c>
      <c r="E10752">
        <v>13370</v>
      </c>
      <c r="F10752">
        <v>141029.09</v>
      </c>
      <c r="G10752">
        <v>0</v>
      </c>
      <c r="H10752">
        <v>0</v>
      </c>
      <c r="I10752">
        <v>0</v>
      </c>
      <c r="J10752">
        <v>-61330.37</v>
      </c>
      <c r="K10752">
        <v>0</v>
      </c>
      <c r="L10752">
        <v>44930501.07</v>
      </c>
      <c r="M10752">
        <v>44620286.009999998</v>
      </c>
      <c r="N10752">
        <v>44930501.07</v>
      </c>
      <c r="O10752">
        <v>44620286.009999998</v>
      </c>
      <c r="P10752">
        <v>44930501.07</v>
      </c>
      <c r="Q10752">
        <v>44991831.439999998</v>
      </c>
      <c r="R10752" s="14">
        <f>_xlfn.XLOOKUP(Table2[[#This Row],[LoanID]],Table1[G-L ID],Table1[ManagerCode],-99)</f>
        <v>183</v>
      </c>
      <c r="T10752"/>
    </row>
    <row r="10753" spans="1:20" x14ac:dyDescent="0.25">
      <c r="A10753">
        <v>20200430</v>
      </c>
      <c r="B10753">
        <v>2020</v>
      </c>
      <c r="C10753">
        <v>4</v>
      </c>
      <c r="D10753">
        <v>1</v>
      </c>
      <c r="E10753">
        <v>13380</v>
      </c>
      <c r="F10753">
        <v>49023.94</v>
      </c>
      <c r="G10753">
        <v>0</v>
      </c>
      <c r="H10753">
        <v>0</v>
      </c>
      <c r="I10753">
        <v>0</v>
      </c>
      <c r="J10753">
        <v>0</v>
      </c>
      <c r="K10753">
        <v>0</v>
      </c>
      <c r="L10753">
        <v>31909739</v>
      </c>
      <c r="M10753">
        <v>31593498.699999999</v>
      </c>
      <c r="N10753">
        <v>11109739</v>
      </c>
      <c r="O10753">
        <v>10793498.699999999</v>
      </c>
      <c r="P10753">
        <v>32000000</v>
      </c>
      <c r="Q10753">
        <v>32000000</v>
      </c>
      <c r="R10753" s="14">
        <f>_xlfn.XLOOKUP(Table2[[#This Row],[LoanID]],Table1[G-L ID],Table1[ManagerCode],-99)</f>
        <v>183</v>
      </c>
      <c r="T10753"/>
    </row>
    <row r="10754" spans="1:20" x14ac:dyDescent="0.25">
      <c r="A10754">
        <v>20200430</v>
      </c>
      <c r="B10754">
        <v>2020</v>
      </c>
      <c r="C10754">
        <v>4</v>
      </c>
      <c r="D10754">
        <v>1</v>
      </c>
      <c r="E10754">
        <v>13390</v>
      </c>
      <c r="F10754">
        <v>-65602.080000000002</v>
      </c>
      <c r="G10754">
        <v>0</v>
      </c>
      <c r="H10754">
        <v>0</v>
      </c>
      <c r="I10754">
        <v>0</v>
      </c>
      <c r="J10754">
        <v>-285488.03999999998</v>
      </c>
      <c r="K10754">
        <v>0</v>
      </c>
      <c r="L10754">
        <v>17110980.399999999</v>
      </c>
      <c r="M10754">
        <v>17396468.440000001</v>
      </c>
      <c r="N10754">
        <v>-11805096.6</v>
      </c>
      <c r="O10754">
        <v>-11519608.560000001</v>
      </c>
      <c r="P10754">
        <v>48343461.420000002</v>
      </c>
      <c r="Q10754">
        <v>48628949.460000001</v>
      </c>
      <c r="R10754" s="14">
        <f>_xlfn.XLOOKUP(Table2[[#This Row],[LoanID]],Table1[G-L ID],Table1[ManagerCode],-99)</f>
        <v>183</v>
      </c>
      <c r="T10754"/>
    </row>
    <row r="10755" spans="1:20" x14ac:dyDescent="0.25">
      <c r="A10755">
        <v>20200430</v>
      </c>
      <c r="B10755">
        <v>2020</v>
      </c>
      <c r="C10755">
        <v>4</v>
      </c>
      <c r="D10755">
        <v>1</v>
      </c>
      <c r="E10755">
        <v>13400</v>
      </c>
      <c r="F10755">
        <v>89591.83</v>
      </c>
      <c r="G10755">
        <v>0</v>
      </c>
      <c r="H10755">
        <v>0</v>
      </c>
      <c r="I10755">
        <v>0</v>
      </c>
      <c r="J10755">
        <v>0</v>
      </c>
      <c r="K10755">
        <v>0</v>
      </c>
      <c r="L10755">
        <v>31750000</v>
      </c>
      <c r="M10755">
        <v>31750000</v>
      </c>
      <c r="N10755">
        <v>11112500</v>
      </c>
      <c r="O10755">
        <v>11112500</v>
      </c>
      <c r="P10755">
        <v>31750000</v>
      </c>
      <c r="Q10755">
        <v>31750000</v>
      </c>
      <c r="R10755" s="14">
        <f>_xlfn.XLOOKUP(Table2[[#This Row],[LoanID]],Table1[G-L ID],Table1[ManagerCode],-99)</f>
        <v>183</v>
      </c>
      <c r="T10755"/>
    </row>
    <row r="10756" spans="1:20" x14ac:dyDescent="0.25">
      <c r="A10756">
        <v>20200430</v>
      </c>
      <c r="B10756">
        <v>2020</v>
      </c>
      <c r="C10756">
        <v>4</v>
      </c>
      <c r="D10756">
        <v>1</v>
      </c>
      <c r="E10756">
        <v>13410</v>
      </c>
      <c r="F10756">
        <v>62912.639999999999</v>
      </c>
      <c r="G10756">
        <v>0</v>
      </c>
      <c r="H10756">
        <v>0</v>
      </c>
      <c r="I10756">
        <v>0</v>
      </c>
      <c r="J10756">
        <v>-159393.88</v>
      </c>
      <c r="K10756">
        <v>0</v>
      </c>
      <c r="L10756">
        <v>35531712.710000001</v>
      </c>
      <c r="M10756">
        <v>34850327.700000003</v>
      </c>
      <c r="N10756">
        <v>14661712.710000001</v>
      </c>
      <c r="O10756">
        <v>13980327.699999999</v>
      </c>
      <c r="P10756">
        <v>35531712.710000001</v>
      </c>
      <c r="Q10756">
        <v>35691106.590000004</v>
      </c>
      <c r="R10756" s="14">
        <f>_xlfn.XLOOKUP(Table2[[#This Row],[LoanID]],Table1[G-L ID],Table1[ManagerCode],-99)</f>
        <v>183</v>
      </c>
      <c r="T10756"/>
    </row>
    <row r="10757" spans="1:20" x14ac:dyDescent="0.25">
      <c r="A10757">
        <v>20200430</v>
      </c>
      <c r="B10757">
        <v>2020</v>
      </c>
      <c r="C10757">
        <v>4</v>
      </c>
      <c r="D10757">
        <v>1</v>
      </c>
      <c r="E10757">
        <v>13420</v>
      </c>
      <c r="F10757">
        <v>56757.2</v>
      </c>
      <c r="G10757">
        <v>0</v>
      </c>
      <c r="H10757">
        <v>0</v>
      </c>
      <c r="I10757">
        <v>0</v>
      </c>
      <c r="J10757">
        <v>-99444.28</v>
      </c>
      <c r="K10757">
        <v>0</v>
      </c>
      <c r="L10757">
        <v>30845407.57</v>
      </c>
      <c r="M10757">
        <v>30755719.359999999</v>
      </c>
      <c r="N10757">
        <v>14350494.57</v>
      </c>
      <c r="O10757">
        <v>14260806.359999999</v>
      </c>
      <c r="P10757">
        <v>30845407.57</v>
      </c>
      <c r="Q10757">
        <v>30944851.850000001</v>
      </c>
      <c r="R10757" s="14">
        <f>_xlfn.XLOOKUP(Table2[[#This Row],[LoanID]],Table1[G-L ID],Table1[ManagerCode],-99)</f>
        <v>183</v>
      </c>
      <c r="T10757"/>
    </row>
    <row r="10758" spans="1:20" x14ac:dyDescent="0.25">
      <c r="A10758">
        <v>20200430</v>
      </c>
      <c r="B10758">
        <v>2020</v>
      </c>
      <c r="C10758">
        <v>4</v>
      </c>
      <c r="D10758">
        <v>1</v>
      </c>
      <c r="E10758">
        <v>13430</v>
      </c>
      <c r="F10758">
        <v>194794.23999999999</v>
      </c>
      <c r="G10758">
        <v>0</v>
      </c>
      <c r="H10758">
        <v>0</v>
      </c>
      <c r="I10758">
        <v>0</v>
      </c>
      <c r="J10758">
        <v>0</v>
      </c>
      <c r="K10758">
        <v>0</v>
      </c>
      <c r="L10758">
        <v>75184698</v>
      </c>
      <c r="M10758">
        <v>75184698</v>
      </c>
      <c r="N10758">
        <v>31067051</v>
      </c>
      <c r="O10758">
        <v>31067051</v>
      </c>
      <c r="P10758">
        <v>75000000</v>
      </c>
      <c r="Q10758">
        <v>75000000</v>
      </c>
      <c r="R10758" s="14">
        <f>_xlfn.XLOOKUP(Table2[[#This Row],[LoanID]],Table1[G-L ID],Table1[ManagerCode],-99)</f>
        <v>183</v>
      </c>
      <c r="T10758"/>
    </row>
    <row r="10759" spans="1:20" x14ac:dyDescent="0.25">
      <c r="A10759">
        <v>20200430</v>
      </c>
      <c r="B10759">
        <v>2020</v>
      </c>
      <c r="C10759">
        <v>4</v>
      </c>
      <c r="D10759">
        <v>1</v>
      </c>
      <c r="E10759">
        <v>13440</v>
      </c>
      <c r="F10759">
        <v>0</v>
      </c>
      <c r="G10759">
        <v>126286.34</v>
      </c>
      <c r="H10759">
        <v>0</v>
      </c>
      <c r="I10759">
        <v>0</v>
      </c>
      <c r="J10759">
        <v>0</v>
      </c>
      <c r="K10759">
        <v>0</v>
      </c>
      <c r="L10759">
        <v>12753681.82</v>
      </c>
      <c r="M10759">
        <v>12879968.16</v>
      </c>
      <c r="N10759">
        <v>12753681.82</v>
      </c>
      <c r="O10759">
        <v>12879968.16</v>
      </c>
      <c r="P10759">
        <v>12753681.82</v>
      </c>
      <c r="Q10759">
        <v>12879968.16</v>
      </c>
      <c r="R10759" s="14">
        <f>_xlfn.XLOOKUP(Table2[[#This Row],[LoanID]],Table1[G-L ID],Table1[ManagerCode],-99)</f>
        <v>183</v>
      </c>
      <c r="T10759"/>
    </row>
    <row r="10760" spans="1:20" x14ac:dyDescent="0.25">
      <c r="A10760">
        <v>20200430</v>
      </c>
      <c r="B10760">
        <v>2020</v>
      </c>
      <c r="C10760">
        <v>4</v>
      </c>
      <c r="D10760">
        <v>1</v>
      </c>
      <c r="E10760">
        <v>13450</v>
      </c>
      <c r="F10760">
        <v>0</v>
      </c>
      <c r="G10760">
        <v>0</v>
      </c>
      <c r="H10760">
        <v>0</v>
      </c>
      <c r="I10760">
        <v>0</v>
      </c>
      <c r="J10760">
        <v>0</v>
      </c>
      <c r="K10760">
        <v>0</v>
      </c>
      <c r="L10760">
        <v>14099624.9</v>
      </c>
      <c r="M10760">
        <v>14099624.9</v>
      </c>
      <c r="N10760">
        <v>14099624.9</v>
      </c>
      <c r="O10760">
        <v>14099624.9</v>
      </c>
      <c r="P10760">
        <v>14099624.9</v>
      </c>
      <c r="Q10760">
        <v>14099624.9</v>
      </c>
      <c r="R10760" s="14">
        <f>_xlfn.XLOOKUP(Table2[[#This Row],[LoanID]],Table1[G-L ID],Table1[ManagerCode],-99)</f>
        <v>183</v>
      </c>
      <c r="T10760"/>
    </row>
    <row r="10761" spans="1:20" x14ac:dyDescent="0.25">
      <c r="A10761">
        <v>20200430</v>
      </c>
      <c r="B10761">
        <v>2020</v>
      </c>
      <c r="C10761">
        <v>4</v>
      </c>
      <c r="D10761">
        <v>1</v>
      </c>
      <c r="E10761">
        <v>13460</v>
      </c>
      <c r="F10761">
        <v>26300.82</v>
      </c>
      <c r="G10761">
        <v>25468.34</v>
      </c>
      <c r="H10761">
        <v>0</v>
      </c>
      <c r="I10761">
        <v>0</v>
      </c>
      <c r="J10761">
        <v>-635257.18999999994</v>
      </c>
      <c r="K10761">
        <v>0</v>
      </c>
      <c r="L10761">
        <v>6189435.9100000001</v>
      </c>
      <c r="M10761">
        <v>6850161.4400000004</v>
      </c>
      <c r="N10761">
        <v>6189435.9100000001</v>
      </c>
      <c r="O10761">
        <v>6850161.4400000004</v>
      </c>
      <c r="P10761">
        <v>6189435.9100000001</v>
      </c>
      <c r="Q10761">
        <v>6850161.4400000004</v>
      </c>
      <c r="R10761" s="14">
        <f>_xlfn.XLOOKUP(Table2[[#This Row],[LoanID]],Table1[G-L ID],Table1[ManagerCode],-99)</f>
        <v>183</v>
      </c>
      <c r="T10761"/>
    </row>
    <row r="10762" spans="1:20" x14ac:dyDescent="0.25">
      <c r="A10762">
        <v>20200430</v>
      </c>
      <c r="B10762">
        <v>2020</v>
      </c>
      <c r="C10762">
        <v>4</v>
      </c>
      <c r="D10762">
        <v>1</v>
      </c>
      <c r="E10762">
        <v>13470</v>
      </c>
      <c r="F10762">
        <v>370008.68</v>
      </c>
      <c r="G10762">
        <v>0</v>
      </c>
      <c r="H10762">
        <v>0</v>
      </c>
      <c r="I10762">
        <v>0</v>
      </c>
      <c r="J10762">
        <v>0</v>
      </c>
      <c r="K10762">
        <v>0</v>
      </c>
      <c r="L10762">
        <v>62500000</v>
      </c>
      <c r="M10762">
        <v>62500000</v>
      </c>
      <c r="N10762">
        <v>62500000</v>
      </c>
      <c r="O10762">
        <v>62500000</v>
      </c>
      <c r="P10762">
        <v>62500000</v>
      </c>
      <c r="Q10762">
        <v>62500000</v>
      </c>
      <c r="R10762" s="14">
        <f>_xlfn.XLOOKUP(Table2[[#This Row],[LoanID]],Table1[G-L ID],Table1[ManagerCode],-99)</f>
        <v>165</v>
      </c>
      <c r="T10762"/>
    </row>
    <row r="10763" spans="1:20" x14ac:dyDescent="0.25">
      <c r="A10763">
        <v>20200430</v>
      </c>
      <c r="B10763">
        <v>2020</v>
      </c>
      <c r="C10763">
        <v>4</v>
      </c>
      <c r="D10763">
        <v>1</v>
      </c>
      <c r="E10763">
        <v>13480</v>
      </c>
      <c r="F10763">
        <v>250531.67</v>
      </c>
      <c r="G10763">
        <v>0</v>
      </c>
      <c r="H10763">
        <v>0</v>
      </c>
      <c r="I10763">
        <v>0</v>
      </c>
      <c r="J10763">
        <v>0</v>
      </c>
      <c r="K10763">
        <v>0</v>
      </c>
      <c r="L10763">
        <v>39000000</v>
      </c>
      <c r="M10763">
        <v>39000000</v>
      </c>
      <c r="N10763">
        <v>39000000</v>
      </c>
      <c r="O10763">
        <v>39000000</v>
      </c>
      <c r="P10763">
        <v>39000000</v>
      </c>
      <c r="Q10763">
        <v>39000000</v>
      </c>
      <c r="R10763" s="14">
        <f>_xlfn.XLOOKUP(Table2[[#This Row],[LoanID]],Table1[G-L ID],Table1[ManagerCode],-99)</f>
        <v>165</v>
      </c>
      <c r="T10763"/>
    </row>
    <row r="10764" spans="1:20" x14ac:dyDescent="0.25">
      <c r="A10764">
        <v>20200430</v>
      </c>
      <c r="B10764">
        <v>2020</v>
      </c>
      <c r="C10764">
        <v>4</v>
      </c>
      <c r="D10764">
        <v>1</v>
      </c>
      <c r="E10764">
        <v>13490</v>
      </c>
      <c r="F10764">
        <v>303800</v>
      </c>
      <c r="G10764">
        <v>0</v>
      </c>
      <c r="H10764">
        <v>0</v>
      </c>
      <c r="I10764">
        <v>0</v>
      </c>
      <c r="J10764">
        <v>0</v>
      </c>
      <c r="K10764">
        <v>0</v>
      </c>
      <c r="L10764">
        <v>40000000</v>
      </c>
      <c r="M10764">
        <v>40000000</v>
      </c>
      <c r="N10764">
        <v>40000000</v>
      </c>
      <c r="O10764">
        <v>40000000</v>
      </c>
      <c r="P10764">
        <v>40000000</v>
      </c>
      <c r="Q10764">
        <v>40000000</v>
      </c>
      <c r="R10764" s="14">
        <f>_xlfn.XLOOKUP(Table2[[#This Row],[LoanID]],Table1[G-L ID],Table1[ManagerCode],-99)</f>
        <v>165</v>
      </c>
      <c r="T10764"/>
    </row>
    <row r="10765" spans="1:20" x14ac:dyDescent="0.25">
      <c r="A10765">
        <v>20200430</v>
      </c>
      <c r="B10765">
        <v>2020</v>
      </c>
      <c r="C10765">
        <v>4</v>
      </c>
      <c r="D10765">
        <v>1</v>
      </c>
      <c r="E10765">
        <v>13500</v>
      </c>
      <c r="F10765">
        <v>283628.46999999997</v>
      </c>
      <c r="G10765">
        <v>0</v>
      </c>
      <c r="H10765">
        <v>0</v>
      </c>
      <c r="I10765">
        <v>0</v>
      </c>
      <c r="J10765">
        <v>0</v>
      </c>
      <c r="K10765">
        <v>0</v>
      </c>
      <c r="L10765">
        <v>42500000</v>
      </c>
      <c r="M10765">
        <v>42500000</v>
      </c>
      <c r="N10765">
        <v>42500000</v>
      </c>
      <c r="O10765">
        <v>42500000</v>
      </c>
      <c r="P10765">
        <v>42500000</v>
      </c>
      <c r="Q10765">
        <v>42500000</v>
      </c>
      <c r="R10765" s="14">
        <f>_xlfn.XLOOKUP(Table2[[#This Row],[LoanID]],Table1[G-L ID],Table1[ManagerCode],-99)</f>
        <v>165</v>
      </c>
      <c r="T10765"/>
    </row>
    <row r="10766" spans="1:20" x14ac:dyDescent="0.25">
      <c r="A10766">
        <v>20200430</v>
      </c>
      <c r="B10766">
        <v>2020</v>
      </c>
      <c r="C10766">
        <v>4</v>
      </c>
      <c r="D10766">
        <v>1</v>
      </c>
      <c r="E10766">
        <v>13510</v>
      </c>
      <c r="F10766">
        <v>317750</v>
      </c>
      <c r="G10766">
        <v>0</v>
      </c>
      <c r="H10766">
        <v>0</v>
      </c>
      <c r="I10766">
        <v>0</v>
      </c>
      <c r="J10766">
        <v>0</v>
      </c>
      <c r="K10766">
        <v>0</v>
      </c>
      <c r="L10766">
        <v>90000000</v>
      </c>
      <c r="M10766">
        <v>90000000</v>
      </c>
      <c r="N10766">
        <v>90000000</v>
      </c>
      <c r="O10766">
        <v>90000000</v>
      </c>
      <c r="P10766">
        <v>90000000</v>
      </c>
      <c r="Q10766">
        <v>90000000</v>
      </c>
      <c r="R10766" s="14">
        <f>_xlfn.XLOOKUP(Table2[[#This Row],[LoanID]],Table1[G-L ID],Table1[ManagerCode],-99)</f>
        <v>165</v>
      </c>
      <c r="T10766"/>
    </row>
    <row r="10767" spans="1:20" x14ac:dyDescent="0.25">
      <c r="A10767">
        <v>20200430</v>
      </c>
      <c r="B10767">
        <v>2020</v>
      </c>
      <c r="C10767">
        <v>4</v>
      </c>
      <c r="D10767">
        <v>1</v>
      </c>
      <c r="E10767">
        <v>13520</v>
      </c>
      <c r="F10767">
        <v>860572.92</v>
      </c>
      <c r="G10767">
        <v>0</v>
      </c>
      <c r="H10767">
        <v>0</v>
      </c>
      <c r="I10767">
        <v>0</v>
      </c>
      <c r="J10767">
        <v>0</v>
      </c>
      <c r="K10767">
        <v>0</v>
      </c>
      <c r="L10767">
        <v>195000000</v>
      </c>
      <c r="M10767">
        <v>195000000</v>
      </c>
      <c r="N10767">
        <v>195000000</v>
      </c>
      <c r="O10767">
        <v>195000000</v>
      </c>
      <c r="P10767">
        <v>195000000</v>
      </c>
      <c r="Q10767">
        <v>195000000</v>
      </c>
      <c r="R10767" s="14">
        <f>_xlfn.XLOOKUP(Table2[[#This Row],[LoanID]],Table1[G-L ID],Table1[ManagerCode],-99)</f>
        <v>165</v>
      </c>
      <c r="T10767"/>
    </row>
    <row r="10768" spans="1:20" x14ac:dyDescent="0.25">
      <c r="A10768">
        <v>20200430</v>
      </c>
      <c r="B10768">
        <v>2020</v>
      </c>
      <c r="C10768">
        <v>4</v>
      </c>
      <c r="D10768">
        <v>1</v>
      </c>
      <c r="E10768">
        <v>13530</v>
      </c>
      <c r="F10768">
        <v>403645.83</v>
      </c>
      <c r="G10768">
        <v>0</v>
      </c>
      <c r="H10768">
        <v>0</v>
      </c>
      <c r="I10768">
        <v>0</v>
      </c>
      <c r="J10768">
        <v>0</v>
      </c>
      <c r="K10768">
        <v>0</v>
      </c>
      <c r="L10768">
        <v>75000000</v>
      </c>
      <c r="M10768">
        <v>75000000</v>
      </c>
      <c r="N10768">
        <v>75000000</v>
      </c>
      <c r="O10768">
        <v>75000000</v>
      </c>
      <c r="P10768">
        <v>75000000</v>
      </c>
      <c r="Q10768">
        <v>75000000</v>
      </c>
      <c r="R10768" s="14">
        <f>_xlfn.XLOOKUP(Table2[[#This Row],[LoanID]],Table1[G-L ID],Table1[ManagerCode],-99)</f>
        <v>165</v>
      </c>
      <c r="T10768"/>
    </row>
    <row r="10769" spans="1:20" x14ac:dyDescent="0.25">
      <c r="A10769">
        <v>20200430</v>
      </c>
      <c r="B10769">
        <v>2020</v>
      </c>
      <c r="C10769">
        <v>4</v>
      </c>
      <c r="D10769">
        <v>1</v>
      </c>
      <c r="E10769">
        <v>13550</v>
      </c>
      <c r="F10769">
        <v>1682872.91</v>
      </c>
      <c r="G10769">
        <v>0</v>
      </c>
      <c r="H10769">
        <v>0</v>
      </c>
      <c r="I10769">
        <v>0</v>
      </c>
      <c r="J10769">
        <v>0</v>
      </c>
      <c r="K10769">
        <v>0</v>
      </c>
      <c r="L10769">
        <v>355328004.80000001</v>
      </c>
      <c r="M10769">
        <v>355328004.80000001</v>
      </c>
      <c r="N10769">
        <v>355328004.80000001</v>
      </c>
      <c r="O10769">
        <v>355328004.80000001</v>
      </c>
      <c r="P10769">
        <v>355328004.80000001</v>
      </c>
      <c r="Q10769">
        <v>355328004.80000001</v>
      </c>
      <c r="R10769" s="14">
        <f>_xlfn.XLOOKUP(Table2[[#This Row],[LoanID]],Table1[G-L ID],Table1[ManagerCode],-99)</f>
        <v>165</v>
      </c>
      <c r="T10769"/>
    </row>
    <row r="10770" spans="1:20" x14ac:dyDescent="0.25">
      <c r="A10770">
        <v>20200430</v>
      </c>
      <c r="B10770">
        <v>2020</v>
      </c>
      <c r="C10770">
        <v>4</v>
      </c>
      <c r="D10770">
        <v>1</v>
      </c>
      <c r="E10770">
        <v>13560</v>
      </c>
      <c r="F10770">
        <v>470618.75</v>
      </c>
      <c r="G10770">
        <v>-10094.58</v>
      </c>
      <c r="H10770">
        <v>0</v>
      </c>
      <c r="I10770">
        <v>0</v>
      </c>
      <c r="J10770">
        <v>0</v>
      </c>
      <c r="K10770">
        <v>0</v>
      </c>
      <c r="L10770">
        <v>105258081.3</v>
      </c>
      <c r="M10770">
        <v>105247986.7</v>
      </c>
      <c r="N10770">
        <v>105258081.3</v>
      </c>
      <c r="O10770">
        <v>105247986.7</v>
      </c>
      <c r="P10770">
        <v>105258081.3</v>
      </c>
      <c r="Q10770">
        <v>105247986.7</v>
      </c>
      <c r="R10770" s="14">
        <f>_xlfn.XLOOKUP(Table2[[#This Row],[LoanID]],Table1[G-L ID],Table1[ManagerCode],-99)</f>
        <v>219</v>
      </c>
      <c r="T10770"/>
    </row>
    <row r="10771" spans="1:20" x14ac:dyDescent="0.25">
      <c r="A10771">
        <v>20200430</v>
      </c>
      <c r="B10771">
        <v>2020</v>
      </c>
      <c r="C10771">
        <v>4</v>
      </c>
      <c r="D10771">
        <v>1</v>
      </c>
      <c r="E10771">
        <v>13580</v>
      </c>
      <c r="F10771">
        <v>429479.17</v>
      </c>
      <c r="G10771">
        <v>0</v>
      </c>
      <c r="H10771">
        <v>0</v>
      </c>
      <c r="I10771">
        <v>0</v>
      </c>
      <c r="J10771">
        <v>0</v>
      </c>
      <c r="K10771">
        <v>0</v>
      </c>
      <c r="L10771">
        <v>64021590</v>
      </c>
      <c r="M10771">
        <v>64092149.219999999</v>
      </c>
      <c r="N10771">
        <v>64021590</v>
      </c>
      <c r="O10771">
        <v>64092149.219999999</v>
      </c>
      <c r="P10771">
        <v>66500000</v>
      </c>
      <c r="Q10771">
        <v>66500000</v>
      </c>
      <c r="R10771" s="14">
        <f>_xlfn.XLOOKUP(Table2[[#This Row],[LoanID]],Table1[G-L ID],Table1[ManagerCode],-99)</f>
        <v>298</v>
      </c>
      <c r="T10771"/>
    </row>
    <row r="10772" spans="1:20" x14ac:dyDescent="0.25">
      <c r="A10772">
        <v>20200430</v>
      </c>
      <c r="B10772">
        <v>2020</v>
      </c>
      <c r="C10772">
        <v>4</v>
      </c>
      <c r="D10772">
        <v>1</v>
      </c>
      <c r="E10772">
        <v>13600</v>
      </c>
      <c r="F10772">
        <v>379029.03</v>
      </c>
      <c r="G10772">
        <v>0</v>
      </c>
      <c r="H10772">
        <v>0</v>
      </c>
      <c r="I10772">
        <v>0</v>
      </c>
      <c r="J10772">
        <v>0</v>
      </c>
      <c r="K10772">
        <v>0</v>
      </c>
      <c r="L10772">
        <v>45970000</v>
      </c>
      <c r="M10772">
        <v>45970000</v>
      </c>
      <c r="N10772">
        <v>45970000</v>
      </c>
      <c r="O10772">
        <v>45970000</v>
      </c>
      <c r="P10772">
        <v>45970000</v>
      </c>
      <c r="Q10772">
        <v>45970000</v>
      </c>
      <c r="R10772" s="14">
        <f>_xlfn.XLOOKUP(Table2[[#This Row],[LoanID]],Table1[G-L ID],Table1[ManagerCode],-99)</f>
        <v>298</v>
      </c>
      <c r="T10772"/>
    </row>
    <row r="10773" spans="1:20" x14ac:dyDescent="0.25">
      <c r="A10773">
        <v>20200430</v>
      </c>
      <c r="B10773">
        <v>2020</v>
      </c>
      <c r="C10773">
        <v>4</v>
      </c>
      <c r="D10773">
        <v>1</v>
      </c>
      <c r="E10773">
        <v>13610</v>
      </c>
      <c r="F10773">
        <v>63291.67</v>
      </c>
      <c r="G10773">
        <v>0</v>
      </c>
      <c r="H10773">
        <v>0</v>
      </c>
      <c r="I10773">
        <v>0</v>
      </c>
      <c r="J10773">
        <v>0</v>
      </c>
      <c r="K10773">
        <v>0</v>
      </c>
      <c r="L10773">
        <v>10385796.220000001</v>
      </c>
      <c r="M10773">
        <v>10385796.220000001</v>
      </c>
      <c r="N10773">
        <v>10385796.220000001</v>
      </c>
      <c r="O10773">
        <v>10385796.220000001</v>
      </c>
      <c r="P10773">
        <v>10500000</v>
      </c>
      <c r="Q10773">
        <v>10500000</v>
      </c>
      <c r="R10773" s="14">
        <f>_xlfn.XLOOKUP(Table2[[#This Row],[LoanID]],Table1[G-L ID],Table1[ManagerCode],-99)</f>
        <v>298</v>
      </c>
      <c r="T10773"/>
    </row>
    <row r="10774" spans="1:20" x14ac:dyDescent="0.25">
      <c r="A10774">
        <v>20200430</v>
      </c>
      <c r="B10774">
        <v>2020</v>
      </c>
      <c r="C10774">
        <v>4</v>
      </c>
      <c r="D10774">
        <v>1</v>
      </c>
      <c r="E10774">
        <v>13620</v>
      </c>
      <c r="F10774">
        <v>295145.83</v>
      </c>
      <c r="G10774">
        <v>0</v>
      </c>
      <c r="H10774">
        <v>0</v>
      </c>
      <c r="I10774">
        <v>0</v>
      </c>
      <c r="J10774">
        <v>0</v>
      </c>
      <c r="K10774">
        <v>0</v>
      </c>
      <c r="L10774">
        <v>49865510.369999997</v>
      </c>
      <c r="M10774">
        <v>49865510.369999997</v>
      </c>
      <c r="N10774">
        <v>49865510.369999997</v>
      </c>
      <c r="O10774">
        <v>49865510.369999997</v>
      </c>
      <c r="P10774">
        <v>50000000</v>
      </c>
      <c r="Q10774">
        <v>50000000</v>
      </c>
      <c r="R10774" s="14">
        <f>_xlfn.XLOOKUP(Table2[[#This Row],[LoanID]],Table1[G-L ID],Table1[ManagerCode],-99)</f>
        <v>298</v>
      </c>
      <c r="T10774"/>
    </row>
    <row r="10775" spans="1:20" x14ac:dyDescent="0.25">
      <c r="A10775">
        <v>20200430</v>
      </c>
      <c r="B10775">
        <v>2020</v>
      </c>
      <c r="C10775">
        <v>4</v>
      </c>
      <c r="D10775">
        <v>1</v>
      </c>
      <c r="E10775">
        <v>13630</v>
      </c>
      <c r="F10775">
        <v>0</v>
      </c>
      <c r="G10775">
        <v>0</v>
      </c>
      <c r="H10775">
        <v>0</v>
      </c>
      <c r="I10775">
        <v>0</v>
      </c>
      <c r="J10775">
        <v>0</v>
      </c>
      <c r="K10775">
        <v>0</v>
      </c>
      <c r="L10775">
        <v>22527136.07</v>
      </c>
      <c r="M10775">
        <v>22527136.07</v>
      </c>
      <c r="N10775">
        <v>22527136.07</v>
      </c>
      <c r="O10775">
        <v>22527136.07</v>
      </c>
      <c r="P10775">
        <v>35000000</v>
      </c>
      <c r="Q10775">
        <v>35362905.130000003</v>
      </c>
      <c r="R10775" s="14">
        <f>_xlfn.XLOOKUP(Table2[[#This Row],[LoanID]],Table1[G-L ID],Table1[ManagerCode],-99)</f>
        <v>298</v>
      </c>
      <c r="T10775"/>
    </row>
    <row r="10776" spans="1:20" x14ac:dyDescent="0.25">
      <c r="A10776">
        <v>20200430</v>
      </c>
      <c r="B10776">
        <v>2020</v>
      </c>
      <c r="C10776">
        <v>4</v>
      </c>
      <c r="D10776">
        <v>1</v>
      </c>
      <c r="E10776">
        <v>13640</v>
      </c>
      <c r="F10776">
        <v>226983.51</v>
      </c>
      <c r="G10776">
        <v>0</v>
      </c>
      <c r="H10776">
        <v>0</v>
      </c>
      <c r="I10776">
        <v>0</v>
      </c>
      <c r="J10776">
        <v>0</v>
      </c>
      <c r="K10776">
        <v>0</v>
      </c>
      <c r="L10776">
        <v>30234429.84</v>
      </c>
      <c r="M10776">
        <v>30234429.84</v>
      </c>
      <c r="N10776">
        <v>30234429.84</v>
      </c>
      <c r="O10776">
        <v>30234429.84</v>
      </c>
      <c r="P10776">
        <v>30125000</v>
      </c>
      <c r="Q10776">
        <v>30125000</v>
      </c>
      <c r="R10776" s="14">
        <f>_xlfn.XLOOKUP(Table2[[#This Row],[LoanID]],Table1[G-L ID],Table1[ManagerCode],-99)</f>
        <v>298</v>
      </c>
      <c r="T10776"/>
    </row>
    <row r="10777" spans="1:20" x14ac:dyDescent="0.25">
      <c r="A10777">
        <v>20200430</v>
      </c>
      <c r="B10777">
        <v>2020</v>
      </c>
      <c r="C10777">
        <v>4</v>
      </c>
      <c r="D10777">
        <v>1</v>
      </c>
      <c r="E10777">
        <v>13650</v>
      </c>
      <c r="F10777">
        <v>223888.89</v>
      </c>
      <c r="G10777">
        <v>0</v>
      </c>
      <c r="H10777">
        <v>0</v>
      </c>
      <c r="I10777">
        <v>0</v>
      </c>
      <c r="J10777">
        <v>0</v>
      </c>
      <c r="K10777">
        <v>0</v>
      </c>
      <c r="L10777">
        <v>39537559.880000003</v>
      </c>
      <c r="M10777">
        <v>39537559.880000003</v>
      </c>
      <c r="N10777">
        <v>39537559.880000003</v>
      </c>
      <c r="O10777">
        <v>39537559.880000003</v>
      </c>
      <c r="P10777">
        <v>40000000</v>
      </c>
      <c r="Q10777">
        <v>40000000</v>
      </c>
      <c r="R10777" s="14">
        <f>_xlfn.XLOOKUP(Table2[[#This Row],[LoanID]],Table1[G-L ID],Table1[ManagerCode],-99)</f>
        <v>298</v>
      </c>
      <c r="T10777"/>
    </row>
    <row r="10778" spans="1:20" x14ac:dyDescent="0.25">
      <c r="A10778">
        <v>20200430</v>
      </c>
      <c r="B10778">
        <v>2020</v>
      </c>
      <c r="C10778">
        <v>4</v>
      </c>
      <c r="D10778">
        <v>1</v>
      </c>
      <c r="E10778">
        <v>13660</v>
      </c>
      <c r="F10778">
        <v>117972.22</v>
      </c>
      <c r="G10778">
        <v>0</v>
      </c>
      <c r="H10778">
        <v>0</v>
      </c>
      <c r="I10778">
        <v>0</v>
      </c>
      <c r="J10778">
        <v>0</v>
      </c>
      <c r="K10778">
        <v>0</v>
      </c>
      <c r="L10778">
        <v>19633684.649999999</v>
      </c>
      <c r="M10778">
        <v>19633684.649999999</v>
      </c>
      <c r="N10778">
        <v>19633684.649999999</v>
      </c>
      <c r="O10778">
        <v>19633684.649999999</v>
      </c>
      <c r="P10778">
        <v>20000000</v>
      </c>
      <c r="Q10778">
        <v>20000000</v>
      </c>
      <c r="R10778" s="14">
        <f>_xlfn.XLOOKUP(Table2[[#This Row],[LoanID]],Table1[G-L ID],Table1[ManagerCode],-99)</f>
        <v>298</v>
      </c>
      <c r="T10778"/>
    </row>
    <row r="10779" spans="1:20" x14ac:dyDescent="0.25">
      <c r="A10779">
        <v>20200430</v>
      </c>
      <c r="B10779">
        <v>2020</v>
      </c>
      <c r="C10779">
        <v>4</v>
      </c>
      <c r="D10779">
        <v>1</v>
      </c>
      <c r="E10779">
        <v>13670</v>
      </c>
      <c r="F10779">
        <v>0</v>
      </c>
      <c r="G10779">
        <v>0</v>
      </c>
      <c r="H10779">
        <v>0</v>
      </c>
      <c r="I10779">
        <v>0</v>
      </c>
      <c r="J10779">
        <v>0</v>
      </c>
      <c r="K10779">
        <v>0</v>
      </c>
      <c r="L10779">
        <v>1</v>
      </c>
      <c r="M10779">
        <v>1</v>
      </c>
      <c r="N10779">
        <v>1</v>
      </c>
      <c r="O10779">
        <v>1</v>
      </c>
      <c r="P10779">
        <v>41234091.700000003</v>
      </c>
      <c r="Q10779">
        <v>41634145.159999996</v>
      </c>
      <c r="R10779" s="14">
        <f>_xlfn.XLOOKUP(Table2[[#This Row],[LoanID]],Table1[G-L ID],Table1[ManagerCode],-99)</f>
        <v>298</v>
      </c>
      <c r="T10779"/>
    </row>
    <row r="10780" spans="1:20" x14ac:dyDescent="0.25">
      <c r="A10780">
        <v>20200430</v>
      </c>
      <c r="B10780">
        <v>2020</v>
      </c>
      <c r="C10780">
        <v>4</v>
      </c>
      <c r="D10780">
        <v>1</v>
      </c>
      <c r="E10780">
        <v>13690</v>
      </c>
      <c r="F10780">
        <v>133472.22</v>
      </c>
      <c r="G10780">
        <v>0</v>
      </c>
      <c r="H10780">
        <v>0</v>
      </c>
      <c r="I10780">
        <v>0</v>
      </c>
      <c r="J10780">
        <v>0</v>
      </c>
      <c r="K10780">
        <v>0</v>
      </c>
      <c r="L10780">
        <v>20825761.02</v>
      </c>
      <c r="M10780">
        <v>20825761.02</v>
      </c>
      <c r="N10780">
        <v>20825761.02</v>
      </c>
      <c r="O10780">
        <v>20825761.02</v>
      </c>
      <c r="P10780">
        <v>20000000</v>
      </c>
      <c r="Q10780">
        <v>20000000</v>
      </c>
      <c r="R10780" s="14">
        <f>_xlfn.XLOOKUP(Table2[[#This Row],[LoanID]],Table1[G-L ID],Table1[ManagerCode],-99)</f>
        <v>298</v>
      </c>
      <c r="T10780"/>
    </row>
    <row r="10781" spans="1:20" x14ac:dyDescent="0.25">
      <c r="A10781">
        <v>20200430</v>
      </c>
      <c r="B10781">
        <v>2020</v>
      </c>
      <c r="C10781">
        <v>4</v>
      </c>
      <c r="D10781">
        <v>1</v>
      </c>
      <c r="E10781">
        <v>13790</v>
      </c>
      <c r="F10781">
        <v>133148.1</v>
      </c>
      <c r="G10781">
        <v>-6849.5</v>
      </c>
      <c r="H10781">
        <v>0</v>
      </c>
      <c r="I10781">
        <v>0</v>
      </c>
      <c r="J10781">
        <v>0</v>
      </c>
      <c r="K10781">
        <v>0</v>
      </c>
      <c r="L10781">
        <v>20735427.829999998</v>
      </c>
      <c r="M10781">
        <v>20728578.329999998</v>
      </c>
      <c r="N10781">
        <v>20735427.829999998</v>
      </c>
      <c r="O10781">
        <v>20728578.329999998</v>
      </c>
      <c r="P10781">
        <v>20735427.829999998</v>
      </c>
      <c r="Q10781">
        <v>20728578.329999998</v>
      </c>
      <c r="R10781" s="14">
        <f>_xlfn.XLOOKUP(Table2[[#This Row],[LoanID]],Table1[G-L ID],Table1[ManagerCode],-99)</f>
        <v>219</v>
      </c>
      <c r="T10781"/>
    </row>
    <row r="10782" spans="1:20" x14ac:dyDescent="0.25">
      <c r="A10782">
        <v>20200430</v>
      </c>
      <c r="B10782">
        <v>2020</v>
      </c>
      <c r="C10782">
        <v>4</v>
      </c>
      <c r="D10782">
        <v>1</v>
      </c>
      <c r="E10782">
        <v>13800</v>
      </c>
      <c r="F10782">
        <v>306687.55</v>
      </c>
      <c r="G10782">
        <v>0</v>
      </c>
      <c r="H10782">
        <v>0</v>
      </c>
      <c r="I10782">
        <v>0</v>
      </c>
      <c r="J10782">
        <v>0</v>
      </c>
      <c r="K10782">
        <v>0</v>
      </c>
      <c r="L10782">
        <v>80700000</v>
      </c>
      <c r="M10782">
        <v>80700000</v>
      </c>
      <c r="N10782">
        <v>32279999.719999999</v>
      </c>
      <c r="O10782">
        <v>32279999.719999999</v>
      </c>
      <c r="P10782">
        <v>80700000</v>
      </c>
      <c r="Q10782">
        <v>80700000</v>
      </c>
      <c r="R10782" s="14">
        <f>_xlfn.XLOOKUP(Table2[[#This Row],[LoanID]],Table1[G-L ID],Table1[ManagerCode],-99)</f>
        <v>183</v>
      </c>
      <c r="T10782"/>
    </row>
    <row r="10783" spans="1:20" x14ac:dyDescent="0.25">
      <c r="A10783">
        <v>20200430</v>
      </c>
      <c r="B10783">
        <v>2020</v>
      </c>
      <c r="C10783">
        <v>4</v>
      </c>
      <c r="D10783">
        <v>1</v>
      </c>
      <c r="E10783">
        <v>13810</v>
      </c>
      <c r="F10783">
        <v>151848.23000000001</v>
      </c>
      <c r="G10783">
        <v>0</v>
      </c>
      <c r="H10783">
        <v>0</v>
      </c>
      <c r="I10783">
        <v>0</v>
      </c>
      <c r="J10783">
        <v>-618131.93000000005</v>
      </c>
      <c r="K10783">
        <v>0</v>
      </c>
      <c r="L10783">
        <v>44162948.200000003</v>
      </c>
      <c r="M10783">
        <v>44743311.350000001</v>
      </c>
      <c r="N10783">
        <v>20037202.420000002</v>
      </c>
      <c r="O10783">
        <v>20617565.57</v>
      </c>
      <c r="P10783">
        <v>44185586.200000003</v>
      </c>
      <c r="Q10783">
        <v>44803718.130000003</v>
      </c>
      <c r="R10783" s="14">
        <f>_xlfn.XLOOKUP(Table2[[#This Row],[LoanID]],Table1[G-L ID],Table1[ManagerCode],-99)</f>
        <v>183</v>
      </c>
      <c r="T10783"/>
    </row>
    <row r="10784" spans="1:20" x14ac:dyDescent="0.25">
      <c r="A10784">
        <v>20200430</v>
      </c>
      <c r="B10784">
        <v>2020</v>
      </c>
      <c r="C10784">
        <v>4</v>
      </c>
      <c r="D10784">
        <v>1</v>
      </c>
      <c r="E10784">
        <v>13820</v>
      </c>
      <c r="F10784">
        <v>273204.17</v>
      </c>
      <c r="G10784">
        <v>0</v>
      </c>
      <c r="H10784">
        <v>0</v>
      </c>
      <c r="I10784">
        <v>0</v>
      </c>
      <c r="J10784">
        <v>0</v>
      </c>
      <c r="K10784">
        <v>0</v>
      </c>
      <c r="L10784">
        <v>66465840</v>
      </c>
      <c r="M10784">
        <v>66458014.899999999</v>
      </c>
      <c r="N10784">
        <v>66465840</v>
      </c>
      <c r="O10784">
        <v>66458014.899999999</v>
      </c>
      <c r="P10784">
        <v>66500000</v>
      </c>
      <c r="Q10784">
        <v>66500000</v>
      </c>
      <c r="R10784" s="14">
        <f>_xlfn.XLOOKUP(Table2[[#This Row],[LoanID]],Table1[G-L ID],Table1[ManagerCode],-99)</f>
        <v>183</v>
      </c>
      <c r="T10784"/>
    </row>
    <row r="10785" spans="1:20" x14ac:dyDescent="0.25">
      <c r="A10785">
        <v>20200430</v>
      </c>
      <c r="B10785">
        <v>2020</v>
      </c>
      <c r="C10785">
        <v>4</v>
      </c>
      <c r="D10785">
        <v>1</v>
      </c>
      <c r="E10785">
        <v>13830</v>
      </c>
      <c r="F10785">
        <v>249209.08</v>
      </c>
      <c r="G10785">
        <v>0</v>
      </c>
      <c r="H10785">
        <v>0</v>
      </c>
      <c r="I10785">
        <v>0</v>
      </c>
      <c r="J10785">
        <v>0</v>
      </c>
      <c r="K10785">
        <v>0</v>
      </c>
      <c r="L10785">
        <v>101000000</v>
      </c>
      <c r="M10785">
        <v>100500478.59999999</v>
      </c>
      <c r="N10785">
        <v>35350000</v>
      </c>
      <c r="O10785">
        <v>34850478.600000001</v>
      </c>
      <c r="P10785">
        <v>101000000</v>
      </c>
      <c r="Q10785">
        <v>101000000</v>
      </c>
      <c r="R10785" s="14">
        <f>_xlfn.XLOOKUP(Table2[[#This Row],[LoanID]],Table1[G-L ID],Table1[ManagerCode],-99)</f>
        <v>183</v>
      </c>
      <c r="T10785"/>
    </row>
    <row r="10786" spans="1:20" x14ac:dyDescent="0.25">
      <c r="A10786">
        <v>20200430</v>
      </c>
      <c r="B10786">
        <v>2020</v>
      </c>
      <c r="C10786">
        <v>4</v>
      </c>
      <c r="D10786">
        <v>1</v>
      </c>
      <c r="E10786">
        <v>14000</v>
      </c>
      <c r="F10786">
        <v>252617.2</v>
      </c>
      <c r="G10786">
        <v>0</v>
      </c>
      <c r="H10786">
        <v>0</v>
      </c>
      <c r="I10786">
        <v>0</v>
      </c>
      <c r="J10786">
        <v>0</v>
      </c>
      <c r="K10786">
        <v>0</v>
      </c>
      <c r="L10786">
        <v>98000000</v>
      </c>
      <c r="M10786">
        <v>98000000</v>
      </c>
      <c r="N10786">
        <v>39200000</v>
      </c>
      <c r="O10786">
        <v>39200000</v>
      </c>
      <c r="P10786">
        <v>98000000</v>
      </c>
      <c r="Q10786">
        <v>98000000</v>
      </c>
      <c r="R10786" s="14">
        <f>_xlfn.XLOOKUP(Table2[[#This Row],[LoanID]],Table1[G-L ID],Table1[ManagerCode],-99)</f>
        <v>183</v>
      </c>
      <c r="T10786"/>
    </row>
    <row r="10787" spans="1:20" x14ac:dyDescent="0.25">
      <c r="A10787">
        <v>20200430</v>
      </c>
      <c r="B10787">
        <v>2020</v>
      </c>
      <c r="C10787">
        <v>4</v>
      </c>
      <c r="D10787">
        <v>1</v>
      </c>
      <c r="E10787">
        <v>14660</v>
      </c>
      <c r="F10787">
        <v>141670</v>
      </c>
      <c r="G10787">
        <v>-4570</v>
      </c>
      <c r="H10787">
        <v>0</v>
      </c>
      <c r="I10787">
        <v>0</v>
      </c>
      <c r="J10787">
        <v>0</v>
      </c>
      <c r="K10787">
        <v>0</v>
      </c>
      <c r="L10787">
        <v>17754419</v>
      </c>
      <c r="M10787">
        <v>17749849</v>
      </c>
      <c r="N10787">
        <v>17754419</v>
      </c>
      <c r="O10787">
        <v>17749849</v>
      </c>
      <c r="P10787">
        <v>18141670</v>
      </c>
      <c r="Q10787">
        <v>18137100</v>
      </c>
      <c r="R10787" s="14">
        <f>_xlfn.XLOOKUP(Table2[[#This Row],[LoanID]],Table1[G-L ID],Table1[ManagerCode],-99)</f>
        <v>219</v>
      </c>
      <c r="T10787"/>
    </row>
    <row r="10788" spans="1:20" x14ac:dyDescent="0.25">
      <c r="A10788">
        <v>20200430</v>
      </c>
      <c r="B10788">
        <v>2020</v>
      </c>
      <c r="C10788">
        <v>4</v>
      </c>
      <c r="D10788">
        <v>1</v>
      </c>
      <c r="E10788">
        <v>14680</v>
      </c>
      <c r="F10788">
        <v>61400.69</v>
      </c>
      <c r="G10788">
        <v>0</v>
      </c>
      <c r="H10788">
        <v>0</v>
      </c>
      <c r="I10788">
        <v>0</v>
      </c>
      <c r="J10788">
        <v>0</v>
      </c>
      <c r="K10788">
        <v>0</v>
      </c>
      <c r="L10788">
        <v>30790000</v>
      </c>
      <c r="M10788">
        <v>30790000</v>
      </c>
      <c r="N10788">
        <v>8345011.7999999998</v>
      </c>
      <c r="O10788">
        <v>8345011.7999999998</v>
      </c>
      <c r="P10788">
        <v>30766174.010000002</v>
      </c>
      <c r="Q10788">
        <v>30766174.010000002</v>
      </c>
      <c r="R10788" s="14">
        <f>_xlfn.XLOOKUP(Table2[[#This Row],[LoanID]],Table1[G-L ID],Table1[ManagerCode],-99)</f>
        <v>220</v>
      </c>
      <c r="T10788"/>
    </row>
    <row r="10789" spans="1:20" x14ac:dyDescent="0.25">
      <c r="A10789">
        <v>20200430</v>
      </c>
      <c r="B10789">
        <v>2020</v>
      </c>
      <c r="C10789">
        <v>4</v>
      </c>
      <c r="D10789">
        <v>1</v>
      </c>
      <c r="E10789">
        <v>14690</v>
      </c>
      <c r="F10789">
        <v>133099.67000000001</v>
      </c>
      <c r="G10789">
        <v>0</v>
      </c>
      <c r="H10789">
        <v>0</v>
      </c>
      <c r="I10789">
        <v>0</v>
      </c>
      <c r="J10789">
        <v>-148795.18</v>
      </c>
      <c r="K10789">
        <v>0</v>
      </c>
      <c r="L10789">
        <v>43405017.439999998</v>
      </c>
      <c r="M10789">
        <v>43553812.619999997</v>
      </c>
      <c r="N10789">
        <v>15887267.439999999</v>
      </c>
      <c r="O10789">
        <v>16036062.619999999</v>
      </c>
      <c r="P10789">
        <v>43405017.439999998</v>
      </c>
      <c r="Q10789">
        <v>43553812.619999997</v>
      </c>
      <c r="R10789" s="14">
        <f>_xlfn.XLOOKUP(Table2[[#This Row],[LoanID]],Table1[G-L ID],Table1[ManagerCode],-99)</f>
        <v>220</v>
      </c>
      <c r="T10789"/>
    </row>
    <row r="10790" spans="1:20" x14ac:dyDescent="0.25">
      <c r="A10790">
        <v>20200430</v>
      </c>
      <c r="B10790">
        <v>2020</v>
      </c>
      <c r="C10790">
        <v>4</v>
      </c>
      <c r="D10790">
        <v>1</v>
      </c>
      <c r="E10790">
        <v>14700</v>
      </c>
      <c r="F10790">
        <v>114926.3</v>
      </c>
      <c r="G10790">
        <v>0</v>
      </c>
      <c r="H10790">
        <v>0</v>
      </c>
      <c r="I10790">
        <v>0</v>
      </c>
      <c r="J10790">
        <v>-383440.15</v>
      </c>
      <c r="K10790">
        <v>0</v>
      </c>
      <c r="L10790">
        <v>36143315.479999997</v>
      </c>
      <c r="M10790">
        <v>36550000</v>
      </c>
      <c r="N10790">
        <v>11555815.48</v>
      </c>
      <c r="O10790">
        <v>11962500</v>
      </c>
      <c r="P10790">
        <v>36143315.479999997</v>
      </c>
      <c r="Q10790">
        <v>36526755.630000003</v>
      </c>
      <c r="R10790" s="14">
        <f>_xlfn.XLOOKUP(Table2[[#This Row],[LoanID]],Table1[G-L ID],Table1[ManagerCode],-99)</f>
        <v>220</v>
      </c>
      <c r="T10790"/>
    </row>
    <row r="10791" spans="1:20" x14ac:dyDescent="0.25">
      <c r="A10791">
        <v>20200430</v>
      </c>
      <c r="B10791">
        <v>2020</v>
      </c>
      <c r="C10791">
        <v>4</v>
      </c>
      <c r="D10791">
        <v>1</v>
      </c>
      <c r="E10791">
        <v>14710</v>
      </c>
      <c r="F10791">
        <v>94999.09</v>
      </c>
      <c r="G10791">
        <v>0</v>
      </c>
      <c r="H10791">
        <v>0</v>
      </c>
      <c r="I10791">
        <v>0</v>
      </c>
      <c r="J10791">
        <v>0</v>
      </c>
      <c r="K10791">
        <v>0</v>
      </c>
      <c r="L10791">
        <v>33650000</v>
      </c>
      <c r="M10791">
        <v>33670000</v>
      </c>
      <c r="N10791">
        <v>11777500</v>
      </c>
      <c r="O10791">
        <v>11797500</v>
      </c>
      <c r="P10791">
        <v>33650000</v>
      </c>
      <c r="Q10791">
        <v>33650000</v>
      </c>
      <c r="R10791" s="14">
        <f>_xlfn.XLOOKUP(Table2[[#This Row],[LoanID]],Table1[G-L ID],Table1[ManagerCode],-99)</f>
        <v>220</v>
      </c>
      <c r="T10791"/>
    </row>
    <row r="10792" spans="1:20" x14ac:dyDescent="0.25">
      <c r="A10792">
        <v>20200430</v>
      </c>
      <c r="B10792">
        <v>2020</v>
      </c>
      <c r="C10792">
        <v>4</v>
      </c>
      <c r="D10792">
        <v>1</v>
      </c>
      <c r="E10792">
        <v>14720</v>
      </c>
      <c r="F10792">
        <v>63620.39</v>
      </c>
      <c r="G10792">
        <v>0</v>
      </c>
      <c r="H10792">
        <v>0</v>
      </c>
      <c r="I10792">
        <v>0</v>
      </c>
      <c r="J10792">
        <v>-502494.82</v>
      </c>
      <c r="K10792">
        <v>0</v>
      </c>
      <c r="L10792">
        <v>23459253.5</v>
      </c>
      <c r="M10792">
        <v>23961748.32</v>
      </c>
      <c r="N10792">
        <v>9732253.5</v>
      </c>
      <c r="O10792">
        <v>10234748.32</v>
      </c>
      <c r="P10792">
        <v>23455407.579999998</v>
      </c>
      <c r="Q10792">
        <v>23957902.399999999</v>
      </c>
      <c r="R10792" s="14">
        <f>_xlfn.XLOOKUP(Table2[[#This Row],[LoanID]],Table1[G-L ID],Table1[ManagerCode],-99)</f>
        <v>220</v>
      </c>
      <c r="T10792"/>
    </row>
    <row r="10793" spans="1:20" x14ac:dyDescent="0.25">
      <c r="A10793">
        <v>20200430</v>
      </c>
      <c r="B10793">
        <v>2020</v>
      </c>
      <c r="C10793">
        <v>4</v>
      </c>
      <c r="D10793">
        <v>1</v>
      </c>
      <c r="E10793">
        <v>14740</v>
      </c>
      <c r="F10793">
        <v>-45024.6</v>
      </c>
      <c r="G10793">
        <v>158229.17000000001</v>
      </c>
      <c r="H10793">
        <v>0</v>
      </c>
      <c r="I10793">
        <v>0</v>
      </c>
      <c r="J10793">
        <v>0</v>
      </c>
      <c r="K10793">
        <v>-21000000</v>
      </c>
      <c r="L10793">
        <v>34570000</v>
      </c>
      <c r="M10793">
        <v>34728229.170000002</v>
      </c>
      <c r="N10793">
        <v>13570000</v>
      </c>
      <c r="O10793">
        <v>34728229.170000002</v>
      </c>
      <c r="P10793">
        <v>35000000</v>
      </c>
      <c r="Q10793">
        <v>35158229.170000002</v>
      </c>
      <c r="R10793" s="14">
        <f>_xlfn.XLOOKUP(Table2[[#This Row],[LoanID]],Table1[G-L ID],Table1[ManagerCode],-99)</f>
        <v>220</v>
      </c>
      <c r="T10793"/>
    </row>
    <row r="10794" spans="1:20" x14ac:dyDescent="0.25">
      <c r="A10794">
        <v>20200430</v>
      </c>
      <c r="B10794">
        <v>2020</v>
      </c>
      <c r="C10794">
        <v>4</v>
      </c>
      <c r="D10794">
        <v>1</v>
      </c>
      <c r="E10794">
        <v>14750</v>
      </c>
      <c r="F10794">
        <v>140618.62</v>
      </c>
      <c r="G10794">
        <v>0</v>
      </c>
      <c r="H10794">
        <v>0</v>
      </c>
      <c r="I10794">
        <v>0</v>
      </c>
      <c r="J10794">
        <v>-1891514.2</v>
      </c>
      <c r="K10794">
        <v>0</v>
      </c>
      <c r="L10794">
        <v>59078453.039999999</v>
      </c>
      <c r="M10794">
        <v>60969967.240000002</v>
      </c>
      <c r="N10794">
        <v>23328453.039999999</v>
      </c>
      <c r="O10794">
        <v>25219967.239999998</v>
      </c>
      <c r="P10794">
        <v>59078453.039999999</v>
      </c>
      <c r="Q10794">
        <v>60969967.240000002</v>
      </c>
      <c r="R10794" s="14">
        <f>_xlfn.XLOOKUP(Table2[[#This Row],[LoanID]],Table1[G-L ID],Table1[ManagerCode],-99)</f>
        <v>220</v>
      </c>
      <c r="T10794"/>
    </row>
    <row r="10795" spans="1:20" x14ac:dyDescent="0.25">
      <c r="A10795">
        <v>20200430</v>
      </c>
      <c r="B10795">
        <v>2020</v>
      </c>
      <c r="C10795">
        <v>4</v>
      </c>
      <c r="D10795">
        <v>1</v>
      </c>
      <c r="E10795">
        <v>14760</v>
      </c>
      <c r="F10795">
        <v>285264.58</v>
      </c>
      <c r="G10795">
        <v>0</v>
      </c>
      <c r="H10795">
        <v>0</v>
      </c>
      <c r="I10795">
        <v>0</v>
      </c>
      <c r="J10795">
        <v>0</v>
      </c>
      <c r="K10795">
        <v>0</v>
      </c>
      <c r="L10795">
        <v>105000000</v>
      </c>
      <c r="M10795">
        <v>105200000</v>
      </c>
      <c r="N10795">
        <v>26250000</v>
      </c>
      <c r="O10795">
        <v>26450000</v>
      </c>
      <c r="P10795">
        <v>105000000</v>
      </c>
      <c r="Q10795">
        <v>105000000</v>
      </c>
      <c r="R10795" s="14">
        <f>_xlfn.XLOOKUP(Table2[[#This Row],[LoanID]],Table1[G-L ID],Table1[ManagerCode],-99)</f>
        <v>220</v>
      </c>
      <c r="T10795"/>
    </row>
    <row r="10796" spans="1:20" x14ac:dyDescent="0.25">
      <c r="A10796">
        <v>20200430</v>
      </c>
      <c r="B10796">
        <v>2020</v>
      </c>
      <c r="C10796">
        <v>4</v>
      </c>
      <c r="D10796">
        <v>1</v>
      </c>
      <c r="E10796">
        <v>14770</v>
      </c>
      <c r="F10796">
        <v>248038.75</v>
      </c>
      <c r="G10796">
        <v>0</v>
      </c>
      <c r="H10796">
        <v>0</v>
      </c>
      <c r="I10796">
        <v>0</v>
      </c>
      <c r="J10796">
        <v>0</v>
      </c>
      <c r="K10796">
        <v>0</v>
      </c>
      <c r="L10796">
        <v>55500000</v>
      </c>
      <c r="M10796">
        <v>55650000</v>
      </c>
      <c r="N10796">
        <v>55500000</v>
      </c>
      <c r="O10796">
        <v>55650000</v>
      </c>
      <c r="P10796">
        <v>55500000</v>
      </c>
      <c r="Q10796">
        <v>55500000</v>
      </c>
      <c r="R10796" s="14">
        <f>_xlfn.XLOOKUP(Table2[[#This Row],[LoanID]],Table1[G-L ID],Table1[ManagerCode],-99)</f>
        <v>220</v>
      </c>
      <c r="T10796"/>
    </row>
    <row r="10797" spans="1:20" x14ac:dyDescent="0.25">
      <c r="A10797">
        <v>20200430</v>
      </c>
      <c r="B10797">
        <v>2020</v>
      </c>
      <c r="C10797">
        <v>4</v>
      </c>
      <c r="D10797">
        <v>1</v>
      </c>
      <c r="E10797">
        <v>14780</v>
      </c>
      <c r="F10797">
        <v>141015.71</v>
      </c>
      <c r="G10797">
        <v>0</v>
      </c>
      <c r="H10797">
        <v>0</v>
      </c>
      <c r="I10797">
        <v>0</v>
      </c>
      <c r="J10797">
        <v>0</v>
      </c>
      <c r="K10797">
        <v>0</v>
      </c>
      <c r="L10797">
        <v>51000000</v>
      </c>
      <c r="M10797">
        <v>51010000</v>
      </c>
      <c r="N10797">
        <v>15300000</v>
      </c>
      <c r="O10797">
        <v>15310000</v>
      </c>
      <c r="P10797">
        <v>51000000</v>
      </c>
      <c r="Q10797">
        <v>51000000</v>
      </c>
      <c r="R10797" s="14">
        <f>_xlfn.XLOOKUP(Table2[[#This Row],[LoanID]],Table1[G-L ID],Table1[ManagerCode],-99)</f>
        <v>220</v>
      </c>
      <c r="T10797"/>
    </row>
    <row r="10798" spans="1:20" x14ac:dyDescent="0.25">
      <c r="A10798">
        <v>20200430</v>
      </c>
      <c r="B10798">
        <v>2020</v>
      </c>
      <c r="C10798">
        <v>4</v>
      </c>
      <c r="D10798">
        <v>1</v>
      </c>
      <c r="E10798">
        <v>14790</v>
      </c>
      <c r="F10798">
        <v>154683.91</v>
      </c>
      <c r="G10798">
        <v>0</v>
      </c>
      <c r="H10798">
        <v>0</v>
      </c>
      <c r="I10798">
        <v>0</v>
      </c>
      <c r="J10798">
        <v>0</v>
      </c>
      <c r="K10798">
        <v>0</v>
      </c>
      <c r="L10798">
        <v>80360000</v>
      </c>
      <c r="M10798">
        <v>80390000</v>
      </c>
      <c r="N10798">
        <v>25960000</v>
      </c>
      <c r="O10798">
        <v>25990000</v>
      </c>
      <c r="P10798">
        <v>80000000</v>
      </c>
      <c r="Q10798">
        <v>80000000</v>
      </c>
      <c r="R10798" s="14">
        <f>_xlfn.XLOOKUP(Table2[[#This Row],[LoanID]],Table1[G-L ID],Table1[ManagerCode],-99)</f>
        <v>220</v>
      </c>
      <c r="T10798"/>
    </row>
    <row r="10799" spans="1:20" x14ac:dyDescent="0.25">
      <c r="A10799">
        <v>20200430</v>
      </c>
      <c r="B10799">
        <v>2020</v>
      </c>
      <c r="C10799">
        <v>4</v>
      </c>
      <c r="D10799">
        <v>1</v>
      </c>
      <c r="E10799">
        <v>14810</v>
      </c>
      <c r="F10799">
        <v>94457</v>
      </c>
      <c r="G10799">
        <v>0</v>
      </c>
      <c r="H10799">
        <v>0</v>
      </c>
      <c r="I10799">
        <v>0</v>
      </c>
      <c r="J10799">
        <v>0</v>
      </c>
      <c r="K10799">
        <v>0</v>
      </c>
      <c r="L10799">
        <v>24930000</v>
      </c>
      <c r="M10799">
        <v>24930000</v>
      </c>
      <c r="N10799">
        <v>24930000</v>
      </c>
      <c r="O10799">
        <v>24930000</v>
      </c>
      <c r="P10799">
        <v>24930000</v>
      </c>
      <c r="Q10799">
        <v>24930000</v>
      </c>
      <c r="R10799" s="14">
        <f>_xlfn.XLOOKUP(Table2[[#This Row],[LoanID]],Table1[G-L ID],Table1[ManagerCode],-99)</f>
        <v>220</v>
      </c>
      <c r="T10799"/>
    </row>
    <row r="10800" spans="1:20" x14ac:dyDescent="0.25">
      <c r="A10800">
        <v>20200430</v>
      </c>
      <c r="B10800">
        <v>2020</v>
      </c>
      <c r="C10800">
        <v>4</v>
      </c>
      <c r="D10800">
        <v>1</v>
      </c>
      <c r="E10800">
        <v>14820</v>
      </c>
      <c r="F10800">
        <v>93660.88</v>
      </c>
      <c r="G10800">
        <v>0</v>
      </c>
      <c r="H10800">
        <v>0</v>
      </c>
      <c r="I10800">
        <v>0</v>
      </c>
      <c r="J10800">
        <v>0</v>
      </c>
      <c r="K10800">
        <v>0</v>
      </c>
      <c r="L10800">
        <v>23287391.140000001</v>
      </c>
      <c r="M10800">
        <v>23287391.140000001</v>
      </c>
      <c r="N10800">
        <v>6404032.5599999996</v>
      </c>
      <c r="O10800">
        <v>6404032.5599999996</v>
      </c>
      <c r="P10800">
        <v>23287391.140000001</v>
      </c>
      <c r="Q10800">
        <v>23287391.140000001</v>
      </c>
      <c r="R10800" s="14">
        <f>_xlfn.XLOOKUP(Table2[[#This Row],[LoanID]],Table1[G-L ID],Table1[ManagerCode],-99)</f>
        <v>220</v>
      </c>
      <c r="T10800"/>
    </row>
    <row r="10801" spans="1:20" x14ac:dyDescent="0.25">
      <c r="A10801">
        <v>20200430</v>
      </c>
      <c r="B10801">
        <v>2020</v>
      </c>
      <c r="C10801">
        <v>4</v>
      </c>
      <c r="D10801">
        <v>1</v>
      </c>
      <c r="E10801">
        <v>14840</v>
      </c>
      <c r="F10801">
        <v>85987.9</v>
      </c>
      <c r="G10801">
        <v>0</v>
      </c>
      <c r="H10801">
        <v>0</v>
      </c>
      <c r="I10801">
        <v>0</v>
      </c>
      <c r="J10801">
        <v>-172921.87</v>
      </c>
      <c r="K10801">
        <v>0</v>
      </c>
      <c r="L10801">
        <v>32514668.289999999</v>
      </c>
      <c r="M10801">
        <v>32687590.16</v>
      </c>
      <c r="N10801">
        <v>13316135.25</v>
      </c>
      <c r="O10801">
        <v>13489057.119999999</v>
      </c>
      <c r="P10801">
        <v>32484668.289999999</v>
      </c>
      <c r="Q10801">
        <v>32657590.16</v>
      </c>
      <c r="R10801" s="14">
        <f>_xlfn.XLOOKUP(Table2[[#This Row],[LoanID]],Table1[G-L ID],Table1[ManagerCode],-99)</f>
        <v>220</v>
      </c>
      <c r="T10801"/>
    </row>
    <row r="10802" spans="1:20" x14ac:dyDescent="0.25">
      <c r="A10802">
        <v>20200430</v>
      </c>
      <c r="B10802">
        <v>2020</v>
      </c>
      <c r="C10802">
        <v>4</v>
      </c>
      <c r="D10802">
        <v>1</v>
      </c>
      <c r="E10802">
        <v>14850</v>
      </c>
      <c r="F10802">
        <v>197243.38</v>
      </c>
      <c r="G10802">
        <v>0</v>
      </c>
      <c r="H10802">
        <v>0</v>
      </c>
      <c r="I10802">
        <v>0</v>
      </c>
      <c r="J10802">
        <v>0</v>
      </c>
      <c r="K10802">
        <v>0</v>
      </c>
      <c r="L10802">
        <v>88357504.379999995</v>
      </c>
      <c r="M10802">
        <v>88265094.780000001</v>
      </c>
      <c r="N10802">
        <v>36728978.5</v>
      </c>
      <c r="O10802">
        <v>36636568.899999999</v>
      </c>
      <c r="P10802">
        <v>88282409.599999994</v>
      </c>
      <c r="Q10802">
        <v>88282409.599999994</v>
      </c>
      <c r="R10802" s="14">
        <f>_xlfn.XLOOKUP(Table2[[#This Row],[LoanID]],Table1[G-L ID],Table1[ManagerCode],-99)</f>
        <v>220</v>
      </c>
      <c r="T10802"/>
    </row>
    <row r="10803" spans="1:20" x14ac:dyDescent="0.25">
      <c r="A10803">
        <v>20200430</v>
      </c>
      <c r="B10803">
        <v>2020</v>
      </c>
      <c r="C10803">
        <v>4</v>
      </c>
      <c r="D10803">
        <v>1</v>
      </c>
      <c r="E10803">
        <v>14870</v>
      </c>
      <c r="F10803">
        <v>643760.17000000004</v>
      </c>
      <c r="G10803">
        <v>0</v>
      </c>
      <c r="H10803">
        <v>0</v>
      </c>
      <c r="I10803">
        <v>0</v>
      </c>
      <c r="J10803">
        <v>0</v>
      </c>
      <c r="K10803">
        <v>0</v>
      </c>
      <c r="L10803">
        <v>124620522</v>
      </c>
      <c r="M10803">
        <v>124620522</v>
      </c>
      <c r="N10803">
        <v>124619522</v>
      </c>
      <c r="O10803">
        <v>124619522</v>
      </c>
      <c r="P10803">
        <v>124551742</v>
      </c>
      <c r="Q10803">
        <v>124551742</v>
      </c>
      <c r="R10803" s="14">
        <f>_xlfn.XLOOKUP(Table2[[#This Row],[LoanID]],Table1[G-L ID],Table1[ManagerCode],-99)</f>
        <v>220</v>
      </c>
      <c r="T10803"/>
    </row>
    <row r="10804" spans="1:20" x14ac:dyDescent="0.25">
      <c r="A10804">
        <v>20200430</v>
      </c>
      <c r="B10804">
        <v>2020</v>
      </c>
      <c r="C10804">
        <v>4</v>
      </c>
      <c r="D10804">
        <v>1</v>
      </c>
      <c r="E10804">
        <v>14880</v>
      </c>
      <c r="F10804">
        <v>136271.07</v>
      </c>
      <c r="G10804">
        <v>0</v>
      </c>
      <c r="H10804">
        <v>0</v>
      </c>
      <c r="I10804">
        <v>0</v>
      </c>
      <c r="J10804">
        <v>0</v>
      </c>
      <c r="K10804">
        <v>0</v>
      </c>
      <c r="L10804">
        <v>20296304.09</v>
      </c>
      <c r="M10804">
        <v>20296304.09</v>
      </c>
      <c r="N10804">
        <v>20296304.09</v>
      </c>
      <c r="O10804">
        <v>20296304.09</v>
      </c>
      <c r="P10804">
        <v>20296304.09</v>
      </c>
      <c r="Q10804">
        <v>20296304.09</v>
      </c>
      <c r="R10804" s="14">
        <f>_xlfn.XLOOKUP(Table2[[#This Row],[LoanID]],Table1[G-L ID],Table1[ManagerCode],-99)</f>
        <v>220</v>
      </c>
      <c r="T10804"/>
    </row>
    <row r="10805" spans="1:20" x14ac:dyDescent="0.25">
      <c r="A10805">
        <v>20200430</v>
      </c>
      <c r="B10805">
        <v>2020</v>
      </c>
      <c r="C10805">
        <v>4</v>
      </c>
      <c r="D10805">
        <v>1</v>
      </c>
      <c r="E10805">
        <v>14890</v>
      </c>
      <c r="F10805">
        <v>70995.350000000006</v>
      </c>
      <c r="G10805">
        <v>0</v>
      </c>
      <c r="H10805">
        <v>0</v>
      </c>
      <c r="I10805">
        <v>0</v>
      </c>
      <c r="J10805">
        <v>0</v>
      </c>
      <c r="K10805">
        <v>0</v>
      </c>
      <c r="L10805">
        <v>34000000</v>
      </c>
      <c r="M10805">
        <v>34000000</v>
      </c>
      <c r="N10805">
        <v>14177663.98</v>
      </c>
      <c r="O10805">
        <v>14177663.98</v>
      </c>
      <c r="P10805">
        <v>34000000</v>
      </c>
      <c r="Q10805">
        <v>34000000</v>
      </c>
      <c r="R10805" s="14">
        <f>_xlfn.XLOOKUP(Table2[[#This Row],[LoanID]],Table1[G-L ID],Table1[ManagerCode],-99)</f>
        <v>220</v>
      </c>
      <c r="T10805"/>
    </row>
    <row r="10806" spans="1:20" x14ac:dyDescent="0.25">
      <c r="A10806">
        <v>20200430</v>
      </c>
      <c r="B10806">
        <v>2020</v>
      </c>
      <c r="C10806">
        <v>4</v>
      </c>
      <c r="D10806">
        <v>1</v>
      </c>
      <c r="E10806">
        <v>14900</v>
      </c>
      <c r="F10806">
        <v>139767.72</v>
      </c>
      <c r="G10806">
        <v>0</v>
      </c>
      <c r="H10806">
        <v>0</v>
      </c>
      <c r="I10806">
        <v>0</v>
      </c>
      <c r="J10806">
        <v>-180701</v>
      </c>
      <c r="K10806">
        <v>0</v>
      </c>
      <c r="L10806">
        <v>66096659.850000001</v>
      </c>
      <c r="M10806">
        <v>66277360.850000001</v>
      </c>
      <c r="N10806">
        <v>24496659.850000001</v>
      </c>
      <c r="O10806">
        <v>24677360.850000001</v>
      </c>
      <c r="P10806">
        <v>66096659.850000001</v>
      </c>
      <c r="Q10806">
        <v>66277360.850000001</v>
      </c>
      <c r="R10806" s="14">
        <f>_xlfn.XLOOKUP(Table2[[#This Row],[LoanID]],Table1[G-L ID],Table1[ManagerCode],-99)</f>
        <v>220</v>
      </c>
      <c r="T10806"/>
    </row>
    <row r="10807" spans="1:20" x14ac:dyDescent="0.25">
      <c r="A10807">
        <v>20200430</v>
      </c>
      <c r="B10807">
        <v>2020</v>
      </c>
      <c r="C10807">
        <v>4</v>
      </c>
      <c r="D10807">
        <v>1</v>
      </c>
      <c r="E10807">
        <v>14910</v>
      </c>
      <c r="F10807">
        <v>109318.12</v>
      </c>
      <c r="G10807">
        <v>0</v>
      </c>
      <c r="H10807">
        <v>0</v>
      </c>
      <c r="I10807">
        <v>0</v>
      </c>
      <c r="J10807">
        <v>0</v>
      </c>
      <c r="K10807">
        <v>0</v>
      </c>
      <c r="L10807">
        <v>39447378.079999998</v>
      </c>
      <c r="M10807">
        <v>39447378.079999998</v>
      </c>
      <c r="N10807">
        <v>12847378.08</v>
      </c>
      <c r="O10807">
        <v>12847378.08</v>
      </c>
      <c r="P10807">
        <v>39447378.079999998</v>
      </c>
      <c r="Q10807">
        <v>39447378.079999998</v>
      </c>
      <c r="R10807" s="14">
        <f>_xlfn.XLOOKUP(Table2[[#This Row],[LoanID]],Table1[G-L ID],Table1[ManagerCode],-99)</f>
        <v>220</v>
      </c>
      <c r="T10807"/>
    </row>
    <row r="10808" spans="1:20" x14ac:dyDescent="0.25">
      <c r="A10808">
        <v>20200430</v>
      </c>
      <c r="B10808">
        <v>2020</v>
      </c>
      <c r="C10808">
        <v>4</v>
      </c>
      <c r="D10808">
        <v>1</v>
      </c>
      <c r="E10808">
        <v>14920</v>
      </c>
      <c r="F10808">
        <v>193317.07</v>
      </c>
      <c r="G10808">
        <v>0</v>
      </c>
      <c r="H10808">
        <v>0</v>
      </c>
      <c r="I10808">
        <v>0</v>
      </c>
      <c r="J10808">
        <v>-146299.28</v>
      </c>
      <c r="K10808">
        <v>0</v>
      </c>
      <c r="L10808">
        <v>71008110.709999993</v>
      </c>
      <c r="M10808">
        <v>71154409.989999995</v>
      </c>
      <c r="N10808">
        <v>22008110.710000001</v>
      </c>
      <c r="O10808">
        <v>22154409.989999998</v>
      </c>
      <c r="P10808">
        <v>71008110.709999993</v>
      </c>
      <c r="Q10808">
        <v>71154409.989999995</v>
      </c>
      <c r="R10808" s="14">
        <f>_xlfn.XLOOKUP(Table2[[#This Row],[LoanID]],Table1[G-L ID],Table1[ManagerCode],-99)</f>
        <v>220</v>
      </c>
      <c r="T10808"/>
    </row>
    <row r="10809" spans="1:20" x14ac:dyDescent="0.25">
      <c r="A10809">
        <v>20200430</v>
      </c>
      <c r="B10809">
        <v>2020</v>
      </c>
      <c r="C10809">
        <v>4</v>
      </c>
      <c r="D10809">
        <v>1</v>
      </c>
      <c r="E10809">
        <v>14930</v>
      </c>
      <c r="F10809">
        <v>117384.52</v>
      </c>
      <c r="G10809">
        <v>0</v>
      </c>
      <c r="H10809">
        <v>0</v>
      </c>
      <c r="I10809">
        <v>0</v>
      </c>
      <c r="J10809">
        <v>0</v>
      </c>
      <c r="K10809">
        <v>0</v>
      </c>
      <c r="L10809">
        <v>54540000</v>
      </c>
      <c r="M10809">
        <v>55020000</v>
      </c>
      <c r="N10809">
        <v>18790000</v>
      </c>
      <c r="O10809">
        <v>19270000</v>
      </c>
      <c r="P10809">
        <v>55000000</v>
      </c>
      <c r="Q10809">
        <v>55000000</v>
      </c>
      <c r="R10809" s="14">
        <f>_xlfn.XLOOKUP(Table2[[#This Row],[LoanID]],Table1[G-L ID],Table1[ManagerCode],-99)</f>
        <v>220</v>
      </c>
      <c r="T10809"/>
    </row>
    <row r="10810" spans="1:20" x14ac:dyDescent="0.25">
      <c r="A10810">
        <v>20200430</v>
      </c>
      <c r="B10810">
        <v>2020</v>
      </c>
      <c r="C10810">
        <v>4</v>
      </c>
      <c r="D10810">
        <v>1</v>
      </c>
      <c r="E10810">
        <v>14940</v>
      </c>
      <c r="F10810">
        <v>194297.07</v>
      </c>
      <c r="G10810">
        <v>0</v>
      </c>
      <c r="H10810">
        <v>0</v>
      </c>
      <c r="I10810">
        <v>0</v>
      </c>
      <c r="J10810">
        <v>-893043.06</v>
      </c>
      <c r="K10810">
        <v>0</v>
      </c>
      <c r="L10810">
        <v>77160000</v>
      </c>
      <c r="M10810">
        <v>78053043.060000002</v>
      </c>
      <c r="N10810">
        <v>38704058.229999997</v>
      </c>
      <c r="O10810">
        <v>39597101.289999999</v>
      </c>
      <c r="P10810">
        <v>77056934.879999995</v>
      </c>
      <c r="Q10810">
        <v>77949977.939999998</v>
      </c>
      <c r="R10810" s="14">
        <f>_xlfn.XLOOKUP(Table2[[#This Row],[LoanID]],Table1[G-L ID],Table1[ManagerCode],-99)</f>
        <v>220</v>
      </c>
      <c r="T10810"/>
    </row>
    <row r="10811" spans="1:20" x14ac:dyDescent="0.25">
      <c r="A10811">
        <v>20200430</v>
      </c>
      <c r="B10811">
        <v>2020</v>
      </c>
      <c r="C10811">
        <v>4</v>
      </c>
      <c r="D10811">
        <v>1</v>
      </c>
      <c r="E10811">
        <v>14960</v>
      </c>
      <c r="F10811">
        <v>56066.95</v>
      </c>
      <c r="G10811">
        <v>0</v>
      </c>
      <c r="H10811">
        <v>0</v>
      </c>
      <c r="I10811">
        <v>0</v>
      </c>
      <c r="J10811">
        <v>0</v>
      </c>
      <c r="K10811">
        <v>0</v>
      </c>
      <c r="L10811">
        <v>14840000</v>
      </c>
      <c r="M10811">
        <v>14840000</v>
      </c>
      <c r="N10811">
        <v>14839000</v>
      </c>
      <c r="O10811">
        <v>14839000</v>
      </c>
      <c r="P10811">
        <v>14805000</v>
      </c>
      <c r="Q10811">
        <v>14805000</v>
      </c>
      <c r="R10811" s="14">
        <f>_xlfn.XLOOKUP(Table2[[#This Row],[LoanID]],Table1[G-L ID],Table1[ManagerCode],-99)</f>
        <v>220</v>
      </c>
      <c r="T10811"/>
    </row>
    <row r="10812" spans="1:20" x14ac:dyDescent="0.25">
      <c r="A10812">
        <v>20200430</v>
      </c>
      <c r="B10812">
        <v>2020</v>
      </c>
      <c r="C10812">
        <v>4</v>
      </c>
      <c r="D10812">
        <v>1</v>
      </c>
      <c r="E10812">
        <v>14970</v>
      </c>
      <c r="F10812">
        <v>86903.85</v>
      </c>
      <c r="G10812">
        <v>0</v>
      </c>
      <c r="H10812">
        <v>0</v>
      </c>
      <c r="I10812">
        <v>0</v>
      </c>
      <c r="J10812">
        <v>0</v>
      </c>
      <c r="K10812">
        <v>0</v>
      </c>
      <c r="L10812">
        <v>29700000</v>
      </c>
      <c r="M10812">
        <v>29720000</v>
      </c>
      <c r="N10812">
        <v>10395000</v>
      </c>
      <c r="O10812">
        <v>10415000</v>
      </c>
      <c r="P10812">
        <v>29700000</v>
      </c>
      <c r="Q10812">
        <v>29700000</v>
      </c>
      <c r="R10812" s="14">
        <f>_xlfn.XLOOKUP(Table2[[#This Row],[LoanID]],Table1[G-L ID],Table1[ManagerCode],-99)</f>
        <v>220</v>
      </c>
      <c r="T10812"/>
    </row>
    <row r="10813" spans="1:20" x14ac:dyDescent="0.25">
      <c r="A10813">
        <v>20200430</v>
      </c>
      <c r="B10813">
        <v>2020</v>
      </c>
      <c r="C10813">
        <v>4</v>
      </c>
      <c r="D10813">
        <v>1</v>
      </c>
      <c r="E10813">
        <v>14980</v>
      </c>
      <c r="F10813">
        <v>205310.42</v>
      </c>
      <c r="G10813">
        <v>0</v>
      </c>
      <c r="H10813">
        <v>0</v>
      </c>
      <c r="I10813">
        <v>0</v>
      </c>
      <c r="J10813">
        <v>0</v>
      </c>
      <c r="K10813">
        <v>0</v>
      </c>
      <c r="L10813">
        <v>75000000</v>
      </c>
      <c r="M10813">
        <v>75040000</v>
      </c>
      <c r="N10813">
        <v>22500000</v>
      </c>
      <c r="O10813">
        <v>22540000</v>
      </c>
      <c r="P10813">
        <v>75000000</v>
      </c>
      <c r="Q10813">
        <v>75000000</v>
      </c>
      <c r="R10813" s="14">
        <f>_xlfn.XLOOKUP(Table2[[#This Row],[LoanID]],Table1[G-L ID],Table1[ManagerCode],-99)</f>
        <v>220</v>
      </c>
      <c r="T10813"/>
    </row>
    <row r="10814" spans="1:20" x14ac:dyDescent="0.25">
      <c r="A10814">
        <v>20200430</v>
      </c>
      <c r="B10814">
        <v>2020</v>
      </c>
      <c r="C10814">
        <v>4</v>
      </c>
      <c r="D10814">
        <v>1</v>
      </c>
      <c r="E10814">
        <v>14990</v>
      </c>
      <c r="F10814">
        <v>86088.97</v>
      </c>
      <c r="G10814">
        <v>0</v>
      </c>
      <c r="H10814">
        <v>0</v>
      </c>
      <c r="I10814">
        <v>0</v>
      </c>
      <c r="J10814">
        <v>-250768.02</v>
      </c>
      <c r="K10814">
        <v>0</v>
      </c>
      <c r="L10814">
        <v>32650000</v>
      </c>
      <c r="M10814">
        <v>33010000</v>
      </c>
      <c r="N10814">
        <v>9795000</v>
      </c>
      <c r="O10814">
        <v>10155000</v>
      </c>
      <c r="P10814">
        <v>32650000</v>
      </c>
      <c r="Q10814">
        <v>32900768.02</v>
      </c>
      <c r="R10814" s="14">
        <f>_xlfn.XLOOKUP(Table2[[#This Row],[LoanID]],Table1[G-L ID],Table1[ManagerCode],-99)</f>
        <v>220</v>
      </c>
      <c r="T10814"/>
    </row>
    <row r="10815" spans="1:20" x14ac:dyDescent="0.25">
      <c r="A10815">
        <v>20200430</v>
      </c>
      <c r="B10815">
        <v>2020</v>
      </c>
      <c r="C10815">
        <v>4</v>
      </c>
      <c r="D10815">
        <v>1</v>
      </c>
      <c r="E10815">
        <v>15000</v>
      </c>
      <c r="F10815">
        <v>211828.95</v>
      </c>
      <c r="G10815">
        <v>0</v>
      </c>
      <c r="H10815">
        <v>0</v>
      </c>
      <c r="I10815">
        <v>0</v>
      </c>
      <c r="J10815">
        <v>0</v>
      </c>
      <c r="K10815">
        <v>0</v>
      </c>
      <c r="L10815">
        <v>113996746.90000001</v>
      </c>
      <c r="M10815">
        <v>113996746.90000001</v>
      </c>
      <c r="N10815">
        <v>36996746.899999999</v>
      </c>
      <c r="O10815">
        <v>36996746.899999999</v>
      </c>
      <c r="P10815">
        <v>113996746.90000001</v>
      </c>
      <c r="Q10815">
        <v>113996746.90000001</v>
      </c>
      <c r="R10815" s="14">
        <f>_xlfn.XLOOKUP(Table2[[#This Row],[LoanID]],Table1[G-L ID],Table1[ManagerCode],-99)</f>
        <v>220</v>
      </c>
      <c r="T10815"/>
    </row>
    <row r="10816" spans="1:20" x14ac:dyDescent="0.25">
      <c r="A10816">
        <v>20200430</v>
      </c>
      <c r="B10816">
        <v>2020</v>
      </c>
      <c r="C10816">
        <v>4</v>
      </c>
      <c r="D10816">
        <v>1</v>
      </c>
      <c r="E10816">
        <v>15010</v>
      </c>
      <c r="F10816">
        <v>89700.98</v>
      </c>
      <c r="G10816">
        <v>0</v>
      </c>
      <c r="H10816">
        <v>0</v>
      </c>
      <c r="I10816">
        <v>0</v>
      </c>
      <c r="J10816">
        <v>0</v>
      </c>
      <c r="K10816">
        <v>0</v>
      </c>
      <c r="L10816">
        <v>30960000</v>
      </c>
      <c r="M10816">
        <v>30960000</v>
      </c>
      <c r="N10816">
        <v>10836000</v>
      </c>
      <c r="O10816">
        <v>10836000</v>
      </c>
      <c r="P10816">
        <v>30960000</v>
      </c>
      <c r="Q10816">
        <v>30960000</v>
      </c>
      <c r="R10816" s="14">
        <f>_xlfn.XLOOKUP(Table2[[#This Row],[LoanID]],Table1[G-L ID],Table1[ManagerCode],-99)</f>
        <v>220</v>
      </c>
      <c r="T10816"/>
    </row>
    <row r="10817" spans="1:20" x14ac:dyDescent="0.25">
      <c r="A10817">
        <v>20200430</v>
      </c>
      <c r="B10817">
        <v>2020</v>
      </c>
      <c r="C10817">
        <v>4</v>
      </c>
      <c r="D10817">
        <v>1</v>
      </c>
      <c r="E10817">
        <v>15020</v>
      </c>
      <c r="F10817">
        <v>183583.34</v>
      </c>
      <c r="G10817">
        <v>0</v>
      </c>
      <c r="H10817">
        <v>0</v>
      </c>
      <c r="I10817">
        <v>0</v>
      </c>
      <c r="J10817">
        <v>0</v>
      </c>
      <c r="K10817">
        <v>0</v>
      </c>
      <c r="L10817">
        <v>69000000</v>
      </c>
      <c r="M10817">
        <v>69340000</v>
      </c>
      <c r="N10817">
        <v>35881358.579999998</v>
      </c>
      <c r="O10817">
        <v>36221358.579999998</v>
      </c>
      <c r="P10817">
        <v>69000000</v>
      </c>
      <c r="Q10817">
        <v>69000000</v>
      </c>
      <c r="R10817" s="14">
        <f>_xlfn.XLOOKUP(Table2[[#This Row],[LoanID]],Table1[G-L ID],Table1[ManagerCode],-99)</f>
        <v>220</v>
      </c>
      <c r="T10817"/>
    </row>
    <row r="10818" spans="1:20" x14ac:dyDescent="0.25">
      <c r="A10818">
        <v>20200430</v>
      </c>
      <c r="B10818">
        <v>2020</v>
      </c>
      <c r="C10818">
        <v>4</v>
      </c>
      <c r="D10818">
        <v>1</v>
      </c>
      <c r="E10818">
        <v>15030</v>
      </c>
      <c r="F10818">
        <v>113425.15</v>
      </c>
      <c r="G10818">
        <v>0</v>
      </c>
      <c r="H10818">
        <v>0</v>
      </c>
      <c r="I10818">
        <v>0</v>
      </c>
      <c r="J10818">
        <v>-227593.09</v>
      </c>
      <c r="K10818">
        <v>0</v>
      </c>
      <c r="L10818">
        <v>41530060.729999997</v>
      </c>
      <c r="M10818">
        <v>41757653.82</v>
      </c>
      <c r="N10818">
        <v>16775343.32</v>
      </c>
      <c r="O10818">
        <v>17002936.41</v>
      </c>
      <c r="P10818">
        <v>41530060.729999997</v>
      </c>
      <c r="Q10818">
        <v>41757653.82</v>
      </c>
      <c r="R10818" s="14">
        <f>_xlfn.XLOOKUP(Table2[[#This Row],[LoanID]],Table1[G-L ID],Table1[ManagerCode],-99)</f>
        <v>220</v>
      </c>
      <c r="T10818"/>
    </row>
    <row r="10819" spans="1:20" x14ac:dyDescent="0.25">
      <c r="A10819">
        <v>20200430</v>
      </c>
      <c r="B10819">
        <v>2020</v>
      </c>
      <c r="C10819">
        <v>4</v>
      </c>
      <c r="D10819">
        <v>1</v>
      </c>
      <c r="E10819">
        <v>15040</v>
      </c>
      <c r="F10819">
        <v>133822.76999999999</v>
      </c>
      <c r="G10819">
        <v>0</v>
      </c>
      <c r="H10819">
        <v>0</v>
      </c>
      <c r="I10819">
        <v>0</v>
      </c>
      <c r="J10819">
        <v>-323238.96999999997</v>
      </c>
      <c r="K10819">
        <v>0</v>
      </c>
      <c r="L10819">
        <v>52186687.219999999</v>
      </c>
      <c r="M10819">
        <v>52434013.539999999</v>
      </c>
      <c r="N10819">
        <v>19101687.219999999</v>
      </c>
      <c r="O10819">
        <v>19349013.539999999</v>
      </c>
      <c r="P10819">
        <v>52278389.219999999</v>
      </c>
      <c r="Q10819">
        <v>52601628.189999998</v>
      </c>
      <c r="R10819" s="14">
        <f>_xlfn.XLOOKUP(Table2[[#This Row],[LoanID]],Table1[G-L ID],Table1[ManagerCode],-99)</f>
        <v>183</v>
      </c>
      <c r="T10819"/>
    </row>
    <row r="10820" spans="1:20" x14ac:dyDescent="0.25">
      <c r="A10820">
        <v>20200430</v>
      </c>
      <c r="B10820">
        <v>2020</v>
      </c>
      <c r="C10820">
        <v>4</v>
      </c>
      <c r="D10820">
        <v>1</v>
      </c>
      <c r="E10820">
        <v>15050</v>
      </c>
      <c r="F10820">
        <v>122860.84</v>
      </c>
      <c r="G10820">
        <v>0</v>
      </c>
      <c r="H10820">
        <v>0</v>
      </c>
      <c r="I10820">
        <v>0</v>
      </c>
      <c r="J10820">
        <v>0</v>
      </c>
      <c r="K10820">
        <v>0</v>
      </c>
      <c r="L10820">
        <v>47510000</v>
      </c>
      <c r="M10820">
        <v>47510000</v>
      </c>
      <c r="N10820">
        <v>16628500</v>
      </c>
      <c r="O10820">
        <v>16628500</v>
      </c>
      <c r="P10820">
        <v>47510000</v>
      </c>
      <c r="Q10820">
        <v>47510000</v>
      </c>
      <c r="R10820" s="14">
        <f>_xlfn.XLOOKUP(Table2[[#This Row],[LoanID]],Table1[G-L ID],Table1[ManagerCode],-99)</f>
        <v>183</v>
      </c>
      <c r="T10820"/>
    </row>
    <row r="10821" spans="1:20" x14ac:dyDescent="0.25">
      <c r="A10821">
        <v>20200430</v>
      </c>
      <c r="B10821">
        <v>2020</v>
      </c>
      <c r="C10821">
        <v>4</v>
      </c>
      <c r="D10821">
        <v>1</v>
      </c>
      <c r="E10821">
        <v>15060</v>
      </c>
      <c r="F10821">
        <v>66967.679999999993</v>
      </c>
      <c r="G10821">
        <v>0</v>
      </c>
      <c r="H10821">
        <v>0</v>
      </c>
      <c r="I10821">
        <v>0</v>
      </c>
      <c r="J10821">
        <v>0</v>
      </c>
      <c r="K10821">
        <v>0</v>
      </c>
      <c r="L10821">
        <v>27750000</v>
      </c>
      <c r="M10821">
        <v>27577530.09</v>
      </c>
      <c r="N10821">
        <v>9712500</v>
      </c>
      <c r="O10821">
        <v>9540030.0899999999</v>
      </c>
      <c r="P10821">
        <v>27750000</v>
      </c>
      <c r="Q10821">
        <v>27750000</v>
      </c>
      <c r="R10821" s="14">
        <f>_xlfn.XLOOKUP(Table2[[#This Row],[LoanID]],Table1[G-L ID],Table1[ManagerCode],-99)</f>
        <v>183</v>
      </c>
      <c r="T10821"/>
    </row>
    <row r="10822" spans="1:20" x14ac:dyDescent="0.25">
      <c r="A10822">
        <v>20200430</v>
      </c>
      <c r="B10822">
        <v>2020</v>
      </c>
      <c r="C10822">
        <v>4</v>
      </c>
      <c r="D10822">
        <v>1</v>
      </c>
      <c r="E10822">
        <v>15070</v>
      </c>
      <c r="F10822">
        <v>177915.64</v>
      </c>
      <c r="G10822">
        <v>0</v>
      </c>
      <c r="H10822">
        <v>0</v>
      </c>
      <c r="I10822">
        <v>0</v>
      </c>
      <c r="J10822">
        <v>0</v>
      </c>
      <c r="K10822">
        <v>0</v>
      </c>
      <c r="L10822">
        <v>78496428.150000006</v>
      </c>
      <c r="M10822">
        <v>78496428.150000006</v>
      </c>
      <c r="N10822">
        <v>24245728.149999999</v>
      </c>
      <c r="O10822">
        <v>24245728.149999999</v>
      </c>
      <c r="P10822">
        <v>78496428.150000006</v>
      </c>
      <c r="Q10822">
        <v>78496428.150000006</v>
      </c>
      <c r="R10822" s="14">
        <f>_xlfn.XLOOKUP(Table2[[#This Row],[LoanID]],Table1[G-L ID],Table1[ManagerCode],-99)</f>
        <v>183</v>
      </c>
      <c r="T10822"/>
    </row>
    <row r="10823" spans="1:20" x14ac:dyDescent="0.25">
      <c r="A10823">
        <v>20200430</v>
      </c>
      <c r="B10823">
        <v>2020</v>
      </c>
      <c r="C10823">
        <v>4</v>
      </c>
      <c r="D10823">
        <v>1</v>
      </c>
      <c r="E10823">
        <v>15350</v>
      </c>
      <c r="F10823">
        <v>228194.44</v>
      </c>
      <c r="G10823">
        <v>-7361.11</v>
      </c>
      <c r="H10823">
        <v>0</v>
      </c>
      <c r="I10823">
        <v>0</v>
      </c>
      <c r="J10823">
        <v>0</v>
      </c>
      <c r="K10823">
        <v>0</v>
      </c>
      <c r="L10823">
        <v>40228194.439999998</v>
      </c>
      <c r="M10823">
        <v>40220833.329999998</v>
      </c>
      <c r="N10823">
        <v>40228194.439999998</v>
      </c>
      <c r="O10823">
        <v>40220833.329999998</v>
      </c>
      <c r="P10823">
        <v>40228194.439999998</v>
      </c>
      <c r="Q10823">
        <v>40220833.329999998</v>
      </c>
      <c r="R10823" s="14">
        <f>_xlfn.XLOOKUP(Table2[[#This Row],[LoanID]],Table1[G-L ID],Table1[ManagerCode],-99)</f>
        <v>219</v>
      </c>
      <c r="T10823"/>
    </row>
    <row r="10824" spans="1:20" x14ac:dyDescent="0.25">
      <c r="A10824">
        <v>20200430</v>
      </c>
      <c r="B10824">
        <v>2020</v>
      </c>
      <c r="C10824">
        <v>4</v>
      </c>
      <c r="D10824">
        <v>1</v>
      </c>
      <c r="E10824">
        <v>15360</v>
      </c>
      <c r="F10824">
        <v>15924.47</v>
      </c>
      <c r="G10824">
        <v>17841.3</v>
      </c>
      <c r="H10824">
        <v>0</v>
      </c>
      <c r="I10824">
        <v>0</v>
      </c>
      <c r="J10824">
        <v>-747610.66</v>
      </c>
      <c r="K10824">
        <v>0</v>
      </c>
      <c r="L10824">
        <v>3095594.1</v>
      </c>
      <c r="M10824">
        <v>3861046.06</v>
      </c>
      <c r="N10824">
        <v>3095594.1</v>
      </c>
      <c r="O10824">
        <v>3861046.06</v>
      </c>
      <c r="P10824">
        <v>3095594.1</v>
      </c>
      <c r="Q10824">
        <v>3861046.06</v>
      </c>
      <c r="R10824" s="14">
        <f>_xlfn.XLOOKUP(Table2[[#This Row],[LoanID]],Table1[G-L ID],Table1[ManagerCode],-99)</f>
        <v>219</v>
      </c>
      <c r="T10824"/>
    </row>
    <row r="10825" spans="1:20" x14ac:dyDescent="0.25">
      <c r="A10825">
        <v>20200430</v>
      </c>
      <c r="B10825">
        <v>2020</v>
      </c>
      <c r="C10825">
        <v>4</v>
      </c>
      <c r="D10825">
        <v>1</v>
      </c>
      <c r="E10825">
        <v>15370</v>
      </c>
      <c r="F10825">
        <v>450114.31</v>
      </c>
      <c r="G10825">
        <v>0</v>
      </c>
      <c r="H10825">
        <v>0</v>
      </c>
      <c r="I10825">
        <v>0</v>
      </c>
      <c r="J10825">
        <v>-2503617.88</v>
      </c>
      <c r="K10825">
        <v>66895982.030000001</v>
      </c>
      <c r="L10825">
        <v>108989685.5</v>
      </c>
      <c r="M10825">
        <v>111493303.40000001</v>
      </c>
      <c r="N10825">
        <v>108989685.5</v>
      </c>
      <c r="O10825">
        <v>44597321.369999997</v>
      </c>
      <c r="P10825">
        <v>108989685.5</v>
      </c>
      <c r="Q10825">
        <v>111493303.40000001</v>
      </c>
      <c r="R10825" s="14">
        <f>_xlfn.XLOOKUP(Table2[[#This Row],[LoanID]],Table1[G-L ID],Table1[ManagerCode],-99)</f>
        <v>220</v>
      </c>
      <c r="T10825"/>
    </row>
    <row r="10826" spans="1:20" x14ac:dyDescent="0.25">
      <c r="A10826">
        <v>20200430</v>
      </c>
      <c r="B10826">
        <v>2020</v>
      </c>
      <c r="C10826">
        <v>4</v>
      </c>
      <c r="D10826">
        <v>1</v>
      </c>
      <c r="E10826">
        <v>15380</v>
      </c>
      <c r="F10826">
        <v>89456.85</v>
      </c>
      <c r="G10826">
        <v>0</v>
      </c>
      <c r="H10826">
        <v>0</v>
      </c>
      <c r="I10826">
        <v>0</v>
      </c>
      <c r="J10826">
        <v>0</v>
      </c>
      <c r="K10826">
        <v>0</v>
      </c>
      <c r="L10826">
        <v>35200505.659999996</v>
      </c>
      <c r="M10826">
        <v>35320000</v>
      </c>
      <c r="N10826">
        <v>12496005.66</v>
      </c>
      <c r="O10826">
        <v>12615500</v>
      </c>
      <c r="P10826">
        <v>35200505.659999996</v>
      </c>
      <c r="Q10826">
        <v>35200505.659999996</v>
      </c>
      <c r="R10826" s="14">
        <f>_xlfn.XLOOKUP(Table2[[#This Row],[LoanID]],Table1[G-L ID],Table1[ManagerCode],-99)</f>
        <v>220</v>
      </c>
      <c r="T10826"/>
    </row>
    <row r="10827" spans="1:20" x14ac:dyDescent="0.25">
      <c r="A10827">
        <v>20200430</v>
      </c>
      <c r="B10827">
        <v>2020</v>
      </c>
      <c r="C10827">
        <v>4</v>
      </c>
      <c r="D10827">
        <v>1</v>
      </c>
      <c r="E10827">
        <v>15390</v>
      </c>
      <c r="F10827">
        <v>89215.49</v>
      </c>
      <c r="G10827">
        <v>0</v>
      </c>
      <c r="H10827">
        <v>0</v>
      </c>
      <c r="I10827">
        <v>0</v>
      </c>
      <c r="J10827">
        <v>0</v>
      </c>
      <c r="K10827">
        <v>0</v>
      </c>
      <c r="L10827">
        <v>36879104.899999999</v>
      </c>
      <c r="M10827">
        <v>36879104.899999999</v>
      </c>
      <c r="N10827">
        <v>12169104.9</v>
      </c>
      <c r="O10827">
        <v>12169104.9</v>
      </c>
      <c r="P10827">
        <v>36879104.899999999</v>
      </c>
      <c r="Q10827">
        <v>36879104.899999999</v>
      </c>
      <c r="R10827" s="14">
        <f>_xlfn.XLOOKUP(Table2[[#This Row],[LoanID]],Table1[G-L ID],Table1[ManagerCode],-99)</f>
        <v>220</v>
      </c>
      <c r="T10827"/>
    </row>
    <row r="10828" spans="1:20" x14ac:dyDescent="0.25">
      <c r="A10828">
        <v>20200430</v>
      </c>
      <c r="B10828">
        <v>2020</v>
      </c>
      <c r="C10828">
        <v>4</v>
      </c>
      <c r="D10828">
        <v>1</v>
      </c>
      <c r="E10828">
        <v>15400</v>
      </c>
      <c r="F10828">
        <v>75412.66</v>
      </c>
      <c r="G10828">
        <v>0</v>
      </c>
      <c r="H10828">
        <v>0</v>
      </c>
      <c r="I10828">
        <v>0</v>
      </c>
      <c r="J10828">
        <v>0</v>
      </c>
      <c r="K10828">
        <v>0</v>
      </c>
      <c r="L10828">
        <v>22895683.620000001</v>
      </c>
      <c r="M10828">
        <v>22895683.620000001</v>
      </c>
      <c r="N10828">
        <v>22895683.620000001</v>
      </c>
      <c r="O10828">
        <v>22895683.620000001</v>
      </c>
      <c r="P10828">
        <v>22895683.620000001</v>
      </c>
      <c r="Q10828">
        <v>22895683.620000001</v>
      </c>
      <c r="R10828" s="14">
        <f>_xlfn.XLOOKUP(Table2[[#This Row],[LoanID]],Table1[G-L ID],Table1[ManagerCode],-99)</f>
        <v>220</v>
      </c>
      <c r="T10828"/>
    </row>
    <row r="10829" spans="1:20" x14ac:dyDescent="0.25">
      <c r="A10829">
        <v>20200430</v>
      </c>
      <c r="B10829">
        <v>2020</v>
      </c>
      <c r="C10829">
        <v>4</v>
      </c>
      <c r="D10829">
        <v>1</v>
      </c>
      <c r="E10829">
        <v>15410</v>
      </c>
      <c r="F10829">
        <v>152272</v>
      </c>
      <c r="G10829">
        <v>0</v>
      </c>
      <c r="H10829">
        <v>0</v>
      </c>
      <c r="I10829">
        <v>0</v>
      </c>
      <c r="J10829">
        <v>0</v>
      </c>
      <c r="K10829">
        <v>0</v>
      </c>
      <c r="L10829">
        <v>64000000</v>
      </c>
      <c r="M10829">
        <v>64000000</v>
      </c>
      <c r="N10829">
        <v>19200000</v>
      </c>
      <c r="O10829">
        <v>19200000</v>
      </c>
      <c r="P10829">
        <v>64000000</v>
      </c>
      <c r="Q10829">
        <v>64000000</v>
      </c>
      <c r="R10829" s="14">
        <f>_xlfn.XLOOKUP(Table2[[#This Row],[LoanID]],Table1[G-L ID],Table1[ManagerCode],-99)</f>
        <v>220</v>
      </c>
      <c r="T10829"/>
    </row>
    <row r="10830" spans="1:20" x14ac:dyDescent="0.25">
      <c r="A10830">
        <v>20200430</v>
      </c>
      <c r="B10830">
        <v>2020</v>
      </c>
      <c r="C10830">
        <v>4</v>
      </c>
      <c r="D10830">
        <v>1</v>
      </c>
      <c r="E10830">
        <v>15420</v>
      </c>
      <c r="F10830">
        <v>87805.8</v>
      </c>
      <c r="G10830">
        <v>0</v>
      </c>
      <c r="H10830">
        <v>0</v>
      </c>
      <c r="I10830">
        <v>0</v>
      </c>
      <c r="J10830">
        <v>0</v>
      </c>
      <c r="K10830">
        <v>0</v>
      </c>
      <c r="L10830">
        <v>44630000</v>
      </c>
      <c r="M10830">
        <v>44141378.490000002</v>
      </c>
      <c r="N10830">
        <v>15620500</v>
      </c>
      <c r="O10830">
        <v>15131878.49</v>
      </c>
      <c r="P10830">
        <v>44630000</v>
      </c>
      <c r="Q10830">
        <v>44630000</v>
      </c>
      <c r="R10830" s="14">
        <f>_xlfn.XLOOKUP(Table2[[#This Row],[LoanID]],Table1[G-L ID],Table1[ManagerCode],-99)</f>
        <v>183</v>
      </c>
      <c r="T10830"/>
    </row>
    <row r="10831" spans="1:20" x14ac:dyDescent="0.25">
      <c r="A10831">
        <v>20200430</v>
      </c>
      <c r="B10831">
        <v>2020</v>
      </c>
      <c r="C10831">
        <v>4</v>
      </c>
      <c r="D10831">
        <v>1</v>
      </c>
      <c r="E10831">
        <v>15430</v>
      </c>
      <c r="F10831">
        <v>100844.1</v>
      </c>
      <c r="G10831">
        <v>0</v>
      </c>
      <c r="H10831">
        <v>0</v>
      </c>
      <c r="I10831">
        <v>0</v>
      </c>
      <c r="J10831">
        <v>-330841.59999999998</v>
      </c>
      <c r="K10831">
        <v>0</v>
      </c>
      <c r="L10831">
        <v>51159506.840000004</v>
      </c>
      <c r="M10831">
        <v>51490348.439999998</v>
      </c>
      <c r="N10831">
        <v>17967386.84</v>
      </c>
      <c r="O10831">
        <v>18298228.440000001</v>
      </c>
      <c r="P10831">
        <v>51159506.840000004</v>
      </c>
      <c r="Q10831">
        <v>51490348.439999998</v>
      </c>
      <c r="R10831" s="14">
        <f>_xlfn.XLOOKUP(Table2[[#This Row],[LoanID]],Table1[G-L ID],Table1[ManagerCode],-99)</f>
        <v>183</v>
      </c>
      <c r="T10831"/>
    </row>
    <row r="10832" spans="1:20" x14ac:dyDescent="0.25">
      <c r="A10832">
        <v>20200430</v>
      </c>
      <c r="B10832">
        <v>2020</v>
      </c>
      <c r="C10832">
        <v>4</v>
      </c>
      <c r="D10832">
        <v>1</v>
      </c>
      <c r="E10832">
        <v>15440</v>
      </c>
      <c r="F10832">
        <v>45029.599999999999</v>
      </c>
      <c r="G10832">
        <v>0</v>
      </c>
      <c r="H10832">
        <v>0</v>
      </c>
      <c r="I10832">
        <v>0</v>
      </c>
      <c r="J10832">
        <v>0</v>
      </c>
      <c r="K10832">
        <v>0</v>
      </c>
      <c r="L10832">
        <v>21443599</v>
      </c>
      <c r="M10832">
        <v>21297163.140000001</v>
      </c>
      <c r="N10832">
        <v>7468599</v>
      </c>
      <c r="O10832">
        <v>7322163.1399999997</v>
      </c>
      <c r="P10832">
        <v>21500000</v>
      </c>
      <c r="Q10832">
        <v>21500000</v>
      </c>
      <c r="R10832" s="14">
        <f>_xlfn.XLOOKUP(Table2[[#This Row],[LoanID]],Table1[G-L ID],Table1[ManagerCode],-99)</f>
        <v>183</v>
      </c>
      <c r="T10832"/>
    </row>
    <row r="10833" spans="1:20" x14ac:dyDescent="0.25">
      <c r="A10833">
        <v>20200430</v>
      </c>
      <c r="B10833">
        <v>2020</v>
      </c>
      <c r="C10833">
        <v>4</v>
      </c>
      <c r="D10833">
        <v>1</v>
      </c>
      <c r="E10833">
        <v>15450</v>
      </c>
      <c r="F10833">
        <v>59022.5</v>
      </c>
      <c r="G10833">
        <v>0</v>
      </c>
      <c r="H10833">
        <v>0</v>
      </c>
      <c r="I10833">
        <v>0</v>
      </c>
      <c r="J10833">
        <v>0</v>
      </c>
      <c r="K10833">
        <v>0</v>
      </c>
      <c r="L10833">
        <v>29941975</v>
      </c>
      <c r="M10833">
        <v>29845741.899999999</v>
      </c>
      <c r="N10833">
        <v>10441975</v>
      </c>
      <c r="O10833">
        <v>10345741.9</v>
      </c>
      <c r="P10833">
        <v>30000000</v>
      </c>
      <c r="Q10833">
        <v>30000000</v>
      </c>
      <c r="R10833" s="14">
        <f>_xlfn.XLOOKUP(Table2[[#This Row],[LoanID]],Table1[G-L ID],Table1[ManagerCode],-99)</f>
        <v>183</v>
      </c>
      <c r="T10833"/>
    </row>
    <row r="10834" spans="1:20" x14ac:dyDescent="0.25">
      <c r="A10834">
        <v>20200430</v>
      </c>
      <c r="B10834">
        <v>2020</v>
      </c>
      <c r="C10834">
        <v>4</v>
      </c>
      <c r="D10834">
        <v>1</v>
      </c>
      <c r="E10834">
        <v>15460</v>
      </c>
      <c r="F10834">
        <v>175408.18</v>
      </c>
      <c r="G10834">
        <v>0</v>
      </c>
      <c r="H10834">
        <v>0</v>
      </c>
      <c r="I10834">
        <v>0</v>
      </c>
      <c r="J10834">
        <v>-638223</v>
      </c>
      <c r="K10834">
        <v>0</v>
      </c>
      <c r="L10834">
        <v>68756834.489999995</v>
      </c>
      <c r="M10834">
        <v>69091747.969999999</v>
      </c>
      <c r="N10834">
        <v>30998334.489999998</v>
      </c>
      <c r="O10834">
        <v>31333247.969999999</v>
      </c>
      <c r="P10834">
        <v>68981046.489999995</v>
      </c>
      <c r="Q10834">
        <v>69619269.489999995</v>
      </c>
      <c r="R10834" s="14">
        <f>_xlfn.XLOOKUP(Table2[[#This Row],[LoanID]],Table1[G-L ID],Table1[ManagerCode],-99)</f>
        <v>183</v>
      </c>
      <c r="T10834"/>
    </row>
    <row r="10835" spans="1:20" x14ac:dyDescent="0.25">
      <c r="A10835">
        <v>20200430</v>
      </c>
      <c r="B10835">
        <v>2020</v>
      </c>
      <c r="C10835">
        <v>4</v>
      </c>
      <c r="D10835">
        <v>1</v>
      </c>
      <c r="E10835">
        <v>15470</v>
      </c>
      <c r="F10835">
        <v>274312.5</v>
      </c>
      <c r="G10835">
        <v>0</v>
      </c>
      <c r="H10835">
        <v>0</v>
      </c>
      <c r="I10835">
        <v>0</v>
      </c>
      <c r="J10835">
        <v>0</v>
      </c>
      <c r="K10835">
        <v>0</v>
      </c>
      <c r="L10835">
        <v>85121870</v>
      </c>
      <c r="M10835">
        <v>84612280.040000007</v>
      </c>
      <c r="N10835">
        <v>85121870</v>
      </c>
      <c r="O10835">
        <v>84612280.040000007</v>
      </c>
      <c r="P10835">
        <v>85500000</v>
      </c>
      <c r="Q10835">
        <v>85500000</v>
      </c>
      <c r="R10835" s="14">
        <f>_xlfn.XLOOKUP(Table2[[#This Row],[LoanID]],Table1[G-L ID],Table1[ManagerCode],-99)</f>
        <v>183</v>
      </c>
      <c r="T10835"/>
    </row>
    <row r="10836" spans="1:20" x14ac:dyDescent="0.25">
      <c r="A10836">
        <v>20200430</v>
      </c>
      <c r="B10836">
        <v>2020</v>
      </c>
      <c r="C10836">
        <v>4</v>
      </c>
      <c r="D10836">
        <v>1</v>
      </c>
      <c r="E10836">
        <v>15480</v>
      </c>
      <c r="F10836">
        <v>134441.72</v>
      </c>
      <c r="G10836">
        <v>0</v>
      </c>
      <c r="H10836">
        <v>0</v>
      </c>
      <c r="I10836">
        <v>0</v>
      </c>
      <c r="J10836">
        <v>0</v>
      </c>
      <c r="K10836">
        <v>0</v>
      </c>
      <c r="L10836">
        <v>67935989</v>
      </c>
      <c r="M10836">
        <v>67644295.269999996</v>
      </c>
      <c r="N10836">
        <v>20223989</v>
      </c>
      <c r="O10836">
        <v>19932295.27</v>
      </c>
      <c r="P10836">
        <v>68160000</v>
      </c>
      <c r="Q10836">
        <v>68160000</v>
      </c>
      <c r="R10836" s="14">
        <f>_xlfn.XLOOKUP(Table2[[#This Row],[LoanID]],Table1[G-L ID],Table1[ManagerCode],-99)</f>
        <v>183</v>
      </c>
      <c r="T10836"/>
    </row>
    <row r="10837" spans="1:20" x14ac:dyDescent="0.25">
      <c r="A10837">
        <v>20200430</v>
      </c>
      <c r="B10837">
        <v>2020</v>
      </c>
      <c r="C10837">
        <v>4</v>
      </c>
      <c r="D10837">
        <v>1</v>
      </c>
      <c r="E10837">
        <v>15490</v>
      </c>
      <c r="F10837">
        <v>123788.92</v>
      </c>
      <c r="G10837">
        <v>0</v>
      </c>
      <c r="H10837">
        <v>0</v>
      </c>
      <c r="I10837">
        <v>0</v>
      </c>
      <c r="J10837">
        <v>-750000</v>
      </c>
      <c r="K10837">
        <v>0</v>
      </c>
      <c r="L10837">
        <v>55816588</v>
      </c>
      <c r="M10837">
        <v>56485768.829999998</v>
      </c>
      <c r="N10837">
        <v>18929088</v>
      </c>
      <c r="O10837">
        <v>19598268.829999998</v>
      </c>
      <c r="P10837">
        <v>56000000</v>
      </c>
      <c r="Q10837">
        <v>56750000</v>
      </c>
      <c r="R10837" s="14">
        <f>_xlfn.XLOOKUP(Table2[[#This Row],[LoanID]],Table1[G-L ID],Table1[ManagerCode],-99)</f>
        <v>183</v>
      </c>
      <c r="T10837"/>
    </row>
    <row r="10838" spans="1:20" x14ac:dyDescent="0.25">
      <c r="A10838">
        <v>20200430</v>
      </c>
      <c r="B10838">
        <v>2020</v>
      </c>
      <c r="C10838">
        <v>4</v>
      </c>
      <c r="D10838">
        <v>1</v>
      </c>
      <c r="E10838">
        <v>15500</v>
      </c>
      <c r="F10838">
        <v>107336.48</v>
      </c>
      <c r="G10838">
        <v>0</v>
      </c>
      <c r="H10838">
        <v>0</v>
      </c>
      <c r="I10838">
        <v>0</v>
      </c>
      <c r="J10838">
        <v>0</v>
      </c>
      <c r="K10838">
        <v>0</v>
      </c>
      <c r="L10838">
        <v>51111212</v>
      </c>
      <c r="M10838">
        <v>50709197.119999997</v>
      </c>
      <c r="N10838">
        <v>18047101.219999999</v>
      </c>
      <c r="O10838">
        <v>17645086.34</v>
      </c>
      <c r="P10838">
        <v>51250000</v>
      </c>
      <c r="Q10838">
        <v>51250000</v>
      </c>
      <c r="R10838" s="14">
        <f>_xlfn.XLOOKUP(Table2[[#This Row],[LoanID]],Table1[G-L ID],Table1[ManagerCode],-99)</f>
        <v>183</v>
      </c>
      <c r="T10838"/>
    </row>
    <row r="10839" spans="1:20" x14ac:dyDescent="0.25">
      <c r="A10839">
        <v>20200430</v>
      </c>
      <c r="B10839">
        <v>2020</v>
      </c>
      <c r="C10839">
        <v>4</v>
      </c>
      <c r="D10839">
        <v>1</v>
      </c>
      <c r="E10839">
        <v>15510</v>
      </c>
      <c r="F10839">
        <v>417481.9</v>
      </c>
      <c r="G10839">
        <v>0</v>
      </c>
      <c r="H10839">
        <v>0</v>
      </c>
      <c r="I10839">
        <v>0</v>
      </c>
      <c r="J10839">
        <v>0</v>
      </c>
      <c r="K10839">
        <v>0</v>
      </c>
      <c r="L10839">
        <v>192124889.19999999</v>
      </c>
      <c r="M10839">
        <v>191959111.40000001</v>
      </c>
      <c r="N10839">
        <v>55324889.200000003</v>
      </c>
      <c r="O10839">
        <v>55159111.399999999</v>
      </c>
      <c r="P10839">
        <v>192772278.19999999</v>
      </c>
      <c r="Q10839">
        <v>192772278.19999999</v>
      </c>
      <c r="R10839" s="14">
        <f>_xlfn.XLOOKUP(Table2[[#This Row],[LoanID]],Table1[G-L ID],Table1[ManagerCode],-99)</f>
        <v>183</v>
      </c>
      <c r="T10839"/>
    </row>
    <row r="10840" spans="1:20" x14ac:dyDescent="0.25">
      <c r="A10840">
        <v>20200430</v>
      </c>
      <c r="B10840">
        <v>2020</v>
      </c>
      <c r="C10840">
        <v>4</v>
      </c>
      <c r="D10840">
        <v>1</v>
      </c>
      <c r="E10840">
        <v>15520</v>
      </c>
      <c r="F10840">
        <v>151551.71</v>
      </c>
      <c r="G10840">
        <v>0</v>
      </c>
      <c r="H10840">
        <v>0</v>
      </c>
      <c r="I10840">
        <v>0</v>
      </c>
      <c r="J10840">
        <v>-1648735.84</v>
      </c>
      <c r="K10840">
        <v>989241.5</v>
      </c>
      <c r="L10840">
        <v>54359920.270000003</v>
      </c>
      <c r="M10840">
        <v>56008656.109999999</v>
      </c>
      <c r="N10840">
        <v>21573968.100000001</v>
      </c>
      <c r="O10840">
        <v>22233462.440000001</v>
      </c>
      <c r="P10840">
        <v>54359920.270000003</v>
      </c>
      <c r="Q10840">
        <v>56008656.109999999</v>
      </c>
      <c r="R10840" s="14">
        <f>_xlfn.XLOOKUP(Table2[[#This Row],[LoanID]],Table1[G-L ID],Table1[ManagerCode],-99)</f>
        <v>183</v>
      </c>
      <c r="T10840"/>
    </row>
    <row r="10841" spans="1:20" x14ac:dyDescent="0.25">
      <c r="A10841">
        <v>20200430</v>
      </c>
      <c r="B10841">
        <v>2020</v>
      </c>
      <c r="C10841">
        <v>4</v>
      </c>
      <c r="D10841">
        <v>1</v>
      </c>
      <c r="E10841">
        <v>15530</v>
      </c>
      <c r="F10841">
        <v>0</v>
      </c>
      <c r="G10841">
        <v>175419.85</v>
      </c>
      <c r="H10841">
        <v>0</v>
      </c>
      <c r="I10841">
        <v>0</v>
      </c>
      <c r="J10841">
        <v>-6590633.9100000001</v>
      </c>
      <c r="K10841">
        <v>0</v>
      </c>
      <c r="L10841">
        <v>20620481.420000002</v>
      </c>
      <c r="M10841">
        <v>27386535.18</v>
      </c>
      <c r="N10841">
        <v>20620481.420000002</v>
      </c>
      <c r="O10841">
        <v>27386535.18</v>
      </c>
      <c r="P10841">
        <v>20620481.420000002</v>
      </c>
      <c r="Q10841">
        <v>27386535.18</v>
      </c>
      <c r="R10841" s="14">
        <f>_xlfn.XLOOKUP(Table2[[#This Row],[LoanID]],Table1[G-L ID],Table1[ManagerCode],-99)</f>
        <v>183</v>
      </c>
      <c r="T10841"/>
    </row>
    <row r="10842" spans="1:20" x14ac:dyDescent="0.25">
      <c r="A10842">
        <v>20200430</v>
      </c>
      <c r="B10842">
        <v>2020</v>
      </c>
      <c r="C10842">
        <v>4</v>
      </c>
      <c r="D10842">
        <v>1</v>
      </c>
      <c r="E10842">
        <v>15540</v>
      </c>
      <c r="F10842">
        <v>281481.92</v>
      </c>
      <c r="G10842">
        <v>-31805.23</v>
      </c>
      <c r="H10842">
        <v>0</v>
      </c>
      <c r="I10842">
        <v>-6418.26</v>
      </c>
      <c r="J10842">
        <v>0</v>
      </c>
      <c r="K10842">
        <v>0</v>
      </c>
      <c r="L10842">
        <v>70928330.530000001</v>
      </c>
      <c r="M10842">
        <v>70896525.299999997</v>
      </c>
      <c r="N10842">
        <v>70928330.530000001</v>
      </c>
      <c r="O10842">
        <v>70896525.299999997</v>
      </c>
      <c r="P10842">
        <v>70928330.530000001</v>
      </c>
      <c r="Q10842">
        <v>70896525.299999997</v>
      </c>
      <c r="R10842" s="14">
        <f>_xlfn.XLOOKUP(Table2[[#This Row],[LoanID]],Table1[G-L ID],Table1[ManagerCode],-99)</f>
        <v>212</v>
      </c>
      <c r="T10842"/>
    </row>
    <row r="10843" spans="1:20" x14ac:dyDescent="0.25">
      <c r="A10843">
        <v>20200430</v>
      </c>
      <c r="B10843">
        <v>2020</v>
      </c>
      <c r="C10843">
        <v>4</v>
      </c>
      <c r="D10843">
        <v>1</v>
      </c>
      <c r="E10843">
        <v>15550</v>
      </c>
      <c r="F10843">
        <v>184549.78</v>
      </c>
      <c r="G10843">
        <v>-21935.1</v>
      </c>
      <c r="H10843">
        <v>0</v>
      </c>
      <c r="I10843">
        <v>-1368.74</v>
      </c>
      <c r="J10843">
        <v>0</v>
      </c>
      <c r="K10843">
        <v>0</v>
      </c>
      <c r="L10843">
        <v>31977243.100000001</v>
      </c>
      <c r="M10843">
        <v>31955308</v>
      </c>
      <c r="N10843">
        <v>31977243.100000001</v>
      </c>
      <c r="O10843">
        <v>31955308</v>
      </c>
      <c r="P10843">
        <v>31977243.100000001</v>
      </c>
      <c r="Q10843">
        <v>31955308</v>
      </c>
      <c r="R10843" s="14">
        <f>_xlfn.XLOOKUP(Table2[[#This Row],[LoanID]],Table1[G-L ID],Table1[ManagerCode],-99)</f>
        <v>212</v>
      </c>
      <c r="T10843"/>
    </row>
    <row r="10844" spans="1:20" x14ac:dyDescent="0.25">
      <c r="A10844">
        <v>20200430</v>
      </c>
      <c r="B10844">
        <v>2020</v>
      </c>
      <c r="C10844">
        <v>4</v>
      </c>
      <c r="D10844">
        <v>1</v>
      </c>
      <c r="E10844">
        <v>15560</v>
      </c>
      <c r="F10844">
        <v>213638.79</v>
      </c>
      <c r="G10844">
        <v>-7112.9</v>
      </c>
      <c r="H10844">
        <v>0</v>
      </c>
      <c r="I10844">
        <v>0</v>
      </c>
      <c r="J10844">
        <v>0</v>
      </c>
      <c r="K10844">
        <v>0</v>
      </c>
      <c r="L10844">
        <v>48217647.920000002</v>
      </c>
      <c r="M10844">
        <v>48210535.020000003</v>
      </c>
      <c r="N10844">
        <v>48217647.920000002</v>
      </c>
      <c r="O10844">
        <v>48210535.020000003</v>
      </c>
      <c r="P10844">
        <v>48217647.920000002</v>
      </c>
      <c r="Q10844">
        <v>48210535.020000003</v>
      </c>
      <c r="R10844" s="14">
        <f>_xlfn.XLOOKUP(Table2[[#This Row],[LoanID]],Table1[G-L ID],Table1[ManagerCode],-99)</f>
        <v>212</v>
      </c>
      <c r="T10844"/>
    </row>
    <row r="10845" spans="1:20" x14ac:dyDescent="0.25">
      <c r="A10845">
        <v>20200430</v>
      </c>
      <c r="B10845">
        <v>2020</v>
      </c>
      <c r="C10845">
        <v>4</v>
      </c>
      <c r="D10845">
        <v>1</v>
      </c>
      <c r="E10845">
        <v>15570</v>
      </c>
      <c r="F10845">
        <v>137341.79</v>
      </c>
      <c r="G10845">
        <v>0</v>
      </c>
      <c r="H10845">
        <v>0</v>
      </c>
      <c r="I10845">
        <v>0</v>
      </c>
      <c r="J10845">
        <v>0</v>
      </c>
      <c r="K10845">
        <v>0</v>
      </c>
      <c r="L10845">
        <v>26437304</v>
      </c>
      <c r="M10845">
        <v>26437304</v>
      </c>
      <c r="N10845">
        <v>26437304</v>
      </c>
      <c r="O10845">
        <v>26437304</v>
      </c>
      <c r="P10845">
        <v>26437304</v>
      </c>
      <c r="Q10845">
        <v>26437304</v>
      </c>
      <c r="R10845" s="14">
        <f>_xlfn.XLOOKUP(Table2[[#This Row],[LoanID]],Table1[G-L ID],Table1[ManagerCode],-99)</f>
        <v>212</v>
      </c>
      <c r="T10845"/>
    </row>
    <row r="10846" spans="1:20" x14ac:dyDescent="0.25">
      <c r="A10846">
        <v>20200430</v>
      </c>
      <c r="B10846">
        <v>2020</v>
      </c>
      <c r="C10846">
        <v>4</v>
      </c>
      <c r="D10846">
        <v>1</v>
      </c>
      <c r="E10846">
        <v>15580</v>
      </c>
      <c r="F10846">
        <v>114128.59</v>
      </c>
      <c r="G10846">
        <v>-3753.04</v>
      </c>
      <c r="H10846">
        <v>0</v>
      </c>
      <c r="I10846">
        <v>0</v>
      </c>
      <c r="J10846">
        <v>0</v>
      </c>
      <c r="K10846">
        <v>9272.7199999999993</v>
      </c>
      <c r="L10846">
        <v>14442391.380000001</v>
      </c>
      <c r="M10846">
        <v>14429365.619999999</v>
      </c>
      <c r="N10846">
        <v>14442391.380000001</v>
      </c>
      <c r="O10846">
        <v>14429365.619999999</v>
      </c>
      <c r="P10846">
        <v>14442391.380000001</v>
      </c>
      <c r="Q10846">
        <v>14429365.619999999</v>
      </c>
      <c r="R10846" s="14">
        <f>_xlfn.XLOOKUP(Table2[[#This Row],[LoanID]],Table1[G-L ID],Table1[ManagerCode],-99)</f>
        <v>212</v>
      </c>
      <c r="T10846"/>
    </row>
    <row r="10847" spans="1:20" x14ac:dyDescent="0.25">
      <c r="A10847">
        <v>20200430</v>
      </c>
      <c r="B10847">
        <v>2020</v>
      </c>
      <c r="C10847">
        <v>4</v>
      </c>
      <c r="D10847">
        <v>1</v>
      </c>
      <c r="E10847">
        <v>15590</v>
      </c>
      <c r="F10847">
        <v>325386.15999999997</v>
      </c>
      <c r="G10847">
        <v>-44818.39</v>
      </c>
      <c r="H10847">
        <v>0</v>
      </c>
      <c r="I10847">
        <v>-4485.59</v>
      </c>
      <c r="J10847">
        <v>0</v>
      </c>
      <c r="K10847">
        <v>0</v>
      </c>
      <c r="L10847">
        <v>104496592.2</v>
      </c>
      <c r="M10847">
        <v>104451773.90000001</v>
      </c>
      <c r="N10847">
        <v>104496592.2</v>
      </c>
      <c r="O10847">
        <v>104451773.90000001</v>
      </c>
      <c r="P10847">
        <v>104496592.2</v>
      </c>
      <c r="Q10847">
        <v>104451773.90000001</v>
      </c>
      <c r="R10847" s="14">
        <f>_xlfn.XLOOKUP(Table2[[#This Row],[LoanID]],Table1[G-L ID],Table1[ManagerCode],-99)</f>
        <v>212</v>
      </c>
      <c r="T10847"/>
    </row>
    <row r="10848" spans="1:20" x14ac:dyDescent="0.25">
      <c r="A10848">
        <v>20200430</v>
      </c>
      <c r="B10848">
        <v>2020</v>
      </c>
      <c r="C10848">
        <v>4</v>
      </c>
      <c r="D10848">
        <v>1</v>
      </c>
      <c r="E10848">
        <v>15600</v>
      </c>
      <c r="F10848">
        <v>552759.27</v>
      </c>
      <c r="G10848">
        <v>-77739.27</v>
      </c>
      <c r="H10848">
        <v>0</v>
      </c>
      <c r="I10848">
        <v>-7836.11</v>
      </c>
      <c r="J10848">
        <v>0</v>
      </c>
      <c r="K10848">
        <v>0</v>
      </c>
      <c r="L10848">
        <v>182552759.30000001</v>
      </c>
      <c r="M10848">
        <v>182475020</v>
      </c>
      <c r="N10848">
        <v>182552759.30000001</v>
      </c>
      <c r="O10848">
        <v>182475020</v>
      </c>
      <c r="P10848">
        <v>182552759.30000001</v>
      </c>
      <c r="Q10848">
        <v>182475020</v>
      </c>
      <c r="R10848" s="14">
        <f>_xlfn.XLOOKUP(Table2[[#This Row],[LoanID]],Table1[G-L ID],Table1[ManagerCode],-99)</f>
        <v>212</v>
      </c>
      <c r="T10848"/>
    </row>
    <row r="10849" spans="1:20" x14ac:dyDescent="0.25">
      <c r="A10849">
        <v>20200430</v>
      </c>
      <c r="B10849">
        <v>2020</v>
      </c>
      <c r="C10849">
        <v>4</v>
      </c>
      <c r="D10849">
        <v>1</v>
      </c>
      <c r="E10849">
        <v>15610</v>
      </c>
      <c r="F10849">
        <v>812764.39</v>
      </c>
      <c r="G10849">
        <v>-96263.2</v>
      </c>
      <c r="H10849">
        <v>0</v>
      </c>
      <c r="I10849">
        <v>-9846.91</v>
      </c>
      <c r="J10849">
        <v>0</v>
      </c>
      <c r="K10849">
        <v>0</v>
      </c>
      <c r="L10849">
        <v>231199000.69999999</v>
      </c>
      <c r="M10849">
        <v>231102737.5</v>
      </c>
      <c r="N10849">
        <v>231199000.69999999</v>
      </c>
      <c r="O10849">
        <v>231102737.5</v>
      </c>
      <c r="P10849">
        <v>231199000.69999999</v>
      </c>
      <c r="Q10849">
        <v>231102737.5</v>
      </c>
      <c r="R10849" s="14">
        <f>_xlfn.XLOOKUP(Table2[[#This Row],[LoanID]],Table1[G-L ID],Table1[ManagerCode],-99)</f>
        <v>212</v>
      </c>
      <c r="T10849"/>
    </row>
    <row r="10850" spans="1:20" x14ac:dyDescent="0.25">
      <c r="A10850">
        <v>20200430</v>
      </c>
      <c r="B10850">
        <v>2020</v>
      </c>
      <c r="C10850">
        <v>4</v>
      </c>
      <c r="D10850">
        <v>1</v>
      </c>
      <c r="E10850">
        <v>15620</v>
      </c>
      <c r="F10850">
        <v>287316.14</v>
      </c>
      <c r="G10850">
        <v>-35250.97</v>
      </c>
      <c r="H10850">
        <v>0</v>
      </c>
      <c r="I10850">
        <v>-3398.58</v>
      </c>
      <c r="J10850">
        <v>0</v>
      </c>
      <c r="K10850">
        <v>0</v>
      </c>
      <c r="L10850">
        <v>79222128.549999997</v>
      </c>
      <c r="M10850">
        <v>79186877.579999998</v>
      </c>
      <c r="N10850">
        <v>79222128.549999997</v>
      </c>
      <c r="O10850">
        <v>79186877.579999998</v>
      </c>
      <c r="P10850">
        <v>79222128.549999997</v>
      </c>
      <c r="Q10850">
        <v>79186877.579999998</v>
      </c>
      <c r="R10850" s="14">
        <f>_xlfn.XLOOKUP(Table2[[#This Row],[LoanID]],Table1[G-L ID],Table1[ManagerCode],-99)</f>
        <v>212</v>
      </c>
      <c r="T10850"/>
    </row>
    <row r="10851" spans="1:20" x14ac:dyDescent="0.25">
      <c r="A10851">
        <v>20200430</v>
      </c>
      <c r="B10851">
        <v>2020</v>
      </c>
      <c r="C10851">
        <v>4</v>
      </c>
      <c r="D10851">
        <v>1</v>
      </c>
      <c r="E10851">
        <v>15630</v>
      </c>
      <c r="F10851">
        <v>583665.32999999996</v>
      </c>
      <c r="G10851">
        <v>-75642.47</v>
      </c>
      <c r="H10851">
        <v>0</v>
      </c>
      <c r="I10851">
        <v>-7431.44</v>
      </c>
      <c r="J10851">
        <v>0</v>
      </c>
      <c r="K10851">
        <v>0</v>
      </c>
      <c r="L10851">
        <v>173184862.80000001</v>
      </c>
      <c r="M10851">
        <v>173109220.30000001</v>
      </c>
      <c r="N10851">
        <v>173184862.80000001</v>
      </c>
      <c r="O10851">
        <v>173109220.30000001</v>
      </c>
      <c r="P10851">
        <v>173184862.80000001</v>
      </c>
      <c r="Q10851">
        <v>173109220.30000001</v>
      </c>
      <c r="R10851" s="14">
        <f>_xlfn.XLOOKUP(Table2[[#This Row],[LoanID]],Table1[G-L ID],Table1[ManagerCode],-99)</f>
        <v>212</v>
      </c>
      <c r="T10851"/>
    </row>
    <row r="10852" spans="1:20" x14ac:dyDescent="0.25">
      <c r="A10852">
        <v>20200430</v>
      </c>
      <c r="B10852">
        <v>2020</v>
      </c>
      <c r="C10852">
        <v>4</v>
      </c>
      <c r="D10852">
        <v>1</v>
      </c>
      <c r="E10852">
        <v>15640</v>
      </c>
      <c r="F10852">
        <v>91800.24</v>
      </c>
      <c r="G10852">
        <v>0</v>
      </c>
      <c r="H10852">
        <v>0</v>
      </c>
      <c r="I10852">
        <v>0</v>
      </c>
      <c r="J10852">
        <v>0</v>
      </c>
      <c r="K10852">
        <v>0</v>
      </c>
      <c r="L10852">
        <v>41885228</v>
      </c>
      <c r="M10852">
        <v>41654862.710000001</v>
      </c>
      <c r="N10852">
        <v>14585228</v>
      </c>
      <c r="O10852">
        <v>14354862.710000001</v>
      </c>
      <c r="P10852">
        <v>42000000</v>
      </c>
      <c r="Q10852">
        <v>42000000</v>
      </c>
      <c r="R10852" s="14">
        <f>_xlfn.XLOOKUP(Table2[[#This Row],[LoanID]],Table1[G-L ID],Table1[ManagerCode],-99)</f>
        <v>183</v>
      </c>
      <c r="T10852"/>
    </row>
    <row r="10853" spans="1:20" x14ac:dyDescent="0.25">
      <c r="A10853">
        <v>20200430</v>
      </c>
      <c r="B10853">
        <v>2020</v>
      </c>
      <c r="C10853">
        <v>4</v>
      </c>
      <c r="D10853">
        <v>1</v>
      </c>
      <c r="E10853">
        <v>15650</v>
      </c>
      <c r="F10853">
        <v>54293.35</v>
      </c>
      <c r="G10853">
        <v>0</v>
      </c>
      <c r="H10853">
        <v>0</v>
      </c>
      <c r="I10853">
        <v>0</v>
      </c>
      <c r="J10853">
        <v>-54293.35</v>
      </c>
      <c r="K10853">
        <v>0</v>
      </c>
      <c r="L10853">
        <v>14036343.779999999</v>
      </c>
      <c r="M10853">
        <v>14178292.42</v>
      </c>
      <c r="N10853">
        <v>14036343.779999999</v>
      </c>
      <c r="O10853">
        <v>14178292.42</v>
      </c>
      <c r="P10853">
        <v>14084477.779999999</v>
      </c>
      <c r="Q10853">
        <v>14138771.130000001</v>
      </c>
      <c r="R10853" s="14">
        <f>_xlfn.XLOOKUP(Table2[[#This Row],[LoanID]],Table1[G-L ID],Table1[ManagerCode],-99)</f>
        <v>183</v>
      </c>
      <c r="T10853"/>
    </row>
    <row r="10854" spans="1:20" x14ac:dyDescent="0.25">
      <c r="A10854">
        <v>20200430</v>
      </c>
      <c r="B10854">
        <v>2020</v>
      </c>
      <c r="C10854">
        <v>4</v>
      </c>
      <c r="D10854">
        <v>1</v>
      </c>
      <c r="E10854">
        <v>15660</v>
      </c>
      <c r="F10854">
        <v>96814.22</v>
      </c>
      <c r="G10854">
        <v>0</v>
      </c>
      <c r="H10854">
        <v>0</v>
      </c>
      <c r="I10854">
        <v>0</v>
      </c>
      <c r="J10854">
        <v>0</v>
      </c>
      <c r="K10854">
        <v>0</v>
      </c>
      <c r="L10854">
        <v>40000000</v>
      </c>
      <c r="M10854">
        <v>40000000</v>
      </c>
      <c r="N10854">
        <v>20000000</v>
      </c>
      <c r="O10854">
        <v>20000000</v>
      </c>
      <c r="P10854">
        <v>40000000</v>
      </c>
      <c r="Q10854">
        <v>40000000</v>
      </c>
      <c r="R10854" s="14">
        <f>_xlfn.XLOOKUP(Table2[[#This Row],[LoanID]],Table1[G-L ID],Table1[ManagerCode],-99)</f>
        <v>183</v>
      </c>
      <c r="T10854"/>
    </row>
    <row r="10855" spans="1:20" x14ac:dyDescent="0.25">
      <c r="A10855">
        <v>20200430</v>
      </c>
      <c r="B10855">
        <v>2020</v>
      </c>
      <c r="C10855">
        <v>4</v>
      </c>
      <c r="D10855">
        <v>1</v>
      </c>
      <c r="E10855">
        <v>15670</v>
      </c>
      <c r="F10855">
        <v>73561.279999999999</v>
      </c>
      <c r="G10855">
        <v>0</v>
      </c>
      <c r="H10855">
        <v>0</v>
      </c>
      <c r="I10855">
        <v>0</v>
      </c>
      <c r="J10855">
        <v>0</v>
      </c>
      <c r="K10855">
        <v>0</v>
      </c>
      <c r="L10855">
        <v>17184146.969999999</v>
      </c>
      <c r="M10855">
        <v>16977006</v>
      </c>
      <c r="N10855">
        <v>17184146.969999999</v>
      </c>
      <c r="O10855">
        <v>16977006</v>
      </c>
      <c r="P10855">
        <v>17650000</v>
      </c>
      <c r="Q10855">
        <v>17650000</v>
      </c>
      <c r="R10855" s="14">
        <f>_xlfn.XLOOKUP(Table2[[#This Row],[LoanID]],Table1[G-L ID],Table1[ManagerCode],-99)</f>
        <v>103</v>
      </c>
      <c r="T10855"/>
    </row>
    <row r="10856" spans="1:20" x14ac:dyDescent="0.25">
      <c r="A10856">
        <v>20200430</v>
      </c>
      <c r="B10856">
        <v>2020</v>
      </c>
      <c r="C10856">
        <v>4</v>
      </c>
      <c r="D10856">
        <v>1</v>
      </c>
      <c r="E10856">
        <v>15680</v>
      </c>
      <c r="F10856">
        <v>423962.5</v>
      </c>
      <c r="G10856">
        <v>0</v>
      </c>
      <c r="H10856">
        <v>0</v>
      </c>
      <c r="I10856">
        <v>0</v>
      </c>
      <c r="J10856">
        <v>0</v>
      </c>
      <c r="K10856">
        <v>0</v>
      </c>
      <c r="L10856">
        <v>65000000</v>
      </c>
      <c r="M10856">
        <v>65000000</v>
      </c>
      <c r="N10856">
        <v>65000000</v>
      </c>
      <c r="O10856">
        <v>65000000</v>
      </c>
      <c r="P10856">
        <v>65000000</v>
      </c>
      <c r="Q10856">
        <v>65000000</v>
      </c>
      <c r="R10856" s="14">
        <f>_xlfn.XLOOKUP(Table2[[#This Row],[LoanID]],Table1[G-L ID],Table1[ManagerCode],-99)</f>
        <v>103</v>
      </c>
      <c r="T10856"/>
    </row>
    <row r="10857" spans="1:20" x14ac:dyDescent="0.25">
      <c r="A10857">
        <v>20200430</v>
      </c>
      <c r="B10857">
        <v>2020</v>
      </c>
      <c r="C10857">
        <v>4</v>
      </c>
      <c r="D10857">
        <v>1</v>
      </c>
      <c r="E10857">
        <v>15690</v>
      </c>
      <c r="F10857">
        <v>106099.12</v>
      </c>
      <c r="G10857">
        <v>0</v>
      </c>
      <c r="H10857">
        <v>0</v>
      </c>
      <c r="I10857">
        <v>0</v>
      </c>
      <c r="J10857">
        <v>0</v>
      </c>
      <c r="K10857">
        <v>0</v>
      </c>
      <c r="L10857">
        <v>13988229</v>
      </c>
      <c r="M10857">
        <v>13793129</v>
      </c>
      <c r="N10857">
        <v>13988229</v>
      </c>
      <c r="O10857">
        <v>13793129</v>
      </c>
      <c r="P10857">
        <v>14495516</v>
      </c>
      <c r="Q10857">
        <v>14495516</v>
      </c>
      <c r="R10857" s="14">
        <f>_xlfn.XLOOKUP(Table2[[#This Row],[LoanID]],Table1[G-L ID],Table1[ManagerCode],-99)</f>
        <v>193</v>
      </c>
      <c r="T10857"/>
    </row>
    <row r="10858" spans="1:20" x14ac:dyDescent="0.25">
      <c r="A10858">
        <v>20200430</v>
      </c>
      <c r="B10858">
        <v>2020</v>
      </c>
      <c r="C10858">
        <v>4</v>
      </c>
      <c r="D10858">
        <v>1</v>
      </c>
      <c r="E10858">
        <v>15700</v>
      </c>
      <c r="F10858">
        <v>226041.67</v>
      </c>
      <c r="G10858">
        <v>0</v>
      </c>
      <c r="H10858">
        <v>0</v>
      </c>
      <c r="I10858">
        <v>0</v>
      </c>
      <c r="J10858">
        <v>0</v>
      </c>
      <c r="K10858">
        <v>0</v>
      </c>
      <c r="L10858">
        <v>35000000</v>
      </c>
      <c r="M10858">
        <v>35000000</v>
      </c>
      <c r="N10858">
        <v>35000000</v>
      </c>
      <c r="O10858">
        <v>35000000</v>
      </c>
      <c r="P10858">
        <v>35000000</v>
      </c>
      <c r="Q10858">
        <v>35000000</v>
      </c>
      <c r="R10858" s="14">
        <f>_xlfn.XLOOKUP(Table2[[#This Row],[LoanID]],Table1[G-L ID],Table1[ManagerCode],-99)</f>
        <v>193</v>
      </c>
      <c r="T10858"/>
    </row>
    <row r="10859" spans="1:20" x14ac:dyDescent="0.25">
      <c r="A10859">
        <v>20200430</v>
      </c>
      <c r="B10859">
        <v>2020</v>
      </c>
      <c r="C10859">
        <v>4</v>
      </c>
      <c r="D10859">
        <v>1</v>
      </c>
      <c r="E10859">
        <v>15710</v>
      </c>
      <c r="F10859">
        <v>341075.29</v>
      </c>
      <c r="G10859">
        <v>0</v>
      </c>
      <c r="H10859">
        <v>0</v>
      </c>
      <c r="I10859">
        <v>0</v>
      </c>
      <c r="J10859">
        <v>0</v>
      </c>
      <c r="K10859">
        <v>0</v>
      </c>
      <c r="L10859">
        <v>73346547.689999998</v>
      </c>
      <c r="M10859">
        <v>73346547.689999998</v>
      </c>
      <c r="N10859">
        <v>73346547.689999998</v>
      </c>
      <c r="O10859">
        <v>73346547.689999998</v>
      </c>
      <c r="P10859">
        <v>73346547.689999998</v>
      </c>
      <c r="Q10859">
        <v>73346547.689999998</v>
      </c>
      <c r="R10859" s="14">
        <f>_xlfn.XLOOKUP(Table2[[#This Row],[LoanID]],Table1[G-L ID],Table1[ManagerCode],-99)</f>
        <v>193</v>
      </c>
      <c r="T10859"/>
    </row>
    <row r="10860" spans="1:20" x14ac:dyDescent="0.25">
      <c r="A10860">
        <v>20200430</v>
      </c>
      <c r="B10860">
        <v>2020</v>
      </c>
      <c r="C10860">
        <v>4</v>
      </c>
      <c r="D10860">
        <v>1</v>
      </c>
      <c r="E10860">
        <v>15720</v>
      </c>
      <c r="F10860">
        <v>146666.67000000001</v>
      </c>
      <c r="G10860">
        <v>0</v>
      </c>
      <c r="H10860">
        <v>0</v>
      </c>
      <c r="I10860">
        <v>0</v>
      </c>
      <c r="J10860">
        <v>0</v>
      </c>
      <c r="K10860">
        <v>0</v>
      </c>
      <c r="L10860">
        <v>22000000</v>
      </c>
      <c r="M10860">
        <v>22000000</v>
      </c>
      <c r="N10860">
        <v>22000000</v>
      </c>
      <c r="O10860">
        <v>22000000</v>
      </c>
      <c r="P10860">
        <v>22000000</v>
      </c>
      <c r="Q10860">
        <v>22000000</v>
      </c>
      <c r="R10860" s="14">
        <f>_xlfn.XLOOKUP(Table2[[#This Row],[LoanID]],Table1[G-L ID],Table1[ManagerCode],-99)</f>
        <v>193</v>
      </c>
      <c r="T10860"/>
    </row>
    <row r="10861" spans="1:20" x14ac:dyDescent="0.25">
      <c r="A10861">
        <v>20200430</v>
      </c>
      <c r="B10861">
        <v>2020</v>
      </c>
      <c r="C10861">
        <v>4</v>
      </c>
      <c r="D10861">
        <v>1</v>
      </c>
      <c r="E10861">
        <v>15730</v>
      </c>
      <c r="F10861">
        <v>119190.69</v>
      </c>
      <c r="G10861">
        <v>0</v>
      </c>
      <c r="H10861">
        <v>0</v>
      </c>
      <c r="I10861">
        <v>0</v>
      </c>
      <c r="J10861">
        <v>0</v>
      </c>
      <c r="K10861">
        <v>0</v>
      </c>
      <c r="L10861">
        <v>19070511.109999999</v>
      </c>
      <c r="M10861">
        <v>19070511.109999999</v>
      </c>
      <c r="N10861">
        <v>19070511.109999999</v>
      </c>
      <c r="O10861">
        <v>19070511.109999999</v>
      </c>
      <c r="P10861">
        <v>19070511.109999999</v>
      </c>
      <c r="Q10861">
        <v>19070511.109999999</v>
      </c>
      <c r="R10861" s="14">
        <f>_xlfn.XLOOKUP(Table2[[#This Row],[LoanID]],Table1[G-L ID],Table1[ManagerCode],-99)</f>
        <v>193</v>
      </c>
      <c r="T10861"/>
    </row>
    <row r="10862" spans="1:20" x14ac:dyDescent="0.25">
      <c r="A10862">
        <v>20200430</v>
      </c>
      <c r="B10862">
        <v>2020</v>
      </c>
      <c r="C10862">
        <v>4</v>
      </c>
      <c r="D10862">
        <v>1</v>
      </c>
      <c r="E10862">
        <v>15740</v>
      </c>
      <c r="F10862">
        <v>305000</v>
      </c>
      <c r="G10862">
        <v>0</v>
      </c>
      <c r="H10862">
        <v>0</v>
      </c>
      <c r="I10862">
        <v>0</v>
      </c>
      <c r="J10862">
        <v>0</v>
      </c>
      <c r="K10862">
        <v>0</v>
      </c>
      <c r="L10862">
        <v>60000000</v>
      </c>
      <c r="M10862">
        <v>60000000</v>
      </c>
      <c r="N10862">
        <v>60000000</v>
      </c>
      <c r="O10862">
        <v>60000000</v>
      </c>
      <c r="P10862">
        <v>60000000</v>
      </c>
      <c r="Q10862">
        <v>60000000</v>
      </c>
      <c r="R10862" s="14">
        <f>_xlfn.XLOOKUP(Table2[[#This Row],[LoanID]],Table1[G-L ID],Table1[ManagerCode],-99)</f>
        <v>193</v>
      </c>
      <c r="T10862"/>
    </row>
    <row r="10863" spans="1:20" x14ac:dyDescent="0.25">
      <c r="A10863">
        <v>20200430</v>
      </c>
      <c r="B10863">
        <v>2020</v>
      </c>
      <c r="C10863">
        <v>4</v>
      </c>
      <c r="D10863">
        <v>1</v>
      </c>
      <c r="E10863">
        <v>15750</v>
      </c>
      <c r="F10863">
        <v>172280</v>
      </c>
      <c r="G10863">
        <v>0</v>
      </c>
      <c r="H10863">
        <v>0</v>
      </c>
      <c r="I10863">
        <v>0</v>
      </c>
      <c r="J10863">
        <v>0</v>
      </c>
      <c r="K10863">
        <v>0</v>
      </c>
      <c r="L10863">
        <v>36500000</v>
      </c>
      <c r="M10863">
        <v>36500000</v>
      </c>
      <c r="N10863">
        <v>36500000</v>
      </c>
      <c r="O10863">
        <v>36500000</v>
      </c>
      <c r="P10863">
        <v>36500000</v>
      </c>
      <c r="Q10863">
        <v>36500000</v>
      </c>
      <c r="R10863" s="14">
        <f>_xlfn.XLOOKUP(Table2[[#This Row],[LoanID]],Table1[G-L ID],Table1[ManagerCode],-99)</f>
        <v>193</v>
      </c>
      <c r="T10863"/>
    </row>
    <row r="10864" spans="1:20" x14ac:dyDescent="0.25">
      <c r="A10864">
        <v>20200430</v>
      </c>
      <c r="B10864">
        <v>2020</v>
      </c>
      <c r="C10864">
        <v>4</v>
      </c>
      <c r="D10864">
        <v>1</v>
      </c>
      <c r="E10864">
        <v>15760</v>
      </c>
      <c r="F10864">
        <v>250183.33</v>
      </c>
      <c r="G10864">
        <v>0</v>
      </c>
      <c r="H10864">
        <v>0</v>
      </c>
      <c r="I10864">
        <v>0</v>
      </c>
      <c r="J10864">
        <v>0</v>
      </c>
      <c r="K10864">
        <v>0</v>
      </c>
      <c r="L10864">
        <v>42500000</v>
      </c>
      <c r="M10864">
        <v>42500000</v>
      </c>
      <c r="N10864">
        <v>42500000</v>
      </c>
      <c r="O10864">
        <v>42500000</v>
      </c>
      <c r="P10864">
        <v>42500000</v>
      </c>
      <c r="Q10864">
        <v>42500000</v>
      </c>
      <c r="R10864" s="14">
        <f>_xlfn.XLOOKUP(Table2[[#This Row],[LoanID]],Table1[G-L ID],Table1[ManagerCode],-99)</f>
        <v>193</v>
      </c>
      <c r="T10864"/>
    </row>
    <row r="10865" spans="1:20" x14ac:dyDescent="0.25">
      <c r="A10865">
        <v>20200430</v>
      </c>
      <c r="B10865">
        <v>2020</v>
      </c>
      <c r="C10865">
        <v>4</v>
      </c>
      <c r="D10865">
        <v>1</v>
      </c>
      <c r="E10865">
        <v>15770</v>
      </c>
      <c r="F10865">
        <v>691666.67</v>
      </c>
      <c r="G10865">
        <v>0</v>
      </c>
      <c r="H10865">
        <v>0</v>
      </c>
      <c r="I10865">
        <v>0</v>
      </c>
      <c r="J10865">
        <v>0</v>
      </c>
      <c r="K10865">
        <v>0</v>
      </c>
      <c r="L10865">
        <v>100000000</v>
      </c>
      <c r="M10865">
        <v>100000000</v>
      </c>
      <c r="N10865">
        <v>100000000</v>
      </c>
      <c r="O10865">
        <v>100000000</v>
      </c>
      <c r="P10865">
        <v>100000000</v>
      </c>
      <c r="Q10865">
        <v>100000000</v>
      </c>
      <c r="R10865" s="14">
        <f>_xlfn.XLOOKUP(Table2[[#This Row],[LoanID]],Table1[G-L ID],Table1[ManagerCode],-99)</f>
        <v>193</v>
      </c>
      <c r="T10865"/>
    </row>
    <row r="10866" spans="1:20" x14ac:dyDescent="0.25">
      <c r="A10866">
        <v>20200430</v>
      </c>
      <c r="B10866">
        <v>2020</v>
      </c>
      <c r="C10866">
        <v>4</v>
      </c>
      <c r="D10866">
        <v>1</v>
      </c>
      <c r="E10866">
        <v>15780</v>
      </c>
      <c r="F10866">
        <v>114062.5</v>
      </c>
      <c r="G10866">
        <v>0</v>
      </c>
      <c r="H10866">
        <v>0</v>
      </c>
      <c r="I10866">
        <v>0</v>
      </c>
      <c r="J10866">
        <v>0</v>
      </c>
      <c r="K10866">
        <v>0</v>
      </c>
      <c r="L10866">
        <v>15000000</v>
      </c>
      <c r="M10866">
        <v>15000000</v>
      </c>
      <c r="N10866">
        <v>15000000</v>
      </c>
      <c r="O10866">
        <v>15000000</v>
      </c>
      <c r="P10866">
        <v>15000000</v>
      </c>
      <c r="Q10866">
        <v>15000000</v>
      </c>
      <c r="R10866" s="14">
        <f>_xlfn.XLOOKUP(Table2[[#This Row],[LoanID]],Table1[G-L ID],Table1[ManagerCode],-99)</f>
        <v>193</v>
      </c>
      <c r="T10866"/>
    </row>
    <row r="10867" spans="1:20" x14ac:dyDescent="0.25">
      <c r="A10867">
        <v>20200430</v>
      </c>
      <c r="B10867">
        <v>2020</v>
      </c>
      <c r="C10867">
        <v>4</v>
      </c>
      <c r="D10867">
        <v>1</v>
      </c>
      <c r="E10867">
        <v>15790</v>
      </c>
      <c r="F10867">
        <v>268258.08</v>
      </c>
      <c r="G10867">
        <v>0</v>
      </c>
      <c r="H10867">
        <v>0</v>
      </c>
      <c r="I10867">
        <v>0</v>
      </c>
      <c r="J10867">
        <v>0</v>
      </c>
      <c r="K10867">
        <v>0</v>
      </c>
      <c r="L10867">
        <v>50000000</v>
      </c>
      <c r="M10867">
        <v>50000000</v>
      </c>
      <c r="N10867">
        <v>50000000</v>
      </c>
      <c r="O10867">
        <v>50000000</v>
      </c>
      <c r="P10867">
        <v>50000000</v>
      </c>
      <c r="Q10867">
        <v>50000000</v>
      </c>
      <c r="R10867" s="14">
        <f>_xlfn.XLOOKUP(Table2[[#This Row],[LoanID]],Table1[G-L ID],Table1[ManagerCode],-99)</f>
        <v>193</v>
      </c>
      <c r="T10867"/>
    </row>
    <row r="10868" spans="1:20" x14ac:dyDescent="0.25">
      <c r="A10868">
        <v>20200430</v>
      </c>
      <c r="B10868">
        <v>2020</v>
      </c>
      <c r="C10868">
        <v>4</v>
      </c>
      <c r="D10868">
        <v>1</v>
      </c>
      <c r="E10868">
        <v>15800</v>
      </c>
      <c r="F10868">
        <v>420868.06</v>
      </c>
      <c r="G10868">
        <v>-13576.39</v>
      </c>
      <c r="H10868">
        <v>0</v>
      </c>
      <c r="I10868">
        <v>-3659.72</v>
      </c>
      <c r="J10868">
        <v>0</v>
      </c>
      <c r="K10868">
        <v>0</v>
      </c>
      <c r="L10868">
        <v>85420868.060000002</v>
      </c>
      <c r="M10868">
        <v>85407291.670000002</v>
      </c>
      <c r="N10868">
        <v>85420868.060000002</v>
      </c>
      <c r="O10868">
        <v>85407291.670000002</v>
      </c>
      <c r="P10868">
        <v>85420868.060000002</v>
      </c>
      <c r="Q10868">
        <v>85407291.670000002</v>
      </c>
      <c r="R10868" s="14">
        <f>_xlfn.XLOOKUP(Table2[[#This Row],[LoanID]],Table1[G-L ID],Table1[ManagerCode],-99)</f>
        <v>212</v>
      </c>
      <c r="T10868"/>
    </row>
    <row r="10869" spans="1:20" x14ac:dyDescent="0.25">
      <c r="A10869">
        <v>20200430</v>
      </c>
      <c r="B10869">
        <v>2020</v>
      </c>
      <c r="C10869">
        <v>4</v>
      </c>
      <c r="D10869">
        <v>1</v>
      </c>
      <c r="E10869">
        <v>15810</v>
      </c>
      <c r="F10869">
        <v>164256.94</v>
      </c>
      <c r="G10869">
        <v>0</v>
      </c>
      <c r="H10869">
        <v>0</v>
      </c>
      <c r="I10869">
        <v>0</v>
      </c>
      <c r="J10869">
        <v>-23062500</v>
      </c>
      <c r="K10869">
        <v>0</v>
      </c>
      <c r="L10869">
        <v>0</v>
      </c>
      <c r="M10869">
        <v>23062500</v>
      </c>
      <c r="N10869">
        <v>0</v>
      </c>
      <c r="O10869">
        <v>23062500</v>
      </c>
      <c r="P10869">
        <v>0</v>
      </c>
      <c r="Q10869">
        <v>25000000</v>
      </c>
      <c r="R10869" s="14">
        <f>_xlfn.XLOOKUP(Table2[[#This Row],[LoanID]],Table1[G-L ID],Table1[ManagerCode],-99)</f>
        <v>193</v>
      </c>
      <c r="T10869"/>
    </row>
    <row r="10870" spans="1:20" x14ac:dyDescent="0.25">
      <c r="A10870">
        <v>20200430</v>
      </c>
      <c r="B10870">
        <v>2020</v>
      </c>
      <c r="C10870">
        <v>4</v>
      </c>
      <c r="D10870">
        <v>1</v>
      </c>
      <c r="E10870">
        <v>15820</v>
      </c>
      <c r="F10870">
        <v>116964.33</v>
      </c>
      <c r="G10870">
        <v>0</v>
      </c>
      <c r="H10870">
        <v>0</v>
      </c>
      <c r="I10870">
        <v>0</v>
      </c>
      <c r="J10870">
        <v>-22190745</v>
      </c>
      <c r="K10870">
        <v>0</v>
      </c>
      <c r="L10870">
        <v>0</v>
      </c>
      <c r="M10870">
        <v>22190745</v>
      </c>
      <c r="N10870">
        <v>0</v>
      </c>
      <c r="O10870">
        <v>22190745</v>
      </c>
      <c r="P10870">
        <v>0</v>
      </c>
      <c r="Q10870">
        <v>22190745</v>
      </c>
      <c r="R10870" s="14">
        <f>_xlfn.XLOOKUP(Table2[[#This Row],[LoanID]],Table1[G-L ID],Table1[ManagerCode],-99)</f>
        <v>193</v>
      </c>
      <c r="T10870"/>
    </row>
    <row r="10871" spans="1:20" x14ac:dyDescent="0.25">
      <c r="A10871">
        <v>20200430</v>
      </c>
      <c r="B10871">
        <v>2020</v>
      </c>
      <c r="C10871">
        <v>4</v>
      </c>
      <c r="D10871">
        <v>1</v>
      </c>
      <c r="E10871">
        <v>15830</v>
      </c>
      <c r="F10871">
        <v>0</v>
      </c>
      <c r="G10871">
        <v>0</v>
      </c>
      <c r="H10871">
        <v>251533</v>
      </c>
      <c r="I10871">
        <v>0</v>
      </c>
      <c r="J10871">
        <v>-82815011</v>
      </c>
      <c r="K10871">
        <v>0</v>
      </c>
      <c r="L10871">
        <v>0</v>
      </c>
      <c r="M10871">
        <v>82815011</v>
      </c>
      <c r="N10871">
        <v>0</v>
      </c>
      <c r="O10871">
        <v>82815011</v>
      </c>
      <c r="P10871">
        <v>0</v>
      </c>
      <c r="Q10871">
        <v>82815011</v>
      </c>
      <c r="R10871" s="14">
        <f>_xlfn.XLOOKUP(Table2[[#This Row],[LoanID]],Table1[G-L ID],Table1[ManagerCode],-99)</f>
        <v>183</v>
      </c>
      <c r="T10871"/>
    </row>
    <row r="10872" spans="1:20" x14ac:dyDescent="0.25">
      <c r="A10872">
        <v>20200430</v>
      </c>
      <c r="B10872">
        <v>2020</v>
      </c>
      <c r="C10872">
        <v>4</v>
      </c>
      <c r="D10872">
        <v>1</v>
      </c>
      <c r="E10872">
        <v>15840</v>
      </c>
      <c r="F10872">
        <v>0</v>
      </c>
      <c r="G10872">
        <v>0</v>
      </c>
      <c r="H10872">
        <v>1341562.5</v>
      </c>
      <c r="I10872">
        <v>0</v>
      </c>
      <c r="J10872">
        <v>-123559276</v>
      </c>
      <c r="K10872">
        <v>0</v>
      </c>
      <c r="L10872">
        <v>0</v>
      </c>
      <c r="M10872">
        <v>123559276</v>
      </c>
      <c r="N10872">
        <v>0</v>
      </c>
      <c r="O10872">
        <v>123559276</v>
      </c>
      <c r="P10872">
        <v>0</v>
      </c>
      <c r="Q10872">
        <v>123559276</v>
      </c>
      <c r="R10872" s="14">
        <f>_xlfn.XLOOKUP(Table2[[#This Row],[LoanID]],Table1[G-L ID],Table1[ManagerCode],-99)</f>
        <v>183</v>
      </c>
      <c r="T10872"/>
    </row>
    <row r="10873" spans="1:20" x14ac:dyDescent="0.25">
      <c r="A10873">
        <v>20200531</v>
      </c>
      <c r="B10873">
        <v>2020</v>
      </c>
      <c r="C10873">
        <v>5</v>
      </c>
      <c r="D10873">
        <v>1</v>
      </c>
      <c r="E10873">
        <v>10050</v>
      </c>
      <c r="F10873">
        <v>149013.89000000001</v>
      </c>
      <c r="G10873">
        <v>0</v>
      </c>
      <c r="H10873">
        <v>0</v>
      </c>
      <c r="I10873">
        <v>-69.45</v>
      </c>
      <c r="J10873">
        <v>0</v>
      </c>
      <c r="K10873">
        <v>0</v>
      </c>
      <c r="L10873">
        <v>36252471</v>
      </c>
      <c r="M10873">
        <v>36569276</v>
      </c>
      <c r="N10873">
        <v>36252471</v>
      </c>
      <c r="O10873">
        <v>36569276</v>
      </c>
      <c r="P10873">
        <v>33333334</v>
      </c>
      <c r="Q10873">
        <v>33333334</v>
      </c>
      <c r="R10873" s="14">
        <f>_xlfn.XLOOKUP(Table2[[#This Row],[LoanID]],Table1[G-L ID],Table1[ManagerCode],-99)</f>
        <v>103</v>
      </c>
      <c r="T10873"/>
    </row>
    <row r="10874" spans="1:20" x14ac:dyDescent="0.25">
      <c r="A10874">
        <v>20200531</v>
      </c>
      <c r="B10874">
        <v>2020</v>
      </c>
      <c r="C10874">
        <v>5</v>
      </c>
      <c r="D10874">
        <v>1</v>
      </c>
      <c r="E10874">
        <v>10220</v>
      </c>
      <c r="F10874">
        <v>541666.67000000004</v>
      </c>
      <c r="G10874">
        <v>0</v>
      </c>
      <c r="H10874">
        <v>0</v>
      </c>
      <c r="I10874">
        <v>0</v>
      </c>
      <c r="J10874">
        <v>0</v>
      </c>
      <c r="K10874">
        <v>0</v>
      </c>
      <c r="L10874">
        <v>106725619</v>
      </c>
      <c r="M10874">
        <v>106954154</v>
      </c>
      <c r="N10874">
        <v>106725619</v>
      </c>
      <c r="O10874">
        <v>106954154</v>
      </c>
      <c r="P10874">
        <v>100000000</v>
      </c>
      <c r="Q10874">
        <v>100000000</v>
      </c>
      <c r="R10874" s="14">
        <f>_xlfn.XLOOKUP(Table2[[#This Row],[LoanID]],Table1[G-L ID],Table1[ManagerCode],-99)</f>
        <v>103</v>
      </c>
      <c r="T10874"/>
    </row>
    <row r="10875" spans="1:20" x14ac:dyDescent="0.25">
      <c r="A10875">
        <v>20200531</v>
      </c>
      <c r="B10875">
        <v>2020</v>
      </c>
      <c r="C10875">
        <v>5</v>
      </c>
      <c r="D10875">
        <v>1</v>
      </c>
      <c r="E10875">
        <v>11680</v>
      </c>
      <c r="F10875">
        <v>0</v>
      </c>
      <c r="G10875">
        <v>50325.78</v>
      </c>
      <c r="H10875">
        <v>0</v>
      </c>
      <c r="I10875">
        <v>0</v>
      </c>
      <c r="J10875">
        <v>0</v>
      </c>
      <c r="K10875">
        <v>0</v>
      </c>
      <c r="L10875">
        <v>6650325.7800000003</v>
      </c>
      <c r="M10875">
        <v>6700651.5599999996</v>
      </c>
      <c r="N10875">
        <v>6650325.7800000003</v>
      </c>
      <c r="O10875">
        <v>6700651.5599999996</v>
      </c>
      <c r="P10875">
        <v>6650325.7800000003</v>
      </c>
      <c r="Q10875">
        <v>6700651.5599999996</v>
      </c>
      <c r="R10875" s="14">
        <f>_xlfn.XLOOKUP(Table2[[#This Row],[LoanID]],Table1[G-L ID],Table1[ManagerCode],-99)</f>
        <v>183</v>
      </c>
      <c r="T10875"/>
    </row>
    <row r="10876" spans="1:20" x14ac:dyDescent="0.25">
      <c r="A10876">
        <v>20200531</v>
      </c>
      <c r="B10876">
        <v>2020</v>
      </c>
      <c r="C10876">
        <v>5</v>
      </c>
      <c r="D10876">
        <v>1</v>
      </c>
      <c r="E10876">
        <v>12340</v>
      </c>
      <c r="F10876">
        <v>75240.759999999995</v>
      </c>
      <c r="G10876">
        <v>0</v>
      </c>
      <c r="H10876">
        <v>0</v>
      </c>
      <c r="I10876">
        <v>0</v>
      </c>
      <c r="J10876">
        <v>0</v>
      </c>
      <c r="K10876">
        <v>0</v>
      </c>
      <c r="L10876">
        <v>24180000</v>
      </c>
      <c r="M10876">
        <v>24180000</v>
      </c>
      <c r="N10876">
        <v>12180000</v>
      </c>
      <c r="O10876">
        <v>12180000</v>
      </c>
      <c r="P10876">
        <v>24180000</v>
      </c>
      <c r="Q10876">
        <v>24180000</v>
      </c>
      <c r="R10876" s="14">
        <f>_xlfn.XLOOKUP(Table2[[#This Row],[LoanID]],Table1[G-L ID],Table1[ManagerCode],-99)</f>
        <v>183</v>
      </c>
      <c r="T10876"/>
    </row>
    <row r="10877" spans="1:20" x14ac:dyDescent="0.25">
      <c r="A10877">
        <v>20200531</v>
      </c>
      <c r="B10877">
        <v>2020</v>
      </c>
      <c r="C10877">
        <v>5</v>
      </c>
      <c r="D10877">
        <v>1</v>
      </c>
      <c r="E10877">
        <v>12350</v>
      </c>
      <c r="F10877">
        <v>286693.88</v>
      </c>
      <c r="G10877">
        <v>0</v>
      </c>
      <c r="H10877">
        <v>0</v>
      </c>
      <c r="I10877">
        <v>0</v>
      </c>
      <c r="J10877">
        <v>0</v>
      </c>
      <c r="K10877">
        <v>0</v>
      </c>
      <c r="L10877">
        <v>78700000</v>
      </c>
      <c r="M10877">
        <v>78700000</v>
      </c>
      <c r="N10877">
        <v>40914236.340000004</v>
      </c>
      <c r="O10877">
        <v>40914236.340000004</v>
      </c>
      <c r="P10877">
        <v>78700000</v>
      </c>
      <c r="Q10877">
        <v>78700000</v>
      </c>
      <c r="R10877" s="14">
        <f>_xlfn.XLOOKUP(Table2[[#This Row],[LoanID]],Table1[G-L ID],Table1[ManagerCode],-99)</f>
        <v>183</v>
      </c>
      <c r="T10877"/>
    </row>
    <row r="10878" spans="1:20" x14ac:dyDescent="0.25">
      <c r="A10878">
        <v>20200531</v>
      </c>
      <c r="B10878">
        <v>2020</v>
      </c>
      <c r="C10878">
        <v>5</v>
      </c>
      <c r="D10878">
        <v>1</v>
      </c>
      <c r="E10878">
        <v>12370</v>
      </c>
      <c r="F10878">
        <v>312165.76000000001</v>
      </c>
      <c r="G10878">
        <v>0</v>
      </c>
      <c r="H10878">
        <v>0</v>
      </c>
      <c r="I10878">
        <v>0</v>
      </c>
      <c r="J10878">
        <v>0</v>
      </c>
      <c r="K10878">
        <v>0</v>
      </c>
      <c r="L10878">
        <v>81600000</v>
      </c>
      <c r="M10878">
        <v>81600000</v>
      </c>
      <c r="N10878">
        <v>51303137.549999997</v>
      </c>
      <c r="O10878">
        <v>51303137.549999997</v>
      </c>
      <c r="P10878">
        <v>81600000</v>
      </c>
      <c r="Q10878">
        <v>81600000</v>
      </c>
      <c r="R10878" s="14">
        <f>_xlfn.XLOOKUP(Table2[[#This Row],[LoanID]],Table1[G-L ID],Table1[ManagerCode],-99)</f>
        <v>183</v>
      </c>
      <c r="T10878"/>
    </row>
    <row r="10879" spans="1:20" x14ac:dyDescent="0.25">
      <c r="A10879">
        <v>20200531</v>
      </c>
      <c r="B10879">
        <v>2020</v>
      </c>
      <c r="C10879">
        <v>5</v>
      </c>
      <c r="D10879">
        <v>1</v>
      </c>
      <c r="E10879">
        <v>12390</v>
      </c>
      <c r="F10879">
        <v>1124702.31</v>
      </c>
      <c r="G10879">
        <v>651774.79</v>
      </c>
      <c r="H10879">
        <v>0</v>
      </c>
      <c r="I10879">
        <v>0</v>
      </c>
      <c r="J10879">
        <v>-286235.09000000003</v>
      </c>
      <c r="K10879">
        <v>0</v>
      </c>
      <c r="L10879">
        <v>171539169.69999999</v>
      </c>
      <c r="M10879">
        <v>172477179.59999999</v>
      </c>
      <c r="N10879">
        <v>171539169.69999999</v>
      </c>
      <c r="O10879">
        <v>172477179.59999999</v>
      </c>
      <c r="P10879">
        <v>171539169.69999999</v>
      </c>
      <c r="Q10879">
        <v>172477179.59999999</v>
      </c>
      <c r="R10879" s="14">
        <f>_xlfn.XLOOKUP(Table2[[#This Row],[LoanID]],Table1[G-L ID],Table1[ManagerCode],-99)</f>
        <v>183</v>
      </c>
      <c r="T10879"/>
    </row>
    <row r="10880" spans="1:20" x14ac:dyDescent="0.25">
      <c r="A10880">
        <v>20200531</v>
      </c>
      <c r="B10880">
        <v>2020</v>
      </c>
      <c r="C10880">
        <v>5</v>
      </c>
      <c r="D10880">
        <v>1</v>
      </c>
      <c r="E10880">
        <v>12400</v>
      </c>
      <c r="F10880">
        <v>310436.83</v>
      </c>
      <c r="G10880">
        <v>142294.32999999999</v>
      </c>
      <c r="H10880">
        <v>0</v>
      </c>
      <c r="I10880">
        <v>0</v>
      </c>
      <c r="J10880">
        <v>-470317.84</v>
      </c>
      <c r="K10880">
        <v>0</v>
      </c>
      <c r="L10880">
        <v>66696319.149999999</v>
      </c>
      <c r="M10880">
        <v>67308931.319999993</v>
      </c>
      <c r="N10880">
        <v>66696319.149999999</v>
      </c>
      <c r="O10880">
        <v>67308931.319999993</v>
      </c>
      <c r="P10880">
        <v>66696319.149999999</v>
      </c>
      <c r="Q10880">
        <v>67308931.319999993</v>
      </c>
      <c r="R10880" s="14">
        <f>_xlfn.XLOOKUP(Table2[[#This Row],[LoanID]],Table1[G-L ID],Table1[ManagerCode],-99)</f>
        <v>183</v>
      </c>
      <c r="T10880"/>
    </row>
    <row r="10881" spans="1:20" x14ac:dyDescent="0.25">
      <c r="A10881">
        <v>20200531</v>
      </c>
      <c r="B10881">
        <v>2020</v>
      </c>
      <c r="C10881">
        <v>5</v>
      </c>
      <c r="D10881">
        <v>1</v>
      </c>
      <c r="E10881">
        <v>12410</v>
      </c>
      <c r="F10881">
        <v>250000</v>
      </c>
      <c r="G10881">
        <v>125000</v>
      </c>
      <c r="H10881">
        <v>0</v>
      </c>
      <c r="I10881">
        <v>0</v>
      </c>
      <c r="J10881">
        <v>0</v>
      </c>
      <c r="K10881">
        <v>0</v>
      </c>
      <c r="L10881">
        <v>68939377.629999995</v>
      </c>
      <c r="M10881">
        <v>69535399.099999994</v>
      </c>
      <c r="N10881">
        <v>68939377.629999995</v>
      </c>
      <c r="O10881">
        <v>69535399.099999994</v>
      </c>
      <c r="P10881">
        <v>67004789.659999996</v>
      </c>
      <c r="Q10881">
        <v>67129789.659999996</v>
      </c>
      <c r="R10881" s="14">
        <f>_xlfn.XLOOKUP(Table2[[#This Row],[LoanID]],Table1[G-L ID],Table1[ManagerCode],-99)</f>
        <v>103</v>
      </c>
      <c r="T10881"/>
    </row>
    <row r="10882" spans="1:20" x14ac:dyDescent="0.25">
      <c r="A10882">
        <v>20200531</v>
      </c>
      <c r="B10882">
        <v>2020</v>
      </c>
      <c r="C10882">
        <v>5</v>
      </c>
      <c r="D10882">
        <v>1</v>
      </c>
      <c r="E10882">
        <v>12430</v>
      </c>
      <c r="F10882">
        <v>96750.82</v>
      </c>
      <c r="G10882">
        <v>0</v>
      </c>
      <c r="H10882">
        <v>0</v>
      </c>
      <c r="I10882">
        <v>0</v>
      </c>
      <c r="J10882">
        <v>-96750.82</v>
      </c>
      <c r="K10882">
        <v>0</v>
      </c>
      <c r="L10882">
        <v>27504175</v>
      </c>
      <c r="M10882">
        <v>27665895</v>
      </c>
      <c r="N10882">
        <v>27504175</v>
      </c>
      <c r="O10882">
        <v>27665895</v>
      </c>
      <c r="P10882">
        <v>29163355.620000001</v>
      </c>
      <c r="Q10882">
        <v>29260106.440000001</v>
      </c>
      <c r="R10882" s="14">
        <f>_xlfn.XLOOKUP(Table2[[#This Row],[LoanID]],Table1[G-L ID],Table1[ManagerCode],-99)</f>
        <v>103</v>
      </c>
      <c r="T10882"/>
    </row>
    <row r="10883" spans="1:20" x14ac:dyDescent="0.25">
      <c r="A10883">
        <v>20200531</v>
      </c>
      <c r="B10883">
        <v>2020</v>
      </c>
      <c r="C10883">
        <v>5</v>
      </c>
      <c r="D10883">
        <v>1</v>
      </c>
      <c r="E10883">
        <v>12440</v>
      </c>
      <c r="F10883">
        <v>22041.24</v>
      </c>
      <c r="G10883">
        <v>0</v>
      </c>
      <c r="H10883">
        <v>0</v>
      </c>
      <c r="I10883">
        <v>0</v>
      </c>
      <c r="J10883">
        <v>0</v>
      </c>
      <c r="K10883">
        <v>61325.03</v>
      </c>
      <c r="L10883">
        <v>2891570</v>
      </c>
      <c r="M10883">
        <v>2828081</v>
      </c>
      <c r="N10883">
        <v>2891570</v>
      </c>
      <c r="O10883">
        <v>2828081</v>
      </c>
      <c r="P10883">
        <v>2644948.7599999998</v>
      </c>
      <c r="Q10883">
        <v>2583623.73</v>
      </c>
      <c r="R10883" s="14">
        <f>_xlfn.XLOOKUP(Table2[[#This Row],[LoanID]],Table1[G-L ID],Table1[ManagerCode],-99)</f>
        <v>103</v>
      </c>
      <c r="T10883"/>
    </row>
    <row r="10884" spans="1:20" x14ac:dyDescent="0.25">
      <c r="A10884">
        <v>20200531</v>
      </c>
      <c r="B10884">
        <v>2020</v>
      </c>
      <c r="C10884">
        <v>5</v>
      </c>
      <c r="D10884">
        <v>1</v>
      </c>
      <c r="E10884">
        <v>12460</v>
      </c>
      <c r="F10884">
        <v>48943.13</v>
      </c>
      <c r="G10884">
        <v>49187.85</v>
      </c>
      <c r="H10884">
        <v>0</v>
      </c>
      <c r="I10884">
        <v>0</v>
      </c>
      <c r="J10884">
        <v>0</v>
      </c>
      <c r="K10884">
        <v>0</v>
      </c>
      <c r="L10884">
        <v>9837568.8800000008</v>
      </c>
      <c r="M10884">
        <v>9886756.7300000004</v>
      </c>
      <c r="N10884">
        <v>9837568.8800000008</v>
      </c>
      <c r="O10884">
        <v>9886756.7300000004</v>
      </c>
      <c r="P10884">
        <v>9837568.8800000008</v>
      </c>
      <c r="Q10884">
        <v>9886756.7300000004</v>
      </c>
      <c r="R10884" s="14">
        <f>_xlfn.XLOOKUP(Table2[[#This Row],[LoanID]],Table1[G-L ID],Table1[ManagerCode],-99)</f>
        <v>183</v>
      </c>
      <c r="T10884"/>
    </row>
    <row r="10885" spans="1:20" x14ac:dyDescent="0.25">
      <c r="A10885">
        <v>20200531</v>
      </c>
      <c r="B10885">
        <v>2020</v>
      </c>
      <c r="C10885">
        <v>5</v>
      </c>
      <c r="D10885">
        <v>1</v>
      </c>
      <c r="E10885">
        <v>12470</v>
      </c>
      <c r="F10885">
        <v>322574.90000000002</v>
      </c>
      <c r="G10885">
        <v>0</v>
      </c>
      <c r="H10885">
        <v>0</v>
      </c>
      <c r="I10885">
        <v>0</v>
      </c>
      <c r="J10885">
        <v>0</v>
      </c>
      <c r="K10885">
        <v>0</v>
      </c>
      <c r="L10885">
        <v>112213002</v>
      </c>
      <c r="M10885">
        <v>112213002</v>
      </c>
      <c r="N10885">
        <v>43213002</v>
      </c>
      <c r="O10885">
        <v>43213002</v>
      </c>
      <c r="P10885">
        <v>115000000</v>
      </c>
      <c r="Q10885">
        <v>115000000</v>
      </c>
      <c r="R10885" s="14">
        <f>_xlfn.XLOOKUP(Table2[[#This Row],[LoanID]],Table1[G-L ID],Table1[ManagerCode],-99)</f>
        <v>183</v>
      </c>
      <c r="T10885"/>
    </row>
    <row r="10886" spans="1:20" x14ac:dyDescent="0.25">
      <c r="A10886">
        <v>20200531</v>
      </c>
      <c r="B10886">
        <v>2020</v>
      </c>
      <c r="C10886">
        <v>5</v>
      </c>
      <c r="D10886">
        <v>1</v>
      </c>
      <c r="E10886">
        <v>12490</v>
      </c>
      <c r="F10886">
        <v>135298.85</v>
      </c>
      <c r="G10886">
        <v>0</v>
      </c>
      <c r="H10886">
        <v>0</v>
      </c>
      <c r="I10886">
        <v>0</v>
      </c>
      <c r="J10886">
        <v>0</v>
      </c>
      <c r="K10886">
        <v>0</v>
      </c>
      <c r="L10886">
        <v>50200000</v>
      </c>
      <c r="M10886">
        <v>50200000</v>
      </c>
      <c r="N10886">
        <v>19600000</v>
      </c>
      <c r="O10886">
        <v>19600000</v>
      </c>
      <c r="P10886">
        <v>50200000</v>
      </c>
      <c r="Q10886">
        <v>50200000</v>
      </c>
      <c r="R10886" s="14">
        <f>_xlfn.XLOOKUP(Table2[[#This Row],[LoanID]],Table1[G-L ID],Table1[ManagerCode],-99)</f>
        <v>183</v>
      </c>
      <c r="T10886"/>
    </row>
    <row r="10887" spans="1:20" x14ac:dyDescent="0.25">
      <c r="A10887">
        <v>20200531</v>
      </c>
      <c r="B10887">
        <v>2020</v>
      </c>
      <c r="C10887">
        <v>5</v>
      </c>
      <c r="D10887">
        <v>1</v>
      </c>
      <c r="E10887">
        <v>12520</v>
      </c>
      <c r="F10887">
        <v>199916.87</v>
      </c>
      <c r="G10887">
        <v>0</v>
      </c>
      <c r="H10887">
        <v>0</v>
      </c>
      <c r="I10887">
        <v>0</v>
      </c>
      <c r="J10887">
        <v>0</v>
      </c>
      <c r="K10887">
        <v>0</v>
      </c>
      <c r="L10887">
        <v>49449376.439999998</v>
      </c>
      <c r="M10887">
        <v>49449376.439999998</v>
      </c>
      <c r="N10887">
        <v>24699376.440000001</v>
      </c>
      <c r="O10887">
        <v>24699376.440000001</v>
      </c>
      <c r="P10887">
        <v>49098284.869999997</v>
      </c>
      <c r="Q10887">
        <v>49098284.869999997</v>
      </c>
      <c r="R10887" s="14">
        <f>_xlfn.XLOOKUP(Table2[[#This Row],[LoanID]],Table1[G-L ID],Table1[ManagerCode],-99)</f>
        <v>183</v>
      </c>
      <c r="T10887"/>
    </row>
    <row r="10888" spans="1:20" x14ac:dyDescent="0.25">
      <c r="A10888">
        <v>20200531</v>
      </c>
      <c r="B10888">
        <v>2020</v>
      </c>
      <c r="C10888">
        <v>5</v>
      </c>
      <c r="D10888">
        <v>1</v>
      </c>
      <c r="E10888">
        <v>12650</v>
      </c>
      <c r="F10888">
        <v>305875.7</v>
      </c>
      <c r="G10888">
        <v>0</v>
      </c>
      <c r="H10888">
        <v>0</v>
      </c>
      <c r="I10888">
        <v>0</v>
      </c>
      <c r="J10888">
        <v>0</v>
      </c>
      <c r="K10888">
        <v>0</v>
      </c>
      <c r="L10888">
        <v>123193646.09999999</v>
      </c>
      <c r="M10888">
        <v>123193646.09999999</v>
      </c>
      <c r="N10888">
        <v>49273646.100000001</v>
      </c>
      <c r="O10888">
        <v>49273646.100000001</v>
      </c>
      <c r="P10888">
        <v>123200000</v>
      </c>
      <c r="Q10888">
        <v>123200000</v>
      </c>
      <c r="R10888" s="14">
        <f>_xlfn.XLOOKUP(Table2[[#This Row],[LoanID]],Table1[G-L ID],Table1[ManagerCode],-99)</f>
        <v>183</v>
      </c>
      <c r="T10888"/>
    </row>
    <row r="10889" spans="1:20" x14ac:dyDescent="0.25">
      <c r="A10889">
        <v>20200531</v>
      </c>
      <c r="B10889">
        <v>2020</v>
      </c>
      <c r="C10889">
        <v>5</v>
      </c>
      <c r="D10889">
        <v>1</v>
      </c>
      <c r="E10889">
        <v>12670</v>
      </c>
      <c r="F10889">
        <v>81337.97</v>
      </c>
      <c r="G10889">
        <v>0</v>
      </c>
      <c r="H10889">
        <v>0</v>
      </c>
      <c r="I10889">
        <v>0</v>
      </c>
      <c r="J10889">
        <v>0</v>
      </c>
      <c r="K10889">
        <v>0</v>
      </c>
      <c r="L10889">
        <v>15560412.1</v>
      </c>
      <c r="M10889">
        <v>15560412.1</v>
      </c>
      <c r="N10889">
        <v>15560412.1</v>
      </c>
      <c r="O10889">
        <v>15560412.1</v>
      </c>
      <c r="P10889">
        <v>15500000</v>
      </c>
      <c r="Q10889">
        <v>15500000</v>
      </c>
      <c r="R10889" s="14">
        <f>_xlfn.XLOOKUP(Table2[[#This Row],[LoanID]],Table1[G-L ID],Table1[ManagerCode],-99)</f>
        <v>183</v>
      </c>
      <c r="T10889"/>
    </row>
    <row r="10890" spans="1:20" x14ac:dyDescent="0.25">
      <c r="A10890">
        <v>20200531</v>
      </c>
      <c r="B10890">
        <v>2020</v>
      </c>
      <c r="C10890">
        <v>5</v>
      </c>
      <c r="D10890">
        <v>1</v>
      </c>
      <c r="E10890">
        <v>12720</v>
      </c>
      <c r="F10890">
        <v>555102.52</v>
      </c>
      <c r="G10890">
        <v>0</v>
      </c>
      <c r="H10890">
        <v>0</v>
      </c>
      <c r="I10890">
        <v>0</v>
      </c>
      <c r="J10890">
        <v>-1422733.52</v>
      </c>
      <c r="K10890">
        <v>0</v>
      </c>
      <c r="L10890">
        <v>208944035</v>
      </c>
      <c r="M10890">
        <v>210366768.59999999</v>
      </c>
      <c r="N10890">
        <v>107063035</v>
      </c>
      <c r="O10890">
        <v>108485768.59999999</v>
      </c>
      <c r="P10890">
        <v>208944035</v>
      </c>
      <c r="Q10890">
        <v>210366768.59999999</v>
      </c>
      <c r="R10890" s="14">
        <f>_xlfn.XLOOKUP(Table2[[#This Row],[LoanID]],Table1[G-L ID],Table1[ManagerCode],-99)</f>
        <v>183</v>
      </c>
      <c r="T10890"/>
    </row>
    <row r="10891" spans="1:20" x14ac:dyDescent="0.25">
      <c r="A10891">
        <v>20200531</v>
      </c>
      <c r="B10891">
        <v>2020</v>
      </c>
      <c r="C10891">
        <v>5</v>
      </c>
      <c r="D10891">
        <v>1</v>
      </c>
      <c r="E10891">
        <v>12730</v>
      </c>
      <c r="F10891">
        <v>111554.27</v>
      </c>
      <c r="G10891">
        <v>0</v>
      </c>
      <c r="H10891">
        <v>0</v>
      </c>
      <c r="I10891">
        <v>0</v>
      </c>
      <c r="J10891">
        <v>0</v>
      </c>
      <c r="K10891">
        <v>0</v>
      </c>
      <c r="L10891">
        <v>38460000</v>
      </c>
      <c r="M10891">
        <v>38460000</v>
      </c>
      <c r="N10891">
        <v>13460000</v>
      </c>
      <c r="O10891">
        <v>13460000</v>
      </c>
      <c r="P10891">
        <v>38460000</v>
      </c>
      <c r="Q10891">
        <v>38460000</v>
      </c>
      <c r="R10891" s="14">
        <f>_xlfn.XLOOKUP(Table2[[#This Row],[LoanID]],Table1[G-L ID],Table1[ManagerCode],-99)</f>
        <v>183</v>
      </c>
      <c r="T10891"/>
    </row>
    <row r="10892" spans="1:20" x14ac:dyDescent="0.25">
      <c r="A10892">
        <v>20200531</v>
      </c>
      <c r="B10892">
        <v>2020</v>
      </c>
      <c r="C10892">
        <v>5</v>
      </c>
      <c r="D10892">
        <v>1</v>
      </c>
      <c r="E10892">
        <v>12740</v>
      </c>
      <c r="F10892">
        <v>166376.14000000001</v>
      </c>
      <c r="G10892">
        <v>81934.83</v>
      </c>
      <c r="H10892">
        <v>0</v>
      </c>
      <c r="I10892">
        <v>0</v>
      </c>
      <c r="J10892">
        <v>-300032.44</v>
      </c>
      <c r="K10892">
        <v>0</v>
      </c>
      <c r="L10892">
        <v>35128466.700000003</v>
      </c>
      <c r="M10892">
        <v>35510433.969999999</v>
      </c>
      <c r="N10892">
        <v>35128466.700000003</v>
      </c>
      <c r="O10892">
        <v>35510433.969999999</v>
      </c>
      <c r="P10892">
        <v>35128466.700000003</v>
      </c>
      <c r="Q10892">
        <v>35510433.969999999</v>
      </c>
      <c r="R10892" s="14">
        <f>_xlfn.XLOOKUP(Table2[[#This Row],[LoanID]],Table1[G-L ID],Table1[ManagerCode],-99)</f>
        <v>183</v>
      </c>
      <c r="T10892"/>
    </row>
    <row r="10893" spans="1:20" x14ac:dyDescent="0.25">
      <c r="A10893">
        <v>20200531</v>
      </c>
      <c r="B10893">
        <v>2020</v>
      </c>
      <c r="C10893">
        <v>5</v>
      </c>
      <c r="D10893">
        <v>1</v>
      </c>
      <c r="E10893">
        <v>13000</v>
      </c>
      <c r="F10893">
        <v>172229.57</v>
      </c>
      <c r="G10893">
        <v>0</v>
      </c>
      <c r="H10893">
        <v>0</v>
      </c>
      <c r="I10893">
        <v>0</v>
      </c>
      <c r="J10893">
        <v>0</v>
      </c>
      <c r="K10893">
        <v>0</v>
      </c>
      <c r="L10893">
        <v>47899826</v>
      </c>
      <c r="M10893">
        <v>48569082</v>
      </c>
      <c r="N10893">
        <v>47899826</v>
      </c>
      <c r="O10893">
        <v>48569082</v>
      </c>
      <c r="P10893">
        <v>51770780.119999997</v>
      </c>
      <c r="Q10893">
        <v>51770780.119999997</v>
      </c>
      <c r="R10893" s="14">
        <f>_xlfn.XLOOKUP(Table2[[#This Row],[LoanID]],Table1[G-L ID],Table1[ManagerCode],-99)</f>
        <v>103</v>
      </c>
      <c r="T10893"/>
    </row>
    <row r="10894" spans="1:20" x14ac:dyDescent="0.25">
      <c r="A10894">
        <v>20200531</v>
      </c>
      <c r="B10894">
        <v>2020</v>
      </c>
      <c r="C10894">
        <v>5</v>
      </c>
      <c r="D10894">
        <v>1</v>
      </c>
      <c r="E10894">
        <v>13010</v>
      </c>
      <c r="F10894">
        <v>1050000</v>
      </c>
      <c r="G10894">
        <v>350000</v>
      </c>
      <c r="H10894">
        <v>0</v>
      </c>
      <c r="I10894">
        <v>0</v>
      </c>
      <c r="J10894">
        <v>0</v>
      </c>
      <c r="K10894">
        <v>0</v>
      </c>
      <c r="L10894">
        <v>197512209.09999999</v>
      </c>
      <c r="M10894">
        <v>201637281.09999999</v>
      </c>
      <c r="N10894">
        <v>197512209.09999999</v>
      </c>
      <c r="O10894">
        <v>201637281.09999999</v>
      </c>
      <c r="P10894">
        <v>213500000</v>
      </c>
      <c r="Q10894">
        <v>213850000</v>
      </c>
      <c r="R10894" s="14">
        <f>_xlfn.XLOOKUP(Table2[[#This Row],[LoanID]],Table1[G-L ID],Table1[ManagerCode],-99)</f>
        <v>103</v>
      </c>
      <c r="T10894"/>
    </row>
    <row r="10895" spans="1:20" x14ac:dyDescent="0.25">
      <c r="A10895">
        <v>20200531</v>
      </c>
      <c r="B10895">
        <v>2020</v>
      </c>
      <c r="C10895">
        <v>5</v>
      </c>
      <c r="D10895">
        <v>1</v>
      </c>
      <c r="E10895">
        <v>13030</v>
      </c>
      <c r="F10895">
        <v>379953.28</v>
      </c>
      <c r="G10895">
        <v>0</v>
      </c>
      <c r="H10895">
        <v>0</v>
      </c>
      <c r="I10895">
        <v>0</v>
      </c>
      <c r="J10895">
        <v>0</v>
      </c>
      <c r="K10895">
        <v>0</v>
      </c>
      <c r="L10895">
        <v>116593371.3</v>
      </c>
      <c r="M10895">
        <v>116593371.3</v>
      </c>
      <c r="N10895">
        <v>53869947.299999997</v>
      </c>
      <c r="O10895">
        <v>53869947.299999997</v>
      </c>
      <c r="P10895">
        <v>116660670.3</v>
      </c>
      <c r="Q10895">
        <v>116660670.3</v>
      </c>
      <c r="R10895" s="14">
        <f>_xlfn.XLOOKUP(Table2[[#This Row],[LoanID]],Table1[G-L ID],Table1[ManagerCode],-99)</f>
        <v>183</v>
      </c>
      <c r="T10895"/>
    </row>
    <row r="10896" spans="1:20" x14ac:dyDescent="0.25">
      <c r="A10896">
        <v>20200531</v>
      </c>
      <c r="B10896">
        <v>2020</v>
      </c>
      <c r="C10896">
        <v>5</v>
      </c>
      <c r="D10896">
        <v>1</v>
      </c>
      <c r="E10896">
        <v>13040</v>
      </c>
      <c r="F10896">
        <v>116949.64</v>
      </c>
      <c r="G10896">
        <v>0</v>
      </c>
      <c r="H10896">
        <v>0</v>
      </c>
      <c r="I10896">
        <v>0</v>
      </c>
      <c r="J10896">
        <v>-212741.7</v>
      </c>
      <c r="K10896">
        <v>0</v>
      </c>
      <c r="L10896">
        <v>36736111.100000001</v>
      </c>
      <c r="M10896">
        <v>36948852.799999997</v>
      </c>
      <c r="N10896">
        <v>16563724.1</v>
      </c>
      <c r="O10896">
        <v>16776465.800000001</v>
      </c>
      <c r="P10896">
        <v>36736111.100000001</v>
      </c>
      <c r="Q10896">
        <v>36948852.799999997</v>
      </c>
      <c r="R10896" s="14">
        <f>_xlfn.XLOOKUP(Table2[[#This Row],[LoanID]],Table1[G-L ID],Table1[ManagerCode],-99)</f>
        <v>183</v>
      </c>
      <c r="T10896"/>
    </row>
    <row r="10897" spans="1:20" x14ac:dyDescent="0.25">
      <c r="A10897">
        <v>20200531</v>
      </c>
      <c r="B10897">
        <v>2020</v>
      </c>
      <c r="C10897">
        <v>5</v>
      </c>
      <c r="D10897">
        <v>1</v>
      </c>
      <c r="E10897">
        <v>13050</v>
      </c>
      <c r="F10897">
        <v>77196.84</v>
      </c>
      <c r="G10897">
        <v>0</v>
      </c>
      <c r="H10897">
        <v>0</v>
      </c>
      <c r="I10897">
        <v>0</v>
      </c>
      <c r="J10897">
        <v>0</v>
      </c>
      <c r="K10897">
        <v>0</v>
      </c>
      <c r="L10897">
        <v>42477092</v>
      </c>
      <c r="M10897">
        <v>42477092</v>
      </c>
      <c r="N10897">
        <v>14803516</v>
      </c>
      <c r="O10897">
        <v>14803516</v>
      </c>
      <c r="P10897">
        <v>42575000</v>
      </c>
      <c r="Q10897">
        <v>42575000</v>
      </c>
      <c r="R10897" s="14">
        <f>_xlfn.XLOOKUP(Table2[[#This Row],[LoanID]],Table1[G-L ID],Table1[ManagerCode],-99)</f>
        <v>183</v>
      </c>
      <c r="T10897"/>
    </row>
    <row r="10898" spans="1:20" x14ac:dyDescent="0.25">
      <c r="A10898">
        <v>20200531</v>
      </c>
      <c r="B10898">
        <v>2020</v>
      </c>
      <c r="C10898">
        <v>5</v>
      </c>
      <c r="D10898">
        <v>1</v>
      </c>
      <c r="E10898">
        <v>13060</v>
      </c>
      <c r="F10898">
        <v>110475.9</v>
      </c>
      <c r="G10898">
        <v>0</v>
      </c>
      <c r="H10898">
        <v>0</v>
      </c>
      <c r="I10898">
        <v>0</v>
      </c>
      <c r="J10898">
        <v>-1287295</v>
      </c>
      <c r="K10898">
        <v>0</v>
      </c>
      <c r="L10898">
        <v>49057435.729999997</v>
      </c>
      <c r="M10898">
        <v>50344730.729999997</v>
      </c>
      <c r="N10898">
        <v>22808579.57</v>
      </c>
      <c r="O10898">
        <v>24095874.57</v>
      </c>
      <c r="P10898">
        <v>50030404.920000002</v>
      </c>
      <c r="Q10898">
        <v>51317699.920000002</v>
      </c>
      <c r="R10898" s="14">
        <f>_xlfn.XLOOKUP(Table2[[#This Row],[LoanID]],Table1[G-L ID],Table1[ManagerCode],-99)</f>
        <v>183</v>
      </c>
      <c r="T10898"/>
    </row>
    <row r="10899" spans="1:20" x14ac:dyDescent="0.25">
      <c r="A10899">
        <v>20200531</v>
      </c>
      <c r="B10899">
        <v>2020</v>
      </c>
      <c r="C10899">
        <v>5</v>
      </c>
      <c r="D10899">
        <v>1</v>
      </c>
      <c r="E10899">
        <v>13070</v>
      </c>
      <c r="F10899">
        <v>430025.06</v>
      </c>
      <c r="G10899">
        <v>0</v>
      </c>
      <c r="H10899">
        <v>0</v>
      </c>
      <c r="I10899">
        <v>0</v>
      </c>
      <c r="J10899">
        <v>0</v>
      </c>
      <c r="K10899">
        <v>0</v>
      </c>
      <c r="L10899">
        <v>99604825</v>
      </c>
      <c r="M10899">
        <v>99604825</v>
      </c>
      <c r="N10899">
        <v>59604825</v>
      </c>
      <c r="O10899">
        <v>59604825</v>
      </c>
      <c r="P10899">
        <v>99604825</v>
      </c>
      <c r="Q10899">
        <v>99604825</v>
      </c>
      <c r="R10899" s="14">
        <f>_xlfn.XLOOKUP(Table2[[#This Row],[LoanID]],Table1[G-L ID],Table1[ManagerCode],-99)</f>
        <v>183</v>
      </c>
      <c r="T10899"/>
    </row>
    <row r="10900" spans="1:20" x14ac:dyDescent="0.25">
      <c r="A10900">
        <v>20200531</v>
      </c>
      <c r="B10900">
        <v>2020</v>
      </c>
      <c r="C10900">
        <v>5</v>
      </c>
      <c r="D10900">
        <v>1</v>
      </c>
      <c r="E10900">
        <v>13080</v>
      </c>
      <c r="F10900">
        <v>138113.54</v>
      </c>
      <c r="G10900">
        <v>0</v>
      </c>
      <c r="H10900">
        <v>0</v>
      </c>
      <c r="I10900">
        <v>0</v>
      </c>
      <c r="J10900">
        <v>0</v>
      </c>
      <c r="K10900">
        <v>0</v>
      </c>
      <c r="L10900">
        <v>43000000</v>
      </c>
      <c r="M10900">
        <v>43000000</v>
      </c>
      <c r="N10900">
        <v>21500000</v>
      </c>
      <c r="O10900">
        <v>21500000</v>
      </c>
      <c r="P10900">
        <v>43000000</v>
      </c>
      <c r="Q10900">
        <v>43000000</v>
      </c>
      <c r="R10900" s="14">
        <f>_xlfn.XLOOKUP(Table2[[#This Row],[LoanID]],Table1[G-L ID],Table1[ManagerCode],-99)</f>
        <v>183</v>
      </c>
      <c r="T10900"/>
    </row>
    <row r="10901" spans="1:20" x14ac:dyDescent="0.25">
      <c r="A10901">
        <v>20200531</v>
      </c>
      <c r="B10901">
        <v>2020</v>
      </c>
      <c r="C10901">
        <v>5</v>
      </c>
      <c r="D10901">
        <v>1</v>
      </c>
      <c r="E10901">
        <v>13090</v>
      </c>
      <c r="F10901">
        <v>77035</v>
      </c>
      <c r="G10901">
        <v>0</v>
      </c>
      <c r="H10901">
        <v>0</v>
      </c>
      <c r="I10901">
        <v>0</v>
      </c>
      <c r="J10901">
        <v>0</v>
      </c>
      <c r="K10901">
        <v>0</v>
      </c>
      <c r="L10901">
        <v>20000000</v>
      </c>
      <c r="M10901">
        <v>20000000</v>
      </c>
      <c r="N10901">
        <v>20000000</v>
      </c>
      <c r="O10901">
        <v>20000000</v>
      </c>
      <c r="P10901">
        <v>20000000</v>
      </c>
      <c r="Q10901">
        <v>20000000</v>
      </c>
      <c r="R10901" s="14">
        <f>_xlfn.XLOOKUP(Table2[[#This Row],[LoanID]],Table1[G-L ID],Table1[ManagerCode],-99)</f>
        <v>183</v>
      </c>
      <c r="T10901"/>
    </row>
    <row r="10902" spans="1:20" x14ac:dyDescent="0.25">
      <c r="A10902">
        <v>20200531</v>
      </c>
      <c r="B10902">
        <v>2020</v>
      </c>
      <c r="C10902">
        <v>5</v>
      </c>
      <c r="D10902">
        <v>1</v>
      </c>
      <c r="E10902">
        <v>13100</v>
      </c>
      <c r="F10902">
        <v>96848.8</v>
      </c>
      <c r="G10902">
        <v>0</v>
      </c>
      <c r="H10902">
        <v>0</v>
      </c>
      <c r="I10902">
        <v>0</v>
      </c>
      <c r="J10902">
        <v>0</v>
      </c>
      <c r="K10902">
        <v>0</v>
      </c>
      <c r="L10902">
        <v>25918009.91</v>
      </c>
      <c r="M10902">
        <v>25296202.539999999</v>
      </c>
      <c r="N10902">
        <v>8632419.2699999996</v>
      </c>
      <c r="O10902">
        <v>8632419.2699999996</v>
      </c>
      <c r="P10902">
        <v>25918009.91</v>
      </c>
      <c r="Q10902">
        <v>25296202.539999999</v>
      </c>
      <c r="R10902" s="14">
        <f>_xlfn.XLOOKUP(Table2[[#This Row],[LoanID]],Table1[G-L ID],Table1[ManagerCode],-99)</f>
        <v>183</v>
      </c>
      <c r="T10902"/>
    </row>
    <row r="10903" spans="1:20" x14ac:dyDescent="0.25">
      <c r="A10903">
        <v>20200531</v>
      </c>
      <c r="B10903">
        <v>2020</v>
      </c>
      <c r="C10903">
        <v>5</v>
      </c>
      <c r="D10903">
        <v>1</v>
      </c>
      <c r="E10903">
        <v>13110</v>
      </c>
      <c r="F10903">
        <v>96240.89</v>
      </c>
      <c r="G10903">
        <v>0</v>
      </c>
      <c r="H10903">
        <v>0</v>
      </c>
      <c r="I10903">
        <v>0</v>
      </c>
      <c r="J10903">
        <v>-276517.3</v>
      </c>
      <c r="K10903">
        <v>0</v>
      </c>
      <c r="L10903">
        <v>45900909.270000003</v>
      </c>
      <c r="M10903">
        <v>46177426.57</v>
      </c>
      <c r="N10903">
        <v>18255385.609999999</v>
      </c>
      <c r="O10903">
        <v>18531902.91</v>
      </c>
      <c r="P10903">
        <v>46371198.390000001</v>
      </c>
      <c r="Q10903">
        <v>46647715.689999998</v>
      </c>
      <c r="R10903" s="14">
        <f>_xlfn.XLOOKUP(Table2[[#This Row],[LoanID]],Table1[G-L ID],Table1[ManagerCode],-99)</f>
        <v>183</v>
      </c>
      <c r="T10903"/>
    </row>
    <row r="10904" spans="1:20" x14ac:dyDescent="0.25">
      <c r="A10904">
        <v>20200531</v>
      </c>
      <c r="B10904">
        <v>2020</v>
      </c>
      <c r="C10904">
        <v>5</v>
      </c>
      <c r="D10904">
        <v>1</v>
      </c>
      <c r="E10904">
        <v>13120</v>
      </c>
      <c r="F10904">
        <v>83520.2</v>
      </c>
      <c r="G10904">
        <v>0</v>
      </c>
      <c r="H10904">
        <v>0</v>
      </c>
      <c r="I10904">
        <v>0</v>
      </c>
      <c r="J10904">
        <v>0</v>
      </c>
      <c r="K10904">
        <v>0</v>
      </c>
      <c r="L10904">
        <v>27360000</v>
      </c>
      <c r="M10904">
        <v>27360000</v>
      </c>
      <c r="N10904">
        <v>9576000</v>
      </c>
      <c r="O10904">
        <v>9576000</v>
      </c>
      <c r="P10904">
        <v>27360000</v>
      </c>
      <c r="Q10904">
        <v>27360000</v>
      </c>
      <c r="R10904" s="14">
        <f>_xlfn.XLOOKUP(Table2[[#This Row],[LoanID]],Table1[G-L ID],Table1[ManagerCode],-99)</f>
        <v>183</v>
      </c>
      <c r="T10904"/>
    </row>
    <row r="10905" spans="1:20" x14ac:dyDescent="0.25">
      <c r="A10905">
        <v>20200531</v>
      </c>
      <c r="B10905">
        <v>2020</v>
      </c>
      <c r="C10905">
        <v>5</v>
      </c>
      <c r="D10905">
        <v>1</v>
      </c>
      <c r="E10905">
        <v>13130</v>
      </c>
      <c r="F10905">
        <v>300313.84999999998</v>
      </c>
      <c r="G10905">
        <v>0</v>
      </c>
      <c r="H10905">
        <v>0</v>
      </c>
      <c r="I10905">
        <v>0</v>
      </c>
      <c r="J10905">
        <v>0</v>
      </c>
      <c r="K10905">
        <v>0</v>
      </c>
      <c r="L10905">
        <v>202626380</v>
      </c>
      <c r="M10905">
        <v>202626380</v>
      </c>
      <c r="N10905">
        <v>90295543</v>
      </c>
      <c r="O10905">
        <v>90295543</v>
      </c>
      <c r="P10905">
        <v>210372398.5</v>
      </c>
      <c r="Q10905">
        <v>210372398.5</v>
      </c>
      <c r="R10905" s="14">
        <f>_xlfn.XLOOKUP(Table2[[#This Row],[LoanID]],Table1[G-L ID],Table1[ManagerCode],-99)</f>
        <v>183</v>
      </c>
      <c r="T10905"/>
    </row>
    <row r="10906" spans="1:20" x14ac:dyDescent="0.25">
      <c r="A10906">
        <v>20200531</v>
      </c>
      <c r="B10906">
        <v>2020</v>
      </c>
      <c r="C10906">
        <v>5</v>
      </c>
      <c r="D10906">
        <v>1</v>
      </c>
      <c r="E10906">
        <v>13150</v>
      </c>
      <c r="F10906">
        <v>177726.63</v>
      </c>
      <c r="G10906">
        <v>0</v>
      </c>
      <c r="H10906">
        <v>0</v>
      </c>
      <c r="I10906">
        <v>0</v>
      </c>
      <c r="J10906">
        <v>-646160.53</v>
      </c>
      <c r="K10906">
        <v>0</v>
      </c>
      <c r="L10906">
        <v>88090893.859999999</v>
      </c>
      <c r="M10906">
        <v>88737054.390000001</v>
      </c>
      <c r="N10906">
        <v>32286700.899999999</v>
      </c>
      <c r="O10906">
        <v>32932861.43</v>
      </c>
      <c r="P10906">
        <v>89407085.549999997</v>
      </c>
      <c r="Q10906">
        <v>90053246.079999998</v>
      </c>
      <c r="R10906" s="14">
        <f>_xlfn.XLOOKUP(Table2[[#This Row],[LoanID]],Table1[G-L ID],Table1[ManagerCode],-99)</f>
        <v>183</v>
      </c>
      <c r="T10906"/>
    </row>
    <row r="10907" spans="1:20" x14ac:dyDescent="0.25">
      <c r="A10907">
        <v>20200531</v>
      </c>
      <c r="B10907">
        <v>2020</v>
      </c>
      <c r="C10907">
        <v>5</v>
      </c>
      <c r="D10907">
        <v>1</v>
      </c>
      <c r="E10907">
        <v>13160</v>
      </c>
      <c r="F10907">
        <v>132940.06</v>
      </c>
      <c r="G10907">
        <v>0</v>
      </c>
      <c r="H10907">
        <v>0</v>
      </c>
      <c r="I10907">
        <v>0</v>
      </c>
      <c r="J10907">
        <v>0</v>
      </c>
      <c r="K10907">
        <v>0</v>
      </c>
      <c r="L10907">
        <v>41900000</v>
      </c>
      <c r="M10907">
        <v>41900000</v>
      </c>
      <c r="N10907">
        <v>21854858</v>
      </c>
      <c r="O10907">
        <v>21854858</v>
      </c>
      <c r="P10907">
        <v>41900000</v>
      </c>
      <c r="Q10907">
        <v>41900000</v>
      </c>
      <c r="R10907" s="14">
        <f>_xlfn.XLOOKUP(Table2[[#This Row],[LoanID]],Table1[G-L ID],Table1[ManagerCode],-99)</f>
        <v>183</v>
      </c>
      <c r="T10907"/>
    </row>
    <row r="10908" spans="1:20" x14ac:dyDescent="0.25">
      <c r="A10908">
        <v>20200531</v>
      </c>
      <c r="B10908">
        <v>2020</v>
      </c>
      <c r="C10908">
        <v>5</v>
      </c>
      <c r="D10908">
        <v>1</v>
      </c>
      <c r="E10908">
        <v>13170</v>
      </c>
      <c r="F10908">
        <v>151155.74</v>
      </c>
      <c r="G10908">
        <v>0</v>
      </c>
      <c r="H10908">
        <v>0</v>
      </c>
      <c r="I10908">
        <v>0</v>
      </c>
      <c r="J10908">
        <v>0</v>
      </c>
      <c r="K10908">
        <v>0</v>
      </c>
      <c r="L10908">
        <v>48300000</v>
      </c>
      <c r="M10908">
        <v>48300000</v>
      </c>
      <c r="N10908">
        <v>16866666.670000002</v>
      </c>
      <c r="O10908">
        <v>16866666.670000002</v>
      </c>
      <c r="P10908">
        <v>48300000</v>
      </c>
      <c r="Q10908">
        <v>48300000</v>
      </c>
      <c r="R10908" s="14">
        <f>_xlfn.XLOOKUP(Table2[[#This Row],[LoanID]],Table1[G-L ID],Table1[ManagerCode],-99)</f>
        <v>183</v>
      </c>
      <c r="T10908"/>
    </row>
    <row r="10909" spans="1:20" x14ac:dyDescent="0.25">
      <c r="A10909">
        <v>20200531</v>
      </c>
      <c r="B10909">
        <v>2020</v>
      </c>
      <c r="C10909">
        <v>5</v>
      </c>
      <c r="D10909">
        <v>1</v>
      </c>
      <c r="E10909">
        <v>13180</v>
      </c>
      <c r="F10909">
        <v>109462.69</v>
      </c>
      <c r="G10909">
        <v>0</v>
      </c>
      <c r="H10909">
        <v>0</v>
      </c>
      <c r="I10909">
        <v>0</v>
      </c>
      <c r="J10909">
        <v>0</v>
      </c>
      <c r="K10909">
        <v>0</v>
      </c>
      <c r="L10909">
        <v>39780000</v>
      </c>
      <c r="M10909">
        <v>39780000</v>
      </c>
      <c r="N10909">
        <v>15930000</v>
      </c>
      <c r="O10909">
        <v>15930000</v>
      </c>
      <c r="P10909">
        <v>39780000</v>
      </c>
      <c r="Q10909">
        <v>39780000</v>
      </c>
      <c r="R10909" s="14">
        <f>_xlfn.XLOOKUP(Table2[[#This Row],[LoanID]],Table1[G-L ID],Table1[ManagerCode],-99)</f>
        <v>183</v>
      </c>
      <c r="T10909"/>
    </row>
    <row r="10910" spans="1:20" x14ac:dyDescent="0.25">
      <c r="A10910">
        <v>20200531</v>
      </c>
      <c r="B10910">
        <v>2020</v>
      </c>
      <c r="C10910">
        <v>5</v>
      </c>
      <c r="D10910">
        <v>1</v>
      </c>
      <c r="E10910">
        <v>13190</v>
      </c>
      <c r="F10910">
        <v>89480.68</v>
      </c>
      <c r="G10910">
        <v>59486.41</v>
      </c>
      <c r="H10910">
        <v>0</v>
      </c>
      <c r="I10910">
        <v>0</v>
      </c>
      <c r="J10910">
        <v>-89480.68</v>
      </c>
      <c r="K10910">
        <v>0</v>
      </c>
      <c r="L10910">
        <v>19376859.02</v>
      </c>
      <c r="M10910">
        <v>19525826.109999999</v>
      </c>
      <c r="N10910">
        <v>19376859.02</v>
      </c>
      <c r="O10910">
        <v>19525826.109999999</v>
      </c>
      <c r="P10910">
        <v>19376859.02</v>
      </c>
      <c r="Q10910">
        <v>19525826.109999999</v>
      </c>
      <c r="R10910" s="14">
        <f>_xlfn.XLOOKUP(Table2[[#This Row],[LoanID]],Table1[G-L ID],Table1[ManagerCode],-99)</f>
        <v>183</v>
      </c>
      <c r="T10910"/>
    </row>
    <row r="10911" spans="1:20" x14ac:dyDescent="0.25">
      <c r="A10911">
        <v>20200531</v>
      </c>
      <c r="B10911">
        <v>2020</v>
      </c>
      <c r="C10911">
        <v>5</v>
      </c>
      <c r="D10911">
        <v>1</v>
      </c>
      <c r="E10911">
        <v>13200</v>
      </c>
      <c r="F10911">
        <v>127735.95</v>
      </c>
      <c r="G10911">
        <v>72385.820000000007</v>
      </c>
      <c r="H10911">
        <v>0</v>
      </c>
      <c r="I10911">
        <v>0</v>
      </c>
      <c r="J10911">
        <v>-127735.95</v>
      </c>
      <c r="K10911">
        <v>0</v>
      </c>
      <c r="L10911">
        <v>26472865.359999999</v>
      </c>
      <c r="M10911">
        <v>26672987.129999999</v>
      </c>
      <c r="N10911">
        <v>26472865.359999999</v>
      </c>
      <c r="O10911">
        <v>26672987.129999999</v>
      </c>
      <c r="P10911">
        <v>26472865.359999999</v>
      </c>
      <c r="Q10911">
        <v>26672987.129999999</v>
      </c>
      <c r="R10911" s="14">
        <f>_xlfn.XLOOKUP(Table2[[#This Row],[LoanID]],Table1[G-L ID],Table1[ManagerCode],-99)</f>
        <v>183</v>
      </c>
      <c r="T10911"/>
    </row>
    <row r="10912" spans="1:20" x14ac:dyDescent="0.25">
      <c r="A10912">
        <v>20200531</v>
      </c>
      <c r="B10912">
        <v>2020</v>
      </c>
      <c r="C10912">
        <v>5</v>
      </c>
      <c r="D10912">
        <v>1</v>
      </c>
      <c r="E10912">
        <v>13210</v>
      </c>
      <c r="F10912">
        <v>0</v>
      </c>
      <c r="G10912">
        <v>217785.1</v>
      </c>
      <c r="H10912">
        <v>0</v>
      </c>
      <c r="I10912">
        <v>0</v>
      </c>
      <c r="J10912">
        <v>0</v>
      </c>
      <c r="K10912">
        <v>0</v>
      </c>
      <c r="L10912">
        <v>20318695.300000001</v>
      </c>
      <c r="M10912">
        <v>20536480.399999999</v>
      </c>
      <c r="N10912">
        <v>20318695.300000001</v>
      </c>
      <c r="O10912">
        <v>20536480.399999999</v>
      </c>
      <c r="P10912">
        <v>20318695.300000001</v>
      </c>
      <c r="Q10912">
        <v>20536480.399999999</v>
      </c>
      <c r="R10912" s="14">
        <f>_xlfn.XLOOKUP(Table2[[#This Row],[LoanID]],Table1[G-L ID],Table1[ManagerCode],-99)</f>
        <v>183</v>
      </c>
      <c r="T10912"/>
    </row>
    <row r="10913" spans="1:20" x14ac:dyDescent="0.25">
      <c r="A10913">
        <v>20200531</v>
      </c>
      <c r="B10913">
        <v>2020</v>
      </c>
      <c r="C10913">
        <v>5</v>
      </c>
      <c r="D10913">
        <v>1</v>
      </c>
      <c r="E10913">
        <v>13260</v>
      </c>
      <c r="F10913">
        <v>0</v>
      </c>
      <c r="G10913">
        <v>154457.78</v>
      </c>
      <c r="H10913">
        <v>0</v>
      </c>
      <c r="I10913">
        <v>0</v>
      </c>
      <c r="J10913">
        <v>0</v>
      </c>
      <c r="K10913">
        <v>0</v>
      </c>
      <c r="L10913">
        <v>20241321.66</v>
      </c>
      <c r="M10913">
        <v>20395779.440000001</v>
      </c>
      <c r="N10913">
        <v>20241321.66</v>
      </c>
      <c r="O10913">
        <v>20395779.440000001</v>
      </c>
      <c r="P10913">
        <v>20241321.66</v>
      </c>
      <c r="Q10913">
        <v>20395779.440000001</v>
      </c>
      <c r="R10913" s="14">
        <f>_xlfn.XLOOKUP(Table2[[#This Row],[LoanID]],Table1[G-L ID],Table1[ManagerCode],-99)</f>
        <v>219</v>
      </c>
      <c r="T10913"/>
    </row>
    <row r="10914" spans="1:20" x14ac:dyDescent="0.25">
      <c r="A10914">
        <v>20200531</v>
      </c>
      <c r="B10914">
        <v>2020</v>
      </c>
      <c r="C10914">
        <v>5</v>
      </c>
      <c r="D10914">
        <v>1</v>
      </c>
      <c r="E10914">
        <v>13300</v>
      </c>
      <c r="F10914">
        <v>0</v>
      </c>
      <c r="G10914">
        <v>215277.78</v>
      </c>
      <c r="H10914">
        <v>0</v>
      </c>
      <c r="I10914">
        <v>0</v>
      </c>
      <c r="J10914">
        <v>0</v>
      </c>
      <c r="K10914">
        <v>0</v>
      </c>
      <c r="L10914">
        <v>24273611.109999999</v>
      </c>
      <c r="M10914">
        <v>24488888.890000001</v>
      </c>
      <c r="N10914">
        <v>24273611.109999999</v>
      </c>
      <c r="O10914">
        <v>24488888.890000001</v>
      </c>
      <c r="P10914">
        <v>25423611.109999999</v>
      </c>
      <c r="Q10914">
        <v>25638888.890000001</v>
      </c>
      <c r="R10914" s="14">
        <f>_xlfn.XLOOKUP(Table2[[#This Row],[LoanID]],Table1[G-L ID],Table1[ManagerCode],-99)</f>
        <v>219</v>
      </c>
      <c r="T10914"/>
    </row>
    <row r="10915" spans="1:20" x14ac:dyDescent="0.25">
      <c r="A10915">
        <v>20200531</v>
      </c>
      <c r="B10915">
        <v>2020</v>
      </c>
      <c r="C10915">
        <v>5</v>
      </c>
      <c r="D10915">
        <v>1</v>
      </c>
      <c r="E10915">
        <v>13370</v>
      </c>
      <c r="F10915">
        <v>145286.12</v>
      </c>
      <c r="G10915">
        <v>0</v>
      </c>
      <c r="H10915">
        <v>0</v>
      </c>
      <c r="I10915">
        <v>0</v>
      </c>
      <c r="J10915">
        <v>0</v>
      </c>
      <c r="K10915">
        <v>0</v>
      </c>
      <c r="L10915">
        <v>44620286.009999998</v>
      </c>
      <c r="M10915">
        <v>44620286.009999998</v>
      </c>
      <c r="N10915">
        <v>44620286.009999998</v>
      </c>
      <c r="O10915">
        <v>44620286.009999998</v>
      </c>
      <c r="P10915">
        <v>44991831.439999998</v>
      </c>
      <c r="Q10915">
        <v>44991831.439999998</v>
      </c>
      <c r="R10915" s="14">
        <f>_xlfn.XLOOKUP(Table2[[#This Row],[LoanID]],Table1[G-L ID],Table1[ManagerCode],-99)</f>
        <v>183</v>
      </c>
      <c r="T10915"/>
    </row>
    <row r="10916" spans="1:20" x14ac:dyDescent="0.25">
      <c r="A10916">
        <v>20200531</v>
      </c>
      <c r="B10916">
        <v>2020</v>
      </c>
      <c r="C10916">
        <v>5</v>
      </c>
      <c r="D10916">
        <v>1</v>
      </c>
      <c r="E10916">
        <v>13380</v>
      </c>
      <c r="F10916">
        <v>60135.07</v>
      </c>
      <c r="G10916">
        <v>0</v>
      </c>
      <c r="H10916">
        <v>0</v>
      </c>
      <c r="I10916">
        <v>0</v>
      </c>
      <c r="J10916">
        <v>0</v>
      </c>
      <c r="K10916">
        <v>0</v>
      </c>
      <c r="L10916">
        <v>31593498.699999999</v>
      </c>
      <c r="M10916">
        <v>31593498.699999999</v>
      </c>
      <c r="N10916">
        <v>10793498.699999999</v>
      </c>
      <c r="O10916">
        <v>10793498.699999999</v>
      </c>
      <c r="P10916">
        <v>32000000</v>
      </c>
      <c r="Q10916">
        <v>32000000</v>
      </c>
      <c r="R10916" s="14">
        <f>_xlfn.XLOOKUP(Table2[[#This Row],[LoanID]],Table1[G-L ID],Table1[ManagerCode],-99)</f>
        <v>183</v>
      </c>
      <c r="T10916"/>
    </row>
    <row r="10917" spans="1:20" x14ac:dyDescent="0.25">
      <c r="A10917">
        <v>20200531</v>
      </c>
      <c r="B10917">
        <v>2020</v>
      </c>
      <c r="C10917">
        <v>5</v>
      </c>
      <c r="D10917">
        <v>1</v>
      </c>
      <c r="E10917">
        <v>13390</v>
      </c>
      <c r="F10917">
        <v>-52053.01</v>
      </c>
      <c r="G10917">
        <v>0</v>
      </c>
      <c r="H10917">
        <v>0</v>
      </c>
      <c r="I10917">
        <v>0</v>
      </c>
      <c r="J10917">
        <v>-237265.78</v>
      </c>
      <c r="K10917">
        <v>0</v>
      </c>
      <c r="L10917">
        <v>17396468.440000001</v>
      </c>
      <c r="M10917">
        <v>17633734.219999999</v>
      </c>
      <c r="N10917">
        <v>-11519608.560000001</v>
      </c>
      <c r="O10917">
        <v>-11282342.779999999</v>
      </c>
      <c r="P10917">
        <v>48628949.460000001</v>
      </c>
      <c r="Q10917">
        <v>48866215.240000002</v>
      </c>
      <c r="R10917" s="14">
        <f>_xlfn.XLOOKUP(Table2[[#This Row],[LoanID]],Table1[G-L ID],Table1[ManagerCode],-99)</f>
        <v>183</v>
      </c>
      <c r="T10917"/>
    </row>
    <row r="10918" spans="1:20" x14ac:dyDescent="0.25">
      <c r="A10918">
        <v>20200531</v>
      </c>
      <c r="B10918">
        <v>2020</v>
      </c>
      <c r="C10918">
        <v>5</v>
      </c>
      <c r="D10918">
        <v>1</v>
      </c>
      <c r="E10918">
        <v>13400</v>
      </c>
      <c r="F10918">
        <v>103441.28</v>
      </c>
      <c r="G10918">
        <v>0</v>
      </c>
      <c r="H10918">
        <v>0</v>
      </c>
      <c r="I10918">
        <v>0</v>
      </c>
      <c r="J10918">
        <v>-607792.31000000006</v>
      </c>
      <c r="K10918">
        <v>0</v>
      </c>
      <c r="L10918">
        <v>31750000</v>
      </c>
      <c r="M10918">
        <v>32357792.309999999</v>
      </c>
      <c r="N10918">
        <v>11112500</v>
      </c>
      <c r="O10918">
        <v>11720292.310000001</v>
      </c>
      <c r="P10918">
        <v>31750000</v>
      </c>
      <c r="Q10918">
        <v>32357792.309999999</v>
      </c>
      <c r="R10918" s="14">
        <f>_xlfn.XLOOKUP(Table2[[#This Row],[LoanID]],Table1[G-L ID],Table1[ManagerCode],-99)</f>
        <v>183</v>
      </c>
      <c r="T10918"/>
    </row>
    <row r="10919" spans="1:20" x14ac:dyDescent="0.25">
      <c r="A10919">
        <v>20200531</v>
      </c>
      <c r="B10919">
        <v>2020</v>
      </c>
      <c r="C10919">
        <v>5</v>
      </c>
      <c r="D10919">
        <v>1</v>
      </c>
      <c r="E10919">
        <v>13410</v>
      </c>
      <c r="F10919">
        <v>55639.95</v>
      </c>
      <c r="G10919">
        <v>0</v>
      </c>
      <c r="H10919">
        <v>0</v>
      </c>
      <c r="I10919">
        <v>0</v>
      </c>
      <c r="J10919">
        <v>-96417.29</v>
      </c>
      <c r="K10919">
        <v>0</v>
      </c>
      <c r="L10919">
        <v>34850327.700000003</v>
      </c>
      <c r="M10919">
        <v>34946744.990000002</v>
      </c>
      <c r="N10919">
        <v>13980327.699999999</v>
      </c>
      <c r="O10919">
        <v>14076744.99</v>
      </c>
      <c r="P10919">
        <v>35691106.590000004</v>
      </c>
      <c r="Q10919">
        <v>35787523.880000003</v>
      </c>
      <c r="R10919" s="14">
        <f>_xlfn.XLOOKUP(Table2[[#This Row],[LoanID]],Table1[G-L ID],Table1[ManagerCode],-99)</f>
        <v>183</v>
      </c>
      <c r="T10919"/>
    </row>
    <row r="10920" spans="1:20" x14ac:dyDescent="0.25">
      <c r="A10920">
        <v>20200531</v>
      </c>
      <c r="B10920">
        <v>2020</v>
      </c>
      <c r="C10920">
        <v>5</v>
      </c>
      <c r="D10920">
        <v>1</v>
      </c>
      <c r="E10920">
        <v>13420</v>
      </c>
      <c r="F10920">
        <v>67341.95</v>
      </c>
      <c r="G10920">
        <v>0</v>
      </c>
      <c r="H10920">
        <v>0</v>
      </c>
      <c r="I10920">
        <v>0</v>
      </c>
      <c r="J10920">
        <v>-13113.58</v>
      </c>
      <c r="K10920">
        <v>0</v>
      </c>
      <c r="L10920">
        <v>30755719.359999999</v>
      </c>
      <c r="M10920">
        <v>30768832.940000001</v>
      </c>
      <c r="N10920">
        <v>14260806.359999999</v>
      </c>
      <c r="O10920">
        <v>14273919.939999999</v>
      </c>
      <c r="P10920">
        <v>30944851.850000001</v>
      </c>
      <c r="Q10920">
        <v>30957965.43</v>
      </c>
      <c r="R10920" s="14">
        <f>_xlfn.XLOOKUP(Table2[[#This Row],[LoanID]],Table1[G-L ID],Table1[ManagerCode],-99)</f>
        <v>183</v>
      </c>
      <c r="T10920"/>
    </row>
    <row r="10921" spans="1:20" x14ac:dyDescent="0.25">
      <c r="A10921">
        <v>20200531</v>
      </c>
      <c r="B10921">
        <v>2020</v>
      </c>
      <c r="C10921">
        <v>5</v>
      </c>
      <c r="D10921">
        <v>1</v>
      </c>
      <c r="E10921">
        <v>13430</v>
      </c>
      <c r="F10921">
        <v>209801.92</v>
      </c>
      <c r="G10921">
        <v>0</v>
      </c>
      <c r="H10921">
        <v>0</v>
      </c>
      <c r="I10921">
        <v>0</v>
      </c>
      <c r="J10921">
        <v>0</v>
      </c>
      <c r="K10921">
        <v>0</v>
      </c>
      <c r="L10921">
        <v>75184698</v>
      </c>
      <c r="M10921">
        <v>75184698</v>
      </c>
      <c r="N10921">
        <v>31067051</v>
      </c>
      <c r="O10921">
        <v>31067051</v>
      </c>
      <c r="P10921">
        <v>75000000</v>
      </c>
      <c r="Q10921">
        <v>75000000</v>
      </c>
      <c r="R10921" s="14">
        <f>_xlfn.XLOOKUP(Table2[[#This Row],[LoanID]],Table1[G-L ID],Table1[ManagerCode],-99)</f>
        <v>183</v>
      </c>
      <c r="T10921"/>
    </row>
    <row r="10922" spans="1:20" x14ac:dyDescent="0.25">
      <c r="A10922">
        <v>20200531</v>
      </c>
      <c r="B10922">
        <v>2020</v>
      </c>
      <c r="C10922">
        <v>5</v>
      </c>
      <c r="D10922">
        <v>1</v>
      </c>
      <c r="E10922">
        <v>13440</v>
      </c>
      <c r="F10922">
        <v>0</v>
      </c>
      <c r="G10922">
        <v>127536.82</v>
      </c>
      <c r="H10922">
        <v>0</v>
      </c>
      <c r="I10922">
        <v>0</v>
      </c>
      <c r="J10922">
        <v>0</v>
      </c>
      <c r="K10922">
        <v>0</v>
      </c>
      <c r="L10922">
        <v>12879968.16</v>
      </c>
      <c r="M10922">
        <v>13007504.98</v>
      </c>
      <c r="N10922">
        <v>12879968.16</v>
      </c>
      <c r="O10922">
        <v>13007504.98</v>
      </c>
      <c r="P10922">
        <v>12879968.16</v>
      </c>
      <c r="Q10922">
        <v>13007504.98</v>
      </c>
      <c r="R10922" s="14">
        <f>_xlfn.XLOOKUP(Table2[[#This Row],[LoanID]],Table1[G-L ID],Table1[ManagerCode],-99)</f>
        <v>183</v>
      </c>
      <c r="T10922"/>
    </row>
    <row r="10923" spans="1:20" x14ac:dyDescent="0.25">
      <c r="A10923">
        <v>20200531</v>
      </c>
      <c r="B10923">
        <v>2020</v>
      </c>
      <c r="C10923">
        <v>5</v>
      </c>
      <c r="D10923">
        <v>1</v>
      </c>
      <c r="E10923">
        <v>13450</v>
      </c>
      <c r="F10923">
        <v>0</v>
      </c>
      <c r="G10923">
        <v>151126.1</v>
      </c>
      <c r="H10923">
        <v>0</v>
      </c>
      <c r="I10923">
        <v>0</v>
      </c>
      <c r="J10923">
        <v>0</v>
      </c>
      <c r="K10923">
        <v>0</v>
      </c>
      <c r="L10923">
        <v>14099624.9</v>
      </c>
      <c r="M10923">
        <v>14250751</v>
      </c>
      <c r="N10923">
        <v>14099624.9</v>
      </c>
      <c r="O10923">
        <v>14250751</v>
      </c>
      <c r="P10923">
        <v>14099624.9</v>
      </c>
      <c r="Q10923">
        <v>14250751</v>
      </c>
      <c r="R10923" s="14">
        <f>_xlfn.XLOOKUP(Table2[[#This Row],[LoanID]],Table1[G-L ID],Table1[ManagerCode],-99)</f>
        <v>183</v>
      </c>
      <c r="T10923"/>
    </row>
    <row r="10924" spans="1:20" x14ac:dyDescent="0.25">
      <c r="A10924">
        <v>20200531</v>
      </c>
      <c r="B10924">
        <v>2020</v>
      </c>
      <c r="C10924">
        <v>5</v>
      </c>
      <c r="D10924">
        <v>1</v>
      </c>
      <c r="E10924">
        <v>13460</v>
      </c>
      <c r="F10924">
        <v>27989.68</v>
      </c>
      <c r="G10924">
        <v>26619.53</v>
      </c>
      <c r="H10924">
        <v>0</v>
      </c>
      <c r="I10924">
        <v>0</v>
      </c>
      <c r="J10924">
        <v>-27989.68</v>
      </c>
      <c r="K10924">
        <v>0</v>
      </c>
      <c r="L10924">
        <v>6850161.4400000004</v>
      </c>
      <c r="M10924">
        <v>6904770.6500000004</v>
      </c>
      <c r="N10924">
        <v>6850161.4400000004</v>
      </c>
      <c r="O10924">
        <v>6904770.6500000004</v>
      </c>
      <c r="P10924">
        <v>6850161.4400000004</v>
      </c>
      <c r="Q10924">
        <v>6904770.6500000004</v>
      </c>
      <c r="R10924" s="14">
        <f>_xlfn.XLOOKUP(Table2[[#This Row],[LoanID]],Table1[G-L ID],Table1[ManagerCode],-99)</f>
        <v>183</v>
      </c>
      <c r="T10924"/>
    </row>
    <row r="10925" spans="1:20" x14ac:dyDescent="0.25">
      <c r="A10925">
        <v>20200531</v>
      </c>
      <c r="B10925">
        <v>2020</v>
      </c>
      <c r="C10925">
        <v>5</v>
      </c>
      <c r="D10925">
        <v>1</v>
      </c>
      <c r="E10925">
        <v>13470</v>
      </c>
      <c r="F10925">
        <v>358072.92</v>
      </c>
      <c r="G10925">
        <v>0</v>
      </c>
      <c r="H10925">
        <v>0</v>
      </c>
      <c r="I10925">
        <v>0</v>
      </c>
      <c r="J10925">
        <v>0</v>
      </c>
      <c r="K10925">
        <v>0</v>
      </c>
      <c r="L10925">
        <v>62500000</v>
      </c>
      <c r="M10925">
        <v>62500000</v>
      </c>
      <c r="N10925">
        <v>62500000</v>
      </c>
      <c r="O10925">
        <v>62500000</v>
      </c>
      <c r="P10925">
        <v>62500000</v>
      </c>
      <c r="Q10925">
        <v>62500000</v>
      </c>
      <c r="R10925" s="14">
        <f>_xlfn.XLOOKUP(Table2[[#This Row],[LoanID]],Table1[G-L ID],Table1[ManagerCode],-99)</f>
        <v>165</v>
      </c>
      <c r="T10925"/>
    </row>
    <row r="10926" spans="1:20" x14ac:dyDescent="0.25">
      <c r="A10926">
        <v>20200531</v>
      </c>
      <c r="B10926">
        <v>2020</v>
      </c>
      <c r="C10926">
        <v>5</v>
      </c>
      <c r="D10926">
        <v>1</v>
      </c>
      <c r="E10926">
        <v>13480</v>
      </c>
      <c r="F10926">
        <v>242450</v>
      </c>
      <c r="G10926">
        <v>0</v>
      </c>
      <c r="H10926">
        <v>0</v>
      </c>
      <c r="I10926">
        <v>0</v>
      </c>
      <c r="J10926">
        <v>0</v>
      </c>
      <c r="K10926">
        <v>0</v>
      </c>
      <c r="L10926">
        <v>39000000</v>
      </c>
      <c r="M10926">
        <v>39000000</v>
      </c>
      <c r="N10926">
        <v>39000000</v>
      </c>
      <c r="O10926">
        <v>39000000</v>
      </c>
      <c r="P10926">
        <v>39000000</v>
      </c>
      <c r="Q10926">
        <v>39000000</v>
      </c>
      <c r="R10926" s="14">
        <f>_xlfn.XLOOKUP(Table2[[#This Row],[LoanID]],Table1[G-L ID],Table1[ManagerCode],-99)</f>
        <v>165</v>
      </c>
      <c r="T10926"/>
    </row>
    <row r="10927" spans="1:20" x14ac:dyDescent="0.25">
      <c r="A10927">
        <v>20200531</v>
      </c>
      <c r="B10927">
        <v>2020</v>
      </c>
      <c r="C10927">
        <v>5</v>
      </c>
      <c r="D10927">
        <v>1</v>
      </c>
      <c r="E10927">
        <v>13490</v>
      </c>
      <c r="F10927">
        <v>294000</v>
      </c>
      <c r="G10927">
        <v>0</v>
      </c>
      <c r="H10927">
        <v>0</v>
      </c>
      <c r="I10927">
        <v>0</v>
      </c>
      <c r="J10927">
        <v>0</v>
      </c>
      <c r="K10927">
        <v>0</v>
      </c>
      <c r="L10927">
        <v>40000000</v>
      </c>
      <c r="M10927">
        <v>40000000</v>
      </c>
      <c r="N10927">
        <v>40000000</v>
      </c>
      <c r="O10927">
        <v>40000000</v>
      </c>
      <c r="P10927">
        <v>40000000</v>
      </c>
      <c r="Q10927">
        <v>40000000</v>
      </c>
      <c r="R10927" s="14">
        <f>_xlfn.XLOOKUP(Table2[[#This Row],[LoanID]],Table1[G-L ID],Table1[ManagerCode],-99)</f>
        <v>165</v>
      </c>
      <c r="T10927"/>
    </row>
    <row r="10928" spans="1:20" x14ac:dyDescent="0.25">
      <c r="A10928">
        <v>20200531</v>
      </c>
      <c r="B10928">
        <v>2020</v>
      </c>
      <c r="C10928">
        <v>5</v>
      </c>
      <c r="D10928">
        <v>1</v>
      </c>
      <c r="E10928">
        <v>13500</v>
      </c>
      <c r="F10928">
        <v>274479.17</v>
      </c>
      <c r="G10928">
        <v>0</v>
      </c>
      <c r="H10928">
        <v>0</v>
      </c>
      <c r="I10928">
        <v>0</v>
      </c>
      <c r="J10928">
        <v>0</v>
      </c>
      <c r="K10928">
        <v>0</v>
      </c>
      <c r="L10928">
        <v>42500000</v>
      </c>
      <c r="M10928">
        <v>42500000</v>
      </c>
      <c r="N10928">
        <v>42500000</v>
      </c>
      <c r="O10928">
        <v>42500000</v>
      </c>
      <c r="P10928">
        <v>42500000</v>
      </c>
      <c r="Q10928">
        <v>42500000</v>
      </c>
      <c r="R10928" s="14">
        <f>_xlfn.XLOOKUP(Table2[[#This Row],[LoanID]],Table1[G-L ID],Table1[ManagerCode],-99)</f>
        <v>165</v>
      </c>
      <c r="T10928"/>
    </row>
    <row r="10929" spans="1:20" x14ac:dyDescent="0.25">
      <c r="A10929">
        <v>20200531</v>
      </c>
      <c r="B10929">
        <v>2020</v>
      </c>
      <c r="C10929">
        <v>5</v>
      </c>
      <c r="D10929">
        <v>1</v>
      </c>
      <c r="E10929">
        <v>13510</v>
      </c>
      <c r="F10929">
        <v>307500</v>
      </c>
      <c r="G10929">
        <v>0</v>
      </c>
      <c r="H10929">
        <v>0</v>
      </c>
      <c r="I10929">
        <v>0</v>
      </c>
      <c r="J10929">
        <v>0</v>
      </c>
      <c r="K10929">
        <v>0</v>
      </c>
      <c r="L10929">
        <v>90000000</v>
      </c>
      <c r="M10929">
        <v>90000000</v>
      </c>
      <c r="N10929">
        <v>90000000</v>
      </c>
      <c r="O10929">
        <v>90000000</v>
      </c>
      <c r="P10929">
        <v>90000000</v>
      </c>
      <c r="Q10929">
        <v>90000000</v>
      </c>
      <c r="R10929" s="14">
        <f>_xlfn.XLOOKUP(Table2[[#This Row],[LoanID]],Table1[G-L ID],Table1[ManagerCode],-99)</f>
        <v>165</v>
      </c>
      <c r="T10929"/>
    </row>
    <row r="10930" spans="1:20" x14ac:dyDescent="0.25">
      <c r="A10930">
        <v>20200531</v>
      </c>
      <c r="B10930">
        <v>2020</v>
      </c>
      <c r="C10930">
        <v>5</v>
      </c>
      <c r="D10930">
        <v>1</v>
      </c>
      <c r="E10930">
        <v>13520</v>
      </c>
      <c r="F10930">
        <v>832812.5</v>
      </c>
      <c r="G10930">
        <v>0</v>
      </c>
      <c r="H10930">
        <v>0</v>
      </c>
      <c r="I10930">
        <v>0</v>
      </c>
      <c r="J10930">
        <v>0</v>
      </c>
      <c r="K10930">
        <v>0</v>
      </c>
      <c r="L10930">
        <v>195000000</v>
      </c>
      <c r="M10930">
        <v>195000000</v>
      </c>
      <c r="N10930">
        <v>195000000</v>
      </c>
      <c r="O10930">
        <v>195000000</v>
      </c>
      <c r="P10930">
        <v>195000000</v>
      </c>
      <c r="Q10930">
        <v>195000000</v>
      </c>
      <c r="R10930" s="14">
        <f>_xlfn.XLOOKUP(Table2[[#This Row],[LoanID]],Table1[G-L ID],Table1[ManagerCode],-99)</f>
        <v>165</v>
      </c>
      <c r="T10930"/>
    </row>
    <row r="10931" spans="1:20" x14ac:dyDescent="0.25">
      <c r="A10931">
        <v>20200531</v>
      </c>
      <c r="B10931">
        <v>2020</v>
      </c>
      <c r="C10931">
        <v>5</v>
      </c>
      <c r="D10931">
        <v>1</v>
      </c>
      <c r="E10931">
        <v>13530</v>
      </c>
      <c r="F10931">
        <v>390625</v>
      </c>
      <c r="G10931">
        <v>0</v>
      </c>
      <c r="H10931">
        <v>0</v>
      </c>
      <c r="I10931">
        <v>0</v>
      </c>
      <c r="J10931">
        <v>0</v>
      </c>
      <c r="K10931">
        <v>0</v>
      </c>
      <c r="L10931">
        <v>75000000</v>
      </c>
      <c r="M10931">
        <v>75000000</v>
      </c>
      <c r="N10931">
        <v>75000000</v>
      </c>
      <c r="O10931">
        <v>75000000</v>
      </c>
      <c r="P10931">
        <v>75000000</v>
      </c>
      <c r="Q10931">
        <v>75000000</v>
      </c>
      <c r="R10931" s="14">
        <f>_xlfn.XLOOKUP(Table2[[#This Row],[LoanID]],Table1[G-L ID],Table1[ManagerCode],-99)</f>
        <v>165</v>
      </c>
      <c r="T10931"/>
    </row>
    <row r="10932" spans="1:20" x14ac:dyDescent="0.25">
      <c r="A10932">
        <v>20200531</v>
      </c>
      <c r="B10932">
        <v>2020</v>
      </c>
      <c r="C10932">
        <v>5</v>
      </c>
      <c r="D10932">
        <v>1</v>
      </c>
      <c r="E10932">
        <v>13550</v>
      </c>
      <c r="F10932">
        <v>1628586.69</v>
      </c>
      <c r="G10932">
        <v>0</v>
      </c>
      <c r="H10932">
        <v>0</v>
      </c>
      <c r="I10932">
        <v>0</v>
      </c>
      <c r="J10932">
        <v>0</v>
      </c>
      <c r="K10932">
        <v>0</v>
      </c>
      <c r="L10932">
        <v>355328004.80000001</v>
      </c>
      <c r="M10932">
        <v>355328004.80000001</v>
      </c>
      <c r="N10932">
        <v>355328004.80000001</v>
      </c>
      <c r="O10932">
        <v>355328004.80000001</v>
      </c>
      <c r="P10932">
        <v>355328004.80000001</v>
      </c>
      <c r="Q10932">
        <v>355328004.80000001</v>
      </c>
      <c r="R10932" s="14">
        <f>_xlfn.XLOOKUP(Table2[[#This Row],[LoanID]],Table1[G-L ID],Table1[ManagerCode],-99)</f>
        <v>165</v>
      </c>
      <c r="T10932"/>
    </row>
    <row r="10933" spans="1:20" x14ac:dyDescent="0.25">
      <c r="A10933">
        <v>20200531</v>
      </c>
      <c r="B10933">
        <v>2020</v>
      </c>
      <c r="C10933">
        <v>5</v>
      </c>
      <c r="D10933">
        <v>1</v>
      </c>
      <c r="E10933">
        <v>13560</v>
      </c>
      <c r="F10933">
        <v>464975</v>
      </c>
      <c r="G10933">
        <v>-15738.34</v>
      </c>
      <c r="H10933">
        <v>0</v>
      </c>
      <c r="I10933">
        <v>0</v>
      </c>
      <c r="J10933">
        <v>0</v>
      </c>
      <c r="K10933">
        <v>0</v>
      </c>
      <c r="L10933">
        <v>105247986.7</v>
      </c>
      <c r="M10933">
        <v>105232248.3</v>
      </c>
      <c r="N10933">
        <v>105247986.7</v>
      </c>
      <c r="O10933">
        <v>105232248.3</v>
      </c>
      <c r="P10933">
        <v>105247986.7</v>
      </c>
      <c r="Q10933">
        <v>105232248.3</v>
      </c>
      <c r="R10933" s="14">
        <f>_xlfn.XLOOKUP(Table2[[#This Row],[LoanID]],Table1[G-L ID],Table1[ManagerCode],-99)</f>
        <v>219</v>
      </c>
      <c r="T10933"/>
    </row>
    <row r="10934" spans="1:20" x14ac:dyDescent="0.25">
      <c r="A10934">
        <v>20200531</v>
      </c>
      <c r="B10934">
        <v>2020</v>
      </c>
      <c r="C10934">
        <v>5</v>
      </c>
      <c r="D10934">
        <v>1</v>
      </c>
      <c r="E10934">
        <v>13580</v>
      </c>
      <c r="F10934">
        <v>415625</v>
      </c>
      <c r="G10934">
        <v>0</v>
      </c>
      <c r="H10934">
        <v>0</v>
      </c>
      <c r="I10934">
        <v>0</v>
      </c>
      <c r="J10934">
        <v>0</v>
      </c>
      <c r="K10934">
        <v>0</v>
      </c>
      <c r="L10934">
        <v>64092149.219999999</v>
      </c>
      <c r="M10934">
        <v>64165060.409999996</v>
      </c>
      <c r="N10934">
        <v>64092149.219999999</v>
      </c>
      <c r="O10934">
        <v>64165060.409999996</v>
      </c>
      <c r="P10934">
        <v>66500000</v>
      </c>
      <c r="Q10934">
        <v>66500000</v>
      </c>
      <c r="R10934" s="14">
        <f>_xlfn.XLOOKUP(Table2[[#This Row],[LoanID]],Table1[G-L ID],Table1[ManagerCode],-99)</f>
        <v>298</v>
      </c>
      <c r="T10934"/>
    </row>
    <row r="10935" spans="1:20" x14ac:dyDescent="0.25">
      <c r="A10935">
        <v>20200531</v>
      </c>
      <c r="B10935">
        <v>2020</v>
      </c>
      <c r="C10935">
        <v>5</v>
      </c>
      <c r="D10935">
        <v>1</v>
      </c>
      <c r="E10935">
        <v>13600</v>
      </c>
      <c r="F10935">
        <v>366802.29</v>
      </c>
      <c r="G10935">
        <v>0</v>
      </c>
      <c r="H10935">
        <v>0</v>
      </c>
      <c r="I10935">
        <v>0</v>
      </c>
      <c r="J10935">
        <v>0</v>
      </c>
      <c r="K10935">
        <v>0</v>
      </c>
      <c r="L10935">
        <v>45970000</v>
      </c>
      <c r="M10935">
        <v>45970000</v>
      </c>
      <c r="N10935">
        <v>45970000</v>
      </c>
      <c r="O10935">
        <v>45970000</v>
      </c>
      <c r="P10935">
        <v>45970000</v>
      </c>
      <c r="Q10935">
        <v>45970000</v>
      </c>
      <c r="R10935" s="14">
        <f>_xlfn.XLOOKUP(Table2[[#This Row],[LoanID]],Table1[G-L ID],Table1[ManagerCode],-99)</f>
        <v>298</v>
      </c>
      <c r="T10935"/>
    </row>
    <row r="10936" spans="1:20" x14ac:dyDescent="0.25">
      <c r="A10936">
        <v>20200531</v>
      </c>
      <c r="B10936">
        <v>2020</v>
      </c>
      <c r="C10936">
        <v>5</v>
      </c>
      <c r="D10936">
        <v>1</v>
      </c>
      <c r="E10936">
        <v>13610</v>
      </c>
      <c r="F10936">
        <v>61250</v>
      </c>
      <c r="G10936">
        <v>0</v>
      </c>
      <c r="H10936">
        <v>0</v>
      </c>
      <c r="I10936">
        <v>0</v>
      </c>
      <c r="J10936">
        <v>0</v>
      </c>
      <c r="K10936">
        <v>0</v>
      </c>
      <c r="L10936">
        <v>10385796.220000001</v>
      </c>
      <c r="M10936">
        <v>10385796.220000001</v>
      </c>
      <c r="N10936">
        <v>10385796.220000001</v>
      </c>
      <c r="O10936">
        <v>10385796.220000001</v>
      </c>
      <c r="P10936">
        <v>10500000</v>
      </c>
      <c r="Q10936">
        <v>10500000</v>
      </c>
      <c r="R10936" s="14">
        <f>_xlfn.XLOOKUP(Table2[[#This Row],[LoanID]],Table1[G-L ID],Table1[ManagerCode],-99)</f>
        <v>298</v>
      </c>
      <c r="T10936"/>
    </row>
    <row r="10937" spans="1:20" x14ac:dyDescent="0.25">
      <c r="A10937">
        <v>20200531</v>
      </c>
      <c r="B10937">
        <v>2020</v>
      </c>
      <c r="C10937">
        <v>5</v>
      </c>
      <c r="D10937">
        <v>1</v>
      </c>
      <c r="E10937">
        <v>13620</v>
      </c>
      <c r="F10937">
        <v>290166.67</v>
      </c>
      <c r="G10937">
        <v>0</v>
      </c>
      <c r="H10937">
        <v>0</v>
      </c>
      <c r="I10937">
        <v>0</v>
      </c>
      <c r="J10937">
        <v>0</v>
      </c>
      <c r="K10937">
        <v>0</v>
      </c>
      <c r="L10937">
        <v>49865510.369999997</v>
      </c>
      <c r="M10937">
        <v>49865510.369999997</v>
      </c>
      <c r="N10937">
        <v>49865510.369999997</v>
      </c>
      <c r="O10937">
        <v>49865510.369999997</v>
      </c>
      <c r="P10937">
        <v>50000000</v>
      </c>
      <c r="Q10937">
        <v>50000000</v>
      </c>
      <c r="R10937" s="14">
        <f>_xlfn.XLOOKUP(Table2[[#This Row],[LoanID]],Table1[G-L ID],Table1[ManagerCode],-99)</f>
        <v>298</v>
      </c>
      <c r="T10937"/>
    </row>
    <row r="10938" spans="1:20" x14ac:dyDescent="0.25">
      <c r="A10938">
        <v>20200531</v>
      </c>
      <c r="B10938">
        <v>2020</v>
      </c>
      <c r="C10938">
        <v>5</v>
      </c>
      <c r="D10938">
        <v>1</v>
      </c>
      <c r="E10938">
        <v>13630</v>
      </c>
      <c r="F10938">
        <v>67969.64</v>
      </c>
      <c r="G10938">
        <v>0</v>
      </c>
      <c r="H10938">
        <v>0</v>
      </c>
      <c r="I10938">
        <v>0</v>
      </c>
      <c r="J10938">
        <v>0</v>
      </c>
      <c r="K10938">
        <v>0</v>
      </c>
      <c r="L10938">
        <v>22527136.07</v>
      </c>
      <c r="M10938">
        <v>22527136.07</v>
      </c>
      <c r="N10938">
        <v>22527136.07</v>
      </c>
      <c r="O10938">
        <v>22527136.07</v>
      </c>
      <c r="P10938">
        <v>35362905.130000003</v>
      </c>
      <c r="Q10938">
        <v>35583677.710000001</v>
      </c>
      <c r="R10938" s="14">
        <f>_xlfn.XLOOKUP(Table2[[#This Row],[LoanID]],Table1[G-L ID],Table1[ManagerCode],-99)</f>
        <v>298</v>
      </c>
      <c r="T10938"/>
    </row>
    <row r="10939" spans="1:20" x14ac:dyDescent="0.25">
      <c r="A10939">
        <v>20200531</v>
      </c>
      <c r="B10939">
        <v>2020</v>
      </c>
      <c r="C10939">
        <v>5</v>
      </c>
      <c r="D10939">
        <v>1</v>
      </c>
      <c r="E10939">
        <v>13640</v>
      </c>
      <c r="F10939">
        <v>219661.46</v>
      </c>
      <c r="G10939">
        <v>0</v>
      </c>
      <c r="H10939">
        <v>0</v>
      </c>
      <c r="I10939">
        <v>0</v>
      </c>
      <c r="J10939">
        <v>0</v>
      </c>
      <c r="K10939">
        <v>0</v>
      </c>
      <c r="L10939">
        <v>30234429.84</v>
      </c>
      <c r="M10939">
        <v>30234429.84</v>
      </c>
      <c r="N10939">
        <v>30234429.84</v>
      </c>
      <c r="O10939">
        <v>30234429.84</v>
      </c>
      <c r="P10939">
        <v>30125000</v>
      </c>
      <c r="Q10939">
        <v>30125000</v>
      </c>
      <c r="R10939" s="14">
        <f>_xlfn.XLOOKUP(Table2[[#This Row],[LoanID]],Table1[G-L ID],Table1[ManagerCode],-99)</f>
        <v>298</v>
      </c>
      <c r="T10939"/>
    </row>
    <row r="10940" spans="1:20" x14ac:dyDescent="0.25">
      <c r="A10940">
        <v>20200531</v>
      </c>
      <c r="B10940">
        <v>2020</v>
      </c>
      <c r="C10940">
        <v>5</v>
      </c>
      <c r="D10940">
        <v>1</v>
      </c>
      <c r="E10940">
        <v>13650</v>
      </c>
      <c r="F10940">
        <v>216666.67</v>
      </c>
      <c r="G10940">
        <v>0</v>
      </c>
      <c r="H10940">
        <v>0</v>
      </c>
      <c r="I10940">
        <v>0</v>
      </c>
      <c r="J10940">
        <v>0</v>
      </c>
      <c r="K10940">
        <v>0</v>
      </c>
      <c r="L10940">
        <v>39537559.880000003</v>
      </c>
      <c r="M10940">
        <v>39537559.880000003</v>
      </c>
      <c r="N10940">
        <v>39537559.880000003</v>
      </c>
      <c r="O10940">
        <v>39537559.880000003</v>
      </c>
      <c r="P10940">
        <v>40000000</v>
      </c>
      <c r="Q10940">
        <v>40000000</v>
      </c>
      <c r="R10940" s="14">
        <f>_xlfn.XLOOKUP(Table2[[#This Row],[LoanID]],Table1[G-L ID],Table1[ManagerCode],-99)</f>
        <v>298</v>
      </c>
      <c r="T10940"/>
    </row>
    <row r="10941" spans="1:20" x14ac:dyDescent="0.25">
      <c r="A10941">
        <v>20200531</v>
      </c>
      <c r="B10941">
        <v>2020</v>
      </c>
      <c r="C10941">
        <v>5</v>
      </c>
      <c r="D10941">
        <v>1</v>
      </c>
      <c r="E10941">
        <v>13660</v>
      </c>
      <c r="F10941">
        <v>114166.67</v>
      </c>
      <c r="G10941">
        <v>0</v>
      </c>
      <c r="H10941">
        <v>0</v>
      </c>
      <c r="I10941">
        <v>0</v>
      </c>
      <c r="J10941">
        <v>0</v>
      </c>
      <c r="K10941">
        <v>0</v>
      </c>
      <c r="L10941">
        <v>19633684.649999999</v>
      </c>
      <c r="M10941">
        <v>19633684.649999999</v>
      </c>
      <c r="N10941">
        <v>19633684.649999999</v>
      </c>
      <c r="O10941">
        <v>19633684.649999999</v>
      </c>
      <c r="P10941">
        <v>20000000</v>
      </c>
      <c r="Q10941">
        <v>20000000</v>
      </c>
      <c r="R10941" s="14">
        <f>_xlfn.XLOOKUP(Table2[[#This Row],[LoanID]],Table1[G-L ID],Table1[ManagerCode],-99)</f>
        <v>298</v>
      </c>
      <c r="T10941"/>
    </row>
    <row r="10942" spans="1:20" x14ac:dyDescent="0.25">
      <c r="A10942">
        <v>20200531</v>
      </c>
      <c r="B10942">
        <v>2020</v>
      </c>
      <c r="C10942">
        <v>5</v>
      </c>
      <c r="D10942">
        <v>1</v>
      </c>
      <c r="E10942">
        <v>13670</v>
      </c>
      <c r="F10942">
        <v>0</v>
      </c>
      <c r="G10942">
        <v>0</v>
      </c>
      <c r="H10942">
        <v>0</v>
      </c>
      <c r="I10942">
        <v>0</v>
      </c>
      <c r="J10942">
        <v>0</v>
      </c>
      <c r="K10942">
        <v>0</v>
      </c>
      <c r="L10942">
        <v>1</v>
      </c>
      <c r="M10942">
        <v>1</v>
      </c>
      <c r="N10942">
        <v>1</v>
      </c>
      <c r="O10942">
        <v>1</v>
      </c>
      <c r="P10942">
        <v>41634145.159999996</v>
      </c>
      <c r="Q10942">
        <v>41933884.450000003</v>
      </c>
      <c r="R10942" s="14">
        <f>_xlfn.XLOOKUP(Table2[[#This Row],[LoanID]],Table1[G-L ID],Table1[ManagerCode],-99)</f>
        <v>298</v>
      </c>
      <c r="T10942"/>
    </row>
    <row r="10943" spans="1:20" x14ac:dyDescent="0.25">
      <c r="A10943">
        <v>20200531</v>
      </c>
      <c r="B10943">
        <v>2020</v>
      </c>
      <c r="C10943">
        <v>5</v>
      </c>
      <c r="D10943">
        <v>1</v>
      </c>
      <c r="E10943">
        <v>13690</v>
      </c>
      <c r="F10943">
        <v>129166.67</v>
      </c>
      <c r="G10943">
        <v>0</v>
      </c>
      <c r="H10943">
        <v>0</v>
      </c>
      <c r="I10943">
        <v>0</v>
      </c>
      <c r="J10943">
        <v>0</v>
      </c>
      <c r="K10943">
        <v>0</v>
      </c>
      <c r="L10943">
        <v>20825761.02</v>
      </c>
      <c r="M10943">
        <v>20825761.02</v>
      </c>
      <c r="N10943">
        <v>20825761.02</v>
      </c>
      <c r="O10943">
        <v>20825761.02</v>
      </c>
      <c r="P10943">
        <v>20000000</v>
      </c>
      <c r="Q10943">
        <v>20000000</v>
      </c>
      <c r="R10943" s="14">
        <f>_xlfn.XLOOKUP(Table2[[#This Row],[LoanID]],Table1[G-L ID],Table1[ManagerCode],-99)</f>
        <v>298</v>
      </c>
      <c r="T10943"/>
    </row>
    <row r="10944" spans="1:20" x14ac:dyDescent="0.25">
      <c r="A10944">
        <v>20200531</v>
      </c>
      <c r="B10944">
        <v>2020</v>
      </c>
      <c r="C10944">
        <v>5</v>
      </c>
      <c r="D10944">
        <v>1</v>
      </c>
      <c r="E10944">
        <v>13790</v>
      </c>
      <c r="F10944">
        <v>128509.67</v>
      </c>
      <c r="G10944">
        <v>-6342.51</v>
      </c>
      <c r="H10944">
        <v>0</v>
      </c>
      <c r="I10944">
        <v>0</v>
      </c>
      <c r="J10944">
        <v>0</v>
      </c>
      <c r="K10944">
        <v>0</v>
      </c>
      <c r="L10944">
        <v>20728578.329999998</v>
      </c>
      <c r="M10944">
        <v>20722235.82</v>
      </c>
      <c r="N10944">
        <v>20728578.329999998</v>
      </c>
      <c r="O10944">
        <v>20722235.82</v>
      </c>
      <c r="P10944">
        <v>20728578.329999998</v>
      </c>
      <c r="Q10944">
        <v>20722235.82</v>
      </c>
      <c r="R10944" s="14">
        <f>_xlfn.XLOOKUP(Table2[[#This Row],[LoanID]],Table1[G-L ID],Table1[ManagerCode],-99)</f>
        <v>219</v>
      </c>
      <c r="T10944"/>
    </row>
    <row r="10945" spans="1:20" x14ac:dyDescent="0.25">
      <c r="A10945">
        <v>20200531</v>
      </c>
      <c r="B10945">
        <v>2020</v>
      </c>
      <c r="C10945">
        <v>5</v>
      </c>
      <c r="D10945">
        <v>1</v>
      </c>
      <c r="E10945">
        <v>13800</v>
      </c>
      <c r="F10945">
        <v>306263.76</v>
      </c>
      <c r="G10945">
        <v>0</v>
      </c>
      <c r="H10945">
        <v>0</v>
      </c>
      <c r="I10945">
        <v>0</v>
      </c>
      <c r="J10945">
        <v>0</v>
      </c>
      <c r="K10945">
        <v>0</v>
      </c>
      <c r="L10945">
        <v>80700000</v>
      </c>
      <c r="M10945">
        <v>80700000</v>
      </c>
      <c r="N10945">
        <v>32279999.719999999</v>
      </c>
      <c r="O10945">
        <v>32279999.719999999</v>
      </c>
      <c r="P10945">
        <v>80700000</v>
      </c>
      <c r="Q10945">
        <v>80700000</v>
      </c>
      <c r="R10945" s="14">
        <f>_xlfn.XLOOKUP(Table2[[#This Row],[LoanID]],Table1[G-L ID],Table1[ManagerCode],-99)</f>
        <v>183</v>
      </c>
      <c r="T10945"/>
    </row>
    <row r="10946" spans="1:20" x14ac:dyDescent="0.25">
      <c r="A10946">
        <v>20200531</v>
      </c>
      <c r="B10946">
        <v>2020</v>
      </c>
      <c r="C10946">
        <v>5</v>
      </c>
      <c r="D10946">
        <v>1</v>
      </c>
      <c r="E10946">
        <v>13810</v>
      </c>
      <c r="F10946">
        <v>167272.06</v>
      </c>
      <c r="G10946">
        <v>0</v>
      </c>
      <c r="H10946">
        <v>0</v>
      </c>
      <c r="I10946">
        <v>0</v>
      </c>
      <c r="J10946">
        <v>-600796.67000000004</v>
      </c>
      <c r="K10946">
        <v>0</v>
      </c>
      <c r="L10946">
        <v>44743311.350000001</v>
      </c>
      <c r="M10946">
        <v>45344108.020000003</v>
      </c>
      <c r="N10946">
        <v>20617565.57</v>
      </c>
      <c r="O10946">
        <v>21218362.239999998</v>
      </c>
      <c r="P10946">
        <v>44803718.130000003</v>
      </c>
      <c r="Q10946">
        <v>45404514.799999997</v>
      </c>
      <c r="R10946" s="14">
        <f>_xlfn.XLOOKUP(Table2[[#This Row],[LoanID]],Table1[G-L ID],Table1[ManagerCode],-99)</f>
        <v>183</v>
      </c>
      <c r="T10946"/>
    </row>
    <row r="10947" spans="1:20" x14ac:dyDescent="0.25">
      <c r="A10947">
        <v>20200531</v>
      </c>
      <c r="B10947">
        <v>2020</v>
      </c>
      <c r="C10947">
        <v>5</v>
      </c>
      <c r="D10947">
        <v>1</v>
      </c>
      <c r="E10947">
        <v>13820</v>
      </c>
      <c r="F10947">
        <v>282310.96999999997</v>
      </c>
      <c r="G10947">
        <v>0</v>
      </c>
      <c r="H10947">
        <v>0</v>
      </c>
      <c r="I10947">
        <v>0</v>
      </c>
      <c r="J10947">
        <v>0</v>
      </c>
      <c r="K10947">
        <v>0</v>
      </c>
      <c r="L10947">
        <v>66458014.899999999</v>
      </c>
      <c r="M10947">
        <v>66458014.899999999</v>
      </c>
      <c r="N10947">
        <v>66458014.899999999</v>
      </c>
      <c r="O10947">
        <v>66458014.899999999</v>
      </c>
      <c r="P10947">
        <v>66500000</v>
      </c>
      <c r="Q10947">
        <v>66500000</v>
      </c>
      <c r="R10947" s="14">
        <f>_xlfn.XLOOKUP(Table2[[#This Row],[LoanID]],Table1[G-L ID],Table1[ManagerCode],-99)</f>
        <v>183</v>
      </c>
      <c r="T10947"/>
    </row>
    <row r="10948" spans="1:20" x14ac:dyDescent="0.25">
      <c r="A10948">
        <v>20200531</v>
      </c>
      <c r="B10948">
        <v>2020</v>
      </c>
      <c r="C10948">
        <v>5</v>
      </c>
      <c r="D10948">
        <v>1</v>
      </c>
      <c r="E10948">
        <v>13830</v>
      </c>
      <c r="F10948">
        <v>293152.09999999998</v>
      </c>
      <c r="G10948">
        <v>0</v>
      </c>
      <c r="H10948">
        <v>0</v>
      </c>
      <c r="I10948">
        <v>0</v>
      </c>
      <c r="J10948">
        <v>0</v>
      </c>
      <c r="K10948">
        <v>0</v>
      </c>
      <c r="L10948">
        <v>100500478.59999999</v>
      </c>
      <c r="M10948">
        <v>100500478.59999999</v>
      </c>
      <c r="N10948">
        <v>34850478.600000001</v>
      </c>
      <c r="O10948">
        <v>34850478.600000001</v>
      </c>
      <c r="P10948">
        <v>101000000</v>
      </c>
      <c r="Q10948">
        <v>101000000</v>
      </c>
      <c r="R10948" s="14">
        <f>_xlfn.XLOOKUP(Table2[[#This Row],[LoanID]],Table1[G-L ID],Table1[ManagerCode],-99)</f>
        <v>183</v>
      </c>
      <c r="T10948"/>
    </row>
    <row r="10949" spans="1:20" x14ac:dyDescent="0.25">
      <c r="A10949">
        <v>20200531</v>
      </c>
      <c r="B10949">
        <v>2020</v>
      </c>
      <c r="C10949">
        <v>5</v>
      </c>
      <c r="D10949">
        <v>1</v>
      </c>
      <c r="E10949">
        <v>14000</v>
      </c>
      <c r="F10949">
        <v>249291.84</v>
      </c>
      <c r="G10949">
        <v>0</v>
      </c>
      <c r="H10949">
        <v>0</v>
      </c>
      <c r="I10949">
        <v>0</v>
      </c>
      <c r="J10949">
        <v>0</v>
      </c>
      <c r="K10949">
        <v>0</v>
      </c>
      <c r="L10949">
        <v>98000000</v>
      </c>
      <c r="M10949">
        <v>98000000</v>
      </c>
      <c r="N10949">
        <v>39200000</v>
      </c>
      <c r="O10949">
        <v>39200000</v>
      </c>
      <c r="P10949">
        <v>98000000</v>
      </c>
      <c r="Q10949">
        <v>98000000</v>
      </c>
      <c r="R10949" s="14">
        <f>_xlfn.XLOOKUP(Table2[[#This Row],[LoanID]],Table1[G-L ID],Table1[ManagerCode],-99)</f>
        <v>183</v>
      </c>
      <c r="T10949"/>
    </row>
    <row r="10950" spans="1:20" x14ac:dyDescent="0.25">
      <c r="A10950">
        <v>20200531</v>
      </c>
      <c r="B10950">
        <v>2020</v>
      </c>
      <c r="C10950">
        <v>5</v>
      </c>
      <c r="D10950">
        <v>1</v>
      </c>
      <c r="E10950">
        <v>14660</v>
      </c>
      <c r="F10950">
        <v>137100</v>
      </c>
      <c r="G10950">
        <v>4570</v>
      </c>
      <c r="H10950">
        <v>0</v>
      </c>
      <c r="I10950">
        <v>0</v>
      </c>
      <c r="J10950">
        <v>0</v>
      </c>
      <c r="K10950">
        <v>0</v>
      </c>
      <c r="L10950">
        <v>17749849</v>
      </c>
      <c r="M10950">
        <v>17754419</v>
      </c>
      <c r="N10950">
        <v>17749849</v>
      </c>
      <c r="O10950">
        <v>17754419</v>
      </c>
      <c r="P10950">
        <v>18137100</v>
      </c>
      <c r="Q10950">
        <v>18141670</v>
      </c>
      <c r="R10950" s="14">
        <f>_xlfn.XLOOKUP(Table2[[#This Row],[LoanID]],Table1[G-L ID],Table1[ManagerCode],-99)</f>
        <v>219</v>
      </c>
      <c r="T10950"/>
    </row>
    <row r="10951" spans="1:20" x14ac:dyDescent="0.25">
      <c r="A10951">
        <v>20200531</v>
      </c>
      <c r="B10951">
        <v>2020</v>
      </c>
      <c r="C10951">
        <v>5</v>
      </c>
      <c r="D10951">
        <v>1</v>
      </c>
      <c r="E10951">
        <v>14680</v>
      </c>
      <c r="F10951">
        <v>50776.13</v>
      </c>
      <c r="G10951">
        <v>0</v>
      </c>
      <c r="H10951">
        <v>0</v>
      </c>
      <c r="I10951">
        <v>0</v>
      </c>
      <c r="J10951">
        <v>-97375.22</v>
      </c>
      <c r="K10951">
        <v>0</v>
      </c>
      <c r="L10951">
        <v>30790000</v>
      </c>
      <c r="M10951">
        <v>30930000</v>
      </c>
      <c r="N10951">
        <v>8345011.7999999998</v>
      </c>
      <c r="O10951">
        <v>8485011.8000000007</v>
      </c>
      <c r="P10951">
        <v>30766174.010000002</v>
      </c>
      <c r="Q10951">
        <v>30863549.23</v>
      </c>
      <c r="R10951" s="14">
        <f>_xlfn.XLOOKUP(Table2[[#This Row],[LoanID]],Table1[G-L ID],Table1[ManagerCode],-99)</f>
        <v>220</v>
      </c>
      <c r="T10951"/>
    </row>
    <row r="10952" spans="1:20" x14ac:dyDescent="0.25">
      <c r="A10952">
        <v>20200531</v>
      </c>
      <c r="B10952">
        <v>2020</v>
      </c>
      <c r="C10952">
        <v>5</v>
      </c>
      <c r="D10952">
        <v>1</v>
      </c>
      <c r="E10952">
        <v>14690</v>
      </c>
      <c r="F10952">
        <v>130058.87</v>
      </c>
      <c r="G10952">
        <v>0</v>
      </c>
      <c r="H10952">
        <v>0</v>
      </c>
      <c r="I10952">
        <v>0</v>
      </c>
      <c r="J10952">
        <v>0</v>
      </c>
      <c r="K10952">
        <v>0</v>
      </c>
      <c r="L10952">
        <v>43553812.619999997</v>
      </c>
      <c r="M10952">
        <v>43553812.619999997</v>
      </c>
      <c r="N10952">
        <v>16036062.619999999</v>
      </c>
      <c r="O10952">
        <v>16036062.619999999</v>
      </c>
      <c r="P10952">
        <v>43553812.619999997</v>
      </c>
      <c r="Q10952">
        <v>43553812.619999997</v>
      </c>
      <c r="R10952" s="14">
        <f>_xlfn.XLOOKUP(Table2[[#This Row],[LoanID]],Table1[G-L ID],Table1[ManagerCode],-99)</f>
        <v>220</v>
      </c>
      <c r="T10952"/>
    </row>
    <row r="10953" spans="1:20" x14ac:dyDescent="0.25">
      <c r="A10953">
        <v>20200531</v>
      </c>
      <c r="B10953">
        <v>2020</v>
      </c>
      <c r="C10953">
        <v>5</v>
      </c>
      <c r="D10953">
        <v>1</v>
      </c>
      <c r="E10953">
        <v>14700</v>
      </c>
      <c r="F10953">
        <v>110944.46</v>
      </c>
      <c r="G10953">
        <v>0</v>
      </c>
      <c r="H10953">
        <v>0</v>
      </c>
      <c r="I10953">
        <v>0</v>
      </c>
      <c r="J10953">
        <v>0</v>
      </c>
      <c r="K10953">
        <v>0</v>
      </c>
      <c r="L10953">
        <v>36550000</v>
      </c>
      <c r="M10953">
        <v>36550000</v>
      </c>
      <c r="N10953">
        <v>11962500</v>
      </c>
      <c r="O10953">
        <v>11962500</v>
      </c>
      <c r="P10953">
        <v>36526755.630000003</v>
      </c>
      <c r="Q10953">
        <v>36526755.630000003</v>
      </c>
      <c r="R10953" s="14">
        <f>_xlfn.XLOOKUP(Table2[[#This Row],[LoanID]],Table1[G-L ID],Table1[ManagerCode],-99)</f>
        <v>220</v>
      </c>
      <c r="T10953"/>
    </row>
    <row r="10954" spans="1:20" x14ac:dyDescent="0.25">
      <c r="A10954">
        <v>20200531</v>
      </c>
      <c r="B10954">
        <v>2020</v>
      </c>
      <c r="C10954">
        <v>5</v>
      </c>
      <c r="D10954">
        <v>1</v>
      </c>
      <c r="E10954">
        <v>14710</v>
      </c>
      <c r="F10954">
        <v>89929.62</v>
      </c>
      <c r="G10954">
        <v>0</v>
      </c>
      <c r="H10954">
        <v>0</v>
      </c>
      <c r="I10954">
        <v>0</v>
      </c>
      <c r="J10954">
        <v>0</v>
      </c>
      <c r="K10954">
        <v>0</v>
      </c>
      <c r="L10954">
        <v>33670000</v>
      </c>
      <c r="M10954">
        <v>33670000</v>
      </c>
      <c r="N10954">
        <v>11797500</v>
      </c>
      <c r="O10954">
        <v>11797500</v>
      </c>
      <c r="P10954">
        <v>33650000</v>
      </c>
      <c r="Q10954">
        <v>33650000</v>
      </c>
      <c r="R10954" s="14">
        <f>_xlfn.XLOOKUP(Table2[[#This Row],[LoanID]],Table1[G-L ID],Table1[ManagerCode],-99)</f>
        <v>220</v>
      </c>
      <c r="T10954"/>
    </row>
    <row r="10955" spans="1:20" x14ac:dyDescent="0.25">
      <c r="A10955">
        <v>20200531</v>
      </c>
      <c r="B10955">
        <v>2020</v>
      </c>
      <c r="C10955">
        <v>5</v>
      </c>
      <c r="D10955">
        <v>1</v>
      </c>
      <c r="E10955">
        <v>14720</v>
      </c>
      <c r="F10955">
        <v>62416.23</v>
      </c>
      <c r="G10955">
        <v>0</v>
      </c>
      <c r="H10955">
        <v>0</v>
      </c>
      <c r="I10955">
        <v>0</v>
      </c>
      <c r="J10955">
        <v>0</v>
      </c>
      <c r="K10955">
        <v>0</v>
      </c>
      <c r="L10955">
        <v>23961748.32</v>
      </c>
      <c r="M10955">
        <v>23961748.32</v>
      </c>
      <c r="N10955">
        <v>10234748.32</v>
      </c>
      <c r="O10955">
        <v>10234748.32</v>
      </c>
      <c r="P10955">
        <v>23957902.399999999</v>
      </c>
      <c r="Q10955">
        <v>23957902.399999999</v>
      </c>
      <c r="R10955" s="14">
        <f>_xlfn.XLOOKUP(Table2[[#This Row],[LoanID]],Table1[G-L ID],Table1[ManagerCode],-99)</f>
        <v>220</v>
      </c>
      <c r="T10955"/>
    </row>
    <row r="10956" spans="1:20" x14ac:dyDescent="0.25">
      <c r="A10956">
        <v>20200531</v>
      </c>
      <c r="B10956">
        <v>2020</v>
      </c>
      <c r="C10956">
        <v>5</v>
      </c>
      <c r="D10956">
        <v>1</v>
      </c>
      <c r="E10956">
        <v>14740</v>
      </c>
      <c r="F10956">
        <v>0</v>
      </c>
      <c r="G10956">
        <v>153817.25</v>
      </c>
      <c r="H10956">
        <v>0</v>
      </c>
      <c r="I10956">
        <v>0</v>
      </c>
      <c r="J10956">
        <v>0</v>
      </c>
      <c r="K10956">
        <v>0</v>
      </c>
      <c r="L10956">
        <v>34728229.170000002</v>
      </c>
      <c r="M10956">
        <v>34882046.420000002</v>
      </c>
      <c r="N10956">
        <v>34728229.170000002</v>
      </c>
      <c r="O10956">
        <v>34882046.420000002</v>
      </c>
      <c r="P10956">
        <v>35158229.170000002</v>
      </c>
      <c r="Q10956">
        <v>35312046.420000002</v>
      </c>
      <c r="R10956" s="14">
        <f>_xlfn.XLOOKUP(Table2[[#This Row],[LoanID]],Table1[G-L ID],Table1[ManagerCode],-99)</f>
        <v>220</v>
      </c>
      <c r="T10956"/>
    </row>
    <row r="10957" spans="1:20" x14ac:dyDescent="0.25">
      <c r="A10957">
        <v>20200531</v>
      </c>
      <c r="B10957">
        <v>2020</v>
      </c>
      <c r="C10957">
        <v>5</v>
      </c>
      <c r="D10957">
        <v>1</v>
      </c>
      <c r="E10957">
        <v>14750</v>
      </c>
      <c r="F10957">
        <v>141682.23999999999</v>
      </c>
      <c r="G10957">
        <v>0</v>
      </c>
      <c r="H10957">
        <v>0</v>
      </c>
      <c r="I10957">
        <v>0</v>
      </c>
      <c r="J10957">
        <v>0</v>
      </c>
      <c r="K10957">
        <v>0</v>
      </c>
      <c r="L10957">
        <v>60969967.240000002</v>
      </c>
      <c r="M10957">
        <v>60969967.240000002</v>
      </c>
      <c r="N10957">
        <v>25219967.239999998</v>
      </c>
      <c r="O10957">
        <v>25219967.239999998</v>
      </c>
      <c r="P10957">
        <v>60969967.240000002</v>
      </c>
      <c r="Q10957">
        <v>60969967.240000002</v>
      </c>
      <c r="R10957" s="14">
        <f>_xlfn.XLOOKUP(Table2[[#This Row],[LoanID]],Table1[G-L ID],Table1[ManagerCode],-99)</f>
        <v>220</v>
      </c>
      <c r="T10957"/>
    </row>
    <row r="10958" spans="1:20" x14ac:dyDescent="0.25">
      <c r="A10958">
        <v>20200531</v>
      </c>
      <c r="B10958">
        <v>2020</v>
      </c>
      <c r="C10958">
        <v>5</v>
      </c>
      <c r="D10958">
        <v>1</v>
      </c>
      <c r="E10958">
        <v>14760</v>
      </c>
      <c r="F10958">
        <v>268843.75</v>
      </c>
      <c r="G10958">
        <v>0</v>
      </c>
      <c r="H10958">
        <v>0</v>
      </c>
      <c r="I10958">
        <v>0</v>
      </c>
      <c r="J10958">
        <v>0</v>
      </c>
      <c r="K10958">
        <v>0</v>
      </c>
      <c r="L10958">
        <v>105200000</v>
      </c>
      <c r="M10958">
        <v>105200000</v>
      </c>
      <c r="N10958">
        <v>26450000</v>
      </c>
      <c r="O10958">
        <v>26450000</v>
      </c>
      <c r="P10958">
        <v>105000000</v>
      </c>
      <c r="Q10958">
        <v>105000000</v>
      </c>
      <c r="R10958" s="14">
        <f>_xlfn.XLOOKUP(Table2[[#This Row],[LoanID]],Table1[G-L ID],Table1[ManagerCode],-99)</f>
        <v>220</v>
      </c>
      <c r="T10958"/>
    </row>
    <row r="10959" spans="1:20" x14ac:dyDescent="0.25">
      <c r="A10959">
        <v>20200531</v>
      </c>
      <c r="B10959">
        <v>2020</v>
      </c>
      <c r="C10959">
        <v>5</v>
      </c>
      <c r="D10959">
        <v>1</v>
      </c>
      <c r="E10959">
        <v>14770</v>
      </c>
      <c r="F10959">
        <v>240037.5</v>
      </c>
      <c r="G10959">
        <v>0</v>
      </c>
      <c r="H10959">
        <v>0</v>
      </c>
      <c r="I10959">
        <v>0</v>
      </c>
      <c r="J10959">
        <v>0</v>
      </c>
      <c r="K10959">
        <v>0</v>
      </c>
      <c r="L10959">
        <v>55650000</v>
      </c>
      <c r="M10959">
        <v>55650000</v>
      </c>
      <c r="N10959">
        <v>55650000</v>
      </c>
      <c r="O10959">
        <v>55650000</v>
      </c>
      <c r="P10959">
        <v>55500000</v>
      </c>
      <c r="Q10959">
        <v>55500000</v>
      </c>
      <c r="R10959" s="14">
        <f>_xlfn.XLOOKUP(Table2[[#This Row],[LoanID]],Table1[G-L ID],Table1[ManagerCode],-99)</f>
        <v>220</v>
      </c>
      <c r="T10959"/>
    </row>
    <row r="10960" spans="1:20" x14ac:dyDescent="0.25">
      <c r="A10960">
        <v>20200531</v>
      </c>
      <c r="B10960">
        <v>2020</v>
      </c>
      <c r="C10960">
        <v>5</v>
      </c>
      <c r="D10960">
        <v>1</v>
      </c>
      <c r="E10960">
        <v>14780</v>
      </c>
      <c r="F10960">
        <v>138092.06</v>
      </c>
      <c r="G10960">
        <v>0</v>
      </c>
      <c r="H10960">
        <v>0</v>
      </c>
      <c r="I10960">
        <v>0</v>
      </c>
      <c r="J10960">
        <v>0</v>
      </c>
      <c r="K10960">
        <v>0</v>
      </c>
      <c r="L10960">
        <v>51010000</v>
      </c>
      <c r="M10960">
        <v>51010000</v>
      </c>
      <c r="N10960">
        <v>15310000</v>
      </c>
      <c r="O10960">
        <v>15310000</v>
      </c>
      <c r="P10960">
        <v>51000000</v>
      </c>
      <c r="Q10960">
        <v>51000000</v>
      </c>
      <c r="R10960" s="14">
        <f>_xlfn.XLOOKUP(Table2[[#This Row],[LoanID]],Table1[G-L ID],Table1[ManagerCode],-99)</f>
        <v>220</v>
      </c>
      <c r="T10960"/>
    </row>
    <row r="10961" spans="1:20" x14ac:dyDescent="0.25">
      <c r="A10961">
        <v>20200531</v>
      </c>
      <c r="B10961">
        <v>2020</v>
      </c>
      <c r="C10961">
        <v>5</v>
      </c>
      <c r="D10961">
        <v>1</v>
      </c>
      <c r="E10961">
        <v>14790</v>
      </c>
      <c r="F10961">
        <v>147931.57999999999</v>
      </c>
      <c r="G10961">
        <v>0</v>
      </c>
      <c r="H10961">
        <v>0</v>
      </c>
      <c r="I10961">
        <v>0</v>
      </c>
      <c r="J10961">
        <v>0</v>
      </c>
      <c r="K10961">
        <v>0</v>
      </c>
      <c r="L10961">
        <v>80390000</v>
      </c>
      <c r="M10961">
        <v>80390000</v>
      </c>
      <c r="N10961">
        <v>25990000</v>
      </c>
      <c r="O10961">
        <v>25990000</v>
      </c>
      <c r="P10961">
        <v>80000000</v>
      </c>
      <c r="Q10961">
        <v>80000000</v>
      </c>
      <c r="R10961" s="14">
        <f>_xlfn.XLOOKUP(Table2[[#This Row],[LoanID]],Table1[G-L ID],Table1[ManagerCode],-99)</f>
        <v>220</v>
      </c>
      <c r="T10961"/>
    </row>
    <row r="10962" spans="1:20" x14ac:dyDescent="0.25">
      <c r="A10962">
        <v>20200531</v>
      </c>
      <c r="B10962">
        <v>2020</v>
      </c>
      <c r="C10962">
        <v>5</v>
      </c>
      <c r="D10962">
        <v>1</v>
      </c>
      <c r="E10962">
        <v>14810</v>
      </c>
      <c r="F10962">
        <v>91410</v>
      </c>
      <c r="G10962">
        <v>0</v>
      </c>
      <c r="H10962">
        <v>0</v>
      </c>
      <c r="I10962">
        <v>0</v>
      </c>
      <c r="J10962">
        <v>0</v>
      </c>
      <c r="K10962">
        <v>0</v>
      </c>
      <c r="L10962">
        <v>24930000</v>
      </c>
      <c r="M10962">
        <v>24930000</v>
      </c>
      <c r="N10962">
        <v>24930000</v>
      </c>
      <c r="O10962">
        <v>24930000</v>
      </c>
      <c r="P10962">
        <v>24930000</v>
      </c>
      <c r="Q10962">
        <v>24930000</v>
      </c>
      <c r="R10962" s="14">
        <f>_xlfn.XLOOKUP(Table2[[#This Row],[LoanID]],Table1[G-L ID],Table1[ManagerCode],-99)</f>
        <v>220</v>
      </c>
      <c r="T10962"/>
    </row>
    <row r="10963" spans="1:20" x14ac:dyDescent="0.25">
      <c r="A10963">
        <v>20200531</v>
      </c>
      <c r="B10963">
        <v>2020</v>
      </c>
      <c r="C10963">
        <v>5</v>
      </c>
      <c r="D10963">
        <v>1</v>
      </c>
      <c r="E10963">
        <v>14820</v>
      </c>
      <c r="F10963">
        <v>76850.33</v>
      </c>
      <c r="G10963">
        <v>0</v>
      </c>
      <c r="H10963">
        <v>0</v>
      </c>
      <c r="I10963">
        <v>0</v>
      </c>
      <c r="J10963">
        <v>0</v>
      </c>
      <c r="K10963">
        <v>0</v>
      </c>
      <c r="L10963">
        <v>23287391.140000001</v>
      </c>
      <c r="M10963">
        <v>23287391.140000001</v>
      </c>
      <c r="N10963">
        <v>6404032.5599999996</v>
      </c>
      <c r="O10963">
        <v>6404032.5599999996</v>
      </c>
      <c r="P10963">
        <v>23287391.140000001</v>
      </c>
      <c r="Q10963">
        <v>23287391.140000001</v>
      </c>
      <c r="R10963" s="14">
        <f>_xlfn.XLOOKUP(Table2[[#This Row],[LoanID]],Table1[G-L ID],Table1[ManagerCode],-99)</f>
        <v>220</v>
      </c>
      <c r="T10963"/>
    </row>
    <row r="10964" spans="1:20" x14ac:dyDescent="0.25">
      <c r="A10964">
        <v>20200531</v>
      </c>
      <c r="B10964">
        <v>2020</v>
      </c>
      <c r="C10964">
        <v>5</v>
      </c>
      <c r="D10964">
        <v>1</v>
      </c>
      <c r="E10964">
        <v>14840</v>
      </c>
      <c r="F10964">
        <v>84088.11</v>
      </c>
      <c r="G10964">
        <v>0</v>
      </c>
      <c r="H10964">
        <v>0</v>
      </c>
      <c r="I10964">
        <v>0</v>
      </c>
      <c r="J10964">
        <v>0</v>
      </c>
      <c r="K10964">
        <v>0</v>
      </c>
      <c r="L10964">
        <v>32687590.16</v>
      </c>
      <c r="M10964">
        <v>32687590.16</v>
      </c>
      <c r="N10964">
        <v>13489057.119999999</v>
      </c>
      <c r="O10964">
        <v>13489057.119999999</v>
      </c>
      <c r="P10964">
        <v>32657590.16</v>
      </c>
      <c r="Q10964">
        <v>32657590.16</v>
      </c>
      <c r="R10964" s="14">
        <f>_xlfn.XLOOKUP(Table2[[#This Row],[LoanID]],Table1[G-L ID],Table1[ManagerCode],-99)</f>
        <v>220</v>
      </c>
      <c r="T10964"/>
    </row>
    <row r="10965" spans="1:20" x14ac:dyDescent="0.25">
      <c r="A10965">
        <v>20200531</v>
      </c>
      <c r="B10965">
        <v>2020</v>
      </c>
      <c r="C10965">
        <v>5</v>
      </c>
      <c r="D10965">
        <v>1</v>
      </c>
      <c r="E10965">
        <v>14850</v>
      </c>
      <c r="F10965">
        <v>193231.09</v>
      </c>
      <c r="G10965">
        <v>0</v>
      </c>
      <c r="H10965">
        <v>0</v>
      </c>
      <c r="I10965">
        <v>0</v>
      </c>
      <c r="J10965">
        <v>0</v>
      </c>
      <c r="K10965">
        <v>0</v>
      </c>
      <c r="L10965">
        <v>88265094.780000001</v>
      </c>
      <c r="M10965">
        <v>88265094.780000001</v>
      </c>
      <c r="N10965">
        <v>36636568.899999999</v>
      </c>
      <c r="O10965">
        <v>36636568.899999999</v>
      </c>
      <c r="P10965">
        <v>88282409.599999994</v>
      </c>
      <c r="Q10965">
        <v>88282409.599999994</v>
      </c>
      <c r="R10965" s="14">
        <f>_xlfn.XLOOKUP(Table2[[#This Row],[LoanID]],Table1[G-L ID],Table1[ManagerCode],-99)</f>
        <v>220</v>
      </c>
      <c r="T10965"/>
    </row>
    <row r="10966" spans="1:20" x14ac:dyDescent="0.25">
      <c r="A10966">
        <v>20200531</v>
      </c>
      <c r="B10966">
        <v>2020</v>
      </c>
      <c r="C10966">
        <v>5</v>
      </c>
      <c r="D10966">
        <v>1</v>
      </c>
      <c r="E10966">
        <v>14870</v>
      </c>
      <c r="F10966">
        <v>621303.47</v>
      </c>
      <c r="G10966">
        <v>0</v>
      </c>
      <c r="H10966">
        <v>0</v>
      </c>
      <c r="I10966">
        <v>0</v>
      </c>
      <c r="J10966">
        <v>0</v>
      </c>
      <c r="K10966">
        <v>0</v>
      </c>
      <c r="L10966">
        <v>124620522</v>
      </c>
      <c r="M10966">
        <v>124620522</v>
      </c>
      <c r="N10966">
        <v>124619522</v>
      </c>
      <c r="O10966">
        <v>124619522</v>
      </c>
      <c r="P10966">
        <v>124551742</v>
      </c>
      <c r="Q10966">
        <v>124551742</v>
      </c>
      <c r="R10966" s="14">
        <f>_xlfn.XLOOKUP(Table2[[#This Row],[LoanID]],Table1[G-L ID],Table1[ManagerCode],-99)</f>
        <v>220</v>
      </c>
      <c r="T10966"/>
    </row>
    <row r="10967" spans="1:20" x14ac:dyDescent="0.25">
      <c r="A10967">
        <v>20200531</v>
      </c>
      <c r="B10967">
        <v>2020</v>
      </c>
      <c r="C10967">
        <v>5</v>
      </c>
      <c r="D10967">
        <v>1</v>
      </c>
      <c r="E10967">
        <v>14880</v>
      </c>
      <c r="F10967">
        <v>140666.92000000001</v>
      </c>
      <c r="G10967">
        <v>0</v>
      </c>
      <c r="H10967">
        <v>0</v>
      </c>
      <c r="I10967">
        <v>0</v>
      </c>
      <c r="J10967">
        <v>0</v>
      </c>
      <c r="K10967">
        <v>0</v>
      </c>
      <c r="L10967">
        <v>20296304.09</v>
      </c>
      <c r="M10967">
        <v>20296304.09</v>
      </c>
      <c r="N10967">
        <v>20296304.09</v>
      </c>
      <c r="O10967">
        <v>20296304.09</v>
      </c>
      <c r="P10967">
        <v>20296304.09</v>
      </c>
      <c r="Q10967">
        <v>20296304.09</v>
      </c>
      <c r="R10967" s="14">
        <f>_xlfn.XLOOKUP(Table2[[#This Row],[LoanID]],Table1[G-L ID],Table1[ManagerCode],-99)</f>
        <v>220</v>
      </c>
      <c r="T10967"/>
    </row>
    <row r="10968" spans="1:20" x14ac:dyDescent="0.25">
      <c r="A10968">
        <v>20200531</v>
      </c>
      <c r="B10968">
        <v>2020</v>
      </c>
      <c r="C10968">
        <v>5</v>
      </c>
      <c r="D10968">
        <v>1</v>
      </c>
      <c r="E10968">
        <v>14890</v>
      </c>
      <c r="F10968">
        <v>69607.59</v>
      </c>
      <c r="G10968">
        <v>0</v>
      </c>
      <c r="H10968">
        <v>0</v>
      </c>
      <c r="I10968">
        <v>0</v>
      </c>
      <c r="J10968">
        <v>0</v>
      </c>
      <c r="K10968">
        <v>0</v>
      </c>
      <c r="L10968">
        <v>34000000</v>
      </c>
      <c r="M10968">
        <v>34000000</v>
      </c>
      <c r="N10968">
        <v>14177663.98</v>
      </c>
      <c r="O10968">
        <v>14177663.98</v>
      </c>
      <c r="P10968">
        <v>34000000</v>
      </c>
      <c r="Q10968">
        <v>34000000</v>
      </c>
      <c r="R10968" s="14">
        <f>_xlfn.XLOOKUP(Table2[[#This Row],[LoanID]],Table1[G-L ID],Table1[ManagerCode],-99)</f>
        <v>220</v>
      </c>
      <c r="T10968"/>
    </row>
    <row r="10969" spans="1:20" x14ac:dyDescent="0.25">
      <c r="A10969">
        <v>20200531</v>
      </c>
      <c r="B10969">
        <v>2020</v>
      </c>
      <c r="C10969">
        <v>5</v>
      </c>
      <c r="D10969">
        <v>1</v>
      </c>
      <c r="E10969">
        <v>14900</v>
      </c>
      <c r="F10969">
        <v>133942.96</v>
      </c>
      <c r="G10969">
        <v>0</v>
      </c>
      <c r="H10969">
        <v>0</v>
      </c>
      <c r="I10969">
        <v>0</v>
      </c>
      <c r="J10969">
        <v>0</v>
      </c>
      <c r="K10969">
        <v>0</v>
      </c>
      <c r="L10969">
        <v>66277360.850000001</v>
      </c>
      <c r="M10969">
        <v>66277360.850000001</v>
      </c>
      <c r="N10969">
        <v>24677360.850000001</v>
      </c>
      <c r="O10969">
        <v>24677360.850000001</v>
      </c>
      <c r="P10969">
        <v>66277360.850000001</v>
      </c>
      <c r="Q10969">
        <v>66277360.850000001</v>
      </c>
      <c r="R10969" s="14">
        <f>_xlfn.XLOOKUP(Table2[[#This Row],[LoanID]],Table1[G-L ID],Table1[ManagerCode],-99)</f>
        <v>220</v>
      </c>
      <c r="T10969"/>
    </row>
    <row r="10970" spans="1:20" x14ac:dyDescent="0.25">
      <c r="A10970">
        <v>20200531</v>
      </c>
      <c r="B10970">
        <v>2020</v>
      </c>
      <c r="C10970">
        <v>5</v>
      </c>
      <c r="D10970">
        <v>1</v>
      </c>
      <c r="E10970">
        <v>14910</v>
      </c>
      <c r="F10970">
        <v>107002.69</v>
      </c>
      <c r="G10970">
        <v>0</v>
      </c>
      <c r="H10970">
        <v>0</v>
      </c>
      <c r="I10970">
        <v>0</v>
      </c>
      <c r="J10970">
        <v>-552621.92000000004</v>
      </c>
      <c r="K10970">
        <v>0</v>
      </c>
      <c r="L10970">
        <v>39447378.079999998</v>
      </c>
      <c r="M10970">
        <v>40110000</v>
      </c>
      <c r="N10970">
        <v>12847378.08</v>
      </c>
      <c r="O10970">
        <v>13510000</v>
      </c>
      <c r="P10970">
        <v>39447378.079999998</v>
      </c>
      <c r="Q10970">
        <v>40000000</v>
      </c>
      <c r="R10970" s="14">
        <f>_xlfn.XLOOKUP(Table2[[#This Row],[LoanID]],Table1[G-L ID],Table1[ManagerCode],-99)</f>
        <v>220</v>
      </c>
      <c r="T10970"/>
    </row>
    <row r="10971" spans="1:20" x14ac:dyDescent="0.25">
      <c r="A10971">
        <v>20200531</v>
      </c>
      <c r="B10971">
        <v>2020</v>
      </c>
      <c r="C10971">
        <v>5</v>
      </c>
      <c r="D10971">
        <v>1</v>
      </c>
      <c r="E10971">
        <v>14920</v>
      </c>
      <c r="F10971">
        <v>189792.32</v>
      </c>
      <c r="G10971">
        <v>0</v>
      </c>
      <c r="H10971">
        <v>0</v>
      </c>
      <c r="I10971">
        <v>0</v>
      </c>
      <c r="J10971">
        <v>0</v>
      </c>
      <c r="K10971">
        <v>0</v>
      </c>
      <c r="L10971">
        <v>71154409.989999995</v>
      </c>
      <c r="M10971">
        <v>71154409.989999995</v>
      </c>
      <c r="N10971">
        <v>22154409.989999998</v>
      </c>
      <c r="O10971">
        <v>22154409.989999998</v>
      </c>
      <c r="P10971">
        <v>71154409.989999995</v>
      </c>
      <c r="Q10971">
        <v>71154409.989999995</v>
      </c>
      <c r="R10971" s="14">
        <f>_xlfn.XLOOKUP(Table2[[#This Row],[LoanID]],Table1[G-L ID],Table1[ManagerCode],-99)</f>
        <v>220</v>
      </c>
      <c r="T10971"/>
    </row>
    <row r="10972" spans="1:20" x14ac:dyDescent="0.25">
      <c r="A10972">
        <v>20200531</v>
      </c>
      <c r="B10972">
        <v>2020</v>
      </c>
      <c r="C10972">
        <v>5</v>
      </c>
      <c r="D10972">
        <v>1</v>
      </c>
      <c r="E10972">
        <v>14930</v>
      </c>
      <c r="F10972">
        <v>110320.83</v>
      </c>
      <c r="G10972">
        <v>0</v>
      </c>
      <c r="H10972">
        <v>0</v>
      </c>
      <c r="I10972">
        <v>0</v>
      </c>
      <c r="J10972">
        <v>0</v>
      </c>
      <c r="K10972">
        <v>0</v>
      </c>
      <c r="L10972">
        <v>55020000</v>
      </c>
      <c r="M10972">
        <v>55020000</v>
      </c>
      <c r="N10972">
        <v>19270000</v>
      </c>
      <c r="O10972">
        <v>19270000</v>
      </c>
      <c r="P10972">
        <v>55000000</v>
      </c>
      <c r="Q10972">
        <v>55000000</v>
      </c>
      <c r="R10972" s="14">
        <f>_xlfn.XLOOKUP(Table2[[#This Row],[LoanID]],Table1[G-L ID],Table1[ManagerCode],-99)</f>
        <v>220</v>
      </c>
      <c r="T10972"/>
    </row>
    <row r="10973" spans="1:20" x14ac:dyDescent="0.25">
      <c r="A10973">
        <v>20200531</v>
      </c>
      <c r="B10973">
        <v>2020</v>
      </c>
      <c r="C10973">
        <v>5</v>
      </c>
      <c r="D10973">
        <v>1</v>
      </c>
      <c r="E10973">
        <v>14940</v>
      </c>
      <c r="F10973">
        <v>458515.01</v>
      </c>
      <c r="G10973">
        <v>0</v>
      </c>
      <c r="H10973">
        <v>0</v>
      </c>
      <c r="I10973">
        <v>0</v>
      </c>
      <c r="J10973">
        <v>-707267.68</v>
      </c>
      <c r="K10973">
        <v>0</v>
      </c>
      <c r="L10973">
        <v>78053043.060000002</v>
      </c>
      <c r="M10973">
        <v>78760310.739999995</v>
      </c>
      <c r="N10973">
        <v>39597101.289999999</v>
      </c>
      <c r="O10973">
        <v>40304368.969999999</v>
      </c>
      <c r="P10973">
        <v>77949977.939999998</v>
      </c>
      <c r="Q10973">
        <v>78657245.620000005</v>
      </c>
      <c r="R10973" s="14">
        <f>_xlfn.XLOOKUP(Table2[[#This Row],[LoanID]],Table1[G-L ID],Table1[ManagerCode],-99)</f>
        <v>220</v>
      </c>
      <c r="T10973"/>
    </row>
    <row r="10974" spans="1:20" x14ac:dyDescent="0.25">
      <c r="A10974">
        <v>20200531</v>
      </c>
      <c r="B10974">
        <v>2020</v>
      </c>
      <c r="C10974">
        <v>5</v>
      </c>
      <c r="D10974">
        <v>1</v>
      </c>
      <c r="E10974">
        <v>14960</v>
      </c>
      <c r="F10974">
        <v>-2.14</v>
      </c>
      <c r="G10974">
        <v>54260.33</v>
      </c>
      <c r="H10974">
        <v>0</v>
      </c>
      <c r="I10974">
        <v>0</v>
      </c>
      <c r="J10974">
        <v>0</v>
      </c>
      <c r="K10974">
        <v>0</v>
      </c>
      <c r="L10974">
        <v>14840000</v>
      </c>
      <c r="M10974">
        <v>14894260.33</v>
      </c>
      <c r="N10974">
        <v>14839000</v>
      </c>
      <c r="O10974">
        <v>14893260.33</v>
      </c>
      <c r="P10974">
        <v>14805000</v>
      </c>
      <c r="Q10974">
        <v>14859260.33</v>
      </c>
      <c r="R10974" s="14">
        <f>_xlfn.XLOOKUP(Table2[[#This Row],[LoanID]],Table1[G-L ID],Table1[ManagerCode],-99)</f>
        <v>220</v>
      </c>
      <c r="T10974"/>
    </row>
    <row r="10975" spans="1:20" x14ac:dyDescent="0.25">
      <c r="A10975">
        <v>20200531</v>
      </c>
      <c r="B10975">
        <v>2020</v>
      </c>
      <c r="C10975">
        <v>5</v>
      </c>
      <c r="D10975">
        <v>1</v>
      </c>
      <c r="E10975">
        <v>14970</v>
      </c>
      <c r="F10975">
        <v>82330.87</v>
      </c>
      <c r="G10975">
        <v>0</v>
      </c>
      <c r="H10975">
        <v>0</v>
      </c>
      <c r="I10975">
        <v>0</v>
      </c>
      <c r="J10975">
        <v>0</v>
      </c>
      <c r="K10975">
        <v>0</v>
      </c>
      <c r="L10975">
        <v>29720000</v>
      </c>
      <c r="M10975">
        <v>29720000</v>
      </c>
      <c r="N10975">
        <v>10415000</v>
      </c>
      <c r="O10975">
        <v>10415000</v>
      </c>
      <c r="P10975">
        <v>29700000</v>
      </c>
      <c r="Q10975">
        <v>29700000</v>
      </c>
      <c r="R10975" s="14">
        <f>_xlfn.XLOOKUP(Table2[[#This Row],[LoanID]],Table1[G-L ID],Table1[ManagerCode],-99)</f>
        <v>220</v>
      </c>
      <c r="T10975"/>
    </row>
    <row r="10976" spans="1:20" x14ac:dyDescent="0.25">
      <c r="A10976">
        <v>20200531</v>
      </c>
      <c r="B10976">
        <v>2020</v>
      </c>
      <c r="C10976">
        <v>5</v>
      </c>
      <c r="D10976">
        <v>1</v>
      </c>
      <c r="E10976">
        <v>14980</v>
      </c>
      <c r="F10976">
        <v>193875</v>
      </c>
      <c r="G10976">
        <v>0</v>
      </c>
      <c r="H10976">
        <v>0</v>
      </c>
      <c r="I10976">
        <v>0</v>
      </c>
      <c r="J10976">
        <v>0</v>
      </c>
      <c r="K10976">
        <v>0</v>
      </c>
      <c r="L10976">
        <v>75040000</v>
      </c>
      <c r="M10976">
        <v>75040000</v>
      </c>
      <c r="N10976">
        <v>22540000</v>
      </c>
      <c r="O10976">
        <v>22540000</v>
      </c>
      <c r="P10976">
        <v>75000000</v>
      </c>
      <c r="Q10976">
        <v>75000000</v>
      </c>
      <c r="R10976" s="14">
        <f>_xlfn.XLOOKUP(Table2[[#This Row],[LoanID]],Table1[G-L ID],Table1[ManagerCode],-99)</f>
        <v>220</v>
      </c>
      <c r="T10976"/>
    </row>
    <row r="10977" spans="1:20" x14ac:dyDescent="0.25">
      <c r="A10977">
        <v>20200531</v>
      </c>
      <c r="B10977">
        <v>2020</v>
      </c>
      <c r="C10977">
        <v>5</v>
      </c>
      <c r="D10977">
        <v>1</v>
      </c>
      <c r="E10977">
        <v>14990</v>
      </c>
      <c r="F10977">
        <v>82355.11</v>
      </c>
      <c r="G10977">
        <v>0</v>
      </c>
      <c r="H10977">
        <v>0</v>
      </c>
      <c r="I10977">
        <v>0</v>
      </c>
      <c r="J10977">
        <v>0</v>
      </c>
      <c r="K10977">
        <v>0</v>
      </c>
      <c r="L10977">
        <v>33010000</v>
      </c>
      <c r="M10977">
        <v>33010000</v>
      </c>
      <c r="N10977">
        <v>10155000</v>
      </c>
      <c r="O10977">
        <v>10155000</v>
      </c>
      <c r="P10977">
        <v>32900768.02</v>
      </c>
      <c r="Q10977">
        <v>32900768.02</v>
      </c>
      <c r="R10977" s="14">
        <f>_xlfn.XLOOKUP(Table2[[#This Row],[LoanID]],Table1[G-L ID],Table1[ManagerCode],-99)</f>
        <v>220</v>
      </c>
      <c r="T10977"/>
    </row>
    <row r="10978" spans="1:20" x14ac:dyDescent="0.25">
      <c r="A10978">
        <v>20200531</v>
      </c>
      <c r="B10978">
        <v>2020</v>
      </c>
      <c r="C10978">
        <v>5</v>
      </c>
      <c r="D10978">
        <v>1</v>
      </c>
      <c r="E10978">
        <v>15000</v>
      </c>
      <c r="F10978">
        <v>203208.6</v>
      </c>
      <c r="G10978">
        <v>0</v>
      </c>
      <c r="H10978">
        <v>0</v>
      </c>
      <c r="I10978">
        <v>0</v>
      </c>
      <c r="J10978">
        <v>-445769.27</v>
      </c>
      <c r="K10978">
        <v>0</v>
      </c>
      <c r="L10978">
        <v>113996746.90000001</v>
      </c>
      <c r="M10978">
        <v>114442516.09999999</v>
      </c>
      <c r="N10978">
        <v>36996746.899999999</v>
      </c>
      <c r="O10978">
        <v>37442516.100000001</v>
      </c>
      <c r="P10978">
        <v>113996746.90000001</v>
      </c>
      <c r="Q10978">
        <v>114442516.09999999</v>
      </c>
      <c r="R10978" s="14">
        <f>_xlfn.XLOOKUP(Table2[[#This Row],[LoanID]],Table1[G-L ID],Table1[ManagerCode],-99)</f>
        <v>220</v>
      </c>
      <c r="T10978"/>
    </row>
    <row r="10979" spans="1:20" x14ac:dyDescent="0.25">
      <c r="A10979">
        <v>20200531</v>
      </c>
      <c r="B10979">
        <v>2020</v>
      </c>
      <c r="C10979">
        <v>5</v>
      </c>
      <c r="D10979">
        <v>1</v>
      </c>
      <c r="E10979">
        <v>15010</v>
      </c>
      <c r="F10979">
        <v>87723.55</v>
      </c>
      <c r="G10979">
        <v>0</v>
      </c>
      <c r="H10979">
        <v>0</v>
      </c>
      <c r="I10979">
        <v>0</v>
      </c>
      <c r="J10979">
        <v>-2122625.66</v>
      </c>
      <c r="K10979">
        <v>0</v>
      </c>
      <c r="L10979">
        <v>30960000</v>
      </c>
      <c r="M10979">
        <v>33110000</v>
      </c>
      <c r="N10979">
        <v>10836000</v>
      </c>
      <c r="O10979">
        <v>12986000</v>
      </c>
      <c r="P10979">
        <v>30960000</v>
      </c>
      <c r="Q10979">
        <v>33082625.66</v>
      </c>
      <c r="R10979" s="14">
        <f>_xlfn.XLOOKUP(Table2[[#This Row],[LoanID]],Table1[G-L ID],Table1[ManagerCode],-99)</f>
        <v>220</v>
      </c>
      <c r="T10979"/>
    </row>
    <row r="10980" spans="1:20" x14ac:dyDescent="0.25">
      <c r="A10980">
        <v>20200531</v>
      </c>
      <c r="B10980">
        <v>2020</v>
      </c>
      <c r="C10980">
        <v>5</v>
      </c>
      <c r="D10980">
        <v>1</v>
      </c>
      <c r="E10980">
        <v>15020</v>
      </c>
      <c r="F10980">
        <v>150611.5</v>
      </c>
      <c r="G10980">
        <v>0</v>
      </c>
      <c r="H10980">
        <v>0</v>
      </c>
      <c r="I10980">
        <v>0</v>
      </c>
      <c r="J10980">
        <v>0</v>
      </c>
      <c r="K10980">
        <v>0</v>
      </c>
      <c r="L10980">
        <v>69340000</v>
      </c>
      <c r="M10980">
        <v>69340000</v>
      </c>
      <c r="N10980">
        <v>36221358.579999998</v>
      </c>
      <c r="O10980">
        <v>36221358.579999998</v>
      </c>
      <c r="P10980">
        <v>69000000</v>
      </c>
      <c r="Q10980">
        <v>69000000</v>
      </c>
      <c r="R10980" s="14">
        <f>_xlfn.XLOOKUP(Table2[[#This Row],[LoanID]],Table1[G-L ID],Table1[ManagerCode],-99)</f>
        <v>220</v>
      </c>
      <c r="T10980"/>
    </row>
    <row r="10981" spans="1:20" x14ac:dyDescent="0.25">
      <c r="A10981">
        <v>20200531</v>
      </c>
      <c r="B10981">
        <v>2020</v>
      </c>
      <c r="C10981">
        <v>5</v>
      </c>
      <c r="D10981">
        <v>1</v>
      </c>
      <c r="E10981">
        <v>15030</v>
      </c>
      <c r="F10981">
        <v>91344.45</v>
      </c>
      <c r="G10981">
        <v>0</v>
      </c>
      <c r="H10981">
        <v>0</v>
      </c>
      <c r="I10981">
        <v>0</v>
      </c>
      <c r="J10981">
        <v>0</v>
      </c>
      <c r="K10981">
        <v>0</v>
      </c>
      <c r="L10981">
        <v>41757653.82</v>
      </c>
      <c r="M10981">
        <v>41757653.82</v>
      </c>
      <c r="N10981">
        <v>17002936.41</v>
      </c>
      <c r="O10981">
        <v>17002936.41</v>
      </c>
      <c r="P10981">
        <v>41757653.82</v>
      </c>
      <c r="Q10981">
        <v>41757653.82</v>
      </c>
      <c r="R10981" s="14">
        <f>_xlfn.XLOOKUP(Table2[[#This Row],[LoanID]],Table1[G-L ID],Table1[ManagerCode],-99)</f>
        <v>220</v>
      </c>
      <c r="T10981"/>
    </row>
    <row r="10982" spans="1:20" x14ac:dyDescent="0.25">
      <c r="A10982">
        <v>20200531</v>
      </c>
      <c r="B10982">
        <v>2020</v>
      </c>
      <c r="C10982">
        <v>5</v>
      </c>
      <c r="D10982">
        <v>1</v>
      </c>
      <c r="E10982">
        <v>15040</v>
      </c>
      <c r="F10982">
        <v>157453.67000000001</v>
      </c>
      <c r="G10982">
        <v>0</v>
      </c>
      <c r="H10982">
        <v>0</v>
      </c>
      <c r="I10982">
        <v>0</v>
      </c>
      <c r="J10982">
        <v>-625134.28</v>
      </c>
      <c r="K10982">
        <v>0</v>
      </c>
      <c r="L10982">
        <v>52434013.539999999</v>
      </c>
      <c r="M10982">
        <v>53059147.82</v>
      </c>
      <c r="N10982">
        <v>19349013.539999999</v>
      </c>
      <c r="O10982">
        <v>19974147.82</v>
      </c>
      <c r="P10982">
        <v>52601628.189999998</v>
      </c>
      <c r="Q10982">
        <v>53226762.469999999</v>
      </c>
      <c r="R10982" s="14">
        <f>_xlfn.XLOOKUP(Table2[[#This Row],[LoanID]],Table1[G-L ID],Table1[ManagerCode],-99)</f>
        <v>183</v>
      </c>
      <c r="T10982"/>
    </row>
    <row r="10983" spans="1:20" x14ac:dyDescent="0.25">
      <c r="A10983">
        <v>20200531</v>
      </c>
      <c r="B10983">
        <v>2020</v>
      </c>
      <c r="C10983">
        <v>5</v>
      </c>
      <c r="D10983">
        <v>1</v>
      </c>
      <c r="E10983">
        <v>15050</v>
      </c>
      <c r="F10983">
        <v>139507.87</v>
      </c>
      <c r="G10983">
        <v>0</v>
      </c>
      <c r="H10983">
        <v>0</v>
      </c>
      <c r="I10983">
        <v>0</v>
      </c>
      <c r="J10983">
        <v>0</v>
      </c>
      <c r="K10983">
        <v>0</v>
      </c>
      <c r="L10983">
        <v>47510000</v>
      </c>
      <c r="M10983">
        <v>47510000</v>
      </c>
      <c r="N10983">
        <v>16628500</v>
      </c>
      <c r="O10983">
        <v>16628500</v>
      </c>
      <c r="P10983">
        <v>47510000</v>
      </c>
      <c r="Q10983">
        <v>47510000</v>
      </c>
      <c r="R10983" s="14">
        <f>_xlfn.XLOOKUP(Table2[[#This Row],[LoanID]],Table1[G-L ID],Table1[ManagerCode],-99)</f>
        <v>183</v>
      </c>
      <c r="T10983"/>
    </row>
    <row r="10984" spans="1:20" x14ac:dyDescent="0.25">
      <c r="A10984">
        <v>20200531</v>
      </c>
      <c r="B10984">
        <v>2020</v>
      </c>
      <c r="C10984">
        <v>5</v>
      </c>
      <c r="D10984">
        <v>1</v>
      </c>
      <c r="E10984">
        <v>15060</v>
      </c>
      <c r="F10984">
        <v>78991.039999999994</v>
      </c>
      <c r="G10984">
        <v>0</v>
      </c>
      <c r="H10984">
        <v>0</v>
      </c>
      <c r="I10984">
        <v>0</v>
      </c>
      <c r="J10984">
        <v>0</v>
      </c>
      <c r="K10984">
        <v>0</v>
      </c>
      <c r="L10984">
        <v>27577530.09</v>
      </c>
      <c r="M10984">
        <v>27577530.09</v>
      </c>
      <c r="N10984">
        <v>9540030.0899999999</v>
      </c>
      <c r="O10984">
        <v>9540030.0899999999</v>
      </c>
      <c r="P10984">
        <v>27750000</v>
      </c>
      <c r="Q10984">
        <v>27750000</v>
      </c>
      <c r="R10984" s="14">
        <f>_xlfn.XLOOKUP(Table2[[#This Row],[LoanID]],Table1[G-L ID],Table1[ManagerCode],-99)</f>
        <v>183</v>
      </c>
      <c r="T10984"/>
    </row>
    <row r="10985" spans="1:20" x14ac:dyDescent="0.25">
      <c r="A10985">
        <v>20200531</v>
      </c>
      <c r="B10985">
        <v>2020</v>
      </c>
      <c r="C10985">
        <v>5</v>
      </c>
      <c r="D10985">
        <v>1</v>
      </c>
      <c r="E10985">
        <v>15070</v>
      </c>
      <c r="F10985">
        <v>214650.82</v>
      </c>
      <c r="G10985">
        <v>0</v>
      </c>
      <c r="H10985">
        <v>0</v>
      </c>
      <c r="I10985">
        <v>0</v>
      </c>
      <c r="J10985">
        <v>-734603.35</v>
      </c>
      <c r="K10985">
        <v>0</v>
      </c>
      <c r="L10985">
        <v>78496428.150000006</v>
      </c>
      <c r="M10985">
        <v>79231031.5</v>
      </c>
      <c r="N10985">
        <v>24245728.149999999</v>
      </c>
      <c r="O10985">
        <v>24980331.5</v>
      </c>
      <c r="P10985">
        <v>78496428.150000006</v>
      </c>
      <c r="Q10985">
        <v>79231031.5</v>
      </c>
      <c r="R10985" s="14">
        <f>_xlfn.XLOOKUP(Table2[[#This Row],[LoanID]],Table1[G-L ID],Table1[ManagerCode],-99)</f>
        <v>183</v>
      </c>
      <c r="T10985"/>
    </row>
    <row r="10986" spans="1:20" x14ac:dyDescent="0.25">
      <c r="A10986">
        <v>20200531</v>
      </c>
      <c r="B10986">
        <v>2020</v>
      </c>
      <c r="C10986">
        <v>5</v>
      </c>
      <c r="D10986">
        <v>1</v>
      </c>
      <c r="E10986">
        <v>15350</v>
      </c>
      <c r="F10986">
        <v>220833.33</v>
      </c>
      <c r="G10986">
        <v>7361.11</v>
      </c>
      <c r="H10986">
        <v>0</v>
      </c>
      <c r="I10986">
        <v>0</v>
      </c>
      <c r="J10986">
        <v>0</v>
      </c>
      <c r="K10986">
        <v>0</v>
      </c>
      <c r="L10986">
        <v>40220833.329999998</v>
      </c>
      <c r="M10986">
        <v>40228194.439999998</v>
      </c>
      <c r="N10986">
        <v>40220833.329999998</v>
      </c>
      <c r="O10986">
        <v>40228194.439999998</v>
      </c>
      <c r="P10986">
        <v>40220833.329999998</v>
      </c>
      <c r="Q10986">
        <v>40228194.439999998</v>
      </c>
      <c r="R10986" s="14">
        <f>_xlfn.XLOOKUP(Table2[[#This Row],[LoanID]],Table1[G-L ID],Table1[ManagerCode],-99)</f>
        <v>219</v>
      </c>
      <c r="T10986"/>
    </row>
    <row r="10987" spans="1:20" x14ac:dyDescent="0.25">
      <c r="A10987">
        <v>20200531</v>
      </c>
      <c r="B10987">
        <v>2020</v>
      </c>
      <c r="C10987">
        <v>5</v>
      </c>
      <c r="D10987">
        <v>1</v>
      </c>
      <c r="E10987">
        <v>15360</v>
      </c>
      <c r="F10987">
        <v>19294.72</v>
      </c>
      <c r="G10987">
        <v>22193.58</v>
      </c>
      <c r="H10987">
        <v>0</v>
      </c>
      <c r="I10987">
        <v>0</v>
      </c>
      <c r="J10987">
        <v>-715152.1</v>
      </c>
      <c r="K10987">
        <v>0</v>
      </c>
      <c r="L10987">
        <v>3861046.06</v>
      </c>
      <c r="M10987">
        <v>4598391.74</v>
      </c>
      <c r="N10987">
        <v>3861046.06</v>
      </c>
      <c r="O10987">
        <v>4598391.74</v>
      </c>
      <c r="P10987">
        <v>3861046.06</v>
      </c>
      <c r="Q10987">
        <v>4598391.74</v>
      </c>
      <c r="R10987" s="14">
        <f>_xlfn.XLOOKUP(Table2[[#This Row],[LoanID]],Table1[G-L ID],Table1[ManagerCode],-99)</f>
        <v>219</v>
      </c>
      <c r="T10987"/>
    </row>
    <row r="10988" spans="1:20" x14ac:dyDescent="0.25">
      <c r="A10988">
        <v>20200531</v>
      </c>
      <c r="B10988">
        <v>2020</v>
      </c>
      <c r="C10988">
        <v>5</v>
      </c>
      <c r="D10988">
        <v>1</v>
      </c>
      <c r="E10988">
        <v>15370</v>
      </c>
      <c r="F10988">
        <v>303223.95</v>
      </c>
      <c r="G10988">
        <v>0</v>
      </c>
      <c r="H10988">
        <v>0</v>
      </c>
      <c r="I10988">
        <v>0</v>
      </c>
      <c r="J10988">
        <v>-2384934.29</v>
      </c>
      <c r="K10988">
        <v>0</v>
      </c>
      <c r="L10988">
        <v>111493303.40000001</v>
      </c>
      <c r="M10988">
        <v>113878237.7</v>
      </c>
      <c r="N10988">
        <v>44597321.369999997</v>
      </c>
      <c r="O10988">
        <v>46982255.670000002</v>
      </c>
      <c r="P10988">
        <v>111493303.40000001</v>
      </c>
      <c r="Q10988">
        <v>113878237.7</v>
      </c>
      <c r="R10988" s="14">
        <f>_xlfn.XLOOKUP(Table2[[#This Row],[LoanID]],Table1[G-L ID],Table1[ManagerCode],-99)</f>
        <v>220</v>
      </c>
      <c r="T10988"/>
    </row>
    <row r="10989" spans="1:20" x14ac:dyDescent="0.25">
      <c r="A10989">
        <v>20200531</v>
      </c>
      <c r="B10989">
        <v>2020</v>
      </c>
      <c r="C10989">
        <v>5</v>
      </c>
      <c r="D10989">
        <v>1</v>
      </c>
      <c r="E10989">
        <v>15380</v>
      </c>
      <c r="F10989">
        <v>84989.84</v>
      </c>
      <c r="G10989">
        <v>0</v>
      </c>
      <c r="H10989">
        <v>0</v>
      </c>
      <c r="I10989">
        <v>0</v>
      </c>
      <c r="J10989">
        <v>0</v>
      </c>
      <c r="K10989">
        <v>0</v>
      </c>
      <c r="L10989">
        <v>35320000</v>
      </c>
      <c r="M10989">
        <v>35320000</v>
      </c>
      <c r="N10989">
        <v>12615500</v>
      </c>
      <c r="O10989">
        <v>12615500</v>
      </c>
      <c r="P10989">
        <v>35200505.659999996</v>
      </c>
      <c r="Q10989">
        <v>35200505.659999996</v>
      </c>
      <c r="R10989" s="14">
        <f>_xlfn.XLOOKUP(Table2[[#This Row],[LoanID]],Table1[G-L ID],Table1[ManagerCode],-99)</f>
        <v>220</v>
      </c>
      <c r="T10989"/>
    </row>
    <row r="10990" spans="1:20" x14ac:dyDescent="0.25">
      <c r="A10990">
        <v>20200531</v>
      </c>
      <c r="B10990">
        <v>2020</v>
      </c>
      <c r="C10990">
        <v>5</v>
      </c>
      <c r="D10990">
        <v>1</v>
      </c>
      <c r="E10990">
        <v>15390</v>
      </c>
      <c r="F10990">
        <v>89300.14</v>
      </c>
      <c r="G10990">
        <v>0</v>
      </c>
      <c r="H10990">
        <v>0</v>
      </c>
      <c r="I10990">
        <v>0</v>
      </c>
      <c r="J10990">
        <v>-605777.62</v>
      </c>
      <c r="K10990">
        <v>0</v>
      </c>
      <c r="L10990">
        <v>36879104.899999999</v>
      </c>
      <c r="M10990">
        <v>37484882.520000003</v>
      </c>
      <c r="N10990">
        <v>12169104.9</v>
      </c>
      <c r="O10990">
        <v>12774882.52</v>
      </c>
      <c r="P10990">
        <v>36879104.899999999</v>
      </c>
      <c r="Q10990">
        <v>37484882.520000003</v>
      </c>
      <c r="R10990" s="14">
        <f>_xlfn.XLOOKUP(Table2[[#This Row],[LoanID]],Table1[G-L ID],Table1[ManagerCode],-99)</f>
        <v>220</v>
      </c>
      <c r="T10990"/>
    </row>
    <row r="10991" spans="1:20" x14ac:dyDescent="0.25">
      <c r="A10991">
        <v>20200531</v>
      </c>
      <c r="B10991">
        <v>2020</v>
      </c>
      <c r="C10991">
        <v>5</v>
      </c>
      <c r="D10991">
        <v>1</v>
      </c>
      <c r="E10991">
        <v>15400</v>
      </c>
      <c r="F10991">
        <v>72979.990000000005</v>
      </c>
      <c r="G10991">
        <v>0</v>
      </c>
      <c r="H10991">
        <v>0</v>
      </c>
      <c r="I10991">
        <v>0</v>
      </c>
      <c r="J10991">
        <v>0</v>
      </c>
      <c r="K10991">
        <v>0</v>
      </c>
      <c r="L10991">
        <v>22895683.620000001</v>
      </c>
      <c r="M10991">
        <v>22895683.620000001</v>
      </c>
      <c r="N10991">
        <v>22895683.620000001</v>
      </c>
      <c r="O10991">
        <v>22895683.620000001</v>
      </c>
      <c r="P10991">
        <v>22895683.620000001</v>
      </c>
      <c r="Q10991">
        <v>22895683.620000001</v>
      </c>
      <c r="R10991" s="14">
        <f>_xlfn.XLOOKUP(Table2[[#This Row],[LoanID]],Table1[G-L ID],Table1[ManagerCode],-99)</f>
        <v>220</v>
      </c>
      <c r="T10991"/>
    </row>
    <row r="10992" spans="1:20" x14ac:dyDescent="0.25">
      <c r="A10992">
        <v>20200531</v>
      </c>
      <c r="B10992">
        <v>2020</v>
      </c>
      <c r="C10992">
        <v>5</v>
      </c>
      <c r="D10992">
        <v>1</v>
      </c>
      <c r="E10992">
        <v>15410</v>
      </c>
      <c r="F10992">
        <v>143253.34</v>
      </c>
      <c r="G10992">
        <v>0</v>
      </c>
      <c r="H10992">
        <v>0</v>
      </c>
      <c r="I10992">
        <v>0</v>
      </c>
      <c r="J10992">
        <v>0</v>
      </c>
      <c r="K10992">
        <v>0</v>
      </c>
      <c r="L10992">
        <v>64000000</v>
      </c>
      <c r="M10992">
        <v>64000000</v>
      </c>
      <c r="N10992">
        <v>19200000</v>
      </c>
      <c r="O10992">
        <v>19200000</v>
      </c>
      <c r="P10992">
        <v>64000000</v>
      </c>
      <c r="Q10992">
        <v>64000000</v>
      </c>
      <c r="R10992" s="14">
        <f>_xlfn.XLOOKUP(Table2[[#This Row],[LoanID]],Table1[G-L ID],Table1[ManagerCode],-99)</f>
        <v>220</v>
      </c>
      <c r="T10992"/>
    </row>
    <row r="10993" spans="1:20" x14ac:dyDescent="0.25">
      <c r="A10993">
        <v>20200531</v>
      </c>
      <c r="B10993">
        <v>2020</v>
      </c>
      <c r="C10993">
        <v>5</v>
      </c>
      <c r="D10993">
        <v>1</v>
      </c>
      <c r="E10993">
        <v>15420</v>
      </c>
      <c r="F10993">
        <v>106479.57</v>
      </c>
      <c r="G10993">
        <v>0</v>
      </c>
      <c r="H10993">
        <v>0</v>
      </c>
      <c r="I10993">
        <v>0</v>
      </c>
      <c r="J10993">
        <v>0</v>
      </c>
      <c r="K10993">
        <v>0</v>
      </c>
      <c r="L10993">
        <v>44141378.490000002</v>
      </c>
      <c r="M10993">
        <v>44141378.490000002</v>
      </c>
      <c r="N10993">
        <v>15131878.49</v>
      </c>
      <c r="O10993">
        <v>15131878.49</v>
      </c>
      <c r="P10993">
        <v>44630000</v>
      </c>
      <c r="Q10993">
        <v>44630000</v>
      </c>
      <c r="R10993" s="14">
        <f>_xlfn.XLOOKUP(Table2[[#This Row],[LoanID]],Table1[G-L ID],Table1[ManagerCode],-99)</f>
        <v>183</v>
      </c>
      <c r="T10993"/>
    </row>
    <row r="10994" spans="1:20" x14ac:dyDescent="0.25">
      <c r="A10994">
        <v>20200531</v>
      </c>
      <c r="B10994">
        <v>2020</v>
      </c>
      <c r="C10994">
        <v>5</v>
      </c>
      <c r="D10994">
        <v>1</v>
      </c>
      <c r="E10994">
        <v>15430</v>
      </c>
      <c r="F10994">
        <v>123009.69</v>
      </c>
      <c r="G10994">
        <v>0</v>
      </c>
      <c r="H10994">
        <v>0</v>
      </c>
      <c r="I10994">
        <v>0</v>
      </c>
      <c r="J10994">
        <v>-550213.05000000005</v>
      </c>
      <c r="K10994">
        <v>0</v>
      </c>
      <c r="L10994">
        <v>51490348.439999998</v>
      </c>
      <c r="M10994">
        <v>51598148.600000001</v>
      </c>
      <c r="N10994">
        <v>18298228.440000001</v>
      </c>
      <c r="O10994">
        <v>18406028.600000001</v>
      </c>
      <c r="P10994">
        <v>51490348.439999998</v>
      </c>
      <c r="Q10994">
        <v>52040561.490000002</v>
      </c>
      <c r="R10994" s="14">
        <f>_xlfn.XLOOKUP(Table2[[#This Row],[LoanID]],Table1[G-L ID],Table1[ManagerCode],-99)</f>
        <v>183</v>
      </c>
      <c r="T10994"/>
    </row>
    <row r="10995" spans="1:20" x14ac:dyDescent="0.25">
      <c r="A10995">
        <v>20200531</v>
      </c>
      <c r="B10995">
        <v>2020</v>
      </c>
      <c r="C10995">
        <v>5</v>
      </c>
      <c r="D10995">
        <v>1</v>
      </c>
      <c r="E10995">
        <v>15440</v>
      </c>
      <c r="F10995">
        <v>54116.480000000003</v>
      </c>
      <c r="G10995">
        <v>0</v>
      </c>
      <c r="H10995">
        <v>0</v>
      </c>
      <c r="I10995">
        <v>0</v>
      </c>
      <c r="J10995">
        <v>0</v>
      </c>
      <c r="K10995">
        <v>0</v>
      </c>
      <c r="L10995">
        <v>21297163.140000001</v>
      </c>
      <c r="M10995">
        <v>21297163.140000001</v>
      </c>
      <c r="N10995">
        <v>7322163.1399999997</v>
      </c>
      <c r="O10995">
        <v>7322163.1399999997</v>
      </c>
      <c r="P10995">
        <v>21500000</v>
      </c>
      <c r="Q10995">
        <v>21500000</v>
      </c>
      <c r="R10995" s="14">
        <f>_xlfn.XLOOKUP(Table2[[#This Row],[LoanID]],Table1[G-L ID],Table1[ManagerCode],-99)</f>
        <v>183</v>
      </c>
      <c r="T10995"/>
    </row>
    <row r="10996" spans="1:20" x14ac:dyDescent="0.25">
      <c r="A10996">
        <v>20200531</v>
      </c>
      <c r="B10996">
        <v>2020</v>
      </c>
      <c r="C10996">
        <v>5</v>
      </c>
      <c r="D10996">
        <v>1</v>
      </c>
      <c r="E10996">
        <v>15450</v>
      </c>
      <c r="F10996">
        <v>65241.54</v>
      </c>
      <c r="G10996">
        <v>0</v>
      </c>
      <c r="H10996">
        <v>0</v>
      </c>
      <c r="I10996">
        <v>0</v>
      </c>
      <c r="J10996">
        <v>0</v>
      </c>
      <c r="K10996">
        <v>0</v>
      </c>
      <c r="L10996">
        <v>29845741.899999999</v>
      </c>
      <c r="M10996">
        <v>29845741.899999999</v>
      </c>
      <c r="N10996">
        <v>10345741.9</v>
      </c>
      <c r="O10996">
        <v>10345741.9</v>
      </c>
      <c r="P10996">
        <v>30000000</v>
      </c>
      <c r="Q10996">
        <v>30000000</v>
      </c>
      <c r="R10996" s="14">
        <f>_xlfn.XLOOKUP(Table2[[#This Row],[LoanID]],Table1[G-L ID],Table1[ManagerCode],-99)</f>
        <v>183</v>
      </c>
      <c r="T10996"/>
    </row>
    <row r="10997" spans="1:20" x14ac:dyDescent="0.25">
      <c r="A10997">
        <v>20200531</v>
      </c>
      <c r="B10997">
        <v>2020</v>
      </c>
      <c r="C10997">
        <v>5</v>
      </c>
      <c r="D10997">
        <v>1</v>
      </c>
      <c r="E10997">
        <v>15460</v>
      </c>
      <c r="F10997">
        <v>182745.22</v>
      </c>
      <c r="G10997">
        <v>0</v>
      </c>
      <c r="H10997">
        <v>0</v>
      </c>
      <c r="I10997">
        <v>0</v>
      </c>
      <c r="J10997">
        <v>-466228.61</v>
      </c>
      <c r="K10997">
        <v>0</v>
      </c>
      <c r="L10997">
        <v>69091747.969999999</v>
      </c>
      <c r="M10997">
        <v>69557976.579999998</v>
      </c>
      <c r="N10997">
        <v>31333247.969999999</v>
      </c>
      <c r="O10997">
        <v>31799476.579999998</v>
      </c>
      <c r="P10997">
        <v>69619269.489999995</v>
      </c>
      <c r="Q10997">
        <v>70085498.099999994</v>
      </c>
      <c r="R10997" s="14">
        <f>_xlfn.XLOOKUP(Table2[[#This Row],[LoanID]],Table1[G-L ID],Table1[ManagerCode],-99)</f>
        <v>183</v>
      </c>
      <c r="T10997"/>
    </row>
    <row r="10998" spans="1:20" x14ac:dyDescent="0.25">
      <c r="A10998">
        <v>20200531</v>
      </c>
      <c r="B10998">
        <v>2020</v>
      </c>
      <c r="C10998">
        <v>5</v>
      </c>
      <c r="D10998">
        <v>1</v>
      </c>
      <c r="E10998">
        <v>15470</v>
      </c>
      <c r="F10998">
        <v>265168.75</v>
      </c>
      <c r="G10998">
        <v>0</v>
      </c>
      <c r="H10998">
        <v>0</v>
      </c>
      <c r="I10998">
        <v>0</v>
      </c>
      <c r="J10998">
        <v>0</v>
      </c>
      <c r="K10998">
        <v>0</v>
      </c>
      <c r="L10998">
        <v>84612280.040000007</v>
      </c>
      <c r="M10998">
        <v>84612280.040000007</v>
      </c>
      <c r="N10998">
        <v>84612280.040000007</v>
      </c>
      <c r="O10998">
        <v>84612280.040000007</v>
      </c>
      <c r="P10998">
        <v>85500000</v>
      </c>
      <c r="Q10998">
        <v>85500000</v>
      </c>
      <c r="R10998" s="14">
        <f>_xlfn.XLOOKUP(Table2[[#This Row],[LoanID]],Table1[G-L ID],Table1[ManagerCode],-99)</f>
        <v>183</v>
      </c>
      <c r="T10998"/>
    </row>
    <row r="10999" spans="1:20" x14ac:dyDescent="0.25">
      <c r="A10999">
        <v>20200531</v>
      </c>
      <c r="B10999">
        <v>2020</v>
      </c>
      <c r="C10999">
        <v>5</v>
      </c>
      <c r="D10999">
        <v>1</v>
      </c>
      <c r="E10999">
        <v>15480</v>
      </c>
      <c r="F10999">
        <v>165467.87</v>
      </c>
      <c r="G10999">
        <v>0</v>
      </c>
      <c r="H10999">
        <v>0</v>
      </c>
      <c r="I10999">
        <v>0</v>
      </c>
      <c r="J10999">
        <v>0</v>
      </c>
      <c r="K10999">
        <v>0</v>
      </c>
      <c r="L10999">
        <v>67644295.269999996</v>
      </c>
      <c r="M10999">
        <v>67644295.269999996</v>
      </c>
      <c r="N10999">
        <v>19932295.27</v>
      </c>
      <c r="O10999">
        <v>19932295.27</v>
      </c>
      <c r="P10999">
        <v>68160000</v>
      </c>
      <c r="Q10999">
        <v>68160000</v>
      </c>
      <c r="R10999" s="14">
        <f>_xlfn.XLOOKUP(Table2[[#This Row],[LoanID]],Table1[G-L ID],Table1[ManagerCode],-99)</f>
        <v>183</v>
      </c>
      <c r="T10999"/>
    </row>
    <row r="11000" spans="1:20" x14ac:dyDescent="0.25">
      <c r="A11000">
        <v>20200531</v>
      </c>
      <c r="B11000">
        <v>2020</v>
      </c>
      <c r="C11000">
        <v>5</v>
      </c>
      <c r="D11000">
        <v>1</v>
      </c>
      <c r="E11000">
        <v>15490</v>
      </c>
      <c r="F11000">
        <v>135541.63</v>
      </c>
      <c r="G11000">
        <v>0</v>
      </c>
      <c r="H11000">
        <v>0</v>
      </c>
      <c r="I11000">
        <v>0</v>
      </c>
      <c r="J11000">
        <v>0</v>
      </c>
      <c r="K11000">
        <v>0</v>
      </c>
      <c r="L11000">
        <v>56485768.829999998</v>
      </c>
      <c r="M11000">
        <v>56485768.829999998</v>
      </c>
      <c r="N11000">
        <v>19598268.829999998</v>
      </c>
      <c r="O11000">
        <v>19598268.829999998</v>
      </c>
      <c r="P11000">
        <v>56750000</v>
      </c>
      <c r="Q11000">
        <v>56750000</v>
      </c>
      <c r="R11000" s="14">
        <f>_xlfn.XLOOKUP(Table2[[#This Row],[LoanID]],Table1[G-L ID],Table1[ManagerCode],-99)</f>
        <v>183</v>
      </c>
      <c r="T11000"/>
    </row>
    <row r="11001" spans="1:20" x14ac:dyDescent="0.25">
      <c r="A11001">
        <v>20200531</v>
      </c>
      <c r="B11001">
        <v>2020</v>
      </c>
      <c r="C11001">
        <v>5</v>
      </c>
      <c r="D11001">
        <v>1</v>
      </c>
      <c r="E11001">
        <v>15500</v>
      </c>
      <c r="F11001">
        <v>129833.77</v>
      </c>
      <c r="G11001">
        <v>0</v>
      </c>
      <c r="H11001">
        <v>0</v>
      </c>
      <c r="I11001">
        <v>0</v>
      </c>
      <c r="J11001">
        <v>0</v>
      </c>
      <c r="K11001">
        <v>0</v>
      </c>
      <c r="L11001">
        <v>50709197.119999997</v>
      </c>
      <c r="M11001">
        <v>50709197.119999997</v>
      </c>
      <c r="N11001">
        <v>17645086.34</v>
      </c>
      <c r="O11001">
        <v>17645086.34</v>
      </c>
      <c r="P11001">
        <v>51250000</v>
      </c>
      <c r="Q11001">
        <v>51250000</v>
      </c>
      <c r="R11001" s="14">
        <f>_xlfn.XLOOKUP(Table2[[#This Row],[LoanID]],Table1[G-L ID],Table1[ManagerCode],-99)</f>
        <v>183</v>
      </c>
      <c r="T11001"/>
    </row>
    <row r="11002" spans="1:20" x14ac:dyDescent="0.25">
      <c r="A11002">
        <v>20200531</v>
      </c>
      <c r="B11002">
        <v>2020</v>
      </c>
      <c r="C11002">
        <v>5</v>
      </c>
      <c r="D11002">
        <v>1</v>
      </c>
      <c r="E11002">
        <v>15510</v>
      </c>
      <c r="F11002">
        <v>427506.24</v>
      </c>
      <c r="G11002">
        <v>0</v>
      </c>
      <c r="H11002">
        <v>0</v>
      </c>
      <c r="I11002">
        <v>0</v>
      </c>
      <c r="J11002">
        <v>0</v>
      </c>
      <c r="K11002">
        <v>0</v>
      </c>
      <c r="L11002">
        <v>191959111.40000001</v>
      </c>
      <c r="M11002">
        <v>191959111.40000001</v>
      </c>
      <c r="N11002">
        <v>55159111.399999999</v>
      </c>
      <c r="O11002">
        <v>55159111.399999999</v>
      </c>
      <c r="P11002">
        <v>192772278.19999999</v>
      </c>
      <c r="Q11002">
        <v>192772278.19999999</v>
      </c>
      <c r="R11002" s="14">
        <f>_xlfn.XLOOKUP(Table2[[#This Row],[LoanID]],Table1[G-L ID],Table1[ManagerCode],-99)</f>
        <v>183</v>
      </c>
      <c r="T11002"/>
    </row>
    <row r="11003" spans="1:20" x14ac:dyDescent="0.25">
      <c r="A11003">
        <v>20200531</v>
      </c>
      <c r="B11003">
        <v>2020</v>
      </c>
      <c r="C11003">
        <v>5</v>
      </c>
      <c r="D11003">
        <v>1</v>
      </c>
      <c r="E11003">
        <v>15520</v>
      </c>
      <c r="F11003">
        <v>162656.9</v>
      </c>
      <c r="G11003">
        <v>0</v>
      </c>
      <c r="H11003">
        <v>0</v>
      </c>
      <c r="I11003">
        <v>0</v>
      </c>
      <c r="J11003">
        <v>0</v>
      </c>
      <c r="K11003">
        <v>0</v>
      </c>
      <c r="L11003">
        <v>56008656.109999999</v>
      </c>
      <c r="M11003">
        <v>56008656.109999999</v>
      </c>
      <c r="N11003">
        <v>22233462.440000001</v>
      </c>
      <c r="O11003">
        <v>22233462.440000001</v>
      </c>
      <c r="P11003">
        <v>56008656.109999999</v>
      </c>
      <c r="Q11003">
        <v>56008656.109999999</v>
      </c>
      <c r="R11003" s="14">
        <f>_xlfn.XLOOKUP(Table2[[#This Row],[LoanID]],Table1[G-L ID],Table1[ManagerCode],-99)</f>
        <v>183</v>
      </c>
      <c r="T11003"/>
    </row>
    <row r="11004" spans="1:20" x14ac:dyDescent="0.25">
      <c r="A11004">
        <v>20200531</v>
      </c>
      <c r="B11004">
        <v>2020</v>
      </c>
      <c r="C11004">
        <v>5</v>
      </c>
      <c r="D11004">
        <v>1</v>
      </c>
      <c r="E11004">
        <v>15530</v>
      </c>
      <c r="F11004">
        <v>0</v>
      </c>
      <c r="G11004">
        <v>224047.37</v>
      </c>
      <c r="H11004">
        <v>0</v>
      </c>
      <c r="I11004">
        <v>0</v>
      </c>
      <c r="J11004">
        <v>-3047283.81</v>
      </c>
      <c r="K11004">
        <v>0</v>
      </c>
      <c r="L11004">
        <v>27386535.18</v>
      </c>
      <c r="M11004">
        <v>30657866.359999999</v>
      </c>
      <c r="N11004">
        <v>27386535.18</v>
      </c>
      <c r="O11004">
        <v>30657866.359999999</v>
      </c>
      <c r="P11004">
        <v>27386535.18</v>
      </c>
      <c r="Q11004">
        <v>30657866.359999999</v>
      </c>
      <c r="R11004" s="14">
        <f>_xlfn.XLOOKUP(Table2[[#This Row],[LoanID]],Table1[G-L ID],Table1[ManagerCode],-99)</f>
        <v>183</v>
      </c>
      <c r="T11004"/>
    </row>
    <row r="11005" spans="1:20" x14ac:dyDescent="0.25">
      <c r="A11005">
        <v>20200531</v>
      </c>
      <c r="B11005">
        <v>2020</v>
      </c>
      <c r="C11005">
        <v>5</v>
      </c>
      <c r="D11005">
        <v>1</v>
      </c>
      <c r="E11005">
        <v>15540</v>
      </c>
      <c r="F11005">
        <v>246263.28</v>
      </c>
      <c r="G11005">
        <v>-31921.32</v>
      </c>
      <c r="H11005">
        <v>0</v>
      </c>
      <c r="I11005">
        <v>622.15</v>
      </c>
      <c r="J11005">
        <v>-962027.8</v>
      </c>
      <c r="K11005">
        <v>0</v>
      </c>
      <c r="L11005">
        <v>70896525.299999997</v>
      </c>
      <c r="M11005">
        <v>71826631.780000001</v>
      </c>
      <c r="N11005">
        <v>70896525.299999997</v>
      </c>
      <c r="O11005">
        <v>71826631.780000001</v>
      </c>
      <c r="P11005">
        <v>70896525.299999997</v>
      </c>
      <c r="Q11005">
        <v>71826631.780000001</v>
      </c>
      <c r="R11005" s="14">
        <f>_xlfn.XLOOKUP(Table2[[#This Row],[LoanID]],Table1[G-L ID],Table1[ManagerCode],-99)</f>
        <v>212</v>
      </c>
      <c r="T11005"/>
    </row>
    <row r="11006" spans="1:20" x14ac:dyDescent="0.25">
      <c r="A11006">
        <v>20200531</v>
      </c>
      <c r="B11006">
        <v>2020</v>
      </c>
      <c r="C11006">
        <v>5</v>
      </c>
      <c r="D11006">
        <v>1</v>
      </c>
      <c r="E11006">
        <v>15550</v>
      </c>
      <c r="F11006">
        <v>162614.68</v>
      </c>
      <c r="G11006">
        <v>-11188.31</v>
      </c>
      <c r="H11006">
        <v>0</v>
      </c>
      <c r="I11006">
        <v>-1324.58</v>
      </c>
      <c r="J11006">
        <v>0</v>
      </c>
      <c r="K11006">
        <v>0</v>
      </c>
      <c r="L11006">
        <v>31955308</v>
      </c>
      <c r="M11006">
        <v>31944119.690000001</v>
      </c>
      <c r="N11006">
        <v>31955308</v>
      </c>
      <c r="O11006">
        <v>31944119.690000001</v>
      </c>
      <c r="P11006">
        <v>31955308</v>
      </c>
      <c r="Q11006">
        <v>31944119.690000001</v>
      </c>
      <c r="R11006" s="14">
        <f>_xlfn.XLOOKUP(Table2[[#This Row],[LoanID]],Table1[G-L ID],Table1[ManagerCode],-99)</f>
        <v>212</v>
      </c>
      <c r="T11006"/>
    </row>
    <row r="11007" spans="1:20" x14ac:dyDescent="0.25">
      <c r="A11007">
        <v>20200531</v>
      </c>
      <c r="B11007">
        <v>2020</v>
      </c>
      <c r="C11007">
        <v>5</v>
      </c>
      <c r="D11007">
        <v>1</v>
      </c>
      <c r="E11007">
        <v>15560</v>
      </c>
      <c r="F11007">
        <v>208190.67</v>
      </c>
      <c r="G11007">
        <v>-6915.64</v>
      </c>
      <c r="H11007">
        <v>0</v>
      </c>
      <c r="I11007">
        <v>0</v>
      </c>
      <c r="J11007">
        <v>0</v>
      </c>
      <c r="K11007">
        <v>0</v>
      </c>
      <c r="L11007">
        <v>48210535.020000003</v>
      </c>
      <c r="M11007">
        <v>48203619.380000003</v>
      </c>
      <c r="N11007">
        <v>48210535.020000003</v>
      </c>
      <c r="O11007">
        <v>48203619.380000003</v>
      </c>
      <c r="P11007">
        <v>48210535.020000003</v>
      </c>
      <c r="Q11007">
        <v>48203619.380000003</v>
      </c>
      <c r="R11007" s="14">
        <f>_xlfn.XLOOKUP(Table2[[#This Row],[LoanID]],Table1[G-L ID],Table1[ManagerCode],-99)</f>
        <v>212</v>
      </c>
      <c r="T11007"/>
    </row>
    <row r="11008" spans="1:20" x14ac:dyDescent="0.25">
      <c r="A11008">
        <v>20200531</v>
      </c>
      <c r="B11008">
        <v>2020</v>
      </c>
      <c r="C11008">
        <v>5</v>
      </c>
      <c r="D11008">
        <v>1</v>
      </c>
      <c r="E11008">
        <v>15570</v>
      </c>
      <c r="F11008">
        <v>0</v>
      </c>
      <c r="G11008">
        <v>126462.11</v>
      </c>
      <c r="H11008">
        <v>0</v>
      </c>
      <c r="I11008">
        <v>0</v>
      </c>
      <c r="J11008">
        <v>0</v>
      </c>
      <c r="K11008">
        <v>0</v>
      </c>
      <c r="L11008">
        <v>26437304</v>
      </c>
      <c r="M11008">
        <v>26563766.109999999</v>
      </c>
      <c r="N11008">
        <v>26437304</v>
      </c>
      <c r="O11008">
        <v>26563766.109999999</v>
      </c>
      <c r="P11008">
        <v>26437304</v>
      </c>
      <c r="Q11008">
        <v>26563766.109999999</v>
      </c>
      <c r="R11008" s="14">
        <f>_xlfn.XLOOKUP(Table2[[#This Row],[LoanID]],Table1[G-L ID],Table1[ManagerCode],-99)</f>
        <v>212</v>
      </c>
      <c r="T11008"/>
    </row>
    <row r="11009" spans="1:20" x14ac:dyDescent="0.25">
      <c r="A11009">
        <v>20200531</v>
      </c>
      <c r="B11009">
        <v>2020</v>
      </c>
      <c r="C11009">
        <v>5</v>
      </c>
      <c r="D11009">
        <v>1</v>
      </c>
      <c r="E11009">
        <v>15580</v>
      </c>
      <c r="F11009">
        <v>110375.55</v>
      </c>
      <c r="G11009">
        <v>3575.43</v>
      </c>
      <c r="H11009">
        <v>0</v>
      </c>
      <c r="I11009">
        <v>0</v>
      </c>
      <c r="J11009">
        <v>0</v>
      </c>
      <c r="K11009">
        <v>13025.76</v>
      </c>
      <c r="L11009">
        <v>14429365.619999999</v>
      </c>
      <c r="M11009">
        <v>14419915.289999999</v>
      </c>
      <c r="N11009">
        <v>14429365.619999999</v>
      </c>
      <c r="O11009">
        <v>14419915.289999999</v>
      </c>
      <c r="P11009">
        <v>14429365.619999999</v>
      </c>
      <c r="Q11009">
        <v>14419915.289999999</v>
      </c>
      <c r="R11009" s="14">
        <f>_xlfn.XLOOKUP(Table2[[#This Row],[LoanID]],Table1[G-L ID],Table1[ManagerCode],-99)</f>
        <v>212</v>
      </c>
      <c r="T11009"/>
    </row>
    <row r="11010" spans="1:20" x14ac:dyDescent="0.25">
      <c r="A11010">
        <v>20200531</v>
      </c>
      <c r="B11010">
        <v>2020</v>
      </c>
      <c r="C11010">
        <v>5</v>
      </c>
      <c r="D11010">
        <v>1</v>
      </c>
      <c r="E11010">
        <v>15590</v>
      </c>
      <c r="F11010">
        <v>280567.78999999998</v>
      </c>
      <c r="G11010">
        <v>-51313.58</v>
      </c>
      <c r="H11010">
        <v>0</v>
      </c>
      <c r="I11010">
        <v>-4340.46</v>
      </c>
      <c r="J11010">
        <v>-134598.68</v>
      </c>
      <c r="K11010">
        <v>0</v>
      </c>
      <c r="L11010">
        <v>104451773.90000001</v>
      </c>
      <c r="M11010">
        <v>104535059</v>
      </c>
      <c r="N11010">
        <v>104451773.90000001</v>
      </c>
      <c r="O11010">
        <v>104535059</v>
      </c>
      <c r="P11010">
        <v>104451773.90000001</v>
      </c>
      <c r="Q11010">
        <v>104535059</v>
      </c>
      <c r="R11010" s="14">
        <f>_xlfn.XLOOKUP(Table2[[#This Row],[LoanID]],Table1[G-L ID],Table1[ManagerCode],-99)</f>
        <v>212</v>
      </c>
      <c r="T11010"/>
    </row>
    <row r="11011" spans="1:20" x14ac:dyDescent="0.25">
      <c r="A11011">
        <v>20200531</v>
      </c>
      <c r="B11011">
        <v>2020</v>
      </c>
      <c r="C11011">
        <v>5</v>
      </c>
      <c r="D11011">
        <v>1</v>
      </c>
      <c r="E11011">
        <v>15600</v>
      </c>
      <c r="F11011">
        <v>475020</v>
      </c>
      <c r="G11011">
        <v>-90423.67</v>
      </c>
      <c r="H11011">
        <v>0</v>
      </c>
      <c r="I11011">
        <v>-7583.33</v>
      </c>
      <c r="J11011">
        <v>0</v>
      </c>
      <c r="K11011">
        <v>0</v>
      </c>
      <c r="L11011">
        <v>182475020</v>
      </c>
      <c r="M11011">
        <v>182384596.30000001</v>
      </c>
      <c r="N11011">
        <v>182475020</v>
      </c>
      <c r="O11011">
        <v>182384596.30000001</v>
      </c>
      <c r="P11011">
        <v>182475020</v>
      </c>
      <c r="Q11011">
        <v>182384596.30000001</v>
      </c>
      <c r="R11011" s="14">
        <f>_xlfn.XLOOKUP(Table2[[#This Row],[LoanID]],Table1[G-L ID],Table1[ManagerCode],-99)</f>
        <v>212</v>
      </c>
      <c r="T11011"/>
    </row>
    <row r="11012" spans="1:20" x14ac:dyDescent="0.25">
      <c r="A11012">
        <v>20200531</v>
      </c>
      <c r="B11012">
        <v>2020</v>
      </c>
      <c r="C11012">
        <v>5</v>
      </c>
      <c r="D11012">
        <v>1</v>
      </c>
      <c r="E11012">
        <v>15610</v>
      </c>
      <c r="F11012">
        <v>716501.2</v>
      </c>
      <c r="G11012">
        <v>-110623.8</v>
      </c>
      <c r="H11012">
        <v>0</v>
      </c>
      <c r="I11012">
        <v>-9599.43</v>
      </c>
      <c r="J11012">
        <v>0</v>
      </c>
      <c r="K11012">
        <v>0</v>
      </c>
      <c r="L11012">
        <v>231102737.5</v>
      </c>
      <c r="M11012">
        <v>230992113.69999999</v>
      </c>
      <c r="N11012">
        <v>231102737.5</v>
      </c>
      <c r="O11012">
        <v>230992113.69999999</v>
      </c>
      <c r="P11012">
        <v>231102737.5</v>
      </c>
      <c r="Q11012">
        <v>230992113.69999999</v>
      </c>
      <c r="R11012" s="14">
        <f>_xlfn.XLOOKUP(Table2[[#This Row],[LoanID]],Table1[G-L ID],Table1[ManagerCode],-99)</f>
        <v>212</v>
      </c>
      <c r="T11012"/>
    </row>
    <row r="11013" spans="1:20" x14ac:dyDescent="0.25">
      <c r="A11013">
        <v>20200531</v>
      </c>
      <c r="B11013">
        <v>2020</v>
      </c>
      <c r="C11013">
        <v>5</v>
      </c>
      <c r="D11013">
        <v>1</v>
      </c>
      <c r="E11013">
        <v>15620</v>
      </c>
      <c r="F11013">
        <v>252065.17</v>
      </c>
      <c r="G11013">
        <v>-37173.089999999997</v>
      </c>
      <c r="H11013">
        <v>0</v>
      </c>
      <c r="I11013">
        <v>-3288.95</v>
      </c>
      <c r="J11013">
        <v>-180525</v>
      </c>
      <c r="K11013">
        <v>0</v>
      </c>
      <c r="L11013">
        <v>79186877.579999998</v>
      </c>
      <c r="M11013">
        <v>79330229.489999995</v>
      </c>
      <c r="N11013">
        <v>79186877.579999998</v>
      </c>
      <c r="O11013">
        <v>79330229.489999995</v>
      </c>
      <c r="P11013">
        <v>79186877.579999998</v>
      </c>
      <c r="Q11013">
        <v>79330229.489999995</v>
      </c>
      <c r="R11013" s="14">
        <f>_xlfn.XLOOKUP(Table2[[#This Row],[LoanID]],Table1[G-L ID],Table1[ManagerCode],-99)</f>
        <v>212</v>
      </c>
      <c r="T11013"/>
    </row>
    <row r="11014" spans="1:20" x14ac:dyDescent="0.25">
      <c r="A11014">
        <v>20200531</v>
      </c>
      <c r="B11014">
        <v>2020</v>
      </c>
      <c r="C11014">
        <v>5</v>
      </c>
      <c r="D11014">
        <v>1</v>
      </c>
      <c r="E11014">
        <v>15630</v>
      </c>
      <c r="F11014">
        <v>508022.87</v>
      </c>
      <c r="G11014">
        <v>-76707.820000000007</v>
      </c>
      <c r="H11014">
        <v>0</v>
      </c>
      <c r="I11014">
        <v>-7191.73</v>
      </c>
      <c r="J11014">
        <v>-3746538.75</v>
      </c>
      <c r="K11014">
        <v>0</v>
      </c>
      <c r="L11014">
        <v>173109220.30000001</v>
      </c>
      <c r="M11014">
        <v>176779051.19999999</v>
      </c>
      <c r="N11014">
        <v>173109220.30000001</v>
      </c>
      <c r="O11014">
        <v>176779051.19999999</v>
      </c>
      <c r="P11014">
        <v>173109220.30000001</v>
      </c>
      <c r="Q11014">
        <v>176779051.19999999</v>
      </c>
      <c r="R11014" s="14">
        <f>_xlfn.XLOOKUP(Table2[[#This Row],[LoanID]],Table1[G-L ID],Table1[ManagerCode],-99)</f>
        <v>212</v>
      </c>
      <c r="T11014"/>
    </row>
    <row r="11015" spans="1:20" x14ac:dyDescent="0.25">
      <c r="A11015">
        <v>20200531</v>
      </c>
      <c r="B11015">
        <v>2020</v>
      </c>
      <c r="C11015">
        <v>5</v>
      </c>
      <c r="D11015">
        <v>1</v>
      </c>
      <c r="E11015">
        <v>15640</v>
      </c>
      <c r="F11015">
        <v>83615.100000000006</v>
      </c>
      <c r="G11015">
        <v>0</v>
      </c>
      <c r="H11015">
        <v>0</v>
      </c>
      <c r="I11015">
        <v>0</v>
      </c>
      <c r="J11015">
        <v>0</v>
      </c>
      <c r="K11015">
        <v>0</v>
      </c>
      <c r="L11015">
        <v>41654862.710000001</v>
      </c>
      <c r="M11015">
        <v>41654862.710000001</v>
      </c>
      <c r="N11015">
        <v>14354862.710000001</v>
      </c>
      <c r="O11015">
        <v>14354862.710000001</v>
      </c>
      <c r="P11015">
        <v>42000000</v>
      </c>
      <c r="Q11015">
        <v>42000000</v>
      </c>
      <c r="R11015" s="14">
        <f>_xlfn.XLOOKUP(Table2[[#This Row],[LoanID]],Table1[G-L ID],Table1[ManagerCode],-99)</f>
        <v>183</v>
      </c>
      <c r="T11015"/>
    </row>
    <row r="11016" spans="1:20" x14ac:dyDescent="0.25">
      <c r="A11016">
        <v>20200531</v>
      </c>
      <c r="B11016">
        <v>2020</v>
      </c>
      <c r="C11016">
        <v>5</v>
      </c>
      <c r="D11016">
        <v>1</v>
      </c>
      <c r="E11016">
        <v>15650</v>
      </c>
      <c r="F11016">
        <v>57763.3</v>
      </c>
      <c r="G11016">
        <v>0</v>
      </c>
      <c r="H11016">
        <v>0</v>
      </c>
      <c r="I11016">
        <v>0</v>
      </c>
      <c r="J11016">
        <v>-58163.3</v>
      </c>
      <c r="K11016">
        <v>0</v>
      </c>
      <c r="L11016">
        <v>14178292.42</v>
      </c>
      <c r="M11016">
        <v>14236455.720000001</v>
      </c>
      <c r="N11016">
        <v>14178292.42</v>
      </c>
      <c r="O11016">
        <v>14236455.720000001</v>
      </c>
      <c r="P11016">
        <v>14138771.130000001</v>
      </c>
      <c r="Q11016">
        <v>14196934.43</v>
      </c>
      <c r="R11016" s="14">
        <f>_xlfn.XLOOKUP(Table2[[#This Row],[LoanID]],Table1[G-L ID],Table1[ManagerCode],-99)</f>
        <v>183</v>
      </c>
      <c r="T11016"/>
    </row>
    <row r="11017" spans="1:20" x14ac:dyDescent="0.25">
      <c r="A11017">
        <v>20200531</v>
      </c>
      <c r="B11017">
        <v>2020</v>
      </c>
      <c r="C11017">
        <v>5</v>
      </c>
      <c r="D11017">
        <v>1</v>
      </c>
      <c r="E11017">
        <v>15660</v>
      </c>
      <c r="F11017">
        <v>100621.09</v>
      </c>
      <c r="G11017">
        <v>0</v>
      </c>
      <c r="H11017">
        <v>0</v>
      </c>
      <c r="I11017">
        <v>0</v>
      </c>
      <c r="J11017">
        <v>0</v>
      </c>
      <c r="K11017">
        <v>0</v>
      </c>
      <c r="L11017">
        <v>40000000</v>
      </c>
      <c r="M11017">
        <v>40000000</v>
      </c>
      <c r="N11017">
        <v>20000000</v>
      </c>
      <c r="O11017">
        <v>20000000</v>
      </c>
      <c r="P11017">
        <v>40000000</v>
      </c>
      <c r="Q11017">
        <v>40000000</v>
      </c>
      <c r="R11017" s="14">
        <f>_xlfn.XLOOKUP(Table2[[#This Row],[LoanID]],Table1[G-L ID],Table1[ManagerCode],-99)</f>
        <v>183</v>
      </c>
      <c r="T11017"/>
    </row>
    <row r="11018" spans="1:20" x14ac:dyDescent="0.25">
      <c r="A11018">
        <v>20200531</v>
      </c>
      <c r="B11018">
        <v>2020</v>
      </c>
      <c r="C11018">
        <v>5</v>
      </c>
      <c r="D11018">
        <v>1</v>
      </c>
      <c r="E11018">
        <v>15670</v>
      </c>
      <c r="F11018">
        <v>62363.33</v>
      </c>
      <c r="G11018">
        <v>0</v>
      </c>
      <c r="H11018">
        <v>0</v>
      </c>
      <c r="I11018">
        <v>0</v>
      </c>
      <c r="J11018">
        <v>0</v>
      </c>
      <c r="K11018">
        <v>0</v>
      </c>
      <c r="L11018">
        <v>16977006</v>
      </c>
      <c r="M11018">
        <v>17087782</v>
      </c>
      <c r="N11018">
        <v>16977006</v>
      </c>
      <c r="O11018">
        <v>17087782</v>
      </c>
      <c r="P11018">
        <v>17650000</v>
      </c>
      <c r="Q11018">
        <v>17650000</v>
      </c>
      <c r="R11018" s="14">
        <f>_xlfn.XLOOKUP(Table2[[#This Row],[LoanID]],Table1[G-L ID],Table1[ManagerCode],-99)</f>
        <v>103</v>
      </c>
      <c r="T11018"/>
    </row>
    <row r="11019" spans="1:20" x14ac:dyDescent="0.25">
      <c r="A11019">
        <v>20200531</v>
      </c>
      <c r="B11019">
        <v>2020</v>
      </c>
      <c r="C11019">
        <v>5</v>
      </c>
      <c r="D11019">
        <v>1</v>
      </c>
      <c r="E11019">
        <v>15680</v>
      </c>
      <c r="F11019">
        <v>423962.5</v>
      </c>
      <c r="G11019">
        <v>0</v>
      </c>
      <c r="H11019">
        <v>0</v>
      </c>
      <c r="I11019">
        <v>0</v>
      </c>
      <c r="J11019">
        <v>0</v>
      </c>
      <c r="K11019">
        <v>0</v>
      </c>
      <c r="L11019">
        <v>65000000</v>
      </c>
      <c r="M11019">
        <v>65000000</v>
      </c>
      <c r="N11019">
        <v>65000000</v>
      </c>
      <c r="O11019">
        <v>65000000</v>
      </c>
      <c r="P11019">
        <v>65000000</v>
      </c>
      <c r="Q11019">
        <v>65000000</v>
      </c>
      <c r="R11019" s="14">
        <f>_xlfn.XLOOKUP(Table2[[#This Row],[LoanID]],Table1[G-L ID],Table1[ManagerCode],-99)</f>
        <v>103</v>
      </c>
      <c r="T11019"/>
    </row>
    <row r="11020" spans="1:20" x14ac:dyDescent="0.25">
      <c r="A11020">
        <v>20200531</v>
      </c>
      <c r="B11020">
        <v>2020</v>
      </c>
      <c r="C11020">
        <v>5</v>
      </c>
      <c r="D11020">
        <v>1</v>
      </c>
      <c r="E11020">
        <v>15690</v>
      </c>
      <c r="F11020">
        <v>102676.57</v>
      </c>
      <c r="G11020">
        <v>0</v>
      </c>
      <c r="H11020">
        <v>0</v>
      </c>
      <c r="I11020">
        <v>0</v>
      </c>
      <c r="J11020">
        <v>0</v>
      </c>
      <c r="K11020">
        <v>0</v>
      </c>
      <c r="L11020">
        <v>13793129</v>
      </c>
      <c r="M11020">
        <v>13793129</v>
      </c>
      <c r="N11020">
        <v>13793129</v>
      </c>
      <c r="O11020">
        <v>13793129</v>
      </c>
      <c r="P11020">
        <v>14495516</v>
      </c>
      <c r="Q11020">
        <v>14495516</v>
      </c>
      <c r="R11020" s="14">
        <f>_xlfn.XLOOKUP(Table2[[#This Row],[LoanID]],Table1[G-L ID],Table1[ManagerCode],-99)</f>
        <v>193</v>
      </c>
      <c r="T11020"/>
    </row>
    <row r="11021" spans="1:20" x14ac:dyDescent="0.25">
      <c r="A11021">
        <v>20200531</v>
      </c>
      <c r="B11021">
        <v>2020</v>
      </c>
      <c r="C11021">
        <v>5</v>
      </c>
      <c r="D11021">
        <v>1</v>
      </c>
      <c r="E11021">
        <v>15700</v>
      </c>
      <c r="F11021">
        <v>233576.39</v>
      </c>
      <c r="G11021">
        <v>0</v>
      </c>
      <c r="H11021">
        <v>0</v>
      </c>
      <c r="I11021">
        <v>0</v>
      </c>
      <c r="J11021">
        <v>0</v>
      </c>
      <c r="K11021">
        <v>0</v>
      </c>
      <c r="L11021">
        <v>35000000</v>
      </c>
      <c r="M11021">
        <v>35000000</v>
      </c>
      <c r="N11021">
        <v>35000000</v>
      </c>
      <c r="O11021">
        <v>35000000</v>
      </c>
      <c r="P11021">
        <v>35000000</v>
      </c>
      <c r="Q11021">
        <v>35000000</v>
      </c>
      <c r="R11021" s="14">
        <f>_xlfn.XLOOKUP(Table2[[#This Row],[LoanID]],Table1[G-L ID],Table1[ManagerCode],-99)</f>
        <v>193</v>
      </c>
      <c r="T11021"/>
    </row>
    <row r="11022" spans="1:20" x14ac:dyDescent="0.25">
      <c r="A11022">
        <v>20200531</v>
      </c>
      <c r="B11022">
        <v>2020</v>
      </c>
      <c r="C11022">
        <v>5</v>
      </c>
      <c r="D11022">
        <v>1</v>
      </c>
      <c r="E11022">
        <v>15710</v>
      </c>
      <c r="F11022">
        <v>314350.7</v>
      </c>
      <c r="G11022">
        <v>0</v>
      </c>
      <c r="H11022">
        <v>0</v>
      </c>
      <c r="I11022">
        <v>0</v>
      </c>
      <c r="J11022">
        <v>-152490.1</v>
      </c>
      <c r="K11022">
        <v>0</v>
      </c>
      <c r="L11022">
        <v>73346547.689999998</v>
      </c>
      <c r="M11022">
        <v>73499037.790000007</v>
      </c>
      <c r="N11022">
        <v>73346547.689999998</v>
      </c>
      <c r="O11022">
        <v>73499037.790000007</v>
      </c>
      <c r="P11022">
        <v>73346547.689999998</v>
      </c>
      <c r="Q11022">
        <v>73499037.790000007</v>
      </c>
      <c r="R11022" s="14">
        <f>_xlfn.XLOOKUP(Table2[[#This Row],[LoanID]],Table1[G-L ID],Table1[ManagerCode],-99)</f>
        <v>193</v>
      </c>
      <c r="T11022"/>
    </row>
    <row r="11023" spans="1:20" x14ac:dyDescent="0.25">
      <c r="A11023">
        <v>20200531</v>
      </c>
      <c r="B11023">
        <v>2020</v>
      </c>
      <c r="C11023">
        <v>5</v>
      </c>
      <c r="D11023">
        <v>1</v>
      </c>
      <c r="E11023">
        <v>15720</v>
      </c>
      <c r="F11023">
        <v>0</v>
      </c>
      <c r="G11023">
        <v>151555.56</v>
      </c>
      <c r="H11023">
        <v>0</v>
      </c>
      <c r="I11023">
        <v>0</v>
      </c>
      <c r="J11023">
        <v>0</v>
      </c>
      <c r="K11023">
        <v>0</v>
      </c>
      <c r="L11023">
        <v>22000000</v>
      </c>
      <c r="M11023">
        <v>22151555.559999999</v>
      </c>
      <c r="N11023">
        <v>22000000</v>
      </c>
      <c r="O11023">
        <v>22151555.559999999</v>
      </c>
      <c r="P11023">
        <v>22000000</v>
      </c>
      <c r="Q11023">
        <v>22151555.559999999</v>
      </c>
      <c r="R11023" s="14">
        <f>_xlfn.XLOOKUP(Table2[[#This Row],[LoanID]],Table1[G-L ID],Table1[ManagerCode],-99)</f>
        <v>193</v>
      </c>
      <c r="T11023"/>
    </row>
    <row r="11024" spans="1:20" x14ac:dyDescent="0.25">
      <c r="A11024">
        <v>20200531</v>
      </c>
      <c r="B11024">
        <v>2020</v>
      </c>
      <c r="C11024">
        <v>5</v>
      </c>
      <c r="D11024">
        <v>1</v>
      </c>
      <c r="E11024">
        <v>15730</v>
      </c>
      <c r="F11024">
        <v>123163.72</v>
      </c>
      <c r="G11024">
        <v>0</v>
      </c>
      <c r="H11024">
        <v>0</v>
      </c>
      <c r="I11024">
        <v>0</v>
      </c>
      <c r="J11024">
        <v>0</v>
      </c>
      <c r="K11024">
        <v>0</v>
      </c>
      <c r="L11024">
        <v>19070511.109999999</v>
      </c>
      <c r="M11024">
        <v>19070511.109999999</v>
      </c>
      <c r="N11024">
        <v>19070511.109999999</v>
      </c>
      <c r="O11024">
        <v>19070511.109999999</v>
      </c>
      <c r="P11024">
        <v>19070511.109999999</v>
      </c>
      <c r="Q11024">
        <v>19070511.109999999</v>
      </c>
      <c r="R11024" s="14">
        <f>_xlfn.XLOOKUP(Table2[[#This Row],[LoanID]],Table1[G-L ID],Table1[ManagerCode],-99)</f>
        <v>193</v>
      </c>
      <c r="T11024"/>
    </row>
    <row r="11025" spans="1:20" x14ac:dyDescent="0.25">
      <c r="A11025">
        <v>20200531</v>
      </c>
      <c r="B11025">
        <v>2020</v>
      </c>
      <c r="C11025">
        <v>5</v>
      </c>
      <c r="D11025">
        <v>1</v>
      </c>
      <c r="E11025">
        <v>15740</v>
      </c>
      <c r="F11025">
        <v>315166.67</v>
      </c>
      <c r="G11025">
        <v>0</v>
      </c>
      <c r="H11025">
        <v>0</v>
      </c>
      <c r="I11025">
        <v>0</v>
      </c>
      <c r="J11025">
        <v>0</v>
      </c>
      <c r="K11025">
        <v>0</v>
      </c>
      <c r="L11025">
        <v>60000000</v>
      </c>
      <c r="M11025">
        <v>60000000</v>
      </c>
      <c r="N11025">
        <v>60000000</v>
      </c>
      <c r="O11025">
        <v>60000000</v>
      </c>
      <c r="P11025">
        <v>60000000</v>
      </c>
      <c r="Q11025">
        <v>60000000</v>
      </c>
      <c r="R11025" s="14">
        <f>_xlfn.XLOOKUP(Table2[[#This Row],[LoanID]],Table1[G-L ID],Table1[ManagerCode],-99)</f>
        <v>193</v>
      </c>
      <c r="T11025"/>
    </row>
    <row r="11026" spans="1:20" x14ac:dyDescent="0.25">
      <c r="A11026">
        <v>20200531</v>
      </c>
      <c r="B11026">
        <v>2020</v>
      </c>
      <c r="C11026">
        <v>5</v>
      </c>
      <c r="D11026">
        <v>1</v>
      </c>
      <c r="E11026">
        <v>15750</v>
      </c>
      <c r="F11026">
        <v>157844.25</v>
      </c>
      <c r="G11026">
        <v>0</v>
      </c>
      <c r="H11026">
        <v>0</v>
      </c>
      <c r="I11026">
        <v>0</v>
      </c>
      <c r="J11026">
        <v>0</v>
      </c>
      <c r="K11026">
        <v>0</v>
      </c>
      <c r="L11026">
        <v>36500000</v>
      </c>
      <c r="M11026">
        <v>36500000</v>
      </c>
      <c r="N11026">
        <v>36500000</v>
      </c>
      <c r="O11026">
        <v>36500000</v>
      </c>
      <c r="P11026">
        <v>36500000</v>
      </c>
      <c r="Q11026">
        <v>36500000</v>
      </c>
      <c r="R11026" s="14">
        <f>_xlfn.XLOOKUP(Table2[[#This Row],[LoanID]],Table1[G-L ID],Table1[ManagerCode],-99)</f>
        <v>193</v>
      </c>
      <c r="T11026"/>
    </row>
    <row r="11027" spans="1:20" x14ac:dyDescent="0.25">
      <c r="A11027">
        <v>20200531</v>
      </c>
      <c r="B11027">
        <v>2020</v>
      </c>
      <c r="C11027">
        <v>5</v>
      </c>
      <c r="D11027">
        <v>1</v>
      </c>
      <c r="E11027">
        <v>15760</v>
      </c>
      <c r="F11027">
        <v>235466.52</v>
      </c>
      <c r="G11027">
        <v>0</v>
      </c>
      <c r="H11027">
        <v>0</v>
      </c>
      <c r="I11027">
        <v>0</v>
      </c>
      <c r="J11027">
        <v>0</v>
      </c>
      <c r="K11027">
        <v>0</v>
      </c>
      <c r="L11027">
        <v>42500000</v>
      </c>
      <c r="M11027">
        <v>42500000</v>
      </c>
      <c r="N11027">
        <v>42500000</v>
      </c>
      <c r="O11027">
        <v>42500000</v>
      </c>
      <c r="P11027">
        <v>42500000</v>
      </c>
      <c r="Q11027">
        <v>42500000</v>
      </c>
      <c r="R11027" s="14">
        <f>_xlfn.XLOOKUP(Table2[[#This Row],[LoanID]],Table1[G-L ID],Table1[ManagerCode],-99)</f>
        <v>193</v>
      </c>
      <c r="T11027"/>
    </row>
    <row r="11028" spans="1:20" x14ac:dyDescent="0.25">
      <c r="A11028">
        <v>20200531</v>
      </c>
      <c r="B11028">
        <v>2020</v>
      </c>
      <c r="C11028">
        <v>5</v>
      </c>
      <c r="D11028">
        <v>1</v>
      </c>
      <c r="E11028">
        <v>15770</v>
      </c>
      <c r="F11028">
        <v>714722.22</v>
      </c>
      <c r="G11028">
        <v>0</v>
      </c>
      <c r="H11028">
        <v>0</v>
      </c>
      <c r="I11028">
        <v>0</v>
      </c>
      <c r="J11028">
        <v>0</v>
      </c>
      <c r="K11028">
        <v>0</v>
      </c>
      <c r="L11028">
        <v>100000000</v>
      </c>
      <c r="M11028">
        <v>100000000</v>
      </c>
      <c r="N11028">
        <v>100000000</v>
      </c>
      <c r="O11028">
        <v>100000000</v>
      </c>
      <c r="P11028">
        <v>100000000</v>
      </c>
      <c r="Q11028">
        <v>100000000</v>
      </c>
      <c r="R11028" s="14">
        <f>_xlfn.XLOOKUP(Table2[[#This Row],[LoanID]],Table1[G-L ID],Table1[ManagerCode],-99)</f>
        <v>193</v>
      </c>
      <c r="T11028"/>
    </row>
    <row r="11029" spans="1:20" x14ac:dyDescent="0.25">
      <c r="A11029">
        <v>20200531</v>
      </c>
      <c r="B11029">
        <v>2020</v>
      </c>
      <c r="C11029">
        <v>5</v>
      </c>
      <c r="D11029">
        <v>1</v>
      </c>
      <c r="E11029">
        <v>15780</v>
      </c>
      <c r="F11029">
        <v>114062.5</v>
      </c>
      <c r="G11029">
        <v>0</v>
      </c>
      <c r="H11029">
        <v>0</v>
      </c>
      <c r="I11029">
        <v>0</v>
      </c>
      <c r="J11029">
        <v>0</v>
      </c>
      <c r="K11029">
        <v>0</v>
      </c>
      <c r="L11029">
        <v>15000000</v>
      </c>
      <c r="M11029">
        <v>15000000</v>
      </c>
      <c r="N11029">
        <v>15000000</v>
      </c>
      <c r="O11029">
        <v>15000000</v>
      </c>
      <c r="P11029">
        <v>15000000</v>
      </c>
      <c r="Q11029">
        <v>15000000</v>
      </c>
      <c r="R11029" s="14">
        <f>_xlfn.XLOOKUP(Table2[[#This Row],[LoanID]],Table1[G-L ID],Table1[ManagerCode],-99)</f>
        <v>193</v>
      </c>
      <c r="T11029"/>
    </row>
    <row r="11030" spans="1:20" x14ac:dyDescent="0.25">
      <c r="A11030">
        <v>20200531</v>
      </c>
      <c r="B11030">
        <v>2020</v>
      </c>
      <c r="C11030">
        <v>5</v>
      </c>
      <c r="D11030">
        <v>1</v>
      </c>
      <c r="E11030">
        <v>15790</v>
      </c>
      <c r="F11030">
        <v>268258.08</v>
      </c>
      <c r="G11030">
        <v>0</v>
      </c>
      <c r="H11030">
        <v>0</v>
      </c>
      <c r="I11030">
        <v>0</v>
      </c>
      <c r="J11030">
        <v>0</v>
      </c>
      <c r="K11030">
        <v>0</v>
      </c>
      <c r="L11030">
        <v>50000000</v>
      </c>
      <c r="M11030">
        <v>50000000</v>
      </c>
      <c r="N11030">
        <v>50000000</v>
      </c>
      <c r="O11030">
        <v>50000000</v>
      </c>
      <c r="P11030">
        <v>50000000</v>
      </c>
      <c r="Q11030">
        <v>50000000</v>
      </c>
      <c r="R11030" s="14">
        <f>_xlfn.XLOOKUP(Table2[[#This Row],[LoanID]],Table1[G-L ID],Table1[ManagerCode],-99)</f>
        <v>193</v>
      </c>
      <c r="T11030"/>
    </row>
    <row r="11031" spans="1:20" x14ac:dyDescent="0.25">
      <c r="A11031">
        <v>20200531</v>
      </c>
      <c r="B11031">
        <v>2020</v>
      </c>
      <c r="C11031">
        <v>5</v>
      </c>
      <c r="D11031">
        <v>1</v>
      </c>
      <c r="E11031">
        <v>15800</v>
      </c>
      <c r="F11031">
        <v>407291.67</v>
      </c>
      <c r="G11031">
        <v>13576.39</v>
      </c>
      <c r="H11031">
        <v>0</v>
      </c>
      <c r="I11031">
        <v>-3541.67</v>
      </c>
      <c r="J11031">
        <v>0</v>
      </c>
      <c r="K11031">
        <v>0</v>
      </c>
      <c r="L11031">
        <v>85407291.670000002</v>
      </c>
      <c r="M11031">
        <v>85420868.060000002</v>
      </c>
      <c r="N11031">
        <v>85407291.670000002</v>
      </c>
      <c r="O11031">
        <v>85420868.060000002</v>
      </c>
      <c r="P11031">
        <v>85407291.670000002</v>
      </c>
      <c r="Q11031">
        <v>85420868.060000002</v>
      </c>
      <c r="R11031" s="14">
        <f>_xlfn.XLOOKUP(Table2[[#This Row],[LoanID]],Table1[G-L ID],Table1[ManagerCode],-99)</f>
        <v>212</v>
      </c>
      <c r="T11031"/>
    </row>
    <row r="11032" spans="1:20" x14ac:dyDescent="0.25">
      <c r="A11032">
        <v>20200531</v>
      </c>
      <c r="B11032">
        <v>2020</v>
      </c>
      <c r="C11032">
        <v>5</v>
      </c>
      <c r="D11032">
        <v>1</v>
      </c>
      <c r="E11032">
        <v>15810</v>
      </c>
      <c r="F11032">
        <v>164256.94</v>
      </c>
      <c r="G11032">
        <v>0</v>
      </c>
      <c r="H11032">
        <v>0</v>
      </c>
      <c r="I11032">
        <v>0</v>
      </c>
      <c r="J11032">
        <v>0</v>
      </c>
      <c r="K11032">
        <v>0</v>
      </c>
      <c r="L11032">
        <v>23062500</v>
      </c>
      <c r="M11032">
        <v>23062500</v>
      </c>
      <c r="N11032">
        <v>23062500</v>
      </c>
      <c r="O11032">
        <v>23062500</v>
      </c>
      <c r="P11032">
        <v>25000000</v>
      </c>
      <c r="Q11032">
        <v>25000000</v>
      </c>
      <c r="R11032" s="14">
        <f>_xlfn.XLOOKUP(Table2[[#This Row],[LoanID]],Table1[G-L ID],Table1[ManagerCode],-99)</f>
        <v>193</v>
      </c>
      <c r="T11032"/>
    </row>
    <row r="11033" spans="1:20" x14ac:dyDescent="0.25">
      <c r="A11033">
        <v>20200531</v>
      </c>
      <c r="B11033">
        <v>2020</v>
      </c>
      <c r="C11033">
        <v>5</v>
      </c>
      <c r="D11033">
        <v>1</v>
      </c>
      <c r="E11033">
        <v>15820</v>
      </c>
      <c r="F11033">
        <v>116964.33</v>
      </c>
      <c r="G11033">
        <v>0</v>
      </c>
      <c r="H11033">
        <v>0</v>
      </c>
      <c r="I11033">
        <v>0</v>
      </c>
      <c r="J11033">
        <v>0</v>
      </c>
      <c r="K11033">
        <v>0</v>
      </c>
      <c r="L11033">
        <v>22190745</v>
      </c>
      <c r="M11033">
        <v>22190745</v>
      </c>
      <c r="N11033">
        <v>22190745</v>
      </c>
      <c r="O11033">
        <v>22190745</v>
      </c>
      <c r="P11033">
        <v>22190745</v>
      </c>
      <c r="Q11033">
        <v>22190745</v>
      </c>
      <c r="R11033" s="14">
        <f>_xlfn.XLOOKUP(Table2[[#This Row],[LoanID]],Table1[G-L ID],Table1[ManagerCode],-99)</f>
        <v>193</v>
      </c>
      <c r="T11033"/>
    </row>
    <row r="11034" spans="1:20" x14ac:dyDescent="0.25">
      <c r="A11034">
        <v>20200531</v>
      </c>
      <c r="B11034">
        <v>2020</v>
      </c>
      <c r="C11034">
        <v>5</v>
      </c>
      <c r="D11034">
        <v>1</v>
      </c>
      <c r="E11034">
        <v>15830</v>
      </c>
      <c r="F11034">
        <v>529786.03</v>
      </c>
      <c r="G11034">
        <v>0</v>
      </c>
      <c r="H11034">
        <v>0</v>
      </c>
      <c r="I11034">
        <v>0</v>
      </c>
      <c r="J11034">
        <v>0</v>
      </c>
      <c r="K11034">
        <v>0</v>
      </c>
      <c r="L11034">
        <v>82815011</v>
      </c>
      <c r="M11034">
        <v>82815011</v>
      </c>
      <c r="N11034">
        <v>82815011</v>
      </c>
      <c r="O11034">
        <v>82815011</v>
      </c>
      <c r="P11034">
        <v>82815011</v>
      </c>
      <c r="Q11034">
        <v>82815011</v>
      </c>
      <c r="R11034" s="14">
        <f>_xlfn.XLOOKUP(Table2[[#This Row],[LoanID]],Table1[G-L ID],Table1[ManagerCode],-99)</f>
        <v>183</v>
      </c>
      <c r="T11034"/>
    </row>
    <row r="11035" spans="1:20" x14ac:dyDescent="0.25">
      <c r="A11035">
        <v>20200531</v>
      </c>
      <c r="B11035">
        <v>2020</v>
      </c>
      <c r="C11035">
        <v>5</v>
      </c>
      <c r="D11035">
        <v>1</v>
      </c>
      <c r="E11035">
        <v>15840</v>
      </c>
      <c r="F11035">
        <v>536796.41</v>
      </c>
      <c r="G11035">
        <v>0</v>
      </c>
      <c r="H11035">
        <v>0</v>
      </c>
      <c r="I11035">
        <v>0</v>
      </c>
      <c r="J11035">
        <v>-536796.41</v>
      </c>
      <c r="K11035">
        <v>0</v>
      </c>
      <c r="L11035">
        <v>123559276</v>
      </c>
      <c r="M11035">
        <v>124096072.40000001</v>
      </c>
      <c r="N11035">
        <v>123559276</v>
      </c>
      <c r="O11035">
        <v>124096072.40000001</v>
      </c>
      <c r="P11035">
        <v>123559276</v>
      </c>
      <c r="Q11035">
        <v>124096072.40000001</v>
      </c>
      <c r="R11035" s="14">
        <f>_xlfn.XLOOKUP(Table2[[#This Row],[LoanID]],Table1[G-L ID],Table1[ManagerCode],-99)</f>
        <v>183</v>
      </c>
      <c r="T11035"/>
    </row>
    <row r="11036" spans="1:20" x14ac:dyDescent="0.25">
      <c r="A11036">
        <v>20200630</v>
      </c>
      <c r="B11036">
        <v>2020</v>
      </c>
      <c r="C11036">
        <v>6</v>
      </c>
      <c r="D11036">
        <v>1</v>
      </c>
      <c r="E11036">
        <v>10050</v>
      </c>
      <c r="F11036">
        <v>153981.01999999999</v>
      </c>
      <c r="G11036">
        <v>0</v>
      </c>
      <c r="H11036">
        <v>0</v>
      </c>
      <c r="I11036">
        <v>-69.44</v>
      </c>
      <c r="J11036">
        <v>0</v>
      </c>
      <c r="K11036">
        <v>0</v>
      </c>
      <c r="L11036">
        <v>36569276</v>
      </c>
      <c r="M11036">
        <v>36928713</v>
      </c>
      <c r="N11036">
        <v>36569276</v>
      </c>
      <c r="O11036">
        <v>36928713</v>
      </c>
      <c r="P11036">
        <v>33333334</v>
      </c>
      <c r="Q11036">
        <v>33333334</v>
      </c>
      <c r="R11036" s="14">
        <f>_xlfn.XLOOKUP(Table2[[#This Row],[LoanID]],Table1[G-L ID],Table1[ManagerCode],-99)</f>
        <v>103</v>
      </c>
      <c r="T11036"/>
    </row>
    <row r="11037" spans="1:20" x14ac:dyDescent="0.25">
      <c r="A11037">
        <v>20200630</v>
      </c>
      <c r="B11037">
        <v>2020</v>
      </c>
      <c r="C11037">
        <v>6</v>
      </c>
      <c r="D11037">
        <v>1</v>
      </c>
      <c r="E11037">
        <v>10220</v>
      </c>
      <c r="F11037">
        <v>559722.22</v>
      </c>
      <c r="G11037">
        <v>0</v>
      </c>
      <c r="H11037">
        <v>0</v>
      </c>
      <c r="I11037">
        <v>0</v>
      </c>
      <c r="J11037">
        <v>0</v>
      </c>
      <c r="K11037">
        <v>0</v>
      </c>
      <c r="L11037">
        <v>106954154</v>
      </c>
      <c r="M11037">
        <v>107172457</v>
      </c>
      <c r="N11037">
        <v>106954154</v>
      </c>
      <c r="O11037">
        <v>107172457</v>
      </c>
      <c r="P11037">
        <v>100000000</v>
      </c>
      <c r="Q11037">
        <v>100000000</v>
      </c>
      <c r="R11037" s="14">
        <f>_xlfn.XLOOKUP(Table2[[#This Row],[LoanID]],Table1[G-L ID],Table1[ManagerCode],-99)</f>
        <v>103</v>
      </c>
      <c r="T11037"/>
    </row>
    <row r="11038" spans="1:20" x14ac:dyDescent="0.25">
      <c r="A11038">
        <v>20200630</v>
      </c>
      <c r="B11038">
        <v>2020</v>
      </c>
      <c r="C11038">
        <v>6</v>
      </c>
      <c r="D11038">
        <v>1</v>
      </c>
      <c r="E11038">
        <v>11680</v>
      </c>
      <c r="F11038">
        <v>150977.34</v>
      </c>
      <c r="G11038">
        <v>-100651.56</v>
      </c>
      <c r="H11038">
        <v>0</v>
      </c>
      <c r="I11038">
        <v>0</v>
      </c>
      <c r="J11038">
        <v>0</v>
      </c>
      <c r="K11038">
        <v>0</v>
      </c>
      <c r="L11038">
        <v>6700651.5599999996</v>
      </c>
      <c r="M11038">
        <v>6600000</v>
      </c>
      <c r="N11038">
        <v>6700651.5599999996</v>
      </c>
      <c r="O11038">
        <v>6600000</v>
      </c>
      <c r="P11038">
        <v>6700651.5599999996</v>
      </c>
      <c r="Q11038">
        <v>6600000</v>
      </c>
      <c r="R11038" s="14">
        <f>_xlfn.XLOOKUP(Table2[[#This Row],[LoanID]],Table1[G-L ID],Table1[ManagerCode],-99)</f>
        <v>183</v>
      </c>
      <c r="T11038"/>
    </row>
    <row r="11039" spans="1:20" x14ac:dyDescent="0.25">
      <c r="A11039">
        <v>20200630</v>
      </c>
      <c r="B11039">
        <v>2020</v>
      </c>
      <c r="C11039">
        <v>6</v>
      </c>
      <c r="D11039">
        <v>1</v>
      </c>
      <c r="E11039">
        <v>12340</v>
      </c>
      <c r="F11039">
        <v>76892.429999999993</v>
      </c>
      <c r="G11039">
        <v>0</v>
      </c>
      <c r="H11039">
        <v>0</v>
      </c>
      <c r="I11039">
        <v>0</v>
      </c>
      <c r="J11039">
        <v>0</v>
      </c>
      <c r="K11039">
        <v>0</v>
      </c>
      <c r="L11039">
        <v>24180000</v>
      </c>
      <c r="M11039">
        <v>24180000</v>
      </c>
      <c r="N11039">
        <v>12180000</v>
      </c>
      <c r="O11039">
        <v>12180000</v>
      </c>
      <c r="P11039">
        <v>24180000</v>
      </c>
      <c r="Q11039">
        <v>24180000</v>
      </c>
      <c r="R11039" s="14">
        <f>_xlfn.XLOOKUP(Table2[[#This Row],[LoanID]],Table1[G-L ID],Table1[ManagerCode],-99)</f>
        <v>183</v>
      </c>
      <c r="T11039"/>
    </row>
    <row r="11040" spans="1:20" x14ac:dyDescent="0.25">
      <c r="A11040">
        <v>20200630</v>
      </c>
      <c r="B11040">
        <v>2020</v>
      </c>
      <c r="C11040">
        <v>6</v>
      </c>
      <c r="D11040">
        <v>1</v>
      </c>
      <c r="E11040">
        <v>12350</v>
      </c>
      <c r="F11040">
        <v>270991.21000000002</v>
      </c>
      <c r="G11040">
        <v>0</v>
      </c>
      <c r="H11040">
        <v>0</v>
      </c>
      <c r="I11040">
        <v>0</v>
      </c>
      <c r="J11040">
        <v>0</v>
      </c>
      <c r="K11040">
        <v>0</v>
      </c>
      <c r="L11040">
        <v>78700000</v>
      </c>
      <c r="M11040">
        <v>78700000</v>
      </c>
      <c r="N11040">
        <v>40914236.340000004</v>
      </c>
      <c r="O11040">
        <v>40914236.340000004</v>
      </c>
      <c r="P11040">
        <v>78700000</v>
      </c>
      <c r="Q11040">
        <v>78700000</v>
      </c>
      <c r="R11040" s="14">
        <f>_xlfn.XLOOKUP(Table2[[#This Row],[LoanID]],Table1[G-L ID],Table1[ManagerCode],-99)</f>
        <v>183</v>
      </c>
      <c r="T11040"/>
    </row>
    <row r="11041" spans="1:20" x14ac:dyDescent="0.25">
      <c r="A11041">
        <v>20200630</v>
      </c>
      <c r="B11041">
        <v>2020</v>
      </c>
      <c r="C11041">
        <v>6</v>
      </c>
      <c r="D11041">
        <v>1</v>
      </c>
      <c r="E11041">
        <v>12370</v>
      </c>
      <c r="F11041">
        <v>319146.77</v>
      </c>
      <c r="G11041">
        <v>0</v>
      </c>
      <c r="H11041">
        <v>0</v>
      </c>
      <c r="I11041">
        <v>0</v>
      </c>
      <c r="J11041">
        <v>0</v>
      </c>
      <c r="K11041">
        <v>0</v>
      </c>
      <c r="L11041">
        <v>81600000</v>
      </c>
      <c r="M11041">
        <v>81600000</v>
      </c>
      <c r="N11041">
        <v>51303137.549999997</v>
      </c>
      <c r="O11041">
        <v>51303137.549999997</v>
      </c>
      <c r="P11041">
        <v>81600000</v>
      </c>
      <c r="Q11041">
        <v>81600000</v>
      </c>
      <c r="R11041" s="14">
        <f>_xlfn.XLOOKUP(Table2[[#This Row],[LoanID]],Table1[G-L ID],Table1[ManagerCode],-99)</f>
        <v>183</v>
      </c>
      <c r="T11041"/>
    </row>
    <row r="11042" spans="1:20" x14ac:dyDescent="0.25">
      <c r="A11042">
        <v>20200630</v>
      </c>
      <c r="B11042">
        <v>2020</v>
      </c>
      <c r="C11042">
        <v>6</v>
      </c>
      <c r="D11042">
        <v>1</v>
      </c>
      <c r="E11042">
        <v>12390</v>
      </c>
      <c r="F11042">
        <v>1133764.07</v>
      </c>
      <c r="G11042">
        <v>659376.74</v>
      </c>
      <c r="H11042">
        <v>0</v>
      </c>
      <c r="I11042">
        <v>0</v>
      </c>
      <c r="J11042">
        <v>-6919628.5599999996</v>
      </c>
      <c r="K11042">
        <v>0</v>
      </c>
      <c r="L11042">
        <v>172477179.59999999</v>
      </c>
      <c r="M11042">
        <v>180056184.90000001</v>
      </c>
      <c r="N11042">
        <v>172477179.59999999</v>
      </c>
      <c r="O11042">
        <v>180056184.90000001</v>
      </c>
      <c r="P11042">
        <v>172477179.59999999</v>
      </c>
      <c r="Q11042">
        <v>180056184.90000001</v>
      </c>
      <c r="R11042" s="14">
        <f>_xlfn.XLOOKUP(Table2[[#This Row],[LoanID]],Table1[G-L ID],Table1[ManagerCode],-99)</f>
        <v>183</v>
      </c>
      <c r="T11042"/>
    </row>
    <row r="11043" spans="1:20" x14ac:dyDescent="0.25">
      <c r="A11043">
        <v>20200630</v>
      </c>
      <c r="B11043">
        <v>2020</v>
      </c>
      <c r="C11043">
        <v>6</v>
      </c>
      <c r="D11043">
        <v>1</v>
      </c>
      <c r="E11043">
        <v>12400</v>
      </c>
      <c r="F11043">
        <v>313362.90999999997</v>
      </c>
      <c r="G11043">
        <v>143012.68</v>
      </c>
      <c r="H11043">
        <v>0</v>
      </c>
      <c r="I11043">
        <v>0</v>
      </c>
      <c r="J11043">
        <v>-79500.350000000006</v>
      </c>
      <c r="K11043">
        <v>0</v>
      </c>
      <c r="L11043">
        <v>67308931.319999993</v>
      </c>
      <c r="M11043">
        <v>67531444.349999994</v>
      </c>
      <c r="N11043">
        <v>67308931.319999993</v>
      </c>
      <c r="O11043">
        <v>67531444.349999994</v>
      </c>
      <c r="P11043">
        <v>67308931.319999993</v>
      </c>
      <c r="Q11043">
        <v>67531444.349999994</v>
      </c>
      <c r="R11043" s="14">
        <f>_xlfn.XLOOKUP(Table2[[#This Row],[LoanID]],Table1[G-L ID],Table1[ManagerCode],-99)</f>
        <v>183</v>
      </c>
      <c r="T11043"/>
    </row>
    <row r="11044" spans="1:20" x14ac:dyDescent="0.25">
      <c r="A11044">
        <v>20200630</v>
      </c>
      <c r="B11044">
        <v>2020</v>
      </c>
      <c r="C11044">
        <v>6</v>
      </c>
      <c r="D11044">
        <v>1</v>
      </c>
      <c r="E11044">
        <v>12410</v>
      </c>
      <c r="F11044">
        <v>250000</v>
      </c>
      <c r="G11044">
        <v>125000</v>
      </c>
      <c r="H11044">
        <v>0</v>
      </c>
      <c r="I11044">
        <v>0</v>
      </c>
      <c r="J11044">
        <v>0</v>
      </c>
      <c r="K11044">
        <v>0</v>
      </c>
      <c r="L11044">
        <v>69535399.099999994</v>
      </c>
      <c r="M11044">
        <v>69467439.730000004</v>
      </c>
      <c r="N11044">
        <v>69535399.099999994</v>
      </c>
      <c r="O11044">
        <v>69467439.730000004</v>
      </c>
      <c r="P11044">
        <v>67129789.659999996</v>
      </c>
      <c r="Q11044">
        <v>67254789.659999996</v>
      </c>
      <c r="R11044" s="14">
        <f>_xlfn.XLOOKUP(Table2[[#This Row],[LoanID]],Table1[G-L ID],Table1[ManagerCode],-99)</f>
        <v>103</v>
      </c>
      <c r="T11044"/>
    </row>
    <row r="11045" spans="1:20" x14ac:dyDescent="0.25">
      <c r="A11045">
        <v>20200630</v>
      </c>
      <c r="B11045">
        <v>2020</v>
      </c>
      <c r="C11045">
        <v>6</v>
      </c>
      <c r="D11045">
        <v>1</v>
      </c>
      <c r="E11045">
        <v>12430</v>
      </c>
      <c r="F11045">
        <v>97073.32</v>
      </c>
      <c r="G11045">
        <v>0</v>
      </c>
      <c r="H11045">
        <v>0</v>
      </c>
      <c r="I11045">
        <v>0</v>
      </c>
      <c r="J11045">
        <v>-97073.32</v>
      </c>
      <c r="K11045">
        <v>29219068.98</v>
      </c>
      <c r="L11045">
        <v>27665895</v>
      </c>
      <c r="M11045">
        <v>0</v>
      </c>
      <c r="N11045">
        <v>27665895</v>
      </c>
      <c r="O11045">
        <v>0</v>
      </c>
      <c r="P11045">
        <v>29260106.440000001</v>
      </c>
      <c r="Q11045">
        <v>0</v>
      </c>
      <c r="R11045" s="14">
        <f>_xlfn.XLOOKUP(Table2[[#This Row],[LoanID]],Table1[G-L ID],Table1[ManagerCode],-99)</f>
        <v>103</v>
      </c>
      <c r="T11045"/>
    </row>
    <row r="11046" spans="1:20" x14ac:dyDescent="0.25">
      <c r="A11046">
        <v>20200630</v>
      </c>
      <c r="B11046">
        <v>2020</v>
      </c>
      <c r="C11046">
        <v>6</v>
      </c>
      <c r="D11046">
        <v>1</v>
      </c>
      <c r="E11046">
        <v>12440</v>
      </c>
      <c r="F11046">
        <v>21530.2</v>
      </c>
      <c r="G11046">
        <v>0</v>
      </c>
      <c r="H11046">
        <v>0</v>
      </c>
      <c r="I11046">
        <v>0</v>
      </c>
      <c r="J11046">
        <v>0</v>
      </c>
      <c r="K11046">
        <v>61836.07</v>
      </c>
      <c r="L11046">
        <v>2828081</v>
      </c>
      <c r="M11046">
        <v>2751070</v>
      </c>
      <c r="N11046">
        <v>2828081</v>
      </c>
      <c r="O11046">
        <v>2751070</v>
      </c>
      <c r="P11046">
        <v>2583623.73</v>
      </c>
      <c r="Q11046">
        <v>2521787.66</v>
      </c>
      <c r="R11046" s="14">
        <f>_xlfn.XLOOKUP(Table2[[#This Row],[LoanID]],Table1[G-L ID],Table1[ManagerCode],-99)</f>
        <v>103</v>
      </c>
      <c r="T11046"/>
    </row>
    <row r="11047" spans="1:20" x14ac:dyDescent="0.25">
      <c r="A11047">
        <v>20200630</v>
      </c>
      <c r="B11047">
        <v>2020</v>
      </c>
      <c r="C11047">
        <v>6</v>
      </c>
      <c r="D11047">
        <v>1</v>
      </c>
      <c r="E11047">
        <v>12460</v>
      </c>
      <c r="F11047">
        <v>49187.839999999997</v>
      </c>
      <c r="G11047">
        <v>49433.79</v>
      </c>
      <c r="H11047">
        <v>0</v>
      </c>
      <c r="I11047">
        <v>0</v>
      </c>
      <c r="J11047">
        <v>0</v>
      </c>
      <c r="K11047">
        <v>0</v>
      </c>
      <c r="L11047">
        <v>9886756.7300000004</v>
      </c>
      <c r="M11047">
        <v>9936190.5199999996</v>
      </c>
      <c r="N11047">
        <v>9886756.7300000004</v>
      </c>
      <c r="O11047">
        <v>9936190.5199999996</v>
      </c>
      <c r="P11047">
        <v>9886756.7300000004</v>
      </c>
      <c r="Q11047">
        <v>9936190.5199999996</v>
      </c>
      <c r="R11047" s="14">
        <f>_xlfn.XLOOKUP(Table2[[#This Row],[LoanID]],Table1[G-L ID],Table1[ManagerCode],-99)</f>
        <v>183</v>
      </c>
      <c r="T11047"/>
    </row>
    <row r="11048" spans="1:20" x14ac:dyDescent="0.25">
      <c r="A11048">
        <v>20200630</v>
      </c>
      <c r="B11048">
        <v>2020</v>
      </c>
      <c r="C11048">
        <v>6</v>
      </c>
      <c r="D11048">
        <v>1</v>
      </c>
      <c r="E11048">
        <v>12470</v>
      </c>
      <c r="F11048">
        <v>318971.67</v>
      </c>
      <c r="G11048">
        <v>0</v>
      </c>
      <c r="H11048">
        <v>0</v>
      </c>
      <c r="I11048">
        <v>0</v>
      </c>
      <c r="J11048">
        <v>0</v>
      </c>
      <c r="K11048">
        <v>0</v>
      </c>
      <c r="L11048">
        <v>112213002</v>
      </c>
      <c r="M11048">
        <v>112213002</v>
      </c>
      <c r="N11048">
        <v>43213002</v>
      </c>
      <c r="O11048">
        <v>43213002</v>
      </c>
      <c r="P11048">
        <v>115000000</v>
      </c>
      <c r="Q11048">
        <v>115000000</v>
      </c>
      <c r="R11048" s="14">
        <f>_xlfn.XLOOKUP(Table2[[#This Row],[LoanID]],Table1[G-L ID],Table1[ManagerCode],-99)</f>
        <v>183</v>
      </c>
      <c r="T11048"/>
    </row>
    <row r="11049" spans="1:20" x14ac:dyDescent="0.25">
      <c r="A11049">
        <v>20200630</v>
      </c>
      <c r="B11049">
        <v>2020</v>
      </c>
      <c r="C11049">
        <v>6</v>
      </c>
      <c r="D11049">
        <v>1</v>
      </c>
      <c r="E11049">
        <v>12490</v>
      </c>
      <c r="F11049">
        <v>136913.87</v>
      </c>
      <c r="G11049">
        <v>0</v>
      </c>
      <c r="H11049">
        <v>0</v>
      </c>
      <c r="I11049">
        <v>0</v>
      </c>
      <c r="J11049">
        <v>0</v>
      </c>
      <c r="K11049">
        <v>0</v>
      </c>
      <c r="L11049">
        <v>50200000</v>
      </c>
      <c r="M11049">
        <v>50154624.520000003</v>
      </c>
      <c r="N11049">
        <v>19600000</v>
      </c>
      <c r="O11049">
        <v>19554624.52</v>
      </c>
      <c r="P11049">
        <v>50200000</v>
      </c>
      <c r="Q11049">
        <v>50200000</v>
      </c>
      <c r="R11049" s="14">
        <f>_xlfn.XLOOKUP(Table2[[#This Row],[LoanID]],Table1[G-L ID],Table1[ManagerCode],-99)</f>
        <v>183</v>
      </c>
      <c r="T11049"/>
    </row>
    <row r="11050" spans="1:20" x14ac:dyDescent="0.25">
      <c r="A11050">
        <v>20200630</v>
      </c>
      <c r="B11050">
        <v>2020</v>
      </c>
      <c r="C11050">
        <v>6</v>
      </c>
      <c r="D11050">
        <v>1</v>
      </c>
      <c r="E11050">
        <v>12520</v>
      </c>
      <c r="F11050">
        <v>198756.43</v>
      </c>
      <c r="G11050">
        <v>0</v>
      </c>
      <c r="H11050">
        <v>0</v>
      </c>
      <c r="I11050">
        <v>0</v>
      </c>
      <c r="J11050">
        <v>-382098</v>
      </c>
      <c r="K11050">
        <v>0</v>
      </c>
      <c r="L11050">
        <v>49449376.439999998</v>
      </c>
      <c r="M11050">
        <v>49449376.439999998</v>
      </c>
      <c r="N11050">
        <v>24699376.440000001</v>
      </c>
      <c r="O11050">
        <v>24699376.440000001</v>
      </c>
      <c r="P11050">
        <v>49098284.869999997</v>
      </c>
      <c r="Q11050">
        <v>49480382.869999997</v>
      </c>
      <c r="R11050" s="14">
        <f>_xlfn.XLOOKUP(Table2[[#This Row],[LoanID]],Table1[G-L ID],Table1[ManagerCode],-99)</f>
        <v>183</v>
      </c>
      <c r="T11050"/>
    </row>
    <row r="11051" spans="1:20" x14ac:dyDescent="0.25">
      <c r="A11051">
        <v>20200630</v>
      </c>
      <c r="B11051">
        <v>2020</v>
      </c>
      <c r="C11051">
        <v>6</v>
      </c>
      <c r="D11051">
        <v>1</v>
      </c>
      <c r="E11051">
        <v>12650</v>
      </c>
      <c r="F11051">
        <v>284167.34999999998</v>
      </c>
      <c r="G11051">
        <v>0</v>
      </c>
      <c r="H11051">
        <v>0</v>
      </c>
      <c r="I11051">
        <v>0</v>
      </c>
      <c r="J11051">
        <v>0</v>
      </c>
      <c r="K11051">
        <v>0</v>
      </c>
      <c r="L11051">
        <v>123193646.09999999</v>
      </c>
      <c r="M11051">
        <v>123193646.09999999</v>
      </c>
      <c r="N11051">
        <v>49273646.100000001</v>
      </c>
      <c r="O11051">
        <v>49273646.100000001</v>
      </c>
      <c r="P11051">
        <v>123200000</v>
      </c>
      <c r="Q11051">
        <v>123200000</v>
      </c>
      <c r="R11051" s="14">
        <f>_xlfn.XLOOKUP(Table2[[#This Row],[LoanID]],Table1[G-L ID],Table1[ManagerCode],-99)</f>
        <v>183</v>
      </c>
      <c r="T11051"/>
    </row>
    <row r="11052" spans="1:20" x14ac:dyDescent="0.25">
      <c r="A11052">
        <v>20200630</v>
      </c>
      <c r="B11052">
        <v>2020</v>
      </c>
      <c r="C11052">
        <v>6</v>
      </c>
      <c r="D11052">
        <v>1</v>
      </c>
      <c r="E11052">
        <v>12670</v>
      </c>
      <c r="F11052">
        <v>78714.17</v>
      </c>
      <c r="G11052">
        <v>0</v>
      </c>
      <c r="H11052">
        <v>0</v>
      </c>
      <c r="I11052">
        <v>0</v>
      </c>
      <c r="J11052">
        <v>0</v>
      </c>
      <c r="K11052">
        <v>0</v>
      </c>
      <c r="L11052">
        <v>15560412.1</v>
      </c>
      <c r="M11052">
        <v>15560412.1</v>
      </c>
      <c r="N11052">
        <v>15560412.1</v>
      </c>
      <c r="O11052">
        <v>15560412.1</v>
      </c>
      <c r="P11052">
        <v>15500000</v>
      </c>
      <c r="Q11052">
        <v>15500000</v>
      </c>
      <c r="R11052" s="14">
        <f>_xlfn.XLOOKUP(Table2[[#This Row],[LoanID]],Table1[G-L ID],Table1[ManagerCode],-99)</f>
        <v>183</v>
      </c>
      <c r="T11052"/>
    </row>
    <row r="11053" spans="1:20" x14ac:dyDescent="0.25">
      <c r="A11053">
        <v>20200630</v>
      </c>
      <c r="B11053">
        <v>2020</v>
      </c>
      <c r="C11053">
        <v>6</v>
      </c>
      <c r="D11053">
        <v>1</v>
      </c>
      <c r="E11053">
        <v>12720</v>
      </c>
      <c r="F11053">
        <v>540452.67000000004</v>
      </c>
      <c r="G11053">
        <v>0</v>
      </c>
      <c r="H11053">
        <v>0</v>
      </c>
      <c r="I11053">
        <v>0</v>
      </c>
      <c r="J11053">
        <v>-1888978.29</v>
      </c>
      <c r="K11053">
        <v>0</v>
      </c>
      <c r="L11053">
        <v>210366768.59999999</v>
      </c>
      <c r="M11053">
        <v>211185806.30000001</v>
      </c>
      <c r="N11053">
        <v>108485768.59999999</v>
      </c>
      <c r="O11053">
        <v>109304806.3</v>
      </c>
      <c r="P11053">
        <v>210366768.59999999</v>
      </c>
      <c r="Q11053">
        <v>212255746.90000001</v>
      </c>
      <c r="R11053" s="14">
        <f>_xlfn.XLOOKUP(Table2[[#This Row],[LoanID]],Table1[G-L ID],Table1[ManagerCode],-99)</f>
        <v>183</v>
      </c>
      <c r="T11053"/>
    </row>
    <row r="11054" spans="1:20" x14ac:dyDescent="0.25">
      <c r="A11054">
        <v>20200630</v>
      </c>
      <c r="B11054">
        <v>2020</v>
      </c>
      <c r="C11054">
        <v>6</v>
      </c>
      <c r="D11054">
        <v>1</v>
      </c>
      <c r="E11054">
        <v>12730</v>
      </c>
      <c r="F11054">
        <v>112070.32</v>
      </c>
      <c r="G11054">
        <v>0</v>
      </c>
      <c r="H11054">
        <v>0</v>
      </c>
      <c r="I11054">
        <v>0</v>
      </c>
      <c r="J11054">
        <v>0</v>
      </c>
      <c r="K11054">
        <v>0</v>
      </c>
      <c r="L11054">
        <v>38460000</v>
      </c>
      <c r="M11054">
        <v>38460000</v>
      </c>
      <c r="N11054">
        <v>13460000</v>
      </c>
      <c r="O11054">
        <v>13460000</v>
      </c>
      <c r="P11054">
        <v>38460000</v>
      </c>
      <c r="Q11054">
        <v>38460000</v>
      </c>
      <c r="R11054" s="14">
        <f>_xlfn.XLOOKUP(Table2[[#This Row],[LoanID]],Table1[G-L ID],Table1[ManagerCode],-99)</f>
        <v>183</v>
      </c>
      <c r="T11054"/>
    </row>
    <row r="11055" spans="1:20" x14ac:dyDescent="0.25">
      <c r="A11055">
        <v>20200630</v>
      </c>
      <c r="B11055">
        <v>2020</v>
      </c>
      <c r="C11055">
        <v>6</v>
      </c>
      <c r="D11055">
        <v>1</v>
      </c>
      <c r="E11055">
        <v>12740</v>
      </c>
      <c r="F11055">
        <v>173563.65</v>
      </c>
      <c r="G11055">
        <v>80089.25</v>
      </c>
      <c r="H11055">
        <v>0</v>
      </c>
      <c r="I11055">
        <v>0</v>
      </c>
      <c r="J11055">
        <v>-173563.65</v>
      </c>
      <c r="K11055">
        <v>0</v>
      </c>
      <c r="L11055">
        <v>35510433.969999999</v>
      </c>
      <c r="M11055">
        <v>35764086.869999997</v>
      </c>
      <c r="N11055">
        <v>35510433.969999999</v>
      </c>
      <c r="O11055">
        <v>35764086.869999997</v>
      </c>
      <c r="P11055">
        <v>35510433.969999999</v>
      </c>
      <c r="Q11055">
        <v>35764086.869999997</v>
      </c>
      <c r="R11055" s="14">
        <f>_xlfn.XLOOKUP(Table2[[#This Row],[LoanID]],Table1[G-L ID],Table1[ManagerCode],-99)</f>
        <v>183</v>
      </c>
      <c r="T11055"/>
    </row>
    <row r="11056" spans="1:20" x14ac:dyDescent="0.25">
      <c r="A11056">
        <v>20200630</v>
      </c>
      <c r="B11056">
        <v>2020</v>
      </c>
      <c r="C11056">
        <v>6</v>
      </c>
      <c r="D11056">
        <v>1</v>
      </c>
      <c r="E11056">
        <v>13000</v>
      </c>
      <c r="F11056">
        <v>172569.27</v>
      </c>
      <c r="G11056">
        <v>0</v>
      </c>
      <c r="H11056">
        <v>0</v>
      </c>
      <c r="I11056">
        <v>0</v>
      </c>
      <c r="J11056">
        <v>0</v>
      </c>
      <c r="K11056">
        <v>0</v>
      </c>
      <c r="L11056">
        <v>48569082</v>
      </c>
      <c r="M11056">
        <v>49182238</v>
      </c>
      <c r="N11056">
        <v>48569082</v>
      </c>
      <c r="O11056">
        <v>49182238</v>
      </c>
      <c r="P11056">
        <v>51770780.119999997</v>
      </c>
      <c r="Q11056">
        <v>51770780.119999997</v>
      </c>
      <c r="R11056" s="14">
        <f>_xlfn.XLOOKUP(Table2[[#This Row],[LoanID]],Table1[G-L ID],Table1[ManagerCode],-99)</f>
        <v>103</v>
      </c>
      <c r="T11056"/>
    </row>
    <row r="11057" spans="1:20" x14ac:dyDescent="0.25">
      <c r="A11057">
        <v>20200630</v>
      </c>
      <c r="B11057">
        <v>2020</v>
      </c>
      <c r="C11057">
        <v>6</v>
      </c>
      <c r="D11057">
        <v>1</v>
      </c>
      <c r="E11057">
        <v>13010</v>
      </c>
      <c r="F11057">
        <v>1050000</v>
      </c>
      <c r="G11057">
        <v>350000</v>
      </c>
      <c r="H11057">
        <v>0</v>
      </c>
      <c r="I11057">
        <v>0</v>
      </c>
      <c r="J11057">
        <v>0</v>
      </c>
      <c r="K11057">
        <v>0</v>
      </c>
      <c r="L11057">
        <v>201637281.09999999</v>
      </c>
      <c r="M11057">
        <v>203490000</v>
      </c>
      <c r="N11057">
        <v>201637281.09999999</v>
      </c>
      <c r="O11057">
        <v>203490000</v>
      </c>
      <c r="P11057">
        <v>213850000</v>
      </c>
      <c r="Q11057">
        <v>214200000</v>
      </c>
      <c r="R11057" s="14">
        <f>_xlfn.XLOOKUP(Table2[[#This Row],[LoanID]],Table1[G-L ID],Table1[ManagerCode],-99)</f>
        <v>103</v>
      </c>
      <c r="T11057"/>
    </row>
    <row r="11058" spans="1:20" x14ac:dyDescent="0.25">
      <c r="A11058">
        <v>20200630</v>
      </c>
      <c r="B11058">
        <v>2020</v>
      </c>
      <c r="C11058">
        <v>6</v>
      </c>
      <c r="D11058">
        <v>1</v>
      </c>
      <c r="E11058">
        <v>13030</v>
      </c>
      <c r="F11058">
        <v>362123.52000000002</v>
      </c>
      <c r="G11058">
        <v>0</v>
      </c>
      <c r="H11058">
        <v>0</v>
      </c>
      <c r="I11058">
        <v>0</v>
      </c>
      <c r="J11058">
        <v>-1073926.06</v>
      </c>
      <c r="K11058">
        <v>0</v>
      </c>
      <c r="L11058">
        <v>116593371.3</v>
      </c>
      <c r="M11058">
        <v>117576634.90000001</v>
      </c>
      <c r="N11058">
        <v>53869947.299999997</v>
      </c>
      <c r="O11058">
        <v>54853210.899999999</v>
      </c>
      <c r="P11058">
        <v>116660670.3</v>
      </c>
      <c r="Q11058">
        <v>117734596.40000001</v>
      </c>
      <c r="R11058" s="14">
        <f>_xlfn.XLOOKUP(Table2[[#This Row],[LoanID]],Table1[G-L ID],Table1[ManagerCode],-99)</f>
        <v>183</v>
      </c>
      <c r="T11058"/>
    </row>
    <row r="11059" spans="1:20" x14ac:dyDescent="0.25">
      <c r="A11059">
        <v>20200630</v>
      </c>
      <c r="B11059">
        <v>2020</v>
      </c>
      <c r="C11059">
        <v>6</v>
      </c>
      <c r="D11059">
        <v>1</v>
      </c>
      <c r="E11059">
        <v>13040</v>
      </c>
      <c r="F11059">
        <v>113789.56</v>
      </c>
      <c r="G11059">
        <v>0</v>
      </c>
      <c r="H11059">
        <v>0</v>
      </c>
      <c r="I11059">
        <v>0</v>
      </c>
      <c r="J11059">
        <v>-195023.99</v>
      </c>
      <c r="K11059">
        <v>0</v>
      </c>
      <c r="L11059">
        <v>36948852.799999997</v>
      </c>
      <c r="M11059">
        <v>37143876.789999999</v>
      </c>
      <c r="N11059">
        <v>16776465.800000001</v>
      </c>
      <c r="O11059">
        <v>16971489.789999999</v>
      </c>
      <c r="P11059">
        <v>36948852.799999997</v>
      </c>
      <c r="Q11059">
        <v>37143876.789999999</v>
      </c>
      <c r="R11059" s="14">
        <f>_xlfn.XLOOKUP(Table2[[#This Row],[LoanID]],Table1[G-L ID],Table1[ManagerCode],-99)</f>
        <v>183</v>
      </c>
      <c r="T11059"/>
    </row>
    <row r="11060" spans="1:20" x14ac:dyDescent="0.25">
      <c r="A11060">
        <v>20200630</v>
      </c>
      <c r="B11060">
        <v>2020</v>
      </c>
      <c r="C11060">
        <v>6</v>
      </c>
      <c r="D11060">
        <v>1</v>
      </c>
      <c r="E11060">
        <v>13050</v>
      </c>
      <c r="F11060">
        <v>74680.78</v>
      </c>
      <c r="G11060">
        <v>0</v>
      </c>
      <c r="H11060">
        <v>0</v>
      </c>
      <c r="I11060">
        <v>0</v>
      </c>
      <c r="J11060">
        <v>0</v>
      </c>
      <c r="K11060">
        <v>0</v>
      </c>
      <c r="L11060">
        <v>42477092</v>
      </c>
      <c r="M11060">
        <v>42108608.119999997</v>
      </c>
      <c r="N11060">
        <v>14803516</v>
      </c>
      <c r="O11060">
        <v>14435032.119999999</v>
      </c>
      <c r="P11060">
        <v>42575000</v>
      </c>
      <c r="Q11060">
        <v>42575000</v>
      </c>
      <c r="R11060" s="14">
        <f>_xlfn.XLOOKUP(Table2[[#This Row],[LoanID]],Table1[G-L ID],Table1[ManagerCode],-99)</f>
        <v>183</v>
      </c>
      <c r="T11060"/>
    </row>
    <row r="11061" spans="1:20" x14ac:dyDescent="0.25">
      <c r="A11061">
        <v>20200630</v>
      </c>
      <c r="B11061">
        <v>2020</v>
      </c>
      <c r="C11061">
        <v>6</v>
      </c>
      <c r="D11061">
        <v>1</v>
      </c>
      <c r="E11061">
        <v>13060</v>
      </c>
      <c r="F11061">
        <v>107638.54</v>
      </c>
      <c r="G11061">
        <v>0</v>
      </c>
      <c r="H11061">
        <v>0</v>
      </c>
      <c r="I11061">
        <v>0</v>
      </c>
      <c r="J11061">
        <v>-1051010.03</v>
      </c>
      <c r="K11061">
        <v>0</v>
      </c>
      <c r="L11061">
        <v>50344730.729999997</v>
      </c>
      <c r="M11061">
        <v>51395740.759999998</v>
      </c>
      <c r="N11061">
        <v>24095874.57</v>
      </c>
      <c r="O11061">
        <v>25146884.600000001</v>
      </c>
      <c r="P11061">
        <v>51317699.920000002</v>
      </c>
      <c r="Q11061">
        <v>52368709.950000003</v>
      </c>
      <c r="R11061" s="14">
        <f>_xlfn.XLOOKUP(Table2[[#This Row],[LoanID]],Table1[G-L ID],Table1[ManagerCode],-99)</f>
        <v>183</v>
      </c>
      <c r="T11061"/>
    </row>
    <row r="11062" spans="1:20" x14ac:dyDescent="0.25">
      <c r="A11062">
        <v>20200630</v>
      </c>
      <c r="B11062">
        <v>2020</v>
      </c>
      <c r="C11062">
        <v>6</v>
      </c>
      <c r="D11062">
        <v>1</v>
      </c>
      <c r="E11062">
        <v>13070</v>
      </c>
      <c r="F11062">
        <v>416153.28</v>
      </c>
      <c r="G11062">
        <v>0</v>
      </c>
      <c r="H11062">
        <v>0</v>
      </c>
      <c r="I11062">
        <v>0</v>
      </c>
      <c r="J11062">
        <v>0</v>
      </c>
      <c r="K11062">
        <v>0</v>
      </c>
      <c r="L11062">
        <v>99604825</v>
      </c>
      <c r="M11062">
        <v>99604825</v>
      </c>
      <c r="N11062">
        <v>59604825</v>
      </c>
      <c r="O11062">
        <v>59604825</v>
      </c>
      <c r="P11062">
        <v>99604825</v>
      </c>
      <c r="Q11062">
        <v>99604825</v>
      </c>
      <c r="R11062" s="14">
        <f>_xlfn.XLOOKUP(Table2[[#This Row],[LoanID]],Table1[G-L ID],Table1[ManagerCode],-99)</f>
        <v>183</v>
      </c>
      <c r="T11062"/>
    </row>
    <row r="11063" spans="1:20" x14ac:dyDescent="0.25">
      <c r="A11063">
        <v>20200630</v>
      </c>
      <c r="B11063">
        <v>2020</v>
      </c>
      <c r="C11063">
        <v>6</v>
      </c>
      <c r="D11063">
        <v>1</v>
      </c>
      <c r="E11063">
        <v>13080</v>
      </c>
      <c r="F11063">
        <v>131818.75</v>
      </c>
      <c r="G11063">
        <v>0</v>
      </c>
      <c r="H11063">
        <v>0</v>
      </c>
      <c r="I11063">
        <v>0</v>
      </c>
      <c r="J11063">
        <v>0</v>
      </c>
      <c r="K11063">
        <v>0</v>
      </c>
      <c r="L11063">
        <v>43000000</v>
      </c>
      <c r="M11063">
        <v>43000000</v>
      </c>
      <c r="N11063">
        <v>21500000</v>
      </c>
      <c r="O11063">
        <v>21500000</v>
      </c>
      <c r="P11063">
        <v>43000000</v>
      </c>
      <c r="Q11063">
        <v>43000000</v>
      </c>
      <c r="R11063" s="14">
        <f>_xlfn.XLOOKUP(Table2[[#This Row],[LoanID]],Table1[G-L ID],Table1[ManagerCode],-99)</f>
        <v>183</v>
      </c>
      <c r="T11063"/>
    </row>
    <row r="11064" spans="1:20" x14ac:dyDescent="0.25">
      <c r="A11064">
        <v>20200630</v>
      </c>
      <c r="B11064">
        <v>2020</v>
      </c>
      <c r="C11064">
        <v>6</v>
      </c>
      <c r="D11064">
        <v>1</v>
      </c>
      <c r="E11064">
        <v>13090</v>
      </c>
      <c r="F11064">
        <v>74900</v>
      </c>
      <c r="G11064">
        <v>0</v>
      </c>
      <c r="H11064">
        <v>0</v>
      </c>
      <c r="I11064">
        <v>0</v>
      </c>
      <c r="J11064">
        <v>0</v>
      </c>
      <c r="K11064">
        <v>0</v>
      </c>
      <c r="L11064">
        <v>20000000</v>
      </c>
      <c r="M11064">
        <v>20000000</v>
      </c>
      <c r="N11064">
        <v>20000000</v>
      </c>
      <c r="O11064">
        <v>20000000</v>
      </c>
      <c r="P11064">
        <v>20000000</v>
      </c>
      <c r="Q11064">
        <v>20000000</v>
      </c>
      <c r="R11064" s="14">
        <f>_xlfn.XLOOKUP(Table2[[#This Row],[LoanID]],Table1[G-L ID],Table1[ManagerCode],-99)</f>
        <v>183</v>
      </c>
      <c r="T11064"/>
    </row>
    <row r="11065" spans="1:20" x14ac:dyDescent="0.25">
      <c r="A11065">
        <v>20200630</v>
      </c>
      <c r="B11065">
        <v>2020</v>
      </c>
      <c r="C11065">
        <v>6</v>
      </c>
      <c r="D11065">
        <v>1</v>
      </c>
      <c r="E11065">
        <v>13100</v>
      </c>
      <c r="F11065">
        <v>102419.79</v>
      </c>
      <c r="G11065">
        <v>0</v>
      </c>
      <c r="H11065">
        <v>0</v>
      </c>
      <c r="I11065">
        <v>0</v>
      </c>
      <c r="J11065">
        <v>0</v>
      </c>
      <c r="K11065">
        <v>0</v>
      </c>
      <c r="L11065">
        <v>25296202.539999999</v>
      </c>
      <c r="M11065">
        <v>24334036.899999999</v>
      </c>
      <c r="N11065">
        <v>8632419.2699999996</v>
      </c>
      <c r="O11065">
        <v>8632419.2699999996</v>
      </c>
      <c r="P11065">
        <v>25296202.539999999</v>
      </c>
      <c r="Q11065">
        <v>24334036.899999999</v>
      </c>
      <c r="R11065" s="14">
        <f>_xlfn.XLOOKUP(Table2[[#This Row],[LoanID]],Table1[G-L ID],Table1[ManagerCode],-99)</f>
        <v>183</v>
      </c>
      <c r="T11065"/>
    </row>
    <row r="11066" spans="1:20" x14ac:dyDescent="0.25">
      <c r="A11066">
        <v>20200630</v>
      </c>
      <c r="B11066">
        <v>2020</v>
      </c>
      <c r="C11066">
        <v>6</v>
      </c>
      <c r="D11066">
        <v>1</v>
      </c>
      <c r="E11066">
        <v>13110</v>
      </c>
      <c r="F11066">
        <v>93786.99</v>
      </c>
      <c r="G11066">
        <v>0</v>
      </c>
      <c r="H11066">
        <v>0</v>
      </c>
      <c r="I11066">
        <v>0</v>
      </c>
      <c r="J11066">
        <v>0</v>
      </c>
      <c r="K11066">
        <v>0</v>
      </c>
      <c r="L11066">
        <v>46177426.57</v>
      </c>
      <c r="M11066">
        <v>46258839.219999999</v>
      </c>
      <c r="N11066">
        <v>18531902.91</v>
      </c>
      <c r="O11066">
        <v>18613315.559999999</v>
      </c>
      <c r="P11066">
        <v>46647715.689999998</v>
      </c>
      <c r="Q11066">
        <v>46647715.689999998</v>
      </c>
      <c r="R11066" s="14">
        <f>_xlfn.XLOOKUP(Table2[[#This Row],[LoanID]],Table1[G-L ID],Table1[ManagerCode],-99)</f>
        <v>183</v>
      </c>
      <c r="T11066"/>
    </row>
    <row r="11067" spans="1:20" x14ac:dyDescent="0.25">
      <c r="A11067">
        <v>20200630</v>
      </c>
      <c r="B11067">
        <v>2020</v>
      </c>
      <c r="C11067">
        <v>6</v>
      </c>
      <c r="D11067">
        <v>1</v>
      </c>
      <c r="E11067">
        <v>13120</v>
      </c>
      <c r="F11067">
        <v>79304.479999999996</v>
      </c>
      <c r="G11067">
        <v>0</v>
      </c>
      <c r="H11067">
        <v>0</v>
      </c>
      <c r="I11067">
        <v>0</v>
      </c>
      <c r="J11067">
        <v>0</v>
      </c>
      <c r="K11067">
        <v>0</v>
      </c>
      <c r="L11067">
        <v>27360000</v>
      </c>
      <c r="M11067">
        <v>27360000</v>
      </c>
      <c r="N11067">
        <v>9576000</v>
      </c>
      <c r="O11067">
        <v>9576000</v>
      </c>
      <c r="P11067">
        <v>27360000</v>
      </c>
      <c r="Q11067">
        <v>27360000</v>
      </c>
      <c r="R11067" s="14">
        <f>_xlfn.XLOOKUP(Table2[[#This Row],[LoanID]],Table1[G-L ID],Table1[ManagerCode],-99)</f>
        <v>183</v>
      </c>
      <c r="T11067"/>
    </row>
    <row r="11068" spans="1:20" x14ac:dyDescent="0.25">
      <c r="A11068">
        <v>20200630</v>
      </c>
      <c r="B11068">
        <v>2020</v>
      </c>
      <c r="C11068">
        <v>6</v>
      </c>
      <c r="D11068">
        <v>1</v>
      </c>
      <c r="E11068">
        <v>13130</v>
      </c>
      <c r="F11068">
        <v>268563.84999999998</v>
      </c>
      <c r="G11068">
        <v>0</v>
      </c>
      <c r="H11068">
        <v>0</v>
      </c>
      <c r="I11068">
        <v>0</v>
      </c>
      <c r="J11068">
        <v>0</v>
      </c>
      <c r="K11068">
        <v>0</v>
      </c>
      <c r="L11068">
        <v>202626380</v>
      </c>
      <c r="M11068">
        <v>203487633.69999999</v>
      </c>
      <c r="N11068">
        <v>90295543</v>
      </c>
      <c r="O11068">
        <v>91156796.700000003</v>
      </c>
      <c r="P11068">
        <v>210372398.5</v>
      </c>
      <c r="Q11068">
        <v>210372398.5</v>
      </c>
      <c r="R11068" s="14">
        <f>_xlfn.XLOOKUP(Table2[[#This Row],[LoanID]],Table1[G-L ID],Table1[ManagerCode],-99)</f>
        <v>183</v>
      </c>
      <c r="T11068"/>
    </row>
    <row r="11069" spans="1:20" x14ac:dyDescent="0.25">
      <c r="A11069">
        <v>20200630</v>
      </c>
      <c r="B11069">
        <v>2020</v>
      </c>
      <c r="C11069">
        <v>6</v>
      </c>
      <c r="D11069">
        <v>1</v>
      </c>
      <c r="E11069">
        <v>13150</v>
      </c>
      <c r="F11069">
        <v>167979.7</v>
      </c>
      <c r="G11069">
        <v>0</v>
      </c>
      <c r="H11069">
        <v>0</v>
      </c>
      <c r="I11069">
        <v>0</v>
      </c>
      <c r="J11069">
        <v>-232716.14</v>
      </c>
      <c r="K11069">
        <v>0</v>
      </c>
      <c r="L11069">
        <v>88737054.390000001</v>
      </c>
      <c r="M11069">
        <v>88969770.530000001</v>
      </c>
      <c r="N11069">
        <v>32932861.43</v>
      </c>
      <c r="O11069">
        <v>33165577.57</v>
      </c>
      <c r="P11069">
        <v>90053246.079999998</v>
      </c>
      <c r="Q11069">
        <v>90285962.219999999</v>
      </c>
      <c r="R11069" s="14">
        <f>_xlfn.XLOOKUP(Table2[[#This Row],[LoanID]],Table1[G-L ID],Table1[ManagerCode],-99)</f>
        <v>183</v>
      </c>
      <c r="T11069"/>
    </row>
    <row r="11070" spans="1:20" x14ac:dyDescent="0.25">
      <c r="A11070">
        <v>20200630</v>
      </c>
      <c r="B11070">
        <v>2020</v>
      </c>
      <c r="C11070">
        <v>6</v>
      </c>
      <c r="D11070">
        <v>1</v>
      </c>
      <c r="E11070">
        <v>13160</v>
      </c>
      <c r="F11070">
        <v>135638.19</v>
      </c>
      <c r="G11070">
        <v>0</v>
      </c>
      <c r="H11070">
        <v>0</v>
      </c>
      <c r="I11070">
        <v>0</v>
      </c>
      <c r="J11070">
        <v>0</v>
      </c>
      <c r="K11070">
        <v>0</v>
      </c>
      <c r="L11070">
        <v>41900000</v>
      </c>
      <c r="M11070">
        <v>41900000</v>
      </c>
      <c r="N11070">
        <v>21854858</v>
      </c>
      <c r="O11070">
        <v>21854858</v>
      </c>
      <c r="P11070">
        <v>41900000</v>
      </c>
      <c r="Q11070">
        <v>41900000</v>
      </c>
      <c r="R11070" s="14">
        <f>_xlfn.XLOOKUP(Table2[[#This Row],[LoanID]],Table1[G-L ID],Table1[ManagerCode],-99)</f>
        <v>183</v>
      </c>
      <c r="T11070"/>
    </row>
    <row r="11071" spans="1:20" x14ac:dyDescent="0.25">
      <c r="A11071">
        <v>20200630</v>
      </c>
      <c r="B11071">
        <v>2020</v>
      </c>
      <c r="C11071">
        <v>6</v>
      </c>
      <c r="D11071">
        <v>1</v>
      </c>
      <c r="E11071">
        <v>13170</v>
      </c>
      <c r="F11071">
        <v>149046.70000000001</v>
      </c>
      <c r="G11071">
        <v>0</v>
      </c>
      <c r="H11071">
        <v>0</v>
      </c>
      <c r="I11071">
        <v>0</v>
      </c>
      <c r="J11071">
        <v>0</v>
      </c>
      <c r="K11071">
        <v>0</v>
      </c>
      <c r="L11071">
        <v>48300000</v>
      </c>
      <c r="M11071">
        <v>48300000</v>
      </c>
      <c r="N11071">
        <v>16866666.670000002</v>
      </c>
      <c r="O11071">
        <v>16866666.670000002</v>
      </c>
      <c r="P11071">
        <v>48300000</v>
      </c>
      <c r="Q11071">
        <v>48300000</v>
      </c>
      <c r="R11071" s="14">
        <f>_xlfn.XLOOKUP(Table2[[#This Row],[LoanID]],Table1[G-L ID],Table1[ManagerCode],-99)</f>
        <v>183</v>
      </c>
      <c r="T11071"/>
    </row>
    <row r="11072" spans="1:20" x14ac:dyDescent="0.25">
      <c r="A11072">
        <v>20200630</v>
      </c>
      <c r="B11072">
        <v>2020</v>
      </c>
      <c r="C11072">
        <v>6</v>
      </c>
      <c r="D11072">
        <v>1</v>
      </c>
      <c r="E11072">
        <v>13180</v>
      </c>
      <c r="F11072">
        <v>126087.46</v>
      </c>
      <c r="G11072">
        <v>0</v>
      </c>
      <c r="H11072">
        <v>0</v>
      </c>
      <c r="I11072">
        <v>0</v>
      </c>
      <c r="J11072">
        <v>0</v>
      </c>
      <c r="K11072">
        <v>0</v>
      </c>
      <c r="L11072">
        <v>39780000</v>
      </c>
      <c r="M11072">
        <v>39780000</v>
      </c>
      <c r="N11072">
        <v>15930000</v>
      </c>
      <c r="O11072">
        <v>15930000</v>
      </c>
      <c r="P11072">
        <v>39780000</v>
      </c>
      <c r="Q11072">
        <v>39780000</v>
      </c>
      <c r="R11072" s="14">
        <f>_xlfn.XLOOKUP(Table2[[#This Row],[LoanID]],Table1[G-L ID],Table1[ManagerCode],-99)</f>
        <v>183</v>
      </c>
      <c r="T11072"/>
    </row>
    <row r="11073" spans="1:20" x14ac:dyDescent="0.25">
      <c r="A11073">
        <v>20200630</v>
      </c>
      <c r="B11073">
        <v>2020</v>
      </c>
      <c r="C11073">
        <v>6</v>
      </c>
      <c r="D11073">
        <v>1</v>
      </c>
      <c r="E11073">
        <v>13190</v>
      </c>
      <c r="F11073">
        <v>99161.65</v>
      </c>
      <c r="G11073">
        <v>58157.81</v>
      </c>
      <c r="H11073">
        <v>0</v>
      </c>
      <c r="I11073">
        <v>0</v>
      </c>
      <c r="J11073">
        <v>-924008.17</v>
      </c>
      <c r="K11073">
        <v>0</v>
      </c>
      <c r="L11073">
        <v>19525826.109999999</v>
      </c>
      <c r="M11073">
        <v>20507992.09</v>
      </c>
      <c r="N11073">
        <v>19525826.109999999</v>
      </c>
      <c r="O11073">
        <v>20507992.09</v>
      </c>
      <c r="P11073">
        <v>19525826.109999999</v>
      </c>
      <c r="Q11073">
        <v>20507992.09</v>
      </c>
      <c r="R11073" s="14">
        <f>_xlfn.XLOOKUP(Table2[[#This Row],[LoanID]],Table1[G-L ID],Table1[ManagerCode],-99)</f>
        <v>183</v>
      </c>
      <c r="T11073"/>
    </row>
    <row r="11074" spans="1:20" x14ac:dyDescent="0.25">
      <c r="A11074">
        <v>20200630</v>
      </c>
      <c r="B11074">
        <v>2020</v>
      </c>
      <c r="C11074">
        <v>6</v>
      </c>
      <c r="D11074">
        <v>1</v>
      </c>
      <c r="E11074">
        <v>13200</v>
      </c>
      <c r="F11074">
        <v>141589.09</v>
      </c>
      <c r="G11074">
        <v>70759.289999999994</v>
      </c>
      <c r="H11074">
        <v>0</v>
      </c>
      <c r="I11074">
        <v>0</v>
      </c>
      <c r="J11074">
        <v>-1424439.17</v>
      </c>
      <c r="K11074">
        <v>0</v>
      </c>
      <c r="L11074">
        <v>26672987.129999999</v>
      </c>
      <c r="M11074">
        <v>28168185.59</v>
      </c>
      <c r="N11074">
        <v>26672987.129999999</v>
      </c>
      <c r="O11074">
        <v>28168185.59</v>
      </c>
      <c r="P11074">
        <v>26672987.129999999</v>
      </c>
      <c r="Q11074">
        <v>28168185.59</v>
      </c>
      <c r="R11074" s="14">
        <f>_xlfn.XLOOKUP(Table2[[#This Row],[LoanID]],Table1[G-L ID],Table1[ManagerCode],-99)</f>
        <v>183</v>
      </c>
      <c r="T11074"/>
    </row>
    <row r="11075" spans="1:20" x14ac:dyDescent="0.25">
      <c r="A11075">
        <v>20200630</v>
      </c>
      <c r="B11075">
        <v>2020</v>
      </c>
      <c r="C11075">
        <v>6</v>
      </c>
      <c r="D11075">
        <v>1</v>
      </c>
      <c r="E11075">
        <v>13210</v>
      </c>
      <c r="F11075">
        <v>0</v>
      </c>
      <c r="G11075">
        <v>220119.2</v>
      </c>
      <c r="H11075">
        <v>0</v>
      </c>
      <c r="I11075">
        <v>0</v>
      </c>
      <c r="J11075">
        <v>0</v>
      </c>
      <c r="K11075">
        <v>0</v>
      </c>
      <c r="L11075">
        <v>20536480.399999999</v>
      </c>
      <c r="M11075">
        <v>20756599.600000001</v>
      </c>
      <c r="N11075">
        <v>20536480.399999999</v>
      </c>
      <c r="O11075">
        <v>20756599.600000001</v>
      </c>
      <c r="P11075">
        <v>20536480.399999999</v>
      </c>
      <c r="Q11075">
        <v>20756599.600000001</v>
      </c>
      <c r="R11075" s="14">
        <f>_xlfn.XLOOKUP(Table2[[#This Row],[LoanID]],Table1[G-L ID],Table1[ManagerCode],-99)</f>
        <v>183</v>
      </c>
      <c r="T11075"/>
    </row>
    <row r="11076" spans="1:20" x14ac:dyDescent="0.25">
      <c r="A11076">
        <v>20200630</v>
      </c>
      <c r="B11076">
        <v>2020</v>
      </c>
      <c r="C11076">
        <v>6</v>
      </c>
      <c r="D11076">
        <v>1</v>
      </c>
      <c r="E11076">
        <v>13260</v>
      </c>
      <c r="F11076">
        <v>0</v>
      </c>
      <c r="G11076">
        <v>144742.22</v>
      </c>
      <c r="H11076">
        <v>0</v>
      </c>
      <c r="I11076">
        <v>0</v>
      </c>
      <c r="J11076">
        <v>0</v>
      </c>
      <c r="K11076">
        <v>0</v>
      </c>
      <c r="L11076">
        <v>20395779.440000001</v>
      </c>
      <c r="M11076">
        <v>20540521.66</v>
      </c>
      <c r="N11076">
        <v>20395779.440000001</v>
      </c>
      <c r="O11076">
        <v>20540521.66</v>
      </c>
      <c r="P11076">
        <v>20395779.440000001</v>
      </c>
      <c r="Q11076">
        <v>20540521.66</v>
      </c>
      <c r="R11076" s="14">
        <f>_xlfn.XLOOKUP(Table2[[#This Row],[LoanID]],Table1[G-L ID],Table1[ManagerCode],-99)</f>
        <v>219</v>
      </c>
      <c r="T11076"/>
    </row>
    <row r="11077" spans="1:20" x14ac:dyDescent="0.25">
      <c r="A11077">
        <v>20200630</v>
      </c>
      <c r="B11077">
        <v>2020</v>
      </c>
      <c r="C11077">
        <v>6</v>
      </c>
      <c r="D11077">
        <v>1</v>
      </c>
      <c r="E11077">
        <v>13300</v>
      </c>
      <c r="F11077">
        <v>0</v>
      </c>
      <c r="G11077">
        <v>208333.34</v>
      </c>
      <c r="H11077">
        <v>0</v>
      </c>
      <c r="I11077">
        <v>0</v>
      </c>
      <c r="J11077">
        <v>0</v>
      </c>
      <c r="K11077">
        <v>0</v>
      </c>
      <c r="L11077">
        <v>24488888.890000001</v>
      </c>
      <c r="M11077">
        <v>24697222.23</v>
      </c>
      <c r="N11077">
        <v>24488888.890000001</v>
      </c>
      <c r="O11077">
        <v>24697222.23</v>
      </c>
      <c r="P11077">
        <v>25638888.890000001</v>
      </c>
      <c r="Q11077">
        <v>25847222.23</v>
      </c>
      <c r="R11077" s="14">
        <f>_xlfn.XLOOKUP(Table2[[#This Row],[LoanID]],Table1[G-L ID],Table1[ManagerCode],-99)</f>
        <v>219</v>
      </c>
      <c r="T11077"/>
    </row>
    <row r="11078" spans="1:20" x14ac:dyDescent="0.25">
      <c r="A11078">
        <v>20200630</v>
      </c>
      <c r="B11078">
        <v>2020</v>
      </c>
      <c r="C11078">
        <v>6</v>
      </c>
      <c r="D11078">
        <v>1</v>
      </c>
      <c r="E11078">
        <v>13370</v>
      </c>
      <c r="F11078">
        <v>140835.70000000001</v>
      </c>
      <c r="G11078">
        <v>0</v>
      </c>
      <c r="H11078">
        <v>0</v>
      </c>
      <c r="I11078">
        <v>0</v>
      </c>
      <c r="J11078">
        <v>-123600.9</v>
      </c>
      <c r="K11078">
        <v>0</v>
      </c>
      <c r="L11078">
        <v>44620286.009999998</v>
      </c>
      <c r="M11078">
        <v>44743886.909999996</v>
      </c>
      <c r="N11078">
        <v>44620286.009999998</v>
      </c>
      <c r="O11078">
        <v>44743886.909999996</v>
      </c>
      <c r="P11078">
        <v>44991831.439999998</v>
      </c>
      <c r="Q11078">
        <v>45115432.340000004</v>
      </c>
      <c r="R11078" s="14">
        <f>_xlfn.XLOOKUP(Table2[[#This Row],[LoanID]],Table1[G-L ID],Table1[ManagerCode],-99)</f>
        <v>183</v>
      </c>
      <c r="T11078"/>
    </row>
    <row r="11079" spans="1:20" x14ac:dyDescent="0.25">
      <c r="A11079">
        <v>20200630</v>
      </c>
      <c r="B11079">
        <v>2020</v>
      </c>
      <c r="C11079">
        <v>6</v>
      </c>
      <c r="D11079">
        <v>1</v>
      </c>
      <c r="E11079">
        <v>13380</v>
      </c>
      <c r="F11079">
        <v>63974.16</v>
      </c>
      <c r="G11079">
        <v>0</v>
      </c>
      <c r="H11079">
        <v>0</v>
      </c>
      <c r="I11079">
        <v>0</v>
      </c>
      <c r="J11079">
        <v>0</v>
      </c>
      <c r="K11079">
        <v>0</v>
      </c>
      <c r="L11079">
        <v>31593498.699999999</v>
      </c>
      <c r="M11079">
        <v>31593498.699999999</v>
      </c>
      <c r="N11079">
        <v>10793498.699999999</v>
      </c>
      <c r="O11079">
        <v>10793498.699999999</v>
      </c>
      <c r="P11079">
        <v>32000000</v>
      </c>
      <c r="Q11079">
        <v>32000000</v>
      </c>
      <c r="R11079" s="14">
        <f>_xlfn.XLOOKUP(Table2[[#This Row],[LoanID]],Table1[G-L ID],Table1[ManagerCode],-99)</f>
        <v>183</v>
      </c>
      <c r="T11079"/>
    </row>
    <row r="11080" spans="1:20" x14ac:dyDescent="0.25">
      <c r="A11080">
        <v>20200630</v>
      </c>
      <c r="B11080">
        <v>2020</v>
      </c>
      <c r="C11080">
        <v>6</v>
      </c>
      <c r="D11080">
        <v>1</v>
      </c>
      <c r="E11080">
        <v>13390</v>
      </c>
      <c r="F11080">
        <v>-46747.19</v>
      </c>
      <c r="G11080">
        <v>0</v>
      </c>
      <c r="H11080">
        <v>0</v>
      </c>
      <c r="I11080">
        <v>0</v>
      </c>
      <c r="J11080">
        <v>-866266.78</v>
      </c>
      <c r="K11080">
        <v>0</v>
      </c>
      <c r="L11080">
        <v>17633734.219999999</v>
      </c>
      <c r="M11080">
        <v>17599647.739999998</v>
      </c>
      <c r="N11080">
        <v>-11282342.779999999</v>
      </c>
      <c r="O11080">
        <v>-11316429.26</v>
      </c>
      <c r="P11080">
        <v>48866215.240000002</v>
      </c>
      <c r="Q11080">
        <v>49732482.020000003</v>
      </c>
      <c r="R11080" s="14">
        <f>_xlfn.XLOOKUP(Table2[[#This Row],[LoanID]],Table1[G-L ID],Table1[ManagerCode],-99)</f>
        <v>183</v>
      </c>
      <c r="T11080"/>
    </row>
    <row r="11081" spans="1:20" x14ac:dyDescent="0.25">
      <c r="A11081">
        <v>20200630</v>
      </c>
      <c r="B11081">
        <v>2020</v>
      </c>
      <c r="C11081">
        <v>6</v>
      </c>
      <c r="D11081">
        <v>1</v>
      </c>
      <c r="E11081">
        <v>13400</v>
      </c>
      <c r="F11081">
        <v>107394.75</v>
      </c>
      <c r="G11081">
        <v>0</v>
      </c>
      <c r="H11081">
        <v>0</v>
      </c>
      <c r="I11081">
        <v>0</v>
      </c>
      <c r="J11081">
        <v>0</v>
      </c>
      <c r="K11081">
        <v>0</v>
      </c>
      <c r="L11081">
        <v>32357792.309999999</v>
      </c>
      <c r="M11081">
        <v>32357792.309999999</v>
      </c>
      <c r="N11081">
        <v>11720292.310000001</v>
      </c>
      <c r="O11081">
        <v>11720292.310000001</v>
      </c>
      <c r="P11081">
        <v>32357792.309999999</v>
      </c>
      <c r="Q11081">
        <v>32357792.309999999</v>
      </c>
      <c r="R11081" s="14">
        <f>_xlfn.XLOOKUP(Table2[[#This Row],[LoanID]],Table1[G-L ID],Table1[ManagerCode],-99)</f>
        <v>183</v>
      </c>
      <c r="T11081"/>
    </row>
    <row r="11082" spans="1:20" x14ac:dyDescent="0.25">
      <c r="A11082">
        <v>20200630</v>
      </c>
      <c r="B11082">
        <v>2020</v>
      </c>
      <c r="C11082">
        <v>6</v>
      </c>
      <c r="D11082">
        <v>1</v>
      </c>
      <c r="E11082">
        <v>13410</v>
      </c>
      <c r="F11082">
        <v>50175.51</v>
      </c>
      <c r="G11082">
        <v>0</v>
      </c>
      <c r="H11082">
        <v>0</v>
      </c>
      <c r="I11082">
        <v>0</v>
      </c>
      <c r="J11082">
        <v>-58406.25</v>
      </c>
      <c r="K11082">
        <v>0</v>
      </c>
      <c r="L11082">
        <v>34946744.990000002</v>
      </c>
      <c r="M11082">
        <v>35005151.240000002</v>
      </c>
      <c r="N11082">
        <v>14076744.99</v>
      </c>
      <c r="O11082">
        <v>14135151.24</v>
      </c>
      <c r="P11082">
        <v>35787523.880000003</v>
      </c>
      <c r="Q11082">
        <v>35845930.130000003</v>
      </c>
      <c r="R11082" s="14">
        <f>_xlfn.XLOOKUP(Table2[[#This Row],[LoanID]],Table1[G-L ID],Table1[ManagerCode],-99)</f>
        <v>183</v>
      </c>
      <c r="T11082"/>
    </row>
    <row r="11083" spans="1:20" x14ac:dyDescent="0.25">
      <c r="A11083">
        <v>20200630</v>
      </c>
      <c r="B11083">
        <v>2020</v>
      </c>
      <c r="C11083">
        <v>6</v>
      </c>
      <c r="D11083">
        <v>1</v>
      </c>
      <c r="E11083">
        <v>13420</v>
      </c>
      <c r="F11083">
        <v>64415.32</v>
      </c>
      <c r="G11083">
        <v>0</v>
      </c>
      <c r="H11083">
        <v>0</v>
      </c>
      <c r="I11083">
        <v>0</v>
      </c>
      <c r="J11083">
        <v>-64419.58</v>
      </c>
      <c r="K11083">
        <v>0</v>
      </c>
      <c r="L11083">
        <v>30768832.940000001</v>
      </c>
      <c r="M11083">
        <v>30745985.899999999</v>
      </c>
      <c r="N11083">
        <v>14273919.939999999</v>
      </c>
      <c r="O11083">
        <v>14251072.9</v>
      </c>
      <c r="P11083">
        <v>30957965.43</v>
      </c>
      <c r="Q11083">
        <v>31022385.010000002</v>
      </c>
      <c r="R11083" s="14">
        <f>_xlfn.XLOOKUP(Table2[[#This Row],[LoanID]],Table1[G-L ID],Table1[ManagerCode],-99)</f>
        <v>183</v>
      </c>
      <c r="T11083"/>
    </row>
    <row r="11084" spans="1:20" x14ac:dyDescent="0.25">
      <c r="A11084">
        <v>20200630</v>
      </c>
      <c r="B11084">
        <v>2020</v>
      </c>
      <c r="C11084">
        <v>6</v>
      </c>
      <c r="D11084">
        <v>1</v>
      </c>
      <c r="E11084">
        <v>13430</v>
      </c>
      <c r="F11084">
        <v>240137.99</v>
      </c>
      <c r="G11084">
        <v>0</v>
      </c>
      <c r="H11084">
        <v>0</v>
      </c>
      <c r="I11084">
        <v>0</v>
      </c>
      <c r="J11084">
        <v>0</v>
      </c>
      <c r="K11084">
        <v>0</v>
      </c>
      <c r="L11084">
        <v>75184698</v>
      </c>
      <c r="M11084">
        <v>75184698</v>
      </c>
      <c r="N11084">
        <v>31067051</v>
      </c>
      <c r="O11084">
        <v>31067051</v>
      </c>
      <c r="P11084">
        <v>75000000</v>
      </c>
      <c r="Q11084">
        <v>75000000</v>
      </c>
      <c r="R11084" s="14">
        <f>_xlfn.XLOOKUP(Table2[[#This Row],[LoanID]],Table1[G-L ID],Table1[ManagerCode],-99)</f>
        <v>183</v>
      </c>
      <c r="T11084"/>
    </row>
    <row r="11085" spans="1:20" x14ac:dyDescent="0.25">
      <c r="A11085">
        <v>20200630</v>
      </c>
      <c r="B11085">
        <v>2020</v>
      </c>
      <c r="C11085">
        <v>6</v>
      </c>
      <c r="D11085">
        <v>1</v>
      </c>
      <c r="E11085">
        <v>13440</v>
      </c>
      <c r="F11085">
        <v>0</v>
      </c>
      <c r="G11085">
        <v>128799.67999999999</v>
      </c>
      <c r="H11085">
        <v>0</v>
      </c>
      <c r="I11085">
        <v>0</v>
      </c>
      <c r="J11085">
        <v>0</v>
      </c>
      <c r="K11085">
        <v>0</v>
      </c>
      <c r="L11085">
        <v>13007504.98</v>
      </c>
      <c r="M11085">
        <v>13136304.66</v>
      </c>
      <c r="N11085">
        <v>13007504.98</v>
      </c>
      <c r="O11085">
        <v>13136304.66</v>
      </c>
      <c r="P11085">
        <v>13007504.98</v>
      </c>
      <c r="Q11085">
        <v>13136304.66</v>
      </c>
      <c r="R11085" s="14">
        <f>_xlfn.XLOOKUP(Table2[[#This Row],[LoanID]],Table1[G-L ID],Table1[ManagerCode],-99)</f>
        <v>183</v>
      </c>
      <c r="T11085"/>
    </row>
    <row r="11086" spans="1:20" x14ac:dyDescent="0.25">
      <c r="A11086">
        <v>20200630</v>
      </c>
      <c r="B11086">
        <v>2020</v>
      </c>
      <c r="C11086">
        <v>6</v>
      </c>
      <c r="D11086">
        <v>1</v>
      </c>
      <c r="E11086">
        <v>13450</v>
      </c>
      <c r="F11086">
        <v>0</v>
      </c>
      <c r="G11086">
        <v>152745.94</v>
      </c>
      <c r="H11086">
        <v>0</v>
      </c>
      <c r="I11086">
        <v>0</v>
      </c>
      <c r="J11086">
        <v>0</v>
      </c>
      <c r="K11086">
        <v>0</v>
      </c>
      <c r="L11086">
        <v>14250751</v>
      </c>
      <c r="M11086">
        <v>14403496.939999999</v>
      </c>
      <c r="N11086">
        <v>14250751</v>
      </c>
      <c r="O11086">
        <v>14403496.939999999</v>
      </c>
      <c r="P11086">
        <v>14250751</v>
      </c>
      <c r="Q11086">
        <v>14403496.939999999</v>
      </c>
      <c r="R11086" s="14">
        <f>_xlfn.XLOOKUP(Table2[[#This Row],[LoanID]],Table1[G-L ID],Table1[ManagerCode],-99)</f>
        <v>183</v>
      </c>
      <c r="T11086"/>
    </row>
    <row r="11087" spans="1:20" x14ac:dyDescent="0.25">
      <c r="A11087">
        <v>20200630</v>
      </c>
      <c r="B11087">
        <v>2020</v>
      </c>
      <c r="C11087">
        <v>6</v>
      </c>
      <c r="D11087">
        <v>1</v>
      </c>
      <c r="E11087">
        <v>13460</v>
      </c>
      <c r="F11087">
        <v>31380.91</v>
      </c>
      <c r="G11087">
        <v>26019.93</v>
      </c>
      <c r="H11087">
        <v>0</v>
      </c>
      <c r="I11087">
        <v>0</v>
      </c>
      <c r="J11087">
        <v>-31380.91</v>
      </c>
      <c r="K11087">
        <v>0</v>
      </c>
      <c r="L11087">
        <v>6904770.6500000004</v>
      </c>
      <c r="M11087">
        <v>6962171.4900000002</v>
      </c>
      <c r="N11087">
        <v>6904770.6500000004</v>
      </c>
      <c r="O11087">
        <v>6962171.4900000002</v>
      </c>
      <c r="P11087">
        <v>6904770.6500000004</v>
      </c>
      <c r="Q11087">
        <v>6962171.4900000002</v>
      </c>
      <c r="R11087" s="14">
        <f>_xlfn.XLOOKUP(Table2[[#This Row],[LoanID]],Table1[G-L ID],Table1[ManagerCode],-99)</f>
        <v>183</v>
      </c>
      <c r="T11087"/>
    </row>
    <row r="11088" spans="1:20" x14ac:dyDescent="0.25">
      <c r="A11088">
        <v>20200630</v>
      </c>
      <c r="B11088">
        <v>2020</v>
      </c>
      <c r="C11088">
        <v>6</v>
      </c>
      <c r="D11088">
        <v>1</v>
      </c>
      <c r="E11088">
        <v>13470</v>
      </c>
      <c r="F11088">
        <v>370008.68</v>
      </c>
      <c r="G11088">
        <v>0</v>
      </c>
      <c r="H11088">
        <v>0</v>
      </c>
      <c r="I11088">
        <v>0</v>
      </c>
      <c r="J11088">
        <v>0</v>
      </c>
      <c r="K11088">
        <v>0</v>
      </c>
      <c r="L11088">
        <v>62500000</v>
      </c>
      <c r="M11088">
        <v>62500000</v>
      </c>
      <c r="N11088">
        <v>62500000</v>
      </c>
      <c r="O11088">
        <v>62500000</v>
      </c>
      <c r="P11088">
        <v>62500000</v>
      </c>
      <c r="Q11088">
        <v>62500000</v>
      </c>
      <c r="R11088" s="14">
        <f>_xlfn.XLOOKUP(Table2[[#This Row],[LoanID]],Table1[G-L ID],Table1[ManagerCode],-99)</f>
        <v>165</v>
      </c>
      <c r="T11088"/>
    </row>
    <row r="11089" spans="1:20" x14ac:dyDescent="0.25">
      <c r="A11089">
        <v>20200630</v>
      </c>
      <c r="B11089">
        <v>2020</v>
      </c>
      <c r="C11089">
        <v>6</v>
      </c>
      <c r="D11089">
        <v>1</v>
      </c>
      <c r="E11089">
        <v>13480</v>
      </c>
      <c r="F11089">
        <v>250531.67</v>
      </c>
      <c r="G11089">
        <v>0</v>
      </c>
      <c r="H11089">
        <v>0</v>
      </c>
      <c r="I11089">
        <v>0</v>
      </c>
      <c r="J11089">
        <v>0</v>
      </c>
      <c r="K11089">
        <v>0</v>
      </c>
      <c r="L11089">
        <v>39000000</v>
      </c>
      <c r="M11089">
        <v>39000000</v>
      </c>
      <c r="N11089">
        <v>39000000</v>
      </c>
      <c r="O11089">
        <v>39000000</v>
      </c>
      <c r="P11089">
        <v>39000000</v>
      </c>
      <c r="Q11089">
        <v>39000000</v>
      </c>
      <c r="R11089" s="14">
        <f>_xlfn.XLOOKUP(Table2[[#This Row],[LoanID]],Table1[G-L ID],Table1[ManagerCode],-99)</f>
        <v>165</v>
      </c>
      <c r="T11089"/>
    </row>
    <row r="11090" spans="1:20" x14ac:dyDescent="0.25">
      <c r="A11090">
        <v>20200630</v>
      </c>
      <c r="B11090">
        <v>2020</v>
      </c>
      <c r="C11090">
        <v>6</v>
      </c>
      <c r="D11090">
        <v>1</v>
      </c>
      <c r="E11090">
        <v>13490</v>
      </c>
      <c r="F11090">
        <v>303800</v>
      </c>
      <c r="G11090">
        <v>0</v>
      </c>
      <c r="H11090">
        <v>0</v>
      </c>
      <c r="I11090">
        <v>0</v>
      </c>
      <c r="J11090">
        <v>0</v>
      </c>
      <c r="K11090">
        <v>0</v>
      </c>
      <c r="L11090">
        <v>40000000</v>
      </c>
      <c r="M11090">
        <v>40000000</v>
      </c>
      <c r="N11090">
        <v>40000000</v>
      </c>
      <c r="O11090">
        <v>40000000</v>
      </c>
      <c r="P11090">
        <v>40000000</v>
      </c>
      <c r="Q11090">
        <v>40000000</v>
      </c>
      <c r="R11090" s="14">
        <f>_xlfn.XLOOKUP(Table2[[#This Row],[LoanID]],Table1[G-L ID],Table1[ManagerCode],-99)</f>
        <v>165</v>
      </c>
      <c r="T11090"/>
    </row>
    <row r="11091" spans="1:20" x14ac:dyDescent="0.25">
      <c r="A11091">
        <v>20200630</v>
      </c>
      <c r="B11091">
        <v>2020</v>
      </c>
      <c r="C11091">
        <v>6</v>
      </c>
      <c r="D11091">
        <v>1</v>
      </c>
      <c r="E11091">
        <v>13500</v>
      </c>
      <c r="F11091">
        <v>283628.46999999997</v>
      </c>
      <c r="G11091">
        <v>0</v>
      </c>
      <c r="H11091">
        <v>0</v>
      </c>
      <c r="I11091">
        <v>0</v>
      </c>
      <c r="J11091">
        <v>0</v>
      </c>
      <c r="K11091">
        <v>0</v>
      </c>
      <c r="L11091">
        <v>42500000</v>
      </c>
      <c r="M11091">
        <v>42500000</v>
      </c>
      <c r="N11091">
        <v>42500000</v>
      </c>
      <c r="O11091">
        <v>42500000</v>
      </c>
      <c r="P11091">
        <v>42500000</v>
      </c>
      <c r="Q11091">
        <v>42500000</v>
      </c>
      <c r="R11091" s="14">
        <f>_xlfn.XLOOKUP(Table2[[#This Row],[LoanID]],Table1[G-L ID],Table1[ManagerCode],-99)</f>
        <v>165</v>
      </c>
      <c r="T11091"/>
    </row>
    <row r="11092" spans="1:20" x14ac:dyDescent="0.25">
      <c r="A11092">
        <v>20200630</v>
      </c>
      <c r="B11092">
        <v>2020</v>
      </c>
      <c r="C11092">
        <v>6</v>
      </c>
      <c r="D11092">
        <v>1</v>
      </c>
      <c r="E11092">
        <v>13510</v>
      </c>
      <c r="F11092">
        <v>317750</v>
      </c>
      <c r="G11092">
        <v>0</v>
      </c>
      <c r="H11092">
        <v>0</v>
      </c>
      <c r="I11092">
        <v>0</v>
      </c>
      <c r="J11092">
        <v>0</v>
      </c>
      <c r="K11092">
        <v>0</v>
      </c>
      <c r="L11092">
        <v>90000000</v>
      </c>
      <c r="M11092">
        <v>90000000</v>
      </c>
      <c r="N11092">
        <v>90000000</v>
      </c>
      <c r="O11092">
        <v>90000000</v>
      </c>
      <c r="P11092">
        <v>90000000</v>
      </c>
      <c r="Q11092">
        <v>90000000</v>
      </c>
      <c r="R11092" s="14">
        <f>_xlfn.XLOOKUP(Table2[[#This Row],[LoanID]],Table1[G-L ID],Table1[ManagerCode],-99)</f>
        <v>165</v>
      </c>
      <c r="T11092"/>
    </row>
    <row r="11093" spans="1:20" x14ac:dyDescent="0.25">
      <c r="A11093">
        <v>20200630</v>
      </c>
      <c r="B11093">
        <v>2020</v>
      </c>
      <c r="C11093">
        <v>6</v>
      </c>
      <c r="D11093">
        <v>1</v>
      </c>
      <c r="E11093">
        <v>13520</v>
      </c>
      <c r="F11093">
        <v>860572.92</v>
      </c>
      <c r="G11093">
        <v>0</v>
      </c>
      <c r="H11093">
        <v>0</v>
      </c>
      <c r="I11093">
        <v>0</v>
      </c>
      <c r="J11093">
        <v>0</v>
      </c>
      <c r="K11093">
        <v>0</v>
      </c>
      <c r="L11093">
        <v>195000000</v>
      </c>
      <c r="M11093">
        <v>195000000</v>
      </c>
      <c r="N11093">
        <v>195000000</v>
      </c>
      <c r="O11093">
        <v>195000000</v>
      </c>
      <c r="P11093">
        <v>195000000</v>
      </c>
      <c r="Q11093">
        <v>195000000</v>
      </c>
      <c r="R11093" s="14">
        <f>_xlfn.XLOOKUP(Table2[[#This Row],[LoanID]],Table1[G-L ID],Table1[ManagerCode],-99)</f>
        <v>165</v>
      </c>
      <c r="T11093"/>
    </row>
    <row r="11094" spans="1:20" x14ac:dyDescent="0.25">
      <c r="A11094">
        <v>20200630</v>
      </c>
      <c r="B11094">
        <v>2020</v>
      </c>
      <c r="C11094">
        <v>6</v>
      </c>
      <c r="D11094">
        <v>1</v>
      </c>
      <c r="E11094">
        <v>13530</v>
      </c>
      <c r="F11094">
        <v>403645.83</v>
      </c>
      <c r="G11094">
        <v>0</v>
      </c>
      <c r="H11094">
        <v>0</v>
      </c>
      <c r="I11094">
        <v>0</v>
      </c>
      <c r="J11094">
        <v>0</v>
      </c>
      <c r="K11094">
        <v>0</v>
      </c>
      <c r="L11094">
        <v>75000000</v>
      </c>
      <c r="M11094">
        <v>75000000</v>
      </c>
      <c r="N11094">
        <v>75000000</v>
      </c>
      <c r="O11094">
        <v>75000000</v>
      </c>
      <c r="P11094">
        <v>75000000</v>
      </c>
      <c r="Q11094">
        <v>75000000</v>
      </c>
      <c r="R11094" s="14">
        <f>_xlfn.XLOOKUP(Table2[[#This Row],[LoanID]],Table1[G-L ID],Table1[ManagerCode],-99)</f>
        <v>165</v>
      </c>
      <c r="T11094"/>
    </row>
    <row r="11095" spans="1:20" x14ac:dyDescent="0.25">
      <c r="A11095">
        <v>20200630</v>
      </c>
      <c r="B11095">
        <v>2020</v>
      </c>
      <c r="C11095">
        <v>6</v>
      </c>
      <c r="D11095">
        <v>1</v>
      </c>
      <c r="E11095">
        <v>13550</v>
      </c>
      <c r="F11095">
        <v>1682872.91</v>
      </c>
      <c r="G11095">
        <v>0</v>
      </c>
      <c r="H11095">
        <v>0</v>
      </c>
      <c r="I11095">
        <v>0</v>
      </c>
      <c r="J11095">
        <v>0</v>
      </c>
      <c r="K11095">
        <v>0</v>
      </c>
      <c r="L11095">
        <v>355328004.80000001</v>
      </c>
      <c r="M11095">
        <v>355328004.80000001</v>
      </c>
      <c r="N11095">
        <v>355328004.80000001</v>
      </c>
      <c r="O11095">
        <v>355328004.80000001</v>
      </c>
      <c r="P11095">
        <v>355328004.80000001</v>
      </c>
      <c r="Q11095">
        <v>355328004.80000001</v>
      </c>
      <c r="R11095" s="14">
        <f>_xlfn.XLOOKUP(Table2[[#This Row],[LoanID]],Table1[G-L ID],Table1[ManagerCode],-99)</f>
        <v>165</v>
      </c>
      <c r="T11095"/>
    </row>
    <row r="11096" spans="1:20" x14ac:dyDescent="0.25">
      <c r="A11096">
        <v>20200630</v>
      </c>
      <c r="B11096">
        <v>2020</v>
      </c>
      <c r="C11096">
        <v>6</v>
      </c>
      <c r="D11096">
        <v>1</v>
      </c>
      <c r="E11096">
        <v>13560</v>
      </c>
      <c r="F11096">
        <v>423511.66</v>
      </c>
      <c r="G11096">
        <v>-13614.7</v>
      </c>
      <c r="H11096">
        <v>0</v>
      </c>
      <c r="I11096">
        <v>0</v>
      </c>
      <c r="J11096">
        <v>0</v>
      </c>
      <c r="K11096">
        <v>0</v>
      </c>
      <c r="L11096">
        <v>105232248.3</v>
      </c>
      <c r="M11096">
        <v>105218633.59999999</v>
      </c>
      <c r="N11096">
        <v>105232248.3</v>
      </c>
      <c r="O11096">
        <v>105218633.59999999</v>
      </c>
      <c r="P11096">
        <v>105232248.3</v>
      </c>
      <c r="Q11096">
        <v>105218633.59999999</v>
      </c>
      <c r="R11096" s="14">
        <f>_xlfn.XLOOKUP(Table2[[#This Row],[LoanID]],Table1[G-L ID],Table1[ManagerCode],-99)</f>
        <v>219</v>
      </c>
      <c r="T11096"/>
    </row>
    <row r="11097" spans="1:20" x14ac:dyDescent="0.25">
      <c r="A11097">
        <v>20200630</v>
      </c>
      <c r="B11097">
        <v>2020</v>
      </c>
      <c r="C11097">
        <v>6</v>
      </c>
      <c r="D11097">
        <v>1</v>
      </c>
      <c r="E11097">
        <v>13580</v>
      </c>
      <c r="F11097">
        <v>0</v>
      </c>
      <c r="G11097">
        <v>0</v>
      </c>
      <c r="H11097">
        <v>0</v>
      </c>
      <c r="I11097">
        <v>0</v>
      </c>
      <c r="J11097">
        <v>0</v>
      </c>
      <c r="K11097">
        <v>0</v>
      </c>
      <c r="L11097">
        <v>64165060.409999996</v>
      </c>
      <c r="M11097">
        <v>60904719.380000003</v>
      </c>
      <c r="N11097">
        <v>64165060.409999996</v>
      </c>
      <c r="O11097">
        <v>60904719.380000003</v>
      </c>
      <c r="P11097">
        <v>66500000</v>
      </c>
      <c r="Q11097">
        <v>66500000</v>
      </c>
      <c r="R11097" s="14">
        <f>_xlfn.XLOOKUP(Table2[[#This Row],[LoanID]],Table1[G-L ID],Table1[ManagerCode],-99)</f>
        <v>298</v>
      </c>
      <c r="T11097"/>
    </row>
    <row r="11098" spans="1:20" x14ac:dyDescent="0.25">
      <c r="A11098">
        <v>20200630</v>
      </c>
      <c r="B11098">
        <v>2020</v>
      </c>
      <c r="C11098">
        <v>6</v>
      </c>
      <c r="D11098">
        <v>1</v>
      </c>
      <c r="E11098">
        <v>13600</v>
      </c>
      <c r="F11098">
        <v>379029.03</v>
      </c>
      <c r="G11098">
        <v>0</v>
      </c>
      <c r="H11098">
        <v>0</v>
      </c>
      <c r="I11098">
        <v>0</v>
      </c>
      <c r="J11098">
        <v>0</v>
      </c>
      <c r="K11098">
        <v>0</v>
      </c>
      <c r="L11098">
        <v>45970000</v>
      </c>
      <c r="M11098">
        <v>45561204.140000001</v>
      </c>
      <c r="N11098">
        <v>45970000</v>
      </c>
      <c r="O11098">
        <v>45561204.140000001</v>
      </c>
      <c r="P11098">
        <v>45970000</v>
      </c>
      <c r="Q11098">
        <v>45970000</v>
      </c>
      <c r="R11098" s="14">
        <f>_xlfn.XLOOKUP(Table2[[#This Row],[LoanID]],Table1[G-L ID],Table1[ManagerCode],-99)</f>
        <v>298</v>
      </c>
      <c r="T11098"/>
    </row>
    <row r="11099" spans="1:20" x14ac:dyDescent="0.25">
      <c r="A11099">
        <v>20200630</v>
      </c>
      <c r="B11099">
        <v>2020</v>
      </c>
      <c r="C11099">
        <v>6</v>
      </c>
      <c r="D11099">
        <v>1</v>
      </c>
      <c r="E11099">
        <v>13610</v>
      </c>
      <c r="F11099">
        <v>63291.67</v>
      </c>
      <c r="G11099">
        <v>0</v>
      </c>
      <c r="H11099">
        <v>0</v>
      </c>
      <c r="I11099">
        <v>0</v>
      </c>
      <c r="J11099">
        <v>0</v>
      </c>
      <c r="K11099">
        <v>0</v>
      </c>
      <c r="L11099">
        <v>10385796.220000001</v>
      </c>
      <c r="M11099">
        <v>10385796.220000001</v>
      </c>
      <c r="N11099">
        <v>10385796.220000001</v>
      </c>
      <c r="O11099">
        <v>10385796.220000001</v>
      </c>
      <c r="P11099">
        <v>10500000</v>
      </c>
      <c r="Q11099">
        <v>10500000</v>
      </c>
      <c r="R11099" s="14">
        <f>_xlfn.XLOOKUP(Table2[[#This Row],[LoanID]],Table1[G-L ID],Table1[ManagerCode],-99)</f>
        <v>298</v>
      </c>
      <c r="T11099"/>
    </row>
    <row r="11100" spans="1:20" x14ac:dyDescent="0.25">
      <c r="A11100">
        <v>20200630</v>
      </c>
      <c r="B11100">
        <v>2020</v>
      </c>
      <c r="C11100">
        <v>6</v>
      </c>
      <c r="D11100">
        <v>1</v>
      </c>
      <c r="E11100">
        <v>13620</v>
      </c>
      <c r="F11100">
        <v>272713.89</v>
      </c>
      <c r="G11100">
        <v>0</v>
      </c>
      <c r="H11100">
        <v>0</v>
      </c>
      <c r="I11100">
        <v>0</v>
      </c>
      <c r="J11100">
        <v>0</v>
      </c>
      <c r="K11100">
        <v>0</v>
      </c>
      <c r="L11100">
        <v>49865510.369999997</v>
      </c>
      <c r="M11100">
        <v>49865510.369999997</v>
      </c>
      <c r="N11100">
        <v>49865510.369999997</v>
      </c>
      <c r="O11100">
        <v>49865510.369999997</v>
      </c>
      <c r="P11100">
        <v>50000000</v>
      </c>
      <c r="Q11100">
        <v>50000000</v>
      </c>
      <c r="R11100" s="14">
        <f>_xlfn.XLOOKUP(Table2[[#This Row],[LoanID]],Table1[G-L ID],Table1[ManagerCode],-99)</f>
        <v>298</v>
      </c>
      <c r="T11100"/>
    </row>
    <row r="11101" spans="1:20" x14ac:dyDescent="0.25">
      <c r="A11101">
        <v>20200630</v>
      </c>
      <c r="B11101">
        <v>2020</v>
      </c>
      <c r="C11101">
        <v>6</v>
      </c>
      <c r="D11101">
        <v>1</v>
      </c>
      <c r="E11101">
        <v>13630</v>
      </c>
      <c r="F11101">
        <v>0</v>
      </c>
      <c r="G11101">
        <v>0</v>
      </c>
      <c r="H11101">
        <v>0</v>
      </c>
      <c r="I11101">
        <v>0</v>
      </c>
      <c r="J11101">
        <v>0</v>
      </c>
      <c r="K11101">
        <v>0</v>
      </c>
      <c r="L11101">
        <v>22527136.07</v>
      </c>
      <c r="M11101">
        <v>22527136.07</v>
      </c>
      <c r="N11101">
        <v>22527136.07</v>
      </c>
      <c r="O11101">
        <v>22527136.07</v>
      </c>
      <c r="P11101">
        <v>35583677.710000001</v>
      </c>
      <c r="Q11101">
        <v>35798662.43</v>
      </c>
      <c r="R11101" s="14">
        <f>_xlfn.XLOOKUP(Table2[[#This Row],[LoanID]],Table1[G-L ID],Table1[ManagerCode],-99)</f>
        <v>298</v>
      </c>
      <c r="T11101"/>
    </row>
    <row r="11102" spans="1:20" x14ac:dyDescent="0.25">
      <c r="A11102">
        <v>20200630</v>
      </c>
      <c r="B11102">
        <v>2020</v>
      </c>
      <c r="C11102">
        <v>6</v>
      </c>
      <c r="D11102">
        <v>1</v>
      </c>
      <c r="E11102">
        <v>13640</v>
      </c>
      <c r="F11102">
        <v>226983.51</v>
      </c>
      <c r="G11102">
        <v>0</v>
      </c>
      <c r="H11102">
        <v>0</v>
      </c>
      <c r="I11102">
        <v>0</v>
      </c>
      <c r="J11102">
        <v>0</v>
      </c>
      <c r="K11102">
        <v>0</v>
      </c>
      <c r="L11102">
        <v>30234429.84</v>
      </c>
      <c r="M11102">
        <v>30234429.84</v>
      </c>
      <c r="N11102">
        <v>30234429.84</v>
      </c>
      <c r="O11102">
        <v>30234429.84</v>
      </c>
      <c r="P11102">
        <v>30125000</v>
      </c>
      <c r="Q11102">
        <v>30125000</v>
      </c>
      <c r="R11102" s="14">
        <f>_xlfn.XLOOKUP(Table2[[#This Row],[LoanID]],Table1[G-L ID],Table1[ManagerCode],-99)</f>
        <v>298</v>
      </c>
      <c r="T11102"/>
    </row>
    <row r="11103" spans="1:20" x14ac:dyDescent="0.25">
      <c r="A11103">
        <v>20200630</v>
      </c>
      <c r="B11103">
        <v>2020</v>
      </c>
      <c r="C11103">
        <v>6</v>
      </c>
      <c r="D11103">
        <v>1</v>
      </c>
      <c r="E11103">
        <v>13650</v>
      </c>
      <c r="F11103">
        <v>223888.89</v>
      </c>
      <c r="G11103">
        <v>0</v>
      </c>
      <c r="H11103">
        <v>0</v>
      </c>
      <c r="I11103">
        <v>0</v>
      </c>
      <c r="J11103">
        <v>0</v>
      </c>
      <c r="K11103">
        <v>0</v>
      </c>
      <c r="L11103">
        <v>39537559.880000003</v>
      </c>
      <c r="M11103">
        <v>39537559.880000003</v>
      </c>
      <c r="N11103">
        <v>39537559.880000003</v>
      </c>
      <c r="O11103">
        <v>39537559.880000003</v>
      </c>
      <c r="P11103">
        <v>40000000</v>
      </c>
      <c r="Q11103">
        <v>40000000</v>
      </c>
      <c r="R11103" s="14">
        <f>_xlfn.XLOOKUP(Table2[[#This Row],[LoanID]],Table1[G-L ID],Table1[ManagerCode],-99)</f>
        <v>298</v>
      </c>
      <c r="T11103"/>
    </row>
    <row r="11104" spans="1:20" x14ac:dyDescent="0.25">
      <c r="A11104">
        <v>20200630</v>
      </c>
      <c r="B11104">
        <v>2020</v>
      </c>
      <c r="C11104">
        <v>6</v>
      </c>
      <c r="D11104">
        <v>1</v>
      </c>
      <c r="E11104">
        <v>13660</v>
      </c>
      <c r="F11104">
        <v>117972.22</v>
      </c>
      <c r="G11104">
        <v>0</v>
      </c>
      <c r="H11104">
        <v>0</v>
      </c>
      <c r="I11104">
        <v>0</v>
      </c>
      <c r="J11104">
        <v>0</v>
      </c>
      <c r="K11104">
        <v>0</v>
      </c>
      <c r="L11104">
        <v>19633684.649999999</v>
      </c>
      <c r="M11104">
        <v>19633684.649999999</v>
      </c>
      <c r="N11104">
        <v>19633684.649999999</v>
      </c>
      <c r="O11104">
        <v>19633684.649999999</v>
      </c>
      <c r="P11104">
        <v>20000000</v>
      </c>
      <c r="Q11104">
        <v>20000000</v>
      </c>
      <c r="R11104" s="14">
        <f>_xlfn.XLOOKUP(Table2[[#This Row],[LoanID]],Table1[G-L ID],Table1[ManagerCode],-99)</f>
        <v>298</v>
      </c>
      <c r="T11104"/>
    </row>
    <row r="11105" spans="1:20" x14ac:dyDescent="0.25">
      <c r="A11105">
        <v>20200630</v>
      </c>
      <c r="B11105">
        <v>2020</v>
      </c>
      <c r="C11105">
        <v>6</v>
      </c>
      <c r="D11105">
        <v>1</v>
      </c>
      <c r="E11105">
        <v>13670</v>
      </c>
      <c r="F11105">
        <v>0</v>
      </c>
      <c r="G11105">
        <v>0</v>
      </c>
      <c r="H11105">
        <v>0</v>
      </c>
      <c r="I11105">
        <v>0</v>
      </c>
      <c r="J11105">
        <v>0</v>
      </c>
      <c r="K11105">
        <v>1</v>
      </c>
      <c r="L11105">
        <v>1</v>
      </c>
      <c r="M11105">
        <v>0</v>
      </c>
      <c r="N11105">
        <v>1</v>
      </c>
      <c r="O11105">
        <v>0</v>
      </c>
      <c r="P11105">
        <v>41933884.450000003</v>
      </c>
      <c r="Q11105">
        <v>0</v>
      </c>
      <c r="R11105" s="14">
        <f>_xlfn.XLOOKUP(Table2[[#This Row],[LoanID]],Table1[G-L ID],Table1[ManagerCode],-99)</f>
        <v>298</v>
      </c>
      <c r="T11105"/>
    </row>
    <row r="11106" spans="1:20" x14ac:dyDescent="0.25">
      <c r="A11106">
        <v>20200630</v>
      </c>
      <c r="B11106">
        <v>2020</v>
      </c>
      <c r="C11106">
        <v>6</v>
      </c>
      <c r="D11106">
        <v>1</v>
      </c>
      <c r="E11106">
        <v>13690</v>
      </c>
      <c r="F11106">
        <v>133472.22</v>
      </c>
      <c r="G11106">
        <v>0</v>
      </c>
      <c r="H11106">
        <v>0</v>
      </c>
      <c r="I11106">
        <v>0</v>
      </c>
      <c r="J11106">
        <v>0</v>
      </c>
      <c r="K11106">
        <v>0</v>
      </c>
      <c r="L11106">
        <v>20825761.02</v>
      </c>
      <c r="M11106">
        <v>20825761.02</v>
      </c>
      <c r="N11106">
        <v>20825761.02</v>
      </c>
      <c r="O11106">
        <v>20825761.02</v>
      </c>
      <c r="P11106">
        <v>20000000</v>
      </c>
      <c r="Q11106">
        <v>20000000</v>
      </c>
      <c r="R11106" s="14">
        <f>_xlfn.XLOOKUP(Table2[[#This Row],[LoanID]],Table1[G-L ID],Table1[ManagerCode],-99)</f>
        <v>298</v>
      </c>
      <c r="T11106"/>
    </row>
    <row r="11107" spans="1:20" x14ac:dyDescent="0.25">
      <c r="A11107">
        <v>20200630</v>
      </c>
      <c r="B11107">
        <v>2020</v>
      </c>
      <c r="C11107">
        <v>6</v>
      </c>
      <c r="D11107">
        <v>1</v>
      </c>
      <c r="E11107">
        <v>13790</v>
      </c>
      <c r="F11107">
        <v>119702.02</v>
      </c>
      <c r="G11107">
        <v>-7383.95</v>
      </c>
      <c r="H11107">
        <v>0</v>
      </c>
      <c r="I11107">
        <v>0</v>
      </c>
      <c r="J11107">
        <v>0</v>
      </c>
      <c r="K11107">
        <v>0</v>
      </c>
      <c r="L11107">
        <v>20722235.82</v>
      </c>
      <c r="M11107">
        <v>20714851.870000001</v>
      </c>
      <c r="N11107">
        <v>20722235.82</v>
      </c>
      <c r="O11107">
        <v>20714851.870000001</v>
      </c>
      <c r="P11107">
        <v>20722235.82</v>
      </c>
      <c r="Q11107">
        <v>20714851.870000001</v>
      </c>
      <c r="R11107" s="14">
        <f>_xlfn.XLOOKUP(Table2[[#This Row],[LoanID]],Table1[G-L ID],Table1[ManagerCode],-99)</f>
        <v>219</v>
      </c>
      <c r="T11107"/>
    </row>
    <row r="11108" spans="1:20" x14ac:dyDescent="0.25">
      <c r="A11108">
        <v>20200630</v>
      </c>
      <c r="B11108">
        <v>2020</v>
      </c>
      <c r="C11108">
        <v>6</v>
      </c>
      <c r="D11108">
        <v>1</v>
      </c>
      <c r="E11108">
        <v>13800</v>
      </c>
      <c r="F11108">
        <v>326559.65000000002</v>
      </c>
      <c r="G11108">
        <v>0</v>
      </c>
      <c r="H11108">
        <v>0</v>
      </c>
      <c r="I11108">
        <v>0</v>
      </c>
      <c r="J11108">
        <v>0</v>
      </c>
      <c r="K11108">
        <v>0</v>
      </c>
      <c r="L11108">
        <v>80700000</v>
      </c>
      <c r="M11108">
        <v>80700000</v>
      </c>
      <c r="N11108">
        <v>32279999.719999999</v>
      </c>
      <c r="O11108">
        <v>32279999.719999999</v>
      </c>
      <c r="P11108">
        <v>80700000</v>
      </c>
      <c r="Q11108">
        <v>80700000</v>
      </c>
      <c r="R11108" s="14">
        <f>_xlfn.XLOOKUP(Table2[[#This Row],[LoanID]],Table1[G-L ID],Table1[ManagerCode],-99)</f>
        <v>183</v>
      </c>
      <c r="T11108"/>
    </row>
    <row r="11109" spans="1:20" x14ac:dyDescent="0.25">
      <c r="A11109">
        <v>20200630</v>
      </c>
      <c r="B11109">
        <v>2020</v>
      </c>
      <c r="C11109">
        <v>6</v>
      </c>
      <c r="D11109">
        <v>1</v>
      </c>
      <c r="E11109">
        <v>13810</v>
      </c>
      <c r="F11109">
        <v>161316.38</v>
      </c>
      <c r="G11109">
        <v>0</v>
      </c>
      <c r="H11109">
        <v>0</v>
      </c>
      <c r="I11109">
        <v>0</v>
      </c>
      <c r="J11109">
        <v>-90598.34</v>
      </c>
      <c r="K11109">
        <v>0</v>
      </c>
      <c r="L11109">
        <v>45344108.020000003</v>
      </c>
      <c r="M11109">
        <v>45434706.359999999</v>
      </c>
      <c r="N11109">
        <v>21218362.239999998</v>
      </c>
      <c r="O11109">
        <v>21308960.579999998</v>
      </c>
      <c r="P11109">
        <v>45404514.799999997</v>
      </c>
      <c r="Q11109">
        <v>45495113.140000001</v>
      </c>
      <c r="R11109" s="14">
        <f>_xlfn.XLOOKUP(Table2[[#This Row],[LoanID]],Table1[G-L ID],Table1[ManagerCode],-99)</f>
        <v>183</v>
      </c>
      <c r="T11109"/>
    </row>
    <row r="11110" spans="1:20" x14ac:dyDescent="0.25">
      <c r="A11110">
        <v>20200630</v>
      </c>
      <c r="B11110">
        <v>2020</v>
      </c>
      <c r="C11110">
        <v>6</v>
      </c>
      <c r="D11110">
        <v>1</v>
      </c>
      <c r="E11110">
        <v>13820</v>
      </c>
      <c r="F11110">
        <v>273204.17</v>
      </c>
      <c r="G11110">
        <v>0</v>
      </c>
      <c r="H11110">
        <v>0</v>
      </c>
      <c r="I11110">
        <v>0</v>
      </c>
      <c r="J11110">
        <v>0</v>
      </c>
      <c r="K11110">
        <v>0</v>
      </c>
      <c r="L11110">
        <v>66458014.899999999</v>
      </c>
      <c r="M11110">
        <v>66458014.899999999</v>
      </c>
      <c r="N11110">
        <v>66458014.899999999</v>
      </c>
      <c r="O11110">
        <v>66458014.899999999</v>
      </c>
      <c r="P11110">
        <v>66500000</v>
      </c>
      <c r="Q11110">
        <v>66500000</v>
      </c>
      <c r="R11110" s="14">
        <f>_xlfn.XLOOKUP(Table2[[#This Row],[LoanID]],Table1[G-L ID],Table1[ManagerCode],-99)</f>
        <v>183</v>
      </c>
      <c r="T11110"/>
    </row>
    <row r="11111" spans="1:20" x14ac:dyDescent="0.25">
      <c r="A11111">
        <v>20200630</v>
      </c>
      <c r="B11111">
        <v>2020</v>
      </c>
      <c r="C11111">
        <v>6</v>
      </c>
      <c r="D11111">
        <v>1</v>
      </c>
      <c r="E11111">
        <v>13830</v>
      </c>
      <c r="F11111">
        <v>283673.15000000002</v>
      </c>
      <c r="G11111">
        <v>0</v>
      </c>
      <c r="H11111">
        <v>0</v>
      </c>
      <c r="I11111">
        <v>0</v>
      </c>
      <c r="J11111">
        <v>-317920.53999999998</v>
      </c>
      <c r="K11111">
        <v>0</v>
      </c>
      <c r="L11111">
        <v>100500478.59999999</v>
      </c>
      <c r="M11111">
        <v>100818399.2</v>
      </c>
      <c r="N11111">
        <v>34850478.600000001</v>
      </c>
      <c r="O11111">
        <v>35168399.200000003</v>
      </c>
      <c r="P11111">
        <v>101000000</v>
      </c>
      <c r="Q11111">
        <v>101317920.5</v>
      </c>
      <c r="R11111" s="14">
        <f>_xlfn.XLOOKUP(Table2[[#This Row],[LoanID]],Table1[G-L ID],Table1[ManagerCode],-99)</f>
        <v>183</v>
      </c>
      <c r="T11111"/>
    </row>
    <row r="11112" spans="1:20" x14ac:dyDescent="0.25">
      <c r="A11112">
        <v>20200630</v>
      </c>
      <c r="B11112">
        <v>2020</v>
      </c>
      <c r="C11112">
        <v>6</v>
      </c>
      <c r="D11112">
        <v>1</v>
      </c>
      <c r="E11112">
        <v>14000</v>
      </c>
      <c r="F11112">
        <v>298476.26</v>
      </c>
      <c r="G11112">
        <v>0</v>
      </c>
      <c r="H11112">
        <v>0</v>
      </c>
      <c r="I11112">
        <v>0</v>
      </c>
      <c r="J11112">
        <v>0</v>
      </c>
      <c r="K11112">
        <v>0</v>
      </c>
      <c r="L11112">
        <v>98000000</v>
      </c>
      <c r="M11112">
        <v>98000000</v>
      </c>
      <c r="N11112">
        <v>39200000</v>
      </c>
      <c r="O11112">
        <v>39200000</v>
      </c>
      <c r="P11112">
        <v>98000000</v>
      </c>
      <c r="Q11112">
        <v>98000000</v>
      </c>
      <c r="R11112" s="14">
        <f>_xlfn.XLOOKUP(Table2[[#This Row],[LoanID]],Table1[G-L ID],Table1[ManagerCode],-99)</f>
        <v>183</v>
      </c>
      <c r="T11112"/>
    </row>
    <row r="11113" spans="1:20" x14ac:dyDescent="0.25">
      <c r="A11113">
        <v>20200630</v>
      </c>
      <c r="B11113">
        <v>2020</v>
      </c>
      <c r="C11113">
        <v>6</v>
      </c>
      <c r="D11113">
        <v>1</v>
      </c>
      <c r="E11113">
        <v>14660</v>
      </c>
      <c r="F11113">
        <v>141670</v>
      </c>
      <c r="G11113">
        <v>-4570</v>
      </c>
      <c r="H11113">
        <v>0</v>
      </c>
      <c r="I11113">
        <v>0</v>
      </c>
      <c r="J11113">
        <v>0</v>
      </c>
      <c r="K11113">
        <v>0</v>
      </c>
      <c r="L11113">
        <v>17754419</v>
      </c>
      <c r="M11113">
        <v>17689606</v>
      </c>
      <c r="N11113">
        <v>17754419</v>
      </c>
      <c r="O11113">
        <v>17689606</v>
      </c>
      <c r="P11113">
        <v>18141670</v>
      </c>
      <c r="Q11113">
        <v>18137100</v>
      </c>
      <c r="R11113" s="14">
        <f>_xlfn.XLOOKUP(Table2[[#This Row],[LoanID]],Table1[G-L ID],Table1[ManagerCode],-99)</f>
        <v>219</v>
      </c>
      <c r="T11113"/>
    </row>
    <row r="11114" spans="1:20" x14ac:dyDescent="0.25">
      <c r="A11114">
        <v>20200630</v>
      </c>
      <c r="B11114">
        <v>2020</v>
      </c>
      <c r="C11114">
        <v>6</v>
      </c>
      <c r="D11114">
        <v>1</v>
      </c>
      <c r="E11114">
        <v>14680</v>
      </c>
      <c r="F11114">
        <v>60281.4</v>
      </c>
      <c r="G11114">
        <v>0</v>
      </c>
      <c r="H11114">
        <v>0</v>
      </c>
      <c r="I11114">
        <v>0</v>
      </c>
      <c r="J11114">
        <v>0</v>
      </c>
      <c r="K11114">
        <v>0</v>
      </c>
      <c r="L11114">
        <v>30930000</v>
      </c>
      <c r="M11114">
        <v>30930000</v>
      </c>
      <c r="N11114">
        <v>8485011.8000000007</v>
      </c>
      <c r="O11114">
        <v>8485011.8000000007</v>
      </c>
      <c r="P11114">
        <v>30863549.23</v>
      </c>
      <c r="Q11114">
        <v>30863549.23</v>
      </c>
      <c r="R11114" s="14">
        <f>_xlfn.XLOOKUP(Table2[[#This Row],[LoanID]],Table1[G-L ID],Table1[ManagerCode],-99)</f>
        <v>220</v>
      </c>
      <c r="T11114"/>
    </row>
    <row r="11115" spans="1:20" x14ac:dyDescent="0.25">
      <c r="A11115">
        <v>20200630</v>
      </c>
      <c r="B11115">
        <v>2020</v>
      </c>
      <c r="C11115">
        <v>6</v>
      </c>
      <c r="D11115">
        <v>1</v>
      </c>
      <c r="E11115">
        <v>14690</v>
      </c>
      <c r="F11115">
        <v>145640.42000000001</v>
      </c>
      <c r="G11115">
        <v>0</v>
      </c>
      <c r="H11115">
        <v>0</v>
      </c>
      <c r="I11115">
        <v>0</v>
      </c>
      <c r="J11115">
        <v>-81381.98</v>
      </c>
      <c r="K11115">
        <v>-4000000</v>
      </c>
      <c r="L11115">
        <v>43553812.619999997</v>
      </c>
      <c r="M11115">
        <v>43671381.979999997</v>
      </c>
      <c r="N11115">
        <v>16036062.619999999</v>
      </c>
      <c r="O11115">
        <v>20153631.98</v>
      </c>
      <c r="P11115">
        <v>43553812.619999997</v>
      </c>
      <c r="Q11115">
        <v>43635194.600000001</v>
      </c>
      <c r="R11115" s="14">
        <f>_xlfn.XLOOKUP(Table2[[#This Row],[LoanID]],Table1[G-L ID],Table1[ManagerCode],-99)</f>
        <v>220</v>
      </c>
      <c r="T11115"/>
    </row>
    <row r="11116" spans="1:20" x14ac:dyDescent="0.25">
      <c r="A11116">
        <v>20200630</v>
      </c>
      <c r="B11116">
        <v>2020</v>
      </c>
      <c r="C11116">
        <v>6</v>
      </c>
      <c r="D11116">
        <v>1</v>
      </c>
      <c r="E11116">
        <v>14700</v>
      </c>
      <c r="F11116">
        <v>127840.89</v>
      </c>
      <c r="G11116">
        <v>0</v>
      </c>
      <c r="H11116">
        <v>0</v>
      </c>
      <c r="I11116">
        <v>0</v>
      </c>
      <c r="J11116">
        <v>0</v>
      </c>
      <c r="K11116">
        <v>-1100000</v>
      </c>
      <c r="L11116">
        <v>36550000</v>
      </c>
      <c r="M11116">
        <v>36550000</v>
      </c>
      <c r="N11116">
        <v>11962500</v>
      </c>
      <c r="O11116">
        <v>13062500</v>
      </c>
      <c r="P11116">
        <v>36526755.630000003</v>
      </c>
      <c r="Q11116">
        <v>36526755.630000003</v>
      </c>
      <c r="R11116" s="14">
        <f>_xlfn.XLOOKUP(Table2[[#This Row],[LoanID]],Table1[G-L ID],Table1[ManagerCode],-99)</f>
        <v>220</v>
      </c>
      <c r="T11116"/>
    </row>
    <row r="11117" spans="1:20" x14ac:dyDescent="0.25">
      <c r="A11117">
        <v>20200630</v>
      </c>
      <c r="B11117">
        <v>2020</v>
      </c>
      <c r="C11117">
        <v>6</v>
      </c>
      <c r="D11117">
        <v>1</v>
      </c>
      <c r="E11117">
        <v>14710</v>
      </c>
      <c r="F11117">
        <v>105146.45</v>
      </c>
      <c r="G11117">
        <v>0</v>
      </c>
      <c r="H11117">
        <v>0</v>
      </c>
      <c r="I11117">
        <v>0</v>
      </c>
      <c r="J11117">
        <v>0</v>
      </c>
      <c r="K11117">
        <v>-2000000</v>
      </c>
      <c r="L11117">
        <v>33670000</v>
      </c>
      <c r="M11117">
        <v>33670000</v>
      </c>
      <c r="N11117">
        <v>11797500</v>
      </c>
      <c r="O11117">
        <v>13797500</v>
      </c>
      <c r="P11117">
        <v>33650000</v>
      </c>
      <c r="Q11117">
        <v>33650000</v>
      </c>
      <c r="R11117" s="14">
        <f>_xlfn.XLOOKUP(Table2[[#This Row],[LoanID]],Table1[G-L ID],Table1[ManagerCode],-99)</f>
        <v>220</v>
      </c>
      <c r="T11117"/>
    </row>
    <row r="11118" spans="1:20" x14ac:dyDescent="0.25">
      <c r="A11118">
        <v>20200630</v>
      </c>
      <c r="B11118">
        <v>2020</v>
      </c>
      <c r="C11118">
        <v>6</v>
      </c>
      <c r="D11118">
        <v>1</v>
      </c>
      <c r="E11118">
        <v>14720</v>
      </c>
      <c r="F11118">
        <v>72158.48</v>
      </c>
      <c r="G11118">
        <v>0</v>
      </c>
      <c r="H11118">
        <v>0</v>
      </c>
      <c r="I11118">
        <v>0</v>
      </c>
      <c r="J11118">
        <v>-270691.8</v>
      </c>
      <c r="K11118">
        <v>0</v>
      </c>
      <c r="L11118">
        <v>23961748.32</v>
      </c>
      <c r="M11118">
        <v>24232440.120000001</v>
      </c>
      <c r="N11118">
        <v>10234748.32</v>
      </c>
      <c r="O11118">
        <v>10505440.119999999</v>
      </c>
      <c r="P11118">
        <v>23957902.399999999</v>
      </c>
      <c r="Q11118">
        <v>24228594.199999999</v>
      </c>
      <c r="R11118" s="14">
        <f>_xlfn.XLOOKUP(Table2[[#This Row],[LoanID]],Table1[G-L ID],Table1[ManagerCode],-99)</f>
        <v>220</v>
      </c>
      <c r="T11118"/>
    </row>
    <row r="11119" spans="1:20" x14ac:dyDescent="0.25">
      <c r="A11119">
        <v>20200630</v>
      </c>
      <c r="B11119">
        <v>2020</v>
      </c>
      <c r="C11119">
        <v>6</v>
      </c>
      <c r="D11119">
        <v>1</v>
      </c>
      <c r="E11119">
        <v>14740</v>
      </c>
      <c r="F11119">
        <v>0</v>
      </c>
      <c r="G11119">
        <v>159639.88</v>
      </c>
      <c r="H11119">
        <v>0</v>
      </c>
      <c r="I11119">
        <v>0</v>
      </c>
      <c r="J11119">
        <v>0</v>
      </c>
      <c r="K11119">
        <v>0</v>
      </c>
      <c r="L11119">
        <v>34882046.420000002</v>
      </c>
      <c r="M11119">
        <v>33770000</v>
      </c>
      <c r="N11119">
        <v>34882046.420000002</v>
      </c>
      <c r="O11119">
        <v>33770000</v>
      </c>
      <c r="P11119">
        <v>35312046.420000002</v>
      </c>
      <c r="Q11119">
        <v>35471686.299999997</v>
      </c>
      <c r="R11119" s="14">
        <f>_xlfn.XLOOKUP(Table2[[#This Row],[LoanID]],Table1[G-L ID],Table1[ManagerCode],-99)</f>
        <v>220</v>
      </c>
      <c r="T11119"/>
    </row>
    <row r="11120" spans="1:20" x14ac:dyDescent="0.25">
      <c r="A11120">
        <v>20200630</v>
      </c>
      <c r="B11120">
        <v>2020</v>
      </c>
      <c r="C11120">
        <v>6</v>
      </c>
      <c r="D11120">
        <v>1</v>
      </c>
      <c r="E11120">
        <v>14750</v>
      </c>
      <c r="F11120">
        <v>162479.1</v>
      </c>
      <c r="G11120">
        <v>0</v>
      </c>
      <c r="H11120">
        <v>0</v>
      </c>
      <c r="I11120">
        <v>0</v>
      </c>
      <c r="J11120">
        <v>0</v>
      </c>
      <c r="K11120">
        <v>-4000000</v>
      </c>
      <c r="L11120">
        <v>60969967.240000002</v>
      </c>
      <c r="M11120">
        <v>60969967.240000002</v>
      </c>
      <c r="N11120">
        <v>25219967.239999998</v>
      </c>
      <c r="O11120">
        <v>29219967.239999998</v>
      </c>
      <c r="P11120">
        <v>60969967.240000002</v>
      </c>
      <c r="Q11120">
        <v>60969967.240000002</v>
      </c>
      <c r="R11120" s="14">
        <f>_xlfn.XLOOKUP(Table2[[#This Row],[LoanID]],Table1[G-L ID],Table1[ManagerCode],-99)</f>
        <v>220</v>
      </c>
      <c r="T11120"/>
    </row>
    <row r="11121" spans="1:20" x14ac:dyDescent="0.25">
      <c r="A11121">
        <v>20200630</v>
      </c>
      <c r="B11121">
        <v>2020</v>
      </c>
      <c r="C11121">
        <v>6</v>
      </c>
      <c r="D11121">
        <v>1</v>
      </c>
      <c r="E11121">
        <v>14760</v>
      </c>
      <c r="F11121">
        <v>322409.3</v>
      </c>
      <c r="G11121">
        <v>0</v>
      </c>
      <c r="H11121">
        <v>0</v>
      </c>
      <c r="I11121">
        <v>0</v>
      </c>
      <c r="J11121">
        <v>0</v>
      </c>
      <c r="K11121">
        <v>-11000000</v>
      </c>
      <c r="L11121">
        <v>105200000</v>
      </c>
      <c r="M11121">
        <v>105200000</v>
      </c>
      <c r="N11121">
        <v>26450000</v>
      </c>
      <c r="O11121">
        <v>37450000</v>
      </c>
      <c r="P11121">
        <v>105000000</v>
      </c>
      <c r="Q11121">
        <v>105000000</v>
      </c>
      <c r="R11121" s="14">
        <f>_xlfn.XLOOKUP(Table2[[#This Row],[LoanID]],Table1[G-L ID],Table1[ManagerCode],-99)</f>
        <v>220</v>
      </c>
      <c r="T11121"/>
    </row>
    <row r="11122" spans="1:20" x14ac:dyDescent="0.25">
      <c r="A11122">
        <v>20200630</v>
      </c>
      <c r="B11122">
        <v>2020</v>
      </c>
      <c r="C11122">
        <v>6</v>
      </c>
      <c r="D11122">
        <v>1</v>
      </c>
      <c r="E11122">
        <v>14770</v>
      </c>
      <c r="F11122">
        <v>248038.75</v>
      </c>
      <c r="G11122">
        <v>0</v>
      </c>
      <c r="H11122">
        <v>0</v>
      </c>
      <c r="I11122">
        <v>0</v>
      </c>
      <c r="J11122">
        <v>0</v>
      </c>
      <c r="K11122">
        <v>0</v>
      </c>
      <c r="L11122">
        <v>55650000</v>
      </c>
      <c r="M11122">
        <v>55650000</v>
      </c>
      <c r="N11122">
        <v>55650000</v>
      </c>
      <c r="O11122">
        <v>55650000</v>
      </c>
      <c r="P11122">
        <v>55500000</v>
      </c>
      <c r="Q11122">
        <v>55500000</v>
      </c>
      <c r="R11122" s="14">
        <f>_xlfn.XLOOKUP(Table2[[#This Row],[LoanID]],Table1[G-L ID],Table1[ManagerCode],-99)</f>
        <v>220</v>
      </c>
      <c r="T11122"/>
    </row>
    <row r="11123" spans="1:20" x14ac:dyDescent="0.25">
      <c r="A11123">
        <v>20200630</v>
      </c>
      <c r="B11123">
        <v>2020</v>
      </c>
      <c r="C11123">
        <v>6</v>
      </c>
      <c r="D11123">
        <v>1</v>
      </c>
      <c r="E11123">
        <v>14780</v>
      </c>
      <c r="F11123">
        <v>156212.54</v>
      </c>
      <c r="G11123">
        <v>0</v>
      </c>
      <c r="H11123">
        <v>0</v>
      </c>
      <c r="I11123">
        <v>0</v>
      </c>
      <c r="J11123">
        <v>0</v>
      </c>
      <c r="K11123">
        <v>-2000000</v>
      </c>
      <c r="L11123">
        <v>51010000</v>
      </c>
      <c r="M11123">
        <v>51010000</v>
      </c>
      <c r="N11123">
        <v>15310000</v>
      </c>
      <c r="O11123">
        <v>17310000</v>
      </c>
      <c r="P11123">
        <v>51000000</v>
      </c>
      <c r="Q11123">
        <v>51000000</v>
      </c>
      <c r="R11123" s="14">
        <f>_xlfn.XLOOKUP(Table2[[#This Row],[LoanID]],Table1[G-L ID],Table1[ManagerCode],-99)</f>
        <v>220</v>
      </c>
      <c r="T11123"/>
    </row>
    <row r="11124" spans="1:20" x14ac:dyDescent="0.25">
      <c r="A11124">
        <v>20200630</v>
      </c>
      <c r="B11124">
        <v>2020</v>
      </c>
      <c r="C11124">
        <v>6</v>
      </c>
      <c r="D11124">
        <v>1</v>
      </c>
      <c r="E11124">
        <v>14790</v>
      </c>
      <c r="F11124">
        <v>188157.33</v>
      </c>
      <c r="G11124">
        <v>0</v>
      </c>
      <c r="H11124">
        <v>0</v>
      </c>
      <c r="I11124">
        <v>0</v>
      </c>
      <c r="J11124">
        <v>0</v>
      </c>
      <c r="K11124">
        <v>0</v>
      </c>
      <c r="L11124">
        <v>80390000</v>
      </c>
      <c r="M11124">
        <v>80390000</v>
      </c>
      <c r="N11124">
        <v>25990000</v>
      </c>
      <c r="O11124">
        <v>25990000</v>
      </c>
      <c r="P11124">
        <v>80000000</v>
      </c>
      <c r="Q11124">
        <v>80000000</v>
      </c>
      <c r="R11124" s="14">
        <f>_xlfn.XLOOKUP(Table2[[#This Row],[LoanID]],Table1[G-L ID],Table1[ManagerCode],-99)</f>
        <v>220</v>
      </c>
      <c r="T11124"/>
    </row>
    <row r="11125" spans="1:20" x14ac:dyDescent="0.25">
      <c r="A11125">
        <v>20200630</v>
      </c>
      <c r="B11125">
        <v>2020</v>
      </c>
      <c r="C11125">
        <v>6</v>
      </c>
      <c r="D11125">
        <v>1</v>
      </c>
      <c r="E11125">
        <v>14810</v>
      </c>
      <c r="F11125">
        <v>50061</v>
      </c>
      <c r="G11125">
        <v>44396</v>
      </c>
      <c r="H11125">
        <v>0</v>
      </c>
      <c r="I11125">
        <v>0</v>
      </c>
      <c r="J11125">
        <v>0</v>
      </c>
      <c r="K11125">
        <v>0</v>
      </c>
      <c r="L11125">
        <v>24930000</v>
      </c>
      <c r="M11125">
        <v>24974396</v>
      </c>
      <c r="N11125">
        <v>24930000</v>
      </c>
      <c r="O11125">
        <v>24974396</v>
      </c>
      <c r="P11125">
        <v>24930000</v>
      </c>
      <c r="Q11125">
        <v>24974396</v>
      </c>
      <c r="R11125" s="14">
        <f>_xlfn.XLOOKUP(Table2[[#This Row],[LoanID]],Table1[G-L ID],Table1[ManagerCode],-99)</f>
        <v>220</v>
      </c>
      <c r="T11125"/>
    </row>
    <row r="11126" spans="1:20" x14ac:dyDescent="0.25">
      <c r="A11126">
        <v>20200630</v>
      </c>
      <c r="B11126">
        <v>2020</v>
      </c>
      <c r="C11126">
        <v>6</v>
      </c>
      <c r="D11126">
        <v>1</v>
      </c>
      <c r="E11126">
        <v>14820</v>
      </c>
      <c r="F11126">
        <v>88571.23</v>
      </c>
      <c r="G11126">
        <v>0</v>
      </c>
      <c r="H11126">
        <v>0</v>
      </c>
      <c r="I11126">
        <v>0</v>
      </c>
      <c r="J11126">
        <v>0</v>
      </c>
      <c r="K11126">
        <v>0</v>
      </c>
      <c r="L11126">
        <v>23287391.140000001</v>
      </c>
      <c r="M11126">
        <v>23287391.140000001</v>
      </c>
      <c r="N11126">
        <v>6404032.5599999996</v>
      </c>
      <c r="O11126">
        <v>6404032.5599999996</v>
      </c>
      <c r="P11126">
        <v>23287391.140000001</v>
      </c>
      <c r="Q11126">
        <v>23287391.140000001</v>
      </c>
      <c r="R11126" s="14">
        <f>_xlfn.XLOOKUP(Table2[[#This Row],[LoanID]],Table1[G-L ID],Table1[ManagerCode],-99)</f>
        <v>220</v>
      </c>
      <c r="T11126"/>
    </row>
    <row r="11127" spans="1:20" x14ac:dyDescent="0.25">
      <c r="A11127">
        <v>20200630</v>
      </c>
      <c r="B11127">
        <v>2020</v>
      </c>
      <c r="C11127">
        <v>6</v>
      </c>
      <c r="D11127">
        <v>1</v>
      </c>
      <c r="E11127">
        <v>14840</v>
      </c>
      <c r="F11127">
        <v>94683.09</v>
      </c>
      <c r="G11127">
        <v>0</v>
      </c>
      <c r="H11127">
        <v>0</v>
      </c>
      <c r="I11127">
        <v>0</v>
      </c>
      <c r="J11127">
        <v>0</v>
      </c>
      <c r="K11127">
        <v>-2000000</v>
      </c>
      <c r="L11127">
        <v>32687590.16</v>
      </c>
      <c r="M11127">
        <v>32687590.16</v>
      </c>
      <c r="N11127">
        <v>13489057.119999999</v>
      </c>
      <c r="O11127">
        <v>15489057.119999999</v>
      </c>
      <c r="P11127">
        <v>32657590.16</v>
      </c>
      <c r="Q11127">
        <v>32657590.16</v>
      </c>
      <c r="R11127" s="14">
        <f>_xlfn.XLOOKUP(Table2[[#This Row],[LoanID]],Table1[G-L ID],Table1[ManagerCode],-99)</f>
        <v>220</v>
      </c>
      <c r="T11127"/>
    </row>
    <row r="11128" spans="1:20" x14ac:dyDescent="0.25">
      <c r="A11128">
        <v>20200630</v>
      </c>
      <c r="B11128">
        <v>2020</v>
      </c>
      <c r="C11128">
        <v>6</v>
      </c>
      <c r="D11128">
        <v>1</v>
      </c>
      <c r="E11128">
        <v>14850</v>
      </c>
      <c r="F11128">
        <v>218503.62</v>
      </c>
      <c r="G11128">
        <v>0</v>
      </c>
      <c r="H11128">
        <v>0</v>
      </c>
      <c r="I11128">
        <v>0</v>
      </c>
      <c r="J11128">
        <v>0</v>
      </c>
      <c r="K11128">
        <v>-5000000</v>
      </c>
      <c r="L11128">
        <v>88265094.780000001</v>
      </c>
      <c r="M11128">
        <v>88265094.780000001</v>
      </c>
      <c r="N11128">
        <v>36636568.899999999</v>
      </c>
      <c r="O11128">
        <v>41636568.899999999</v>
      </c>
      <c r="P11128">
        <v>88282409.599999994</v>
      </c>
      <c r="Q11128">
        <v>88282409.599999994</v>
      </c>
      <c r="R11128" s="14">
        <f>_xlfn.XLOOKUP(Table2[[#This Row],[LoanID]],Table1[G-L ID],Table1[ManagerCode],-99)</f>
        <v>220</v>
      </c>
      <c r="T11128"/>
    </row>
    <row r="11129" spans="1:20" x14ac:dyDescent="0.25">
      <c r="A11129">
        <v>20200630</v>
      </c>
      <c r="B11129">
        <v>2020</v>
      </c>
      <c r="C11129">
        <v>6</v>
      </c>
      <c r="D11129">
        <v>1</v>
      </c>
      <c r="E11129">
        <v>14870</v>
      </c>
      <c r="F11129">
        <v>642014.18000000005</v>
      </c>
      <c r="G11129">
        <v>0</v>
      </c>
      <c r="H11129">
        <v>0</v>
      </c>
      <c r="I11129">
        <v>0</v>
      </c>
      <c r="J11129">
        <v>-805258</v>
      </c>
      <c r="K11129">
        <v>0</v>
      </c>
      <c r="L11129">
        <v>124620522</v>
      </c>
      <c r="M11129">
        <v>125425780</v>
      </c>
      <c r="N11129">
        <v>124619522</v>
      </c>
      <c r="O11129">
        <v>125424780</v>
      </c>
      <c r="P11129">
        <v>124551742</v>
      </c>
      <c r="Q11129">
        <v>125357000</v>
      </c>
      <c r="R11129" s="14">
        <f>_xlfn.XLOOKUP(Table2[[#This Row],[LoanID]],Table1[G-L ID],Table1[ManagerCode],-99)</f>
        <v>220</v>
      </c>
      <c r="T11129"/>
    </row>
    <row r="11130" spans="1:20" x14ac:dyDescent="0.25">
      <c r="A11130">
        <v>20200630</v>
      </c>
      <c r="B11130">
        <v>2020</v>
      </c>
      <c r="C11130">
        <v>6</v>
      </c>
      <c r="D11130">
        <v>1</v>
      </c>
      <c r="E11130">
        <v>14880</v>
      </c>
      <c r="F11130">
        <v>127479.39</v>
      </c>
      <c r="G11130">
        <v>0</v>
      </c>
      <c r="H11130">
        <v>0</v>
      </c>
      <c r="I11130">
        <v>0</v>
      </c>
      <c r="J11130">
        <v>0</v>
      </c>
      <c r="K11130">
        <v>0</v>
      </c>
      <c r="L11130">
        <v>20296304.09</v>
      </c>
      <c r="M11130">
        <v>20296304.09</v>
      </c>
      <c r="N11130">
        <v>20296304.09</v>
      </c>
      <c r="O11130">
        <v>20296304.09</v>
      </c>
      <c r="P11130">
        <v>20296304.09</v>
      </c>
      <c r="Q11130">
        <v>20296304.09</v>
      </c>
      <c r="R11130" s="14">
        <f>_xlfn.XLOOKUP(Table2[[#This Row],[LoanID]],Table1[G-L ID],Table1[ManagerCode],-99)</f>
        <v>220</v>
      </c>
      <c r="T11130"/>
    </row>
    <row r="11131" spans="1:20" x14ac:dyDescent="0.25">
      <c r="A11131">
        <v>20200630</v>
      </c>
      <c r="B11131">
        <v>2020</v>
      </c>
      <c r="C11131">
        <v>6</v>
      </c>
      <c r="D11131">
        <v>1</v>
      </c>
      <c r="E11131">
        <v>14890</v>
      </c>
      <c r="F11131">
        <v>79433.350000000006</v>
      </c>
      <c r="G11131">
        <v>0</v>
      </c>
      <c r="H11131">
        <v>0</v>
      </c>
      <c r="I11131">
        <v>0</v>
      </c>
      <c r="J11131">
        <v>0</v>
      </c>
      <c r="K11131">
        <v>-3000000</v>
      </c>
      <c r="L11131">
        <v>34000000</v>
      </c>
      <c r="M11131">
        <v>34000000</v>
      </c>
      <c r="N11131">
        <v>14177663.98</v>
      </c>
      <c r="O11131">
        <v>17177663.98</v>
      </c>
      <c r="P11131">
        <v>34000000</v>
      </c>
      <c r="Q11131">
        <v>34000000</v>
      </c>
      <c r="R11131" s="14">
        <f>_xlfn.XLOOKUP(Table2[[#This Row],[LoanID]],Table1[G-L ID],Table1[ManagerCode],-99)</f>
        <v>220</v>
      </c>
      <c r="T11131"/>
    </row>
    <row r="11132" spans="1:20" x14ac:dyDescent="0.25">
      <c r="A11132">
        <v>20200630</v>
      </c>
      <c r="B11132">
        <v>2020</v>
      </c>
      <c r="C11132">
        <v>6</v>
      </c>
      <c r="D11132">
        <v>1</v>
      </c>
      <c r="E11132">
        <v>14900</v>
      </c>
      <c r="F11132">
        <v>166465.23000000001</v>
      </c>
      <c r="G11132">
        <v>0</v>
      </c>
      <c r="H11132">
        <v>0</v>
      </c>
      <c r="I11132">
        <v>0</v>
      </c>
      <c r="J11132">
        <v>0</v>
      </c>
      <c r="K11132">
        <v>-9894750</v>
      </c>
      <c r="L11132">
        <v>66277360.850000001</v>
      </c>
      <c r="M11132">
        <v>66277360.850000001</v>
      </c>
      <c r="N11132">
        <v>24677360.850000001</v>
      </c>
      <c r="O11132">
        <v>34572110.850000001</v>
      </c>
      <c r="P11132">
        <v>66277360.850000001</v>
      </c>
      <c r="Q11132">
        <v>66277360.850000001</v>
      </c>
      <c r="R11132" s="14">
        <f>_xlfn.XLOOKUP(Table2[[#This Row],[LoanID]],Table1[G-L ID],Table1[ManagerCode],-99)</f>
        <v>220</v>
      </c>
      <c r="T11132"/>
    </row>
    <row r="11133" spans="1:20" x14ac:dyDescent="0.25">
      <c r="A11133">
        <v>20200630</v>
      </c>
      <c r="B11133">
        <v>2020</v>
      </c>
      <c r="C11133">
        <v>6</v>
      </c>
      <c r="D11133">
        <v>1</v>
      </c>
      <c r="E11133">
        <v>14910</v>
      </c>
      <c r="F11133">
        <v>121983.67999999999</v>
      </c>
      <c r="G11133">
        <v>0</v>
      </c>
      <c r="H11133">
        <v>0</v>
      </c>
      <c r="I11133">
        <v>0</v>
      </c>
      <c r="J11133">
        <v>0</v>
      </c>
      <c r="K11133">
        <v>-3000000</v>
      </c>
      <c r="L11133">
        <v>40110000</v>
      </c>
      <c r="M11133">
        <v>40110000</v>
      </c>
      <c r="N11133">
        <v>13510000</v>
      </c>
      <c r="O11133">
        <v>16510000</v>
      </c>
      <c r="P11133">
        <v>40000000</v>
      </c>
      <c r="Q11133">
        <v>40000000</v>
      </c>
      <c r="R11133" s="14">
        <f>_xlfn.XLOOKUP(Table2[[#This Row],[LoanID]],Table1[G-L ID],Table1[ManagerCode],-99)</f>
        <v>220</v>
      </c>
      <c r="T11133"/>
    </row>
    <row r="11134" spans="1:20" x14ac:dyDescent="0.25">
      <c r="A11134">
        <v>20200630</v>
      </c>
      <c r="B11134">
        <v>2020</v>
      </c>
      <c r="C11134">
        <v>6</v>
      </c>
      <c r="D11134">
        <v>1</v>
      </c>
      <c r="E11134">
        <v>14920</v>
      </c>
      <c r="F11134">
        <v>214771.34</v>
      </c>
      <c r="G11134">
        <v>0</v>
      </c>
      <c r="H11134">
        <v>0</v>
      </c>
      <c r="I11134">
        <v>0</v>
      </c>
      <c r="J11134">
        <v>0</v>
      </c>
      <c r="K11134">
        <v>-5000000</v>
      </c>
      <c r="L11134">
        <v>71154409.989999995</v>
      </c>
      <c r="M11134">
        <v>71154409.989999995</v>
      </c>
      <c r="N11134">
        <v>22154409.989999998</v>
      </c>
      <c r="O11134">
        <v>27154409.989999998</v>
      </c>
      <c r="P11134">
        <v>71154409.989999995</v>
      </c>
      <c r="Q11134">
        <v>71154409.989999995</v>
      </c>
      <c r="R11134" s="14">
        <f>_xlfn.XLOOKUP(Table2[[#This Row],[LoanID]],Table1[G-L ID],Table1[ManagerCode],-99)</f>
        <v>220</v>
      </c>
      <c r="T11134"/>
    </row>
    <row r="11135" spans="1:20" x14ac:dyDescent="0.25">
      <c r="A11135">
        <v>20200630</v>
      </c>
      <c r="B11135">
        <v>2020</v>
      </c>
      <c r="C11135">
        <v>6</v>
      </c>
      <c r="D11135">
        <v>1</v>
      </c>
      <c r="E11135">
        <v>14930</v>
      </c>
      <c r="F11135">
        <v>133463.24</v>
      </c>
      <c r="G11135">
        <v>0</v>
      </c>
      <c r="H11135">
        <v>0</v>
      </c>
      <c r="I11135">
        <v>0</v>
      </c>
      <c r="J11135">
        <v>0</v>
      </c>
      <c r="K11135">
        <v>-400000</v>
      </c>
      <c r="L11135">
        <v>55020000</v>
      </c>
      <c r="M11135">
        <v>55020000</v>
      </c>
      <c r="N11135">
        <v>19270000</v>
      </c>
      <c r="O11135">
        <v>19670000</v>
      </c>
      <c r="P11135">
        <v>55000000</v>
      </c>
      <c r="Q11135">
        <v>55000000</v>
      </c>
      <c r="R11135" s="14">
        <f>_xlfn.XLOOKUP(Table2[[#This Row],[LoanID]],Table1[G-L ID],Table1[ManagerCode],-99)</f>
        <v>220</v>
      </c>
      <c r="T11135"/>
    </row>
    <row r="11136" spans="1:20" x14ac:dyDescent="0.25">
      <c r="A11136">
        <v>20200630</v>
      </c>
      <c r="B11136">
        <v>2020</v>
      </c>
      <c r="C11136">
        <v>6</v>
      </c>
      <c r="D11136">
        <v>1</v>
      </c>
      <c r="E11136">
        <v>14940</v>
      </c>
      <c r="F11136">
        <v>205538.92</v>
      </c>
      <c r="G11136">
        <v>0</v>
      </c>
      <c r="H11136">
        <v>0</v>
      </c>
      <c r="I11136">
        <v>0</v>
      </c>
      <c r="J11136">
        <v>-305730.75</v>
      </c>
      <c r="K11136">
        <v>0</v>
      </c>
      <c r="L11136">
        <v>78760310.739999995</v>
      </c>
      <c r="M11136">
        <v>78620000</v>
      </c>
      <c r="N11136">
        <v>40304368.969999999</v>
      </c>
      <c r="O11136">
        <v>40164058.229999997</v>
      </c>
      <c r="P11136">
        <v>78657245.620000005</v>
      </c>
      <c r="Q11136">
        <v>78962976.370000005</v>
      </c>
      <c r="R11136" s="14">
        <f>_xlfn.XLOOKUP(Table2[[#This Row],[LoanID]],Table1[G-L ID],Table1[ManagerCode],-99)</f>
        <v>220</v>
      </c>
      <c r="T11136"/>
    </row>
    <row r="11137" spans="1:20" x14ac:dyDescent="0.25">
      <c r="A11137">
        <v>20200630</v>
      </c>
      <c r="B11137">
        <v>2020</v>
      </c>
      <c r="C11137">
        <v>6</v>
      </c>
      <c r="D11137">
        <v>1</v>
      </c>
      <c r="E11137">
        <v>14960</v>
      </c>
      <c r="F11137">
        <v>-1.61</v>
      </c>
      <c r="G11137">
        <v>29794.240000000002</v>
      </c>
      <c r="H11137">
        <v>0</v>
      </c>
      <c r="I11137">
        <v>0</v>
      </c>
      <c r="J11137">
        <v>0</v>
      </c>
      <c r="K11137">
        <v>0</v>
      </c>
      <c r="L11137">
        <v>14894260.33</v>
      </c>
      <c r="M11137">
        <v>14745000</v>
      </c>
      <c r="N11137">
        <v>14893260.33</v>
      </c>
      <c r="O11137">
        <v>14744000</v>
      </c>
      <c r="P11137">
        <v>14859260.33</v>
      </c>
      <c r="Q11137">
        <v>14889054.57</v>
      </c>
      <c r="R11137" s="14">
        <f>_xlfn.XLOOKUP(Table2[[#This Row],[LoanID]],Table1[G-L ID],Table1[ManagerCode],-99)</f>
        <v>220</v>
      </c>
      <c r="T11137"/>
    </row>
    <row r="11138" spans="1:20" x14ac:dyDescent="0.25">
      <c r="A11138">
        <v>20200630</v>
      </c>
      <c r="B11138">
        <v>2020</v>
      </c>
      <c r="C11138">
        <v>6</v>
      </c>
      <c r="D11138">
        <v>1</v>
      </c>
      <c r="E11138">
        <v>14970</v>
      </c>
      <c r="F11138">
        <v>96003.76</v>
      </c>
      <c r="G11138">
        <v>0</v>
      </c>
      <c r="H11138">
        <v>0</v>
      </c>
      <c r="I11138">
        <v>0</v>
      </c>
      <c r="J11138">
        <v>0</v>
      </c>
      <c r="K11138">
        <v>-4500000</v>
      </c>
      <c r="L11138">
        <v>29720000</v>
      </c>
      <c r="M11138">
        <v>29720000</v>
      </c>
      <c r="N11138">
        <v>10415000</v>
      </c>
      <c r="O11138">
        <v>14915000</v>
      </c>
      <c r="P11138">
        <v>29700000</v>
      </c>
      <c r="Q11138">
        <v>29700000</v>
      </c>
      <c r="R11138" s="14">
        <f>_xlfn.XLOOKUP(Table2[[#This Row],[LoanID]],Table1[G-L ID],Table1[ManagerCode],-99)</f>
        <v>220</v>
      </c>
      <c r="T11138"/>
    </row>
    <row r="11139" spans="1:20" x14ac:dyDescent="0.25">
      <c r="A11139">
        <v>20200630</v>
      </c>
      <c r="B11139">
        <v>2020</v>
      </c>
      <c r="C11139">
        <v>6</v>
      </c>
      <c r="D11139">
        <v>1</v>
      </c>
      <c r="E11139">
        <v>14980</v>
      </c>
      <c r="F11139">
        <v>230172.08</v>
      </c>
      <c r="G11139">
        <v>0</v>
      </c>
      <c r="H11139">
        <v>0</v>
      </c>
      <c r="I11139">
        <v>0</v>
      </c>
      <c r="J11139">
        <v>0</v>
      </c>
      <c r="K11139">
        <v>-7000000</v>
      </c>
      <c r="L11139">
        <v>75040000</v>
      </c>
      <c r="M11139">
        <v>75040000</v>
      </c>
      <c r="N11139">
        <v>22540000</v>
      </c>
      <c r="O11139">
        <v>29540000</v>
      </c>
      <c r="P11139">
        <v>75000000</v>
      </c>
      <c r="Q11139">
        <v>75000000</v>
      </c>
      <c r="R11139" s="14">
        <f>_xlfn.XLOOKUP(Table2[[#This Row],[LoanID]],Table1[G-L ID],Table1[ManagerCode],-99)</f>
        <v>220</v>
      </c>
      <c r="T11139"/>
    </row>
    <row r="11140" spans="1:20" x14ac:dyDescent="0.25">
      <c r="A11140">
        <v>20200630</v>
      </c>
      <c r="B11140">
        <v>2020</v>
      </c>
      <c r="C11140">
        <v>6</v>
      </c>
      <c r="D11140">
        <v>1</v>
      </c>
      <c r="E11140">
        <v>14990</v>
      </c>
      <c r="F11140">
        <v>97833.09</v>
      </c>
      <c r="G11140">
        <v>0</v>
      </c>
      <c r="H11140">
        <v>0</v>
      </c>
      <c r="I11140">
        <v>0</v>
      </c>
      <c r="J11140">
        <v>0</v>
      </c>
      <c r="K11140">
        <v>-3000000</v>
      </c>
      <c r="L11140">
        <v>33010000</v>
      </c>
      <c r="M11140">
        <v>33010000</v>
      </c>
      <c r="N11140">
        <v>10155000</v>
      </c>
      <c r="O11140">
        <v>13155000</v>
      </c>
      <c r="P11140">
        <v>32900768.02</v>
      </c>
      <c r="Q11140">
        <v>32900768.02</v>
      </c>
      <c r="R11140" s="14">
        <f>_xlfn.XLOOKUP(Table2[[#This Row],[LoanID]],Table1[G-L ID],Table1[ManagerCode],-99)</f>
        <v>220</v>
      </c>
      <c r="T11140"/>
    </row>
    <row r="11141" spans="1:20" x14ac:dyDescent="0.25">
      <c r="A11141">
        <v>20200630</v>
      </c>
      <c r="B11141">
        <v>2020</v>
      </c>
      <c r="C11141">
        <v>6</v>
      </c>
      <c r="D11141">
        <v>1</v>
      </c>
      <c r="E11141">
        <v>15000</v>
      </c>
      <c r="F11141">
        <v>261248.48</v>
      </c>
      <c r="G11141">
        <v>0</v>
      </c>
      <c r="H11141">
        <v>0</v>
      </c>
      <c r="I11141">
        <v>0</v>
      </c>
      <c r="J11141">
        <v>-571292.36</v>
      </c>
      <c r="K11141">
        <v>0</v>
      </c>
      <c r="L11141">
        <v>114442516.09999999</v>
      </c>
      <c r="M11141">
        <v>113900000</v>
      </c>
      <c r="N11141">
        <v>37442516.100000001</v>
      </c>
      <c r="O11141">
        <v>36900000</v>
      </c>
      <c r="P11141">
        <v>114442516.09999999</v>
      </c>
      <c r="Q11141">
        <v>115013808.5</v>
      </c>
      <c r="R11141" s="14">
        <f>_xlfn.XLOOKUP(Table2[[#This Row],[LoanID]],Table1[G-L ID],Table1[ManagerCode],-99)</f>
        <v>220</v>
      </c>
      <c r="T11141"/>
    </row>
    <row r="11142" spans="1:20" x14ac:dyDescent="0.25">
      <c r="A11142">
        <v>20200630</v>
      </c>
      <c r="B11142">
        <v>2020</v>
      </c>
      <c r="C11142">
        <v>6</v>
      </c>
      <c r="D11142">
        <v>1</v>
      </c>
      <c r="E11142">
        <v>15010</v>
      </c>
      <c r="F11142">
        <v>107992.66</v>
      </c>
      <c r="G11142">
        <v>0</v>
      </c>
      <c r="H11142">
        <v>0</v>
      </c>
      <c r="I11142">
        <v>0</v>
      </c>
      <c r="J11142">
        <v>0</v>
      </c>
      <c r="K11142">
        <v>-3100000</v>
      </c>
      <c r="L11142">
        <v>33110000</v>
      </c>
      <c r="M11142">
        <v>33110000</v>
      </c>
      <c r="N11142">
        <v>12986000</v>
      </c>
      <c r="O11142">
        <v>16086000</v>
      </c>
      <c r="P11142">
        <v>33082625.66</v>
      </c>
      <c r="Q11142">
        <v>33082625.66</v>
      </c>
      <c r="R11142" s="14">
        <f>_xlfn.XLOOKUP(Table2[[#This Row],[LoanID]],Table1[G-L ID],Table1[ManagerCode],-99)</f>
        <v>220</v>
      </c>
      <c r="T11142"/>
    </row>
    <row r="11143" spans="1:20" x14ac:dyDescent="0.25">
      <c r="A11143">
        <v>20200630</v>
      </c>
      <c r="B11143">
        <v>2020</v>
      </c>
      <c r="C11143">
        <v>6</v>
      </c>
      <c r="D11143">
        <v>1</v>
      </c>
      <c r="E11143">
        <v>15020</v>
      </c>
      <c r="F11143">
        <v>173598.75</v>
      </c>
      <c r="G11143">
        <v>0</v>
      </c>
      <c r="H11143">
        <v>0</v>
      </c>
      <c r="I11143">
        <v>0</v>
      </c>
      <c r="J11143">
        <v>0</v>
      </c>
      <c r="K11143">
        <v>0</v>
      </c>
      <c r="L11143">
        <v>69340000</v>
      </c>
      <c r="M11143">
        <v>69340000</v>
      </c>
      <c r="N11143">
        <v>36221358.579999998</v>
      </c>
      <c r="O11143">
        <v>36221358.579999998</v>
      </c>
      <c r="P11143">
        <v>69000000</v>
      </c>
      <c r="Q11143">
        <v>69000000</v>
      </c>
      <c r="R11143" s="14">
        <f>_xlfn.XLOOKUP(Table2[[#This Row],[LoanID]],Table1[G-L ID],Table1[ManagerCode],-99)</f>
        <v>220</v>
      </c>
      <c r="T11143"/>
    </row>
    <row r="11144" spans="1:20" x14ac:dyDescent="0.25">
      <c r="A11144">
        <v>20200630</v>
      </c>
      <c r="B11144">
        <v>2020</v>
      </c>
      <c r="C11144">
        <v>6</v>
      </c>
      <c r="D11144">
        <v>1</v>
      </c>
      <c r="E11144">
        <v>15030</v>
      </c>
      <c r="F11144">
        <v>103198.63</v>
      </c>
      <c r="G11144">
        <v>0</v>
      </c>
      <c r="H11144">
        <v>0</v>
      </c>
      <c r="I11144">
        <v>0</v>
      </c>
      <c r="J11144">
        <v>-1123933.98</v>
      </c>
      <c r="K11144">
        <v>-4000000</v>
      </c>
      <c r="L11144">
        <v>41757653.82</v>
      </c>
      <c r="M11144">
        <v>42602000</v>
      </c>
      <c r="N11144">
        <v>17002936.41</v>
      </c>
      <c r="O11144">
        <v>21847282.59</v>
      </c>
      <c r="P11144">
        <v>41757653.82</v>
      </c>
      <c r="Q11144">
        <v>42881587.799999997</v>
      </c>
      <c r="R11144" s="14">
        <f>_xlfn.XLOOKUP(Table2[[#This Row],[LoanID]],Table1[G-L ID],Table1[ManagerCode],-99)</f>
        <v>220</v>
      </c>
      <c r="T11144"/>
    </row>
    <row r="11145" spans="1:20" x14ac:dyDescent="0.25">
      <c r="A11145">
        <v>20200630</v>
      </c>
      <c r="B11145">
        <v>2020</v>
      </c>
      <c r="C11145">
        <v>6</v>
      </c>
      <c r="D11145">
        <v>1</v>
      </c>
      <c r="E11145">
        <v>15040</v>
      </c>
      <c r="F11145">
        <v>153817.14000000001</v>
      </c>
      <c r="G11145">
        <v>0</v>
      </c>
      <c r="H11145">
        <v>0</v>
      </c>
      <c r="I11145">
        <v>0</v>
      </c>
      <c r="J11145">
        <v>-171838.12</v>
      </c>
      <c r="K11145">
        <v>0</v>
      </c>
      <c r="L11145">
        <v>53059147.82</v>
      </c>
      <c r="M11145">
        <v>53230985.939999998</v>
      </c>
      <c r="N11145">
        <v>19974147.82</v>
      </c>
      <c r="O11145">
        <v>20145985.940000001</v>
      </c>
      <c r="P11145">
        <v>53226762.469999999</v>
      </c>
      <c r="Q11145">
        <v>53398600.590000004</v>
      </c>
      <c r="R11145" s="14">
        <f>_xlfn.XLOOKUP(Table2[[#This Row],[LoanID]],Table1[G-L ID],Table1[ManagerCode],-99)</f>
        <v>183</v>
      </c>
      <c r="T11145"/>
    </row>
    <row r="11146" spans="1:20" x14ac:dyDescent="0.25">
      <c r="A11146">
        <v>20200630</v>
      </c>
      <c r="B11146">
        <v>2020</v>
      </c>
      <c r="C11146">
        <v>6</v>
      </c>
      <c r="D11146">
        <v>1</v>
      </c>
      <c r="E11146">
        <v>15050</v>
      </c>
      <c r="F11146">
        <v>132537.16</v>
      </c>
      <c r="G11146">
        <v>0</v>
      </c>
      <c r="H11146">
        <v>0</v>
      </c>
      <c r="I11146">
        <v>0</v>
      </c>
      <c r="J11146">
        <v>0</v>
      </c>
      <c r="K11146">
        <v>0</v>
      </c>
      <c r="L11146">
        <v>47510000</v>
      </c>
      <c r="M11146">
        <v>47510000</v>
      </c>
      <c r="N11146">
        <v>16628500</v>
      </c>
      <c r="O11146">
        <v>16628500</v>
      </c>
      <c r="P11146">
        <v>47510000</v>
      </c>
      <c r="Q11146">
        <v>47510000</v>
      </c>
      <c r="R11146" s="14">
        <f>_xlfn.XLOOKUP(Table2[[#This Row],[LoanID]],Table1[G-L ID],Table1[ManagerCode],-99)</f>
        <v>183</v>
      </c>
      <c r="T11146"/>
    </row>
    <row r="11147" spans="1:20" x14ac:dyDescent="0.25">
      <c r="A11147">
        <v>20200630</v>
      </c>
      <c r="B11147">
        <v>2020</v>
      </c>
      <c r="C11147">
        <v>6</v>
      </c>
      <c r="D11147">
        <v>1</v>
      </c>
      <c r="E11147">
        <v>15060</v>
      </c>
      <c r="F11147">
        <v>76426.100000000006</v>
      </c>
      <c r="G11147">
        <v>0</v>
      </c>
      <c r="H11147">
        <v>0</v>
      </c>
      <c r="I11147">
        <v>0</v>
      </c>
      <c r="J11147">
        <v>0</v>
      </c>
      <c r="K11147">
        <v>0</v>
      </c>
      <c r="L11147">
        <v>27577530.09</v>
      </c>
      <c r="M11147">
        <v>27577530.09</v>
      </c>
      <c r="N11147">
        <v>9540030.0899999999</v>
      </c>
      <c r="O11147">
        <v>9540030.0899999999</v>
      </c>
      <c r="P11147">
        <v>27750000</v>
      </c>
      <c r="Q11147">
        <v>27750000</v>
      </c>
      <c r="R11147" s="14">
        <f>_xlfn.XLOOKUP(Table2[[#This Row],[LoanID]],Table1[G-L ID],Table1[ManagerCode],-99)</f>
        <v>183</v>
      </c>
      <c r="T11147"/>
    </row>
    <row r="11148" spans="1:20" x14ac:dyDescent="0.25">
      <c r="A11148">
        <v>20200630</v>
      </c>
      <c r="B11148">
        <v>2020</v>
      </c>
      <c r="C11148">
        <v>6</v>
      </c>
      <c r="D11148">
        <v>1</v>
      </c>
      <c r="E11148">
        <v>15070</v>
      </c>
      <c r="F11148">
        <v>209748.79</v>
      </c>
      <c r="G11148">
        <v>0</v>
      </c>
      <c r="H11148">
        <v>0</v>
      </c>
      <c r="I11148">
        <v>0</v>
      </c>
      <c r="J11148">
        <v>-288631.5</v>
      </c>
      <c r="K11148">
        <v>0</v>
      </c>
      <c r="L11148">
        <v>79231031.5</v>
      </c>
      <c r="M11148">
        <v>79519663</v>
      </c>
      <c r="N11148">
        <v>24980331.5</v>
      </c>
      <c r="O11148">
        <v>25268963</v>
      </c>
      <c r="P11148">
        <v>79231031.5</v>
      </c>
      <c r="Q11148">
        <v>79519663</v>
      </c>
      <c r="R11148" s="14">
        <f>_xlfn.XLOOKUP(Table2[[#This Row],[LoanID]],Table1[G-L ID],Table1[ManagerCode],-99)</f>
        <v>183</v>
      </c>
      <c r="T11148"/>
    </row>
    <row r="11149" spans="1:20" x14ac:dyDescent="0.25">
      <c r="A11149">
        <v>20200630</v>
      </c>
      <c r="B11149">
        <v>2020</v>
      </c>
      <c r="C11149">
        <v>6</v>
      </c>
      <c r="D11149">
        <v>1</v>
      </c>
      <c r="E11149">
        <v>15350</v>
      </c>
      <c r="F11149">
        <v>228194.45</v>
      </c>
      <c r="G11149">
        <v>-7361.11</v>
      </c>
      <c r="H11149">
        <v>0</v>
      </c>
      <c r="I11149">
        <v>0</v>
      </c>
      <c r="J11149">
        <v>0</v>
      </c>
      <c r="K11149">
        <v>0</v>
      </c>
      <c r="L11149">
        <v>40228194.439999998</v>
      </c>
      <c r="M11149">
        <v>40220833.329999998</v>
      </c>
      <c r="N11149">
        <v>40228194.439999998</v>
      </c>
      <c r="O11149">
        <v>40220833.329999998</v>
      </c>
      <c r="P11149">
        <v>40228194.439999998</v>
      </c>
      <c r="Q11149">
        <v>40220833.329999998</v>
      </c>
      <c r="R11149" s="14">
        <f>_xlfn.XLOOKUP(Table2[[#This Row],[LoanID]],Table1[G-L ID],Table1[ManagerCode],-99)</f>
        <v>219</v>
      </c>
      <c r="T11149"/>
    </row>
    <row r="11150" spans="1:20" x14ac:dyDescent="0.25">
      <c r="A11150">
        <v>20200630</v>
      </c>
      <c r="B11150">
        <v>2020</v>
      </c>
      <c r="C11150">
        <v>6</v>
      </c>
      <c r="D11150">
        <v>1</v>
      </c>
      <c r="E11150">
        <v>15360</v>
      </c>
      <c r="F11150">
        <v>23707.59</v>
      </c>
      <c r="G11150">
        <v>26913.66</v>
      </c>
      <c r="H11150">
        <v>0</v>
      </c>
      <c r="I11150">
        <v>0</v>
      </c>
      <c r="J11150">
        <v>-1178937.3700000001</v>
      </c>
      <c r="K11150">
        <v>0</v>
      </c>
      <c r="L11150">
        <v>4598391.74</v>
      </c>
      <c r="M11150">
        <v>5804242.7699999996</v>
      </c>
      <c r="N11150">
        <v>4598391.74</v>
      </c>
      <c r="O11150">
        <v>5804242.7699999996</v>
      </c>
      <c r="P11150">
        <v>4598391.74</v>
      </c>
      <c r="Q11150">
        <v>5804242.7699999996</v>
      </c>
      <c r="R11150" s="14">
        <f>_xlfn.XLOOKUP(Table2[[#This Row],[LoanID]],Table1[G-L ID],Table1[ManagerCode],-99)</f>
        <v>219</v>
      </c>
      <c r="T11150"/>
    </row>
    <row r="11151" spans="1:20" x14ac:dyDescent="0.25">
      <c r="A11151">
        <v>20200630</v>
      </c>
      <c r="B11151">
        <v>2020</v>
      </c>
      <c r="C11151">
        <v>6</v>
      </c>
      <c r="D11151">
        <v>1</v>
      </c>
      <c r="E11151">
        <v>15370</v>
      </c>
      <c r="F11151">
        <v>311647.33</v>
      </c>
      <c r="G11151">
        <v>0</v>
      </c>
      <c r="H11151">
        <v>0</v>
      </c>
      <c r="I11151">
        <v>0</v>
      </c>
      <c r="J11151">
        <v>-809462.74</v>
      </c>
      <c r="K11151">
        <v>0</v>
      </c>
      <c r="L11151">
        <v>113878237.7</v>
      </c>
      <c r="M11151">
        <v>114909462.7</v>
      </c>
      <c r="N11151">
        <v>46982255.670000002</v>
      </c>
      <c r="O11151">
        <v>48013480.670000002</v>
      </c>
      <c r="P11151">
        <v>113878237.7</v>
      </c>
      <c r="Q11151">
        <v>114687700.40000001</v>
      </c>
      <c r="R11151" s="14">
        <f>_xlfn.XLOOKUP(Table2[[#This Row],[LoanID]],Table1[G-L ID],Table1[ManagerCode],-99)</f>
        <v>220</v>
      </c>
      <c r="T11151"/>
    </row>
    <row r="11152" spans="1:20" x14ac:dyDescent="0.25">
      <c r="A11152">
        <v>20200630</v>
      </c>
      <c r="B11152">
        <v>2020</v>
      </c>
      <c r="C11152">
        <v>6</v>
      </c>
      <c r="D11152">
        <v>1</v>
      </c>
      <c r="E11152">
        <v>15380</v>
      </c>
      <c r="F11152">
        <v>100482.25</v>
      </c>
      <c r="G11152">
        <v>0</v>
      </c>
      <c r="H11152">
        <v>0</v>
      </c>
      <c r="I11152">
        <v>0</v>
      </c>
      <c r="J11152">
        <v>0</v>
      </c>
      <c r="K11152">
        <v>-2000000</v>
      </c>
      <c r="L11152">
        <v>35320000</v>
      </c>
      <c r="M11152">
        <v>35320000</v>
      </c>
      <c r="N11152">
        <v>12615500</v>
      </c>
      <c r="O11152">
        <v>14615500</v>
      </c>
      <c r="P11152">
        <v>35200505.659999996</v>
      </c>
      <c r="Q11152">
        <v>35200505.659999996</v>
      </c>
      <c r="R11152" s="14">
        <f>_xlfn.XLOOKUP(Table2[[#This Row],[LoanID]],Table1[G-L ID],Table1[ManagerCode],-99)</f>
        <v>220</v>
      </c>
      <c r="T11152"/>
    </row>
    <row r="11153" spans="1:20" x14ac:dyDescent="0.25">
      <c r="A11153">
        <v>20200630</v>
      </c>
      <c r="B11153">
        <v>2020</v>
      </c>
      <c r="C11153">
        <v>6</v>
      </c>
      <c r="D11153">
        <v>1</v>
      </c>
      <c r="E11153">
        <v>15390</v>
      </c>
      <c r="F11153">
        <v>104099.13</v>
      </c>
      <c r="G11153">
        <v>0</v>
      </c>
      <c r="H11153">
        <v>0</v>
      </c>
      <c r="I11153">
        <v>0</v>
      </c>
      <c r="J11153">
        <v>-250705.9</v>
      </c>
      <c r="K11153">
        <v>-2000000</v>
      </c>
      <c r="L11153">
        <v>37484882.520000003</v>
      </c>
      <c r="M11153">
        <v>37880000</v>
      </c>
      <c r="N11153">
        <v>12774882.52</v>
      </c>
      <c r="O11153">
        <v>15170000</v>
      </c>
      <c r="P11153">
        <v>37484882.520000003</v>
      </c>
      <c r="Q11153">
        <v>37735588.420000002</v>
      </c>
      <c r="R11153" s="14">
        <f>_xlfn.XLOOKUP(Table2[[#This Row],[LoanID]],Table1[G-L ID],Table1[ManagerCode],-99)</f>
        <v>220</v>
      </c>
      <c r="T11153"/>
    </row>
    <row r="11154" spans="1:20" x14ac:dyDescent="0.25">
      <c r="A11154">
        <v>20200630</v>
      </c>
      <c r="B11154">
        <v>2020</v>
      </c>
      <c r="C11154">
        <v>6</v>
      </c>
      <c r="D11154">
        <v>1</v>
      </c>
      <c r="E11154">
        <v>15400</v>
      </c>
      <c r="F11154">
        <v>75412.66</v>
      </c>
      <c r="G11154">
        <v>0</v>
      </c>
      <c r="H11154">
        <v>0</v>
      </c>
      <c r="I11154">
        <v>0</v>
      </c>
      <c r="J11154">
        <v>-781464.5</v>
      </c>
      <c r="K11154">
        <v>0</v>
      </c>
      <c r="L11154">
        <v>22895683.620000001</v>
      </c>
      <c r="M11154">
        <v>23330000</v>
      </c>
      <c r="N11154">
        <v>22895683.620000001</v>
      </c>
      <c r="O11154">
        <v>23330000</v>
      </c>
      <c r="P11154">
        <v>22895683.620000001</v>
      </c>
      <c r="Q11154">
        <v>23677148.120000001</v>
      </c>
      <c r="R11154" s="14">
        <f>_xlfn.XLOOKUP(Table2[[#This Row],[LoanID]],Table1[G-L ID],Table1[ManagerCode],-99)</f>
        <v>220</v>
      </c>
      <c r="T11154"/>
    </row>
    <row r="11155" spans="1:20" x14ac:dyDescent="0.25">
      <c r="A11155">
        <v>20200630</v>
      </c>
      <c r="B11155">
        <v>2020</v>
      </c>
      <c r="C11155">
        <v>6</v>
      </c>
      <c r="D11155">
        <v>1</v>
      </c>
      <c r="E11155">
        <v>15410</v>
      </c>
      <c r="F11155">
        <v>172503.55</v>
      </c>
      <c r="G11155">
        <v>0</v>
      </c>
      <c r="H11155">
        <v>0</v>
      </c>
      <c r="I11155">
        <v>0</v>
      </c>
      <c r="J11155">
        <v>0</v>
      </c>
      <c r="K11155">
        <v>-1000000</v>
      </c>
      <c r="L11155">
        <v>64000000</v>
      </c>
      <c r="M11155">
        <v>64300000</v>
      </c>
      <c r="N11155">
        <v>19200000</v>
      </c>
      <c r="O11155">
        <v>20500000</v>
      </c>
      <c r="P11155">
        <v>64000000</v>
      </c>
      <c r="Q11155">
        <v>64000000</v>
      </c>
      <c r="R11155" s="14">
        <f>_xlfn.XLOOKUP(Table2[[#This Row],[LoanID]],Table1[G-L ID],Table1[ManagerCode],-99)</f>
        <v>220</v>
      </c>
      <c r="T11155"/>
    </row>
    <row r="11156" spans="1:20" x14ac:dyDescent="0.25">
      <c r="A11156">
        <v>20200630</v>
      </c>
      <c r="B11156">
        <v>2020</v>
      </c>
      <c r="C11156">
        <v>6</v>
      </c>
      <c r="D11156">
        <v>1</v>
      </c>
      <c r="E11156">
        <v>15420</v>
      </c>
      <c r="F11156">
        <v>103017.66</v>
      </c>
      <c r="G11156">
        <v>0</v>
      </c>
      <c r="H11156">
        <v>0</v>
      </c>
      <c r="I11156">
        <v>0</v>
      </c>
      <c r="J11156">
        <v>0</v>
      </c>
      <c r="K11156">
        <v>0</v>
      </c>
      <c r="L11156">
        <v>44141378.490000002</v>
      </c>
      <c r="M11156">
        <v>44141378.490000002</v>
      </c>
      <c r="N11156">
        <v>15131878.49</v>
      </c>
      <c r="O11156">
        <v>15131878.49</v>
      </c>
      <c r="P11156">
        <v>44630000</v>
      </c>
      <c r="Q11156">
        <v>44630000</v>
      </c>
      <c r="R11156" s="14">
        <f>_xlfn.XLOOKUP(Table2[[#This Row],[LoanID]],Table1[G-L ID],Table1[ManagerCode],-99)</f>
        <v>183</v>
      </c>
      <c r="T11156"/>
    </row>
    <row r="11157" spans="1:20" x14ac:dyDescent="0.25">
      <c r="A11157">
        <v>20200630</v>
      </c>
      <c r="B11157">
        <v>2020</v>
      </c>
      <c r="C11157">
        <v>6</v>
      </c>
      <c r="D11157">
        <v>1</v>
      </c>
      <c r="E11157">
        <v>15430</v>
      </c>
      <c r="F11157">
        <v>120553.71</v>
      </c>
      <c r="G11157">
        <v>0</v>
      </c>
      <c r="H11157">
        <v>0</v>
      </c>
      <c r="I11157">
        <v>0</v>
      </c>
      <c r="J11157">
        <v>-605273.69999999995</v>
      </c>
      <c r="K11157">
        <v>0</v>
      </c>
      <c r="L11157">
        <v>51598148.600000001</v>
      </c>
      <c r="M11157">
        <v>52203422.299999997</v>
      </c>
      <c r="N11157">
        <v>18406028.600000001</v>
      </c>
      <c r="O11157">
        <v>19011302.300000001</v>
      </c>
      <c r="P11157">
        <v>52040561.490000002</v>
      </c>
      <c r="Q11157">
        <v>52645835.189999998</v>
      </c>
      <c r="R11157" s="14">
        <f>_xlfn.XLOOKUP(Table2[[#This Row],[LoanID]],Table1[G-L ID],Table1[ManagerCode],-99)</f>
        <v>183</v>
      </c>
      <c r="T11157"/>
    </row>
    <row r="11158" spans="1:20" x14ac:dyDescent="0.25">
      <c r="A11158">
        <v>20200630</v>
      </c>
      <c r="B11158">
        <v>2020</v>
      </c>
      <c r="C11158">
        <v>6</v>
      </c>
      <c r="D11158">
        <v>1</v>
      </c>
      <c r="E11158">
        <v>15440</v>
      </c>
      <c r="F11158">
        <v>52357.73</v>
      </c>
      <c r="G11158">
        <v>0</v>
      </c>
      <c r="H11158">
        <v>0</v>
      </c>
      <c r="I11158">
        <v>0</v>
      </c>
      <c r="J11158">
        <v>0</v>
      </c>
      <c r="K11158">
        <v>0</v>
      </c>
      <c r="L11158">
        <v>21297163.140000001</v>
      </c>
      <c r="M11158">
        <v>21297163.140000001</v>
      </c>
      <c r="N11158">
        <v>7322163.1399999997</v>
      </c>
      <c r="O11158">
        <v>7322163.1399999997</v>
      </c>
      <c r="P11158">
        <v>21500000</v>
      </c>
      <c r="Q11158">
        <v>21500000</v>
      </c>
      <c r="R11158" s="14">
        <f>_xlfn.XLOOKUP(Table2[[#This Row],[LoanID]],Table1[G-L ID],Table1[ManagerCode],-99)</f>
        <v>183</v>
      </c>
      <c r="T11158"/>
    </row>
    <row r="11159" spans="1:20" x14ac:dyDescent="0.25">
      <c r="A11159">
        <v>20200630</v>
      </c>
      <c r="B11159">
        <v>2020</v>
      </c>
      <c r="C11159">
        <v>6</v>
      </c>
      <c r="D11159">
        <v>1</v>
      </c>
      <c r="E11159">
        <v>15450</v>
      </c>
      <c r="F11159">
        <v>75581.14</v>
      </c>
      <c r="G11159">
        <v>0</v>
      </c>
      <c r="H11159">
        <v>0</v>
      </c>
      <c r="I11159">
        <v>0</v>
      </c>
      <c r="J11159">
        <v>0</v>
      </c>
      <c r="K11159">
        <v>0</v>
      </c>
      <c r="L11159">
        <v>29845741.899999999</v>
      </c>
      <c r="M11159">
        <v>29845741.899999999</v>
      </c>
      <c r="N11159">
        <v>10345741.9</v>
      </c>
      <c r="O11159">
        <v>10345741.9</v>
      </c>
      <c r="P11159">
        <v>30000000</v>
      </c>
      <c r="Q11159">
        <v>30000000</v>
      </c>
      <c r="R11159" s="14">
        <f>_xlfn.XLOOKUP(Table2[[#This Row],[LoanID]],Table1[G-L ID],Table1[ManagerCode],-99)</f>
        <v>183</v>
      </c>
      <c r="T11159"/>
    </row>
    <row r="11160" spans="1:20" x14ac:dyDescent="0.25">
      <c r="A11160">
        <v>20200630</v>
      </c>
      <c r="B11160">
        <v>2020</v>
      </c>
      <c r="C11160">
        <v>6</v>
      </c>
      <c r="D11160">
        <v>1</v>
      </c>
      <c r="E11160">
        <v>15460</v>
      </c>
      <c r="F11160">
        <v>206855.49</v>
      </c>
      <c r="G11160">
        <v>0</v>
      </c>
      <c r="H11160">
        <v>0</v>
      </c>
      <c r="I11160">
        <v>0</v>
      </c>
      <c r="J11160">
        <v>-378493.14</v>
      </c>
      <c r="K11160">
        <v>0</v>
      </c>
      <c r="L11160">
        <v>69557976.579999998</v>
      </c>
      <c r="M11160">
        <v>69936469.719999999</v>
      </c>
      <c r="N11160">
        <v>31799476.579999998</v>
      </c>
      <c r="O11160">
        <v>32177969.719999999</v>
      </c>
      <c r="P11160">
        <v>70085498.099999994</v>
      </c>
      <c r="Q11160">
        <v>70463991.239999995</v>
      </c>
      <c r="R11160" s="14">
        <f>_xlfn.XLOOKUP(Table2[[#This Row],[LoanID]],Table1[G-L ID],Table1[ManagerCode],-99)</f>
        <v>183</v>
      </c>
      <c r="T11160"/>
    </row>
    <row r="11161" spans="1:20" x14ac:dyDescent="0.25">
      <c r="A11161">
        <v>20200630</v>
      </c>
      <c r="B11161">
        <v>2020</v>
      </c>
      <c r="C11161">
        <v>6</v>
      </c>
      <c r="D11161">
        <v>1</v>
      </c>
      <c r="E11161">
        <v>15470</v>
      </c>
      <c r="F11161">
        <v>292600</v>
      </c>
      <c r="G11161">
        <v>0</v>
      </c>
      <c r="H11161">
        <v>0</v>
      </c>
      <c r="I11161">
        <v>0</v>
      </c>
      <c r="J11161">
        <v>0</v>
      </c>
      <c r="K11161">
        <v>0</v>
      </c>
      <c r="L11161">
        <v>84612280.040000007</v>
      </c>
      <c r="M11161">
        <v>84612280.040000007</v>
      </c>
      <c r="N11161">
        <v>84612280.040000007</v>
      </c>
      <c r="O11161">
        <v>84612280.040000007</v>
      </c>
      <c r="P11161">
        <v>85500000</v>
      </c>
      <c r="Q11161">
        <v>85500000</v>
      </c>
      <c r="R11161" s="14">
        <f>_xlfn.XLOOKUP(Table2[[#This Row],[LoanID]],Table1[G-L ID],Table1[ManagerCode],-99)</f>
        <v>183</v>
      </c>
      <c r="T11161"/>
    </row>
    <row r="11162" spans="1:20" x14ac:dyDescent="0.25">
      <c r="A11162">
        <v>20200630</v>
      </c>
      <c r="B11162">
        <v>2020</v>
      </c>
      <c r="C11162">
        <v>6</v>
      </c>
      <c r="D11162">
        <v>1</v>
      </c>
      <c r="E11162">
        <v>15480</v>
      </c>
      <c r="F11162">
        <v>141837.07</v>
      </c>
      <c r="G11162">
        <v>0</v>
      </c>
      <c r="H11162">
        <v>0</v>
      </c>
      <c r="I11162">
        <v>0</v>
      </c>
      <c r="J11162">
        <v>0</v>
      </c>
      <c r="K11162">
        <v>0</v>
      </c>
      <c r="L11162">
        <v>67644295.269999996</v>
      </c>
      <c r="M11162">
        <v>67644295.269999996</v>
      </c>
      <c r="N11162">
        <v>19932295.27</v>
      </c>
      <c r="O11162">
        <v>19932295.27</v>
      </c>
      <c r="P11162">
        <v>68160000</v>
      </c>
      <c r="Q11162">
        <v>68160000</v>
      </c>
      <c r="R11162" s="14">
        <f>_xlfn.XLOOKUP(Table2[[#This Row],[LoanID]],Table1[G-L ID],Table1[ManagerCode],-99)</f>
        <v>183</v>
      </c>
      <c r="T11162"/>
    </row>
    <row r="11163" spans="1:20" x14ac:dyDescent="0.25">
      <c r="A11163">
        <v>20200630</v>
      </c>
      <c r="B11163">
        <v>2020</v>
      </c>
      <c r="C11163">
        <v>6</v>
      </c>
      <c r="D11163">
        <v>1</v>
      </c>
      <c r="E11163">
        <v>15490</v>
      </c>
      <c r="F11163">
        <v>156570.69</v>
      </c>
      <c r="G11163">
        <v>0</v>
      </c>
      <c r="H11163">
        <v>0</v>
      </c>
      <c r="I11163">
        <v>0</v>
      </c>
      <c r="J11163">
        <v>0</v>
      </c>
      <c r="K11163">
        <v>0</v>
      </c>
      <c r="L11163">
        <v>56485768.829999998</v>
      </c>
      <c r="M11163">
        <v>56485768.829999998</v>
      </c>
      <c r="N11163">
        <v>19598268.829999998</v>
      </c>
      <c r="O11163">
        <v>19598268.829999998</v>
      </c>
      <c r="P11163">
        <v>56750000</v>
      </c>
      <c r="Q11163">
        <v>56750000</v>
      </c>
      <c r="R11163" s="14">
        <f>_xlfn.XLOOKUP(Table2[[#This Row],[LoanID]],Table1[G-L ID],Table1[ManagerCode],-99)</f>
        <v>183</v>
      </c>
      <c r="T11163"/>
    </row>
    <row r="11164" spans="1:20" x14ac:dyDescent="0.25">
      <c r="A11164">
        <v>20200630</v>
      </c>
      <c r="B11164">
        <v>2020</v>
      </c>
      <c r="C11164">
        <v>6</v>
      </c>
      <c r="D11164">
        <v>1</v>
      </c>
      <c r="E11164">
        <v>15500</v>
      </c>
      <c r="F11164">
        <v>112215.62</v>
      </c>
      <c r="G11164">
        <v>0</v>
      </c>
      <c r="H11164">
        <v>0</v>
      </c>
      <c r="I11164">
        <v>0</v>
      </c>
      <c r="J11164">
        <v>0</v>
      </c>
      <c r="K11164">
        <v>0</v>
      </c>
      <c r="L11164">
        <v>50709197.119999997</v>
      </c>
      <c r="M11164">
        <v>50709197.119999997</v>
      </c>
      <c r="N11164">
        <v>17645086.34</v>
      </c>
      <c r="O11164">
        <v>17645086.34</v>
      </c>
      <c r="P11164">
        <v>51250000</v>
      </c>
      <c r="Q11164">
        <v>51250000</v>
      </c>
      <c r="R11164" s="14">
        <f>_xlfn.XLOOKUP(Table2[[#This Row],[LoanID]],Table1[G-L ID],Table1[ManagerCode],-99)</f>
        <v>183</v>
      </c>
      <c r="T11164"/>
    </row>
    <row r="11165" spans="1:20" x14ac:dyDescent="0.25">
      <c r="A11165">
        <v>20200630</v>
      </c>
      <c r="B11165">
        <v>2020</v>
      </c>
      <c r="C11165">
        <v>6</v>
      </c>
      <c r="D11165">
        <v>1</v>
      </c>
      <c r="E11165">
        <v>15510</v>
      </c>
      <c r="F11165">
        <v>420214.77</v>
      </c>
      <c r="G11165">
        <v>0</v>
      </c>
      <c r="H11165">
        <v>0</v>
      </c>
      <c r="I11165">
        <v>0</v>
      </c>
      <c r="J11165">
        <v>-1029561.88</v>
      </c>
      <c r="K11165">
        <v>0</v>
      </c>
      <c r="L11165">
        <v>191959111.40000001</v>
      </c>
      <c r="M11165">
        <v>192988673.30000001</v>
      </c>
      <c r="N11165">
        <v>55159111.399999999</v>
      </c>
      <c r="O11165">
        <v>56188673.299999997</v>
      </c>
      <c r="P11165">
        <v>192772278.19999999</v>
      </c>
      <c r="Q11165">
        <v>193801840.09999999</v>
      </c>
      <c r="R11165" s="14">
        <f>_xlfn.XLOOKUP(Table2[[#This Row],[LoanID]],Table1[G-L ID],Table1[ManagerCode],-99)</f>
        <v>183</v>
      </c>
      <c r="T11165"/>
    </row>
    <row r="11166" spans="1:20" x14ac:dyDescent="0.25">
      <c r="A11166">
        <v>20200630</v>
      </c>
      <c r="B11166">
        <v>2020</v>
      </c>
      <c r="C11166">
        <v>6</v>
      </c>
      <c r="D11166">
        <v>1</v>
      </c>
      <c r="E11166">
        <v>15520</v>
      </c>
      <c r="F11166">
        <v>177099.64</v>
      </c>
      <c r="G11166">
        <v>0</v>
      </c>
      <c r="H11166">
        <v>0</v>
      </c>
      <c r="I11166">
        <v>0</v>
      </c>
      <c r="J11166">
        <v>-1058546.22</v>
      </c>
      <c r="K11166">
        <v>635127.73</v>
      </c>
      <c r="L11166">
        <v>56008656.109999999</v>
      </c>
      <c r="M11166">
        <v>57067202.329999998</v>
      </c>
      <c r="N11166">
        <v>22233462.440000001</v>
      </c>
      <c r="O11166">
        <v>22656880.93</v>
      </c>
      <c r="P11166">
        <v>56008656.109999999</v>
      </c>
      <c r="Q11166">
        <v>57067202.329999998</v>
      </c>
      <c r="R11166" s="14">
        <f>_xlfn.XLOOKUP(Table2[[#This Row],[LoanID]],Table1[G-L ID],Table1[ManagerCode],-99)</f>
        <v>183</v>
      </c>
      <c r="T11166"/>
    </row>
    <row r="11167" spans="1:20" x14ac:dyDescent="0.25">
      <c r="A11167">
        <v>20200630</v>
      </c>
      <c r="B11167">
        <v>2020</v>
      </c>
      <c r="C11167">
        <v>6</v>
      </c>
      <c r="D11167">
        <v>1</v>
      </c>
      <c r="E11167">
        <v>15530</v>
      </c>
      <c r="F11167">
        <v>0</v>
      </c>
      <c r="G11167">
        <v>242708.11</v>
      </c>
      <c r="H11167">
        <v>0</v>
      </c>
      <c r="I11167">
        <v>0</v>
      </c>
      <c r="J11167">
        <v>0</v>
      </c>
      <c r="K11167">
        <v>0</v>
      </c>
      <c r="L11167">
        <v>30657866.359999999</v>
      </c>
      <c r="M11167">
        <v>30900574.469999999</v>
      </c>
      <c r="N11167">
        <v>30657866.359999999</v>
      </c>
      <c r="O11167">
        <v>30900574.469999999</v>
      </c>
      <c r="P11167">
        <v>30657866.359999999</v>
      </c>
      <c r="Q11167">
        <v>30900574.469999999</v>
      </c>
      <c r="R11167" s="14">
        <f>_xlfn.XLOOKUP(Table2[[#This Row],[LoanID]],Table1[G-L ID],Table1[ManagerCode],-99)</f>
        <v>183</v>
      </c>
      <c r="T11167"/>
    </row>
    <row r="11168" spans="1:20" x14ac:dyDescent="0.25">
      <c r="A11168">
        <v>20200630</v>
      </c>
      <c r="B11168">
        <v>2020</v>
      </c>
      <c r="C11168">
        <v>6</v>
      </c>
      <c r="D11168">
        <v>1</v>
      </c>
      <c r="E11168">
        <v>15540</v>
      </c>
      <c r="F11168">
        <v>217915.87</v>
      </c>
      <c r="G11168">
        <v>-13245.9</v>
      </c>
      <c r="H11168">
        <v>0</v>
      </c>
      <c r="I11168">
        <v>-3065.79</v>
      </c>
      <c r="J11168">
        <v>-227650.18</v>
      </c>
      <c r="K11168">
        <v>0</v>
      </c>
      <c r="L11168">
        <v>71826631.780000001</v>
      </c>
      <c r="M11168">
        <v>72041036.060000002</v>
      </c>
      <c r="N11168">
        <v>71826631.780000001</v>
      </c>
      <c r="O11168">
        <v>72041036.060000002</v>
      </c>
      <c r="P11168">
        <v>71826631.780000001</v>
      </c>
      <c r="Q11168">
        <v>72041036.060000002</v>
      </c>
      <c r="R11168" s="14">
        <f>_xlfn.XLOOKUP(Table2[[#This Row],[LoanID]],Table1[G-L ID],Table1[ManagerCode],-99)</f>
        <v>212</v>
      </c>
      <c r="T11168"/>
    </row>
    <row r="11169" spans="1:20" x14ac:dyDescent="0.25">
      <c r="A11169">
        <v>20200630</v>
      </c>
      <c r="B11169">
        <v>2020</v>
      </c>
      <c r="C11169">
        <v>6</v>
      </c>
      <c r="D11169">
        <v>1</v>
      </c>
      <c r="E11169">
        <v>15550</v>
      </c>
      <c r="F11169">
        <v>154119.69</v>
      </c>
      <c r="G11169">
        <v>-8415.52</v>
      </c>
      <c r="H11169">
        <v>0</v>
      </c>
      <c r="I11169">
        <v>-1368.74</v>
      </c>
      <c r="J11169">
        <v>0</v>
      </c>
      <c r="K11169">
        <v>0</v>
      </c>
      <c r="L11169">
        <v>31944119.690000001</v>
      </c>
      <c r="M11169">
        <v>31935704.170000002</v>
      </c>
      <c r="N11169">
        <v>31944119.690000001</v>
      </c>
      <c r="O11169">
        <v>31935704.170000002</v>
      </c>
      <c r="P11169">
        <v>31944119.690000001</v>
      </c>
      <c r="Q11169">
        <v>31935704.170000002</v>
      </c>
      <c r="R11169" s="14">
        <f>_xlfn.XLOOKUP(Table2[[#This Row],[LoanID]],Table1[G-L ID],Table1[ManagerCode],-99)</f>
        <v>212</v>
      </c>
      <c r="T11169"/>
    </row>
    <row r="11170" spans="1:20" x14ac:dyDescent="0.25">
      <c r="A11170">
        <v>20200630</v>
      </c>
      <c r="B11170">
        <v>2020</v>
      </c>
      <c r="C11170">
        <v>6</v>
      </c>
      <c r="D11170">
        <v>1</v>
      </c>
      <c r="E11170">
        <v>15560</v>
      </c>
      <c r="F11170">
        <v>189864.76</v>
      </c>
      <c r="G11170">
        <v>-6103.29</v>
      </c>
      <c r="H11170">
        <v>0</v>
      </c>
      <c r="I11170">
        <v>0</v>
      </c>
      <c r="J11170">
        <v>0</v>
      </c>
      <c r="K11170">
        <v>0</v>
      </c>
      <c r="L11170">
        <v>48203619.380000003</v>
      </c>
      <c r="M11170">
        <v>48197516.090000004</v>
      </c>
      <c r="N11170">
        <v>48203619.380000003</v>
      </c>
      <c r="O11170">
        <v>48197516.090000004</v>
      </c>
      <c r="P11170">
        <v>48203619.380000003</v>
      </c>
      <c r="Q11170">
        <v>48197516.090000004</v>
      </c>
      <c r="R11170" s="14">
        <f>_xlfn.XLOOKUP(Table2[[#This Row],[LoanID]],Table1[G-L ID],Table1[ManagerCode],-99)</f>
        <v>212</v>
      </c>
      <c r="T11170"/>
    </row>
    <row r="11171" spans="1:20" x14ac:dyDescent="0.25">
      <c r="A11171">
        <v>20200630</v>
      </c>
      <c r="B11171">
        <v>2020</v>
      </c>
      <c r="C11171">
        <v>6</v>
      </c>
      <c r="D11171">
        <v>1</v>
      </c>
      <c r="E11171">
        <v>15570</v>
      </c>
      <c r="F11171">
        <v>126462.11</v>
      </c>
      <c r="G11171">
        <v>-6921.43</v>
      </c>
      <c r="H11171">
        <v>0</v>
      </c>
      <c r="I11171">
        <v>0</v>
      </c>
      <c r="J11171">
        <v>0</v>
      </c>
      <c r="K11171">
        <v>0</v>
      </c>
      <c r="L11171">
        <v>26563766.109999999</v>
      </c>
      <c r="M11171">
        <v>26556844.68</v>
      </c>
      <c r="N11171">
        <v>26563766.109999999</v>
      </c>
      <c r="O11171">
        <v>26556844.68</v>
      </c>
      <c r="P11171">
        <v>26563766.109999999</v>
      </c>
      <c r="Q11171">
        <v>26556844.68</v>
      </c>
      <c r="R11171" s="14">
        <f>_xlfn.XLOOKUP(Table2[[#This Row],[LoanID]],Table1[G-L ID],Table1[ManagerCode],-99)</f>
        <v>212</v>
      </c>
      <c r="T11171"/>
    </row>
    <row r="11172" spans="1:20" x14ac:dyDescent="0.25">
      <c r="A11172">
        <v>20200630</v>
      </c>
      <c r="B11172">
        <v>2020</v>
      </c>
      <c r="C11172">
        <v>6</v>
      </c>
      <c r="D11172">
        <v>1</v>
      </c>
      <c r="E11172">
        <v>15580</v>
      </c>
      <c r="F11172">
        <v>113950.98</v>
      </c>
      <c r="G11172">
        <v>-3748.68</v>
      </c>
      <c r="H11172">
        <v>0</v>
      </c>
      <c r="I11172">
        <v>0</v>
      </c>
      <c r="J11172">
        <v>0</v>
      </c>
      <c r="K11172">
        <v>9450.33</v>
      </c>
      <c r="L11172">
        <v>14419915.289999999</v>
      </c>
      <c r="M11172">
        <v>14406716.279999999</v>
      </c>
      <c r="N11172">
        <v>14419915.289999999</v>
      </c>
      <c r="O11172">
        <v>14406716.279999999</v>
      </c>
      <c r="P11172">
        <v>14419915.289999999</v>
      </c>
      <c r="Q11172">
        <v>14406716.279999999</v>
      </c>
      <c r="R11172" s="14">
        <f>_xlfn.XLOOKUP(Table2[[#This Row],[LoanID]],Table1[G-L ID],Table1[ManagerCode],-99)</f>
        <v>212</v>
      </c>
      <c r="T11172"/>
    </row>
    <row r="11173" spans="1:20" x14ac:dyDescent="0.25">
      <c r="A11173">
        <v>20200630</v>
      </c>
      <c r="B11173">
        <v>2020</v>
      </c>
      <c r="C11173">
        <v>6</v>
      </c>
      <c r="D11173">
        <v>1</v>
      </c>
      <c r="E11173">
        <v>15590</v>
      </c>
      <c r="F11173">
        <v>229254.21</v>
      </c>
      <c r="G11173">
        <v>-18556.48</v>
      </c>
      <c r="H11173">
        <v>0</v>
      </c>
      <c r="I11173">
        <v>-4488.1400000000003</v>
      </c>
      <c r="J11173">
        <v>0</v>
      </c>
      <c r="K11173">
        <v>0</v>
      </c>
      <c r="L11173">
        <v>104535059</v>
      </c>
      <c r="M11173">
        <v>104516502.5</v>
      </c>
      <c r="N11173">
        <v>104535059</v>
      </c>
      <c r="O11173">
        <v>104516502.5</v>
      </c>
      <c r="P11173">
        <v>104535059</v>
      </c>
      <c r="Q11173">
        <v>104516502.5</v>
      </c>
      <c r="R11173" s="14">
        <f>_xlfn.XLOOKUP(Table2[[#This Row],[LoanID]],Table1[G-L ID],Table1[ManagerCode],-99)</f>
        <v>212</v>
      </c>
      <c r="T11173"/>
    </row>
    <row r="11174" spans="1:20" x14ac:dyDescent="0.25">
      <c r="A11174">
        <v>20200630</v>
      </c>
      <c r="B11174">
        <v>2020</v>
      </c>
      <c r="C11174">
        <v>6</v>
      </c>
      <c r="D11174">
        <v>1</v>
      </c>
      <c r="E11174">
        <v>15600</v>
      </c>
      <c r="F11174">
        <v>384596.33</v>
      </c>
      <c r="G11174">
        <v>-31380.55</v>
      </c>
      <c r="H11174">
        <v>0</v>
      </c>
      <c r="I11174">
        <v>-7836.11</v>
      </c>
      <c r="J11174">
        <v>-1277895</v>
      </c>
      <c r="K11174">
        <v>0</v>
      </c>
      <c r="L11174">
        <v>182384596.30000001</v>
      </c>
      <c r="M11174">
        <v>183631110.80000001</v>
      </c>
      <c r="N11174">
        <v>182384596.30000001</v>
      </c>
      <c r="O11174">
        <v>183631110.80000001</v>
      </c>
      <c r="P11174">
        <v>182384596.30000001</v>
      </c>
      <c r="Q11174">
        <v>183631110.80000001</v>
      </c>
      <c r="R11174" s="14">
        <f>_xlfn.XLOOKUP(Table2[[#This Row],[LoanID]],Table1[G-L ID],Table1[ManagerCode],-99)</f>
        <v>212</v>
      </c>
      <c r="T11174"/>
    </row>
    <row r="11175" spans="1:20" x14ac:dyDescent="0.25">
      <c r="A11175">
        <v>20200630</v>
      </c>
      <c r="B11175">
        <v>2020</v>
      </c>
      <c r="C11175">
        <v>6</v>
      </c>
      <c r="D11175">
        <v>1</v>
      </c>
      <c r="E11175">
        <v>15610</v>
      </c>
      <c r="F11175">
        <v>605877.4</v>
      </c>
      <c r="G11175">
        <v>-44502.94</v>
      </c>
      <c r="H11175">
        <v>0</v>
      </c>
      <c r="I11175">
        <v>-9919.41</v>
      </c>
      <c r="J11175">
        <v>0</v>
      </c>
      <c r="K11175">
        <v>0</v>
      </c>
      <c r="L11175">
        <v>230992113.69999999</v>
      </c>
      <c r="M11175">
        <v>230947610.69999999</v>
      </c>
      <c r="N11175">
        <v>230992113.69999999</v>
      </c>
      <c r="O11175">
        <v>230947610.69999999</v>
      </c>
      <c r="P11175">
        <v>230992113.69999999</v>
      </c>
      <c r="Q11175">
        <v>230947610.69999999</v>
      </c>
      <c r="R11175" s="14">
        <f>_xlfn.XLOOKUP(Table2[[#This Row],[LoanID]],Table1[G-L ID],Table1[ManagerCode],-99)</f>
        <v>212</v>
      </c>
      <c r="T11175"/>
    </row>
    <row r="11176" spans="1:20" x14ac:dyDescent="0.25">
      <c r="A11176">
        <v>20200630</v>
      </c>
      <c r="B11176">
        <v>2020</v>
      </c>
      <c r="C11176">
        <v>6</v>
      </c>
      <c r="D11176">
        <v>1</v>
      </c>
      <c r="E11176">
        <v>15620</v>
      </c>
      <c r="F11176">
        <v>214892.08</v>
      </c>
      <c r="G11176">
        <v>-15521.43</v>
      </c>
      <c r="H11176">
        <v>0</v>
      </c>
      <c r="I11176">
        <v>-3406.66</v>
      </c>
      <c r="J11176">
        <v>0</v>
      </c>
      <c r="K11176">
        <v>0</v>
      </c>
      <c r="L11176">
        <v>79330229.489999995</v>
      </c>
      <c r="M11176">
        <v>79314708.060000002</v>
      </c>
      <c r="N11176">
        <v>79330229.489999995</v>
      </c>
      <c r="O11176">
        <v>79314708.060000002</v>
      </c>
      <c r="P11176">
        <v>79330229.489999995</v>
      </c>
      <c r="Q11176">
        <v>79314708.060000002</v>
      </c>
      <c r="R11176" s="14">
        <f>_xlfn.XLOOKUP(Table2[[#This Row],[LoanID]],Table1[G-L ID],Table1[ManagerCode],-99)</f>
        <v>212</v>
      </c>
      <c r="T11176"/>
    </row>
    <row r="11177" spans="1:20" x14ac:dyDescent="0.25">
      <c r="A11177">
        <v>20200630</v>
      </c>
      <c r="B11177">
        <v>2020</v>
      </c>
      <c r="C11177">
        <v>6</v>
      </c>
      <c r="D11177">
        <v>1</v>
      </c>
      <c r="E11177">
        <v>15630</v>
      </c>
      <c r="F11177">
        <v>431315.04</v>
      </c>
      <c r="G11177">
        <v>-24053.71</v>
      </c>
      <c r="H11177">
        <v>0</v>
      </c>
      <c r="I11177">
        <v>-7556.33</v>
      </c>
      <c r="J11177">
        <v>-2862593.39</v>
      </c>
      <c r="K11177">
        <v>0</v>
      </c>
      <c r="L11177">
        <v>176779051.19999999</v>
      </c>
      <c r="M11177">
        <v>179617590.90000001</v>
      </c>
      <c r="N11177">
        <v>176779051.19999999</v>
      </c>
      <c r="O11177">
        <v>179617590.90000001</v>
      </c>
      <c r="P11177">
        <v>176779051.19999999</v>
      </c>
      <c r="Q11177">
        <v>179617590.90000001</v>
      </c>
      <c r="R11177" s="14">
        <f>_xlfn.XLOOKUP(Table2[[#This Row],[LoanID]],Table1[G-L ID],Table1[ManagerCode],-99)</f>
        <v>212</v>
      </c>
    </row>
    <row r="11178" spans="1:20" x14ac:dyDescent="0.25">
      <c r="A11178">
        <v>20200630</v>
      </c>
      <c r="B11178">
        <v>2020</v>
      </c>
      <c r="C11178">
        <v>6</v>
      </c>
      <c r="D11178">
        <v>1</v>
      </c>
      <c r="E11178">
        <v>15640</v>
      </c>
      <c r="F11178">
        <v>95946.78</v>
      </c>
      <c r="G11178">
        <v>0</v>
      </c>
      <c r="H11178">
        <v>0</v>
      </c>
      <c r="I11178">
        <v>0</v>
      </c>
      <c r="J11178">
        <v>0</v>
      </c>
      <c r="K11178">
        <v>0</v>
      </c>
      <c r="L11178">
        <v>41654862.710000001</v>
      </c>
      <c r="M11178">
        <v>41654862.710000001</v>
      </c>
      <c r="N11178">
        <v>14354862.710000001</v>
      </c>
      <c r="O11178">
        <v>14354862.710000001</v>
      </c>
      <c r="P11178">
        <v>42000000</v>
      </c>
      <c r="Q11178">
        <v>42000000</v>
      </c>
      <c r="R11178" s="14">
        <f>_xlfn.XLOOKUP(Table2[[#This Row],[LoanID]],Table1[G-L ID],Table1[ManagerCode],-99)</f>
        <v>183</v>
      </c>
    </row>
    <row r="11179" spans="1:20" x14ac:dyDescent="0.25">
      <c r="A11179">
        <v>20200630</v>
      </c>
      <c r="B11179">
        <v>2020</v>
      </c>
      <c r="C11179">
        <v>6</v>
      </c>
      <c r="D11179">
        <v>1</v>
      </c>
      <c r="E11179">
        <v>15650</v>
      </c>
      <c r="F11179">
        <v>52548.08</v>
      </c>
      <c r="G11179">
        <v>0</v>
      </c>
      <c r="H11179">
        <v>0</v>
      </c>
      <c r="I11179">
        <v>0</v>
      </c>
      <c r="J11179">
        <v>0</v>
      </c>
      <c r="K11179">
        <v>0</v>
      </c>
      <c r="L11179">
        <v>14236455.720000001</v>
      </c>
      <c r="M11179">
        <v>14236455.720000001</v>
      </c>
      <c r="N11179">
        <v>14236455.720000001</v>
      </c>
      <c r="O11179">
        <v>14236455.720000001</v>
      </c>
      <c r="P11179">
        <v>14196934.43</v>
      </c>
      <c r="Q11179">
        <v>14196934.43</v>
      </c>
      <c r="R11179" s="14">
        <f>_xlfn.XLOOKUP(Table2[[#This Row],[LoanID]],Table1[G-L ID],Table1[ManagerCode],-99)</f>
        <v>183</v>
      </c>
    </row>
    <row r="11180" spans="1:20" x14ac:dyDescent="0.25">
      <c r="A11180">
        <v>20200630</v>
      </c>
      <c r="B11180">
        <v>2020</v>
      </c>
      <c r="C11180">
        <v>6</v>
      </c>
      <c r="D11180">
        <v>1</v>
      </c>
      <c r="E11180">
        <v>15660</v>
      </c>
      <c r="F11180">
        <v>115643.96</v>
      </c>
      <c r="G11180">
        <v>0</v>
      </c>
      <c r="H11180">
        <v>0</v>
      </c>
      <c r="I11180">
        <v>0</v>
      </c>
      <c r="J11180">
        <v>0</v>
      </c>
      <c r="K11180">
        <v>0</v>
      </c>
      <c r="L11180">
        <v>40000000</v>
      </c>
      <c r="M11180">
        <v>40000000</v>
      </c>
      <c r="N11180">
        <v>20000000</v>
      </c>
      <c r="O11180">
        <v>20000000</v>
      </c>
      <c r="P11180">
        <v>40000000</v>
      </c>
      <c r="Q11180">
        <v>40000000</v>
      </c>
      <c r="R11180" s="14">
        <f>_xlfn.XLOOKUP(Table2[[#This Row],[LoanID]],Table1[G-L ID],Table1[ManagerCode],-99)</f>
        <v>183</v>
      </c>
    </row>
    <row r="11181" spans="1:20" x14ac:dyDescent="0.25">
      <c r="A11181">
        <v>20200630</v>
      </c>
      <c r="B11181">
        <v>2020</v>
      </c>
      <c r="C11181">
        <v>6</v>
      </c>
      <c r="D11181">
        <v>1</v>
      </c>
      <c r="E11181">
        <v>15670</v>
      </c>
      <c r="F11181">
        <v>55170.96</v>
      </c>
      <c r="G11181">
        <v>0</v>
      </c>
      <c r="H11181">
        <v>0</v>
      </c>
      <c r="I11181">
        <v>0</v>
      </c>
      <c r="J11181">
        <v>0</v>
      </c>
      <c r="K11181">
        <v>0</v>
      </c>
      <c r="L11181">
        <v>17087782</v>
      </c>
      <c r="M11181">
        <v>17383785</v>
      </c>
      <c r="N11181">
        <v>17087782</v>
      </c>
      <c r="O11181">
        <v>17383785</v>
      </c>
      <c r="P11181">
        <v>17650000</v>
      </c>
      <c r="Q11181">
        <v>17650000</v>
      </c>
      <c r="R11181" s="14">
        <f>_xlfn.XLOOKUP(Table2[[#This Row],[LoanID]],Table1[G-L ID],Table1[ManagerCode],-99)</f>
        <v>103</v>
      </c>
    </row>
    <row r="11182" spans="1:20" x14ac:dyDescent="0.25">
      <c r="A11182">
        <v>20200630</v>
      </c>
      <c r="B11182">
        <v>2020</v>
      </c>
      <c r="C11182">
        <v>6</v>
      </c>
      <c r="D11182">
        <v>1</v>
      </c>
      <c r="E11182">
        <v>15680</v>
      </c>
      <c r="F11182">
        <v>423962.5</v>
      </c>
      <c r="G11182">
        <v>0</v>
      </c>
      <c r="H11182">
        <v>0</v>
      </c>
      <c r="I11182">
        <v>0</v>
      </c>
      <c r="J11182">
        <v>0</v>
      </c>
      <c r="K11182">
        <v>0</v>
      </c>
      <c r="L11182">
        <v>65000000</v>
      </c>
      <c r="M11182">
        <v>65000000</v>
      </c>
      <c r="N11182">
        <v>65000000</v>
      </c>
      <c r="O11182">
        <v>65000000</v>
      </c>
      <c r="P11182">
        <v>65000000</v>
      </c>
      <c r="Q11182">
        <v>65000000</v>
      </c>
      <c r="R11182" s="14">
        <f>_xlfn.XLOOKUP(Table2[[#This Row],[LoanID]],Table1[G-L ID],Table1[ManagerCode],-99)</f>
        <v>103</v>
      </c>
    </row>
    <row r="11183" spans="1:20" x14ac:dyDescent="0.25">
      <c r="A11183">
        <v>20200630</v>
      </c>
      <c r="B11183">
        <v>2020</v>
      </c>
      <c r="C11183">
        <v>6</v>
      </c>
      <c r="D11183">
        <v>1</v>
      </c>
      <c r="E11183">
        <v>15690</v>
      </c>
      <c r="F11183">
        <v>106099.12</v>
      </c>
      <c r="G11183">
        <v>0</v>
      </c>
      <c r="H11183">
        <v>0</v>
      </c>
      <c r="I11183">
        <v>0</v>
      </c>
      <c r="J11183">
        <v>0</v>
      </c>
      <c r="K11183">
        <v>0</v>
      </c>
      <c r="L11183">
        <v>13793129</v>
      </c>
      <c r="M11183">
        <v>13793129</v>
      </c>
      <c r="N11183">
        <v>13793129</v>
      </c>
      <c r="O11183">
        <v>13793129</v>
      </c>
      <c r="P11183">
        <v>14495516</v>
      </c>
      <c r="Q11183">
        <v>14495516</v>
      </c>
      <c r="R11183" s="14">
        <f>_xlfn.XLOOKUP(Table2[[#This Row],[LoanID]],Table1[G-L ID],Table1[ManagerCode],-99)</f>
        <v>193</v>
      </c>
    </row>
    <row r="11184" spans="1:20" x14ac:dyDescent="0.25">
      <c r="A11184">
        <v>20200630</v>
      </c>
      <c r="B11184">
        <v>2020</v>
      </c>
      <c r="C11184">
        <v>6</v>
      </c>
      <c r="D11184">
        <v>1</v>
      </c>
      <c r="E11184">
        <v>15700</v>
      </c>
      <c r="F11184">
        <v>226041.67</v>
      </c>
      <c r="G11184">
        <v>0</v>
      </c>
      <c r="H11184">
        <v>0</v>
      </c>
      <c r="I11184">
        <v>0</v>
      </c>
      <c r="J11184">
        <v>0</v>
      </c>
      <c r="K11184">
        <v>0</v>
      </c>
      <c r="L11184">
        <v>35000000</v>
      </c>
      <c r="M11184">
        <v>35000000</v>
      </c>
      <c r="N11184">
        <v>35000000</v>
      </c>
      <c r="O11184">
        <v>35000000</v>
      </c>
      <c r="P11184">
        <v>35000000</v>
      </c>
      <c r="Q11184">
        <v>35000000</v>
      </c>
      <c r="R11184" s="14">
        <f>_xlfn.XLOOKUP(Table2[[#This Row],[LoanID]],Table1[G-L ID],Table1[ManagerCode],-99)</f>
        <v>193</v>
      </c>
    </row>
    <row r="11185" spans="1:18" x14ac:dyDescent="0.25">
      <c r="A11185">
        <v>20200630</v>
      </c>
      <c r="B11185">
        <v>2020</v>
      </c>
      <c r="C11185">
        <v>6</v>
      </c>
      <c r="D11185">
        <v>1</v>
      </c>
      <c r="E11185">
        <v>15710</v>
      </c>
      <c r="F11185">
        <v>304531.78999999998</v>
      </c>
      <c r="G11185">
        <v>0</v>
      </c>
      <c r="H11185">
        <v>0</v>
      </c>
      <c r="I11185">
        <v>0</v>
      </c>
      <c r="J11185">
        <v>-93205.01</v>
      </c>
      <c r="K11185">
        <v>0</v>
      </c>
      <c r="L11185">
        <v>73499037.790000007</v>
      </c>
      <c r="M11185">
        <v>73592242.799999997</v>
      </c>
      <c r="N11185">
        <v>73499037.790000007</v>
      </c>
      <c r="O11185">
        <v>73592242.799999997</v>
      </c>
      <c r="P11185">
        <v>73499037.790000007</v>
      </c>
      <c r="Q11185">
        <v>73592242.799999997</v>
      </c>
      <c r="R11185" s="14">
        <f>_xlfn.XLOOKUP(Table2[[#This Row],[LoanID]],Table1[G-L ID],Table1[ManagerCode],-99)</f>
        <v>193</v>
      </c>
    </row>
    <row r="11186" spans="1:18" x14ac:dyDescent="0.25">
      <c r="A11186">
        <v>20200630</v>
      </c>
      <c r="B11186">
        <v>2020</v>
      </c>
      <c r="C11186">
        <v>6</v>
      </c>
      <c r="D11186">
        <v>1</v>
      </c>
      <c r="E11186">
        <v>15720</v>
      </c>
      <c r="F11186">
        <v>0</v>
      </c>
      <c r="G11186">
        <v>147542.32</v>
      </c>
      <c r="H11186">
        <v>0</v>
      </c>
      <c r="I11186">
        <v>0</v>
      </c>
      <c r="J11186">
        <v>0</v>
      </c>
      <c r="K11186">
        <v>0</v>
      </c>
      <c r="L11186">
        <v>22151555.559999999</v>
      </c>
      <c r="M11186">
        <v>22299097.879999999</v>
      </c>
      <c r="N11186">
        <v>22151555.559999999</v>
      </c>
      <c r="O11186">
        <v>22299097.879999999</v>
      </c>
      <c r="P11186">
        <v>22151555.559999999</v>
      </c>
      <c r="Q11186">
        <v>22299097.879999999</v>
      </c>
      <c r="R11186" s="14">
        <f>_xlfn.XLOOKUP(Table2[[#This Row],[LoanID]],Table1[G-L ID],Table1[ManagerCode],-99)</f>
        <v>193</v>
      </c>
    </row>
    <row r="11187" spans="1:18" x14ac:dyDescent="0.25">
      <c r="A11187">
        <v>20200630</v>
      </c>
      <c r="B11187">
        <v>2020</v>
      </c>
      <c r="C11187">
        <v>6</v>
      </c>
      <c r="D11187">
        <v>1</v>
      </c>
      <c r="E11187">
        <v>15730</v>
      </c>
      <c r="F11187">
        <v>119191.69</v>
      </c>
      <c r="G11187">
        <v>0</v>
      </c>
      <c r="H11187">
        <v>0</v>
      </c>
      <c r="I11187">
        <v>0</v>
      </c>
      <c r="J11187">
        <v>0</v>
      </c>
      <c r="K11187">
        <v>0</v>
      </c>
      <c r="L11187">
        <v>19070511.109999999</v>
      </c>
      <c r="M11187">
        <v>19070511.109999999</v>
      </c>
      <c r="N11187">
        <v>19070511.109999999</v>
      </c>
      <c r="O11187">
        <v>19070511.109999999</v>
      </c>
      <c r="P11187">
        <v>19070511.109999999</v>
      </c>
      <c r="Q11187">
        <v>19070511.109999999</v>
      </c>
      <c r="R11187" s="14">
        <f>_xlfn.XLOOKUP(Table2[[#This Row],[LoanID]],Table1[G-L ID],Table1[ManagerCode],-99)</f>
        <v>193</v>
      </c>
    </row>
    <row r="11188" spans="1:18" x14ac:dyDescent="0.25">
      <c r="A11188">
        <v>20200630</v>
      </c>
      <c r="B11188">
        <v>2020</v>
      </c>
      <c r="C11188">
        <v>6</v>
      </c>
      <c r="D11188">
        <v>1</v>
      </c>
      <c r="E11188">
        <v>15740</v>
      </c>
      <c r="F11188">
        <v>305000</v>
      </c>
      <c r="G11188">
        <v>0</v>
      </c>
      <c r="H11188">
        <v>0</v>
      </c>
      <c r="I11188">
        <v>0</v>
      </c>
      <c r="J11188">
        <v>0</v>
      </c>
      <c r="K11188">
        <v>0</v>
      </c>
      <c r="L11188">
        <v>60000000</v>
      </c>
      <c r="M11188">
        <v>60000000</v>
      </c>
      <c r="N11188">
        <v>60000000</v>
      </c>
      <c r="O11188">
        <v>60000000</v>
      </c>
      <c r="P11188">
        <v>60000000</v>
      </c>
      <c r="Q11188">
        <v>60000000</v>
      </c>
      <c r="R11188" s="14">
        <f>_xlfn.XLOOKUP(Table2[[#This Row],[LoanID]],Table1[G-L ID],Table1[ManagerCode],-99)</f>
        <v>193</v>
      </c>
    </row>
    <row r="11189" spans="1:18" x14ac:dyDescent="0.25">
      <c r="A11189">
        <v>20200630</v>
      </c>
      <c r="B11189">
        <v>2020</v>
      </c>
      <c r="C11189">
        <v>6</v>
      </c>
      <c r="D11189">
        <v>1</v>
      </c>
      <c r="E11189">
        <v>15750</v>
      </c>
      <c r="F11189">
        <v>151505.42000000001</v>
      </c>
      <c r="G11189">
        <v>0</v>
      </c>
      <c r="H11189">
        <v>0</v>
      </c>
      <c r="I11189">
        <v>0</v>
      </c>
      <c r="J11189">
        <v>0</v>
      </c>
      <c r="K11189">
        <v>0</v>
      </c>
      <c r="L11189">
        <v>36500000</v>
      </c>
      <c r="M11189">
        <v>36500000</v>
      </c>
      <c r="N11189">
        <v>36500000</v>
      </c>
      <c r="O11189">
        <v>36500000</v>
      </c>
      <c r="P11189">
        <v>36500000</v>
      </c>
      <c r="Q11189">
        <v>36500000</v>
      </c>
      <c r="R11189" s="14">
        <f>_xlfn.XLOOKUP(Table2[[#This Row],[LoanID]],Table1[G-L ID],Table1[ManagerCode],-99)</f>
        <v>193</v>
      </c>
    </row>
    <row r="11190" spans="1:18" x14ac:dyDescent="0.25">
      <c r="A11190">
        <v>20200630</v>
      </c>
      <c r="B11190">
        <v>2020</v>
      </c>
      <c r="C11190">
        <v>6</v>
      </c>
      <c r="D11190">
        <v>1</v>
      </c>
      <c r="E11190">
        <v>15760</v>
      </c>
      <c r="F11190">
        <v>227906.25</v>
      </c>
      <c r="G11190">
        <v>0</v>
      </c>
      <c r="H11190">
        <v>0</v>
      </c>
      <c r="I11190">
        <v>0</v>
      </c>
      <c r="J11190">
        <v>0</v>
      </c>
      <c r="K11190">
        <v>0</v>
      </c>
      <c r="L11190">
        <v>42500000</v>
      </c>
      <c r="M11190">
        <v>42500000</v>
      </c>
      <c r="N11190">
        <v>42500000</v>
      </c>
      <c r="O11190">
        <v>42500000</v>
      </c>
      <c r="P11190">
        <v>42500000</v>
      </c>
      <c r="Q11190">
        <v>42500000</v>
      </c>
      <c r="R11190" s="14">
        <f>_xlfn.XLOOKUP(Table2[[#This Row],[LoanID]],Table1[G-L ID],Table1[ManagerCode],-99)</f>
        <v>193</v>
      </c>
    </row>
    <row r="11191" spans="1:18" x14ac:dyDescent="0.25">
      <c r="A11191">
        <v>20200630</v>
      </c>
      <c r="B11191">
        <v>2020</v>
      </c>
      <c r="C11191">
        <v>6</v>
      </c>
      <c r="D11191">
        <v>1</v>
      </c>
      <c r="E11191">
        <v>15770</v>
      </c>
      <c r="F11191">
        <v>691666.67</v>
      </c>
      <c r="G11191">
        <v>0</v>
      </c>
      <c r="H11191">
        <v>0</v>
      </c>
      <c r="I11191">
        <v>0</v>
      </c>
      <c r="J11191">
        <v>0</v>
      </c>
      <c r="K11191">
        <v>0</v>
      </c>
      <c r="L11191">
        <v>100000000</v>
      </c>
      <c r="M11191">
        <v>100000000</v>
      </c>
      <c r="N11191">
        <v>100000000</v>
      </c>
      <c r="O11191">
        <v>100000000</v>
      </c>
      <c r="P11191">
        <v>100000000</v>
      </c>
      <c r="Q11191">
        <v>100000000</v>
      </c>
      <c r="R11191" s="14">
        <f>_xlfn.XLOOKUP(Table2[[#This Row],[LoanID]],Table1[G-L ID],Table1[ManagerCode],-99)</f>
        <v>193</v>
      </c>
    </row>
    <row r="11192" spans="1:18" x14ac:dyDescent="0.25">
      <c r="A11192">
        <v>20200630</v>
      </c>
      <c r="B11192">
        <v>2020</v>
      </c>
      <c r="C11192">
        <v>6</v>
      </c>
      <c r="D11192">
        <v>1</v>
      </c>
      <c r="E11192">
        <v>15780</v>
      </c>
      <c r="F11192">
        <v>114062.5</v>
      </c>
      <c r="G11192">
        <v>0</v>
      </c>
      <c r="H11192">
        <v>0</v>
      </c>
      <c r="I11192">
        <v>0</v>
      </c>
      <c r="J11192">
        <v>0</v>
      </c>
      <c r="K11192">
        <v>0</v>
      </c>
      <c r="L11192">
        <v>15000000</v>
      </c>
      <c r="M11192">
        <v>15000000</v>
      </c>
      <c r="N11192">
        <v>15000000</v>
      </c>
      <c r="O11192">
        <v>15000000</v>
      </c>
      <c r="P11192">
        <v>15000000</v>
      </c>
      <c r="Q11192">
        <v>15000000</v>
      </c>
      <c r="R11192" s="14">
        <f>_xlfn.XLOOKUP(Table2[[#This Row],[LoanID]],Table1[G-L ID],Table1[ManagerCode],-99)</f>
        <v>193</v>
      </c>
    </row>
    <row r="11193" spans="1:18" x14ac:dyDescent="0.25">
      <c r="A11193">
        <v>20200630</v>
      </c>
      <c r="B11193">
        <v>2020</v>
      </c>
      <c r="C11193">
        <v>6</v>
      </c>
      <c r="D11193">
        <v>1</v>
      </c>
      <c r="E11193">
        <v>15790</v>
      </c>
      <c r="F11193">
        <v>268258.08</v>
      </c>
      <c r="G11193">
        <v>0</v>
      </c>
      <c r="H11193">
        <v>0</v>
      </c>
      <c r="I11193">
        <v>0</v>
      </c>
      <c r="J11193">
        <v>0</v>
      </c>
      <c r="K11193">
        <v>0</v>
      </c>
      <c r="L11193">
        <v>50000000</v>
      </c>
      <c r="M11193">
        <v>50000000</v>
      </c>
      <c r="N11193">
        <v>50000000</v>
      </c>
      <c r="O11193">
        <v>50000000</v>
      </c>
      <c r="P11193">
        <v>50000000</v>
      </c>
      <c r="Q11193">
        <v>50000000</v>
      </c>
      <c r="R11193" s="14">
        <f>_xlfn.XLOOKUP(Table2[[#This Row],[LoanID]],Table1[G-L ID],Table1[ManagerCode],-99)</f>
        <v>193</v>
      </c>
    </row>
    <row r="11194" spans="1:18" x14ac:dyDescent="0.25">
      <c r="A11194">
        <v>20200630</v>
      </c>
      <c r="B11194">
        <v>2020</v>
      </c>
      <c r="C11194">
        <v>6</v>
      </c>
      <c r="D11194">
        <v>1</v>
      </c>
      <c r="E11194">
        <v>15800</v>
      </c>
      <c r="F11194">
        <v>420868.06</v>
      </c>
      <c r="G11194">
        <v>0</v>
      </c>
      <c r="H11194">
        <v>0</v>
      </c>
      <c r="I11194">
        <v>-3659.72</v>
      </c>
      <c r="J11194">
        <v>0</v>
      </c>
      <c r="K11194">
        <v>0</v>
      </c>
      <c r="L11194">
        <v>85420868.060000002</v>
      </c>
      <c r="M11194">
        <v>85420868.060000002</v>
      </c>
      <c r="N11194">
        <v>85420868.060000002</v>
      </c>
      <c r="O11194">
        <v>85420868.060000002</v>
      </c>
      <c r="P11194">
        <v>85420868.060000002</v>
      </c>
      <c r="Q11194">
        <v>85420868.060000002</v>
      </c>
      <c r="R11194" s="14">
        <f>_xlfn.XLOOKUP(Table2[[#This Row],[LoanID]],Table1[G-L ID],Table1[ManagerCode],-99)</f>
        <v>212</v>
      </c>
    </row>
    <row r="11195" spans="1:18" x14ac:dyDescent="0.25">
      <c r="A11195">
        <v>20200630</v>
      </c>
      <c r="B11195">
        <v>2020</v>
      </c>
      <c r="C11195">
        <v>6</v>
      </c>
      <c r="D11195">
        <v>1</v>
      </c>
      <c r="E11195">
        <v>15810</v>
      </c>
      <c r="F11195">
        <v>158958.32999999999</v>
      </c>
      <c r="G11195">
        <v>0</v>
      </c>
      <c r="H11195">
        <v>0</v>
      </c>
      <c r="I11195">
        <v>0</v>
      </c>
      <c r="J11195">
        <v>0</v>
      </c>
      <c r="K11195">
        <v>0</v>
      </c>
      <c r="L11195">
        <v>23062500</v>
      </c>
      <c r="M11195">
        <v>23062500</v>
      </c>
      <c r="N11195">
        <v>23062500</v>
      </c>
      <c r="O11195">
        <v>23062500</v>
      </c>
      <c r="P11195">
        <v>25000000</v>
      </c>
      <c r="Q11195">
        <v>25000000</v>
      </c>
      <c r="R11195" s="14">
        <f>_xlfn.XLOOKUP(Table2[[#This Row],[LoanID]],Table1[G-L ID],Table1[ManagerCode],-99)</f>
        <v>193</v>
      </c>
    </row>
    <row r="11196" spans="1:18" x14ac:dyDescent="0.25">
      <c r="A11196">
        <v>20200630</v>
      </c>
      <c r="B11196">
        <v>2020</v>
      </c>
      <c r="C11196">
        <v>6</v>
      </c>
      <c r="D11196">
        <v>1</v>
      </c>
      <c r="E11196">
        <v>15820</v>
      </c>
      <c r="F11196">
        <v>109529.82</v>
      </c>
      <c r="G11196">
        <v>0</v>
      </c>
      <c r="H11196">
        <v>0</v>
      </c>
      <c r="I11196">
        <v>0</v>
      </c>
      <c r="J11196">
        <v>0</v>
      </c>
      <c r="K11196">
        <v>0</v>
      </c>
      <c r="L11196">
        <v>22190745</v>
      </c>
      <c r="M11196">
        <v>22190745</v>
      </c>
      <c r="N11196">
        <v>22190745</v>
      </c>
      <c r="O11196">
        <v>22190745</v>
      </c>
      <c r="P11196">
        <v>22190745</v>
      </c>
      <c r="Q11196">
        <v>22190745</v>
      </c>
      <c r="R11196" s="14">
        <f>_xlfn.XLOOKUP(Table2[[#This Row],[LoanID]],Table1[G-L ID],Table1[ManagerCode],-99)</f>
        <v>193</v>
      </c>
    </row>
    <row r="11197" spans="1:18" x14ac:dyDescent="0.25">
      <c r="A11197">
        <v>20200630</v>
      </c>
      <c r="B11197">
        <v>2020</v>
      </c>
      <c r="C11197">
        <v>6</v>
      </c>
      <c r="D11197">
        <v>1</v>
      </c>
      <c r="E11197">
        <v>15830</v>
      </c>
      <c r="F11197">
        <v>338161.29</v>
      </c>
      <c r="G11197">
        <v>0</v>
      </c>
      <c r="H11197">
        <v>0</v>
      </c>
      <c r="I11197">
        <v>0</v>
      </c>
      <c r="J11197">
        <v>0</v>
      </c>
      <c r="K11197">
        <v>0</v>
      </c>
      <c r="L11197">
        <v>82815011</v>
      </c>
      <c r="M11197">
        <v>82815011</v>
      </c>
      <c r="N11197">
        <v>82815011</v>
      </c>
      <c r="O11197">
        <v>82815011</v>
      </c>
      <c r="P11197">
        <v>82815011</v>
      </c>
      <c r="Q11197">
        <v>82815011</v>
      </c>
      <c r="R11197" s="14">
        <f>_xlfn.XLOOKUP(Table2[[#This Row],[LoanID]],Table1[G-L ID],Table1[ManagerCode],-99)</f>
        <v>183</v>
      </c>
    </row>
    <row r="11198" spans="1:18" x14ac:dyDescent="0.25">
      <c r="A11198">
        <v>20200630</v>
      </c>
      <c r="B11198">
        <v>2020</v>
      </c>
      <c r="C11198">
        <v>6</v>
      </c>
      <c r="D11198">
        <v>1</v>
      </c>
      <c r="E11198">
        <v>15840</v>
      </c>
      <c r="F11198">
        <v>679060.94</v>
      </c>
      <c r="G11198">
        <v>0</v>
      </c>
      <c r="H11198">
        <v>0</v>
      </c>
      <c r="I11198">
        <v>0</v>
      </c>
      <c r="J11198">
        <v>-1947968.79</v>
      </c>
      <c r="K11198">
        <v>0</v>
      </c>
      <c r="L11198">
        <v>124096072.40000001</v>
      </c>
      <c r="M11198">
        <v>126044041.2</v>
      </c>
      <c r="N11198">
        <v>124096072.40000001</v>
      </c>
      <c r="O11198">
        <v>126044041.2</v>
      </c>
      <c r="P11198">
        <v>124096072.40000001</v>
      </c>
      <c r="Q11198">
        <v>126044041.2</v>
      </c>
      <c r="R11198" s="14">
        <f>_xlfn.XLOOKUP(Table2[[#This Row],[LoanID]],Table1[G-L ID],Table1[ManagerCode],-99)</f>
        <v>183</v>
      </c>
    </row>
    <row r="11199" spans="1:18" x14ac:dyDescent="0.25">
      <c r="A11199">
        <v>20200731</v>
      </c>
      <c r="B11199">
        <v>2020</v>
      </c>
      <c r="C11199">
        <v>7</v>
      </c>
      <c r="D11199">
        <v>1</v>
      </c>
      <c r="E11199">
        <v>10050</v>
      </c>
      <c r="F11199">
        <v>149013.89000000001</v>
      </c>
      <c r="G11199">
        <v>0</v>
      </c>
      <c r="H11199">
        <v>0</v>
      </c>
      <c r="I11199">
        <v>-69.45</v>
      </c>
      <c r="J11199">
        <v>0</v>
      </c>
      <c r="K11199">
        <v>0</v>
      </c>
      <c r="L11199">
        <v>36928713</v>
      </c>
      <c r="M11199">
        <v>37119454</v>
      </c>
      <c r="N11199">
        <v>36928713</v>
      </c>
      <c r="O11199">
        <v>37119454</v>
      </c>
      <c r="P11199">
        <v>33333334</v>
      </c>
      <c r="Q11199">
        <v>33333334</v>
      </c>
      <c r="R11199" s="14">
        <f>_xlfn.XLOOKUP(Table2[[#This Row],[LoanID]],Table1[G-L ID],Table1[ManagerCode],-99)</f>
        <v>103</v>
      </c>
    </row>
    <row r="11200" spans="1:18" x14ac:dyDescent="0.25">
      <c r="A11200">
        <v>20200731</v>
      </c>
      <c r="B11200">
        <v>2020</v>
      </c>
      <c r="C11200">
        <v>7</v>
      </c>
      <c r="D11200">
        <v>1</v>
      </c>
      <c r="E11200">
        <v>10220</v>
      </c>
      <c r="F11200">
        <v>541666.67000000004</v>
      </c>
      <c r="G11200">
        <v>0</v>
      </c>
      <c r="H11200">
        <v>0</v>
      </c>
      <c r="I11200">
        <v>0</v>
      </c>
      <c r="J11200">
        <v>0</v>
      </c>
      <c r="K11200">
        <v>0</v>
      </c>
      <c r="L11200">
        <v>107172457</v>
      </c>
      <c r="M11200">
        <v>107102504</v>
      </c>
      <c r="N11200">
        <v>107172457</v>
      </c>
      <c r="O11200">
        <v>107102504</v>
      </c>
      <c r="P11200">
        <v>100000000</v>
      </c>
      <c r="Q11200">
        <v>100000000</v>
      </c>
      <c r="R11200" s="14">
        <f>_xlfn.XLOOKUP(Table2[[#This Row],[LoanID]],Table1[G-L ID],Table1[ManagerCode],-99)</f>
        <v>103</v>
      </c>
    </row>
    <row r="11201" spans="1:18" x14ac:dyDescent="0.25">
      <c r="A11201">
        <v>20200731</v>
      </c>
      <c r="B11201">
        <v>2020</v>
      </c>
      <c r="C11201">
        <v>7</v>
      </c>
      <c r="D11201">
        <v>1</v>
      </c>
      <c r="E11201">
        <v>11680</v>
      </c>
      <c r="F11201">
        <v>0</v>
      </c>
      <c r="G11201">
        <v>0</v>
      </c>
      <c r="H11201">
        <v>0</v>
      </c>
      <c r="I11201">
        <v>0</v>
      </c>
      <c r="J11201">
        <v>0</v>
      </c>
      <c r="K11201">
        <v>0</v>
      </c>
      <c r="L11201">
        <v>6600000</v>
      </c>
      <c r="M11201">
        <v>6600000</v>
      </c>
      <c r="N11201">
        <v>6600000</v>
      </c>
      <c r="O11201">
        <v>6600000</v>
      </c>
      <c r="P11201">
        <v>6600000</v>
      </c>
      <c r="Q11201">
        <v>6600000</v>
      </c>
      <c r="R11201" s="14">
        <f>_xlfn.XLOOKUP(Table2[[#This Row],[LoanID]],Table1[G-L ID],Table1[ManagerCode],-99)</f>
        <v>183</v>
      </c>
    </row>
    <row r="11202" spans="1:18" x14ac:dyDescent="0.25">
      <c r="A11202">
        <v>20200731</v>
      </c>
      <c r="B11202">
        <v>2020</v>
      </c>
      <c r="C11202">
        <v>7</v>
      </c>
      <c r="D11202">
        <v>1</v>
      </c>
      <c r="E11202">
        <v>12340</v>
      </c>
      <c r="F11202">
        <v>78392.789999999994</v>
      </c>
      <c r="G11202">
        <v>0</v>
      </c>
      <c r="H11202">
        <v>0</v>
      </c>
      <c r="I11202">
        <v>0</v>
      </c>
      <c r="J11202">
        <v>0</v>
      </c>
      <c r="K11202">
        <v>0</v>
      </c>
      <c r="L11202">
        <v>24180000</v>
      </c>
      <c r="M11202">
        <v>24180000</v>
      </c>
      <c r="N11202">
        <v>12180000</v>
      </c>
      <c r="O11202">
        <v>12180000</v>
      </c>
      <c r="P11202">
        <v>24180000</v>
      </c>
      <c r="Q11202">
        <v>24180000</v>
      </c>
      <c r="R11202" s="14">
        <f>_xlfn.XLOOKUP(Table2[[#This Row],[LoanID]],Table1[G-L ID],Table1[ManagerCode],-99)</f>
        <v>183</v>
      </c>
    </row>
    <row r="11203" spans="1:18" x14ac:dyDescent="0.25">
      <c r="A11203">
        <v>20200731</v>
      </c>
      <c r="B11203">
        <v>2020</v>
      </c>
      <c r="C11203">
        <v>7</v>
      </c>
      <c r="D11203">
        <v>1</v>
      </c>
      <c r="E11203">
        <v>12350</v>
      </c>
      <c r="F11203">
        <v>210088.99</v>
      </c>
      <c r="G11203">
        <v>0</v>
      </c>
      <c r="H11203">
        <v>0</v>
      </c>
      <c r="I11203">
        <v>0</v>
      </c>
      <c r="J11203">
        <v>0</v>
      </c>
      <c r="K11203">
        <v>0</v>
      </c>
      <c r="L11203">
        <v>78700000</v>
      </c>
      <c r="M11203">
        <v>78700000</v>
      </c>
      <c r="N11203">
        <v>40914236.340000004</v>
      </c>
      <c r="O11203">
        <v>40914236.340000004</v>
      </c>
      <c r="P11203">
        <v>78700000</v>
      </c>
      <c r="Q11203">
        <v>78700000</v>
      </c>
      <c r="R11203" s="14">
        <f>_xlfn.XLOOKUP(Table2[[#This Row],[LoanID]],Table1[G-L ID],Table1[ManagerCode],-99)</f>
        <v>183</v>
      </c>
    </row>
    <row r="11204" spans="1:18" x14ac:dyDescent="0.25">
      <c r="A11204">
        <v>20200731</v>
      </c>
      <c r="B11204">
        <v>2020</v>
      </c>
      <c r="C11204">
        <v>7</v>
      </c>
      <c r="D11204">
        <v>1</v>
      </c>
      <c r="E11204">
        <v>12370</v>
      </c>
      <c r="F11204">
        <v>317360.86</v>
      </c>
      <c r="G11204">
        <v>0</v>
      </c>
      <c r="H11204">
        <v>0</v>
      </c>
      <c r="I11204">
        <v>0</v>
      </c>
      <c r="J11204">
        <v>0</v>
      </c>
      <c r="K11204">
        <v>0</v>
      </c>
      <c r="L11204">
        <v>81600000</v>
      </c>
      <c r="M11204">
        <v>81600000</v>
      </c>
      <c r="N11204">
        <v>51303137.549999997</v>
      </c>
      <c r="O11204">
        <v>51303137.549999997</v>
      </c>
      <c r="P11204">
        <v>81600000</v>
      </c>
      <c r="Q11204">
        <v>81600000</v>
      </c>
      <c r="R11204" s="14">
        <f>_xlfn.XLOOKUP(Table2[[#This Row],[LoanID]],Table1[G-L ID],Table1[ManagerCode],-99)</f>
        <v>183</v>
      </c>
    </row>
    <row r="11205" spans="1:18" x14ac:dyDescent="0.25">
      <c r="A11205">
        <v>20200731</v>
      </c>
      <c r="B11205">
        <v>2020</v>
      </c>
      <c r="C11205">
        <v>7</v>
      </c>
      <c r="D11205">
        <v>1</v>
      </c>
      <c r="E11205">
        <v>12390</v>
      </c>
      <c r="F11205">
        <v>1147087.78</v>
      </c>
      <c r="G11205">
        <v>667635.75</v>
      </c>
      <c r="H11205">
        <v>0</v>
      </c>
      <c r="I11205">
        <v>0</v>
      </c>
      <c r="J11205">
        <v>-2311827.0099999998</v>
      </c>
      <c r="K11205">
        <v>0</v>
      </c>
      <c r="L11205">
        <v>180056184.90000001</v>
      </c>
      <c r="M11205">
        <v>183035647.69999999</v>
      </c>
      <c r="N11205">
        <v>180056184.90000001</v>
      </c>
      <c r="O11205">
        <v>183035647.69999999</v>
      </c>
      <c r="P11205">
        <v>180056184.90000001</v>
      </c>
      <c r="Q11205">
        <v>183035647.69999999</v>
      </c>
      <c r="R11205" s="14">
        <f>_xlfn.XLOOKUP(Table2[[#This Row],[LoanID]],Table1[G-L ID],Table1[ManagerCode],-99)</f>
        <v>183</v>
      </c>
    </row>
    <row r="11206" spans="1:18" x14ac:dyDescent="0.25">
      <c r="A11206">
        <v>20200731</v>
      </c>
      <c r="B11206">
        <v>2020</v>
      </c>
      <c r="C11206">
        <v>7</v>
      </c>
      <c r="D11206">
        <v>1</v>
      </c>
      <c r="E11206">
        <v>12400</v>
      </c>
      <c r="F11206">
        <v>315642.05</v>
      </c>
      <c r="G11206">
        <v>143786.17000000001</v>
      </c>
      <c r="H11206">
        <v>0</v>
      </c>
      <c r="I11206">
        <v>0</v>
      </c>
      <c r="J11206">
        <v>-129652.96</v>
      </c>
      <c r="K11206">
        <v>0</v>
      </c>
      <c r="L11206">
        <v>67531444.349999994</v>
      </c>
      <c r="M11206">
        <v>67804883.480000004</v>
      </c>
      <c r="N11206">
        <v>67531444.349999994</v>
      </c>
      <c r="O11206">
        <v>67804883.480000004</v>
      </c>
      <c r="P11206">
        <v>67531444.349999994</v>
      </c>
      <c r="Q11206">
        <v>67804883.480000004</v>
      </c>
      <c r="R11206" s="14">
        <f>_xlfn.XLOOKUP(Table2[[#This Row],[LoanID]],Table1[G-L ID],Table1[ManagerCode],-99)</f>
        <v>183</v>
      </c>
    </row>
    <row r="11207" spans="1:18" x14ac:dyDescent="0.25">
      <c r="A11207">
        <v>20200731</v>
      </c>
      <c r="B11207">
        <v>2020</v>
      </c>
      <c r="C11207">
        <v>7</v>
      </c>
      <c r="D11207">
        <v>1</v>
      </c>
      <c r="E11207">
        <v>12410</v>
      </c>
      <c r="F11207">
        <v>250000</v>
      </c>
      <c r="G11207">
        <v>125000</v>
      </c>
      <c r="H11207">
        <v>0</v>
      </c>
      <c r="I11207">
        <v>0</v>
      </c>
      <c r="J11207">
        <v>0</v>
      </c>
      <c r="K11207">
        <v>0</v>
      </c>
      <c r="L11207">
        <v>69467439.730000004</v>
      </c>
      <c r="M11207">
        <v>69664641.700000003</v>
      </c>
      <c r="N11207">
        <v>69467439.730000004</v>
      </c>
      <c r="O11207">
        <v>69664641.700000003</v>
      </c>
      <c r="P11207">
        <v>67254789.659999996</v>
      </c>
      <c r="Q11207">
        <v>67379789.659999996</v>
      </c>
      <c r="R11207" s="14">
        <f>_xlfn.XLOOKUP(Table2[[#This Row],[LoanID]],Table1[G-L ID],Table1[ManagerCode],-99)</f>
        <v>103</v>
      </c>
    </row>
    <row r="11208" spans="1:18" x14ac:dyDescent="0.25">
      <c r="A11208">
        <v>20200731</v>
      </c>
      <c r="B11208">
        <v>2020</v>
      </c>
      <c r="C11208">
        <v>7</v>
      </c>
      <c r="D11208">
        <v>1</v>
      </c>
      <c r="E11208">
        <v>12440</v>
      </c>
      <c r="F11208">
        <v>21014.9</v>
      </c>
      <c r="G11208">
        <v>0</v>
      </c>
      <c r="H11208">
        <v>0</v>
      </c>
      <c r="I11208">
        <v>0</v>
      </c>
      <c r="J11208">
        <v>0</v>
      </c>
      <c r="K11208">
        <v>62351.37</v>
      </c>
      <c r="L11208">
        <v>2751070</v>
      </c>
      <c r="M11208">
        <v>2678677</v>
      </c>
      <c r="N11208">
        <v>2751070</v>
      </c>
      <c r="O11208">
        <v>2678677</v>
      </c>
      <c r="P11208">
        <v>2521787.66</v>
      </c>
      <c r="Q11208">
        <v>2459436.29</v>
      </c>
      <c r="R11208" s="14">
        <f>_xlfn.XLOOKUP(Table2[[#This Row],[LoanID]],Table1[G-L ID],Table1[ManagerCode],-99)</f>
        <v>103</v>
      </c>
    </row>
    <row r="11209" spans="1:18" x14ac:dyDescent="0.25">
      <c r="A11209">
        <v>20200731</v>
      </c>
      <c r="B11209">
        <v>2020</v>
      </c>
      <c r="C11209">
        <v>7</v>
      </c>
      <c r="D11209">
        <v>1</v>
      </c>
      <c r="E11209">
        <v>12460</v>
      </c>
      <c r="F11209">
        <v>49433.78</v>
      </c>
      <c r="G11209">
        <v>49680.959999999999</v>
      </c>
      <c r="H11209">
        <v>0</v>
      </c>
      <c r="I11209">
        <v>0</v>
      </c>
      <c r="J11209">
        <v>0</v>
      </c>
      <c r="K11209">
        <v>0</v>
      </c>
      <c r="L11209">
        <v>9936190.5199999996</v>
      </c>
      <c r="M11209">
        <v>9985871.4800000004</v>
      </c>
      <c r="N11209">
        <v>9936190.5199999996</v>
      </c>
      <c r="O11209">
        <v>9985871.4800000004</v>
      </c>
      <c r="P11209">
        <v>9936190.5199999996</v>
      </c>
      <c r="Q11209">
        <v>9985871.4800000004</v>
      </c>
      <c r="R11209" s="14">
        <f>_xlfn.XLOOKUP(Table2[[#This Row],[LoanID]],Table1[G-L ID],Table1[ManagerCode],-99)</f>
        <v>183</v>
      </c>
    </row>
    <row r="11210" spans="1:18" x14ac:dyDescent="0.25">
      <c r="A11210">
        <v>20200731</v>
      </c>
      <c r="B11210">
        <v>2020</v>
      </c>
      <c r="C11210">
        <v>7</v>
      </c>
      <c r="D11210">
        <v>1</v>
      </c>
      <c r="E11210">
        <v>12470</v>
      </c>
      <c r="F11210">
        <v>344655.1</v>
      </c>
      <c r="G11210">
        <v>0</v>
      </c>
      <c r="H11210">
        <v>0</v>
      </c>
      <c r="I11210">
        <v>0</v>
      </c>
      <c r="J11210">
        <v>0</v>
      </c>
      <c r="K11210">
        <v>-10350000</v>
      </c>
      <c r="L11210">
        <v>112213002</v>
      </c>
      <c r="M11210">
        <v>112459624.3</v>
      </c>
      <c r="N11210">
        <v>43213002</v>
      </c>
      <c r="O11210">
        <v>53809624.299999997</v>
      </c>
      <c r="P11210">
        <v>115000000</v>
      </c>
      <c r="Q11210">
        <v>115000000</v>
      </c>
      <c r="R11210" s="14">
        <f>_xlfn.XLOOKUP(Table2[[#This Row],[LoanID]],Table1[G-L ID],Table1[ManagerCode],-99)</f>
        <v>183</v>
      </c>
    </row>
    <row r="11211" spans="1:18" x14ac:dyDescent="0.25">
      <c r="A11211">
        <v>20200731</v>
      </c>
      <c r="B11211">
        <v>2020</v>
      </c>
      <c r="C11211">
        <v>7</v>
      </c>
      <c r="D11211">
        <v>1</v>
      </c>
      <c r="E11211">
        <v>12490</v>
      </c>
      <c r="F11211">
        <v>136913.87</v>
      </c>
      <c r="G11211">
        <v>0</v>
      </c>
      <c r="H11211">
        <v>0</v>
      </c>
      <c r="I11211">
        <v>0</v>
      </c>
      <c r="J11211">
        <v>0</v>
      </c>
      <c r="K11211">
        <v>0</v>
      </c>
      <c r="L11211">
        <v>50154624.520000003</v>
      </c>
      <c r="M11211">
        <v>50154624.520000003</v>
      </c>
      <c r="N11211">
        <v>19554624.52</v>
      </c>
      <c r="O11211">
        <v>19554624.52</v>
      </c>
      <c r="P11211">
        <v>50200000</v>
      </c>
      <c r="Q11211">
        <v>50200000</v>
      </c>
      <c r="R11211" s="14">
        <f>_xlfn.XLOOKUP(Table2[[#This Row],[LoanID]],Table1[G-L ID],Table1[ManagerCode],-99)</f>
        <v>183</v>
      </c>
    </row>
    <row r="11212" spans="1:18" x14ac:dyDescent="0.25">
      <c r="A11212">
        <v>20200731</v>
      </c>
      <c r="B11212">
        <v>2020</v>
      </c>
      <c r="C11212">
        <v>7</v>
      </c>
      <c r="D11212">
        <v>1</v>
      </c>
      <c r="E11212">
        <v>12520</v>
      </c>
      <c r="F11212">
        <v>209397.24</v>
      </c>
      <c r="G11212">
        <v>0</v>
      </c>
      <c r="H11212">
        <v>0</v>
      </c>
      <c r="I11212">
        <v>0</v>
      </c>
      <c r="J11212">
        <v>0</v>
      </c>
      <c r="K11212">
        <v>-3712500</v>
      </c>
      <c r="L11212">
        <v>49449376.439999998</v>
      </c>
      <c r="M11212">
        <v>49449376.439999998</v>
      </c>
      <c r="N11212">
        <v>24699376.440000001</v>
      </c>
      <c r="O11212">
        <v>28411876.440000001</v>
      </c>
      <c r="P11212">
        <v>49480382.869999997</v>
      </c>
      <c r="Q11212">
        <v>49480382.869999997</v>
      </c>
      <c r="R11212" s="14">
        <f>_xlfn.XLOOKUP(Table2[[#This Row],[LoanID]],Table1[G-L ID],Table1[ManagerCode],-99)</f>
        <v>183</v>
      </c>
    </row>
    <row r="11213" spans="1:18" x14ac:dyDescent="0.25">
      <c r="A11213">
        <v>20200731</v>
      </c>
      <c r="B11213">
        <v>2020</v>
      </c>
      <c r="C11213">
        <v>7</v>
      </c>
      <c r="D11213">
        <v>1</v>
      </c>
      <c r="E11213">
        <v>12650</v>
      </c>
      <c r="F11213">
        <v>295339.71999999997</v>
      </c>
      <c r="G11213">
        <v>0</v>
      </c>
      <c r="H11213">
        <v>0</v>
      </c>
      <c r="I11213">
        <v>0</v>
      </c>
      <c r="J11213">
        <v>0</v>
      </c>
      <c r="K11213">
        <v>0</v>
      </c>
      <c r="L11213">
        <v>123193646.09999999</v>
      </c>
      <c r="M11213">
        <v>123193646.09999999</v>
      </c>
      <c r="N11213">
        <v>49273646.100000001</v>
      </c>
      <c r="O11213">
        <v>49273646.100000001</v>
      </c>
      <c r="P11213">
        <v>123200000</v>
      </c>
      <c r="Q11213">
        <v>123200000</v>
      </c>
      <c r="R11213" s="14">
        <f>_xlfn.XLOOKUP(Table2[[#This Row],[LoanID]],Table1[G-L ID],Table1[ManagerCode],-99)</f>
        <v>183</v>
      </c>
    </row>
    <row r="11214" spans="1:18" x14ac:dyDescent="0.25">
      <c r="A11214">
        <v>20200731</v>
      </c>
      <c r="B11214">
        <v>2020</v>
      </c>
      <c r="C11214">
        <v>7</v>
      </c>
      <c r="D11214">
        <v>1</v>
      </c>
      <c r="E11214">
        <v>12670</v>
      </c>
      <c r="F11214">
        <v>81337.97</v>
      </c>
      <c r="G11214">
        <v>0</v>
      </c>
      <c r="H11214">
        <v>0</v>
      </c>
      <c r="I11214">
        <v>0</v>
      </c>
      <c r="J11214">
        <v>0</v>
      </c>
      <c r="K11214">
        <v>0</v>
      </c>
      <c r="L11214">
        <v>15560412.1</v>
      </c>
      <c r="M11214">
        <v>15553141.35</v>
      </c>
      <c r="N11214">
        <v>15560412.1</v>
      </c>
      <c r="O11214">
        <v>15553141.35</v>
      </c>
      <c r="P11214">
        <v>15500000</v>
      </c>
      <c r="Q11214">
        <v>15500000</v>
      </c>
      <c r="R11214" s="14">
        <f>_xlfn.XLOOKUP(Table2[[#This Row],[LoanID]],Table1[G-L ID],Table1[ManagerCode],-99)</f>
        <v>183</v>
      </c>
    </row>
    <row r="11215" spans="1:18" x14ac:dyDescent="0.25">
      <c r="A11215">
        <v>20200731</v>
      </c>
      <c r="B11215">
        <v>2020</v>
      </c>
      <c r="C11215">
        <v>7</v>
      </c>
      <c r="D11215">
        <v>1</v>
      </c>
      <c r="E11215">
        <v>12720</v>
      </c>
      <c r="F11215">
        <v>566992.54</v>
      </c>
      <c r="G11215">
        <v>0</v>
      </c>
      <c r="H11215">
        <v>0</v>
      </c>
      <c r="I11215">
        <v>0</v>
      </c>
      <c r="J11215">
        <v>-2025548.74</v>
      </c>
      <c r="K11215">
        <v>0</v>
      </c>
      <c r="L11215">
        <v>211185806.30000001</v>
      </c>
      <c r="M11215">
        <v>213209889.09999999</v>
      </c>
      <c r="N11215">
        <v>109304806.3</v>
      </c>
      <c r="O11215">
        <v>111328889.09999999</v>
      </c>
      <c r="P11215">
        <v>212255746.90000001</v>
      </c>
      <c r="Q11215">
        <v>214281295.59999999</v>
      </c>
      <c r="R11215" s="14">
        <f>_xlfn.XLOOKUP(Table2[[#This Row],[LoanID]],Table1[G-L ID],Table1[ManagerCode],-99)</f>
        <v>183</v>
      </c>
    </row>
    <row r="11216" spans="1:18" x14ac:dyDescent="0.25">
      <c r="A11216">
        <v>20200731</v>
      </c>
      <c r="B11216">
        <v>2020</v>
      </c>
      <c r="C11216">
        <v>7</v>
      </c>
      <c r="D11216">
        <v>1</v>
      </c>
      <c r="E11216">
        <v>12730</v>
      </c>
      <c r="F11216">
        <v>115841.09</v>
      </c>
      <c r="G11216">
        <v>0</v>
      </c>
      <c r="H11216">
        <v>0</v>
      </c>
      <c r="I11216">
        <v>0</v>
      </c>
      <c r="J11216">
        <v>0</v>
      </c>
      <c r="K11216">
        <v>0</v>
      </c>
      <c r="L11216">
        <v>38460000</v>
      </c>
      <c r="M11216">
        <v>38460000</v>
      </c>
      <c r="N11216">
        <v>13460000</v>
      </c>
      <c r="O11216">
        <v>13460000</v>
      </c>
      <c r="P11216">
        <v>38460000</v>
      </c>
      <c r="Q11216">
        <v>38460000</v>
      </c>
      <c r="R11216" s="14">
        <f>_xlfn.XLOOKUP(Table2[[#This Row],[LoanID]],Table1[G-L ID],Table1[ManagerCode],-99)</f>
        <v>183</v>
      </c>
    </row>
    <row r="11217" spans="1:18" x14ac:dyDescent="0.25">
      <c r="A11217">
        <v>20200731</v>
      </c>
      <c r="B11217">
        <v>2020</v>
      </c>
      <c r="C11217">
        <v>7</v>
      </c>
      <c r="D11217">
        <v>1</v>
      </c>
      <c r="E11217">
        <v>12740</v>
      </c>
      <c r="F11217">
        <v>169346.43</v>
      </c>
      <c r="G11217">
        <v>83652.789999999994</v>
      </c>
      <c r="H11217">
        <v>0</v>
      </c>
      <c r="I11217">
        <v>0</v>
      </c>
      <c r="J11217">
        <v>-287022.38</v>
      </c>
      <c r="K11217">
        <v>0</v>
      </c>
      <c r="L11217">
        <v>35764086.869999997</v>
      </c>
      <c r="M11217">
        <v>36134762.039999999</v>
      </c>
      <c r="N11217">
        <v>35764086.869999997</v>
      </c>
      <c r="O11217">
        <v>36134762.039999999</v>
      </c>
      <c r="P11217">
        <v>35764086.869999997</v>
      </c>
      <c r="Q11217">
        <v>36134762.039999999</v>
      </c>
      <c r="R11217" s="14">
        <f>_xlfn.XLOOKUP(Table2[[#This Row],[LoanID]],Table1[G-L ID],Table1[ManagerCode],-99)</f>
        <v>183</v>
      </c>
    </row>
    <row r="11218" spans="1:18" x14ac:dyDescent="0.25">
      <c r="A11218">
        <v>20200731</v>
      </c>
      <c r="B11218">
        <v>2020</v>
      </c>
      <c r="C11218">
        <v>7</v>
      </c>
      <c r="D11218">
        <v>1</v>
      </c>
      <c r="E11218">
        <v>13000</v>
      </c>
      <c r="F11218">
        <v>172569.27</v>
      </c>
      <c r="G11218">
        <v>711381.13</v>
      </c>
      <c r="H11218">
        <v>0</v>
      </c>
      <c r="I11218">
        <v>0</v>
      </c>
      <c r="J11218">
        <v>0</v>
      </c>
      <c r="K11218">
        <v>0</v>
      </c>
      <c r="L11218">
        <v>49182238</v>
      </c>
      <c r="M11218">
        <v>49858004</v>
      </c>
      <c r="N11218">
        <v>49182238</v>
      </c>
      <c r="O11218">
        <v>49858004</v>
      </c>
      <c r="P11218">
        <v>51770780.119999997</v>
      </c>
      <c r="Q11218">
        <v>52482161.25</v>
      </c>
      <c r="R11218" s="14">
        <f>_xlfn.XLOOKUP(Table2[[#This Row],[LoanID]],Table1[G-L ID],Table1[ManagerCode],-99)</f>
        <v>103</v>
      </c>
    </row>
    <row r="11219" spans="1:18" x14ac:dyDescent="0.25">
      <c r="A11219">
        <v>20200731</v>
      </c>
      <c r="B11219">
        <v>2020</v>
      </c>
      <c r="C11219">
        <v>7</v>
      </c>
      <c r="D11219">
        <v>1</v>
      </c>
      <c r="E11219">
        <v>13010</v>
      </c>
      <c r="F11219">
        <v>1050000</v>
      </c>
      <c r="G11219">
        <v>350000</v>
      </c>
      <c r="H11219">
        <v>0</v>
      </c>
      <c r="I11219">
        <v>0</v>
      </c>
      <c r="J11219">
        <v>0</v>
      </c>
      <c r="K11219">
        <v>0</v>
      </c>
      <c r="L11219">
        <v>203490000</v>
      </c>
      <c r="M11219">
        <v>203822500</v>
      </c>
      <c r="N11219">
        <v>203490000</v>
      </c>
      <c r="O11219">
        <v>203822500</v>
      </c>
      <c r="P11219">
        <v>214200000</v>
      </c>
      <c r="Q11219">
        <v>214550000</v>
      </c>
      <c r="R11219" s="14">
        <f>_xlfn.XLOOKUP(Table2[[#This Row],[LoanID]],Table1[G-L ID],Table1[ManagerCode],-99)</f>
        <v>103</v>
      </c>
    </row>
    <row r="11220" spans="1:18" x14ac:dyDescent="0.25">
      <c r="A11220">
        <v>20200731</v>
      </c>
      <c r="B11220">
        <v>2020</v>
      </c>
      <c r="C11220">
        <v>7</v>
      </c>
      <c r="D11220">
        <v>1</v>
      </c>
      <c r="E11220">
        <v>13030</v>
      </c>
      <c r="F11220">
        <v>400932.72</v>
      </c>
      <c r="G11220">
        <v>0</v>
      </c>
      <c r="H11220">
        <v>0</v>
      </c>
      <c r="I11220">
        <v>0</v>
      </c>
      <c r="J11220">
        <v>0</v>
      </c>
      <c r="K11220">
        <v>0</v>
      </c>
      <c r="L11220">
        <v>117576634.90000001</v>
      </c>
      <c r="M11220">
        <v>117576634.90000001</v>
      </c>
      <c r="N11220">
        <v>54853210.899999999</v>
      </c>
      <c r="O11220">
        <v>54853210.899999999</v>
      </c>
      <c r="P11220">
        <v>117734596.40000001</v>
      </c>
      <c r="Q11220">
        <v>117734596.40000001</v>
      </c>
      <c r="R11220" s="14">
        <f>_xlfn.XLOOKUP(Table2[[#This Row],[LoanID]],Table1[G-L ID],Table1[ManagerCode],-99)</f>
        <v>183</v>
      </c>
    </row>
    <row r="11221" spans="1:18" x14ac:dyDescent="0.25">
      <c r="A11221">
        <v>20200731</v>
      </c>
      <c r="B11221">
        <v>2020</v>
      </c>
      <c r="C11221">
        <v>7</v>
      </c>
      <c r="D11221">
        <v>1</v>
      </c>
      <c r="E11221">
        <v>13040</v>
      </c>
      <c r="F11221">
        <v>118039.49</v>
      </c>
      <c r="G11221">
        <v>0</v>
      </c>
      <c r="H11221">
        <v>0</v>
      </c>
      <c r="I11221">
        <v>0</v>
      </c>
      <c r="J11221">
        <v>0</v>
      </c>
      <c r="K11221">
        <v>0</v>
      </c>
      <c r="L11221">
        <v>37143876.789999999</v>
      </c>
      <c r="M11221">
        <v>37143876.789999999</v>
      </c>
      <c r="N11221">
        <v>16971489.789999999</v>
      </c>
      <c r="O11221">
        <v>16971489.789999999</v>
      </c>
      <c r="P11221">
        <v>37143876.789999999</v>
      </c>
      <c r="Q11221">
        <v>37143876.789999999</v>
      </c>
      <c r="R11221" s="14">
        <f>_xlfn.XLOOKUP(Table2[[#This Row],[LoanID]],Table1[G-L ID],Table1[ManagerCode],-99)</f>
        <v>183</v>
      </c>
    </row>
    <row r="11222" spans="1:18" x14ac:dyDescent="0.25">
      <c r="A11222">
        <v>20200731</v>
      </c>
      <c r="B11222">
        <v>2020</v>
      </c>
      <c r="C11222">
        <v>7</v>
      </c>
      <c r="D11222">
        <v>1</v>
      </c>
      <c r="E11222">
        <v>13050</v>
      </c>
      <c r="F11222">
        <v>77408.45</v>
      </c>
      <c r="G11222">
        <v>0</v>
      </c>
      <c r="H11222">
        <v>0</v>
      </c>
      <c r="I11222">
        <v>0</v>
      </c>
      <c r="J11222">
        <v>0</v>
      </c>
      <c r="K11222">
        <v>0</v>
      </c>
      <c r="L11222">
        <v>42108608.119999997</v>
      </c>
      <c r="M11222">
        <v>42255511.829999998</v>
      </c>
      <c r="N11222">
        <v>14435032.119999999</v>
      </c>
      <c r="O11222">
        <v>14581935.83</v>
      </c>
      <c r="P11222">
        <v>42575000</v>
      </c>
      <c r="Q11222">
        <v>42575000</v>
      </c>
      <c r="R11222" s="14">
        <f>_xlfn.XLOOKUP(Table2[[#This Row],[LoanID]],Table1[G-L ID],Table1[ManagerCode],-99)</f>
        <v>183</v>
      </c>
    </row>
    <row r="11223" spans="1:18" x14ac:dyDescent="0.25">
      <c r="A11223">
        <v>20200731</v>
      </c>
      <c r="B11223">
        <v>2020</v>
      </c>
      <c r="C11223">
        <v>7</v>
      </c>
      <c r="D11223">
        <v>1</v>
      </c>
      <c r="E11223">
        <v>13060</v>
      </c>
      <c r="F11223">
        <v>120263.6</v>
      </c>
      <c r="G11223">
        <v>0</v>
      </c>
      <c r="H11223">
        <v>0</v>
      </c>
      <c r="I11223">
        <v>0</v>
      </c>
      <c r="J11223">
        <v>-700157.19</v>
      </c>
      <c r="K11223">
        <v>0</v>
      </c>
      <c r="L11223">
        <v>51395740.759999998</v>
      </c>
      <c r="M11223">
        <v>52205373.899999999</v>
      </c>
      <c r="N11223">
        <v>25146884.600000001</v>
      </c>
      <c r="O11223">
        <v>25956517.739999998</v>
      </c>
      <c r="P11223">
        <v>52368709.950000003</v>
      </c>
      <c r="Q11223">
        <v>53068867.140000001</v>
      </c>
      <c r="R11223" s="14">
        <f>_xlfn.XLOOKUP(Table2[[#This Row],[LoanID]],Table1[G-L ID],Table1[ManagerCode],-99)</f>
        <v>183</v>
      </c>
    </row>
    <row r="11224" spans="1:18" x14ac:dyDescent="0.25">
      <c r="A11224">
        <v>20200731</v>
      </c>
      <c r="B11224">
        <v>2020</v>
      </c>
      <c r="C11224">
        <v>7</v>
      </c>
      <c r="D11224">
        <v>1</v>
      </c>
      <c r="E11224">
        <v>13070</v>
      </c>
      <c r="F11224">
        <v>430025.07</v>
      </c>
      <c r="G11224">
        <v>0</v>
      </c>
      <c r="H11224">
        <v>0</v>
      </c>
      <c r="I11224">
        <v>0</v>
      </c>
      <c r="J11224">
        <v>0</v>
      </c>
      <c r="K11224">
        <v>0</v>
      </c>
      <c r="L11224">
        <v>99604825</v>
      </c>
      <c r="M11224">
        <v>99604825</v>
      </c>
      <c r="N11224">
        <v>59604825</v>
      </c>
      <c r="O11224">
        <v>59604825</v>
      </c>
      <c r="P11224">
        <v>99604825</v>
      </c>
      <c r="Q11224">
        <v>99604825</v>
      </c>
      <c r="R11224" s="14">
        <f>_xlfn.XLOOKUP(Table2[[#This Row],[LoanID]],Table1[G-L ID],Table1[ManagerCode],-99)</f>
        <v>183</v>
      </c>
    </row>
    <row r="11225" spans="1:18" x14ac:dyDescent="0.25">
      <c r="A11225">
        <v>20200731</v>
      </c>
      <c r="B11225">
        <v>2020</v>
      </c>
      <c r="C11225">
        <v>7</v>
      </c>
      <c r="D11225">
        <v>1</v>
      </c>
      <c r="E11225">
        <v>13080</v>
      </c>
      <c r="F11225">
        <v>140490.65</v>
      </c>
      <c r="G11225">
        <v>0</v>
      </c>
      <c r="H11225">
        <v>0</v>
      </c>
      <c r="I11225">
        <v>0</v>
      </c>
      <c r="J11225">
        <v>0</v>
      </c>
      <c r="K11225">
        <v>0</v>
      </c>
      <c r="L11225">
        <v>43000000</v>
      </c>
      <c r="M11225">
        <v>43000000</v>
      </c>
      <c r="N11225">
        <v>21500000</v>
      </c>
      <c r="O11225">
        <v>21500000</v>
      </c>
      <c r="P11225">
        <v>43000000</v>
      </c>
      <c r="Q11225">
        <v>43000000</v>
      </c>
      <c r="R11225" s="14">
        <f>_xlfn.XLOOKUP(Table2[[#This Row],[LoanID]],Table1[G-L ID],Table1[ManagerCode],-99)</f>
        <v>183</v>
      </c>
    </row>
    <row r="11226" spans="1:18" x14ac:dyDescent="0.25">
      <c r="A11226">
        <v>20200731</v>
      </c>
      <c r="B11226">
        <v>2020</v>
      </c>
      <c r="C11226">
        <v>7</v>
      </c>
      <c r="D11226">
        <v>1</v>
      </c>
      <c r="E11226">
        <v>13090</v>
      </c>
      <c r="F11226">
        <v>77172.78</v>
      </c>
      <c r="G11226">
        <v>0</v>
      </c>
      <c r="H11226">
        <v>0</v>
      </c>
      <c r="I11226">
        <v>0</v>
      </c>
      <c r="J11226">
        <v>0</v>
      </c>
      <c r="K11226">
        <v>0</v>
      </c>
      <c r="L11226">
        <v>20000000</v>
      </c>
      <c r="M11226">
        <v>20000000</v>
      </c>
      <c r="N11226">
        <v>20000000</v>
      </c>
      <c r="O11226">
        <v>20000000</v>
      </c>
      <c r="P11226">
        <v>20000000</v>
      </c>
      <c r="Q11226">
        <v>20000000</v>
      </c>
      <c r="R11226" s="14">
        <f>_xlfn.XLOOKUP(Table2[[#This Row],[LoanID]],Table1[G-L ID],Table1[ManagerCode],-99)</f>
        <v>183</v>
      </c>
    </row>
    <row r="11227" spans="1:18" x14ac:dyDescent="0.25">
      <c r="A11227">
        <v>20200731</v>
      </c>
      <c r="B11227">
        <v>2020</v>
      </c>
      <c r="C11227">
        <v>7</v>
      </c>
      <c r="D11227">
        <v>1</v>
      </c>
      <c r="E11227">
        <v>13100</v>
      </c>
      <c r="F11227">
        <v>99560.82</v>
      </c>
      <c r="G11227">
        <v>0</v>
      </c>
      <c r="H11227">
        <v>0</v>
      </c>
      <c r="I11227">
        <v>0</v>
      </c>
      <c r="J11227">
        <v>0</v>
      </c>
      <c r="K11227">
        <v>0</v>
      </c>
      <c r="L11227">
        <v>24334036.899999999</v>
      </c>
      <c r="M11227">
        <v>24136193.66</v>
      </c>
      <c r="N11227">
        <v>8632419.2699999996</v>
      </c>
      <c r="O11227">
        <v>8632419.2699999996</v>
      </c>
      <c r="P11227">
        <v>24334036.899999999</v>
      </c>
      <c r="Q11227">
        <v>24136193.66</v>
      </c>
      <c r="R11227" s="14">
        <f>_xlfn.XLOOKUP(Table2[[#This Row],[LoanID]],Table1[G-L ID],Table1[ManagerCode],-99)</f>
        <v>183</v>
      </c>
    </row>
    <row r="11228" spans="1:18" x14ac:dyDescent="0.25">
      <c r="A11228">
        <v>20200731</v>
      </c>
      <c r="B11228">
        <v>2020</v>
      </c>
      <c r="C11228">
        <v>7</v>
      </c>
      <c r="D11228">
        <v>1</v>
      </c>
      <c r="E11228">
        <v>13110</v>
      </c>
      <c r="F11228">
        <v>97151.27</v>
      </c>
      <c r="G11228">
        <v>0</v>
      </c>
      <c r="H11228">
        <v>0</v>
      </c>
      <c r="I11228">
        <v>0</v>
      </c>
      <c r="J11228">
        <v>0</v>
      </c>
      <c r="K11228">
        <v>0</v>
      </c>
      <c r="L11228">
        <v>46258839.219999999</v>
      </c>
      <c r="M11228">
        <v>46647715.689999998</v>
      </c>
      <c r="N11228">
        <v>18613315.559999999</v>
      </c>
      <c r="O11228">
        <v>19002192.030000001</v>
      </c>
      <c r="P11228">
        <v>46647715.689999998</v>
      </c>
      <c r="Q11228">
        <v>46647715.689999998</v>
      </c>
      <c r="R11228" s="14">
        <f>_xlfn.XLOOKUP(Table2[[#This Row],[LoanID]],Table1[G-L ID],Table1[ManagerCode],-99)</f>
        <v>183</v>
      </c>
    </row>
    <row r="11229" spans="1:18" x14ac:dyDescent="0.25">
      <c r="A11229">
        <v>20200731</v>
      </c>
      <c r="B11229">
        <v>2020</v>
      </c>
      <c r="C11229">
        <v>7</v>
      </c>
      <c r="D11229">
        <v>1</v>
      </c>
      <c r="E11229">
        <v>13120</v>
      </c>
      <c r="F11229">
        <v>85486.32</v>
      </c>
      <c r="G11229">
        <v>0</v>
      </c>
      <c r="H11229">
        <v>0</v>
      </c>
      <c r="I11229">
        <v>0</v>
      </c>
      <c r="J11229">
        <v>0</v>
      </c>
      <c r="K11229">
        <v>0</v>
      </c>
      <c r="L11229">
        <v>27360000</v>
      </c>
      <c r="M11229">
        <v>27360000</v>
      </c>
      <c r="N11229">
        <v>9576000</v>
      </c>
      <c r="O11229">
        <v>9576000</v>
      </c>
      <c r="P11229">
        <v>27360000</v>
      </c>
      <c r="Q11229">
        <v>27360000</v>
      </c>
      <c r="R11229" s="14">
        <f>_xlfn.XLOOKUP(Table2[[#This Row],[LoanID]],Table1[G-L ID],Table1[ManagerCode],-99)</f>
        <v>183</v>
      </c>
    </row>
    <row r="11230" spans="1:18" x14ac:dyDescent="0.25">
      <c r="A11230">
        <v>20200731</v>
      </c>
      <c r="B11230">
        <v>2020</v>
      </c>
      <c r="C11230">
        <v>7</v>
      </c>
      <c r="D11230">
        <v>1</v>
      </c>
      <c r="E11230">
        <v>13130</v>
      </c>
      <c r="F11230">
        <v>276389.94</v>
      </c>
      <c r="G11230">
        <v>0</v>
      </c>
      <c r="H11230">
        <v>0</v>
      </c>
      <c r="I11230">
        <v>0</v>
      </c>
      <c r="J11230">
        <v>-298080.12</v>
      </c>
      <c r="K11230">
        <v>0</v>
      </c>
      <c r="L11230">
        <v>203487633.69999999</v>
      </c>
      <c r="M11230">
        <v>202924460.09999999</v>
      </c>
      <c r="N11230">
        <v>91156796.700000003</v>
      </c>
      <c r="O11230">
        <v>90593623.099999994</v>
      </c>
      <c r="P11230">
        <v>210372398.5</v>
      </c>
      <c r="Q11230">
        <v>210670478.59999999</v>
      </c>
      <c r="R11230" s="14">
        <f>_xlfn.XLOOKUP(Table2[[#This Row],[LoanID]],Table1[G-L ID],Table1[ManagerCode],-99)</f>
        <v>183</v>
      </c>
    </row>
    <row r="11231" spans="1:18" x14ac:dyDescent="0.25">
      <c r="A11231">
        <v>20200731</v>
      </c>
      <c r="B11231">
        <v>2020</v>
      </c>
      <c r="C11231">
        <v>7</v>
      </c>
      <c r="D11231">
        <v>1</v>
      </c>
      <c r="E11231">
        <v>13150</v>
      </c>
      <c r="F11231">
        <v>185451.58</v>
      </c>
      <c r="G11231">
        <v>0</v>
      </c>
      <c r="H11231">
        <v>0</v>
      </c>
      <c r="I11231">
        <v>0</v>
      </c>
      <c r="J11231">
        <v>-296063.53000000003</v>
      </c>
      <c r="K11231">
        <v>0</v>
      </c>
      <c r="L11231">
        <v>88969770.530000001</v>
      </c>
      <c r="M11231">
        <v>89811809.349999994</v>
      </c>
      <c r="N11231">
        <v>33165577.57</v>
      </c>
      <c r="O11231">
        <v>34007616.390000001</v>
      </c>
      <c r="P11231">
        <v>90285962.219999999</v>
      </c>
      <c r="Q11231">
        <v>90582025.75</v>
      </c>
      <c r="R11231" s="14">
        <f>_xlfn.XLOOKUP(Table2[[#This Row],[LoanID]],Table1[G-L ID],Table1[ManagerCode],-99)</f>
        <v>183</v>
      </c>
    </row>
    <row r="11232" spans="1:18" x14ac:dyDescent="0.25">
      <c r="A11232">
        <v>20200731</v>
      </c>
      <c r="B11232">
        <v>2020</v>
      </c>
      <c r="C11232">
        <v>7</v>
      </c>
      <c r="D11232">
        <v>1</v>
      </c>
      <c r="E11232">
        <v>13160</v>
      </c>
      <c r="F11232">
        <v>138986.31</v>
      </c>
      <c r="G11232">
        <v>0</v>
      </c>
      <c r="H11232">
        <v>0</v>
      </c>
      <c r="I11232">
        <v>0</v>
      </c>
      <c r="J11232">
        <v>0</v>
      </c>
      <c r="K11232">
        <v>0</v>
      </c>
      <c r="L11232">
        <v>41900000</v>
      </c>
      <c r="M11232">
        <v>41900000</v>
      </c>
      <c r="N11232">
        <v>21854858</v>
      </c>
      <c r="O11232">
        <v>21854858</v>
      </c>
      <c r="P11232">
        <v>41900000</v>
      </c>
      <c r="Q11232">
        <v>41900000</v>
      </c>
      <c r="R11232" s="14">
        <f>_xlfn.XLOOKUP(Table2[[#This Row],[LoanID]],Table1[G-L ID],Table1[ManagerCode],-99)</f>
        <v>183</v>
      </c>
    </row>
    <row r="11233" spans="1:18" x14ac:dyDescent="0.25">
      <c r="A11233">
        <v>20200731</v>
      </c>
      <c r="B11233">
        <v>2020</v>
      </c>
      <c r="C11233">
        <v>7</v>
      </c>
      <c r="D11233">
        <v>1</v>
      </c>
      <c r="E11233">
        <v>13170</v>
      </c>
      <c r="F11233">
        <v>154131.46</v>
      </c>
      <c r="G11233">
        <v>0</v>
      </c>
      <c r="H11233">
        <v>0</v>
      </c>
      <c r="I11233">
        <v>0</v>
      </c>
      <c r="J11233">
        <v>0</v>
      </c>
      <c r="K11233">
        <v>0</v>
      </c>
      <c r="L11233">
        <v>48300000</v>
      </c>
      <c r="M11233">
        <v>48300000</v>
      </c>
      <c r="N11233">
        <v>16866666.670000002</v>
      </c>
      <c r="O11233">
        <v>16866666.670000002</v>
      </c>
      <c r="P11233">
        <v>48300000</v>
      </c>
      <c r="Q11233">
        <v>48300000</v>
      </c>
      <c r="R11233" s="14">
        <f>_xlfn.XLOOKUP(Table2[[#This Row],[LoanID]],Table1[G-L ID],Table1[ManagerCode],-99)</f>
        <v>183</v>
      </c>
    </row>
    <row r="11234" spans="1:18" x14ac:dyDescent="0.25">
      <c r="A11234">
        <v>20200731</v>
      </c>
      <c r="B11234">
        <v>2020</v>
      </c>
      <c r="C11234">
        <v>7</v>
      </c>
      <c r="D11234">
        <v>1</v>
      </c>
      <c r="E11234">
        <v>13180</v>
      </c>
      <c r="F11234">
        <v>121997.86</v>
      </c>
      <c r="G11234">
        <v>0</v>
      </c>
      <c r="H11234">
        <v>0</v>
      </c>
      <c r="I11234">
        <v>0</v>
      </c>
      <c r="J11234">
        <v>0</v>
      </c>
      <c r="K11234">
        <v>0</v>
      </c>
      <c r="L11234">
        <v>39780000</v>
      </c>
      <c r="M11234">
        <v>39780000</v>
      </c>
      <c r="N11234">
        <v>15930000</v>
      </c>
      <c r="O11234">
        <v>15930000</v>
      </c>
      <c r="P11234">
        <v>39780000</v>
      </c>
      <c r="Q11234">
        <v>39780000</v>
      </c>
      <c r="R11234" s="14">
        <f>_xlfn.XLOOKUP(Table2[[#This Row],[LoanID]],Table1[G-L ID],Table1[ManagerCode],-99)</f>
        <v>183</v>
      </c>
    </row>
    <row r="11235" spans="1:18" x14ac:dyDescent="0.25">
      <c r="A11235">
        <v>20200731</v>
      </c>
      <c r="B11235">
        <v>2020</v>
      </c>
      <c r="C11235">
        <v>7</v>
      </c>
      <c r="D11235">
        <v>1</v>
      </c>
      <c r="E11235">
        <v>13190</v>
      </c>
      <c r="F11235">
        <v>100430.44</v>
      </c>
      <c r="G11235">
        <v>60758.21</v>
      </c>
      <c r="H11235">
        <v>0</v>
      </c>
      <c r="I11235">
        <v>0</v>
      </c>
      <c r="J11235">
        <v>-1145167.3999999999</v>
      </c>
      <c r="K11235">
        <v>0</v>
      </c>
      <c r="L11235">
        <v>20507992.09</v>
      </c>
      <c r="M11235">
        <v>21713917.699999999</v>
      </c>
      <c r="N11235">
        <v>20507992.09</v>
      </c>
      <c r="O11235">
        <v>21713917.699999999</v>
      </c>
      <c r="P11235">
        <v>20507992.09</v>
      </c>
      <c r="Q11235">
        <v>21713917.699999999</v>
      </c>
      <c r="R11235" s="14">
        <f>_xlfn.XLOOKUP(Table2[[#This Row],[LoanID]],Table1[G-L ID],Table1[ManagerCode],-99)</f>
        <v>183</v>
      </c>
    </row>
    <row r="11236" spans="1:18" x14ac:dyDescent="0.25">
      <c r="A11236">
        <v>20200731</v>
      </c>
      <c r="B11236">
        <v>2020</v>
      </c>
      <c r="C11236">
        <v>7</v>
      </c>
      <c r="D11236">
        <v>1</v>
      </c>
      <c r="E11236">
        <v>13200</v>
      </c>
      <c r="F11236">
        <v>147980.76999999999</v>
      </c>
      <c r="G11236">
        <v>73912.149999999994</v>
      </c>
      <c r="H11236">
        <v>0</v>
      </c>
      <c r="I11236">
        <v>0</v>
      </c>
      <c r="J11236">
        <v>-2269156.2200000002</v>
      </c>
      <c r="K11236">
        <v>0</v>
      </c>
      <c r="L11236">
        <v>28168185.59</v>
      </c>
      <c r="M11236">
        <v>30511253.960000001</v>
      </c>
      <c r="N11236">
        <v>28168185.59</v>
      </c>
      <c r="O11236">
        <v>30511253.960000001</v>
      </c>
      <c r="P11236">
        <v>28168185.59</v>
      </c>
      <c r="Q11236">
        <v>30511253.960000001</v>
      </c>
      <c r="R11236" s="14">
        <f>_xlfn.XLOOKUP(Table2[[#This Row],[LoanID]],Table1[G-L ID],Table1[ManagerCode],-99)</f>
        <v>183</v>
      </c>
    </row>
    <row r="11237" spans="1:18" x14ac:dyDescent="0.25">
      <c r="A11237">
        <v>20200731</v>
      </c>
      <c r="B11237">
        <v>2020</v>
      </c>
      <c r="C11237">
        <v>7</v>
      </c>
      <c r="D11237">
        <v>1</v>
      </c>
      <c r="E11237">
        <v>13210</v>
      </c>
      <c r="F11237">
        <v>0</v>
      </c>
      <c r="G11237">
        <v>245189.9</v>
      </c>
      <c r="H11237">
        <v>0</v>
      </c>
      <c r="I11237">
        <v>0</v>
      </c>
      <c r="J11237">
        <v>0</v>
      </c>
      <c r="K11237">
        <v>0</v>
      </c>
      <c r="L11237">
        <v>20756599.600000001</v>
      </c>
      <c r="M11237">
        <v>21001789.5</v>
      </c>
      <c r="N11237">
        <v>20756599.600000001</v>
      </c>
      <c r="O11237">
        <v>21001789.5</v>
      </c>
      <c r="P11237">
        <v>20756599.600000001</v>
      </c>
      <c r="Q11237">
        <v>21001789.5</v>
      </c>
      <c r="R11237" s="14">
        <f>_xlfn.XLOOKUP(Table2[[#This Row],[LoanID]],Table1[G-L ID],Table1[ManagerCode],-99)</f>
        <v>183</v>
      </c>
    </row>
    <row r="11238" spans="1:18" x14ac:dyDescent="0.25">
      <c r="A11238">
        <v>20200731</v>
      </c>
      <c r="B11238">
        <v>2020</v>
      </c>
      <c r="C11238">
        <v>7</v>
      </c>
      <c r="D11238">
        <v>1</v>
      </c>
      <c r="E11238">
        <v>13260</v>
      </c>
      <c r="F11238">
        <v>0</v>
      </c>
      <c r="G11238">
        <v>149480.56</v>
      </c>
      <c r="H11238">
        <v>0</v>
      </c>
      <c r="I11238">
        <v>0</v>
      </c>
      <c r="J11238">
        <v>0</v>
      </c>
      <c r="K11238">
        <v>0</v>
      </c>
      <c r="L11238">
        <v>20540521.66</v>
      </c>
      <c r="M11238">
        <v>20690002.219999999</v>
      </c>
      <c r="N11238">
        <v>20540521.66</v>
      </c>
      <c r="O11238">
        <v>20690002.219999999</v>
      </c>
      <c r="P11238">
        <v>20540521.66</v>
      </c>
      <c r="Q11238">
        <v>20690002.219999999</v>
      </c>
      <c r="R11238" s="14">
        <f>_xlfn.XLOOKUP(Table2[[#This Row],[LoanID]],Table1[G-L ID],Table1[ManagerCode],-99)</f>
        <v>219</v>
      </c>
    </row>
    <row r="11239" spans="1:18" x14ac:dyDescent="0.25">
      <c r="A11239">
        <v>20200731</v>
      </c>
      <c r="B11239">
        <v>2020</v>
      </c>
      <c r="C11239">
        <v>7</v>
      </c>
      <c r="D11239">
        <v>1</v>
      </c>
      <c r="E11239">
        <v>13300</v>
      </c>
      <c r="F11239">
        <v>847222.23</v>
      </c>
      <c r="G11239">
        <v>-631944</v>
      </c>
      <c r="H11239">
        <v>0</v>
      </c>
      <c r="I11239">
        <v>0</v>
      </c>
      <c r="J11239">
        <v>0</v>
      </c>
      <c r="K11239">
        <v>0</v>
      </c>
      <c r="L11239">
        <v>24697222.23</v>
      </c>
      <c r="M11239">
        <v>24065278.23</v>
      </c>
      <c r="N11239">
        <v>24697222.23</v>
      </c>
      <c r="O11239">
        <v>24065278.23</v>
      </c>
      <c r="P11239">
        <v>25847222.23</v>
      </c>
      <c r="Q11239">
        <v>25215278.23</v>
      </c>
      <c r="R11239" s="14">
        <f>_xlfn.XLOOKUP(Table2[[#This Row],[LoanID]],Table1[G-L ID],Table1[ManagerCode],-99)</f>
        <v>219</v>
      </c>
    </row>
    <row r="11240" spans="1:18" x14ac:dyDescent="0.25">
      <c r="A11240">
        <v>20200731</v>
      </c>
      <c r="B11240">
        <v>2020</v>
      </c>
      <c r="C11240">
        <v>7</v>
      </c>
      <c r="D11240">
        <v>1</v>
      </c>
      <c r="E11240">
        <v>13370</v>
      </c>
      <c r="F11240">
        <v>145934.89000000001</v>
      </c>
      <c r="G11240">
        <v>0</v>
      </c>
      <c r="H11240">
        <v>0</v>
      </c>
      <c r="I11240">
        <v>0</v>
      </c>
      <c r="J11240">
        <v>-263662.33</v>
      </c>
      <c r="K11240">
        <v>0</v>
      </c>
      <c r="L11240">
        <v>44743886.909999996</v>
      </c>
      <c r="M11240">
        <v>45271518.159999996</v>
      </c>
      <c r="N11240">
        <v>44743886.909999996</v>
      </c>
      <c r="O11240">
        <v>45271518.159999996</v>
      </c>
      <c r="P11240">
        <v>45115432.340000004</v>
      </c>
      <c r="Q11240">
        <v>45379094.670000002</v>
      </c>
      <c r="R11240" s="14">
        <f>_xlfn.XLOOKUP(Table2[[#This Row],[LoanID]],Table1[G-L ID],Table1[ManagerCode],-99)</f>
        <v>183</v>
      </c>
    </row>
    <row r="11241" spans="1:18" x14ac:dyDescent="0.25">
      <c r="A11241">
        <v>20200731</v>
      </c>
      <c r="B11241">
        <v>2020</v>
      </c>
      <c r="C11241">
        <v>7</v>
      </c>
      <c r="D11241">
        <v>1</v>
      </c>
      <c r="E11241">
        <v>13380</v>
      </c>
      <c r="F11241">
        <v>65136.26</v>
      </c>
      <c r="G11241">
        <v>0</v>
      </c>
      <c r="H11241">
        <v>0</v>
      </c>
      <c r="I11241">
        <v>0</v>
      </c>
      <c r="J11241">
        <v>0</v>
      </c>
      <c r="K11241">
        <v>0</v>
      </c>
      <c r="L11241">
        <v>31593498.699999999</v>
      </c>
      <c r="M11241">
        <v>31750672.280000001</v>
      </c>
      <c r="N11241">
        <v>10793498.699999999</v>
      </c>
      <c r="O11241">
        <v>10950672.279999999</v>
      </c>
      <c r="P11241">
        <v>32000000</v>
      </c>
      <c r="Q11241">
        <v>32000000</v>
      </c>
      <c r="R11241" s="14">
        <f>_xlfn.XLOOKUP(Table2[[#This Row],[LoanID]],Table1[G-L ID],Table1[ManagerCode],-99)</f>
        <v>183</v>
      </c>
    </row>
    <row r="11242" spans="1:18" x14ac:dyDescent="0.25">
      <c r="A11242">
        <v>20200731</v>
      </c>
      <c r="B11242">
        <v>2020</v>
      </c>
      <c r="C11242">
        <v>7</v>
      </c>
      <c r="D11242">
        <v>1</v>
      </c>
      <c r="E11242">
        <v>13390</v>
      </c>
      <c r="F11242">
        <v>-33055.910000000003</v>
      </c>
      <c r="G11242">
        <v>0</v>
      </c>
      <c r="H11242">
        <v>0</v>
      </c>
      <c r="I11242">
        <v>0</v>
      </c>
      <c r="J11242">
        <v>-619154</v>
      </c>
      <c r="K11242">
        <v>-10416076</v>
      </c>
      <c r="L11242">
        <v>17599647.739999998</v>
      </c>
      <c r="M11242">
        <v>18218801.739999998</v>
      </c>
      <c r="N11242">
        <v>-11316429.26</v>
      </c>
      <c r="O11242">
        <v>-281199.26</v>
      </c>
      <c r="P11242">
        <v>49732482.020000003</v>
      </c>
      <c r="Q11242">
        <v>50351636.020000003</v>
      </c>
      <c r="R11242" s="14">
        <f>_xlfn.XLOOKUP(Table2[[#This Row],[LoanID]],Table1[G-L ID],Table1[ManagerCode],-99)</f>
        <v>183</v>
      </c>
    </row>
    <row r="11243" spans="1:18" x14ac:dyDescent="0.25">
      <c r="A11243">
        <v>20200731</v>
      </c>
      <c r="B11243">
        <v>2020</v>
      </c>
      <c r="C11243">
        <v>7</v>
      </c>
      <c r="D11243">
        <v>1</v>
      </c>
      <c r="E11243">
        <v>13400</v>
      </c>
      <c r="F11243">
        <v>110011.79</v>
      </c>
      <c r="G11243">
        <v>0</v>
      </c>
      <c r="H11243">
        <v>0</v>
      </c>
      <c r="I11243">
        <v>0</v>
      </c>
      <c r="J11243">
        <v>0</v>
      </c>
      <c r="K11243">
        <v>0</v>
      </c>
      <c r="L11243">
        <v>32357792.309999999</v>
      </c>
      <c r="M11243">
        <v>32357792.309999999</v>
      </c>
      <c r="N11243">
        <v>11720292.310000001</v>
      </c>
      <c r="O11243">
        <v>11720292.310000001</v>
      </c>
      <c r="P11243">
        <v>32357792.309999999</v>
      </c>
      <c r="Q11243">
        <v>32357792.309999999</v>
      </c>
      <c r="R11243" s="14">
        <f>_xlfn.XLOOKUP(Table2[[#This Row],[LoanID]],Table1[G-L ID],Table1[ManagerCode],-99)</f>
        <v>183</v>
      </c>
    </row>
    <row r="11244" spans="1:18" x14ac:dyDescent="0.25">
      <c r="A11244">
        <v>20200731</v>
      </c>
      <c r="B11244">
        <v>2020</v>
      </c>
      <c r="C11244">
        <v>7</v>
      </c>
      <c r="D11244">
        <v>1</v>
      </c>
      <c r="E11244">
        <v>13410</v>
      </c>
      <c r="F11244">
        <v>51792.5</v>
      </c>
      <c r="G11244">
        <v>0</v>
      </c>
      <c r="H11244">
        <v>0</v>
      </c>
      <c r="I11244">
        <v>0</v>
      </c>
      <c r="J11244">
        <v>0</v>
      </c>
      <c r="K11244">
        <v>0</v>
      </c>
      <c r="L11244">
        <v>35005151.240000002</v>
      </c>
      <c r="M11244">
        <v>35279030.789999999</v>
      </c>
      <c r="N11244">
        <v>14135151.24</v>
      </c>
      <c r="O11244">
        <v>14409030.789999999</v>
      </c>
      <c r="P11244">
        <v>35845930.130000003</v>
      </c>
      <c r="Q11244">
        <v>35845930.130000003</v>
      </c>
      <c r="R11244" s="14">
        <f>_xlfn.XLOOKUP(Table2[[#This Row],[LoanID]],Table1[G-L ID],Table1[ManagerCode],-99)</f>
        <v>183</v>
      </c>
    </row>
    <row r="11245" spans="1:18" x14ac:dyDescent="0.25">
      <c r="A11245">
        <v>20200731</v>
      </c>
      <c r="B11245">
        <v>2020</v>
      </c>
      <c r="C11245">
        <v>7</v>
      </c>
      <c r="D11245">
        <v>1</v>
      </c>
      <c r="E11245">
        <v>13420</v>
      </c>
      <c r="F11245">
        <v>67766.17</v>
      </c>
      <c r="G11245">
        <v>0</v>
      </c>
      <c r="H11245">
        <v>0</v>
      </c>
      <c r="I11245">
        <v>0</v>
      </c>
      <c r="J11245">
        <v>-120142.87</v>
      </c>
      <c r="K11245">
        <v>0</v>
      </c>
      <c r="L11245">
        <v>30745985.899999999</v>
      </c>
      <c r="M11245">
        <v>31055261.260000002</v>
      </c>
      <c r="N11245">
        <v>14251072.9</v>
      </c>
      <c r="O11245">
        <v>14560348.26</v>
      </c>
      <c r="P11245">
        <v>31022385.010000002</v>
      </c>
      <c r="Q11245">
        <v>31142527.879999999</v>
      </c>
      <c r="R11245" s="14">
        <f>_xlfn.XLOOKUP(Table2[[#This Row],[LoanID]],Table1[G-L ID],Table1[ManagerCode],-99)</f>
        <v>183</v>
      </c>
    </row>
    <row r="11246" spans="1:18" x14ac:dyDescent="0.25">
      <c r="A11246">
        <v>20200731</v>
      </c>
      <c r="B11246">
        <v>2020</v>
      </c>
      <c r="C11246">
        <v>7</v>
      </c>
      <c r="D11246">
        <v>1</v>
      </c>
      <c r="E11246">
        <v>13430</v>
      </c>
      <c r="F11246">
        <v>250201.72</v>
      </c>
      <c r="G11246">
        <v>0</v>
      </c>
      <c r="H11246">
        <v>0</v>
      </c>
      <c r="I11246">
        <v>0</v>
      </c>
      <c r="J11246">
        <v>0</v>
      </c>
      <c r="K11246">
        <v>0</v>
      </c>
      <c r="L11246">
        <v>75184698</v>
      </c>
      <c r="M11246">
        <v>75184698</v>
      </c>
      <c r="N11246">
        <v>31067051</v>
      </c>
      <c r="O11246">
        <v>31067051</v>
      </c>
      <c r="P11246">
        <v>75000000</v>
      </c>
      <c r="Q11246">
        <v>75000000</v>
      </c>
      <c r="R11246" s="14">
        <f>_xlfn.XLOOKUP(Table2[[#This Row],[LoanID]],Table1[G-L ID],Table1[ManagerCode],-99)</f>
        <v>183</v>
      </c>
    </row>
    <row r="11247" spans="1:18" x14ac:dyDescent="0.25">
      <c r="A11247">
        <v>20200731</v>
      </c>
      <c r="B11247">
        <v>2020</v>
      </c>
      <c r="C11247">
        <v>7</v>
      </c>
      <c r="D11247">
        <v>1</v>
      </c>
      <c r="E11247">
        <v>13440</v>
      </c>
      <c r="F11247">
        <v>0</v>
      </c>
      <c r="G11247">
        <v>130075.05</v>
      </c>
      <c r="H11247">
        <v>0</v>
      </c>
      <c r="I11247">
        <v>0</v>
      </c>
      <c r="J11247">
        <v>0</v>
      </c>
      <c r="K11247">
        <v>0</v>
      </c>
      <c r="L11247">
        <v>13136304.66</v>
      </c>
      <c r="M11247">
        <v>13266379.710000001</v>
      </c>
      <c r="N11247">
        <v>13136304.66</v>
      </c>
      <c r="O11247">
        <v>13266379.710000001</v>
      </c>
      <c r="P11247">
        <v>13136304.66</v>
      </c>
      <c r="Q11247">
        <v>13266379.710000001</v>
      </c>
      <c r="R11247" s="14">
        <f>_xlfn.XLOOKUP(Table2[[#This Row],[LoanID]],Table1[G-L ID],Table1[ManagerCode],-99)</f>
        <v>183</v>
      </c>
    </row>
    <row r="11248" spans="1:18" x14ac:dyDescent="0.25">
      <c r="A11248">
        <v>20200731</v>
      </c>
      <c r="B11248">
        <v>2020</v>
      </c>
      <c r="C11248">
        <v>7</v>
      </c>
      <c r="D11248">
        <v>1</v>
      </c>
      <c r="E11248">
        <v>13450</v>
      </c>
      <c r="F11248">
        <v>0</v>
      </c>
      <c r="G11248">
        <v>328637.99</v>
      </c>
      <c r="H11248">
        <v>0</v>
      </c>
      <c r="I11248">
        <v>0</v>
      </c>
      <c r="J11248">
        <v>0</v>
      </c>
      <c r="K11248">
        <v>0</v>
      </c>
      <c r="L11248">
        <v>14403496.939999999</v>
      </c>
      <c r="M11248">
        <v>14732134.93</v>
      </c>
      <c r="N11248">
        <v>14403496.939999999</v>
      </c>
      <c r="O11248">
        <v>14732134.93</v>
      </c>
      <c r="P11248">
        <v>14403496.939999999</v>
      </c>
      <c r="Q11248">
        <v>14732134.93</v>
      </c>
      <c r="R11248" s="14">
        <f>_xlfn.XLOOKUP(Table2[[#This Row],[LoanID]],Table1[G-L ID],Table1[ManagerCode],-99)</f>
        <v>183</v>
      </c>
    </row>
    <row r="11249" spans="1:18" x14ac:dyDescent="0.25">
      <c r="A11249">
        <v>20200731</v>
      </c>
      <c r="B11249">
        <v>2020</v>
      </c>
      <c r="C11249">
        <v>7</v>
      </c>
      <c r="D11249">
        <v>1</v>
      </c>
      <c r="E11249">
        <v>13460</v>
      </c>
      <c r="F11249">
        <v>30595.77</v>
      </c>
      <c r="G11249">
        <v>27177.67</v>
      </c>
      <c r="H11249">
        <v>0</v>
      </c>
      <c r="I11249">
        <v>0</v>
      </c>
      <c r="J11249">
        <v>-673849</v>
      </c>
      <c r="K11249">
        <v>0</v>
      </c>
      <c r="L11249">
        <v>6962171.4900000002</v>
      </c>
      <c r="M11249">
        <v>7663198.1600000001</v>
      </c>
      <c r="N11249">
        <v>6962171.4900000002</v>
      </c>
      <c r="O11249">
        <v>7663198.1600000001</v>
      </c>
      <c r="P11249">
        <v>6962171.4900000002</v>
      </c>
      <c r="Q11249">
        <v>7663198.1600000001</v>
      </c>
      <c r="R11249" s="14">
        <f>_xlfn.XLOOKUP(Table2[[#This Row],[LoanID]],Table1[G-L ID],Table1[ManagerCode],-99)</f>
        <v>183</v>
      </c>
    </row>
    <row r="11250" spans="1:18" x14ac:dyDescent="0.25">
      <c r="A11250">
        <v>20200731</v>
      </c>
      <c r="B11250">
        <v>2020</v>
      </c>
      <c r="C11250">
        <v>7</v>
      </c>
      <c r="D11250">
        <v>1</v>
      </c>
      <c r="E11250">
        <v>13470</v>
      </c>
      <c r="F11250">
        <v>358072.92</v>
      </c>
      <c r="G11250">
        <v>0</v>
      </c>
      <c r="H11250">
        <v>0</v>
      </c>
      <c r="I11250">
        <v>0</v>
      </c>
      <c r="J11250">
        <v>0</v>
      </c>
      <c r="K11250">
        <v>0</v>
      </c>
      <c r="L11250">
        <v>62500000</v>
      </c>
      <c r="M11250">
        <v>62500000</v>
      </c>
      <c r="N11250">
        <v>62500000</v>
      </c>
      <c r="O11250">
        <v>62500000</v>
      </c>
      <c r="P11250">
        <v>62500000</v>
      </c>
      <c r="Q11250">
        <v>62500000</v>
      </c>
      <c r="R11250" s="14">
        <f>_xlfn.XLOOKUP(Table2[[#This Row],[LoanID]],Table1[G-L ID],Table1[ManagerCode],-99)</f>
        <v>165</v>
      </c>
    </row>
    <row r="11251" spans="1:18" x14ac:dyDescent="0.25">
      <c r="A11251">
        <v>20200731</v>
      </c>
      <c r="B11251">
        <v>2020</v>
      </c>
      <c r="C11251">
        <v>7</v>
      </c>
      <c r="D11251">
        <v>1</v>
      </c>
      <c r="E11251">
        <v>13480</v>
      </c>
      <c r="F11251">
        <v>242450</v>
      </c>
      <c r="G11251">
        <v>0</v>
      </c>
      <c r="H11251">
        <v>0</v>
      </c>
      <c r="I11251">
        <v>0</v>
      </c>
      <c r="J11251">
        <v>0</v>
      </c>
      <c r="K11251">
        <v>0</v>
      </c>
      <c r="L11251">
        <v>39000000</v>
      </c>
      <c r="M11251">
        <v>39000000</v>
      </c>
      <c r="N11251">
        <v>39000000</v>
      </c>
      <c r="O11251">
        <v>39000000</v>
      </c>
      <c r="P11251">
        <v>39000000</v>
      </c>
      <c r="Q11251">
        <v>39000000</v>
      </c>
      <c r="R11251" s="14">
        <f>_xlfn.XLOOKUP(Table2[[#This Row],[LoanID]],Table1[G-L ID],Table1[ManagerCode],-99)</f>
        <v>165</v>
      </c>
    </row>
    <row r="11252" spans="1:18" x14ac:dyDescent="0.25">
      <c r="A11252">
        <v>20200731</v>
      </c>
      <c r="B11252">
        <v>2020</v>
      </c>
      <c r="C11252">
        <v>7</v>
      </c>
      <c r="D11252">
        <v>1</v>
      </c>
      <c r="E11252">
        <v>13490</v>
      </c>
      <c r="F11252">
        <v>294000</v>
      </c>
      <c r="G11252">
        <v>0</v>
      </c>
      <c r="H11252">
        <v>0</v>
      </c>
      <c r="I11252">
        <v>0</v>
      </c>
      <c r="J11252">
        <v>0</v>
      </c>
      <c r="K11252">
        <v>0</v>
      </c>
      <c r="L11252">
        <v>40000000</v>
      </c>
      <c r="M11252">
        <v>40000000</v>
      </c>
      <c r="N11252">
        <v>40000000</v>
      </c>
      <c r="O11252">
        <v>40000000</v>
      </c>
      <c r="P11252">
        <v>40000000</v>
      </c>
      <c r="Q11252">
        <v>40000000</v>
      </c>
      <c r="R11252" s="14">
        <f>_xlfn.XLOOKUP(Table2[[#This Row],[LoanID]],Table1[G-L ID],Table1[ManagerCode],-99)</f>
        <v>165</v>
      </c>
    </row>
    <row r="11253" spans="1:18" x14ac:dyDescent="0.25">
      <c r="A11253">
        <v>20200731</v>
      </c>
      <c r="B11253">
        <v>2020</v>
      </c>
      <c r="C11253">
        <v>7</v>
      </c>
      <c r="D11253">
        <v>1</v>
      </c>
      <c r="E11253">
        <v>13500</v>
      </c>
      <c r="F11253">
        <v>274479.17</v>
      </c>
      <c r="G11253">
        <v>0</v>
      </c>
      <c r="H11253">
        <v>0</v>
      </c>
      <c r="I11253">
        <v>0</v>
      </c>
      <c r="J11253">
        <v>0</v>
      </c>
      <c r="K11253">
        <v>0</v>
      </c>
      <c r="L11253">
        <v>42500000</v>
      </c>
      <c r="M11253">
        <v>42500000</v>
      </c>
      <c r="N11253">
        <v>42500000</v>
      </c>
      <c r="O11253">
        <v>42500000</v>
      </c>
      <c r="P11253">
        <v>42500000</v>
      </c>
      <c r="Q11253">
        <v>42500000</v>
      </c>
      <c r="R11253" s="14">
        <f>_xlfn.XLOOKUP(Table2[[#This Row],[LoanID]],Table1[G-L ID],Table1[ManagerCode],-99)</f>
        <v>165</v>
      </c>
    </row>
    <row r="11254" spans="1:18" x14ac:dyDescent="0.25">
      <c r="A11254">
        <v>20200731</v>
      </c>
      <c r="B11254">
        <v>2020</v>
      </c>
      <c r="C11254">
        <v>7</v>
      </c>
      <c r="D11254">
        <v>1</v>
      </c>
      <c r="E11254">
        <v>13510</v>
      </c>
      <c r="F11254">
        <v>307500</v>
      </c>
      <c r="G11254">
        <v>0</v>
      </c>
      <c r="H11254">
        <v>0</v>
      </c>
      <c r="I11254">
        <v>0</v>
      </c>
      <c r="J11254">
        <v>0</v>
      </c>
      <c r="K11254">
        <v>0</v>
      </c>
      <c r="L11254">
        <v>90000000</v>
      </c>
      <c r="M11254">
        <v>90000000</v>
      </c>
      <c r="N11254">
        <v>90000000</v>
      </c>
      <c r="O11254">
        <v>90000000</v>
      </c>
      <c r="P11254">
        <v>90000000</v>
      </c>
      <c r="Q11254">
        <v>90000000</v>
      </c>
      <c r="R11254" s="14">
        <f>_xlfn.XLOOKUP(Table2[[#This Row],[LoanID]],Table1[G-L ID],Table1[ManagerCode],-99)</f>
        <v>165</v>
      </c>
    </row>
    <row r="11255" spans="1:18" x14ac:dyDescent="0.25">
      <c r="A11255">
        <v>20200731</v>
      </c>
      <c r="B11255">
        <v>2020</v>
      </c>
      <c r="C11255">
        <v>7</v>
      </c>
      <c r="D11255">
        <v>1</v>
      </c>
      <c r="E11255">
        <v>13520</v>
      </c>
      <c r="F11255">
        <v>832812.5</v>
      </c>
      <c r="G11255">
        <v>0</v>
      </c>
      <c r="H11255">
        <v>0</v>
      </c>
      <c r="I11255">
        <v>0</v>
      </c>
      <c r="J11255">
        <v>0</v>
      </c>
      <c r="K11255">
        <v>0</v>
      </c>
      <c r="L11255">
        <v>195000000</v>
      </c>
      <c r="M11255">
        <v>195000000</v>
      </c>
      <c r="N11255">
        <v>195000000</v>
      </c>
      <c r="O11255">
        <v>195000000</v>
      </c>
      <c r="P11255">
        <v>195000000</v>
      </c>
      <c r="Q11255">
        <v>195000000</v>
      </c>
      <c r="R11255" s="14">
        <f>_xlfn.XLOOKUP(Table2[[#This Row],[LoanID]],Table1[G-L ID],Table1[ManagerCode],-99)</f>
        <v>165</v>
      </c>
    </row>
    <row r="11256" spans="1:18" x14ac:dyDescent="0.25">
      <c r="A11256">
        <v>20200731</v>
      </c>
      <c r="B11256">
        <v>2020</v>
      </c>
      <c r="C11256">
        <v>7</v>
      </c>
      <c r="D11256">
        <v>1</v>
      </c>
      <c r="E11256">
        <v>13530</v>
      </c>
      <c r="F11256">
        <v>390625</v>
      </c>
      <c r="G11256">
        <v>0</v>
      </c>
      <c r="H11256">
        <v>0</v>
      </c>
      <c r="I11256">
        <v>0</v>
      </c>
      <c r="J11256">
        <v>0</v>
      </c>
      <c r="K11256">
        <v>0</v>
      </c>
      <c r="L11256">
        <v>75000000</v>
      </c>
      <c r="M11256">
        <v>75000000</v>
      </c>
      <c r="N11256">
        <v>75000000</v>
      </c>
      <c r="O11256">
        <v>75000000</v>
      </c>
      <c r="P11256">
        <v>75000000</v>
      </c>
      <c r="Q11256">
        <v>75000000</v>
      </c>
      <c r="R11256" s="14">
        <f>_xlfn.XLOOKUP(Table2[[#This Row],[LoanID]],Table1[G-L ID],Table1[ManagerCode],-99)</f>
        <v>165</v>
      </c>
    </row>
    <row r="11257" spans="1:18" x14ac:dyDescent="0.25">
      <c r="A11257">
        <v>20200731</v>
      </c>
      <c r="B11257">
        <v>2020</v>
      </c>
      <c r="C11257">
        <v>7</v>
      </c>
      <c r="D11257">
        <v>1</v>
      </c>
      <c r="E11257">
        <v>13550</v>
      </c>
      <c r="F11257">
        <v>1628586.69</v>
      </c>
      <c r="G11257">
        <v>0</v>
      </c>
      <c r="H11257">
        <v>0</v>
      </c>
      <c r="I11257">
        <v>0</v>
      </c>
      <c r="J11257">
        <v>0</v>
      </c>
      <c r="K11257">
        <v>0</v>
      </c>
      <c r="L11257">
        <v>355328004.80000001</v>
      </c>
      <c r="M11257">
        <v>355328004.80000001</v>
      </c>
      <c r="N11257">
        <v>355328004.80000001</v>
      </c>
      <c r="O11257">
        <v>355328004.80000001</v>
      </c>
      <c r="P11257">
        <v>355328004.80000001</v>
      </c>
      <c r="Q11257">
        <v>355328004.80000001</v>
      </c>
      <c r="R11257" s="14">
        <f>_xlfn.XLOOKUP(Table2[[#This Row],[LoanID]],Table1[G-L ID],Table1[ManagerCode],-99)</f>
        <v>165</v>
      </c>
    </row>
    <row r="11258" spans="1:18" x14ac:dyDescent="0.25">
      <c r="A11258">
        <v>20200731</v>
      </c>
      <c r="B11258">
        <v>2020</v>
      </c>
      <c r="C11258">
        <v>7</v>
      </c>
      <c r="D11258">
        <v>1</v>
      </c>
      <c r="E11258">
        <v>13560</v>
      </c>
      <c r="F11258">
        <v>409937.5</v>
      </c>
      <c r="G11258">
        <v>13168.75</v>
      </c>
      <c r="H11258">
        <v>0</v>
      </c>
      <c r="I11258">
        <v>0</v>
      </c>
      <c r="J11258">
        <v>0</v>
      </c>
      <c r="K11258">
        <v>0</v>
      </c>
      <c r="L11258">
        <v>105218633.59999999</v>
      </c>
      <c r="M11258">
        <v>105231802.40000001</v>
      </c>
      <c r="N11258">
        <v>105218633.59999999</v>
      </c>
      <c r="O11258">
        <v>105231802.40000001</v>
      </c>
      <c r="P11258">
        <v>105218633.59999999</v>
      </c>
      <c r="Q11258">
        <v>105231802.40000001</v>
      </c>
      <c r="R11258" s="14">
        <f>_xlfn.XLOOKUP(Table2[[#This Row],[LoanID]],Table1[G-L ID],Table1[ManagerCode],-99)</f>
        <v>219</v>
      </c>
    </row>
    <row r="11259" spans="1:18" x14ac:dyDescent="0.25">
      <c r="A11259">
        <v>20200731</v>
      </c>
      <c r="B11259">
        <v>2020</v>
      </c>
      <c r="C11259">
        <v>7</v>
      </c>
      <c r="D11259">
        <v>1</v>
      </c>
      <c r="E11259">
        <v>13580</v>
      </c>
      <c r="F11259">
        <v>0</v>
      </c>
      <c r="G11259">
        <v>0</v>
      </c>
      <c r="H11259">
        <v>0</v>
      </c>
      <c r="I11259">
        <v>0</v>
      </c>
      <c r="J11259">
        <v>0</v>
      </c>
      <c r="K11259">
        <v>0</v>
      </c>
      <c r="L11259">
        <v>60904719.380000003</v>
      </c>
      <c r="M11259">
        <v>60831808.189999998</v>
      </c>
      <c r="N11259">
        <v>60904719.380000003</v>
      </c>
      <c r="O11259">
        <v>60831808.189999998</v>
      </c>
      <c r="P11259">
        <v>66500000</v>
      </c>
      <c r="Q11259">
        <v>66500000</v>
      </c>
      <c r="R11259" s="14">
        <f>_xlfn.XLOOKUP(Table2[[#This Row],[LoanID]],Table1[G-L ID],Table1[ManagerCode],-99)</f>
        <v>298</v>
      </c>
    </row>
    <row r="11260" spans="1:18" x14ac:dyDescent="0.25">
      <c r="A11260">
        <v>20200731</v>
      </c>
      <c r="B11260">
        <v>2020</v>
      </c>
      <c r="C11260">
        <v>7</v>
      </c>
      <c r="D11260">
        <v>1</v>
      </c>
      <c r="E11260">
        <v>13600</v>
      </c>
      <c r="F11260">
        <v>366802.29</v>
      </c>
      <c r="G11260">
        <v>0</v>
      </c>
      <c r="H11260">
        <v>0</v>
      </c>
      <c r="I11260">
        <v>0</v>
      </c>
      <c r="J11260">
        <v>0</v>
      </c>
      <c r="K11260">
        <v>0</v>
      </c>
      <c r="L11260">
        <v>45561204.140000001</v>
      </c>
      <c r="M11260">
        <v>45561204.140000001</v>
      </c>
      <c r="N11260">
        <v>45561204.140000001</v>
      </c>
      <c r="O11260">
        <v>45561204.140000001</v>
      </c>
      <c r="P11260">
        <v>45970000</v>
      </c>
      <c r="Q11260">
        <v>45970000</v>
      </c>
      <c r="R11260" s="14">
        <f>_xlfn.XLOOKUP(Table2[[#This Row],[LoanID]],Table1[G-L ID],Table1[ManagerCode],-99)</f>
        <v>298</v>
      </c>
    </row>
    <row r="11261" spans="1:18" x14ac:dyDescent="0.25">
      <c r="A11261">
        <v>20200731</v>
      </c>
      <c r="B11261">
        <v>2020</v>
      </c>
      <c r="C11261">
        <v>7</v>
      </c>
      <c r="D11261">
        <v>1</v>
      </c>
      <c r="E11261">
        <v>13610</v>
      </c>
      <c r="F11261">
        <v>61250</v>
      </c>
      <c r="G11261">
        <v>0</v>
      </c>
      <c r="H11261">
        <v>0</v>
      </c>
      <c r="I11261">
        <v>0</v>
      </c>
      <c r="J11261">
        <v>0</v>
      </c>
      <c r="K11261">
        <v>0</v>
      </c>
      <c r="L11261">
        <v>10385796.220000001</v>
      </c>
      <c r="M11261">
        <v>10385796.220000001</v>
      </c>
      <c r="N11261">
        <v>10385796.220000001</v>
      </c>
      <c r="O11261">
        <v>10385796.220000001</v>
      </c>
      <c r="P11261">
        <v>10500000</v>
      </c>
      <c r="Q11261">
        <v>10500000</v>
      </c>
      <c r="R11261" s="14">
        <f>_xlfn.XLOOKUP(Table2[[#This Row],[LoanID]],Table1[G-L ID],Table1[ManagerCode],-99)</f>
        <v>298</v>
      </c>
    </row>
    <row r="11262" spans="1:18" x14ac:dyDescent="0.25">
      <c r="A11262">
        <v>20200731</v>
      </c>
      <c r="B11262">
        <v>2020</v>
      </c>
      <c r="C11262">
        <v>7</v>
      </c>
      <c r="D11262">
        <v>1</v>
      </c>
      <c r="E11262">
        <v>13620</v>
      </c>
      <c r="F11262">
        <v>263958.33</v>
      </c>
      <c r="G11262">
        <v>0</v>
      </c>
      <c r="H11262">
        <v>0</v>
      </c>
      <c r="I11262">
        <v>0</v>
      </c>
      <c r="J11262">
        <v>0</v>
      </c>
      <c r="K11262">
        <v>0</v>
      </c>
      <c r="L11262">
        <v>49865510.369999997</v>
      </c>
      <c r="M11262">
        <v>49865510.369999997</v>
      </c>
      <c r="N11262">
        <v>49865510.369999997</v>
      </c>
      <c r="O11262">
        <v>49865510.369999997</v>
      </c>
      <c r="P11262">
        <v>50000000</v>
      </c>
      <c r="Q11262">
        <v>50000000</v>
      </c>
      <c r="R11262" s="14">
        <f>_xlfn.XLOOKUP(Table2[[#This Row],[LoanID]],Table1[G-L ID],Table1[ManagerCode],-99)</f>
        <v>298</v>
      </c>
    </row>
    <row r="11263" spans="1:18" x14ac:dyDescent="0.25">
      <c r="A11263">
        <v>20200731</v>
      </c>
      <c r="B11263">
        <v>2020</v>
      </c>
      <c r="C11263">
        <v>7</v>
      </c>
      <c r="D11263">
        <v>1</v>
      </c>
      <c r="E11263">
        <v>13630</v>
      </c>
      <c r="F11263">
        <v>0</v>
      </c>
      <c r="G11263">
        <v>0</v>
      </c>
      <c r="H11263">
        <v>0</v>
      </c>
      <c r="I11263">
        <v>0</v>
      </c>
      <c r="J11263">
        <v>0</v>
      </c>
      <c r="K11263">
        <v>0</v>
      </c>
      <c r="L11263">
        <v>22527136.07</v>
      </c>
      <c r="M11263">
        <v>22527136.07</v>
      </c>
      <c r="N11263">
        <v>22527136.07</v>
      </c>
      <c r="O11263">
        <v>22527136.07</v>
      </c>
      <c r="P11263">
        <v>35798662.43</v>
      </c>
      <c r="Q11263">
        <v>36022155.469999999</v>
      </c>
      <c r="R11263" s="14">
        <f>_xlfn.XLOOKUP(Table2[[#This Row],[LoanID]],Table1[G-L ID],Table1[ManagerCode],-99)</f>
        <v>298</v>
      </c>
    </row>
    <row r="11264" spans="1:18" x14ac:dyDescent="0.25">
      <c r="A11264">
        <v>20200731</v>
      </c>
      <c r="B11264">
        <v>2020</v>
      </c>
      <c r="C11264">
        <v>7</v>
      </c>
      <c r="D11264">
        <v>1</v>
      </c>
      <c r="E11264">
        <v>13640</v>
      </c>
      <c r="F11264">
        <v>219661.46</v>
      </c>
      <c r="G11264">
        <v>0</v>
      </c>
      <c r="H11264">
        <v>0</v>
      </c>
      <c r="I11264">
        <v>0</v>
      </c>
      <c r="J11264">
        <v>0</v>
      </c>
      <c r="K11264">
        <v>0</v>
      </c>
      <c r="L11264">
        <v>30234429.84</v>
      </c>
      <c r="M11264">
        <v>30234429.84</v>
      </c>
      <c r="N11264">
        <v>30234429.84</v>
      </c>
      <c r="O11264">
        <v>30234429.84</v>
      </c>
      <c r="P11264">
        <v>30125000</v>
      </c>
      <c r="Q11264">
        <v>30125000</v>
      </c>
      <c r="R11264" s="14">
        <f>_xlfn.XLOOKUP(Table2[[#This Row],[LoanID]],Table1[G-L ID],Table1[ManagerCode],-99)</f>
        <v>298</v>
      </c>
    </row>
    <row r="11265" spans="1:18" x14ac:dyDescent="0.25">
      <c r="A11265">
        <v>20200731</v>
      </c>
      <c r="B11265">
        <v>2020</v>
      </c>
      <c r="C11265">
        <v>7</v>
      </c>
      <c r="D11265">
        <v>1</v>
      </c>
      <c r="E11265">
        <v>13650</v>
      </c>
      <c r="F11265">
        <v>216666.67</v>
      </c>
      <c r="G11265">
        <v>0</v>
      </c>
      <c r="H11265">
        <v>0</v>
      </c>
      <c r="I11265">
        <v>0</v>
      </c>
      <c r="J11265">
        <v>0</v>
      </c>
      <c r="K11265">
        <v>0</v>
      </c>
      <c r="L11265">
        <v>39537559.880000003</v>
      </c>
      <c r="M11265">
        <v>39537559.880000003</v>
      </c>
      <c r="N11265">
        <v>39537559.880000003</v>
      </c>
      <c r="O11265">
        <v>39537559.880000003</v>
      </c>
      <c r="P11265">
        <v>40000000</v>
      </c>
      <c r="Q11265">
        <v>40000000</v>
      </c>
      <c r="R11265" s="14">
        <f>_xlfn.XLOOKUP(Table2[[#This Row],[LoanID]],Table1[G-L ID],Table1[ManagerCode],-99)</f>
        <v>298</v>
      </c>
    </row>
    <row r="11266" spans="1:18" x14ac:dyDescent="0.25">
      <c r="A11266">
        <v>20200731</v>
      </c>
      <c r="B11266">
        <v>2020</v>
      </c>
      <c r="C11266">
        <v>7</v>
      </c>
      <c r="D11266">
        <v>1</v>
      </c>
      <c r="E11266">
        <v>13660</v>
      </c>
      <c r="F11266">
        <v>114166.67</v>
      </c>
      <c r="G11266">
        <v>0</v>
      </c>
      <c r="H11266">
        <v>0</v>
      </c>
      <c r="I11266">
        <v>0</v>
      </c>
      <c r="J11266">
        <v>0</v>
      </c>
      <c r="K11266">
        <v>0</v>
      </c>
      <c r="L11266">
        <v>19633684.649999999</v>
      </c>
      <c r="M11266">
        <v>19633684.649999999</v>
      </c>
      <c r="N11266">
        <v>19633684.649999999</v>
      </c>
      <c r="O11266">
        <v>19633684.649999999</v>
      </c>
      <c r="P11266">
        <v>20000000</v>
      </c>
      <c r="Q11266">
        <v>20000000</v>
      </c>
      <c r="R11266" s="14">
        <f>_xlfn.XLOOKUP(Table2[[#This Row],[LoanID]],Table1[G-L ID],Table1[ManagerCode],-99)</f>
        <v>298</v>
      </c>
    </row>
    <row r="11267" spans="1:18" x14ac:dyDescent="0.25">
      <c r="A11267">
        <v>20200731</v>
      </c>
      <c r="B11267">
        <v>2020</v>
      </c>
      <c r="C11267">
        <v>7</v>
      </c>
      <c r="D11267">
        <v>1</v>
      </c>
      <c r="E11267">
        <v>13690</v>
      </c>
      <c r="F11267">
        <v>129166.67</v>
      </c>
      <c r="G11267">
        <v>0</v>
      </c>
      <c r="H11267">
        <v>0</v>
      </c>
      <c r="I11267">
        <v>0</v>
      </c>
      <c r="J11267">
        <v>0</v>
      </c>
      <c r="K11267">
        <v>0</v>
      </c>
      <c r="L11267">
        <v>20825761.02</v>
      </c>
      <c r="M11267">
        <v>20825761.02</v>
      </c>
      <c r="N11267">
        <v>20825761.02</v>
      </c>
      <c r="O11267">
        <v>20825761.02</v>
      </c>
      <c r="P11267">
        <v>20000000</v>
      </c>
      <c r="Q11267">
        <v>20000000</v>
      </c>
      <c r="R11267" s="14">
        <f>_xlfn.XLOOKUP(Table2[[#This Row],[LoanID]],Table1[G-L ID],Table1[ManagerCode],-99)</f>
        <v>298</v>
      </c>
    </row>
    <row r="11268" spans="1:18" x14ac:dyDescent="0.25">
      <c r="A11268">
        <v>20200731</v>
      </c>
      <c r="B11268">
        <v>2020</v>
      </c>
      <c r="C11268">
        <v>7</v>
      </c>
      <c r="D11268">
        <v>1</v>
      </c>
      <c r="E11268">
        <v>13790</v>
      </c>
      <c r="F11268">
        <v>0</v>
      </c>
      <c r="G11268">
        <v>118216.53</v>
      </c>
      <c r="H11268">
        <v>0</v>
      </c>
      <c r="I11268">
        <v>0</v>
      </c>
      <c r="J11268">
        <v>0</v>
      </c>
      <c r="K11268">
        <v>0</v>
      </c>
      <c r="L11268">
        <v>20714851.870000001</v>
      </c>
      <c r="M11268">
        <v>20833068.399999999</v>
      </c>
      <c r="N11268">
        <v>20714851.870000001</v>
      </c>
      <c r="O11268">
        <v>20833068.399999999</v>
      </c>
      <c r="P11268">
        <v>20714851.870000001</v>
      </c>
      <c r="Q11268">
        <v>20833068.399999999</v>
      </c>
      <c r="R11268" s="14">
        <f>_xlfn.XLOOKUP(Table2[[#This Row],[LoanID]],Table1[G-L ID],Table1[ManagerCode],-99)</f>
        <v>219</v>
      </c>
    </row>
    <row r="11269" spans="1:18" x14ac:dyDescent="0.25">
      <c r="A11269">
        <v>20200731</v>
      </c>
      <c r="B11269">
        <v>2020</v>
      </c>
      <c r="C11269">
        <v>7</v>
      </c>
      <c r="D11269">
        <v>1</v>
      </c>
      <c r="E11269">
        <v>13800</v>
      </c>
      <c r="F11269">
        <v>316013.8</v>
      </c>
      <c r="G11269">
        <v>0</v>
      </c>
      <c r="H11269">
        <v>0</v>
      </c>
      <c r="I11269">
        <v>0</v>
      </c>
      <c r="J11269">
        <v>0</v>
      </c>
      <c r="K11269">
        <v>0</v>
      </c>
      <c r="L11269">
        <v>80700000</v>
      </c>
      <c r="M11269">
        <v>80700000</v>
      </c>
      <c r="N11269">
        <v>32279999.719999999</v>
      </c>
      <c r="O11269">
        <v>32279999.719999999</v>
      </c>
      <c r="P11269">
        <v>80700000</v>
      </c>
      <c r="Q11269">
        <v>80700000</v>
      </c>
      <c r="R11269" s="14">
        <f>_xlfn.XLOOKUP(Table2[[#This Row],[LoanID]],Table1[G-L ID],Table1[ManagerCode],-99)</f>
        <v>183</v>
      </c>
    </row>
    <row r="11270" spans="1:18" x14ac:dyDescent="0.25">
      <c r="A11270">
        <v>20200731</v>
      </c>
      <c r="B11270">
        <v>2020</v>
      </c>
      <c r="C11270">
        <v>7</v>
      </c>
      <c r="D11270">
        <v>1</v>
      </c>
      <c r="E11270">
        <v>13810</v>
      </c>
      <c r="F11270">
        <v>171834.34</v>
      </c>
      <c r="G11270">
        <v>0</v>
      </c>
      <c r="H11270">
        <v>0</v>
      </c>
      <c r="I11270">
        <v>0</v>
      </c>
      <c r="J11270">
        <v>0</v>
      </c>
      <c r="K11270">
        <v>0</v>
      </c>
      <c r="L11270">
        <v>45434706.359999999</v>
      </c>
      <c r="M11270">
        <v>45521906.899999999</v>
      </c>
      <c r="N11270">
        <v>21308960.579999998</v>
      </c>
      <c r="O11270">
        <v>21396161.120000001</v>
      </c>
      <c r="P11270">
        <v>45495113.140000001</v>
      </c>
      <c r="Q11270">
        <v>45495113.140000001</v>
      </c>
      <c r="R11270" s="14">
        <f>_xlfn.XLOOKUP(Table2[[#This Row],[LoanID]],Table1[G-L ID],Table1[ManagerCode],-99)</f>
        <v>183</v>
      </c>
    </row>
    <row r="11271" spans="1:18" x14ac:dyDescent="0.25">
      <c r="A11271">
        <v>20200731</v>
      </c>
      <c r="B11271">
        <v>2020</v>
      </c>
      <c r="C11271">
        <v>7</v>
      </c>
      <c r="D11271">
        <v>1</v>
      </c>
      <c r="E11271">
        <v>13820</v>
      </c>
      <c r="F11271">
        <v>282310.98</v>
      </c>
      <c r="G11271">
        <v>0</v>
      </c>
      <c r="H11271">
        <v>0</v>
      </c>
      <c r="I11271">
        <v>0</v>
      </c>
      <c r="J11271">
        <v>0</v>
      </c>
      <c r="K11271">
        <v>0</v>
      </c>
      <c r="L11271">
        <v>66458014.899999999</v>
      </c>
      <c r="M11271">
        <v>66463138.159999996</v>
      </c>
      <c r="N11271">
        <v>66458014.899999999</v>
      </c>
      <c r="O11271">
        <v>66463138.159999996</v>
      </c>
      <c r="P11271">
        <v>66500000</v>
      </c>
      <c r="Q11271">
        <v>66500000</v>
      </c>
      <c r="R11271" s="14">
        <f>_xlfn.XLOOKUP(Table2[[#This Row],[LoanID]],Table1[G-L ID],Table1[ManagerCode],-99)</f>
        <v>183</v>
      </c>
    </row>
    <row r="11272" spans="1:18" x14ac:dyDescent="0.25">
      <c r="A11272">
        <v>20200731</v>
      </c>
      <c r="B11272">
        <v>2020</v>
      </c>
      <c r="C11272">
        <v>7</v>
      </c>
      <c r="D11272">
        <v>1</v>
      </c>
      <c r="E11272">
        <v>13830</v>
      </c>
      <c r="F11272">
        <v>294858.65999999997</v>
      </c>
      <c r="G11272">
        <v>0</v>
      </c>
      <c r="H11272">
        <v>0</v>
      </c>
      <c r="I11272">
        <v>0</v>
      </c>
      <c r="J11272">
        <v>0</v>
      </c>
      <c r="K11272">
        <v>0</v>
      </c>
      <c r="L11272">
        <v>100818399.2</v>
      </c>
      <c r="M11272">
        <v>100976981.3</v>
      </c>
      <c r="N11272">
        <v>35168399.200000003</v>
      </c>
      <c r="O11272">
        <v>35326981.299999997</v>
      </c>
      <c r="P11272">
        <v>101317920.5</v>
      </c>
      <c r="Q11272">
        <v>101317920.5</v>
      </c>
      <c r="R11272" s="14">
        <f>_xlfn.XLOOKUP(Table2[[#This Row],[LoanID]],Table1[G-L ID],Table1[ManagerCode],-99)</f>
        <v>183</v>
      </c>
    </row>
    <row r="11273" spans="1:18" x14ac:dyDescent="0.25">
      <c r="A11273">
        <v>20200731</v>
      </c>
      <c r="B11273">
        <v>2020</v>
      </c>
      <c r="C11273">
        <v>7</v>
      </c>
      <c r="D11273">
        <v>1</v>
      </c>
      <c r="E11273">
        <v>14000</v>
      </c>
      <c r="F11273">
        <v>287569.40000000002</v>
      </c>
      <c r="G11273">
        <v>0</v>
      </c>
      <c r="H11273">
        <v>0</v>
      </c>
      <c r="I11273">
        <v>0</v>
      </c>
      <c r="J11273">
        <v>0</v>
      </c>
      <c r="K11273">
        <v>0</v>
      </c>
      <c r="L11273">
        <v>98000000</v>
      </c>
      <c r="M11273">
        <v>98000000</v>
      </c>
      <c r="N11273">
        <v>39200000</v>
      </c>
      <c r="O11273">
        <v>39200000</v>
      </c>
      <c r="P11273">
        <v>98000000</v>
      </c>
      <c r="Q11273">
        <v>98000000</v>
      </c>
      <c r="R11273" s="14">
        <f>_xlfn.XLOOKUP(Table2[[#This Row],[LoanID]],Table1[G-L ID],Table1[ManagerCode],-99)</f>
        <v>183</v>
      </c>
    </row>
    <row r="11274" spans="1:18" x14ac:dyDescent="0.25">
      <c r="A11274">
        <v>20200731</v>
      </c>
      <c r="B11274">
        <v>2020</v>
      </c>
      <c r="C11274">
        <v>7</v>
      </c>
      <c r="D11274">
        <v>1</v>
      </c>
      <c r="E11274">
        <v>14660</v>
      </c>
      <c r="F11274">
        <v>0</v>
      </c>
      <c r="G11274">
        <v>141670</v>
      </c>
      <c r="H11274">
        <v>0</v>
      </c>
      <c r="I11274">
        <v>0</v>
      </c>
      <c r="J11274">
        <v>0</v>
      </c>
      <c r="K11274">
        <v>0</v>
      </c>
      <c r="L11274">
        <v>17689606</v>
      </c>
      <c r="M11274">
        <v>17831276</v>
      </c>
      <c r="N11274">
        <v>17689606</v>
      </c>
      <c r="O11274">
        <v>17831276</v>
      </c>
      <c r="P11274">
        <v>18137100</v>
      </c>
      <c r="Q11274">
        <v>18278770</v>
      </c>
      <c r="R11274" s="14">
        <f>_xlfn.XLOOKUP(Table2[[#This Row],[LoanID]],Table1[G-L ID],Table1[ManagerCode],-99)</f>
        <v>219</v>
      </c>
    </row>
    <row r="11275" spans="1:18" x14ac:dyDescent="0.25">
      <c r="A11275">
        <v>20200731</v>
      </c>
      <c r="B11275">
        <v>2020</v>
      </c>
      <c r="C11275">
        <v>7</v>
      </c>
      <c r="D11275">
        <v>1</v>
      </c>
      <c r="E11275">
        <v>14680</v>
      </c>
      <c r="F11275">
        <v>63882.53</v>
      </c>
      <c r="G11275">
        <v>0</v>
      </c>
      <c r="H11275">
        <v>0</v>
      </c>
      <c r="I11275">
        <v>0</v>
      </c>
      <c r="J11275">
        <v>0</v>
      </c>
      <c r="K11275">
        <v>0</v>
      </c>
      <c r="L11275">
        <v>30930000</v>
      </c>
      <c r="M11275">
        <v>30920000</v>
      </c>
      <c r="N11275">
        <v>8485011.8000000007</v>
      </c>
      <c r="O11275">
        <v>8475011.8000000007</v>
      </c>
      <c r="P11275">
        <v>30863549.23</v>
      </c>
      <c r="Q11275">
        <v>30863549.23</v>
      </c>
      <c r="R11275" s="14">
        <f>_xlfn.XLOOKUP(Table2[[#This Row],[LoanID]],Table1[G-L ID],Table1[ManagerCode],-99)</f>
        <v>220</v>
      </c>
    </row>
    <row r="11276" spans="1:18" x14ac:dyDescent="0.25">
      <c r="A11276">
        <v>20200731</v>
      </c>
      <c r="B11276">
        <v>2020</v>
      </c>
      <c r="C11276">
        <v>7</v>
      </c>
      <c r="D11276">
        <v>1</v>
      </c>
      <c r="E11276">
        <v>14690</v>
      </c>
      <c r="F11276">
        <v>150416.78</v>
      </c>
      <c r="G11276">
        <v>0</v>
      </c>
      <c r="H11276">
        <v>0</v>
      </c>
      <c r="I11276">
        <v>0</v>
      </c>
      <c r="J11276">
        <v>0</v>
      </c>
      <c r="K11276">
        <v>0</v>
      </c>
      <c r="L11276">
        <v>43671381.979999997</v>
      </c>
      <c r="M11276">
        <v>43671381.979999997</v>
      </c>
      <c r="N11276">
        <v>20153631.98</v>
      </c>
      <c r="O11276">
        <v>20153631.98</v>
      </c>
      <c r="P11276">
        <v>43635194.600000001</v>
      </c>
      <c r="Q11276">
        <v>43635194.600000001</v>
      </c>
      <c r="R11276" s="14">
        <f>_xlfn.XLOOKUP(Table2[[#This Row],[LoanID]],Table1[G-L ID],Table1[ManagerCode],-99)</f>
        <v>220</v>
      </c>
    </row>
    <row r="11277" spans="1:18" x14ac:dyDescent="0.25">
      <c r="A11277">
        <v>20200731</v>
      </c>
      <c r="B11277">
        <v>2020</v>
      </c>
      <c r="C11277">
        <v>7</v>
      </c>
      <c r="D11277">
        <v>1</v>
      </c>
      <c r="E11277">
        <v>14700</v>
      </c>
      <c r="F11277">
        <v>125026.35</v>
      </c>
      <c r="G11277">
        <v>0</v>
      </c>
      <c r="H11277">
        <v>0</v>
      </c>
      <c r="I11277">
        <v>0</v>
      </c>
      <c r="J11277">
        <v>-215665.43</v>
      </c>
      <c r="K11277">
        <v>0</v>
      </c>
      <c r="L11277">
        <v>36550000</v>
      </c>
      <c r="M11277">
        <v>36742421.060000002</v>
      </c>
      <c r="N11277">
        <v>13062500</v>
      </c>
      <c r="O11277">
        <v>13254921.060000001</v>
      </c>
      <c r="P11277">
        <v>36526755.630000003</v>
      </c>
      <c r="Q11277">
        <v>36742421.060000002</v>
      </c>
      <c r="R11277" s="14">
        <f>_xlfn.XLOOKUP(Table2[[#This Row],[LoanID]],Table1[G-L ID],Table1[ManagerCode],-99)</f>
        <v>220</v>
      </c>
    </row>
    <row r="11278" spans="1:18" x14ac:dyDescent="0.25">
      <c r="A11278">
        <v>20200731</v>
      </c>
      <c r="B11278">
        <v>2020</v>
      </c>
      <c r="C11278">
        <v>7</v>
      </c>
      <c r="D11278">
        <v>1</v>
      </c>
      <c r="E11278">
        <v>14710</v>
      </c>
      <c r="F11278">
        <v>104062.69</v>
      </c>
      <c r="G11278">
        <v>0</v>
      </c>
      <c r="H11278">
        <v>0</v>
      </c>
      <c r="I11278">
        <v>0</v>
      </c>
      <c r="J11278">
        <v>0</v>
      </c>
      <c r="K11278">
        <v>0</v>
      </c>
      <c r="L11278">
        <v>33670000</v>
      </c>
      <c r="M11278">
        <v>33650000</v>
      </c>
      <c r="N11278">
        <v>13797500</v>
      </c>
      <c r="O11278">
        <v>13777500</v>
      </c>
      <c r="P11278">
        <v>33650000</v>
      </c>
      <c r="Q11278">
        <v>33650000</v>
      </c>
      <c r="R11278" s="14">
        <f>_xlfn.XLOOKUP(Table2[[#This Row],[LoanID]],Table1[G-L ID],Table1[ManagerCode],-99)</f>
        <v>220</v>
      </c>
    </row>
    <row r="11279" spans="1:18" x14ac:dyDescent="0.25">
      <c r="A11279">
        <v>20200731</v>
      </c>
      <c r="B11279">
        <v>2020</v>
      </c>
      <c r="C11279">
        <v>7</v>
      </c>
      <c r="D11279">
        <v>1</v>
      </c>
      <c r="E11279">
        <v>14720</v>
      </c>
      <c r="F11279">
        <v>167000.45000000001</v>
      </c>
      <c r="G11279">
        <v>0</v>
      </c>
      <c r="H11279">
        <v>0</v>
      </c>
      <c r="I11279">
        <v>0</v>
      </c>
      <c r="J11279">
        <v>0</v>
      </c>
      <c r="K11279">
        <v>0</v>
      </c>
      <c r="L11279">
        <v>24232440.120000001</v>
      </c>
      <c r="M11279">
        <v>24232440.120000001</v>
      </c>
      <c r="N11279">
        <v>10505440.119999999</v>
      </c>
      <c r="O11279">
        <v>10505440.119999999</v>
      </c>
      <c r="P11279">
        <v>24228594.199999999</v>
      </c>
      <c r="Q11279">
        <v>24228594.199999999</v>
      </c>
      <c r="R11279" s="14">
        <f>_xlfn.XLOOKUP(Table2[[#This Row],[LoanID]],Table1[G-L ID],Table1[ManagerCode],-99)</f>
        <v>220</v>
      </c>
    </row>
    <row r="11280" spans="1:18" x14ac:dyDescent="0.25">
      <c r="A11280">
        <v>20200731</v>
      </c>
      <c r="B11280">
        <v>2020</v>
      </c>
      <c r="C11280">
        <v>7</v>
      </c>
      <c r="D11280">
        <v>1</v>
      </c>
      <c r="E11280">
        <v>14740</v>
      </c>
      <c r="F11280">
        <v>155188.63</v>
      </c>
      <c r="G11280">
        <v>0</v>
      </c>
      <c r="H11280">
        <v>0</v>
      </c>
      <c r="I11280">
        <v>0</v>
      </c>
      <c r="J11280">
        <v>0</v>
      </c>
      <c r="K11280">
        <v>0</v>
      </c>
      <c r="L11280">
        <v>33770000</v>
      </c>
      <c r="M11280">
        <v>34010000</v>
      </c>
      <c r="N11280">
        <v>33770000</v>
      </c>
      <c r="O11280">
        <v>34010000</v>
      </c>
      <c r="P11280">
        <v>35471686.299999997</v>
      </c>
      <c r="Q11280">
        <v>35471686.299999997</v>
      </c>
      <c r="R11280" s="14">
        <f>_xlfn.XLOOKUP(Table2[[#This Row],[LoanID]],Table1[G-L ID],Table1[ManagerCode],-99)</f>
        <v>220</v>
      </c>
    </row>
    <row r="11281" spans="1:18" x14ac:dyDescent="0.25">
      <c r="A11281">
        <v>20200731</v>
      </c>
      <c r="B11281">
        <v>2020</v>
      </c>
      <c r="C11281">
        <v>7</v>
      </c>
      <c r="D11281">
        <v>1</v>
      </c>
      <c r="E11281">
        <v>14750</v>
      </c>
      <c r="F11281">
        <v>168794.06</v>
      </c>
      <c r="G11281">
        <v>0</v>
      </c>
      <c r="H11281">
        <v>0</v>
      </c>
      <c r="I11281">
        <v>0</v>
      </c>
      <c r="J11281">
        <v>0</v>
      </c>
      <c r="K11281">
        <v>0</v>
      </c>
      <c r="L11281">
        <v>60969967.240000002</v>
      </c>
      <c r="M11281">
        <v>60969967.240000002</v>
      </c>
      <c r="N11281">
        <v>29219967.239999998</v>
      </c>
      <c r="O11281">
        <v>29219967.239999998</v>
      </c>
      <c r="P11281">
        <v>60969967.240000002</v>
      </c>
      <c r="Q11281">
        <v>60969967.240000002</v>
      </c>
      <c r="R11281" s="14">
        <f>_xlfn.XLOOKUP(Table2[[#This Row],[LoanID]],Table1[G-L ID],Table1[ManagerCode],-99)</f>
        <v>220</v>
      </c>
    </row>
    <row r="11282" spans="1:18" x14ac:dyDescent="0.25">
      <c r="A11282">
        <v>20200731</v>
      </c>
      <c r="B11282">
        <v>2020</v>
      </c>
      <c r="C11282">
        <v>7</v>
      </c>
      <c r="D11282">
        <v>1</v>
      </c>
      <c r="E11282">
        <v>14760</v>
      </c>
      <c r="F11282">
        <v>324304.17</v>
      </c>
      <c r="G11282">
        <v>0</v>
      </c>
      <c r="H11282">
        <v>0</v>
      </c>
      <c r="I11282">
        <v>0</v>
      </c>
      <c r="J11282">
        <v>0</v>
      </c>
      <c r="K11282">
        <v>0</v>
      </c>
      <c r="L11282">
        <v>105200000</v>
      </c>
      <c r="M11282">
        <v>105100000</v>
      </c>
      <c r="N11282">
        <v>37450000</v>
      </c>
      <c r="O11282">
        <v>37350000</v>
      </c>
      <c r="P11282">
        <v>105000000</v>
      </c>
      <c r="Q11282">
        <v>105000000</v>
      </c>
      <c r="R11282" s="14">
        <f>_xlfn.XLOOKUP(Table2[[#This Row],[LoanID]],Table1[G-L ID],Table1[ManagerCode],-99)</f>
        <v>220</v>
      </c>
    </row>
    <row r="11283" spans="1:18" x14ac:dyDescent="0.25">
      <c r="A11283">
        <v>20200731</v>
      </c>
      <c r="B11283">
        <v>2020</v>
      </c>
      <c r="C11283">
        <v>7</v>
      </c>
      <c r="D11283">
        <v>1</v>
      </c>
      <c r="E11283">
        <v>14770</v>
      </c>
      <c r="F11283">
        <v>240037.5</v>
      </c>
      <c r="G11283">
        <v>0</v>
      </c>
      <c r="H11283">
        <v>0</v>
      </c>
      <c r="I11283">
        <v>0</v>
      </c>
      <c r="J11283">
        <v>0</v>
      </c>
      <c r="K11283">
        <v>0</v>
      </c>
      <c r="L11283">
        <v>55650000</v>
      </c>
      <c r="M11283">
        <v>55600000</v>
      </c>
      <c r="N11283">
        <v>55650000</v>
      </c>
      <c r="O11283">
        <v>55600000</v>
      </c>
      <c r="P11283">
        <v>55500000</v>
      </c>
      <c r="Q11283">
        <v>55500000</v>
      </c>
      <c r="R11283" s="14">
        <f>_xlfn.XLOOKUP(Table2[[#This Row],[LoanID]],Table1[G-L ID],Table1[ManagerCode],-99)</f>
        <v>220</v>
      </c>
    </row>
    <row r="11284" spans="1:18" x14ac:dyDescent="0.25">
      <c r="A11284">
        <v>20200731</v>
      </c>
      <c r="B11284">
        <v>2020</v>
      </c>
      <c r="C11284">
        <v>7</v>
      </c>
      <c r="D11284">
        <v>1</v>
      </c>
      <c r="E11284">
        <v>14780</v>
      </c>
      <c r="F11284">
        <v>159600.44</v>
      </c>
      <c r="G11284">
        <v>0</v>
      </c>
      <c r="H11284">
        <v>0</v>
      </c>
      <c r="I11284">
        <v>0</v>
      </c>
      <c r="J11284">
        <v>0</v>
      </c>
      <c r="K11284">
        <v>0</v>
      </c>
      <c r="L11284">
        <v>51010000</v>
      </c>
      <c r="M11284">
        <v>51010000</v>
      </c>
      <c r="N11284">
        <v>17310000</v>
      </c>
      <c r="O11284">
        <v>17310000</v>
      </c>
      <c r="P11284">
        <v>51000000</v>
      </c>
      <c r="Q11284">
        <v>51000000</v>
      </c>
      <c r="R11284" s="14">
        <f>_xlfn.XLOOKUP(Table2[[#This Row],[LoanID]],Table1[G-L ID],Table1[ManagerCode],-99)</f>
        <v>220</v>
      </c>
    </row>
    <row r="11285" spans="1:18" x14ac:dyDescent="0.25">
      <c r="A11285">
        <v>20200731</v>
      </c>
      <c r="B11285">
        <v>2020</v>
      </c>
      <c r="C11285">
        <v>7</v>
      </c>
      <c r="D11285">
        <v>1</v>
      </c>
      <c r="E11285">
        <v>14790</v>
      </c>
      <c r="F11285">
        <v>180792.77</v>
      </c>
      <c r="G11285">
        <v>0</v>
      </c>
      <c r="H11285">
        <v>0</v>
      </c>
      <c r="I11285">
        <v>0</v>
      </c>
      <c r="J11285">
        <v>0</v>
      </c>
      <c r="K11285">
        <v>0</v>
      </c>
      <c r="L11285">
        <v>80390000</v>
      </c>
      <c r="M11285">
        <v>80360000</v>
      </c>
      <c r="N11285">
        <v>25990000</v>
      </c>
      <c r="O11285">
        <v>25960000</v>
      </c>
      <c r="P11285">
        <v>80000000</v>
      </c>
      <c r="Q11285">
        <v>80000000</v>
      </c>
      <c r="R11285" s="14">
        <f>_xlfn.XLOOKUP(Table2[[#This Row],[LoanID]],Table1[G-L ID],Table1[ManagerCode],-99)</f>
        <v>220</v>
      </c>
    </row>
    <row r="11286" spans="1:18" x14ac:dyDescent="0.25">
      <c r="A11286">
        <v>20200731</v>
      </c>
      <c r="B11286">
        <v>2020</v>
      </c>
      <c r="C11286">
        <v>7</v>
      </c>
      <c r="D11286">
        <v>1</v>
      </c>
      <c r="E11286">
        <v>14810</v>
      </c>
      <c r="F11286">
        <v>91572.79</v>
      </c>
      <c r="G11286">
        <v>0</v>
      </c>
      <c r="H11286">
        <v>0</v>
      </c>
      <c r="I11286">
        <v>0</v>
      </c>
      <c r="J11286">
        <v>0</v>
      </c>
      <c r="K11286">
        <v>27486.21</v>
      </c>
      <c r="L11286">
        <v>24974396</v>
      </c>
      <c r="M11286">
        <v>24946909.789999999</v>
      </c>
      <c r="N11286">
        <v>24974396</v>
      </c>
      <c r="O11286">
        <v>24946909.789999999</v>
      </c>
      <c r="P11286">
        <v>24974396</v>
      </c>
      <c r="Q11286">
        <v>24946909.789999999</v>
      </c>
      <c r="R11286" s="14">
        <f>_xlfn.XLOOKUP(Table2[[#This Row],[LoanID]],Table1[G-L ID],Table1[ManagerCode],-99)</f>
        <v>220</v>
      </c>
    </row>
    <row r="11287" spans="1:18" x14ac:dyDescent="0.25">
      <c r="A11287">
        <v>20200731</v>
      </c>
      <c r="B11287">
        <v>2020</v>
      </c>
      <c r="C11287">
        <v>7</v>
      </c>
      <c r="D11287">
        <v>1</v>
      </c>
      <c r="E11287">
        <v>14820</v>
      </c>
      <c r="F11287">
        <v>85700.02</v>
      </c>
      <c r="G11287">
        <v>0</v>
      </c>
      <c r="H11287">
        <v>0</v>
      </c>
      <c r="I11287">
        <v>0</v>
      </c>
      <c r="J11287">
        <v>-614211.24</v>
      </c>
      <c r="K11287">
        <v>0</v>
      </c>
      <c r="L11287">
        <v>23287391.140000001</v>
      </c>
      <c r="M11287">
        <v>23901602.379999999</v>
      </c>
      <c r="N11287">
        <v>6404032.5599999996</v>
      </c>
      <c r="O11287">
        <v>7018243.7999999998</v>
      </c>
      <c r="P11287">
        <v>23287391.140000001</v>
      </c>
      <c r="Q11287">
        <v>23901602.379999999</v>
      </c>
      <c r="R11287" s="14">
        <f>_xlfn.XLOOKUP(Table2[[#This Row],[LoanID]],Table1[G-L ID],Table1[ManagerCode],-99)</f>
        <v>220</v>
      </c>
    </row>
    <row r="11288" spans="1:18" x14ac:dyDescent="0.25">
      <c r="A11288">
        <v>20200731</v>
      </c>
      <c r="B11288">
        <v>2020</v>
      </c>
      <c r="C11288">
        <v>7</v>
      </c>
      <c r="D11288">
        <v>1</v>
      </c>
      <c r="E11288">
        <v>14840</v>
      </c>
      <c r="F11288">
        <v>98068.69</v>
      </c>
      <c r="G11288">
        <v>0</v>
      </c>
      <c r="H11288">
        <v>0</v>
      </c>
      <c r="I11288">
        <v>0</v>
      </c>
      <c r="J11288">
        <v>0</v>
      </c>
      <c r="K11288">
        <v>0</v>
      </c>
      <c r="L11288">
        <v>32687590.16</v>
      </c>
      <c r="M11288">
        <v>32687590.16</v>
      </c>
      <c r="N11288">
        <v>15489057.119999999</v>
      </c>
      <c r="O11288">
        <v>15489057.119999999</v>
      </c>
      <c r="P11288">
        <v>32657590.16</v>
      </c>
      <c r="Q11288">
        <v>32657590.16</v>
      </c>
      <c r="R11288" s="14">
        <f>_xlfn.XLOOKUP(Table2[[#This Row],[LoanID]],Table1[G-L ID],Table1[ManagerCode],-99)</f>
        <v>220</v>
      </c>
    </row>
    <row r="11289" spans="1:18" x14ac:dyDescent="0.25">
      <c r="A11289">
        <v>20200731</v>
      </c>
      <c r="B11289">
        <v>2020</v>
      </c>
      <c r="C11289">
        <v>7</v>
      </c>
      <c r="D11289">
        <v>1</v>
      </c>
      <c r="E11289">
        <v>14850</v>
      </c>
      <c r="F11289">
        <v>228528.36</v>
      </c>
      <c r="G11289">
        <v>0</v>
      </c>
      <c r="H11289">
        <v>0</v>
      </c>
      <c r="I11289">
        <v>0</v>
      </c>
      <c r="J11289">
        <v>0</v>
      </c>
      <c r="K11289">
        <v>0</v>
      </c>
      <c r="L11289">
        <v>88265094.780000001</v>
      </c>
      <c r="M11289">
        <v>88265094.780000001</v>
      </c>
      <c r="N11289">
        <v>41636568.899999999</v>
      </c>
      <c r="O11289">
        <v>41636568.899999999</v>
      </c>
      <c r="P11289">
        <v>88282409.599999994</v>
      </c>
      <c r="Q11289">
        <v>88282409.599999994</v>
      </c>
      <c r="R11289" s="14">
        <f>_xlfn.XLOOKUP(Table2[[#This Row],[LoanID]],Table1[G-L ID],Table1[ManagerCode],-99)</f>
        <v>220</v>
      </c>
    </row>
    <row r="11290" spans="1:18" x14ac:dyDescent="0.25">
      <c r="A11290">
        <v>20200731</v>
      </c>
      <c r="B11290">
        <v>2020</v>
      </c>
      <c r="C11290">
        <v>7</v>
      </c>
      <c r="D11290">
        <v>1</v>
      </c>
      <c r="E11290">
        <v>14870</v>
      </c>
      <c r="F11290">
        <v>625856.47</v>
      </c>
      <c r="G11290">
        <v>0</v>
      </c>
      <c r="H11290">
        <v>0</v>
      </c>
      <c r="I11290">
        <v>0</v>
      </c>
      <c r="J11290">
        <v>0</v>
      </c>
      <c r="K11290">
        <v>0</v>
      </c>
      <c r="L11290">
        <v>125425780</v>
      </c>
      <c r="M11290">
        <v>126175780</v>
      </c>
      <c r="N11290">
        <v>125424780</v>
      </c>
      <c r="O11290">
        <v>126174780</v>
      </c>
      <c r="P11290">
        <v>125357000</v>
      </c>
      <c r="Q11290">
        <v>125357000</v>
      </c>
      <c r="R11290" s="14">
        <f>_xlfn.XLOOKUP(Table2[[#This Row],[LoanID]],Table1[G-L ID],Table1[ManagerCode],-99)</f>
        <v>220</v>
      </c>
    </row>
    <row r="11291" spans="1:18" x14ac:dyDescent="0.25">
      <c r="A11291">
        <v>20200731</v>
      </c>
      <c r="B11291">
        <v>2020</v>
      </c>
      <c r="C11291">
        <v>7</v>
      </c>
      <c r="D11291">
        <v>1</v>
      </c>
      <c r="E11291">
        <v>14880</v>
      </c>
      <c r="F11291">
        <v>131875.24</v>
      </c>
      <c r="G11291">
        <v>0</v>
      </c>
      <c r="H11291">
        <v>0</v>
      </c>
      <c r="I11291">
        <v>0</v>
      </c>
      <c r="J11291">
        <v>0</v>
      </c>
      <c r="K11291">
        <v>0</v>
      </c>
      <c r="L11291">
        <v>20296304.09</v>
      </c>
      <c r="M11291">
        <v>20296304.09</v>
      </c>
      <c r="N11291">
        <v>20296304.09</v>
      </c>
      <c r="O11291">
        <v>20296304.09</v>
      </c>
      <c r="P11291">
        <v>20296304.09</v>
      </c>
      <c r="Q11291">
        <v>20296304.09</v>
      </c>
      <c r="R11291" s="14">
        <f>_xlfn.XLOOKUP(Table2[[#This Row],[LoanID]],Table1[G-L ID],Table1[ManagerCode],-99)</f>
        <v>220</v>
      </c>
    </row>
    <row r="11292" spans="1:18" x14ac:dyDescent="0.25">
      <c r="A11292">
        <v>20200731</v>
      </c>
      <c r="B11292">
        <v>2020</v>
      </c>
      <c r="C11292">
        <v>7</v>
      </c>
      <c r="D11292">
        <v>1</v>
      </c>
      <c r="E11292">
        <v>14890</v>
      </c>
      <c r="F11292">
        <v>83856.31</v>
      </c>
      <c r="G11292">
        <v>0</v>
      </c>
      <c r="H11292">
        <v>0</v>
      </c>
      <c r="I11292">
        <v>0</v>
      </c>
      <c r="J11292">
        <v>0</v>
      </c>
      <c r="K11292">
        <v>0</v>
      </c>
      <c r="L11292">
        <v>34000000</v>
      </c>
      <c r="M11292">
        <v>34000000</v>
      </c>
      <c r="N11292">
        <v>17177663.98</v>
      </c>
      <c r="O11292">
        <v>17177663.98</v>
      </c>
      <c r="P11292">
        <v>34000000</v>
      </c>
      <c r="Q11292">
        <v>34000000</v>
      </c>
      <c r="R11292" s="14">
        <f>_xlfn.XLOOKUP(Table2[[#This Row],[LoanID]],Table1[G-L ID],Table1[ManagerCode],-99)</f>
        <v>220</v>
      </c>
    </row>
    <row r="11293" spans="1:18" x14ac:dyDescent="0.25">
      <c r="A11293">
        <v>20200731</v>
      </c>
      <c r="B11293">
        <v>2020</v>
      </c>
      <c r="C11293">
        <v>7</v>
      </c>
      <c r="D11293">
        <v>1</v>
      </c>
      <c r="E11293">
        <v>14900</v>
      </c>
      <c r="F11293">
        <v>164953.23000000001</v>
      </c>
      <c r="G11293">
        <v>0</v>
      </c>
      <c r="H11293">
        <v>0</v>
      </c>
      <c r="I11293">
        <v>0</v>
      </c>
      <c r="J11293">
        <v>0</v>
      </c>
      <c r="K11293">
        <v>0</v>
      </c>
      <c r="L11293">
        <v>66277360.850000001</v>
      </c>
      <c r="M11293">
        <v>66277360.850000001</v>
      </c>
      <c r="N11293">
        <v>34572110.850000001</v>
      </c>
      <c r="O11293">
        <v>34572110.850000001</v>
      </c>
      <c r="P11293">
        <v>66277360.850000001</v>
      </c>
      <c r="Q11293">
        <v>66277360.850000001</v>
      </c>
      <c r="R11293" s="14">
        <f>_xlfn.XLOOKUP(Table2[[#This Row],[LoanID]],Table1[G-L ID],Table1[ManagerCode],-99)</f>
        <v>220</v>
      </c>
    </row>
    <row r="11294" spans="1:18" x14ac:dyDescent="0.25">
      <c r="A11294">
        <v>20200731</v>
      </c>
      <c r="B11294">
        <v>2020</v>
      </c>
      <c r="C11294">
        <v>7</v>
      </c>
      <c r="D11294">
        <v>1</v>
      </c>
      <c r="E11294">
        <v>14910</v>
      </c>
      <c r="F11294">
        <v>127652.44</v>
      </c>
      <c r="G11294">
        <v>0</v>
      </c>
      <c r="H11294">
        <v>0</v>
      </c>
      <c r="I11294">
        <v>0</v>
      </c>
      <c r="J11294">
        <v>0</v>
      </c>
      <c r="K11294">
        <v>0</v>
      </c>
      <c r="L11294">
        <v>40110000</v>
      </c>
      <c r="M11294">
        <v>40100000</v>
      </c>
      <c r="N11294">
        <v>16510000</v>
      </c>
      <c r="O11294">
        <v>16500000</v>
      </c>
      <c r="P11294">
        <v>40000000</v>
      </c>
      <c r="Q11294">
        <v>40000000</v>
      </c>
      <c r="R11294" s="14">
        <f>_xlfn.XLOOKUP(Table2[[#This Row],[LoanID]],Table1[G-L ID],Table1[ManagerCode],-99)</f>
        <v>220</v>
      </c>
    </row>
    <row r="11295" spans="1:18" x14ac:dyDescent="0.25">
      <c r="A11295">
        <v>20200731</v>
      </c>
      <c r="B11295">
        <v>2020</v>
      </c>
      <c r="C11295">
        <v>7</v>
      </c>
      <c r="D11295">
        <v>1</v>
      </c>
      <c r="E11295">
        <v>14920</v>
      </c>
      <c r="F11295">
        <v>222161.97</v>
      </c>
      <c r="G11295">
        <v>0</v>
      </c>
      <c r="H11295">
        <v>0</v>
      </c>
      <c r="I11295">
        <v>0</v>
      </c>
      <c r="J11295">
        <v>0</v>
      </c>
      <c r="K11295">
        <v>0</v>
      </c>
      <c r="L11295">
        <v>71154409.989999995</v>
      </c>
      <c r="M11295">
        <v>71154409.989999995</v>
      </c>
      <c r="N11295">
        <v>27154409.989999998</v>
      </c>
      <c r="O11295">
        <v>27154409.989999998</v>
      </c>
      <c r="P11295">
        <v>71154409.989999995</v>
      </c>
      <c r="Q11295">
        <v>71154409.989999995</v>
      </c>
      <c r="R11295" s="14">
        <f>_xlfn.XLOOKUP(Table2[[#This Row],[LoanID]],Table1[G-L ID],Table1[ManagerCode],-99)</f>
        <v>220</v>
      </c>
    </row>
    <row r="11296" spans="1:18" x14ac:dyDescent="0.25">
      <c r="A11296">
        <v>20200731</v>
      </c>
      <c r="B11296">
        <v>2020</v>
      </c>
      <c r="C11296">
        <v>7</v>
      </c>
      <c r="D11296">
        <v>1</v>
      </c>
      <c r="E11296">
        <v>14930</v>
      </c>
      <c r="F11296">
        <v>129619.58</v>
      </c>
      <c r="G11296">
        <v>0</v>
      </c>
      <c r="H11296">
        <v>0</v>
      </c>
      <c r="I11296">
        <v>0</v>
      </c>
      <c r="J11296">
        <v>0</v>
      </c>
      <c r="K11296">
        <v>0</v>
      </c>
      <c r="L11296">
        <v>55020000</v>
      </c>
      <c r="M11296">
        <v>55000000</v>
      </c>
      <c r="N11296">
        <v>19670000</v>
      </c>
      <c r="O11296">
        <v>19650000</v>
      </c>
      <c r="P11296">
        <v>55000000</v>
      </c>
      <c r="Q11296">
        <v>55000000</v>
      </c>
      <c r="R11296" s="14">
        <f>_xlfn.XLOOKUP(Table2[[#This Row],[LoanID]],Table1[G-L ID],Table1[ManagerCode],-99)</f>
        <v>220</v>
      </c>
    </row>
    <row r="11297" spans="1:18" x14ac:dyDescent="0.25">
      <c r="A11297">
        <v>20200731</v>
      </c>
      <c r="B11297">
        <v>2020</v>
      </c>
      <c r="C11297">
        <v>7</v>
      </c>
      <c r="D11297">
        <v>1</v>
      </c>
      <c r="E11297">
        <v>14940</v>
      </c>
      <c r="F11297">
        <v>219342.6</v>
      </c>
      <c r="G11297">
        <v>0</v>
      </c>
      <c r="H11297">
        <v>0</v>
      </c>
      <c r="I11297">
        <v>0</v>
      </c>
      <c r="J11297">
        <v>-1289705.31</v>
      </c>
      <c r="K11297">
        <v>0</v>
      </c>
      <c r="L11297">
        <v>78620000</v>
      </c>
      <c r="M11297">
        <v>79909705.310000002</v>
      </c>
      <c r="N11297">
        <v>40164058.229999997</v>
      </c>
      <c r="O11297">
        <v>41453763.539999999</v>
      </c>
      <c r="P11297">
        <v>78962976.370000005</v>
      </c>
      <c r="Q11297">
        <v>80252681.680000007</v>
      </c>
      <c r="R11297" s="14">
        <f>_xlfn.XLOOKUP(Table2[[#This Row],[LoanID]],Table1[G-L ID],Table1[ManagerCode],-99)</f>
        <v>220</v>
      </c>
    </row>
    <row r="11298" spans="1:18" x14ac:dyDescent="0.25">
      <c r="A11298">
        <v>20200731</v>
      </c>
      <c r="B11298">
        <v>2020</v>
      </c>
      <c r="C11298">
        <v>7</v>
      </c>
      <c r="D11298">
        <v>1</v>
      </c>
      <c r="E11298">
        <v>14960</v>
      </c>
      <c r="F11298">
        <v>54961.83</v>
      </c>
      <c r="G11298">
        <v>26085.200000000001</v>
      </c>
      <c r="H11298">
        <v>0</v>
      </c>
      <c r="I11298">
        <v>0</v>
      </c>
      <c r="J11298">
        <v>0</v>
      </c>
      <c r="K11298">
        <v>0</v>
      </c>
      <c r="L11298">
        <v>14745000</v>
      </c>
      <c r="M11298">
        <v>14905000</v>
      </c>
      <c r="N11298">
        <v>14744000</v>
      </c>
      <c r="O11298">
        <v>14904000</v>
      </c>
      <c r="P11298">
        <v>14889054.57</v>
      </c>
      <c r="Q11298">
        <v>14915139.77</v>
      </c>
      <c r="R11298" s="14">
        <f>_xlfn.XLOOKUP(Table2[[#This Row],[LoanID]],Table1[G-L ID],Table1[ManagerCode],-99)</f>
        <v>220</v>
      </c>
    </row>
    <row r="11299" spans="1:18" x14ac:dyDescent="0.25">
      <c r="A11299">
        <v>20200731</v>
      </c>
      <c r="B11299">
        <v>2020</v>
      </c>
      <c r="C11299">
        <v>7</v>
      </c>
      <c r="D11299">
        <v>1</v>
      </c>
      <c r="E11299">
        <v>14970</v>
      </c>
      <c r="F11299">
        <v>97249.33</v>
      </c>
      <c r="G11299">
        <v>0</v>
      </c>
      <c r="H11299">
        <v>0</v>
      </c>
      <c r="I11299">
        <v>0</v>
      </c>
      <c r="J11299">
        <v>0</v>
      </c>
      <c r="K11299">
        <v>0</v>
      </c>
      <c r="L11299">
        <v>29720000</v>
      </c>
      <c r="M11299">
        <v>29700000</v>
      </c>
      <c r="N11299">
        <v>14915000</v>
      </c>
      <c r="O11299">
        <v>14895000</v>
      </c>
      <c r="P11299">
        <v>29700000</v>
      </c>
      <c r="Q11299">
        <v>29700000</v>
      </c>
      <c r="R11299" s="14">
        <f>_xlfn.XLOOKUP(Table2[[#This Row],[LoanID]],Table1[G-L ID],Table1[ManagerCode],-99)</f>
        <v>220</v>
      </c>
    </row>
    <row r="11300" spans="1:18" x14ac:dyDescent="0.25">
      <c r="A11300">
        <v>20200731</v>
      </c>
      <c r="B11300">
        <v>2020</v>
      </c>
      <c r="C11300">
        <v>7</v>
      </c>
      <c r="D11300">
        <v>1</v>
      </c>
      <c r="E11300">
        <v>14980</v>
      </c>
      <c r="F11300">
        <v>231587.5</v>
      </c>
      <c r="G11300">
        <v>0</v>
      </c>
      <c r="H11300">
        <v>0</v>
      </c>
      <c r="I11300">
        <v>0</v>
      </c>
      <c r="J11300">
        <v>0</v>
      </c>
      <c r="K11300">
        <v>0</v>
      </c>
      <c r="L11300">
        <v>75040000</v>
      </c>
      <c r="M11300">
        <v>75000000</v>
      </c>
      <c r="N11300">
        <v>29540000</v>
      </c>
      <c r="O11300">
        <v>29500000</v>
      </c>
      <c r="P11300">
        <v>75000000</v>
      </c>
      <c r="Q11300">
        <v>75000000</v>
      </c>
      <c r="R11300" s="14">
        <f>_xlfn.XLOOKUP(Table2[[#This Row],[LoanID]],Table1[G-L ID],Table1[ManagerCode],-99)</f>
        <v>220</v>
      </c>
    </row>
    <row r="11301" spans="1:18" x14ac:dyDescent="0.25">
      <c r="A11301">
        <v>20200731</v>
      </c>
      <c r="B11301">
        <v>2020</v>
      </c>
      <c r="C11301">
        <v>7</v>
      </c>
      <c r="D11301">
        <v>1</v>
      </c>
      <c r="E11301">
        <v>14990</v>
      </c>
      <c r="F11301">
        <v>98139.28</v>
      </c>
      <c r="G11301">
        <v>0</v>
      </c>
      <c r="H11301">
        <v>0</v>
      </c>
      <c r="I11301">
        <v>0</v>
      </c>
      <c r="J11301">
        <v>-545079.80000000005</v>
      </c>
      <c r="K11301">
        <v>0</v>
      </c>
      <c r="L11301">
        <v>33010000</v>
      </c>
      <c r="M11301">
        <v>33560000</v>
      </c>
      <c r="N11301">
        <v>13155000</v>
      </c>
      <c r="O11301">
        <v>13705000</v>
      </c>
      <c r="P11301">
        <v>32900768.02</v>
      </c>
      <c r="Q11301">
        <v>33445847.82</v>
      </c>
      <c r="R11301" s="14">
        <f>_xlfn.XLOOKUP(Table2[[#This Row],[LoanID]],Table1[G-L ID],Table1[ManagerCode],-99)</f>
        <v>220</v>
      </c>
    </row>
    <row r="11302" spans="1:18" x14ac:dyDescent="0.25">
      <c r="A11302">
        <v>20200731</v>
      </c>
      <c r="B11302">
        <v>2020</v>
      </c>
      <c r="C11302">
        <v>7</v>
      </c>
      <c r="D11302">
        <v>1</v>
      </c>
      <c r="E11302">
        <v>15000</v>
      </c>
      <c r="F11302">
        <v>252341.96</v>
      </c>
      <c r="G11302">
        <v>0</v>
      </c>
      <c r="H11302">
        <v>0</v>
      </c>
      <c r="I11302">
        <v>0</v>
      </c>
      <c r="J11302">
        <v>0</v>
      </c>
      <c r="K11302">
        <v>0</v>
      </c>
      <c r="L11302">
        <v>113900000</v>
      </c>
      <c r="M11302">
        <v>113900000</v>
      </c>
      <c r="N11302">
        <v>36900000</v>
      </c>
      <c r="O11302">
        <v>36900000</v>
      </c>
      <c r="P11302">
        <v>115013808.5</v>
      </c>
      <c r="Q11302">
        <v>115013808.5</v>
      </c>
      <c r="R11302" s="14">
        <f>_xlfn.XLOOKUP(Table2[[#This Row],[LoanID]],Table1[G-L ID],Table1[ManagerCode],-99)</f>
        <v>220</v>
      </c>
    </row>
    <row r="11303" spans="1:18" x14ac:dyDescent="0.25">
      <c r="A11303">
        <v>20200731</v>
      </c>
      <c r="B11303">
        <v>2020</v>
      </c>
      <c r="C11303">
        <v>7</v>
      </c>
      <c r="D11303">
        <v>1</v>
      </c>
      <c r="E11303">
        <v>15010</v>
      </c>
      <c r="F11303">
        <v>111270.9</v>
      </c>
      <c r="G11303">
        <v>0</v>
      </c>
      <c r="H11303">
        <v>0</v>
      </c>
      <c r="I11303">
        <v>0</v>
      </c>
      <c r="J11303">
        <v>-525317.51</v>
      </c>
      <c r="K11303">
        <v>0</v>
      </c>
      <c r="L11303">
        <v>33110000</v>
      </c>
      <c r="M11303">
        <v>33620000</v>
      </c>
      <c r="N11303">
        <v>16086000</v>
      </c>
      <c r="O11303">
        <v>16596000</v>
      </c>
      <c r="P11303">
        <v>33082625.66</v>
      </c>
      <c r="Q11303">
        <v>33607943.170000002</v>
      </c>
      <c r="R11303" s="14">
        <f>_xlfn.XLOOKUP(Table2[[#This Row],[LoanID]],Table1[G-L ID],Table1[ManagerCode],-99)</f>
        <v>220</v>
      </c>
    </row>
    <row r="11304" spans="1:18" x14ac:dyDescent="0.25">
      <c r="A11304">
        <v>20200731</v>
      </c>
      <c r="B11304">
        <v>2020</v>
      </c>
      <c r="C11304">
        <v>7</v>
      </c>
      <c r="D11304">
        <v>1</v>
      </c>
      <c r="E11304">
        <v>15020</v>
      </c>
      <c r="F11304">
        <v>167971.19</v>
      </c>
      <c r="G11304">
        <v>0</v>
      </c>
      <c r="H11304">
        <v>0</v>
      </c>
      <c r="I11304">
        <v>0</v>
      </c>
      <c r="J11304">
        <v>0</v>
      </c>
      <c r="K11304">
        <v>0</v>
      </c>
      <c r="L11304">
        <v>69340000</v>
      </c>
      <c r="M11304">
        <v>69430000</v>
      </c>
      <c r="N11304">
        <v>36221358.579999998</v>
      </c>
      <c r="O11304">
        <v>36311358.579999998</v>
      </c>
      <c r="P11304">
        <v>69000000</v>
      </c>
      <c r="Q11304">
        <v>69000000</v>
      </c>
      <c r="R11304" s="14">
        <f>_xlfn.XLOOKUP(Table2[[#This Row],[LoanID]],Table1[G-L ID],Table1[ManagerCode],-99)</f>
        <v>220</v>
      </c>
    </row>
    <row r="11305" spans="1:18" x14ac:dyDescent="0.25">
      <c r="A11305">
        <v>20200731</v>
      </c>
      <c r="B11305">
        <v>2020</v>
      </c>
      <c r="C11305">
        <v>7</v>
      </c>
      <c r="D11305">
        <v>1</v>
      </c>
      <c r="E11305">
        <v>15030</v>
      </c>
      <c r="F11305">
        <v>115150.64</v>
      </c>
      <c r="G11305">
        <v>0</v>
      </c>
      <c r="H11305">
        <v>0</v>
      </c>
      <c r="I11305">
        <v>0</v>
      </c>
      <c r="J11305">
        <v>-2606115.2000000002</v>
      </c>
      <c r="K11305">
        <v>0</v>
      </c>
      <c r="L11305">
        <v>42602000</v>
      </c>
      <c r="M11305">
        <v>45253000</v>
      </c>
      <c r="N11305">
        <v>21847282.59</v>
      </c>
      <c r="O11305">
        <v>24498282.59</v>
      </c>
      <c r="P11305">
        <v>42881587.799999997</v>
      </c>
      <c r="Q11305">
        <v>45487703</v>
      </c>
      <c r="R11305" s="14">
        <f>_xlfn.XLOOKUP(Table2[[#This Row],[LoanID]],Table1[G-L ID],Table1[ManagerCode],-99)</f>
        <v>220</v>
      </c>
    </row>
    <row r="11306" spans="1:18" x14ac:dyDescent="0.25">
      <c r="A11306">
        <v>20200731</v>
      </c>
      <c r="B11306">
        <v>2020</v>
      </c>
      <c r="C11306">
        <v>7</v>
      </c>
      <c r="D11306">
        <v>1</v>
      </c>
      <c r="E11306">
        <v>15040</v>
      </c>
      <c r="F11306">
        <v>159855.60999999999</v>
      </c>
      <c r="G11306">
        <v>0</v>
      </c>
      <c r="H11306">
        <v>0</v>
      </c>
      <c r="I11306">
        <v>0</v>
      </c>
      <c r="J11306">
        <v>-161063.49</v>
      </c>
      <c r="K11306">
        <v>0</v>
      </c>
      <c r="L11306">
        <v>53230985.939999998</v>
      </c>
      <c r="M11306">
        <v>53449641.219999999</v>
      </c>
      <c r="N11306">
        <v>20145985.940000001</v>
      </c>
      <c r="O11306">
        <v>20364641.219999999</v>
      </c>
      <c r="P11306">
        <v>53398600.590000004</v>
      </c>
      <c r="Q11306">
        <v>53559664.079999998</v>
      </c>
      <c r="R11306" s="14">
        <f>_xlfn.XLOOKUP(Table2[[#This Row],[LoanID]],Table1[G-L ID],Table1[ManagerCode],-99)</f>
        <v>183</v>
      </c>
    </row>
    <row r="11307" spans="1:18" x14ac:dyDescent="0.25">
      <c r="A11307">
        <v>20200731</v>
      </c>
      <c r="B11307">
        <v>2020</v>
      </c>
      <c r="C11307">
        <v>7</v>
      </c>
      <c r="D11307">
        <v>1</v>
      </c>
      <c r="E11307">
        <v>15050</v>
      </c>
      <c r="F11307">
        <v>142750.53</v>
      </c>
      <c r="G11307">
        <v>0</v>
      </c>
      <c r="H11307">
        <v>0</v>
      </c>
      <c r="I11307">
        <v>0</v>
      </c>
      <c r="J11307">
        <v>0</v>
      </c>
      <c r="K11307">
        <v>0</v>
      </c>
      <c r="L11307">
        <v>47510000</v>
      </c>
      <c r="M11307">
        <v>47510000</v>
      </c>
      <c r="N11307">
        <v>16628500</v>
      </c>
      <c r="O11307">
        <v>16628500</v>
      </c>
      <c r="P11307">
        <v>47510000</v>
      </c>
      <c r="Q11307">
        <v>47510000</v>
      </c>
      <c r="R11307" s="14">
        <f>_xlfn.XLOOKUP(Table2[[#This Row],[LoanID]],Table1[G-L ID],Table1[ManagerCode],-99)</f>
        <v>183</v>
      </c>
    </row>
    <row r="11308" spans="1:18" x14ac:dyDescent="0.25">
      <c r="A11308">
        <v>20200731</v>
      </c>
      <c r="B11308">
        <v>2020</v>
      </c>
      <c r="C11308">
        <v>7</v>
      </c>
      <c r="D11308">
        <v>1</v>
      </c>
      <c r="E11308">
        <v>15060</v>
      </c>
      <c r="F11308">
        <v>79128.97</v>
      </c>
      <c r="G11308">
        <v>0</v>
      </c>
      <c r="H11308">
        <v>0</v>
      </c>
      <c r="I11308">
        <v>0</v>
      </c>
      <c r="J11308">
        <v>0</v>
      </c>
      <c r="K11308">
        <v>0</v>
      </c>
      <c r="L11308">
        <v>27577530.09</v>
      </c>
      <c r="M11308">
        <v>27593602.640000001</v>
      </c>
      <c r="N11308">
        <v>9540030.0899999999</v>
      </c>
      <c r="O11308">
        <v>9556102.6400000006</v>
      </c>
      <c r="P11308">
        <v>27750000</v>
      </c>
      <c r="Q11308">
        <v>27750000</v>
      </c>
      <c r="R11308" s="14">
        <f>_xlfn.XLOOKUP(Table2[[#This Row],[LoanID]],Table1[G-L ID],Table1[ManagerCode],-99)</f>
        <v>183</v>
      </c>
    </row>
    <row r="11309" spans="1:18" x14ac:dyDescent="0.25">
      <c r="A11309">
        <v>20200731</v>
      </c>
      <c r="B11309">
        <v>2020</v>
      </c>
      <c r="C11309">
        <v>7</v>
      </c>
      <c r="D11309">
        <v>1</v>
      </c>
      <c r="E11309">
        <v>15070</v>
      </c>
      <c r="F11309">
        <v>218545.32</v>
      </c>
      <c r="G11309">
        <v>0</v>
      </c>
      <c r="H11309">
        <v>0</v>
      </c>
      <c r="I11309">
        <v>0</v>
      </c>
      <c r="J11309">
        <v>-635842.59</v>
      </c>
      <c r="K11309">
        <v>0</v>
      </c>
      <c r="L11309">
        <v>79519663</v>
      </c>
      <c r="M11309">
        <v>79777131.010000005</v>
      </c>
      <c r="N11309">
        <v>25268963</v>
      </c>
      <c r="O11309">
        <v>25526431.010000002</v>
      </c>
      <c r="P11309">
        <v>79519663</v>
      </c>
      <c r="Q11309">
        <v>80155505.590000004</v>
      </c>
      <c r="R11309" s="14">
        <f>_xlfn.XLOOKUP(Table2[[#This Row],[LoanID]],Table1[G-L ID],Table1[ManagerCode],-99)</f>
        <v>183</v>
      </c>
    </row>
    <row r="11310" spans="1:18" x14ac:dyDescent="0.25">
      <c r="A11310">
        <v>20200731</v>
      </c>
      <c r="B11310">
        <v>2020</v>
      </c>
      <c r="C11310">
        <v>7</v>
      </c>
      <c r="D11310">
        <v>1</v>
      </c>
      <c r="E11310">
        <v>15350</v>
      </c>
      <c r="F11310">
        <v>220833.33</v>
      </c>
      <c r="G11310">
        <v>7361.11</v>
      </c>
      <c r="H11310">
        <v>0</v>
      </c>
      <c r="I11310">
        <v>0</v>
      </c>
      <c r="J11310">
        <v>0</v>
      </c>
      <c r="K11310">
        <v>0</v>
      </c>
      <c r="L11310">
        <v>40220833.329999998</v>
      </c>
      <c r="M11310">
        <v>40228194.439999998</v>
      </c>
      <c r="N11310">
        <v>40220833.329999998</v>
      </c>
      <c r="O11310">
        <v>40228194.439999998</v>
      </c>
      <c r="P11310">
        <v>40220833.329999998</v>
      </c>
      <c r="Q11310">
        <v>40228194.439999998</v>
      </c>
      <c r="R11310" s="14">
        <f>_xlfn.XLOOKUP(Table2[[#This Row],[LoanID]],Table1[G-L ID],Table1[ManagerCode],-99)</f>
        <v>219</v>
      </c>
    </row>
    <row r="11311" spans="1:18" x14ac:dyDescent="0.25">
      <c r="A11311">
        <v>20200731</v>
      </c>
      <c r="B11311">
        <v>2020</v>
      </c>
      <c r="C11311">
        <v>7</v>
      </c>
      <c r="D11311">
        <v>1</v>
      </c>
      <c r="E11311">
        <v>15360</v>
      </c>
      <c r="F11311">
        <v>28926.43</v>
      </c>
      <c r="G11311">
        <v>36113.03</v>
      </c>
      <c r="H11311">
        <v>0</v>
      </c>
      <c r="I11311">
        <v>0</v>
      </c>
      <c r="J11311">
        <v>-2649161.3199999998</v>
      </c>
      <c r="K11311">
        <v>0</v>
      </c>
      <c r="L11311">
        <v>5804242.7699999996</v>
      </c>
      <c r="M11311">
        <v>8489517.1300000008</v>
      </c>
      <c r="N11311">
        <v>5804242.7699999996</v>
      </c>
      <c r="O11311">
        <v>8489517.1300000008</v>
      </c>
      <c r="P11311">
        <v>5804242.7699999996</v>
      </c>
      <c r="Q11311">
        <v>8489517.1300000008</v>
      </c>
      <c r="R11311" s="14">
        <f>_xlfn.XLOOKUP(Table2[[#This Row],[LoanID]],Table1[G-L ID],Table1[ManagerCode],-99)</f>
        <v>219</v>
      </c>
    </row>
    <row r="11312" spans="1:18" x14ac:dyDescent="0.25">
      <c r="A11312">
        <v>20200731</v>
      </c>
      <c r="B11312">
        <v>2020</v>
      </c>
      <c r="C11312">
        <v>7</v>
      </c>
      <c r="D11312">
        <v>1</v>
      </c>
      <c r="E11312">
        <v>15370</v>
      </c>
      <c r="F11312">
        <v>303828.59000000003</v>
      </c>
      <c r="G11312">
        <v>0</v>
      </c>
      <c r="H11312">
        <v>0</v>
      </c>
      <c r="I11312">
        <v>0</v>
      </c>
      <c r="J11312">
        <v>-231164.9</v>
      </c>
      <c r="K11312">
        <v>0</v>
      </c>
      <c r="L11312">
        <v>114909462.7</v>
      </c>
      <c r="M11312">
        <v>115140627.59999999</v>
      </c>
      <c r="N11312">
        <v>48013480.670000002</v>
      </c>
      <c r="O11312">
        <v>48244645.57</v>
      </c>
      <c r="P11312">
        <v>114687700.40000001</v>
      </c>
      <c r="Q11312">
        <v>114918865.3</v>
      </c>
      <c r="R11312" s="14">
        <f>_xlfn.XLOOKUP(Table2[[#This Row],[LoanID]],Table1[G-L ID],Table1[ManagerCode],-99)</f>
        <v>220</v>
      </c>
    </row>
    <row r="11313" spans="1:18" x14ac:dyDescent="0.25">
      <c r="A11313">
        <v>20200731</v>
      </c>
      <c r="B11313">
        <v>2020</v>
      </c>
      <c r="C11313">
        <v>7</v>
      </c>
      <c r="D11313">
        <v>1</v>
      </c>
      <c r="E11313">
        <v>15380</v>
      </c>
      <c r="F11313">
        <v>99476.36</v>
      </c>
      <c r="G11313">
        <v>0</v>
      </c>
      <c r="H11313">
        <v>0</v>
      </c>
      <c r="I11313">
        <v>0</v>
      </c>
      <c r="J11313">
        <v>-668401.43000000005</v>
      </c>
      <c r="K11313">
        <v>0</v>
      </c>
      <c r="L11313">
        <v>35320000</v>
      </c>
      <c r="M11313">
        <v>35990000</v>
      </c>
      <c r="N11313">
        <v>14615500</v>
      </c>
      <c r="O11313">
        <v>15285500</v>
      </c>
      <c r="P11313">
        <v>35200505.659999996</v>
      </c>
      <c r="Q11313">
        <v>35868907.090000004</v>
      </c>
      <c r="R11313" s="14">
        <f>_xlfn.XLOOKUP(Table2[[#This Row],[LoanID]],Table1[G-L ID],Table1[ManagerCode],-99)</f>
        <v>220</v>
      </c>
    </row>
    <row r="11314" spans="1:18" x14ac:dyDescent="0.25">
      <c r="A11314">
        <v>20200731</v>
      </c>
      <c r="B11314">
        <v>2020</v>
      </c>
      <c r="C11314">
        <v>7</v>
      </c>
      <c r="D11314">
        <v>1</v>
      </c>
      <c r="E11314">
        <v>15390</v>
      </c>
      <c r="F11314">
        <v>107563.26</v>
      </c>
      <c r="G11314">
        <v>0</v>
      </c>
      <c r="H11314">
        <v>0</v>
      </c>
      <c r="I11314">
        <v>0</v>
      </c>
      <c r="J11314">
        <v>0</v>
      </c>
      <c r="K11314">
        <v>0</v>
      </c>
      <c r="L11314">
        <v>37880000</v>
      </c>
      <c r="M11314">
        <v>37880000</v>
      </c>
      <c r="N11314">
        <v>15170000</v>
      </c>
      <c r="O11314">
        <v>15170000</v>
      </c>
      <c r="P11314">
        <v>37735588.420000002</v>
      </c>
      <c r="Q11314">
        <v>37735588.420000002</v>
      </c>
      <c r="R11314" s="14">
        <f>_xlfn.XLOOKUP(Table2[[#This Row],[LoanID]],Table1[G-L ID],Table1[ManagerCode],-99)</f>
        <v>220</v>
      </c>
    </row>
    <row r="11315" spans="1:18" x14ac:dyDescent="0.25">
      <c r="A11315">
        <v>20200731</v>
      </c>
      <c r="B11315">
        <v>2020</v>
      </c>
      <c r="C11315">
        <v>7</v>
      </c>
      <c r="D11315">
        <v>1</v>
      </c>
      <c r="E11315">
        <v>15400</v>
      </c>
      <c r="F11315">
        <v>74972.73</v>
      </c>
      <c r="G11315">
        <v>0</v>
      </c>
      <c r="H11315">
        <v>0</v>
      </c>
      <c r="I11315">
        <v>0</v>
      </c>
      <c r="J11315">
        <v>0</v>
      </c>
      <c r="K11315">
        <v>0</v>
      </c>
      <c r="L11315">
        <v>23330000</v>
      </c>
      <c r="M11315">
        <v>23330000</v>
      </c>
      <c r="N11315">
        <v>23330000</v>
      </c>
      <c r="O11315">
        <v>23330000</v>
      </c>
      <c r="P11315">
        <v>23677148.120000001</v>
      </c>
      <c r="Q11315">
        <v>23677148.120000001</v>
      </c>
      <c r="R11315" s="14">
        <f>_xlfn.XLOOKUP(Table2[[#This Row],[LoanID]],Table1[G-L ID],Table1[ManagerCode],-99)</f>
        <v>220</v>
      </c>
    </row>
    <row r="11316" spans="1:18" x14ac:dyDescent="0.25">
      <c r="A11316">
        <v>20200731</v>
      </c>
      <c r="B11316">
        <v>2020</v>
      </c>
      <c r="C11316">
        <v>7</v>
      </c>
      <c r="D11316">
        <v>1</v>
      </c>
      <c r="E11316">
        <v>15410</v>
      </c>
      <c r="F11316">
        <v>168056.67</v>
      </c>
      <c r="G11316">
        <v>0</v>
      </c>
      <c r="H11316">
        <v>0</v>
      </c>
      <c r="I11316">
        <v>0</v>
      </c>
      <c r="J11316">
        <v>0</v>
      </c>
      <c r="K11316">
        <v>0</v>
      </c>
      <c r="L11316">
        <v>64300000</v>
      </c>
      <c r="M11316">
        <v>64340000</v>
      </c>
      <c r="N11316">
        <v>20500000</v>
      </c>
      <c r="O11316">
        <v>20540000</v>
      </c>
      <c r="P11316">
        <v>64000000</v>
      </c>
      <c r="Q11316">
        <v>64000000</v>
      </c>
      <c r="R11316" s="14">
        <f>_xlfn.XLOOKUP(Table2[[#This Row],[LoanID]],Table1[G-L ID],Table1[ManagerCode],-99)</f>
        <v>220</v>
      </c>
    </row>
    <row r="11317" spans="1:18" x14ac:dyDescent="0.25">
      <c r="A11317">
        <v>20200731</v>
      </c>
      <c r="B11317">
        <v>2020</v>
      </c>
      <c r="C11317">
        <v>7</v>
      </c>
      <c r="D11317">
        <v>1</v>
      </c>
      <c r="E11317">
        <v>15420</v>
      </c>
      <c r="F11317">
        <v>106701.39</v>
      </c>
      <c r="G11317">
        <v>0</v>
      </c>
      <c r="H11317">
        <v>0</v>
      </c>
      <c r="I11317">
        <v>0</v>
      </c>
      <c r="J11317">
        <v>0</v>
      </c>
      <c r="K11317">
        <v>0</v>
      </c>
      <c r="L11317">
        <v>44141378.490000002</v>
      </c>
      <c r="M11317">
        <v>44329417.359999999</v>
      </c>
      <c r="N11317">
        <v>15131878.49</v>
      </c>
      <c r="O11317">
        <v>15319917.359999999</v>
      </c>
      <c r="P11317">
        <v>44630000</v>
      </c>
      <c r="Q11317">
        <v>44630000</v>
      </c>
      <c r="R11317" s="14">
        <f>_xlfn.XLOOKUP(Table2[[#This Row],[LoanID]],Table1[G-L ID],Table1[ManagerCode],-99)</f>
        <v>183</v>
      </c>
    </row>
    <row r="11318" spans="1:18" x14ac:dyDescent="0.25">
      <c r="A11318">
        <v>20200731</v>
      </c>
      <c r="B11318">
        <v>2020</v>
      </c>
      <c r="C11318">
        <v>7</v>
      </c>
      <c r="D11318">
        <v>1</v>
      </c>
      <c r="E11318">
        <v>15430</v>
      </c>
      <c r="F11318">
        <v>126421.62</v>
      </c>
      <c r="G11318">
        <v>0</v>
      </c>
      <c r="H11318">
        <v>0</v>
      </c>
      <c r="I11318">
        <v>0</v>
      </c>
      <c r="J11318">
        <v>0</v>
      </c>
      <c r="K11318">
        <v>0</v>
      </c>
      <c r="L11318">
        <v>52203422.299999997</v>
      </c>
      <c r="M11318">
        <v>52203422.299999997</v>
      </c>
      <c r="N11318">
        <v>19011302.300000001</v>
      </c>
      <c r="O11318">
        <v>19011302.300000001</v>
      </c>
      <c r="P11318">
        <v>52645835.189999998</v>
      </c>
      <c r="Q11318">
        <v>52645835.189999998</v>
      </c>
      <c r="R11318" s="14">
        <f>_xlfn.XLOOKUP(Table2[[#This Row],[LoanID]],Table1[G-L ID],Table1[ManagerCode],-99)</f>
        <v>183</v>
      </c>
    </row>
    <row r="11319" spans="1:18" x14ac:dyDescent="0.25">
      <c r="A11319">
        <v>20200731</v>
      </c>
      <c r="B11319">
        <v>2020</v>
      </c>
      <c r="C11319">
        <v>7</v>
      </c>
      <c r="D11319">
        <v>1</v>
      </c>
      <c r="E11319">
        <v>15440</v>
      </c>
      <c r="F11319">
        <v>54223.34</v>
      </c>
      <c r="G11319">
        <v>0</v>
      </c>
      <c r="H11319">
        <v>0</v>
      </c>
      <c r="I11319">
        <v>0</v>
      </c>
      <c r="J11319">
        <v>0</v>
      </c>
      <c r="K11319">
        <v>0</v>
      </c>
      <c r="L11319">
        <v>21297163.140000001</v>
      </c>
      <c r="M11319">
        <v>21277603.359999999</v>
      </c>
      <c r="N11319">
        <v>7322163.1399999997</v>
      </c>
      <c r="O11319">
        <v>7302603.3600000003</v>
      </c>
      <c r="P11319">
        <v>21500000</v>
      </c>
      <c r="Q11319">
        <v>21500000</v>
      </c>
      <c r="R11319" s="14">
        <f>_xlfn.XLOOKUP(Table2[[#This Row],[LoanID]],Table1[G-L ID],Table1[ManagerCode],-99)</f>
        <v>183</v>
      </c>
    </row>
    <row r="11320" spans="1:18" x14ac:dyDescent="0.25">
      <c r="A11320">
        <v>20200731</v>
      </c>
      <c r="B11320">
        <v>2020</v>
      </c>
      <c r="C11320">
        <v>7</v>
      </c>
      <c r="D11320">
        <v>1</v>
      </c>
      <c r="E11320">
        <v>15450</v>
      </c>
      <c r="F11320">
        <v>74890.66</v>
      </c>
      <c r="G11320">
        <v>0</v>
      </c>
      <c r="H11320">
        <v>0</v>
      </c>
      <c r="I11320">
        <v>0</v>
      </c>
      <c r="J11320">
        <v>0</v>
      </c>
      <c r="K11320">
        <v>0</v>
      </c>
      <c r="L11320">
        <v>29845741.899999999</v>
      </c>
      <c r="M11320">
        <v>29968506.940000001</v>
      </c>
      <c r="N11320">
        <v>10345741.9</v>
      </c>
      <c r="O11320">
        <v>10468506.939999999</v>
      </c>
      <c r="P11320">
        <v>30000000</v>
      </c>
      <c r="Q11320">
        <v>30000000</v>
      </c>
      <c r="R11320" s="14">
        <f>_xlfn.XLOOKUP(Table2[[#This Row],[LoanID]],Table1[G-L ID],Table1[ManagerCode],-99)</f>
        <v>183</v>
      </c>
    </row>
    <row r="11321" spans="1:18" x14ac:dyDescent="0.25">
      <c r="A11321">
        <v>20200731</v>
      </c>
      <c r="B11321">
        <v>2020</v>
      </c>
      <c r="C11321">
        <v>7</v>
      </c>
      <c r="D11321">
        <v>1</v>
      </c>
      <c r="E11321">
        <v>15460</v>
      </c>
      <c r="F11321">
        <v>173602.1</v>
      </c>
      <c r="G11321">
        <v>0</v>
      </c>
      <c r="H11321">
        <v>0</v>
      </c>
      <c r="I11321">
        <v>0</v>
      </c>
      <c r="J11321">
        <v>-407211.96</v>
      </c>
      <c r="K11321">
        <v>0</v>
      </c>
      <c r="L11321">
        <v>69936469.719999999</v>
      </c>
      <c r="M11321">
        <v>70457988.420000002</v>
      </c>
      <c r="N11321">
        <v>32177969.719999999</v>
      </c>
      <c r="O11321">
        <v>32699488.420000002</v>
      </c>
      <c r="P11321">
        <v>70463991.239999995</v>
      </c>
      <c r="Q11321">
        <v>70871203.200000003</v>
      </c>
      <c r="R11321" s="14">
        <f>_xlfn.XLOOKUP(Table2[[#This Row],[LoanID]],Table1[G-L ID],Table1[ManagerCode],-99)</f>
        <v>183</v>
      </c>
    </row>
    <row r="11322" spans="1:18" x14ac:dyDescent="0.25">
      <c r="A11322">
        <v>20200731</v>
      </c>
      <c r="B11322">
        <v>2020</v>
      </c>
      <c r="C11322">
        <v>7</v>
      </c>
      <c r="D11322">
        <v>1</v>
      </c>
      <c r="E11322">
        <v>15470</v>
      </c>
      <c r="F11322">
        <v>255030.25</v>
      </c>
      <c r="G11322">
        <v>0</v>
      </c>
      <c r="H11322">
        <v>0</v>
      </c>
      <c r="I11322">
        <v>0</v>
      </c>
      <c r="J11322">
        <v>0</v>
      </c>
      <c r="K11322">
        <v>23471014</v>
      </c>
      <c r="L11322">
        <v>84612280.040000007</v>
      </c>
      <c r="M11322">
        <v>84975921</v>
      </c>
      <c r="N11322">
        <v>84612280.040000007</v>
      </c>
      <c r="O11322">
        <v>61504907</v>
      </c>
      <c r="P11322">
        <v>85500000</v>
      </c>
      <c r="Q11322">
        <v>85500000</v>
      </c>
      <c r="R11322" s="14">
        <f>_xlfn.XLOOKUP(Table2[[#This Row],[LoanID]],Table1[G-L ID],Table1[ManagerCode],-99)</f>
        <v>183</v>
      </c>
    </row>
    <row r="11323" spans="1:18" x14ac:dyDescent="0.25">
      <c r="A11323">
        <v>20200731</v>
      </c>
      <c r="B11323">
        <v>2020</v>
      </c>
      <c r="C11323">
        <v>7</v>
      </c>
      <c r="D11323">
        <v>1</v>
      </c>
      <c r="E11323">
        <v>15480</v>
      </c>
      <c r="F11323">
        <v>163320.92000000001</v>
      </c>
      <c r="G11323">
        <v>0</v>
      </c>
      <c r="H11323">
        <v>0</v>
      </c>
      <c r="I11323">
        <v>0</v>
      </c>
      <c r="J11323">
        <v>0</v>
      </c>
      <c r="K11323">
        <v>0</v>
      </c>
      <c r="L11323">
        <v>67644295.269999996</v>
      </c>
      <c r="M11323">
        <v>67867419.040000007</v>
      </c>
      <c r="N11323">
        <v>19932295.27</v>
      </c>
      <c r="O11323">
        <v>20155419.039999999</v>
      </c>
      <c r="P11323">
        <v>68160000</v>
      </c>
      <c r="Q11323">
        <v>68160000</v>
      </c>
      <c r="R11323" s="14">
        <f>_xlfn.XLOOKUP(Table2[[#This Row],[LoanID]],Table1[G-L ID],Table1[ManagerCode],-99)</f>
        <v>183</v>
      </c>
    </row>
    <row r="11324" spans="1:18" x14ac:dyDescent="0.25">
      <c r="A11324">
        <v>20200731</v>
      </c>
      <c r="B11324">
        <v>2020</v>
      </c>
      <c r="C11324">
        <v>7</v>
      </c>
      <c r="D11324">
        <v>1</v>
      </c>
      <c r="E11324">
        <v>15490</v>
      </c>
      <c r="F11324">
        <v>150209.76</v>
      </c>
      <c r="G11324">
        <v>0</v>
      </c>
      <c r="H11324">
        <v>0</v>
      </c>
      <c r="I11324">
        <v>0</v>
      </c>
      <c r="J11324">
        <v>-801037.54</v>
      </c>
      <c r="K11324">
        <v>0</v>
      </c>
      <c r="L11324">
        <v>56485768.829999998</v>
      </c>
      <c r="M11324">
        <v>57520122.329999998</v>
      </c>
      <c r="N11324">
        <v>19598268.829999998</v>
      </c>
      <c r="O11324">
        <v>20632622.329999998</v>
      </c>
      <c r="P11324">
        <v>56750000</v>
      </c>
      <c r="Q11324">
        <v>57551037.539999999</v>
      </c>
      <c r="R11324" s="14">
        <f>_xlfn.XLOOKUP(Table2[[#This Row],[LoanID]],Table1[G-L ID],Table1[ManagerCode],-99)</f>
        <v>183</v>
      </c>
    </row>
    <row r="11325" spans="1:18" x14ac:dyDescent="0.25">
      <c r="A11325">
        <v>20200731</v>
      </c>
      <c r="B11325">
        <v>2020</v>
      </c>
      <c r="C11325">
        <v>7</v>
      </c>
      <c r="D11325">
        <v>1</v>
      </c>
      <c r="E11325">
        <v>15500</v>
      </c>
      <c r="F11325">
        <v>127824.64</v>
      </c>
      <c r="G11325">
        <v>0</v>
      </c>
      <c r="H11325">
        <v>0</v>
      </c>
      <c r="I11325">
        <v>0</v>
      </c>
      <c r="J11325">
        <v>0</v>
      </c>
      <c r="K11325">
        <v>0</v>
      </c>
      <c r="L11325">
        <v>50709197.119999997</v>
      </c>
      <c r="M11325">
        <v>51009095.609999999</v>
      </c>
      <c r="N11325">
        <v>17645086.34</v>
      </c>
      <c r="O11325">
        <v>17944984.829999998</v>
      </c>
      <c r="P11325">
        <v>51250000</v>
      </c>
      <c r="Q11325">
        <v>51250000</v>
      </c>
      <c r="R11325" s="14">
        <f>_xlfn.XLOOKUP(Table2[[#This Row],[LoanID]],Table1[G-L ID],Table1[ManagerCode],-99)</f>
        <v>183</v>
      </c>
    </row>
    <row r="11326" spans="1:18" x14ac:dyDescent="0.25">
      <c r="A11326">
        <v>20200731</v>
      </c>
      <c r="B11326">
        <v>2020</v>
      </c>
      <c r="C11326">
        <v>7</v>
      </c>
      <c r="D11326">
        <v>1</v>
      </c>
      <c r="E11326">
        <v>15510</v>
      </c>
      <c r="F11326">
        <v>471225.18</v>
      </c>
      <c r="G11326">
        <v>0</v>
      </c>
      <c r="H11326">
        <v>0</v>
      </c>
      <c r="I11326">
        <v>0</v>
      </c>
      <c r="J11326">
        <v>0</v>
      </c>
      <c r="K11326">
        <v>0</v>
      </c>
      <c r="L11326">
        <v>192988673.30000001</v>
      </c>
      <c r="M11326">
        <v>193050191.19999999</v>
      </c>
      <c r="N11326">
        <v>56188673.299999997</v>
      </c>
      <c r="O11326">
        <v>56250191.200000003</v>
      </c>
      <c r="P11326">
        <v>193801840.09999999</v>
      </c>
      <c r="Q11326">
        <v>193801840.09999999</v>
      </c>
      <c r="R11326" s="14">
        <f>_xlfn.XLOOKUP(Table2[[#This Row],[LoanID]],Table1[G-L ID],Table1[ManagerCode],-99)</f>
        <v>183</v>
      </c>
    </row>
    <row r="11327" spans="1:18" x14ac:dyDescent="0.25">
      <c r="A11327">
        <v>20200731</v>
      </c>
      <c r="B11327">
        <v>2020</v>
      </c>
      <c r="C11327">
        <v>7</v>
      </c>
      <c r="D11327">
        <v>1</v>
      </c>
      <c r="E11327">
        <v>15520</v>
      </c>
      <c r="F11327">
        <v>182637.4</v>
      </c>
      <c r="G11327">
        <v>0</v>
      </c>
      <c r="H11327">
        <v>0</v>
      </c>
      <c r="I11327">
        <v>0</v>
      </c>
      <c r="J11327">
        <v>-1347706.12</v>
      </c>
      <c r="K11327">
        <v>808623.67</v>
      </c>
      <c r="L11327">
        <v>57067202.329999998</v>
      </c>
      <c r="M11327">
        <v>58414908.450000003</v>
      </c>
      <c r="N11327">
        <v>22656880.93</v>
      </c>
      <c r="O11327">
        <v>23195963.379999999</v>
      </c>
      <c r="P11327">
        <v>57067202.329999998</v>
      </c>
      <c r="Q11327">
        <v>58414908.450000003</v>
      </c>
      <c r="R11327" s="14">
        <f>_xlfn.XLOOKUP(Table2[[#This Row],[LoanID]],Table1[G-L ID],Table1[ManagerCode],-99)</f>
        <v>183</v>
      </c>
    </row>
    <row r="11328" spans="1:18" x14ac:dyDescent="0.25">
      <c r="A11328">
        <v>20200731</v>
      </c>
      <c r="B11328">
        <v>2020</v>
      </c>
      <c r="C11328">
        <v>7</v>
      </c>
      <c r="D11328">
        <v>1</v>
      </c>
      <c r="E11328">
        <v>15530</v>
      </c>
      <c r="F11328">
        <v>0</v>
      </c>
      <c r="G11328">
        <v>242708.11</v>
      </c>
      <c r="H11328">
        <v>0</v>
      </c>
      <c r="I11328">
        <v>0</v>
      </c>
      <c r="J11328">
        <v>0</v>
      </c>
      <c r="K11328">
        <v>0</v>
      </c>
      <c r="L11328">
        <v>30900574.469999999</v>
      </c>
      <c r="M11328">
        <v>31143282.579999998</v>
      </c>
      <c r="N11328">
        <v>30900574.469999999</v>
      </c>
      <c r="O11328">
        <v>31143282.579999998</v>
      </c>
      <c r="P11328">
        <v>30900574.469999999</v>
      </c>
      <c r="Q11328">
        <v>31143282.579999998</v>
      </c>
      <c r="R11328" s="14">
        <f>_xlfn.XLOOKUP(Table2[[#This Row],[LoanID]],Table1[G-L ID],Table1[ManagerCode],-99)</f>
        <v>183</v>
      </c>
    </row>
    <row r="11329" spans="1:18" x14ac:dyDescent="0.25">
      <c r="A11329">
        <v>20200731</v>
      </c>
      <c r="B11329">
        <v>2020</v>
      </c>
      <c r="C11329">
        <v>7</v>
      </c>
      <c r="D11329">
        <v>1</v>
      </c>
      <c r="E11329">
        <v>15540</v>
      </c>
      <c r="F11329">
        <v>204669.97</v>
      </c>
      <c r="G11329">
        <v>6702.56</v>
      </c>
      <c r="H11329">
        <v>0</v>
      </c>
      <c r="I11329">
        <v>-2988.76</v>
      </c>
      <c r="J11329">
        <v>0</v>
      </c>
      <c r="K11329">
        <v>0</v>
      </c>
      <c r="L11329">
        <v>72041036.060000002</v>
      </c>
      <c r="M11329">
        <v>72047738.620000005</v>
      </c>
      <c r="N11329">
        <v>72041036.060000002</v>
      </c>
      <c r="O11329">
        <v>72047738.620000005</v>
      </c>
      <c r="P11329">
        <v>72041036.060000002</v>
      </c>
      <c r="Q11329">
        <v>72047738.620000005</v>
      </c>
      <c r="R11329" s="14">
        <f>_xlfn.XLOOKUP(Table2[[#This Row],[LoanID]],Table1[G-L ID],Table1[ManagerCode],-99)</f>
        <v>212</v>
      </c>
    </row>
    <row r="11330" spans="1:18" x14ac:dyDescent="0.25">
      <c r="A11330">
        <v>20200731</v>
      </c>
      <c r="B11330">
        <v>2020</v>
      </c>
      <c r="C11330">
        <v>7</v>
      </c>
      <c r="D11330">
        <v>1</v>
      </c>
      <c r="E11330">
        <v>15550</v>
      </c>
      <c r="F11330">
        <v>145704.17000000001</v>
      </c>
      <c r="G11330">
        <v>4856.8</v>
      </c>
      <c r="H11330">
        <v>0</v>
      </c>
      <c r="I11330">
        <v>-1324.58</v>
      </c>
      <c r="J11330">
        <v>0</v>
      </c>
      <c r="K11330">
        <v>0</v>
      </c>
      <c r="L11330">
        <v>31935704.170000002</v>
      </c>
      <c r="M11330">
        <v>31940560.969999999</v>
      </c>
      <c r="N11330">
        <v>31935704.170000002</v>
      </c>
      <c r="O11330">
        <v>31940560.969999999</v>
      </c>
      <c r="P11330">
        <v>31935704.170000002</v>
      </c>
      <c r="Q11330">
        <v>31940560.969999999</v>
      </c>
      <c r="R11330" s="14">
        <f>_xlfn.XLOOKUP(Table2[[#This Row],[LoanID]],Table1[G-L ID],Table1[ManagerCode],-99)</f>
        <v>212</v>
      </c>
    </row>
    <row r="11331" spans="1:18" x14ac:dyDescent="0.25">
      <c r="A11331">
        <v>20200731</v>
      </c>
      <c r="B11331">
        <v>2020</v>
      </c>
      <c r="C11331">
        <v>7</v>
      </c>
      <c r="D11331">
        <v>1</v>
      </c>
      <c r="E11331">
        <v>15560</v>
      </c>
      <c r="F11331">
        <v>183780.17</v>
      </c>
      <c r="G11331">
        <v>5898.87</v>
      </c>
      <c r="H11331">
        <v>0</v>
      </c>
      <c r="I11331">
        <v>0</v>
      </c>
      <c r="J11331">
        <v>0</v>
      </c>
      <c r="K11331">
        <v>0</v>
      </c>
      <c r="L11331">
        <v>48197516.090000004</v>
      </c>
      <c r="M11331">
        <v>48203414.960000001</v>
      </c>
      <c r="N11331">
        <v>48197516.090000004</v>
      </c>
      <c r="O11331">
        <v>48203414.960000001</v>
      </c>
      <c r="P11331">
        <v>48197516.090000004</v>
      </c>
      <c r="Q11331">
        <v>48203414.960000001</v>
      </c>
      <c r="R11331" s="14">
        <f>_xlfn.XLOOKUP(Table2[[#This Row],[LoanID]],Table1[G-L ID],Table1[ManagerCode],-99)</f>
        <v>212</v>
      </c>
    </row>
    <row r="11332" spans="1:18" x14ac:dyDescent="0.25">
      <c r="A11332">
        <v>20200731</v>
      </c>
      <c r="B11332">
        <v>2020</v>
      </c>
      <c r="C11332">
        <v>7</v>
      </c>
      <c r="D11332">
        <v>1</v>
      </c>
      <c r="E11332">
        <v>15570</v>
      </c>
      <c r="F11332">
        <v>119540.68</v>
      </c>
      <c r="G11332">
        <v>3757.03</v>
      </c>
      <c r="H11332">
        <v>0</v>
      </c>
      <c r="I11332">
        <v>0</v>
      </c>
      <c r="J11332">
        <v>0</v>
      </c>
      <c r="K11332">
        <v>0</v>
      </c>
      <c r="L11332">
        <v>26556844.68</v>
      </c>
      <c r="M11332">
        <v>26560601.710000001</v>
      </c>
      <c r="N11332">
        <v>26556844.68</v>
      </c>
      <c r="O11332">
        <v>26560601.710000001</v>
      </c>
      <c r="P11332">
        <v>26556844.68</v>
      </c>
      <c r="Q11332">
        <v>26560601.710000001</v>
      </c>
      <c r="R11332" s="14">
        <f>_xlfn.XLOOKUP(Table2[[#This Row],[LoanID]],Table1[G-L ID],Table1[ManagerCode],-99)</f>
        <v>212</v>
      </c>
    </row>
    <row r="11333" spans="1:18" x14ac:dyDescent="0.25">
      <c r="A11333">
        <v>20200731</v>
      </c>
      <c r="B11333">
        <v>2020</v>
      </c>
      <c r="C11333">
        <v>7</v>
      </c>
      <c r="D11333">
        <v>1</v>
      </c>
      <c r="E11333">
        <v>15580</v>
      </c>
      <c r="F11333">
        <v>110202.3</v>
      </c>
      <c r="G11333">
        <v>3568.27</v>
      </c>
      <c r="H11333">
        <v>0</v>
      </c>
      <c r="I11333">
        <v>0</v>
      </c>
      <c r="J11333">
        <v>0</v>
      </c>
      <c r="K11333">
        <v>13199.01</v>
      </c>
      <c r="L11333">
        <v>14406716.279999999</v>
      </c>
      <c r="M11333">
        <v>14397085.539999999</v>
      </c>
      <c r="N11333">
        <v>14406716.279999999</v>
      </c>
      <c r="O11333">
        <v>14397085.539999999</v>
      </c>
      <c r="P11333">
        <v>14406716.279999999</v>
      </c>
      <c r="Q11333">
        <v>14397085.539999999</v>
      </c>
      <c r="R11333" s="14">
        <f>_xlfn.XLOOKUP(Table2[[#This Row],[LoanID]],Table1[G-L ID],Table1[ManagerCode],-99)</f>
        <v>212</v>
      </c>
    </row>
    <row r="11334" spans="1:18" x14ac:dyDescent="0.25">
      <c r="A11334">
        <v>20200731</v>
      </c>
      <c r="B11334">
        <v>2020</v>
      </c>
      <c r="C11334">
        <v>7</v>
      </c>
      <c r="D11334">
        <v>1</v>
      </c>
      <c r="E11334">
        <v>15590</v>
      </c>
      <c r="F11334">
        <v>210697.73</v>
      </c>
      <c r="G11334">
        <v>6394.52</v>
      </c>
      <c r="H11334">
        <v>0</v>
      </c>
      <c r="I11334">
        <v>-4346.08</v>
      </c>
      <c r="J11334">
        <v>0</v>
      </c>
      <c r="K11334">
        <v>0</v>
      </c>
      <c r="L11334">
        <v>104516502.5</v>
      </c>
      <c r="M11334">
        <v>104522897</v>
      </c>
      <c r="N11334">
        <v>104516502.5</v>
      </c>
      <c r="O11334">
        <v>104522897</v>
      </c>
      <c r="P11334">
        <v>104516502.5</v>
      </c>
      <c r="Q11334">
        <v>104522897</v>
      </c>
      <c r="R11334" s="14">
        <f>_xlfn.XLOOKUP(Table2[[#This Row],[LoanID]],Table1[G-L ID],Table1[ManagerCode],-99)</f>
        <v>212</v>
      </c>
    </row>
    <row r="11335" spans="1:18" x14ac:dyDescent="0.25">
      <c r="A11335">
        <v>20200731</v>
      </c>
      <c r="B11335">
        <v>2020</v>
      </c>
      <c r="C11335">
        <v>7</v>
      </c>
      <c r="D11335">
        <v>1</v>
      </c>
      <c r="E11335">
        <v>15600</v>
      </c>
      <c r="F11335">
        <v>353215.79</v>
      </c>
      <c r="G11335">
        <v>11985.78</v>
      </c>
      <c r="H11335">
        <v>0</v>
      </c>
      <c r="I11335">
        <v>-7599.31</v>
      </c>
      <c r="J11335">
        <v>0</v>
      </c>
      <c r="K11335">
        <v>0</v>
      </c>
      <c r="L11335">
        <v>183631110.80000001</v>
      </c>
      <c r="M11335">
        <v>183643096.59999999</v>
      </c>
      <c r="N11335">
        <v>183631110.80000001</v>
      </c>
      <c r="O11335">
        <v>183643096.59999999</v>
      </c>
      <c r="P11335">
        <v>183631110.80000001</v>
      </c>
      <c r="Q11335">
        <v>183643096.59999999</v>
      </c>
      <c r="R11335" s="14">
        <f>_xlfn.XLOOKUP(Table2[[#This Row],[LoanID]],Table1[G-L ID],Table1[ManagerCode],-99)</f>
        <v>212</v>
      </c>
    </row>
    <row r="11336" spans="1:18" x14ac:dyDescent="0.25">
      <c r="A11336">
        <v>20200731</v>
      </c>
      <c r="B11336">
        <v>2020</v>
      </c>
      <c r="C11336">
        <v>7</v>
      </c>
      <c r="D11336">
        <v>1</v>
      </c>
      <c r="E11336">
        <v>15610</v>
      </c>
      <c r="F11336">
        <v>561374.46</v>
      </c>
      <c r="G11336">
        <v>17323.77</v>
      </c>
      <c r="H11336">
        <v>0</v>
      </c>
      <c r="I11336">
        <v>-9599.43</v>
      </c>
      <c r="J11336">
        <v>0</v>
      </c>
      <c r="K11336">
        <v>0</v>
      </c>
      <c r="L11336">
        <v>230947610.69999999</v>
      </c>
      <c r="M11336">
        <v>230964934.5</v>
      </c>
      <c r="N11336">
        <v>230947610.69999999</v>
      </c>
      <c r="O11336">
        <v>230964934.5</v>
      </c>
      <c r="P11336">
        <v>230947610.69999999</v>
      </c>
      <c r="Q11336">
        <v>230964934.5</v>
      </c>
      <c r="R11336" s="14">
        <f>_xlfn.XLOOKUP(Table2[[#This Row],[LoanID]],Table1[G-L ID],Table1[ManagerCode],-99)</f>
        <v>212</v>
      </c>
    </row>
    <row r="11337" spans="1:18" x14ac:dyDescent="0.25">
      <c r="A11337">
        <v>20200731</v>
      </c>
      <c r="B11337">
        <v>2020</v>
      </c>
      <c r="C11337">
        <v>7</v>
      </c>
      <c r="D11337">
        <v>1</v>
      </c>
      <c r="E11337">
        <v>15620</v>
      </c>
      <c r="F11337">
        <v>199370.65</v>
      </c>
      <c r="G11337">
        <v>6168.8</v>
      </c>
      <c r="H11337">
        <v>0</v>
      </c>
      <c r="I11337">
        <v>-3296.47</v>
      </c>
      <c r="J11337">
        <v>0</v>
      </c>
      <c r="K11337">
        <v>0</v>
      </c>
      <c r="L11337">
        <v>79314708.060000002</v>
      </c>
      <c r="M11337">
        <v>79320876.859999999</v>
      </c>
      <c r="N11337">
        <v>79314708.060000002</v>
      </c>
      <c r="O11337">
        <v>79320876.859999999</v>
      </c>
      <c r="P11337">
        <v>79314708.060000002</v>
      </c>
      <c r="Q11337">
        <v>79320876.859999999</v>
      </c>
      <c r="R11337" s="14">
        <f>_xlfn.XLOOKUP(Table2[[#This Row],[LoanID]],Table1[G-L ID],Table1[ManagerCode],-99)</f>
        <v>212</v>
      </c>
    </row>
    <row r="11338" spans="1:18" x14ac:dyDescent="0.25">
      <c r="A11338">
        <v>20200731</v>
      </c>
      <c r="B11338">
        <v>2020</v>
      </c>
      <c r="C11338">
        <v>7</v>
      </c>
      <c r="D11338">
        <v>1</v>
      </c>
      <c r="E11338">
        <v>15630</v>
      </c>
      <c r="F11338">
        <v>407260.94</v>
      </c>
      <c r="G11338">
        <v>12508.44</v>
      </c>
      <c r="H11338">
        <v>0</v>
      </c>
      <c r="I11338">
        <v>-7475.05</v>
      </c>
      <c r="J11338">
        <v>-964495.63</v>
      </c>
      <c r="K11338">
        <v>0</v>
      </c>
      <c r="L11338">
        <v>179617590.90000001</v>
      </c>
      <c r="M11338">
        <v>180594595</v>
      </c>
      <c r="N11338">
        <v>179617590.90000001</v>
      </c>
      <c r="O11338">
        <v>180594595</v>
      </c>
      <c r="P11338">
        <v>179617590.90000001</v>
      </c>
      <c r="Q11338">
        <v>180594595</v>
      </c>
      <c r="R11338" s="14">
        <f>_xlfn.XLOOKUP(Table2[[#This Row],[LoanID]],Table1[G-L ID],Table1[ManagerCode],-99)</f>
        <v>212</v>
      </c>
    </row>
    <row r="11339" spans="1:18" x14ac:dyDescent="0.25">
      <c r="A11339">
        <v>20200731</v>
      </c>
      <c r="B11339">
        <v>2020</v>
      </c>
      <c r="C11339">
        <v>7</v>
      </c>
      <c r="D11339">
        <v>1</v>
      </c>
      <c r="E11339">
        <v>15640</v>
      </c>
      <c r="F11339">
        <v>96285.1</v>
      </c>
      <c r="G11339">
        <v>0</v>
      </c>
      <c r="H11339">
        <v>0</v>
      </c>
      <c r="I11339">
        <v>0</v>
      </c>
      <c r="J11339">
        <v>0</v>
      </c>
      <c r="K11339">
        <v>0</v>
      </c>
      <c r="L11339">
        <v>41654862.710000001</v>
      </c>
      <c r="M11339">
        <v>41899915.020000003</v>
      </c>
      <c r="N11339">
        <v>14354862.710000001</v>
      </c>
      <c r="O11339">
        <v>14599915.02</v>
      </c>
      <c r="P11339">
        <v>42000000</v>
      </c>
      <c r="Q11339">
        <v>42000000</v>
      </c>
      <c r="R11339" s="14">
        <f>_xlfn.XLOOKUP(Table2[[#This Row],[LoanID]],Table1[G-L ID],Table1[ManagerCode],-99)</f>
        <v>183</v>
      </c>
    </row>
    <row r="11340" spans="1:18" x14ac:dyDescent="0.25">
      <c r="A11340">
        <v>20200731</v>
      </c>
      <c r="B11340">
        <v>2020</v>
      </c>
      <c r="C11340">
        <v>7</v>
      </c>
      <c r="D11340">
        <v>1</v>
      </c>
      <c r="E11340">
        <v>15650</v>
      </c>
      <c r="F11340">
        <v>56384.480000000003</v>
      </c>
      <c r="G11340">
        <v>0</v>
      </c>
      <c r="H11340">
        <v>0</v>
      </c>
      <c r="I11340">
        <v>0</v>
      </c>
      <c r="J11340">
        <v>-52948.07</v>
      </c>
      <c r="K11340">
        <v>0</v>
      </c>
      <c r="L11340">
        <v>14236455.720000001</v>
      </c>
      <c r="M11340">
        <v>14308961.23</v>
      </c>
      <c r="N11340">
        <v>14236455.720000001</v>
      </c>
      <c r="O11340">
        <v>14308961.23</v>
      </c>
      <c r="P11340">
        <v>14196934.43</v>
      </c>
      <c r="Q11340">
        <v>14249882.5</v>
      </c>
      <c r="R11340" s="14">
        <f>_xlfn.XLOOKUP(Table2[[#This Row],[LoanID]],Table1[G-L ID],Table1[ManagerCode],-99)</f>
        <v>183</v>
      </c>
    </row>
    <row r="11341" spans="1:18" x14ac:dyDescent="0.25">
      <c r="A11341">
        <v>20200731</v>
      </c>
      <c r="B11341">
        <v>2020</v>
      </c>
      <c r="C11341">
        <v>7</v>
      </c>
      <c r="D11341">
        <v>1</v>
      </c>
      <c r="E11341">
        <v>15660</v>
      </c>
      <c r="F11341">
        <v>110614.42</v>
      </c>
      <c r="G11341">
        <v>0</v>
      </c>
      <c r="H11341">
        <v>0</v>
      </c>
      <c r="I11341">
        <v>0</v>
      </c>
      <c r="J11341">
        <v>0</v>
      </c>
      <c r="K11341">
        <v>0</v>
      </c>
      <c r="L11341">
        <v>40000000</v>
      </c>
      <c r="M11341">
        <v>40000000</v>
      </c>
      <c r="N11341">
        <v>20000000</v>
      </c>
      <c r="O11341">
        <v>20000000</v>
      </c>
      <c r="P11341">
        <v>40000000</v>
      </c>
      <c r="Q11341">
        <v>40000000</v>
      </c>
      <c r="R11341" s="14">
        <f>_xlfn.XLOOKUP(Table2[[#This Row],[LoanID]],Table1[G-L ID],Table1[ManagerCode],-99)</f>
        <v>183</v>
      </c>
    </row>
    <row r="11342" spans="1:18" x14ac:dyDescent="0.25">
      <c r="A11342">
        <v>20200731</v>
      </c>
      <c r="B11342">
        <v>2020</v>
      </c>
      <c r="C11342">
        <v>7</v>
      </c>
      <c r="D11342">
        <v>1</v>
      </c>
      <c r="E11342">
        <v>15670</v>
      </c>
      <c r="F11342">
        <v>51479.17</v>
      </c>
      <c r="G11342">
        <v>0</v>
      </c>
      <c r="H11342">
        <v>0</v>
      </c>
      <c r="I11342">
        <v>0</v>
      </c>
      <c r="J11342">
        <v>0</v>
      </c>
      <c r="K11342">
        <v>0</v>
      </c>
      <c r="L11342">
        <v>17383785</v>
      </c>
      <c r="M11342">
        <v>17437580</v>
      </c>
      <c r="N11342">
        <v>17383785</v>
      </c>
      <c r="O11342">
        <v>17437580</v>
      </c>
      <c r="P11342">
        <v>17650000</v>
      </c>
      <c r="Q11342">
        <v>17650000</v>
      </c>
      <c r="R11342" s="14">
        <f>_xlfn.XLOOKUP(Table2[[#This Row],[LoanID]],Table1[G-L ID],Table1[ManagerCode],-99)</f>
        <v>103</v>
      </c>
    </row>
    <row r="11343" spans="1:18" x14ac:dyDescent="0.25">
      <c r="A11343">
        <v>20200731</v>
      </c>
      <c r="B11343">
        <v>2020</v>
      </c>
      <c r="C11343">
        <v>7</v>
      </c>
      <c r="D11343">
        <v>1</v>
      </c>
      <c r="E11343">
        <v>15680</v>
      </c>
      <c r="F11343">
        <v>423962.5</v>
      </c>
      <c r="G11343">
        <v>0</v>
      </c>
      <c r="H11343">
        <v>0</v>
      </c>
      <c r="I11343">
        <v>0</v>
      </c>
      <c r="J11343">
        <v>0</v>
      </c>
      <c r="K11343">
        <v>0</v>
      </c>
      <c r="L11343">
        <v>65000000</v>
      </c>
      <c r="M11343">
        <v>64350000</v>
      </c>
      <c r="N11343">
        <v>65000000</v>
      </c>
      <c r="O11343">
        <v>64350000</v>
      </c>
      <c r="P11343">
        <v>65000000</v>
      </c>
      <c r="Q11343">
        <v>65000000</v>
      </c>
      <c r="R11343" s="14">
        <f>_xlfn.XLOOKUP(Table2[[#This Row],[LoanID]],Table1[G-L ID],Table1[ManagerCode],-99)</f>
        <v>103</v>
      </c>
    </row>
    <row r="11344" spans="1:18" x14ac:dyDescent="0.25">
      <c r="A11344">
        <v>20200731</v>
      </c>
      <c r="B11344">
        <v>2020</v>
      </c>
      <c r="C11344">
        <v>7</v>
      </c>
      <c r="D11344">
        <v>1</v>
      </c>
      <c r="E11344">
        <v>15690</v>
      </c>
      <c r="F11344">
        <v>106099.12</v>
      </c>
      <c r="G11344">
        <v>0</v>
      </c>
      <c r="H11344">
        <v>0</v>
      </c>
      <c r="I11344">
        <v>0</v>
      </c>
      <c r="J11344">
        <v>0</v>
      </c>
      <c r="K11344">
        <v>0</v>
      </c>
      <c r="L11344">
        <v>13793129</v>
      </c>
      <c r="M11344">
        <v>13793129</v>
      </c>
      <c r="N11344">
        <v>13793129</v>
      </c>
      <c r="O11344">
        <v>13793129</v>
      </c>
      <c r="P11344">
        <v>14495516</v>
      </c>
      <c r="Q11344">
        <v>14495516</v>
      </c>
      <c r="R11344" s="14">
        <f>_xlfn.XLOOKUP(Table2[[#This Row],[LoanID]],Table1[G-L ID],Table1[ManagerCode],-99)</f>
        <v>193</v>
      </c>
    </row>
    <row r="11345" spans="1:18" x14ac:dyDescent="0.25">
      <c r="A11345">
        <v>20200731</v>
      </c>
      <c r="B11345">
        <v>2020</v>
      </c>
      <c r="C11345">
        <v>7</v>
      </c>
      <c r="D11345">
        <v>1</v>
      </c>
      <c r="E11345">
        <v>15700</v>
      </c>
      <c r="F11345">
        <v>233576.39</v>
      </c>
      <c r="G11345">
        <v>0</v>
      </c>
      <c r="H11345">
        <v>0</v>
      </c>
      <c r="I11345">
        <v>0</v>
      </c>
      <c r="J11345">
        <v>0</v>
      </c>
      <c r="K11345">
        <v>0</v>
      </c>
      <c r="L11345">
        <v>35000000</v>
      </c>
      <c r="M11345">
        <v>35000000</v>
      </c>
      <c r="N11345">
        <v>35000000</v>
      </c>
      <c r="O11345">
        <v>35000000</v>
      </c>
      <c r="P11345">
        <v>35000000</v>
      </c>
      <c r="Q11345">
        <v>35000000</v>
      </c>
      <c r="R11345" s="14">
        <f>_xlfn.XLOOKUP(Table2[[#This Row],[LoanID]],Table1[G-L ID],Table1[ManagerCode],-99)</f>
        <v>193</v>
      </c>
    </row>
    <row r="11346" spans="1:18" x14ac:dyDescent="0.25">
      <c r="A11346">
        <v>20200731</v>
      </c>
      <c r="B11346">
        <v>2020</v>
      </c>
      <c r="C11346">
        <v>7</v>
      </c>
      <c r="D11346">
        <v>1</v>
      </c>
      <c r="E11346">
        <v>15710</v>
      </c>
      <c r="F11346">
        <v>314530.7</v>
      </c>
      <c r="G11346">
        <v>0</v>
      </c>
      <c r="H11346">
        <v>0</v>
      </c>
      <c r="I11346">
        <v>0</v>
      </c>
      <c r="J11346">
        <v>-173312.99</v>
      </c>
      <c r="K11346">
        <v>0</v>
      </c>
      <c r="L11346">
        <v>73592242.799999997</v>
      </c>
      <c r="M11346">
        <v>73765555.790000007</v>
      </c>
      <c r="N11346">
        <v>73592242.799999997</v>
      </c>
      <c r="O11346">
        <v>73765555.790000007</v>
      </c>
      <c r="P11346">
        <v>73592242.799999997</v>
      </c>
      <c r="Q11346">
        <v>73765555.790000007</v>
      </c>
      <c r="R11346" s="14">
        <f>_xlfn.XLOOKUP(Table2[[#This Row],[LoanID]],Table1[G-L ID],Table1[ManagerCode],-99)</f>
        <v>193</v>
      </c>
    </row>
    <row r="11347" spans="1:18" x14ac:dyDescent="0.25">
      <c r="A11347">
        <v>20200731</v>
      </c>
      <c r="B11347">
        <v>2020</v>
      </c>
      <c r="C11347">
        <v>7</v>
      </c>
      <c r="D11347">
        <v>1</v>
      </c>
      <c r="E11347">
        <v>15720</v>
      </c>
      <c r="F11347">
        <v>0</v>
      </c>
      <c r="G11347">
        <v>163395.57</v>
      </c>
      <c r="H11347">
        <v>0</v>
      </c>
      <c r="I11347">
        <v>0</v>
      </c>
      <c r="J11347">
        <v>0</v>
      </c>
      <c r="K11347">
        <v>0</v>
      </c>
      <c r="L11347">
        <v>22299097.879999999</v>
      </c>
      <c r="M11347">
        <v>22462493.449999999</v>
      </c>
      <c r="N11347">
        <v>22299097.879999999</v>
      </c>
      <c r="O11347">
        <v>22462493.449999999</v>
      </c>
      <c r="P11347">
        <v>22299097.879999999</v>
      </c>
      <c r="Q11347">
        <v>22462493.449999999</v>
      </c>
      <c r="R11347" s="14">
        <f>_xlfn.XLOOKUP(Table2[[#This Row],[LoanID]],Table1[G-L ID],Table1[ManagerCode],-99)</f>
        <v>193</v>
      </c>
    </row>
    <row r="11348" spans="1:18" x14ac:dyDescent="0.25">
      <c r="A11348">
        <v>20200731</v>
      </c>
      <c r="B11348">
        <v>2020</v>
      </c>
      <c r="C11348">
        <v>7</v>
      </c>
      <c r="D11348">
        <v>1</v>
      </c>
      <c r="E11348">
        <v>15730</v>
      </c>
      <c r="F11348">
        <v>123163.72</v>
      </c>
      <c r="G11348">
        <v>0</v>
      </c>
      <c r="H11348">
        <v>0</v>
      </c>
      <c r="I11348">
        <v>0</v>
      </c>
      <c r="J11348">
        <v>0</v>
      </c>
      <c r="K11348">
        <v>0</v>
      </c>
      <c r="L11348">
        <v>19070511.109999999</v>
      </c>
      <c r="M11348">
        <v>19070511.109999999</v>
      </c>
      <c r="N11348">
        <v>19070511.109999999</v>
      </c>
      <c r="O11348">
        <v>19070511.109999999</v>
      </c>
      <c r="P11348">
        <v>19070511.109999999</v>
      </c>
      <c r="Q11348">
        <v>19070511.109999999</v>
      </c>
      <c r="R11348" s="14">
        <f>_xlfn.XLOOKUP(Table2[[#This Row],[LoanID]],Table1[G-L ID],Table1[ManagerCode],-99)</f>
        <v>193</v>
      </c>
    </row>
    <row r="11349" spans="1:18" x14ac:dyDescent="0.25">
      <c r="A11349">
        <v>20200731</v>
      </c>
      <c r="B11349">
        <v>2020</v>
      </c>
      <c r="C11349">
        <v>7</v>
      </c>
      <c r="D11349">
        <v>1</v>
      </c>
      <c r="E11349">
        <v>15740</v>
      </c>
      <c r="F11349">
        <v>335500</v>
      </c>
      <c r="G11349">
        <v>0</v>
      </c>
      <c r="H11349">
        <v>0</v>
      </c>
      <c r="I11349">
        <v>0</v>
      </c>
      <c r="J11349">
        <v>0</v>
      </c>
      <c r="K11349">
        <v>0</v>
      </c>
      <c r="L11349">
        <v>60000000</v>
      </c>
      <c r="M11349">
        <v>60000000</v>
      </c>
      <c r="N11349">
        <v>60000000</v>
      </c>
      <c r="O11349">
        <v>60000000</v>
      </c>
      <c r="P11349">
        <v>60000000</v>
      </c>
      <c r="Q11349">
        <v>60000000</v>
      </c>
      <c r="R11349" s="14">
        <f>_xlfn.XLOOKUP(Table2[[#This Row],[LoanID]],Table1[G-L ID],Table1[ManagerCode],-99)</f>
        <v>193</v>
      </c>
    </row>
    <row r="11350" spans="1:18" x14ac:dyDescent="0.25">
      <c r="A11350">
        <v>20200731</v>
      </c>
      <c r="B11350">
        <v>2020</v>
      </c>
      <c r="C11350">
        <v>7</v>
      </c>
      <c r="D11350">
        <v>1</v>
      </c>
      <c r="E11350">
        <v>15750</v>
      </c>
      <c r="F11350">
        <v>156618.46</v>
      </c>
      <c r="G11350">
        <v>0</v>
      </c>
      <c r="H11350">
        <v>0</v>
      </c>
      <c r="I11350">
        <v>0</v>
      </c>
      <c r="J11350">
        <v>0</v>
      </c>
      <c r="K11350">
        <v>0</v>
      </c>
      <c r="L11350">
        <v>36500000</v>
      </c>
      <c r="M11350">
        <v>36500000</v>
      </c>
      <c r="N11350">
        <v>36500000</v>
      </c>
      <c r="O11350">
        <v>36500000</v>
      </c>
      <c r="P11350">
        <v>36500000</v>
      </c>
      <c r="Q11350">
        <v>36500000</v>
      </c>
      <c r="R11350" s="14">
        <f>_xlfn.XLOOKUP(Table2[[#This Row],[LoanID]],Table1[G-L ID],Table1[ManagerCode],-99)</f>
        <v>193</v>
      </c>
    </row>
    <row r="11351" spans="1:18" x14ac:dyDescent="0.25">
      <c r="A11351">
        <v>20200731</v>
      </c>
      <c r="B11351">
        <v>2020</v>
      </c>
      <c r="C11351">
        <v>7</v>
      </c>
      <c r="D11351">
        <v>1</v>
      </c>
      <c r="E11351">
        <v>15760</v>
      </c>
      <c r="F11351">
        <v>235137.15</v>
      </c>
      <c r="G11351">
        <v>0</v>
      </c>
      <c r="H11351">
        <v>0</v>
      </c>
      <c r="I11351">
        <v>0</v>
      </c>
      <c r="J11351">
        <v>0</v>
      </c>
      <c r="K11351">
        <v>0</v>
      </c>
      <c r="L11351">
        <v>42500000</v>
      </c>
      <c r="M11351">
        <v>42500000</v>
      </c>
      <c r="N11351">
        <v>42500000</v>
      </c>
      <c r="O11351">
        <v>42500000</v>
      </c>
      <c r="P11351">
        <v>42500000</v>
      </c>
      <c r="Q11351">
        <v>42500000</v>
      </c>
      <c r="R11351" s="14">
        <f>_xlfn.XLOOKUP(Table2[[#This Row],[LoanID]],Table1[G-L ID],Table1[ManagerCode],-99)</f>
        <v>193</v>
      </c>
    </row>
    <row r="11352" spans="1:18" x14ac:dyDescent="0.25">
      <c r="A11352">
        <v>20200731</v>
      </c>
      <c r="B11352">
        <v>2020</v>
      </c>
      <c r="C11352">
        <v>7</v>
      </c>
      <c r="D11352">
        <v>1</v>
      </c>
      <c r="E11352">
        <v>15770</v>
      </c>
      <c r="F11352">
        <v>714722.22</v>
      </c>
      <c r="G11352">
        <v>0</v>
      </c>
      <c r="H11352">
        <v>0</v>
      </c>
      <c r="I11352">
        <v>0</v>
      </c>
      <c r="J11352">
        <v>0</v>
      </c>
      <c r="K11352">
        <v>0</v>
      </c>
      <c r="L11352">
        <v>100000000</v>
      </c>
      <c r="M11352">
        <v>100000000</v>
      </c>
      <c r="N11352">
        <v>100000000</v>
      </c>
      <c r="O11352">
        <v>100000000</v>
      </c>
      <c r="P11352">
        <v>100000000</v>
      </c>
      <c r="Q11352">
        <v>100000000</v>
      </c>
      <c r="R11352" s="14">
        <f>_xlfn.XLOOKUP(Table2[[#This Row],[LoanID]],Table1[G-L ID],Table1[ManagerCode],-99)</f>
        <v>193</v>
      </c>
    </row>
    <row r="11353" spans="1:18" x14ac:dyDescent="0.25">
      <c r="A11353">
        <v>20200731</v>
      </c>
      <c r="B11353">
        <v>2020</v>
      </c>
      <c r="C11353">
        <v>7</v>
      </c>
      <c r="D11353">
        <v>1</v>
      </c>
      <c r="E11353">
        <v>15780</v>
      </c>
      <c r="F11353">
        <v>114062.5</v>
      </c>
      <c r="G11353">
        <v>0</v>
      </c>
      <c r="H11353">
        <v>0</v>
      </c>
      <c r="I11353">
        <v>0</v>
      </c>
      <c r="J11353">
        <v>0</v>
      </c>
      <c r="K11353">
        <v>0</v>
      </c>
      <c r="L11353">
        <v>15000000</v>
      </c>
      <c r="M11353">
        <v>15000000</v>
      </c>
      <c r="N11353">
        <v>15000000</v>
      </c>
      <c r="O11353">
        <v>15000000</v>
      </c>
      <c r="P11353">
        <v>15000000</v>
      </c>
      <c r="Q11353">
        <v>15000000</v>
      </c>
      <c r="R11353" s="14">
        <f>_xlfn.XLOOKUP(Table2[[#This Row],[LoanID]],Table1[G-L ID],Table1[ManagerCode],-99)</f>
        <v>193</v>
      </c>
    </row>
    <row r="11354" spans="1:18" x14ac:dyDescent="0.25">
      <c r="A11354">
        <v>20200731</v>
      </c>
      <c r="B11354">
        <v>2020</v>
      </c>
      <c r="C11354">
        <v>7</v>
      </c>
      <c r="D11354">
        <v>1</v>
      </c>
      <c r="E11354">
        <v>15790</v>
      </c>
      <c r="F11354">
        <v>268258.08</v>
      </c>
      <c r="G11354">
        <v>0</v>
      </c>
      <c r="H11354">
        <v>0</v>
      </c>
      <c r="I11354">
        <v>0</v>
      </c>
      <c r="J11354">
        <v>0</v>
      </c>
      <c r="K11354">
        <v>0</v>
      </c>
      <c r="L11354">
        <v>50000000</v>
      </c>
      <c r="M11354">
        <v>50000000</v>
      </c>
      <c r="N11354">
        <v>50000000</v>
      </c>
      <c r="O11354">
        <v>50000000</v>
      </c>
      <c r="P11354">
        <v>50000000</v>
      </c>
      <c r="Q11354">
        <v>50000000</v>
      </c>
      <c r="R11354" s="14">
        <f>_xlfn.XLOOKUP(Table2[[#This Row],[LoanID]],Table1[G-L ID],Table1[ManagerCode],-99)</f>
        <v>193</v>
      </c>
    </row>
    <row r="11355" spans="1:18" x14ac:dyDescent="0.25">
      <c r="A11355">
        <v>20200731</v>
      </c>
      <c r="B11355">
        <v>2020</v>
      </c>
      <c r="C11355">
        <v>7</v>
      </c>
      <c r="D11355">
        <v>1</v>
      </c>
      <c r="E11355">
        <v>15800</v>
      </c>
      <c r="F11355">
        <v>407291.67</v>
      </c>
      <c r="G11355">
        <v>0</v>
      </c>
      <c r="H11355">
        <v>0</v>
      </c>
      <c r="I11355">
        <v>-3541.67</v>
      </c>
      <c r="J11355">
        <v>0</v>
      </c>
      <c r="K11355">
        <v>0</v>
      </c>
      <c r="L11355">
        <v>85420868.060000002</v>
      </c>
      <c r="M11355">
        <v>85420868.060000002</v>
      </c>
      <c r="N11355">
        <v>85420868.060000002</v>
      </c>
      <c r="O11355">
        <v>85420868.060000002</v>
      </c>
      <c r="P11355">
        <v>85420868.060000002</v>
      </c>
      <c r="Q11355">
        <v>85420868.060000002</v>
      </c>
      <c r="R11355" s="14">
        <f>_xlfn.XLOOKUP(Table2[[#This Row],[LoanID]],Table1[G-L ID],Table1[ManagerCode],-99)</f>
        <v>212</v>
      </c>
    </row>
    <row r="11356" spans="1:18" x14ac:dyDescent="0.25">
      <c r="A11356">
        <v>20200731</v>
      </c>
      <c r="B11356">
        <v>2020</v>
      </c>
      <c r="C11356">
        <v>7</v>
      </c>
      <c r="D11356">
        <v>1</v>
      </c>
      <c r="E11356">
        <v>15810</v>
      </c>
      <c r="F11356">
        <v>164256.94</v>
      </c>
      <c r="G11356">
        <v>0</v>
      </c>
      <c r="H11356">
        <v>0</v>
      </c>
      <c r="I11356">
        <v>0</v>
      </c>
      <c r="J11356">
        <v>0</v>
      </c>
      <c r="K11356">
        <v>0</v>
      </c>
      <c r="L11356">
        <v>23062500</v>
      </c>
      <c r="M11356">
        <v>23062500</v>
      </c>
      <c r="N11356">
        <v>23062500</v>
      </c>
      <c r="O11356">
        <v>23062500</v>
      </c>
      <c r="P11356">
        <v>25000000</v>
      </c>
      <c r="Q11356">
        <v>25000000</v>
      </c>
      <c r="R11356" s="14">
        <f>_xlfn.XLOOKUP(Table2[[#This Row],[LoanID]],Table1[G-L ID],Table1[ManagerCode],-99)</f>
        <v>193</v>
      </c>
    </row>
    <row r="11357" spans="1:18" x14ac:dyDescent="0.25">
      <c r="A11357">
        <v>20200731</v>
      </c>
      <c r="B11357">
        <v>2020</v>
      </c>
      <c r="C11357">
        <v>7</v>
      </c>
      <c r="D11357">
        <v>1</v>
      </c>
      <c r="E11357">
        <v>15820</v>
      </c>
      <c r="F11357">
        <v>117523.79</v>
      </c>
      <c r="G11357">
        <v>0</v>
      </c>
      <c r="H11357">
        <v>0</v>
      </c>
      <c r="I11357">
        <v>0</v>
      </c>
      <c r="J11357">
        <v>0</v>
      </c>
      <c r="K11357">
        <v>0</v>
      </c>
      <c r="L11357">
        <v>22190745</v>
      </c>
      <c r="M11357">
        <v>22190745</v>
      </c>
      <c r="N11357">
        <v>22190745</v>
      </c>
      <c r="O11357">
        <v>22190745</v>
      </c>
      <c r="P11357">
        <v>22190745</v>
      </c>
      <c r="Q11357">
        <v>22190745</v>
      </c>
      <c r="R11357" s="14">
        <f>_xlfn.XLOOKUP(Table2[[#This Row],[LoanID]],Table1[G-L ID],Table1[ManagerCode],-99)</f>
        <v>193</v>
      </c>
    </row>
    <row r="11358" spans="1:18" x14ac:dyDescent="0.25">
      <c r="A11358">
        <v>20200731</v>
      </c>
      <c r="B11358">
        <v>2020</v>
      </c>
      <c r="C11358">
        <v>7</v>
      </c>
      <c r="D11358">
        <v>1</v>
      </c>
      <c r="E11358">
        <v>15830</v>
      </c>
      <c r="F11358">
        <v>349433.34</v>
      </c>
      <c r="G11358">
        <v>0</v>
      </c>
      <c r="H11358">
        <v>0</v>
      </c>
      <c r="I11358">
        <v>0</v>
      </c>
      <c r="J11358">
        <v>0</v>
      </c>
      <c r="K11358">
        <v>0</v>
      </c>
      <c r="L11358">
        <v>82815011</v>
      </c>
      <c r="M11358">
        <v>82893827.969999999</v>
      </c>
      <c r="N11358">
        <v>82815011</v>
      </c>
      <c r="O11358">
        <v>82893827.969999999</v>
      </c>
      <c r="P11358">
        <v>82815011</v>
      </c>
      <c r="Q11358">
        <v>82815011</v>
      </c>
      <c r="R11358" s="14">
        <f>_xlfn.XLOOKUP(Table2[[#This Row],[LoanID]],Table1[G-L ID],Table1[ManagerCode],-99)</f>
        <v>183</v>
      </c>
    </row>
    <row r="11359" spans="1:18" x14ac:dyDescent="0.25">
      <c r="A11359">
        <v>20200731</v>
      </c>
      <c r="B11359">
        <v>2020</v>
      </c>
      <c r="C11359">
        <v>7</v>
      </c>
      <c r="D11359">
        <v>1</v>
      </c>
      <c r="E11359">
        <v>15840</v>
      </c>
      <c r="F11359">
        <v>741652.17</v>
      </c>
      <c r="G11359">
        <v>0</v>
      </c>
      <c r="H11359">
        <v>0</v>
      </c>
      <c r="I11359">
        <v>0</v>
      </c>
      <c r="J11359">
        <v>-1056162.8400000001</v>
      </c>
      <c r="K11359">
        <v>0</v>
      </c>
      <c r="L11359">
        <v>126044041.2</v>
      </c>
      <c r="M11359">
        <v>127100204</v>
      </c>
      <c r="N11359">
        <v>126044041.2</v>
      </c>
      <c r="O11359">
        <v>127100204</v>
      </c>
      <c r="P11359">
        <v>126044041.2</v>
      </c>
      <c r="Q11359">
        <v>127100204</v>
      </c>
      <c r="R11359" s="14">
        <f>_xlfn.XLOOKUP(Table2[[#This Row],[LoanID]],Table1[G-L ID],Table1[ManagerCode],-99)</f>
        <v>183</v>
      </c>
    </row>
    <row r="11360" spans="1:18" x14ac:dyDescent="0.25">
      <c r="A11360">
        <v>20200731</v>
      </c>
      <c r="B11360">
        <v>2020</v>
      </c>
      <c r="C11360">
        <v>7</v>
      </c>
      <c r="D11360">
        <v>1</v>
      </c>
      <c r="E11360">
        <v>15850</v>
      </c>
      <c r="F11360">
        <v>0</v>
      </c>
      <c r="G11360">
        <v>9044.42</v>
      </c>
      <c r="H11360">
        <v>0</v>
      </c>
      <c r="I11360">
        <v>0</v>
      </c>
      <c r="J11360">
        <v>-1722747.66</v>
      </c>
      <c r="K11360">
        <v>0</v>
      </c>
      <c r="L11360">
        <v>0</v>
      </c>
      <c r="M11360">
        <v>1731792.08</v>
      </c>
      <c r="N11360">
        <v>0</v>
      </c>
      <c r="O11360">
        <v>1731792.08</v>
      </c>
      <c r="P11360">
        <v>0</v>
      </c>
      <c r="Q11360">
        <v>1731792.08</v>
      </c>
      <c r="R11360" s="14">
        <f>_xlfn.XLOOKUP(Table2[[#This Row],[LoanID]],Table1[G-L ID],Table1[ManagerCode],-99)</f>
        <v>219</v>
      </c>
    </row>
    <row r="11361" spans="1:18" x14ac:dyDescent="0.25">
      <c r="A11361">
        <v>20200731</v>
      </c>
      <c r="B11361">
        <v>2020</v>
      </c>
      <c r="C11361">
        <v>7</v>
      </c>
      <c r="D11361">
        <v>1</v>
      </c>
      <c r="E11361">
        <v>15860</v>
      </c>
      <c r="F11361">
        <v>21700</v>
      </c>
      <c r="G11361">
        <v>0</v>
      </c>
      <c r="H11361">
        <v>0</v>
      </c>
      <c r="I11361">
        <v>0</v>
      </c>
      <c r="J11361">
        <v>-12400000</v>
      </c>
      <c r="K11361">
        <v>0</v>
      </c>
      <c r="L11361">
        <v>0</v>
      </c>
      <c r="M11361">
        <v>12400000</v>
      </c>
      <c r="N11361">
        <v>0</v>
      </c>
      <c r="O11361">
        <v>12400000</v>
      </c>
      <c r="P11361">
        <v>0</v>
      </c>
      <c r="Q11361">
        <v>12400000</v>
      </c>
      <c r="R11361" s="14">
        <f>_xlfn.XLOOKUP(Table2[[#This Row],[LoanID]],Table1[G-L ID],Table1[ManagerCode],-99)</f>
        <v>219</v>
      </c>
    </row>
    <row r="11362" spans="1:18" x14ac:dyDescent="0.25">
      <c r="A11362">
        <v>20200831</v>
      </c>
      <c r="B11362">
        <v>2020</v>
      </c>
      <c r="C11362">
        <v>8</v>
      </c>
      <c r="D11362">
        <v>1</v>
      </c>
      <c r="E11362">
        <v>10050</v>
      </c>
      <c r="F11362">
        <v>153981.01999999999</v>
      </c>
      <c r="G11362">
        <v>0</v>
      </c>
      <c r="H11362">
        <v>0</v>
      </c>
      <c r="I11362">
        <v>-69.44</v>
      </c>
      <c r="J11362">
        <v>0</v>
      </c>
      <c r="K11362">
        <v>0</v>
      </c>
      <c r="L11362">
        <v>37119454</v>
      </c>
      <c r="M11362">
        <v>37612046</v>
      </c>
      <c r="N11362">
        <v>37119454</v>
      </c>
      <c r="O11362">
        <v>37612046</v>
      </c>
      <c r="P11362">
        <v>33333334</v>
      </c>
      <c r="Q11362">
        <v>33333334</v>
      </c>
      <c r="R11362" s="14">
        <f>_xlfn.XLOOKUP(Table2[[#This Row],[LoanID]],Table1[G-L ID],Table1[ManagerCode],-99)</f>
        <v>103</v>
      </c>
    </row>
    <row r="11363" spans="1:18" x14ac:dyDescent="0.25">
      <c r="A11363">
        <v>20200831</v>
      </c>
      <c r="B11363">
        <v>2020</v>
      </c>
      <c r="C11363">
        <v>8</v>
      </c>
      <c r="D11363">
        <v>1</v>
      </c>
      <c r="E11363">
        <v>10220</v>
      </c>
      <c r="F11363">
        <v>559722.22</v>
      </c>
      <c r="G11363">
        <v>0</v>
      </c>
      <c r="H11363">
        <v>0</v>
      </c>
      <c r="I11363">
        <v>0</v>
      </c>
      <c r="J11363">
        <v>0</v>
      </c>
      <c r="K11363">
        <v>0</v>
      </c>
      <c r="L11363">
        <v>107102504</v>
      </c>
      <c r="M11363">
        <v>107504333</v>
      </c>
      <c r="N11363">
        <v>107102504</v>
      </c>
      <c r="O11363">
        <v>107504333</v>
      </c>
      <c r="P11363">
        <v>100000000</v>
      </c>
      <c r="Q11363">
        <v>100000000</v>
      </c>
      <c r="R11363" s="14">
        <f>_xlfn.XLOOKUP(Table2[[#This Row],[LoanID]],Table1[G-L ID],Table1[ManagerCode],-99)</f>
        <v>103</v>
      </c>
    </row>
    <row r="11364" spans="1:18" x14ac:dyDescent="0.25">
      <c r="A11364">
        <v>20200831</v>
      </c>
      <c r="B11364">
        <v>2020</v>
      </c>
      <c r="C11364">
        <v>8</v>
      </c>
      <c r="D11364">
        <v>1</v>
      </c>
      <c r="E11364">
        <v>11680</v>
      </c>
      <c r="F11364">
        <v>0</v>
      </c>
      <c r="G11364">
        <v>0</v>
      </c>
      <c r="H11364">
        <v>0</v>
      </c>
      <c r="I11364">
        <v>0</v>
      </c>
      <c r="J11364">
        <v>0</v>
      </c>
      <c r="K11364">
        <v>0</v>
      </c>
      <c r="L11364">
        <v>6600000</v>
      </c>
      <c r="M11364">
        <v>6600000</v>
      </c>
      <c r="N11364">
        <v>6600000</v>
      </c>
      <c r="O11364">
        <v>6600000</v>
      </c>
      <c r="P11364">
        <v>6600000</v>
      </c>
      <c r="Q11364">
        <v>6600000</v>
      </c>
      <c r="R11364" s="14">
        <f>_xlfn.XLOOKUP(Table2[[#This Row],[LoanID]],Table1[G-L ID],Table1[ManagerCode],-99)</f>
        <v>183</v>
      </c>
    </row>
    <row r="11365" spans="1:18" x14ac:dyDescent="0.25">
      <c r="A11365">
        <v>20200831</v>
      </c>
      <c r="B11365">
        <v>2020</v>
      </c>
      <c r="C11365">
        <v>8</v>
      </c>
      <c r="D11365">
        <v>1</v>
      </c>
      <c r="E11365">
        <v>12340</v>
      </c>
      <c r="F11365">
        <v>93396.46</v>
      </c>
      <c r="G11365">
        <v>0</v>
      </c>
      <c r="H11365">
        <v>0</v>
      </c>
      <c r="I11365">
        <v>0</v>
      </c>
      <c r="J11365">
        <v>0</v>
      </c>
      <c r="K11365">
        <v>0</v>
      </c>
      <c r="L11365">
        <v>24180000</v>
      </c>
      <c r="M11365">
        <v>24180000</v>
      </c>
      <c r="N11365">
        <v>12180000</v>
      </c>
      <c r="O11365">
        <v>12180000</v>
      </c>
      <c r="P11365">
        <v>24180000</v>
      </c>
      <c r="Q11365">
        <v>24180000</v>
      </c>
      <c r="R11365" s="14">
        <f>_xlfn.XLOOKUP(Table2[[#This Row],[LoanID]],Table1[G-L ID],Table1[ManagerCode],-99)</f>
        <v>183</v>
      </c>
    </row>
    <row r="11366" spans="1:18" x14ac:dyDescent="0.25">
      <c r="A11366">
        <v>20200831</v>
      </c>
      <c r="B11366">
        <v>2020</v>
      </c>
      <c r="C11366">
        <v>8</v>
      </c>
      <c r="D11366">
        <v>1</v>
      </c>
      <c r="E11366">
        <v>12350</v>
      </c>
      <c r="F11366">
        <v>219816.67</v>
      </c>
      <c r="G11366">
        <v>0</v>
      </c>
      <c r="H11366">
        <v>0</v>
      </c>
      <c r="I11366">
        <v>0</v>
      </c>
      <c r="J11366">
        <v>0</v>
      </c>
      <c r="K11366">
        <v>0</v>
      </c>
      <c r="L11366">
        <v>78700000</v>
      </c>
      <c r="M11366">
        <v>78700000</v>
      </c>
      <c r="N11366">
        <v>40914236.340000004</v>
      </c>
      <c r="O11366">
        <v>40914236.340000004</v>
      </c>
      <c r="P11366">
        <v>78700000</v>
      </c>
      <c r="Q11366">
        <v>78700000</v>
      </c>
      <c r="R11366" s="14">
        <f>_xlfn.XLOOKUP(Table2[[#This Row],[LoanID]],Table1[G-L ID],Table1[ManagerCode],-99)</f>
        <v>183</v>
      </c>
    </row>
    <row r="11367" spans="1:18" x14ac:dyDescent="0.25">
      <c r="A11367">
        <v>20200831</v>
      </c>
      <c r="B11367">
        <v>2020</v>
      </c>
      <c r="C11367">
        <v>8</v>
      </c>
      <c r="D11367">
        <v>1</v>
      </c>
      <c r="E11367">
        <v>12370</v>
      </c>
      <c r="F11367">
        <v>317761.84000000003</v>
      </c>
      <c r="G11367">
        <v>0</v>
      </c>
      <c r="H11367">
        <v>0</v>
      </c>
      <c r="I11367">
        <v>0</v>
      </c>
      <c r="J11367">
        <v>0</v>
      </c>
      <c r="K11367">
        <v>0</v>
      </c>
      <c r="L11367">
        <v>81600000</v>
      </c>
      <c r="M11367">
        <v>81600000</v>
      </c>
      <c r="N11367">
        <v>51303137.549999997</v>
      </c>
      <c r="O11367">
        <v>51303137.549999997</v>
      </c>
      <c r="P11367">
        <v>81600000</v>
      </c>
      <c r="Q11367">
        <v>81600000</v>
      </c>
      <c r="R11367" s="14">
        <f>_xlfn.XLOOKUP(Table2[[#This Row],[LoanID]],Table1[G-L ID],Table1[ManagerCode],-99)</f>
        <v>183</v>
      </c>
    </row>
    <row r="11368" spans="1:18" x14ac:dyDescent="0.25">
      <c r="A11368">
        <v>20200831</v>
      </c>
      <c r="B11368">
        <v>2020</v>
      </c>
      <c r="C11368">
        <v>8</v>
      </c>
      <c r="D11368">
        <v>1</v>
      </c>
      <c r="E11368">
        <v>12390</v>
      </c>
      <c r="F11368">
        <v>1196168.04</v>
      </c>
      <c r="G11368">
        <v>676018.13</v>
      </c>
      <c r="H11368">
        <v>0</v>
      </c>
      <c r="I11368">
        <v>0</v>
      </c>
      <c r="J11368">
        <v>-300719.64</v>
      </c>
      <c r="K11368">
        <v>0</v>
      </c>
      <c r="L11368">
        <v>183035647.69999999</v>
      </c>
      <c r="M11368">
        <v>184012385.40000001</v>
      </c>
      <c r="N11368">
        <v>183035647.69999999</v>
      </c>
      <c r="O11368">
        <v>184012385.40000001</v>
      </c>
      <c r="P11368">
        <v>183035647.69999999</v>
      </c>
      <c r="Q11368">
        <v>184012385.40000001</v>
      </c>
      <c r="R11368" s="14">
        <f>_xlfn.XLOOKUP(Table2[[#This Row],[LoanID]],Table1[G-L ID],Table1[ManagerCode],-99)</f>
        <v>183</v>
      </c>
    </row>
    <row r="11369" spans="1:18" x14ac:dyDescent="0.25">
      <c r="A11369">
        <v>20200831</v>
      </c>
      <c r="B11369">
        <v>2020</v>
      </c>
      <c r="C11369">
        <v>8</v>
      </c>
      <c r="D11369">
        <v>1</v>
      </c>
      <c r="E11369">
        <v>12400</v>
      </c>
      <c r="F11369">
        <v>316765.69</v>
      </c>
      <c r="G11369">
        <v>144563.75</v>
      </c>
      <c r="H11369">
        <v>0</v>
      </c>
      <c r="I11369">
        <v>0</v>
      </c>
      <c r="J11369">
        <v>-85829.66</v>
      </c>
      <c r="K11369">
        <v>0</v>
      </c>
      <c r="L11369">
        <v>67804883.480000004</v>
      </c>
      <c r="M11369">
        <v>68035276.890000001</v>
      </c>
      <c r="N11369">
        <v>67804883.480000004</v>
      </c>
      <c r="O11369">
        <v>68035276.890000001</v>
      </c>
      <c r="P11369">
        <v>67804883.480000004</v>
      </c>
      <c r="Q11369">
        <v>68035276.890000001</v>
      </c>
      <c r="R11369" s="14">
        <f>_xlfn.XLOOKUP(Table2[[#This Row],[LoanID]],Table1[G-L ID],Table1[ManagerCode],-99)</f>
        <v>183</v>
      </c>
    </row>
    <row r="11370" spans="1:18" x14ac:dyDescent="0.25">
      <c r="A11370">
        <v>20200831</v>
      </c>
      <c r="B11370">
        <v>2020</v>
      </c>
      <c r="C11370">
        <v>8</v>
      </c>
      <c r="D11370">
        <v>1</v>
      </c>
      <c r="E11370">
        <v>12410</v>
      </c>
      <c r="F11370">
        <v>250000</v>
      </c>
      <c r="G11370">
        <v>125000</v>
      </c>
      <c r="H11370">
        <v>0</v>
      </c>
      <c r="I11370">
        <v>0</v>
      </c>
      <c r="J11370">
        <v>0</v>
      </c>
      <c r="K11370">
        <v>0</v>
      </c>
      <c r="L11370">
        <v>69664641.700000003</v>
      </c>
      <c r="M11370">
        <v>70462694.280000001</v>
      </c>
      <c r="N11370">
        <v>69664641.700000003</v>
      </c>
      <c r="O11370">
        <v>70462694.280000001</v>
      </c>
      <c r="P11370">
        <v>67379789.659999996</v>
      </c>
      <c r="Q11370">
        <v>67504789.659999996</v>
      </c>
      <c r="R11370" s="14">
        <f>_xlfn.XLOOKUP(Table2[[#This Row],[LoanID]],Table1[G-L ID],Table1[ManagerCode],-99)</f>
        <v>103</v>
      </c>
    </row>
    <row r="11371" spans="1:18" x14ac:dyDescent="0.25">
      <c r="A11371">
        <v>20200831</v>
      </c>
      <c r="B11371">
        <v>2020</v>
      </c>
      <c r="C11371">
        <v>8</v>
      </c>
      <c r="D11371">
        <v>1</v>
      </c>
      <c r="E11371">
        <v>12440</v>
      </c>
      <c r="F11371">
        <v>20495.3</v>
      </c>
      <c r="G11371">
        <v>0</v>
      </c>
      <c r="H11371">
        <v>0</v>
      </c>
      <c r="I11371">
        <v>0</v>
      </c>
      <c r="J11371">
        <v>0</v>
      </c>
      <c r="K11371">
        <v>62870.97</v>
      </c>
      <c r="L11371">
        <v>2678677</v>
      </c>
      <c r="M11371">
        <v>2616775</v>
      </c>
      <c r="N11371">
        <v>2678677</v>
      </c>
      <c r="O11371">
        <v>2616775</v>
      </c>
      <c r="P11371">
        <v>2459436.29</v>
      </c>
      <c r="Q11371">
        <v>2396565.3199999998</v>
      </c>
      <c r="R11371" s="14">
        <f>_xlfn.XLOOKUP(Table2[[#This Row],[LoanID]],Table1[G-L ID],Table1[ManagerCode],-99)</f>
        <v>103</v>
      </c>
    </row>
    <row r="11372" spans="1:18" x14ac:dyDescent="0.25">
      <c r="A11372">
        <v>20200831</v>
      </c>
      <c r="B11372">
        <v>2020</v>
      </c>
      <c r="C11372">
        <v>8</v>
      </c>
      <c r="D11372">
        <v>1</v>
      </c>
      <c r="E11372">
        <v>12460</v>
      </c>
      <c r="F11372">
        <v>0</v>
      </c>
      <c r="G11372">
        <v>49929.35</v>
      </c>
      <c r="H11372">
        <v>0</v>
      </c>
      <c r="I11372">
        <v>0</v>
      </c>
      <c r="J11372">
        <v>0</v>
      </c>
      <c r="K11372">
        <v>0</v>
      </c>
      <c r="L11372">
        <v>9985871.4800000004</v>
      </c>
      <c r="M11372">
        <v>10035800.83</v>
      </c>
      <c r="N11372">
        <v>9985871.4800000004</v>
      </c>
      <c r="O11372">
        <v>10035800.83</v>
      </c>
      <c r="P11372">
        <v>9985871.4800000004</v>
      </c>
      <c r="Q11372">
        <v>10035800.83</v>
      </c>
      <c r="R11372" s="14">
        <f>_xlfn.XLOOKUP(Table2[[#This Row],[LoanID]],Table1[G-L ID],Table1[ManagerCode],-99)</f>
        <v>183</v>
      </c>
    </row>
    <row r="11373" spans="1:18" x14ac:dyDescent="0.25">
      <c r="A11373">
        <v>20200831</v>
      </c>
      <c r="B11373">
        <v>2020</v>
      </c>
      <c r="C11373">
        <v>8</v>
      </c>
      <c r="D11373">
        <v>1</v>
      </c>
      <c r="E11373">
        <v>12470</v>
      </c>
      <c r="F11373">
        <v>333091.8</v>
      </c>
      <c r="G11373">
        <v>0</v>
      </c>
      <c r="H11373">
        <v>0</v>
      </c>
      <c r="I11373">
        <v>0</v>
      </c>
      <c r="J11373">
        <v>0</v>
      </c>
      <c r="K11373">
        <v>0</v>
      </c>
      <c r="L11373">
        <v>112459624.3</v>
      </c>
      <c r="M11373">
        <v>112459624.3</v>
      </c>
      <c r="N11373">
        <v>53809624.299999997</v>
      </c>
      <c r="O11373">
        <v>53809624.299999997</v>
      </c>
      <c r="P11373">
        <v>115000000</v>
      </c>
      <c r="Q11373">
        <v>115000000</v>
      </c>
      <c r="R11373" s="14">
        <f>_xlfn.XLOOKUP(Table2[[#This Row],[LoanID]],Table1[G-L ID],Table1[ManagerCode],-99)</f>
        <v>183</v>
      </c>
    </row>
    <row r="11374" spans="1:18" x14ac:dyDescent="0.25">
      <c r="A11374">
        <v>20200831</v>
      </c>
      <c r="B11374">
        <v>2020</v>
      </c>
      <c r="C11374">
        <v>8</v>
      </c>
      <c r="D11374">
        <v>1</v>
      </c>
      <c r="E11374">
        <v>12490</v>
      </c>
      <c r="F11374">
        <v>268322.3</v>
      </c>
      <c r="G11374">
        <v>0</v>
      </c>
      <c r="H11374">
        <v>0</v>
      </c>
      <c r="I11374">
        <v>0</v>
      </c>
      <c r="J11374">
        <v>0</v>
      </c>
      <c r="K11374">
        <v>0</v>
      </c>
      <c r="L11374">
        <v>50154624.520000003</v>
      </c>
      <c r="M11374">
        <v>50154624.520000003</v>
      </c>
      <c r="N11374">
        <v>19554624.52</v>
      </c>
      <c r="O11374">
        <v>19554624.52</v>
      </c>
      <c r="P11374">
        <v>50200000</v>
      </c>
      <c r="Q11374">
        <v>50200000</v>
      </c>
      <c r="R11374" s="14">
        <f>_xlfn.XLOOKUP(Table2[[#This Row],[LoanID]],Table1[G-L ID],Table1[ManagerCode],-99)</f>
        <v>183</v>
      </c>
    </row>
    <row r="11375" spans="1:18" x14ac:dyDescent="0.25">
      <c r="A11375">
        <v>20200831</v>
      </c>
      <c r="B11375">
        <v>2020</v>
      </c>
      <c r="C11375">
        <v>8</v>
      </c>
      <c r="D11375">
        <v>1</v>
      </c>
      <c r="E11375">
        <v>12520</v>
      </c>
      <c r="F11375">
        <v>206402.49</v>
      </c>
      <c r="G11375">
        <v>0</v>
      </c>
      <c r="H11375">
        <v>0</v>
      </c>
      <c r="I11375">
        <v>0</v>
      </c>
      <c r="J11375">
        <v>-441636</v>
      </c>
      <c r="K11375">
        <v>0</v>
      </c>
      <c r="L11375">
        <v>49449376.439999998</v>
      </c>
      <c r="M11375">
        <v>49907153.810000002</v>
      </c>
      <c r="N11375">
        <v>28411876.440000001</v>
      </c>
      <c r="O11375">
        <v>28869653.809999999</v>
      </c>
      <c r="P11375">
        <v>49480382.869999997</v>
      </c>
      <c r="Q11375">
        <v>49922018.869999997</v>
      </c>
      <c r="R11375" s="14">
        <f>_xlfn.XLOOKUP(Table2[[#This Row],[LoanID]],Table1[G-L ID],Table1[ManagerCode],-99)</f>
        <v>183</v>
      </c>
    </row>
    <row r="11376" spans="1:18" x14ac:dyDescent="0.25">
      <c r="A11376">
        <v>20200831</v>
      </c>
      <c r="B11376">
        <v>2020</v>
      </c>
      <c r="C11376">
        <v>8</v>
      </c>
      <c r="D11376">
        <v>1</v>
      </c>
      <c r="E11376">
        <v>12650</v>
      </c>
      <c r="F11376">
        <v>307930.15000000002</v>
      </c>
      <c r="G11376">
        <v>0</v>
      </c>
      <c r="H11376">
        <v>0</v>
      </c>
      <c r="I11376">
        <v>0</v>
      </c>
      <c r="J11376">
        <v>-1315500.98</v>
      </c>
      <c r="K11376">
        <v>-6160000</v>
      </c>
      <c r="L11376">
        <v>123193646.09999999</v>
      </c>
      <c r="M11376">
        <v>124482708.09999999</v>
      </c>
      <c r="N11376">
        <v>49273646.100000001</v>
      </c>
      <c r="O11376">
        <v>56722708.100000001</v>
      </c>
      <c r="P11376">
        <v>123200000</v>
      </c>
      <c r="Q11376">
        <v>124515501</v>
      </c>
      <c r="R11376" s="14">
        <f>_xlfn.XLOOKUP(Table2[[#This Row],[LoanID]],Table1[G-L ID],Table1[ManagerCode],-99)</f>
        <v>183</v>
      </c>
    </row>
    <row r="11377" spans="1:18" x14ac:dyDescent="0.25">
      <c r="A11377">
        <v>20200831</v>
      </c>
      <c r="B11377">
        <v>2020</v>
      </c>
      <c r="C11377">
        <v>8</v>
      </c>
      <c r="D11377">
        <v>1</v>
      </c>
      <c r="E11377">
        <v>12670</v>
      </c>
      <c r="F11377">
        <v>81337.97</v>
      </c>
      <c r="G11377">
        <v>0</v>
      </c>
      <c r="H11377">
        <v>0</v>
      </c>
      <c r="I11377">
        <v>0</v>
      </c>
      <c r="J11377">
        <v>0</v>
      </c>
      <c r="K11377">
        <v>0</v>
      </c>
      <c r="L11377">
        <v>15553141.35</v>
      </c>
      <c r="M11377">
        <v>15553141.35</v>
      </c>
      <c r="N11377">
        <v>15553141.35</v>
      </c>
      <c r="O11377">
        <v>15553141.35</v>
      </c>
      <c r="P11377">
        <v>15500000</v>
      </c>
      <c r="Q11377">
        <v>15500000</v>
      </c>
      <c r="R11377" s="14">
        <f>_xlfn.XLOOKUP(Table2[[#This Row],[LoanID]],Table1[G-L ID],Table1[ManagerCode],-99)</f>
        <v>183</v>
      </c>
    </row>
    <row r="11378" spans="1:18" x14ac:dyDescent="0.25">
      <c r="A11378">
        <v>20200831</v>
      </c>
      <c r="B11378">
        <v>2020</v>
      </c>
      <c r="C11378">
        <v>8</v>
      </c>
      <c r="D11378">
        <v>1</v>
      </c>
      <c r="E11378">
        <v>12720</v>
      </c>
      <c r="F11378">
        <v>576053.29</v>
      </c>
      <c r="G11378">
        <v>0</v>
      </c>
      <c r="H11378">
        <v>0</v>
      </c>
      <c r="I11378">
        <v>0</v>
      </c>
      <c r="J11378">
        <v>-1867889.42</v>
      </c>
      <c r="K11378">
        <v>0</v>
      </c>
      <c r="L11378">
        <v>213209889.09999999</v>
      </c>
      <c r="M11378">
        <v>215364802.5</v>
      </c>
      <c r="N11378">
        <v>111328889.09999999</v>
      </c>
      <c r="O11378">
        <v>113483802.5</v>
      </c>
      <c r="P11378">
        <v>214281295.59999999</v>
      </c>
      <c r="Q11378">
        <v>216149185</v>
      </c>
      <c r="R11378" s="14">
        <f>_xlfn.XLOOKUP(Table2[[#This Row],[LoanID]],Table1[G-L ID],Table1[ManagerCode],-99)</f>
        <v>183</v>
      </c>
    </row>
    <row r="11379" spans="1:18" x14ac:dyDescent="0.25">
      <c r="A11379">
        <v>20200831</v>
      </c>
      <c r="B11379">
        <v>2020</v>
      </c>
      <c r="C11379">
        <v>8</v>
      </c>
      <c r="D11379">
        <v>1</v>
      </c>
      <c r="E11379">
        <v>12730</v>
      </c>
      <c r="F11379">
        <v>116171.98</v>
      </c>
      <c r="G11379">
        <v>0</v>
      </c>
      <c r="H11379">
        <v>0</v>
      </c>
      <c r="I11379">
        <v>0</v>
      </c>
      <c r="J11379">
        <v>0</v>
      </c>
      <c r="K11379">
        <v>0</v>
      </c>
      <c r="L11379">
        <v>38460000</v>
      </c>
      <c r="M11379">
        <v>38460000</v>
      </c>
      <c r="N11379">
        <v>13460000</v>
      </c>
      <c r="O11379">
        <v>13460000</v>
      </c>
      <c r="P11379">
        <v>38460000</v>
      </c>
      <c r="Q11379">
        <v>38460000</v>
      </c>
      <c r="R11379" s="14">
        <f>_xlfn.XLOOKUP(Table2[[#This Row],[LoanID]],Table1[G-L ID],Table1[ManagerCode],-99)</f>
        <v>183</v>
      </c>
    </row>
    <row r="11380" spans="1:18" x14ac:dyDescent="0.25">
      <c r="A11380">
        <v>20200831</v>
      </c>
      <c r="B11380">
        <v>2020</v>
      </c>
      <c r="C11380">
        <v>8</v>
      </c>
      <c r="D11380">
        <v>1</v>
      </c>
      <c r="E11380">
        <v>12740</v>
      </c>
      <c r="F11380">
        <v>176195.35</v>
      </c>
      <c r="G11380">
        <v>84559.87</v>
      </c>
      <c r="H11380">
        <v>0</v>
      </c>
      <c r="I11380">
        <v>0</v>
      </c>
      <c r="J11380">
        <v>-298421.15999999997</v>
      </c>
      <c r="K11380">
        <v>0</v>
      </c>
      <c r="L11380">
        <v>36134762.039999999</v>
      </c>
      <c r="M11380">
        <v>36517743.07</v>
      </c>
      <c r="N11380">
        <v>36134762.039999999</v>
      </c>
      <c r="O11380">
        <v>36517743.07</v>
      </c>
      <c r="P11380">
        <v>36134762.039999999</v>
      </c>
      <c r="Q11380">
        <v>36517743.07</v>
      </c>
      <c r="R11380" s="14">
        <f>_xlfn.XLOOKUP(Table2[[#This Row],[LoanID]],Table1[G-L ID],Table1[ManagerCode],-99)</f>
        <v>183</v>
      </c>
    </row>
    <row r="11381" spans="1:18" x14ac:dyDescent="0.25">
      <c r="A11381">
        <v>20200831</v>
      </c>
      <c r="B11381">
        <v>2020</v>
      </c>
      <c r="C11381">
        <v>8</v>
      </c>
      <c r="D11381">
        <v>1</v>
      </c>
      <c r="E11381">
        <v>13000</v>
      </c>
      <c r="F11381">
        <v>174674.18</v>
      </c>
      <c r="G11381">
        <v>0</v>
      </c>
      <c r="H11381">
        <v>0</v>
      </c>
      <c r="I11381">
        <v>0</v>
      </c>
      <c r="J11381">
        <v>0</v>
      </c>
      <c r="K11381">
        <v>0</v>
      </c>
      <c r="L11381">
        <v>49858004</v>
      </c>
      <c r="M11381">
        <v>49858004</v>
      </c>
      <c r="N11381">
        <v>49858004</v>
      </c>
      <c r="O11381">
        <v>49858004</v>
      </c>
      <c r="P11381">
        <v>52482161.25</v>
      </c>
      <c r="Q11381">
        <v>52482161.25</v>
      </c>
      <c r="R11381" s="14">
        <f>_xlfn.XLOOKUP(Table2[[#This Row],[LoanID]],Table1[G-L ID],Table1[ManagerCode],-99)</f>
        <v>103</v>
      </c>
    </row>
    <row r="11382" spans="1:18" x14ac:dyDescent="0.25">
      <c r="A11382">
        <v>20200831</v>
      </c>
      <c r="B11382">
        <v>2020</v>
      </c>
      <c r="C11382">
        <v>8</v>
      </c>
      <c r="D11382">
        <v>1</v>
      </c>
      <c r="E11382">
        <v>13010</v>
      </c>
      <c r="F11382">
        <v>1050000</v>
      </c>
      <c r="G11382">
        <v>350000</v>
      </c>
      <c r="H11382">
        <v>0</v>
      </c>
      <c r="I11382">
        <v>0</v>
      </c>
      <c r="J11382">
        <v>0</v>
      </c>
      <c r="K11382">
        <v>0</v>
      </c>
      <c r="L11382">
        <v>203822500</v>
      </c>
      <c r="M11382">
        <v>204155000</v>
      </c>
      <c r="N11382">
        <v>203822500</v>
      </c>
      <c r="O11382">
        <v>204155000</v>
      </c>
      <c r="P11382">
        <v>214550000</v>
      </c>
      <c r="Q11382">
        <v>214900000</v>
      </c>
      <c r="R11382" s="14">
        <f>_xlfn.XLOOKUP(Table2[[#This Row],[LoanID]],Table1[G-L ID],Table1[ManagerCode],-99)</f>
        <v>103</v>
      </c>
    </row>
    <row r="11383" spans="1:18" x14ac:dyDescent="0.25">
      <c r="A11383">
        <v>20200831</v>
      </c>
      <c r="B11383">
        <v>2020</v>
      </c>
      <c r="C11383">
        <v>8</v>
      </c>
      <c r="D11383">
        <v>1</v>
      </c>
      <c r="E11383">
        <v>13030</v>
      </c>
      <c r="F11383">
        <v>392442.32</v>
      </c>
      <c r="G11383">
        <v>0</v>
      </c>
      <c r="H11383">
        <v>0</v>
      </c>
      <c r="I11383">
        <v>0</v>
      </c>
      <c r="J11383">
        <v>0</v>
      </c>
      <c r="K11383">
        <v>0</v>
      </c>
      <c r="L11383">
        <v>117576634.90000001</v>
      </c>
      <c r="M11383">
        <v>117611296.90000001</v>
      </c>
      <c r="N11383">
        <v>54853210.899999999</v>
      </c>
      <c r="O11383">
        <v>54887872.899999999</v>
      </c>
      <c r="P11383">
        <v>117734596.40000001</v>
      </c>
      <c r="Q11383">
        <v>117734596.40000001</v>
      </c>
      <c r="R11383" s="14">
        <f>_xlfn.XLOOKUP(Table2[[#This Row],[LoanID]],Table1[G-L ID],Table1[ManagerCode],-99)</f>
        <v>183</v>
      </c>
    </row>
    <row r="11384" spans="1:18" x14ac:dyDescent="0.25">
      <c r="A11384">
        <v>20200831</v>
      </c>
      <c r="B11384">
        <v>2020</v>
      </c>
      <c r="C11384">
        <v>8</v>
      </c>
      <c r="D11384">
        <v>1</v>
      </c>
      <c r="E11384">
        <v>13040</v>
      </c>
      <c r="F11384">
        <v>118248.63</v>
      </c>
      <c r="G11384">
        <v>0</v>
      </c>
      <c r="H11384">
        <v>0</v>
      </c>
      <c r="I11384">
        <v>0</v>
      </c>
      <c r="J11384">
        <v>0</v>
      </c>
      <c r="K11384">
        <v>0</v>
      </c>
      <c r="L11384">
        <v>37143876.789999999</v>
      </c>
      <c r="M11384">
        <v>37143876.789999999</v>
      </c>
      <c r="N11384">
        <v>16971489.789999999</v>
      </c>
      <c r="O11384">
        <v>16971489.789999999</v>
      </c>
      <c r="P11384">
        <v>37143876.789999999</v>
      </c>
      <c r="Q11384">
        <v>37143876.789999999</v>
      </c>
      <c r="R11384" s="14">
        <f>_xlfn.XLOOKUP(Table2[[#This Row],[LoanID]],Table1[G-L ID],Table1[ManagerCode],-99)</f>
        <v>183</v>
      </c>
    </row>
    <row r="11385" spans="1:18" x14ac:dyDescent="0.25">
      <c r="A11385">
        <v>20200831</v>
      </c>
      <c r="B11385">
        <v>2020</v>
      </c>
      <c r="C11385">
        <v>8</v>
      </c>
      <c r="D11385">
        <v>1</v>
      </c>
      <c r="E11385">
        <v>13050</v>
      </c>
      <c r="F11385">
        <v>77695.350000000006</v>
      </c>
      <c r="G11385">
        <v>0</v>
      </c>
      <c r="H11385">
        <v>0</v>
      </c>
      <c r="I11385">
        <v>0</v>
      </c>
      <c r="J11385">
        <v>0</v>
      </c>
      <c r="K11385">
        <v>0</v>
      </c>
      <c r="L11385">
        <v>42255511.829999998</v>
      </c>
      <c r="M11385">
        <v>42255511.829999998</v>
      </c>
      <c r="N11385">
        <v>14581935.83</v>
      </c>
      <c r="O11385">
        <v>14581935.83</v>
      </c>
      <c r="P11385">
        <v>42575000</v>
      </c>
      <c r="Q11385">
        <v>42575000</v>
      </c>
      <c r="R11385" s="14">
        <f>_xlfn.XLOOKUP(Table2[[#This Row],[LoanID]],Table1[G-L ID],Table1[ManagerCode],-99)</f>
        <v>183</v>
      </c>
    </row>
    <row r="11386" spans="1:18" x14ac:dyDescent="0.25">
      <c r="A11386">
        <v>20200831</v>
      </c>
      <c r="B11386">
        <v>2020</v>
      </c>
      <c r="C11386">
        <v>8</v>
      </c>
      <c r="D11386">
        <v>1</v>
      </c>
      <c r="E11386">
        <v>13060</v>
      </c>
      <c r="F11386">
        <v>116064.29</v>
      </c>
      <c r="G11386">
        <v>0</v>
      </c>
      <c r="H11386">
        <v>0</v>
      </c>
      <c r="I11386">
        <v>0</v>
      </c>
      <c r="J11386">
        <v>0</v>
      </c>
      <c r="K11386">
        <v>0</v>
      </c>
      <c r="L11386">
        <v>52205373.899999999</v>
      </c>
      <c r="M11386">
        <v>52205373.899999999</v>
      </c>
      <c r="N11386">
        <v>25956517.739999998</v>
      </c>
      <c r="O11386">
        <v>25956517.739999998</v>
      </c>
      <c r="P11386">
        <v>53068867.140000001</v>
      </c>
      <c r="Q11386">
        <v>53068867.140000001</v>
      </c>
      <c r="R11386" s="14">
        <f>_xlfn.XLOOKUP(Table2[[#This Row],[LoanID]],Table1[G-L ID],Table1[ManagerCode],-99)</f>
        <v>183</v>
      </c>
    </row>
    <row r="11387" spans="1:18" x14ac:dyDescent="0.25">
      <c r="A11387">
        <v>20200831</v>
      </c>
      <c r="B11387">
        <v>2020</v>
      </c>
      <c r="C11387">
        <v>8</v>
      </c>
      <c r="D11387">
        <v>1</v>
      </c>
      <c r="E11387">
        <v>13070</v>
      </c>
      <c r="F11387">
        <v>430025.07</v>
      </c>
      <c r="G11387">
        <v>0</v>
      </c>
      <c r="H11387">
        <v>0</v>
      </c>
      <c r="I11387">
        <v>0</v>
      </c>
      <c r="J11387">
        <v>0</v>
      </c>
      <c r="K11387">
        <v>0</v>
      </c>
      <c r="L11387">
        <v>99604825</v>
      </c>
      <c r="M11387">
        <v>99604825</v>
      </c>
      <c r="N11387">
        <v>59604825</v>
      </c>
      <c r="O11387">
        <v>59604825</v>
      </c>
      <c r="P11387">
        <v>99604825</v>
      </c>
      <c r="Q11387">
        <v>99604825</v>
      </c>
      <c r="R11387" s="14">
        <f>_xlfn.XLOOKUP(Table2[[#This Row],[LoanID]],Table1[G-L ID],Table1[ManagerCode],-99)</f>
        <v>183</v>
      </c>
    </row>
    <row r="11388" spans="1:18" x14ac:dyDescent="0.25">
      <c r="A11388">
        <v>20200831</v>
      </c>
      <c r="B11388">
        <v>2020</v>
      </c>
      <c r="C11388">
        <v>8</v>
      </c>
      <c r="D11388">
        <v>1</v>
      </c>
      <c r="E11388">
        <v>13080</v>
      </c>
      <c r="F11388">
        <v>135676.98000000001</v>
      </c>
      <c r="G11388">
        <v>0</v>
      </c>
      <c r="H11388">
        <v>0</v>
      </c>
      <c r="I11388">
        <v>0</v>
      </c>
      <c r="J11388">
        <v>0</v>
      </c>
      <c r="K11388">
        <v>0</v>
      </c>
      <c r="L11388">
        <v>43000000</v>
      </c>
      <c r="M11388">
        <v>43000000</v>
      </c>
      <c r="N11388">
        <v>21500000</v>
      </c>
      <c r="O11388">
        <v>21500000</v>
      </c>
      <c r="P11388">
        <v>43000000</v>
      </c>
      <c r="Q11388">
        <v>43000000</v>
      </c>
      <c r="R11388" s="14">
        <f>_xlfn.XLOOKUP(Table2[[#This Row],[LoanID]],Table1[G-L ID],Table1[ManagerCode],-99)</f>
        <v>183</v>
      </c>
    </row>
    <row r="11389" spans="1:18" x14ac:dyDescent="0.25">
      <c r="A11389">
        <v>20200831</v>
      </c>
      <c r="B11389">
        <v>2020</v>
      </c>
      <c r="C11389">
        <v>8</v>
      </c>
      <c r="D11389">
        <v>1</v>
      </c>
      <c r="E11389">
        <v>13090</v>
      </c>
      <c r="F11389">
        <v>76828.33</v>
      </c>
      <c r="G11389">
        <v>0</v>
      </c>
      <c r="H11389">
        <v>0</v>
      </c>
      <c r="I11389">
        <v>0</v>
      </c>
      <c r="J11389">
        <v>0</v>
      </c>
      <c r="K11389">
        <v>0</v>
      </c>
      <c r="L11389">
        <v>20000000</v>
      </c>
      <c r="M11389">
        <v>20000000</v>
      </c>
      <c r="N11389">
        <v>20000000</v>
      </c>
      <c r="O11389">
        <v>20000000</v>
      </c>
      <c r="P11389">
        <v>20000000</v>
      </c>
      <c r="Q11389">
        <v>20000000</v>
      </c>
      <c r="R11389" s="14">
        <f>_xlfn.XLOOKUP(Table2[[#This Row],[LoanID]],Table1[G-L ID],Table1[ManagerCode],-99)</f>
        <v>183</v>
      </c>
    </row>
    <row r="11390" spans="1:18" x14ac:dyDescent="0.25">
      <c r="A11390">
        <v>20200831</v>
      </c>
      <c r="B11390">
        <v>2020</v>
      </c>
      <c r="C11390">
        <v>8</v>
      </c>
      <c r="D11390">
        <v>1</v>
      </c>
      <c r="E11390">
        <v>13100</v>
      </c>
      <c r="F11390">
        <v>118462.37</v>
      </c>
      <c r="G11390">
        <v>0</v>
      </c>
      <c r="H11390">
        <v>0</v>
      </c>
      <c r="I11390">
        <v>0</v>
      </c>
      <c r="J11390">
        <v>-47590.62</v>
      </c>
      <c r="K11390">
        <v>47590.62</v>
      </c>
      <c r="L11390">
        <v>24136193.66</v>
      </c>
      <c r="M11390">
        <v>24183784.280000001</v>
      </c>
      <c r="N11390">
        <v>8632419.2699999996</v>
      </c>
      <c r="O11390">
        <v>8632419.2699999996</v>
      </c>
      <c r="P11390">
        <v>24136193.66</v>
      </c>
      <c r="Q11390">
        <v>24183784.280000001</v>
      </c>
      <c r="R11390" s="14">
        <f>_xlfn.XLOOKUP(Table2[[#This Row],[LoanID]],Table1[G-L ID],Table1[ManagerCode],-99)</f>
        <v>183</v>
      </c>
    </row>
    <row r="11391" spans="1:18" x14ac:dyDescent="0.25">
      <c r="A11391">
        <v>20200831</v>
      </c>
      <c r="B11391">
        <v>2020</v>
      </c>
      <c r="C11391">
        <v>8</v>
      </c>
      <c r="D11391">
        <v>1</v>
      </c>
      <c r="E11391">
        <v>13110</v>
      </c>
      <c r="F11391">
        <v>97457.66</v>
      </c>
      <c r="G11391">
        <v>0</v>
      </c>
      <c r="H11391">
        <v>0</v>
      </c>
      <c r="I11391">
        <v>0</v>
      </c>
      <c r="J11391">
        <v>0</v>
      </c>
      <c r="K11391">
        <v>0</v>
      </c>
      <c r="L11391">
        <v>46647715.689999998</v>
      </c>
      <c r="M11391">
        <v>46647715.689999998</v>
      </c>
      <c r="N11391">
        <v>19002192.030000001</v>
      </c>
      <c r="O11391">
        <v>19002192.030000001</v>
      </c>
      <c r="P11391">
        <v>46647715.689999998</v>
      </c>
      <c r="Q11391">
        <v>46647715.689999998</v>
      </c>
      <c r="R11391" s="14">
        <f>_xlfn.XLOOKUP(Table2[[#This Row],[LoanID]],Table1[G-L ID],Table1[ManagerCode],-99)</f>
        <v>183</v>
      </c>
    </row>
    <row r="11392" spans="1:18" x14ac:dyDescent="0.25">
      <c r="A11392">
        <v>20200831</v>
      </c>
      <c r="B11392">
        <v>2020</v>
      </c>
      <c r="C11392">
        <v>8</v>
      </c>
      <c r="D11392">
        <v>1</v>
      </c>
      <c r="E11392">
        <v>13120</v>
      </c>
      <c r="F11392">
        <v>81504.679999999993</v>
      </c>
      <c r="G11392">
        <v>0</v>
      </c>
      <c r="H11392">
        <v>0</v>
      </c>
      <c r="I11392">
        <v>0</v>
      </c>
      <c r="J11392">
        <v>0</v>
      </c>
      <c r="K11392">
        <v>0</v>
      </c>
      <c r="L11392">
        <v>27360000</v>
      </c>
      <c r="M11392">
        <v>27360000</v>
      </c>
      <c r="N11392">
        <v>9576000</v>
      </c>
      <c r="O11392">
        <v>9576000</v>
      </c>
      <c r="P11392">
        <v>27360000</v>
      </c>
      <c r="Q11392">
        <v>27360000</v>
      </c>
      <c r="R11392" s="14">
        <f>_xlfn.XLOOKUP(Table2[[#This Row],[LoanID]],Table1[G-L ID],Table1[ManagerCode],-99)</f>
        <v>183</v>
      </c>
    </row>
    <row r="11393" spans="1:18" x14ac:dyDescent="0.25">
      <c r="A11393">
        <v>20200831</v>
      </c>
      <c r="B11393">
        <v>2020</v>
      </c>
      <c r="C11393">
        <v>8</v>
      </c>
      <c r="D11393">
        <v>1</v>
      </c>
      <c r="E11393">
        <v>13130</v>
      </c>
      <c r="F11393">
        <v>276425.07</v>
      </c>
      <c r="G11393">
        <v>0</v>
      </c>
      <c r="H11393">
        <v>0</v>
      </c>
      <c r="I11393">
        <v>0</v>
      </c>
      <c r="J11393">
        <v>0</v>
      </c>
      <c r="K11393">
        <v>0</v>
      </c>
      <c r="L11393">
        <v>202924460.09999999</v>
      </c>
      <c r="M11393">
        <v>202924460.09999999</v>
      </c>
      <c r="N11393">
        <v>90593623.099999994</v>
      </c>
      <c r="O11393">
        <v>90593623.099999994</v>
      </c>
      <c r="P11393">
        <v>210670478.59999999</v>
      </c>
      <c r="Q11393">
        <v>210670478.59999999</v>
      </c>
      <c r="R11393" s="14">
        <f>_xlfn.XLOOKUP(Table2[[#This Row],[LoanID]],Table1[G-L ID],Table1[ManagerCode],-99)</f>
        <v>183</v>
      </c>
    </row>
    <row r="11394" spans="1:18" x14ac:dyDescent="0.25">
      <c r="A11394">
        <v>20200831</v>
      </c>
      <c r="B11394">
        <v>2020</v>
      </c>
      <c r="C11394">
        <v>8</v>
      </c>
      <c r="D11394">
        <v>1</v>
      </c>
      <c r="E11394">
        <v>13150</v>
      </c>
      <c r="F11394">
        <v>173544.09</v>
      </c>
      <c r="G11394">
        <v>0</v>
      </c>
      <c r="H11394">
        <v>0</v>
      </c>
      <c r="I11394">
        <v>0</v>
      </c>
      <c r="J11394">
        <v>-196170.51</v>
      </c>
      <c r="K11394">
        <v>0</v>
      </c>
      <c r="L11394">
        <v>89811809.349999994</v>
      </c>
      <c r="M11394">
        <v>90007979.859999999</v>
      </c>
      <c r="N11394">
        <v>34007616.390000001</v>
      </c>
      <c r="O11394">
        <v>34203786.899999999</v>
      </c>
      <c r="P11394">
        <v>90582025.75</v>
      </c>
      <c r="Q11394">
        <v>90778196.260000005</v>
      </c>
      <c r="R11394" s="14">
        <f>_xlfn.XLOOKUP(Table2[[#This Row],[LoanID]],Table1[G-L ID],Table1[ManagerCode],-99)</f>
        <v>183</v>
      </c>
    </row>
    <row r="11395" spans="1:18" x14ac:dyDescent="0.25">
      <c r="A11395">
        <v>20200831</v>
      </c>
      <c r="B11395">
        <v>2020</v>
      </c>
      <c r="C11395">
        <v>8</v>
      </c>
      <c r="D11395">
        <v>1</v>
      </c>
      <c r="E11395">
        <v>13160</v>
      </c>
      <c r="F11395">
        <v>138131.59</v>
      </c>
      <c r="G11395">
        <v>0</v>
      </c>
      <c r="H11395">
        <v>0</v>
      </c>
      <c r="I11395">
        <v>0</v>
      </c>
      <c r="J11395">
        <v>0</v>
      </c>
      <c r="K11395">
        <v>0</v>
      </c>
      <c r="L11395">
        <v>41900000</v>
      </c>
      <c r="M11395">
        <v>41900000</v>
      </c>
      <c r="N11395">
        <v>21854858</v>
      </c>
      <c r="O11395">
        <v>21854858</v>
      </c>
      <c r="P11395">
        <v>41900000</v>
      </c>
      <c r="Q11395">
        <v>41900000</v>
      </c>
      <c r="R11395" s="14">
        <f>_xlfn.XLOOKUP(Table2[[#This Row],[LoanID]],Table1[G-L ID],Table1[ManagerCode],-99)</f>
        <v>183</v>
      </c>
    </row>
    <row r="11396" spans="1:18" x14ac:dyDescent="0.25">
      <c r="A11396">
        <v>20200831</v>
      </c>
      <c r="B11396">
        <v>2020</v>
      </c>
      <c r="C11396">
        <v>8</v>
      </c>
      <c r="D11396">
        <v>1</v>
      </c>
      <c r="E11396">
        <v>13170</v>
      </c>
      <c r="F11396">
        <v>152201.35999999999</v>
      </c>
      <c r="G11396">
        <v>0</v>
      </c>
      <c r="H11396">
        <v>0</v>
      </c>
      <c r="I11396">
        <v>0</v>
      </c>
      <c r="J11396">
        <v>0</v>
      </c>
      <c r="K11396">
        <v>0</v>
      </c>
      <c r="L11396">
        <v>48300000</v>
      </c>
      <c r="M11396">
        <v>45400000</v>
      </c>
      <c r="N11396">
        <v>16866666.670000002</v>
      </c>
      <c r="O11396">
        <v>16866666.670000002</v>
      </c>
      <c r="P11396">
        <v>48300000</v>
      </c>
      <c r="Q11396">
        <v>45400000</v>
      </c>
      <c r="R11396" s="14">
        <f>_xlfn.XLOOKUP(Table2[[#This Row],[LoanID]],Table1[G-L ID],Table1[ManagerCode],-99)</f>
        <v>183</v>
      </c>
    </row>
    <row r="11397" spans="1:18" x14ac:dyDescent="0.25">
      <c r="A11397">
        <v>20200831</v>
      </c>
      <c r="B11397">
        <v>2020</v>
      </c>
      <c r="C11397">
        <v>8</v>
      </c>
      <c r="D11397">
        <v>1</v>
      </c>
      <c r="E11397">
        <v>13180</v>
      </c>
      <c r="F11397">
        <v>126277.29</v>
      </c>
      <c r="G11397">
        <v>0</v>
      </c>
      <c r="H11397">
        <v>0</v>
      </c>
      <c r="I11397">
        <v>0</v>
      </c>
      <c r="J11397">
        <v>0</v>
      </c>
      <c r="K11397">
        <v>0</v>
      </c>
      <c r="L11397">
        <v>39780000</v>
      </c>
      <c r="M11397">
        <v>39780000</v>
      </c>
      <c r="N11397">
        <v>15930000</v>
      </c>
      <c r="O11397">
        <v>15930000</v>
      </c>
      <c r="P11397">
        <v>39780000</v>
      </c>
      <c r="Q11397">
        <v>39780000</v>
      </c>
      <c r="R11397" s="14">
        <f>_xlfn.XLOOKUP(Table2[[#This Row],[LoanID]],Table1[G-L ID],Table1[ManagerCode],-99)</f>
        <v>183</v>
      </c>
    </row>
    <row r="11398" spans="1:18" x14ac:dyDescent="0.25">
      <c r="A11398">
        <v>20200831</v>
      </c>
      <c r="B11398">
        <v>2020</v>
      </c>
      <c r="C11398">
        <v>8</v>
      </c>
      <c r="D11398">
        <v>1</v>
      </c>
      <c r="E11398">
        <v>13190</v>
      </c>
      <c r="F11398">
        <v>107637.56</v>
      </c>
      <c r="G11398">
        <v>61429.919999999998</v>
      </c>
      <c r="H11398">
        <v>0</v>
      </c>
      <c r="I11398">
        <v>0</v>
      </c>
      <c r="J11398">
        <v>-2249152</v>
      </c>
      <c r="K11398">
        <v>0</v>
      </c>
      <c r="L11398">
        <v>21713917.699999999</v>
      </c>
      <c r="M11398">
        <v>24024499.620000001</v>
      </c>
      <c r="N11398">
        <v>21713917.699999999</v>
      </c>
      <c r="O11398">
        <v>24024499.620000001</v>
      </c>
      <c r="P11398">
        <v>21713917.699999999</v>
      </c>
      <c r="Q11398">
        <v>24024499.620000001</v>
      </c>
      <c r="R11398" s="14">
        <f>_xlfn.XLOOKUP(Table2[[#This Row],[LoanID]],Table1[G-L ID],Table1[ManagerCode],-99)</f>
        <v>183</v>
      </c>
    </row>
    <row r="11399" spans="1:18" x14ac:dyDescent="0.25">
      <c r="A11399">
        <v>20200831</v>
      </c>
      <c r="B11399">
        <v>2020</v>
      </c>
      <c r="C11399">
        <v>8</v>
      </c>
      <c r="D11399">
        <v>1</v>
      </c>
      <c r="E11399">
        <v>13200</v>
      </c>
      <c r="F11399">
        <v>154230.07999999999</v>
      </c>
      <c r="G11399">
        <v>74718.11</v>
      </c>
      <c r="H11399">
        <v>0</v>
      </c>
      <c r="I11399">
        <v>0</v>
      </c>
      <c r="J11399">
        <v>-890483.04</v>
      </c>
      <c r="K11399">
        <v>0</v>
      </c>
      <c r="L11399">
        <v>30511253.960000001</v>
      </c>
      <c r="M11399">
        <v>31476455.109999999</v>
      </c>
      <c r="N11399">
        <v>30511253.960000001</v>
      </c>
      <c r="O11399">
        <v>31476455.109999999</v>
      </c>
      <c r="P11399">
        <v>30511253.960000001</v>
      </c>
      <c r="Q11399">
        <v>31476455.109999999</v>
      </c>
      <c r="R11399" s="14">
        <f>_xlfn.XLOOKUP(Table2[[#This Row],[LoanID]],Table1[G-L ID],Table1[ManagerCode],-99)</f>
        <v>183</v>
      </c>
    </row>
    <row r="11400" spans="1:18" x14ac:dyDescent="0.25">
      <c r="A11400">
        <v>20200831</v>
      </c>
      <c r="B11400">
        <v>2020</v>
      </c>
      <c r="C11400">
        <v>8</v>
      </c>
      <c r="D11400">
        <v>1</v>
      </c>
      <c r="E11400">
        <v>13210</v>
      </c>
      <c r="F11400">
        <v>0</v>
      </c>
      <c r="G11400">
        <v>227519.39</v>
      </c>
      <c r="H11400">
        <v>0</v>
      </c>
      <c r="I11400">
        <v>0</v>
      </c>
      <c r="J11400">
        <v>0</v>
      </c>
      <c r="K11400">
        <v>0</v>
      </c>
      <c r="L11400">
        <v>21001789.5</v>
      </c>
      <c r="M11400">
        <v>21229308.890000001</v>
      </c>
      <c r="N11400">
        <v>21001789.5</v>
      </c>
      <c r="O11400">
        <v>21229308.890000001</v>
      </c>
      <c r="P11400">
        <v>21001789.5</v>
      </c>
      <c r="Q11400">
        <v>21229308.890000001</v>
      </c>
      <c r="R11400" s="14">
        <f>_xlfn.XLOOKUP(Table2[[#This Row],[LoanID]],Table1[G-L ID],Table1[ManagerCode],-99)</f>
        <v>183</v>
      </c>
    </row>
    <row r="11401" spans="1:18" x14ac:dyDescent="0.25">
      <c r="A11401">
        <v>20200831</v>
      </c>
      <c r="B11401">
        <v>2020</v>
      </c>
      <c r="C11401">
        <v>8</v>
      </c>
      <c r="D11401">
        <v>1</v>
      </c>
      <c r="E11401">
        <v>13260</v>
      </c>
      <c r="F11401">
        <v>0</v>
      </c>
      <c r="G11401">
        <v>149280</v>
      </c>
      <c r="H11401">
        <v>0</v>
      </c>
      <c r="I11401">
        <v>0</v>
      </c>
      <c r="J11401">
        <v>0</v>
      </c>
      <c r="K11401">
        <v>0</v>
      </c>
      <c r="L11401">
        <v>20690002.219999999</v>
      </c>
      <c r="M11401">
        <v>20839282.219999999</v>
      </c>
      <c r="N11401">
        <v>20690002.219999999</v>
      </c>
      <c r="O11401">
        <v>20839282.219999999</v>
      </c>
      <c r="P11401">
        <v>20690002.219999999</v>
      </c>
      <c r="Q11401">
        <v>20839282.219999999</v>
      </c>
      <c r="R11401" s="14">
        <f>_xlfn.XLOOKUP(Table2[[#This Row],[LoanID]],Table1[G-L ID],Table1[ManagerCode],-99)</f>
        <v>219</v>
      </c>
    </row>
    <row r="11402" spans="1:18" x14ac:dyDescent="0.25">
      <c r="A11402">
        <v>20200831</v>
      </c>
      <c r="B11402">
        <v>2020</v>
      </c>
      <c r="C11402">
        <v>8</v>
      </c>
      <c r="D11402">
        <v>1</v>
      </c>
      <c r="E11402">
        <v>13300</v>
      </c>
      <c r="F11402">
        <v>215278.23</v>
      </c>
      <c r="G11402">
        <v>0</v>
      </c>
      <c r="H11402">
        <v>0</v>
      </c>
      <c r="I11402">
        <v>0</v>
      </c>
      <c r="J11402">
        <v>0</v>
      </c>
      <c r="K11402">
        <v>0</v>
      </c>
      <c r="L11402">
        <v>24065278.23</v>
      </c>
      <c r="M11402">
        <v>24065278.23</v>
      </c>
      <c r="N11402">
        <v>24065278.23</v>
      </c>
      <c r="O11402">
        <v>24065278.23</v>
      </c>
      <c r="P11402">
        <v>25215278.23</v>
      </c>
      <c r="Q11402">
        <v>25215278.23</v>
      </c>
      <c r="R11402" s="14">
        <f>_xlfn.XLOOKUP(Table2[[#This Row],[LoanID]],Table1[G-L ID],Table1[ManagerCode],-99)</f>
        <v>219</v>
      </c>
    </row>
    <row r="11403" spans="1:18" x14ac:dyDescent="0.25">
      <c r="A11403">
        <v>20200831</v>
      </c>
      <c r="B11403">
        <v>2020</v>
      </c>
      <c r="C11403">
        <v>8</v>
      </c>
      <c r="D11403">
        <v>1</v>
      </c>
      <c r="E11403">
        <v>13370</v>
      </c>
      <c r="F11403">
        <v>146737.32</v>
      </c>
      <c r="G11403">
        <v>0</v>
      </c>
      <c r="H11403">
        <v>0</v>
      </c>
      <c r="I11403">
        <v>0</v>
      </c>
      <c r="J11403">
        <v>-87560.93</v>
      </c>
      <c r="K11403">
        <v>0</v>
      </c>
      <c r="L11403">
        <v>45271518.159999996</v>
      </c>
      <c r="M11403">
        <v>45359079.090000004</v>
      </c>
      <c r="N11403">
        <v>45271518.159999996</v>
      </c>
      <c r="O11403">
        <v>45359079.090000004</v>
      </c>
      <c r="P11403">
        <v>45379094.670000002</v>
      </c>
      <c r="Q11403">
        <v>45466655.600000001</v>
      </c>
      <c r="R11403" s="14">
        <f>_xlfn.XLOOKUP(Table2[[#This Row],[LoanID]],Table1[G-L ID],Table1[ManagerCode],-99)</f>
        <v>183</v>
      </c>
    </row>
    <row r="11404" spans="1:18" x14ac:dyDescent="0.25">
      <c r="A11404">
        <v>20200831</v>
      </c>
      <c r="B11404">
        <v>2020</v>
      </c>
      <c r="C11404">
        <v>8</v>
      </c>
      <c r="D11404">
        <v>1</v>
      </c>
      <c r="E11404">
        <v>13380</v>
      </c>
      <c r="F11404">
        <v>64429.26</v>
      </c>
      <c r="G11404">
        <v>0</v>
      </c>
      <c r="H11404">
        <v>0</v>
      </c>
      <c r="I11404">
        <v>0</v>
      </c>
      <c r="J11404">
        <v>0</v>
      </c>
      <c r="K11404">
        <v>0</v>
      </c>
      <c r="L11404">
        <v>31750672.280000001</v>
      </c>
      <c r="M11404">
        <v>31750672.280000001</v>
      </c>
      <c r="N11404">
        <v>10950672.279999999</v>
      </c>
      <c r="O11404">
        <v>10950672.279999999</v>
      </c>
      <c r="P11404">
        <v>32000000</v>
      </c>
      <c r="Q11404">
        <v>32000000</v>
      </c>
      <c r="R11404" s="14">
        <f>_xlfn.XLOOKUP(Table2[[#This Row],[LoanID]],Table1[G-L ID],Table1[ManagerCode],-99)</f>
        <v>183</v>
      </c>
    </row>
    <row r="11405" spans="1:18" x14ac:dyDescent="0.25">
      <c r="A11405">
        <v>20200831</v>
      </c>
      <c r="B11405">
        <v>2020</v>
      </c>
      <c r="C11405">
        <v>8</v>
      </c>
      <c r="D11405">
        <v>1</v>
      </c>
      <c r="E11405">
        <v>13390</v>
      </c>
      <c r="F11405">
        <v>-32848.81</v>
      </c>
      <c r="G11405">
        <v>0</v>
      </c>
      <c r="H11405">
        <v>0</v>
      </c>
      <c r="I11405">
        <v>0</v>
      </c>
      <c r="J11405">
        <v>-124803.78</v>
      </c>
      <c r="K11405">
        <v>0</v>
      </c>
      <c r="L11405">
        <v>18218801.739999998</v>
      </c>
      <c r="M11405">
        <v>18343605.52</v>
      </c>
      <c r="N11405">
        <v>-281199.26</v>
      </c>
      <c r="O11405">
        <v>-156395.48000000001</v>
      </c>
      <c r="P11405">
        <v>50351636.020000003</v>
      </c>
      <c r="Q11405">
        <v>50476439.799999997</v>
      </c>
      <c r="R11405" s="14">
        <f>_xlfn.XLOOKUP(Table2[[#This Row],[LoanID]],Table1[G-L ID],Table1[ManagerCode],-99)</f>
        <v>183</v>
      </c>
    </row>
    <row r="11406" spans="1:18" x14ac:dyDescent="0.25">
      <c r="A11406">
        <v>20200831</v>
      </c>
      <c r="B11406">
        <v>2020</v>
      </c>
      <c r="C11406">
        <v>8</v>
      </c>
      <c r="D11406">
        <v>1</v>
      </c>
      <c r="E11406">
        <v>13400</v>
      </c>
      <c r="F11406">
        <v>109310.32</v>
      </c>
      <c r="G11406">
        <v>0</v>
      </c>
      <c r="H11406">
        <v>0</v>
      </c>
      <c r="I11406">
        <v>0</v>
      </c>
      <c r="J11406">
        <v>0</v>
      </c>
      <c r="K11406">
        <v>0</v>
      </c>
      <c r="L11406">
        <v>32357792.309999999</v>
      </c>
      <c r="M11406">
        <v>32357792.309999999</v>
      </c>
      <c r="N11406">
        <v>11720292.310000001</v>
      </c>
      <c r="O11406">
        <v>11720292.310000001</v>
      </c>
      <c r="P11406">
        <v>32357792.309999999</v>
      </c>
      <c r="Q11406">
        <v>32357792.309999999</v>
      </c>
      <c r="R11406" s="14">
        <f>_xlfn.XLOOKUP(Table2[[#This Row],[LoanID]],Table1[G-L ID],Table1[ManagerCode],-99)</f>
        <v>183</v>
      </c>
    </row>
    <row r="11407" spans="1:18" x14ac:dyDescent="0.25">
      <c r="A11407">
        <v>20200831</v>
      </c>
      <c r="B11407">
        <v>2020</v>
      </c>
      <c r="C11407">
        <v>8</v>
      </c>
      <c r="D11407">
        <v>1</v>
      </c>
      <c r="E11407">
        <v>13410</v>
      </c>
      <c r="F11407">
        <v>51760.17</v>
      </c>
      <c r="G11407">
        <v>0</v>
      </c>
      <c r="H11407">
        <v>0</v>
      </c>
      <c r="I11407">
        <v>0</v>
      </c>
      <c r="J11407">
        <v>0</v>
      </c>
      <c r="K11407">
        <v>0</v>
      </c>
      <c r="L11407">
        <v>35279030.789999999</v>
      </c>
      <c r="M11407">
        <v>35279030.789999999</v>
      </c>
      <c r="N11407">
        <v>14409030.789999999</v>
      </c>
      <c r="O11407">
        <v>14409030.789999999</v>
      </c>
      <c r="P11407">
        <v>35845930.130000003</v>
      </c>
      <c r="Q11407">
        <v>35845930.130000003</v>
      </c>
      <c r="R11407" s="14">
        <f>_xlfn.XLOOKUP(Table2[[#This Row],[LoanID]],Table1[G-L ID],Table1[ManagerCode],-99)</f>
        <v>183</v>
      </c>
    </row>
    <row r="11408" spans="1:18" x14ac:dyDescent="0.25">
      <c r="A11408">
        <v>20200831</v>
      </c>
      <c r="B11408">
        <v>2020</v>
      </c>
      <c r="C11408">
        <v>8</v>
      </c>
      <c r="D11408">
        <v>1</v>
      </c>
      <c r="E11408">
        <v>13420</v>
      </c>
      <c r="F11408">
        <v>68037.119999999995</v>
      </c>
      <c r="G11408">
        <v>0</v>
      </c>
      <c r="H11408">
        <v>0</v>
      </c>
      <c r="I11408">
        <v>0</v>
      </c>
      <c r="J11408">
        <v>-42669.85</v>
      </c>
      <c r="K11408">
        <v>0</v>
      </c>
      <c r="L11408">
        <v>31055261.260000002</v>
      </c>
      <c r="M11408">
        <v>31097931.109999999</v>
      </c>
      <c r="N11408">
        <v>14560348.26</v>
      </c>
      <c r="O11408">
        <v>14603018.109999999</v>
      </c>
      <c r="P11408">
        <v>31142527.879999999</v>
      </c>
      <c r="Q11408">
        <v>31185197.73</v>
      </c>
      <c r="R11408" s="14">
        <f>_xlfn.XLOOKUP(Table2[[#This Row],[LoanID]],Table1[G-L ID],Table1[ManagerCode],-99)</f>
        <v>183</v>
      </c>
    </row>
    <row r="11409" spans="1:18" x14ac:dyDescent="0.25">
      <c r="A11409">
        <v>20200831</v>
      </c>
      <c r="B11409">
        <v>2020</v>
      </c>
      <c r="C11409">
        <v>8</v>
      </c>
      <c r="D11409">
        <v>1</v>
      </c>
      <c r="E11409">
        <v>13430</v>
      </c>
      <c r="F11409">
        <v>248453.88</v>
      </c>
      <c r="G11409">
        <v>0</v>
      </c>
      <c r="H11409">
        <v>0</v>
      </c>
      <c r="I11409">
        <v>0</v>
      </c>
      <c r="J11409">
        <v>0</v>
      </c>
      <c r="K11409">
        <v>0</v>
      </c>
      <c r="L11409">
        <v>75184698</v>
      </c>
      <c r="M11409">
        <v>75184698</v>
      </c>
      <c r="N11409">
        <v>31067051</v>
      </c>
      <c r="O11409">
        <v>31067051</v>
      </c>
      <c r="P11409">
        <v>75000000</v>
      </c>
      <c r="Q11409">
        <v>75000000</v>
      </c>
      <c r="R11409" s="14">
        <f>_xlfn.XLOOKUP(Table2[[#This Row],[LoanID]],Table1[G-L ID],Table1[ManagerCode],-99)</f>
        <v>183</v>
      </c>
    </row>
    <row r="11410" spans="1:18" x14ac:dyDescent="0.25">
      <c r="A11410">
        <v>20200831</v>
      </c>
      <c r="B11410">
        <v>2020</v>
      </c>
      <c r="C11410">
        <v>8</v>
      </c>
      <c r="D11410">
        <v>1</v>
      </c>
      <c r="E11410">
        <v>13440</v>
      </c>
      <c r="F11410">
        <v>0</v>
      </c>
      <c r="G11410">
        <v>131363.04999999999</v>
      </c>
      <c r="H11410">
        <v>0</v>
      </c>
      <c r="I11410">
        <v>0</v>
      </c>
      <c r="J11410">
        <v>0</v>
      </c>
      <c r="K11410">
        <v>0</v>
      </c>
      <c r="L11410">
        <v>13266379.710000001</v>
      </c>
      <c r="M11410">
        <v>13397742.76</v>
      </c>
      <c r="N11410">
        <v>13266379.710000001</v>
      </c>
      <c r="O11410">
        <v>13397742.76</v>
      </c>
      <c r="P11410">
        <v>13266379.710000001</v>
      </c>
      <c r="Q11410">
        <v>13397742.76</v>
      </c>
      <c r="R11410" s="14">
        <f>_xlfn.XLOOKUP(Table2[[#This Row],[LoanID]],Table1[G-L ID],Table1[ManagerCode],-99)</f>
        <v>183</v>
      </c>
    </row>
    <row r="11411" spans="1:18" x14ac:dyDescent="0.25">
      <c r="A11411">
        <v>20200831</v>
      </c>
      <c r="B11411">
        <v>2020</v>
      </c>
      <c r="C11411">
        <v>8</v>
      </c>
      <c r="D11411">
        <v>1</v>
      </c>
      <c r="E11411">
        <v>13450</v>
      </c>
      <c r="F11411">
        <v>0</v>
      </c>
      <c r="G11411">
        <v>159598.13</v>
      </c>
      <c r="H11411">
        <v>0</v>
      </c>
      <c r="I11411">
        <v>0</v>
      </c>
      <c r="J11411">
        <v>0</v>
      </c>
      <c r="K11411">
        <v>0</v>
      </c>
      <c r="L11411">
        <v>14732134.93</v>
      </c>
      <c r="M11411">
        <v>14891733.060000001</v>
      </c>
      <c r="N11411">
        <v>14732134.93</v>
      </c>
      <c r="O11411">
        <v>14891733.060000001</v>
      </c>
      <c r="P11411">
        <v>14732134.93</v>
      </c>
      <c r="Q11411">
        <v>14891733.060000001</v>
      </c>
      <c r="R11411" s="14">
        <f>_xlfn.XLOOKUP(Table2[[#This Row],[LoanID]],Table1[G-L ID],Table1[ManagerCode],-99)</f>
        <v>183</v>
      </c>
    </row>
    <row r="11412" spans="1:18" x14ac:dyDescent="0.25">
      <c r="A11412">
        <v>20200831</v>
      </c>
      <c r="B11412">
        <v>2020</v>
      </c>
      <c r="C11412">
        <v>8</v>
      </c>
      <c r="D11412">
        <v>1</v>
      </c>
      <c r="E11412">
        <v>13460</v>
      </c>
      <c r="F11412">
        <v>32762.98</v>
      </c>
      <c r="G11412">
        <v>27472.37</v>
      </c>
      <c r="H11412">
        <v>0</v>
      </c>
      <c r="I11412">
        <v>0</v>
      </c>
      <c r="J11412">
        <v>-32762.98</v>
      </c>
      <c r="K11412">
        <v>0</v>
      </c>
      <c r="L11412">
        <v>7663198.1600000001</v>
      </c>
      <c r="M11412">
        <v>7723433.5099999998</v>
      </c>
      <c r="N11412">
        <v>7663198.1600000001</v>
      </c>
      <c r="O11412">
        <v>7723433.5099999998</v>
      </c>
      <c r="P11412">
        <v>7663198.1600000001</v>
      </c>
      <c r="Q11412">
        <v>7723433.5099999998</v>
      </c>
      <c r="R11412" s="14">
        <f>_xlfn.XLOOKUP(Table2[[#This Row],[LoanID]],Table1[G-L ID],Table1[ManagerCode],-99)</f>
        <v>183</v>
      </c>
    </row>
    <row r="11413" spans="1:18" x14ac:dyDescent="0.25">
      <c r="A11413">
        <v>20200831</v>
      </c>
      <c r="B11413">
        <v>2020</v>
      </c>
      <c r="C11413">
        <v>8</v>
      </c>
      <c r="D11413">
        <v>1</v>
      </c>
      <c r="E11413">
        <v>13470</v>
      </c>
      <c r="F11413">
        <v>370008.68</v>
      </c>
      <c r="G11413">
        <v>0</v>
      </c>
      <c r="H11413">
        <v>0</v>
      </c>
      <c r="I11413">
        <v>0</v>
      </c>
      <c r="J11413">
        <v>0</v>
      </c>
      <c r="K11413">
        <v>0</v>
      </c>
      <c r="L11413">
        <v>62500000</v>
      </c>
      <c r="M11413">
        <v>62500000</v>
      </c>
      <c r="N11413">
        <v>62500000</v>
      </c>
      <c r="O11413">
        <v>62500000</v>
      </c>
      <c r="P11413">
        <v>62500000</v>
      </c>
      <c r="Q11413">
        <v>62500000</v>
      </c>
      <c r="R11413" s="14">
        <f>_xlfn.XLOOKUP(Table2[[#This Row],[LoanID]],Table1[G-L ID],Table1[ManagerCode],-99)</f>
        <v>165</v>
      </c>
    </row>
    <row r="11414" spans="1:18" x14ac:dyDescent="0.25">
      <c r="A11414">
        <v>20200831</v>
      </c>
      <c r="B11414">
        <v>2020</v>
      </c>
      <c r="C11414">
        <v>8</v>
      </c>
      <c r="D11414">
        <v>1</v>
      </c>
      <c r="E11414">
        <v>13480</v>
      </c>
      <c r="F11414">
        <v>250531.67</v>
      </c>
      <c r="G11414">
        <v>0</v>
      </c>
      <c r="H11414">
        <v>0</v>
      </c>
      <c r="I11414">
        <v>0</v>
      </c>
      <c r="J11414">
        <v>0</v>
      </c>
      <c r="K11414">
        <v>0</v>
      </c>
      <c r="L11414">
        <v>39000000</v>
      </c>
      <c r="M11414">
        <v>39000000</v>
      </c>
      <c r="N11414">
        <v>39000000</v>
      </c>
      <c r="O11414">
        <v>39000000</v>
      </c>
      <c r="P11414">
        <v>39000000</v>
      </c>
      <c r="Q11414">
        <v>39000000</v>
      </c>
      <c r="R11414" s="14">
        <f>_xlfn.XLOOKUP(Table2[[#This Row],[LoanID]],Table1[G-L ID],Table1[ManagerCode],-99)</f>
        <v>165</v>
      </c>
    </row>
    <row r="11415" spans="1:18" x14ac:dyDescent="0.25">
      <c r="A11415">
        <v>20200831</v>
      </c>
      <c r="B11415">
        <v>2020</v>
      </c>
      <c r="C11415">
        <v>8</v>
      </c>
      <c r="D11415">
        <v>1</v>
      </c>
      <c r="E11415">
        <v>13490</v>
      </c>
      <c r="F11415">
        <v>303800</v>
      </c>
      <c r="G11415">
        <v>0</v>
      </c>
      <c r="H11415">
        <v>0</v>
      </c>
      <c r="I11415">
        <v>0</v>
      </c>
      <c r="J11415">
        <v>0</v>
      </c>
      <c r="K11415">
        <v>0</v>
      </c>
      <c r="L11415">
        <v>40000000</v>
      </c>
      <c r="M11415">
        <v>40000000</v>
      </c>
      <c r="N11415">
        <v>40000000</v>
      </c>
      <c r="O11415">
        <v>40000000</v>
      </c>
      <c r="P11415">
        <v>40000000</v>
      </c>
      <c r="Q11415">
        <v>40000000</v>
      </c>
      <c r="R11415" s="14">
        <f>_xlfn.XLOOKUP(Table2[[#This Row],[LoanID]],Table1[G-L ID],Table1[ManagerCode],-99)</f>
        <v>165</v>
      </c>
    </row>
    <row r="11416" spans="1:18" x14ac:dyDescent="0.25">
      <c r="A11416">
        <v>20200831</v>
      </c>
      <c r="B11416">
        <v>2020</v>
      </c>
      <c r="C11416">
        <v>8</v>
      </c>
      <c r="D11416">
        <v>1</v>
      </c>
      <c r="E11416">
        <v>13500</v>
      </c>
      <c r="F11416">
        <v>283628.46999999997</v>
      </c>
      <c r="G11416">
        <v>0</v>
      </c>
      <c r="H11416">
        <v>0</v>
      </c>
      <c r="I11416">
        <v>0</v>
      </c>
      <c r="J11416">
        <v>0</v>
      </c>
      <c r="K11416">
        <v>0</v>
      </c>
      <c r="L11416">
        <v>42500000</v>
      </c>
      <c r="M11416">
        <v>42500000</v>
      </c>
      <c r="N11416">
        <v>42500000</v>
      </c>
      <c r="O11416">
        <v>42500000</v>
      </c>
      <c r="P11416">
        <v>42500000</v>
      </c>
      <c r="Q11416">
        <v>42500000</v>
      </c>
      <c r="R11416" s="14">
        <f>_xlfn.XLOOKUP(Table2[[#This Row],[LoanID]],Table1[G-L ID],Table1[ManagerCode],-99)</f>
        <v>165</v>
      </c>
    </row>
    <row r="11417" spans="1:18" x14ac:dyDescent="0.25">
      <c r="A11417">
        <v>20200831</v>
      </c>
      <c r="B11417">
        <v>2020</v>
      </c>
      <c r="C11417">
        <v>8</v>
      </c>
      <c r="D11417">
        <v>1</v>
      </c>
      <c r="E11417">
        <v>13510</v>
      </c>
      <c r="F11417">
        <v>317750</v>
      </c>
      <c r="G11417">
        <v>0</v>
      </c>
      <c r="H11417">
        <v>0</v>
      </c>
      <c r="I11417">
        <v>0</v>
      </c>
      <c r="J11417">
        <v>0</v>
      </c>
      <c r="K11417">
        <v>0</v>
      </c>
      <c r="L11417">
        <v>90000000</v>
      </c>
      <c r="M11417">
        <v>90000000</v>
      </c>
      <c r="N11417">
        <v>90000000</v>
      </c>
      <c r="O11417">
        <v>90000000</v>
      </c>
      <c r="P11417">
        <v>90000000</v>
      </c>
      <c r="Q11417">
        <v>90000000</v>
      </c>
      <c r="R11417" s="14">
        <f>_xlfn.XLOOKUP(Table2[[#This Row],[LoanID]],Table1[G-L ID],Table1[ManagerCode],-99)</f>
        <v>165</v>
      </c>
    </row>
    <row r="11418" spans="1:18" x14ac:dyDescent="0.25">
      <c r="A11418">
        <v>20200831</v>
      </c>
      <c r="B11418">
        <v>2020</v>
      </c>
      <c r="C11418">
        <v>8</v>
      </c>
      <c r="D11418">
        <v>1</v>
      </c>
      <c r="E11418">
        <v>13520</v>
      </c>
      <c r="F11418">
        <v>860572.92</v>
      </c>
      <c r="G11418">
        <v>0</v>
      </c>
      <c r="H11418">
        <v>0</v>
      </c>
      <c r="I11418">
        <v>0</v>
      </c>
      <c r="J11418">
        <v>0</v>
      </c>
      <c r="K11418">
        <v>0</v>
      </c>
      <c r="L11418">
        <v>195000000</v>
      </c>
      <c r="M11418">
        <v>195000000</v>
      </c>
      <c r="N11418">
        <v>195000000</v>
      </c>
      <c r="O11418">
        <v>195000000</v>
      </c>
      <c r="P11418">
        <v>195000000</v>
      </c>
      <c r="Q11418">
        <v>195000000</v>
      </c>
      <c r="R11418" s="14">
        <f>_xlfn.XLOOKUP(Table2[[#This Row],[LoanID]],Table1[G-L ID],Table1[ManagerCode],-99)</f>
        <v>165</v>
      </c>
    </row>
    <row r="11419" spans="1:18" x14ac:dyDescent="0.25">
      <c r="A11419">
        <v>20200831</v>
      </c>
      <c r="B11419">
        <v>2020</v>
      </c>
      <c r="C11419">
        <v>8</v>
      </c>
      <c r="D11419">
        <v>1</v>
      </c>
      <c r="E11419">
        <v>13530</v>
      </c>
      <c r="F11419">
        <v>403645.83</v>
      </c>
      <c r="G11419">
        <v>0</v>
      </c>
      <c r="H11419">
        <v>0</v>
      </c>
      <c r="I11419">
        <v>0</v>
      </c>
      <c r="J11419">
        <v>0</v>
      </c>
      <c r="K11419">
        <v>0</v>
      </c>
      <c r="L11419">
        <v>75000000</v>
      </c>
      <c r="M11419">
        <v>75000000</v>
      </c>
      <c r="N11419">
        <v>75000000</v>
      </c>
      <c r="O11419">
        <v>75000000</v>
      </c>
      <c r="P11419">
        <v>75000000</v>
      </c>
      <c r="Q11419">
        <v>75000000</v>
      </c>
      <c r="R11419" s="14">
        <f>_xlfn.XLOOKUP(Table2[[#This Row],[LoanID]],Table1[G-L ID],Table1[ManagerCode],-99)</f>
        <v>165</v>
      </c>
    </row>
    <row r="11420" spans="1:18" x14ac:dyDescent="0.25">
      <c r="A11420">
        <v>20200831</v>
      </c>
      <c r="B11420">
        <v>2020</v>
      </c>
      <c r="C11420">
        <v>8</v>
      </c>
      <c r="D11420">
        <v>1</v>
      </c>
      <c r="E11420">
        <v>13550</v>
      </c>
      <c r="F11420">
        <v>1682872.91</v>
      </c>
      <c r="G11420">
        <v>0</v>
      </c>
      <c r="H11420">
        <v>0</v>
      </c>
      <c r="I11420">
        <v>0</v>
      </c>
      <c r="J11420">
        <v>0</v>
      </c>
      <c r="K11420">
        <v>0</v>
      </c>
      <c r="L11420">
        <v>355328004.80000001</v>
      </c>
      <c r="M11420">
        <v>355328004.80000001</v>
      </c>
      <c r="N11420">
        <v>355328004.80000001</v>
      </c>
      <c r="O11420">
        <v>355328004.80000001</v>
      </c>
      <c r="P11420">
        <v>355328004.80000001</v>
      </c>
      <c r="Q11420">
        <v>355328004.80000001</v>
      </c>
      <c r="R11420" s="14">
        <f>_xlfn.XLOOKUP(Table2[[#This Row],[LoanID]],Table1[G-L ID],Table1[ManagerCode],-99)</f>
        <v>165</v>
      </c>
    </row>
    <row r="11421" spans="1:18" x14ac:dyDescent="0.25">
      <c r="A11421">
        <v>20200831</v>
      </c>
      <c r="B11421">
        <v>2020</v>
      </c>
      <c r="C11421">
        <v>8</v>
      </c>
      <c r="D11421">
        <v>1</v>
      </c>
      <c r="E11421">
        <v>13560</v>
      </c>
      <c r="F11421">
        <v>422697.92</v>
      </c>
      <c r="G11421">
        <v>-644.58000000000004</v>
      </c>
      <c r="H11421">
        <v>0</v>
      </c>
      <c r="I11421">
        <v>0</v>
      </c>
      <c r="J11421">
        <v>0</v>
      </c>
      <c r="K11421">
        <v>0</v>
      </c>
      <c r="L11421">
        <v>105231802.40000001</v>
      </c>
      <c r="M11421">
        <v>105231157.8</v>
      </c>
      <c r="N11421">
        <v>105231802.40000001</v>
      </c>
      <c r="O11421">
        <v>105231157.8</v>
      </c>
      <c r="P11421">
        <v>105231802.40000001</v>
      </c>
      <c r="Q11421">
        <v>105231157.8</v>
      </c>
      <c r="R11421" s="14">
        <f>_xlfn.XLOOKUP(Table2[[#This Row],[LoanID]],Table1[G-L ID],Table1[ManagerCode],-99)</f>
        <v>219</v>
      </c>
    </row>
    <row r="11422" spans="1:18" x14ac:dyDescent="0.25">
      <c r="A11422">
        <v>20200831</v>
      </c>
      <c r="B11422">
        <v>2020</v>
      </c>
      <c r="C11422">
        <v>8</v>
      </c>
      <c r="D11422">
        <v>1</v>
      </c>
      <c r="E11422">
        <v>13580</v>
      </c>
      <c r="F11422">
        <v>0</v>
      </c>
      <c r="G11422">
        <v>0</v>
      </c>
      <c r="H11422">
        <v>0</v>
      </c>
      <c r="I11422">
        <v>0</v>
      </c>
      <c r="J11422">
        <v>0</v>
      </c>
      <c r="K11422">
        <v>0</v>
      </c>
      <c r="L11422">
        <v>60831808.189999998</v>
      </c>
      <c r="M11422">
        <v>60904719.380000003</v>
      </c>
      <c r="N11422">
        <v>60831808.189999998</v>
      </c>
      <c r="O11422">
        <v>60904719.380000003</v>
      </c>
      <c r="P11422">
        <v>66500000</v>
      </c>
      <c r="Q11422">
        <v>66500000</v>
      </c>
      <c r="R11422" s="14">
        <f>_xlfn.XLOOKUP(Table2[[#This Row],[LoanID]],Table1[G-L ID],Table1[ManagerCode],-99)</f>
        <v>298</v>
      </c>
    </row>
    <row r="11423" spans="1:18" x14ac:dyDescent="0.25">
      <c r="A11423">
        <v>20200831</v>
      </c>
      <c r="B11423">
        <v>2020</v>
      </c>
      <c r="C11423">
        <v>8</v>
      </c>
      <c r="D11423">
        <v>1</v>
      </c>
      <c r="E11423">
        <v>13600</v>
      </c>
      <c r="F11423">
        <v>379029.03</v>
      </c>
      <c r="G11423">
        <v>0</v>
      </c>
      <c r="H11423">
        <v>0</v>
      </c>
      <c r="I11423">
        <v>0</v>
      </c>
      <c r="J11423">
        <v>0</v>
      </c>
      <c r="K11423">
        <v>0</v>
      </c>
      <c r="L11423">
        <v>45561204.140000001</v>
      </c>
      <c r="M11423">
        <v>45561204.140000001</v>
      </c>
      <c r="N11423">
        <v>45561204.140000001</v>
      </c>
      <c r="O11423">
        <v>45561204.140000001</v>
      </c>
      <c r="P11423">
        <v>45970000</v>
      </c>
      <c r="Q11423">
        <v>45970000</v>
      </c>
      <c r="R11423" s="14">
        <f>_xlfn.XLOOKUP(Table2[[#This Row],[LoanID]],Table1[G-L ID],Table1[ManagerCode],-99)</f>
        <v>298</v>
      </c>
    </row>
    <row r="11424" spans="1:18" x14ac:dyDescent="0.25">
      <c r="A11424">
        <v>20200831</v>
      </c>
      <c r="B11424">
        <v>2020</v>
      </c>
      <c r="C11424">
        <v>8</v>
      </c>
      <c r="D11424">
        <v>1</v>
      </c>
      <c r="E11424">
        <v>13610</v>
      </c>
      <c r="F11424">
        <v>63291.61</v>
      </c>
      <c r="G11424">
        <v>0</v>
      </c>
      <c r="H11424">
        <v>0</v>
      </c>
      <c r="I11424">
        <v>0</v>
      </c>
      <c r="J11424">
        <v>0</v>
      </c>
      <c r="K11424">
        <v>0</v>
      </c>
      <c r="L11424">
        <v>10385796.220000001</v>
      </c>
      <c r="M11424">
        <v>10385796.220000001</v>
      </c>
      <c r="N11424">
        <v>10385796.220000001</v>
      </c>
      <c r="O11424">
        <v>10385796.220000001</v>
      </c>
      <c r="P11424">
        <v>10500000</v>
      </c>
      <c r="Q11424">
        <v>10500000</v>
      </c>
      <c r="R11424" s="14">
        <f>_xlfn.XLOOKUP(Table2[[#This Row],[LoanID]],Table1[G-L ID],Table1[ManagerCode],-99)</f>
        <v>298</v>
      </c>
    </row>
    <row r="11425" spans="1:18" x14ac:dyDescent="0.25">
      <c r="A11425">
        <v>20200831</v>
      </c>
      <c r="B11425">
        <v>2020</v>
      </c>
      <c r="C11425">
        <v>8</v>
      </c>
      <c r="D11425">
        <v>1</v>
      </c>
      <c r="E11425">
        <v>13620</v>
      </c>
      <c r="F11425">
        <v>272326.39</v>
      </c>
      <c r="G11425">
        <v>0</v>
      </c>
      <c r="H11425">
        <v>0</v>
      </c>
      <c r="I11425">
        <v>0</v>
      </c>
      <c r="J11425">
        <v>0</v>
      </c>
      <c r="K11425">
        <v>0</v>
      </c>
      <c r="L11425">
        <v>49865510.369999997</v>
      </c>
      <c r="M11425">
        <v>49865510.369999997</v>
      </c>
      <c r="N11425">
        <v>49865510.369999997</v>
      </c>
      <c r="O11425">
        <v>49865510.369999997</v>
      </c>
      <c r="P11425">
        <v>50000000</v>
      </c>
      <c r="Q11425">
        <v>50000000</v>
      </c>
      <c r="R11425" s="14">
        <f>_xlfn.XLOOKUP(Table2[[#This Row],[LoanID]],Table1[G-L ID],Table1[ManagerCode],-99)</f>
        <v>298</v>
      </c>
    </row>
    <row r="11426" spans="1:18" x14ac:dyDescent="0.25">
      <c r="A11426">
        <v>20200831</v>
      </c>
      <c r="B11426">
        <v>2020</v>
      </c>
      <c r="C11426">
        <v>8</v>
      </c>
      <c r="D11426">
        <v>1</v>
      </c>
      <c r="E11426">
        <v>13630</v>
      </c>
      <c r="F11426">
        <v>0</v>
      </c>
      <c r="G11426">
        <v>0</v>
      </c>
      <c r="H11426">
        <v>0</v>
      </c>
      <c r="I11426">
        <v>0</v>
      </c>
      <c r="J11426">
        <v>0</v>
      </c>
      <c r="K11426">
        <v>0</v>
      </c>
      <c r="L11426">
        <v>22527136.07</v>
      </c>
      <c r="M11426">
        <v>22527136.07</v>
      </c>
      <c r="N11426">
        <v>22527136.07</v>
      </c>
      <c r="O11426">
        <v>22527136.07</v>
      </c>
      <c r="P11426">
        <v>36022155.469999999</v>
      </c>
      <c r="Q11426">
        <v>36247043.789999999</v>
      </c>
      <c r="R11426" s="14">
        <f>_xlfn.XLOOKUP(Table2[[#This Row],[LoanID]],Table1[G-L ID],Table1[ManagerCode],-99)</f>
        <v>298</v>
      </c>
    </row>
    <row r="11427" spans="1:18" x14ac:dyDescent="0.25">
      <c r="A11427">
        <v>20200831</v>
      </c>
      <c r="B11427">
        <v>2020</v>
      </c>
      <c r="C11427">
        <v>8</v>
      </c>
      <c r="D11427">
        <v>1</v>
      </c>
      <c r="E11427">
        <v>13640</v>
      </c>
      <c r="F11427">
        <v>226983.51</v>
      </c>
      <c r="G11427">
        <v>0</v>
      </c>
      <c r="H11427">
        <v>0</v>
      </c>
      <c r="I11427">
        <v>0</v>
      </c>
      <c r="J11427">
        <v>0</v>
      </c>
      <c r="K11427">
        <v>0</v>
      </c>
      <c r="L11427">
        <v>30234429.84</v>
      </c>
      <c r="M11427">
        <v>30234429.84</v>
      </c>
      <c r="N11427">
        <v>30234429.84</v>
      </c>
      <c r="O11427">
        <v>30234429.84</v>
      </c>
      <c r="P11427">
        <v>30125000</v>
      </c>
      <c r="Q11427">
        <v>30125000</v>
      </c>
      <c r="R11427" s="14">
        <f>_xlfn.XLOOKUP(Table2[[#This Row],[LoanID]],Table1[G-L ID],Table1[ManagerCode],-99)</f>
        <v>298</v>
      </c>
    </row>
    <row r="11428" spans="1:18" x14ac:dyDescent="0.25">
      <c r="A11428">
        <v>20200831</v>
      </c>
      <c r="B11428">
        <v>2020</v>
      </c>
      <c r="C11428">
        <v>8</v>
      </c>
      <c r="D11428">
        <v>1</v>
      </c>
      <c r="E11428">
        <v>13650</v>
      </c>
      <c r="F11428">
        <v>223888.89</v>
      </c>
      <c r="G11428">
        <v>0</v>
      </c>
      <c r="H11428">
        <v>0</v>
      </c>
      <c r="I11428">
        <v>0</v>
      </c>
      <c r="J11428">
        <v>0</v>
      </c>
      <c r="K11428">
        <v>0</v>
      </c>
      <c r="L11428">
        <v>39537559.880000003</v>
      </c>
      <c r="M11428">
        <v>39537559.880000003</v>
      </c>
      <c r="N11428">
        <v>39537559.880000003</v>
      </c>
      <c r="O11428">
        <v>39537559.880000003</v>
      </c>
      <c r="P11428">
        <v>40000000</v>
      </c>
      <c r="Q11428">
        <v>40000000</v>
      </c>
      <c r="R11428" s="14">
        <f>_xlfn.XLOOKUP(Table2[[#This Row],[LoanID]],Table1[G-L ID],Table1[ManagerCode],-99)</f>
        <v>298</v>
      </c>
    </row>
    <row r="11429" spans="1:18" x14ac:dyDescent="0.25">
      <c r="A11429">
        <v>20200831</v>
      </c>
      <c r="B11429">
        <v>2020</v>
      </c>
      <c r="C11429">
        <v>8</v>
      </c>
      <c r="D11429">
        <v>1</v>
      </c>
      <c r="E11429">
        <v>13660</v>
      </c>
      <c r="F11429">
        <v>117972.22</v>
      </c>
      <c r="G11429">
        <v>0</v>
      </c>
      <c r="H11429">
        <v>0</v>
      </c>
      <c r="I11429">
        <v>0</v>
      </c>
      <c r="J11429">
        <v>0</v>
      </c>
      <c r="K11429">
        <v>0</v>
      </c>
      <c r="L11429">
        <v>19633684.649999999</v>
      </c>
      <c r="M11429">
        <v>19633684.649999999</v>
      </c>
      <c r="N11429">
        <v>19633684.649999999</v>
      </c>
      <c r="O11429">
        <v>19633684.649999999</v>
      </c>
      <c r="P11429">
        <v>20000000</v>
      </c>
      <c r="Q11429">
        <v>20000000</v>
      </c>
      <c r="R11429" s="14">
        <f>_xlfn.XLOOKUP(Table2[[#This Row],[LoanID]],Table1[G-L ID],Table1[ManagerCode],-99)</f>
        <v>298</v>
      </c>
    </row>
    <row r="11430" spans="1:18" x14ac:dyDescent="0.25">
      <c r="A11430">
        <v>20200831</v>
      </c>
      <c r="B11430">
        <v>2020</v>
      </c>
      <c r="C11430">
        <v>8</v>
      </c>
      <c r="D11430">
        <v>1</v>
      </c>
      <c r="E11430">
        <v>13690</v>
      </c>
      <c r="F11430">
        <v>133472.22</v>
      </c>
      <c r="G11430">
        <v>0</v>
      </c>
      <c r="H11430">
        <v>0</v>
      </c>
      <c r="I11430">
        <v>0</v>
      </c>
      <c r="J11430">
        <v>0</v>
      </c>
      <c r="K11430">
        <v>0</v>
      </c>
      <c r="L11430">
        <v>20825761.02</v>
      </c>
      <c r="M11430">
        <v>20825761.02</v>
      </c>
      <c r="N11430">
        <v>20825761.02</v>
      </c>
      <c r="O11430">
        <v>20825761.02</v>
      </c>
      <c r="P11430">
        <v>20000000</v>
      </c>
      <c r="Q11430">
        <v>20000000</v>
      </c>
      <c r="R11430" s="14">
        <f>_xlfn.XLOOKUP(Table2[[#This Row],[LoanID]],Table1[G-L ID],Table1[ManagerCode],-99)</f>
        <v>298</v>
      </c>
    </row>
    <row r="11431" spans="1:18" x14ac:dyDescent="0.25">
      <c r="A11431">
        <v>20200831</v>
      </c>
      <c r="B11431">
        <v>2020</v>
      </c>
      <c r="C11431">
        <v>8</v>
      </c>
      <c r="D11431">
        <v>1</v>
      </c>
      <c r="E11431">
        <v>13790</v>
      </c>
      <c r="F11431">
        <v>233068.4</v>
      </c>
      <c r="G11431">
        <v>-233068.4</v>
      </c>
      <c r="H11431">
        <v>0</v>
      </c>
      <c r="I11431">
        <v>0</v>
      </c>
      <c r="J11431">
        <v>0</v>
      </c>
      <c r="K11431">
        <v>20600000</v>
      </c>
      <c r="L11431">
        <v>20833068.399999999</v>
      </c>
      <c r="M11431">
        <v>0</v>
      </c>
      <c r="N11431">
        <v>20833068.399999999</v>
      </c>
      <c r="O11431">
        <v>0</v>
      </c>
      <c r="P11431">
        <v>20833068.399999999</v>
      </c>
      <c r="Q11431">
        <v>0</v>
      </c>
      <c r="R11431" s="14">
        <f>_xlfn.XLOOKUP(Table2[[#This Row],[LoanID]],Table1[G-L ID],Table1[ManagerCode],-99)</f>
        <v>219</v>
      </c>
    </row>
    <row r="11432" spans="1:18" x14ac:dyDescent="0.25">
      <c r="A11432">
        <v>20200831</v>
      </c>
      <c r="B11432">
        <v>2020</v>
      </c>
      <c r="C11432">
        <v>8</v>
      </c>
      <c r="D11432">
        <v>1</v>
      </c>
      <c r="E11432">
        <v>13800</v>
      </c>
      <c r="F11432">
        <v>327477.7</v>
      </c>
      <c r="G11432">
        <v>0</v>
      </c>
      <c r="H11432">
        <v>0</v>
      </c>
      <c r="I11432">
        <v>0</v>
      </c>
      <c r="J11432">
        <v>0</v>
      </c>
      <c r="K11432">
        <v>0</v>
      </c>
      <c r="L11432">
        <v>80700000</v>
      </c>
      <c r="M11432">
        <v>80700000</v>
      </c>
      <c r="N11432">
        <v>32279999.719999999</v>
      </c>
      <c r="O11432">
        <v>32279999.719999999</v>
      </c>
      <c r="P11432">
        <v>80700000</v>
      </c>
      <c r="Q11432">
        <v>80700000</v>
      </c>
      <c r="R11432" s="14">
        <f>_xlfn.XLOOKUP(Table2[[#This Row],[LoanID]],Table1[G-L ID],Table1[ManagerCode],-99)</f>
        <v>183</v>
      </c>
    </row>
    <row r="11433" spans="1:18" x14ac:dyDescent="0.25">
      <c r="A11433">
        <v>20200831</v>
      </c>
      <c r="B11433">
        <v>2020</v>
      </c>
      <c r="C11433">
        <v>8</v>
      </c>
      <c r="D11433">
        <v>1</v>
      </c>
      <c r="E11433">
        <v>13810</v>
      </c>
      <c r="F11433">
        <v>166973.9</v>
      </c>
      <c r="G11433">
        <v>0</v>
      </c>
      <c r="H11433">
        <v>0</v>
      </c>
      <c r="I11433">
        <v>0</v>
      </c>
      <c r="J11433">
        <v>-132769.1</v>
      </c>
      <c r="K11433">
        <v>0</v>
      </c>
      <c r="L11433">
        <v>45521906.899999999</v>
      </c>
      <c r="M11433">
        <v>45654676</v>
      </c>
      <c r="N11433">
        <v>21396161.120000001</v>
      </c>
      <c r="O11433">
        <v>21528930.219999999</v>
      </c>
      <c r="P11433">
        <v>45495113.140000001</v>
      </c>
      <c r="Q11433">
        <v>45627882.240000002</v>
      </c>
      <c r="R11433" s="14">
        <f>_xlfn.XLOOKUP(Table2[[#This Row],[LoanID]],Table1[G-L ID],Table1[ManagerCode],-99)</f>
        <v>183</v>
      </c>
    </row>
    <row r="11434" spans="1:18" x14ac:dyDescent="0.25">
      <c r="A11434">
        <v>20200831</v>
      </c>
      <c r="B11434">
        <v>2020</v>
      </c>
      <c r="C11434">
        <v>8</v>
      </c>
      <c r="D11434">
        <v>1</v>
      </c>
      <c r="E11434">
        <v>13820</v>
      </c>
      <c r="F11434">
        <v>282310.96999999997</v>
      </c>
      <c r="G11434">
        <v>0</v>
      </c>
      <c r="H11434">
        <v>0</v>
      </c>
      <c r="I11434">
        <v>0</v>
      </c>
      <c r="J11434">
        <v>0</v>
      </c>
      <c r="K11434">
        <v>0</v>
      </c>
      <c r="L11434">
        <v>66463138.159999996</v>
      </c>
      <c r="M11434">
        <v>66463138.159999996</v>
      </c>
      <c r="N11434">
        <v>66463138.159999996</v>
      </c>
      <c r="O11434">
        <v>66463138.159999996</v>
      </c>
      <c r="P11434">
        <v>66500000</v>
      </c>
      <c r="Q11434">
        <v>66500000</v>
      </c>
      <c r="R11434" s="14">
        <f>_xlfn.XLOOKUP(Table2[[#This Row],[LoanID]],Table1[G-L ID],Table1[ManagerCode],-99)</f>
        <v>183</v>
      </c>
    </row>
    <row r="11435" spans="1:18" x14ac:dyDescent="0.25">
      <c r="A11435">
        <v>20200831</v>
      </c>
      <c r="B11435">
        <v>2020</v>
      </c>
      <c r="C11435">
        <v>8</v>
      </c>
      <c r="D11435">
        <v>1</v>
      </c>
      <c r="E11435">
        <v>13830</v>
      </c>
      <c r="F11435">
        <v>295586.23</v>
      </c>
      <c r="G11435">
        <v>0</v>
      </c>
      <c r="H11435">
        <v>0</v>
      </c>
      <c r="I11435">
        <v>0</v>
      </c>
      <c r="J11435">
        <v>0</v>
      </c>
      <c r="K11435">
        <v>0</v>
      </c>
      <c r="L11435">
        <v>100976981.3</v>
      </c>
      <c r="M11435">
        <v>100976981.3</v>
      </c>
      <c r="N11435">
        <v>35326981.299999997</v>
      </c>
      <c r="O11435">
        <v>35326981.299999997</v>
      </c>
      <c r="P11435">
        <v>101317920.5</v>
      </c>
      <c r="Q11435">
        <v>101317920.5</v>
      </c>
      <c r="R11435" s="14">
        <f>_xlfn.XLOOKUP(Table2[[#This Row],[LoanID]],Table1[G-L ID],Table1[ManagerCode],-99)</f>
        <v>183</v>
      </c>
    </row>
    <row r="11436" spans="1:18" x14ac:dyDescent="0.25">
      <c r="A11436">
        <v>20200831</v>
      </c>
      <c r="B11436">
        <v>2020</v>
      </c>
      <c r="C11436">
        <v>8</v>
      </c>
      <c r="D11436">
        <v>1</v>
      </c>
      <c r="E11436">
        <v>14000</v>
      </c>
      <c r="F11436">
        <v>300059.62</v>
      </c>
      <c r="G11436">
        <v>0</v>
      </c>
      <c r="H11436">
        <v>0</v>
      </c>
      <c r="I11436">
        <v>0</v>
      </c>
      <c r="J11436">
        <v>0</v>
      </c>
      <c r="K11436">
        <v>0</v>
      </c>
      <c r="L11436">
        <v>98000000</v>
      </c>
      <c r="M11436">
        <v>98000000</v>
      </c>
      <c r="N11436">
        <v>39200000</v>
      </c>
      <c r="O11436">
        <v>39200000</v>
      </c>
      <c r="P11436">
        <v>98000000</v>
      </c>
      <c r="Q11436">
        <v>98000000</v>
      </c>
      <c r="R11436" s="14">
        <f>_xlfn.XLOOKUP(Table2[[#This Row],[LoanID]],Table1[G-L ID],Table1[ManagerCode],-99)</f>
        <v>183</v>
      </c>
    </row>
    <row r="11437" spans="1:18" x14ac:dyDescent="0.25">
      <c r="A11437">
        <v>20200831</v>
      </c>
      <c r="B11437">
        <v>2020</v>
      </c>
      <c r="C11437">
        <v>8</v>
      </c>
      <c r="D11437">
        <v>1</v>
      </c>
      <c r="E11437">
        <v>14660</v>
      </c>
      <c r="F11437">
        <v>0</v>
      </c>
      <c r="G11437">
        <v>144951</v>
      </c>
      <c r="H11437">
        <v>0</v>
      </c>
      <c r="I11437">
        <v>0</v>
      </c>
      <c r="J11437">
        <v>0</v>
      </c>
      <c r="K11437">
        <v>0</v>
      </c>
      <c r="L11437">
        <v>17831276</v>
      </c>
      <c r="M11437">
        <v>17976227</v>
      </c>
      <c r="N11437">
        <v>17831276</v>
      </c>
      <c r="O11437">
        <v>17976227</v>
      </c>
      <c r="P11437">
        <v>18278770</v>
      </c>
      <c r="Q11437">
        <v>18423721</v>
      </c>
      <c r="R11437" s="14">
        <f>_xlfn.XLOOKUP(Table2[[#This Row],[LoanID]],Table1[G-L ID],Table1[ManagerCode],-99)</f>
        <v>219</v>
      </c>
    </row>
    <row r="11438" spans="1:18" x14ac:dyDescent="0.25">
      <c r="A11438">
        <v>20200831</v>
      </c>
      <c r="B11438">
        <v>2020</v>
      </c>
      <c r="C11438">
        <v>8</v>
      </c>
      <c r="D11438">
        <v>1</v>
      </c>
      <c r="E11438">
        <v>14680</v>
      </c>
      <c r="F11438">
        <v>63076.71</v>
      </c>
      <c r="G11438">
        <v>0</v>
      </c>
      <c r="H11438">
        <v>0</v>
      </c>
      <c r="I11438">
        <v>0</v>
      </c>
      <c r="J11438">
        <v>0</v>
      </c>
      <c r="K11438">
        <v>0</v>
      </c>
      <c r="L11438">
        <v>30920000</v>
      </c>
      <c r="M11438">
        <v>30920000</v>
      </c>
      <c r="N11438">
        <v>8475011.8000000007</v>
      </c>
      <c r="O11438">
        <v>8475011.8000000007</v>
      </c>
      <c r="P11438">
        <v>30863549.23</v>
      </c>
      <c r="Q11438">
        <v>30863549.23</v>
      </c>
      <c r="R11438" s="14">
        <f>_xlfn.XLOOKUP(Table2[[#This Row],[LoanID]],Table1[G-L ID],Table1[ManagerCode],-99)</f>
        <v>220</v>
      </c>
    </row>
    <row r="11439" spans="1:18" x14ac:dyDescent="0.25">
      <c r="A11439">
        <v>20200831</v>
      </c>
      <c r="B11439">
        <v>2020</v>
      </c>
      <c r="C11439">
        <v>8</v>
      </c>
      <c r="D11439">
        <v>1</v>
      </c>
      <c r="E11439">
        <v>14690</v>
      </c>
      <c r="F11439">
        <v>153789.85999999999</v>
      </c>
      <c r="G11439">
        <v>0</v>
      </c>
      <c r="H11439">
        <v>0</v>
      </c>
      <c r="I11439">
        <v>0</v>
      </c>
      <c r="J11439">
        <v>0</v>
      </c>
      <c r="K11439">
        <v>0</v>
      </c>
      <c r="L11439">
        <v>43671381.979999997</v>
      </c>
      <c r="M11439">
        <v>43671381.979999997</v>
      </c>
      <c r="N11439">
        <v>20153631.98</v>
      </c>
      <c r="O11439">
        <v>20153631.98</v>
      </c>
      <c r="P11439">
        <v>43635194.600000001</v>
      </c>
      <c r="Q11439">
        <v>43635194.600000001</v>
      </c>
      <c r="R11439" s="14">
        <f>_xlfn.XLOOKUP(Table2[[#This Row],[LoanID]],Table1[G-L ID],Table1[ManagerCode],-99)</f>
        <v>220</v>
      </c>
    </row>
    <row r="11440" spans="1:18" x14ac:dyDescent="0.25">
      <c r="A11440">
        <v>20200831</v>
      </c>
      <c r="B11440">
        <v>2020</v>
      </c>
      <c r="C11440">
        <v>8</v>
      </c>
      <c r="D11440">
        <v>1</v>
      </c>
      <c r="E11440">
        <v>14700</v>
      </c>
      <c r="F11440">
        <v>129952.77</v>
      </c>
      <c r="G11440">
        <v>0</v>
      </c>
      <c r="H11440">
        <v>0</v>
      </c>
      <c r="I11440">
        <v>0</v>
      </c>
      <c r="J11440">
        <v>0</v>
      </c>
      <c r="K11440">
        <v>0</v>
      </c>
      <c r="L11440">
        <v>36742421.060000002</v>
      </c>
      <c r="M11440">
        <v>36742421.060000002</v>
      </c>
      <c r="N11440">
        <v>13254921.060000001</v>
      </c>
      <c r="O11440">
        <v>13254921.060000001</v>
      </c>
      <c r="P11440">
        <v>36742421.060000002</v>
      </c>
      <c r="Q11440">
        <v>36742421.060000002</v>
      </c>
      <c r="R11440" s="14">
        <f>_xlfn.XLOOKUP(Table2[[#This Row],[LoanID]],Table1[G-L ID],Table1[ManagerCode],-99)</f>
        <v>220</v>
      </c>
    </row>
    <row r="11441" spans="1:18" x14ac:dyDescent="0.25">
      <c r="A11441">
        <v>20200831</v>
      </c>
      <c r="B11441">
        <v>2020</v>
      </c>
      <c r="C11441">
        <v>8</v>
      </c>
      <c r="D11441">
        <v>1</v>
      </c>
      <c r="E11441">
        <v>14710</v>
      </c>
      <c r="F11441">
        <v>107702.57</v>
      </c>
      <c r="G11441">
        <v>0</v>
      </c>
      <c r="H11441">
        <v>0</v>
      </c>
      <c r="I11441">
        <v>0</v>
      </c>
      <c r="J11441">
        <v>0</v>
      </c>
      <c r="K11441">
        <v>0</v>
      </c>
      <c r="L11441">
        <v>33650000</v>
      </c>
      <c r="M11441">
        <v>33650000</v>
      </c>
      <c r="N11441">
        <v>13777500</v>
      </c>
      <c r="O11441">
        <v>13777500</v>
      </c>
      <c r="P11441">
        <v>33650000</v>
      </c>
      <c r="Q11441">
        <v>33650000</v>
      </c>
      <c r="R11441" s="14">
        <f>_xlfn.XLOOKUP(Table2[[#This Row],[LoanID]],Table1[G-L ID],Table1[ManagerCode],-99)</f>
        <v>220</v>
      </c>
    </row>
    <row r="11442" spans="1:18" x14ac:dyDescent="0.25">
      <c r="A11442">
        <v>20200831</v>
      </c>
      <c r="B11442">
        <v>2020</v>
      </c>
      <c r="C11442">
        <v>8</v>
      </c>
      <c r="D11442">
        <v>1</v>
      </c>
      <c r="E11442">
        <v>14720</v>
      </c>
      <c r="F11442">
        <v>-21120.23</v>
      </c>
      <c r="G11442">
        <v>0</v>
      </c>
      <c r="H11442">
        <v>0</v>
      </c>
      <c r="I11442">
        <v>0</v>
      </c>
      <c r="J11442">
        <v>-399146.49</v>
      </c>
      <c r="K11442">
        <v>0</v>
      </c>
      <c r="L11442">
        <v>24232440.120000001</v>
      </c>
      <c r="M11442">
        <v>24631586.609999999</v>
      </c>
      <c r="N11442">
        <v>10505440.119999999</v>
      </c>
      <c r="O11442">
        <v>10904586.609999999</v>
      </c>
      <c r="P11442">
        <v>24228594.199999999</v>
      </c>
      <c r="Q11442">
        <v>24627740.690000001</v>
      </c>
      <c r="R11442" s="14">
        <f>_xlfn.XLOOKUP(Table2[[#This Row],[LoanID]],Table1[G-L ID],Table1[ManagerCode],-99)</f>
        <v>220</v>
      </c>
    </row>
    <row r="11443" spans="1:18" x14ac:dyDescent="0.25">
      <c r="A11443">
        <v>20200831</v>
      </c>
      <c r="B11443">
        <v>2020</v>
      </c>
      <c r="C11443">
        <v>8</v>
      </c>
      <c r="D11443">
        <v>1</v>
      </c>
      <c r="E11443">
        <v>14740</v>
      </c>
      <c r="F11443">
        <v>160361.57999999999</v>
      </c>
      <c r="G11443">
        <v>0</v>
      </c>
      <c r="H11443">
        <v>0</v>
      </c>
      <c r="I11443">
        <v>0</v>
      </c>
      <c r="J11443">
        <v>0</v>
      </c>
      <c r="K11443">
        <v>0</v>
      </c>
      <c r="L11443">
        <v>34010000</v>
      </c>
      <c r="M11443">
        <v>34010000</v>
      </c>
      <c r="N11443">
        <v>34010000</v>
      </c>
      <c r="O11443">
        <v>34010000</v>
      </c>
      <c r="P11443">
        <v>35471686.299999997</v>
      </c>
      <c r="Q11443">
        <v>35471686.299999997</v>
      </c>
      <c r="R11443" s="14">
        <f>_xlfn.XLOOKUP(Table2[[#This Row],[LoanID]],Table1[G-L ID],Table1[ManagerCode],-99)</f>
        <v>220</v>
      </c>
    </row>
    <row r="11444" spans="1:18" x14ac:dyDescent="0.25">
      <c r="A11444">
        <v>20200831</v>
      </c>
      <c r="B11444">
        <v>2020</v>
      </c>
      <c r="C11444">
        <v>8</v>
      </c>
      <c r="D11444">
        <v>1</v>
      </c>
      <c r="E11444">
        <v>14750</v>
      </c>
      <c r="F11444">
        <v>171657.81</v>
      </c>
      <c r="G11444">
        <v>0</v>
      </c>
      <c r="H11444">
        <v>0</v>
      </c>
      <c r="I11444">
        <v>0</v>
      </c>
      <c r="J11444">
        <v>-1567575.43</v>
      </c>
      <c r="K11444">
        <v>0</v>
      </c>
      <c r="L11444">
        <v>60969967.240000002</v>
      </c>
      <c r="M11444">
        <v>62537542.670000002</v>
      </c>
      <c r="N11444">
        <v>29219967.239999998</v>
      </c>
      <c r="O11444">
        <v>30787542.670000002</v>
      </c>
      <c r="P11444">
        <v>60969967.240000002</v>
      </c>
      <c r="Q11444">
        <v>62537542.670000002</v>
      </c>
      <c r="R11444" s="14">
        <f>_xlfn.XLOOKUP(Table2[[#This Row],[LoanID]],Table1[G-L ID],Table1[ManagerCode],-99)</f>
        <v>220</v>
      </c>
    </row>
    <row r="11445" spans="1:18" x14ac:dyDescent="0.25">
      <c r="A11445">
        <v>20200831</v>
      </c>
      <c r="B11445">
        <v>2020</v>
      </c>
      <c r="C11445">
        <v>8</v>
      </c>
      <c r="D11445">
        <v>1</v>
      </c>
      <c r="E11445">
        <v>14760</v>
      </c>
      <c r="F11445">
        <v>335697.7</v>
      </c>
      <c r="G11445">
        <v>0</v>
      </c>
      <c r="H11445">
        <v>0</v>
      </c>
      <c r="I11445">
        <v>0</v>
      </c>
      <c r="J11445">
        <v>0</v>
      </c>
      <c r="K11445">
        <v>0</v>
      </c>
      <c r="L11445">
        <v>105100000</v>
      </c>
      <c r="M11445">
        <v>105100000</v>
      </c>
      <c r="N11445">
        <v>37350000</v>
      </c>
      <c r="O11445">
        <v>37350000</v>
      </c>
      <c r="P11445">
        <v>105000000</v>
      </c>
      <c r="Q11445">
        <v>105000000</v>
      </c>
      <c r="R11445" s="14">
        <f>_xlfn.XLOOKUP(Table2[[#This Row],[LoanID]],Table1[G-L ID],Table1[ManagerCode],-99)</f>
        <v>220</v>
      </c>
    </row>
    <row r="11446" spans="1:18" x14ac:dyDescent="0.25">
      <c r="A11446">
        <v>20200831</v>
      </c>
      <c r="B11446">
        <v>2020</v>
      </c>
      <c r="C11446">
        <v>8</v>
      </c>
      <c r="D11446">
        <v>1</v>
      </c>
      <c r="E11446">
        <v>14770</v>
      </c>
      <c r="F11446">
        <v>248038.75</v>
      </c>
      <c r="G11446">
        <v>0</v>
      </c>
      <c r="H11446">
        <v>222000</v>
      </c>
      <c r="I11446">
        <v>0</v>
      </c>
      <c r="J11446">
        <v>0</v>
      </c>
      <c r="K11446">
        <v>0</v>
      </c>
      <c r="L11446">
        <v>55600000</v>
      </c>
      <c r="M11446">
        <v>55600000</v>
      </c>
      <c r="N11446">
        <v>55600000</v>
      </c>
      <c r="O11446">
        <v>55600000</v>
      </c>
      <c r="P11446">
        <v>55500000</v>
      </c>
      <c r="Q11446">
        <v>55500000</v>
      </c>
      <c r="R11446" s="14">
        <f>_xlfn.XLOOKUP(Table2[[#This Row],[LoanID]],Table1[G-L ID],Table1[ManagerCode],-99)</f>
        <v>220</v>
      </c>
    </row>
    <row r="11447" spans="1:18" x14ac:dyDescent="0.25">
      <c r="A11447">
        <v>20200831</v>
      </c>
      <c r="B11447">
        <v>2020</v>
      </c>
      <c r="C11447">
        <v>8</v>
      </c>
      <c r="D11447">
        <v>1</v>
      </c>
      <c r="E11447">
        <v>14780</v>
      </c>
      <c r="F11447">
        <v>161939.28</v>
      </c>
      <c r="G11447">
        <v>0</v>
      </c>
      <c r="H11447">
        <v>0</v>
      </c>
      <c r="I11447">
        <v>0</v>
      </c>
      <c r="J11447">
        <v>0</v>
      </c>
      <c r="K11447">
        <v>812000</v>
      </c>
      <c r="L11447">
        <v>51010000</v>
      </c>
      <c r="M11447">
        <v>50188000</v>
      </c>
      <c r="N11447">
        <v>17310000</v>
      </c>
      <c r="O11447">
        <v>16488000</v>
      </c>
      <c r="P11447">
        <v>51000000</v>
      </c>
      <c r="Q11447">
        <v>50188000</v>
      </c>
      <c r="R11447" s="14">
        <f>_xlfn.XLOOKUP(Table2[[#This Row],[LoanID]],Table1[G-L ID],Table1[ManagerCode],-99)</f>
        <v>220</v>
      </c>
    </row>
    <row r="11448" spans="1:18" x14ac:dyDescent="0.25">
      <c r="A11448">
        <v>20200831</v>
      </c>
      <c r="B11448">
        <v>2020</v>
      </c>
      <c r="C11448">
        <v>8</v>
      </c>
      <c r="D11448">
        <v>1</v>
      </c>
      <c r="E11448">
        <v>14790</v>
      </c>
      <c r="F11448">
        <v>186274.86</v>
      </c>
      <c r="G11448">
        <v>0</v>
      </c>
      <c r="H11448">
        <v>0</v>
      </c>
      <c r="I11448">
        <v>0</v>
      </c>
      <c r="J11448">
        <v>0</v>
      </c>
      <c r="K11448">
        <v>0</v>
      </c>
      <c r="L11448">
        <v>80360000</v>
      </c>
      <c r="M11448">
        <v>80360000</v>
      </c>
      <c r="N11448">
        <v>25960000</v>
      </c>
      <c r="O11448">
        <v>25960000</v>
      </c>
      <c r="P11448">
        <v>80000000</v>
      </c>
      <c r="Q11448">
        <v>80000000</v>
      </c>
      <c r="R11448" s="14">
        <f>_xlfn.XLOOKUP(Table2[[#This Row],[LoanID]],Table1[G-L ID],Table1[ManagerCode],-99)</f>
        <v>220</v>
      </c>
    </row>
    <row r="11449" spans="1:18" x14ac:dyDescent="0.25">
      <c r="A11449">
        <v>20200831</v>
      </c>
      <c r="B11449">
        <v>2020</v>
      </c>
      <c r="C11449">
        <v>8</v>
      </c>
      <c r="D11449">
        <v>1</v>
      </c>
      <c r="E11449">
        <v>14810</v>
      </c>
      <c r="F11449">
        <v>28634</v>
      </c>
      <c r="G11449">
        <v>65887.070000000007</v>
      </c>
      <c r="H11449">
        <v>0</v>
      </c>
      <c r="I11449">
        <v>0</v>
      </c>
      <c r="J11449">
        <v>0</v>
      </c>
      <c r="K11449">
        <v>0</v>
      </c>
      <c r="L11449">
        <v>24946909.789999999</v>
      </c>
      <c r="M11449">
        <v>25012796.859999999</v>
      </c>
      <c r="N11449">
        <v>24946909.789999999</v>
      </c>
      <c r="O11449">
        <v>25012796.859999999</v>
      </c>
      <c r="P11449">
        <v>24946909.789999999</v>
      </c>
      <c r="Q11449">
        <v>25012796.859999999</v>
      </c>
      <c r="R11449" s="14">
        <f>_xlfn.XLOOKUP(Table2[[#This Row],[LoanID]],Table1[G-L ID],Table1[ManagerCode],-99)</f>
        <v>220</v>
      </c>
    </row>
    <row r="11450" spans="1:18" x14ac:dyDescent="0.25">
      <c r="A11450">
        <v>20200831</v>
      </c>
      <c r="B11450">
        <v>2020</v>
      </c>
      <c r="C11450">
        <v>8</v>
      </c>
      <c r="D11450">
        <v>1</v>
      </c>
      <c r="E11450">
        <v>14820</v>
      </c>
      <c r="F11450">
        <v>86896.5</v>
      </c>
      <c r="G11450">
        <v>0</v>
      </c>
      <c r="H11450">
        <v>0</v>
      </c>
      <c r="I11450">
        <v>0</v>
      </c>
      <c r="J11450">
        <v>0</v>
      </c>
      <c r="K11450">
        <v>0</v>
      </c>
      <c r="L11450">
        <v>23901602.379999999</v>
      </c>
      <c r="M11450">
        <v>23287391.140000001</v>
      </c>
      <c r="N11450">
        <v>7018243.7999999998</v>
      </c>
      <c r="O11450">
        <v>6404032.5599999996</v>
      </c>
      <c r="P11450">
        <v>23901602.379999999</v>
      </c>
      <c r="Q11450">
        <v>23901602.379999999</v>
      </c>
      <c r="R11450" s="14">
        <f>_xlfn.XLOOKUP(Table2[[#This Row],[LoanID]],Table1[G-L ID],Table1[ManagerCode],-99)</f>
        <v>220</v>
      </c>
    </row>
    <row r="11451" spans="1:18" x14ac:dyDescent="0.25">
      <c r="A11451">
        <v>20200831</v>
      </c>
      <c r="B11451">
        <v>2020</v>
      </c>
      <c r="C11451">
        <v>8</v>
      </c>
      <c r="D11451">
        <v>1</v>
      </c>
      <c r="E11451">
        <v>14840</v>
      </c>
      <c r="F11451">
        <v>99693.11</v>
      </c>
      <c r="G11451">
        <v>0</v>
      </c>
      <c r="H11451">
        <v>0</v>
      </c>
      <c r="I11451">
        <v>0</v>
      </c>
      <c r="J11451">
        <v>-176599.63</v>
      </c>
      <c r="K11451">
        <v>0</v>
      </c>
      <c r="L11451">
        <v>32687590.16</v>
      </c>
      <c r="M11451">
        <v>32864189.789999999</v>
      </c>
      <c r="N11451">
        <v>15489057.119999999</v>
      </c>
      <c r="O11451">
        <v>15665656.75</v>
      </c>
      <c r="P11451">
        <v>32657590.16</v>
      </c>
      <c r="Q11451">
        <v>32834189.789999999</v>
      </c>
      <c r="R11451" s="14">
        <f>_xlfn.XLOOKUP(Table2[[#This Row],[LoanID]],Table1[G-L ID],Table1[ManagerCode],-99)</f>
        <v>220</v>
      </c>
    </row>
    <row r="11452" spans="1:18" x14ac:dyDescent="0.25">
      <c r="A11452">
        <v>20200831</v>
      </c>
      <c r="B11452">
        <v>2020</v>
      </c>
      <c r="C11452">
        <v>8</v>
      </c>
      <c r="D11452">
        <v>1</v>
      </c>
      <c r="E11452">
        <v>14850</v>
      </c>
      <c r="F11452">
        <v>231640.27</v>
      </c>
      <c r="G11452">
        <v>0</v>
      </c>
      <c r="H11452">
        <v>0</v>
      </c>
      <c r="I11452">
        <v>0</v>
      </c>
      <c r="J11452">
        <v>0</v>
      </c>
      <c r="K11452">
        <v>0</v>
      </c>
      <c r="L11452">
        <v>88265094.780000001</v>
      </c>
      <c r="M11452">
        <v>88265094.780000001</v>
      </c>
      <c r="N11452">
        <v>41636568.899999999</v>
      </c>
      <c r="O11452">
        <v>41636568.899999999</v>
      </c>
      <c r="P11452">
        <v>88282409.599999994</v>
      </c>
      <c r="Q11452">
        <v>88282409.599999994</v>
      </c>
      <c r="R11452" s="14">
        <f>_xlfn.XLOOKUP(Table2[[#This Row],[LoanID]],Table1[G-L ID],Table1[ManagerCode],-99)</f>
        <v>220</v>
      </c>
    </row>
    <row r="11453" spans="1:18" x14ac:dyDescent="0.25">
      <c r="A11453">
        <v>20200831</v>
      </c>
      <c r="B11453">
        <v>2020</v>
      </c>
      <c r="C11453">
        <v>8</v>
      </c>
      <c r="D11453">
        <v>1</v>
      </c>
      <c r="E11453">
        <v>14870</v>
      </c>
      <c r="F11453">
        <v>649407.30000000005</v>
      </c>
      <c r="G11453">
        <v>0</v>
      </c>
      <c r="H11453">
        <v>0</v>
      </c>
      <c r="I11453">
        <v>0</v>
      </c>
      <c r="J11453">
        <v>-750000</v>
      </c>
      <c r="K11453">
        <v>0</v>
      </c>
      <c r="L11453">
        <v>126175780</v>
      </c>
      <c r="M11453">
        <v>126175780</v>
      </c>
      <c r="N11453">
        <v>126174780</v>
      </c>
      <c r="O11453">
        <v>126174780</v>
      </c>
      <c r="P11453">
        <v>125357000</v>
      </c>
      <c r="Q11453">
        <v>126107000</v>
      </c>
      <c r="R11453" s="14">
        <f>_xlfn.XLOOKUP(Table2[[#This Row],[LoanID]],Table1[G-L ID],Table1[ManagerCode],-99)</f>
        <v>220</v>
      </c>
    </row>
    <row r="11454" spans="1:18" x14ac:dyDescent="0.25">
      <c r="A11454">
        <v>20200831</v>
      </c>
      <c r="B11454">
        <v>2020</v>
      </c>
      <c r="C11454">
        <v>8</v>
      </c>
      <c r="D11454">
        <v>1</v>
      </c>
      <c r="E11454">
        <v>14880</v>
      </c>
      <c r="F11454">
        <v>136271.07999999999</v>
      </c>
      <c r="G11454">
        <v>0</v>
      </c>
      <c r="H11454">
        <v>0</v>
      </c>
      <c r="I11454">
        <v>0</v>
      </c>
      <c r="J11454">
        <v>0</v>
      </c>
      <c r="K11454">
        <v>0</v>
      </c>
      <c r="L11454">
        <v>20296304.09</v>
      </c>
      <c r="M11454">
        <v>20296304.09</v>
      </c>
      <c r="N11454">
        <v>20296304.09</v>
      </c>
      <c r="O11454">
        <v>20296304.09</v>
      </c>
      <c r="P11454">
        <v>20296304.09</v>
      </c>
      <c r="Q11454">
        <v>20296304.09</v>
      </c>
      <c r="R11454" s="14">
        <f>_xlfn.XLOOKUP(Table2[[#This Row],[LoanID]],Table1[G-L ID],Table1[ManagerCode],-99)</f>
        <v>220</v>
      </c>
    </row>
    <row r="11455" spans="1:18" x14ac:dyDescent="0.25">
      <c r="A11455">
        <v>20200831</v>
      </c>
      <c r="B11455">
        <v>2020</v>
      </c>
      <c r="C11455">
        <v>8</v>
      </c>
      <c r="D11455">
        <v>1</v>
      </c>
      <c r="E11455">
        <v>14890</v>
      </c>
      <c r="F11455">
        <v>85357.58</v>
      </c>
      <c r="G11455">
        <v>0</v>
      </c>
      <c r="H11455">
        <v>0</v>
      </c>
      <c r="I11455">
        <v>0</v>
      </c>
      <c r="J11455">
        <v>0</v>
      </c>
      <c r="K11455">
        <v>0</v>
      </c>
      <c r="L11455">
        <v>34000000</v>
      </c>
      <c r="M11455">
        <v>34000000</v>
      </c>
      <c r="N11455">
        <v>17177663.98</v>
      </c>
      <c r="O11455">
        <v>17177663.98</v>
      </c>
      <c r="P11455">
        <v>34000000</v>
      </c>
      <c r="Q11455">
        <v>34000000</v>
      </c>
      <c r="R11455" s="14">
        <f>_xlfn.XLOOKUP(Table2[[#This Row],[LoanID]],Table1[G-L ID],Table1[ManagerCode],-99)</f>
        <v>220</v>
      </c>
    </row>
    <row r="11456" spans="1:18" x14ac:dyDescent="0.25">
      <c r="A11456">
        <v>20200831</v>
      </c>
      <c r="B11456">
        <v>2020</v>
      </c>
      <c r="C11456">
        <v>8</v>
      </c>
      <c r="D11456">
        <v>1</v>
      </c>
      <c r="E11456">
        <v>14900</v>
      </c>
      <c r="F11456">
        <v>181078.3</v>
      </c>
      <c r="G11456">
        <v>0</v>
      </c>
      <c r="H11456">
        <v>0</v>
      </c>
      <c r="I11456">
        <v>0</v>
      </c>
      <c r="J11456">
        <v>0</v>
      </c>
      <c r="K11456">
        <v>0</v>
      </c>
      <c r="L11456">
        <v>66277360.850000001</v>
      </c>
      <c r="M11456">
        <v>66277360.850000001</v>
      </c>
      <c r="N11456">
        <v>34572110.850000001</v>
      </c>
      <c r="O11456">
        <v>34572110.850000001</v>
      </c>
      <c r="P11456">
        <v>66277360.850000001</v>
      </c>
      <c r="Q11456">
        <v>66277360.850000001</v>
      </c>
      <c r="R11456" s="14">
        <f>_xlfn.XLOOKUP(Table2[[#This Row],[LoanID]],Table1[G-L ID],Table1[ManagerCode],-99)</f>
        <v>220</v>
      </c>
    </row>
    <row r="11457" spans="1:18" x14ac:dyDescent="0.25">
      <c r="A11457">
        <v>20200831</v>
      </c>
      <c r="B11457">
        <v>2020</v>
      </c>
      <c r="C11457">
        <v>8</v>
      </c>
      <c r="D11457">
        <v>1</v>
      </c>
      <c r="E11457">
        <v>14910</v>
      </c>
      <c r="F11457">
        <v>129797.6</v>
      </c>
      <c r="G11457">
        <v>0</v>
      </c>
      <c r="H11457">
        <v>0</v>
      </c>
      <c r="I11457">
        <v>0</v>
      </c>
      <c r="J11457">
        <v>0</v>
      </c>
      <c r="K11457">
        <v>0</v>
      </c>
      <c r="L11457">
        <v>40100000</v>
      </c>
      <c r="M11457">
        <v>40100000</v>
      </c>
      <c r="N11457">
        <v>16500000</v>
      </c>
      <c r="O11457">
        <v>16500000</v>
      </c>
      <c r="P11457">
        <v>40000000</v>
      </c>
      <c r="Q11457">
        <v>40000000</v>
      </c>
      <c r="R11457" s="14">
        <f>_xlfn.XLOOKUP(Table2[[#This Row],[LoanID]],Table1[G-L ID],Table1[ManagerCode],-99)</f>
        <v>220</v>
      </c>
    </row>
    <row r="11458" spans="1:18" x14ac:dyDescent="0.25">
      <c r="A11458">
        <v>20200831</v>
      </c>
      <c r="B11458">
        <v>2020</v>
      </c>
      <c r="C11458">
        <v>8</v>
      </c>
      <c r="D11458">
        <v>1</v>
      </c>
      <c r="E11458">
        <v>14920</v>
      </c>
      <c r="F11458">
        <v>225906.78</v>
      </c>
      <c r="G11458">
        <v>0</v>
      </c>
      <c r="H11458">
        <v>0</v>
      </c>
      <c r="I11458">
        <v>0</v>
      </c>
      <c r="J11458">
        <v>-254971.16</v>
      </c>
      <c r="K11458">
        <v>0</v>
      </c>
      <c r="L11458">
        <v>71154409.989999995</v>
      </c>
      <c r="M11458">
        <v>71409381.150000006</v>
      </c>
      <c r="N11458">
        <v>27154409.989999998</v>
      </c>
      <c r="O11458">
        <v>27409381.149999999</v>
      </c>
      <c r="P11458">
        <v>71154409.989999995</v>
      </c>
      <c r="Q11458">
        <v>71409381.150000006</v>
      </c>
      <c r="R11458" s="14">
        <f>_xlfn.XLOOKUP(Table2[[#This Row],[LoanID]],Table1[G-L ID],Table1[ManagerCode],-99)</f>
        <v>220</v>
      </c>
    </row>
    <row r="11459" spans="1:18" x14ac:dyDescent="0.25">
      <c r="A11459">
        <v>20200831</v>
      </c>
      <c r="B11459">
        <v>2020</v>
      </c>
      <c r="C11459">
        <v>8</v>
      </c>
      <c r="D11459">
        <v>1</v>
      </c>
      <c r="E11459">
        <v>14930</v>
      </c>
      <c r="F11459">
        <v>134244.64000000001</v>
      </c>
      <c r="G11459">
        <v>0</v>
      </c>
      <c r="H11459">
        <v>0</v>
      </c>
      <c r="I11459">
        <v>0</v>
      </c>
      <c r="J11459">
        <v>0</v>
      </c>
      <c r="K11459">
        <v>0</v>
      </c>
      <c r="L11459">
        <v>55000000</v>
      </c>
      <c r="M11459">
        <v>55000000</v>
      </c>
      <c r="N11459">
        <v>19650000</v>
      </c>
      <c r="O11459">
        <v>19650000</v>
      </c>
      <c r="P11459">
        <v>55000000</v>
      </c>
      <c r="Q11459">
        <v>55000000</v>
      </c>
      <c r="R11459" s="14">
        <f>_xlfn.XLOOKUP(Table2[[#This Row],[LoanID]],Table1[G-L ID],Table1[ManagerCode],-99)</f>
        <v>220</v>
      </c>
    </row>
    <row r="11460" spans="1:18" x14ac:dyDescent="0.25">
      <c r="A11460">
        <v>20200831</v>
      </c>
      <c r="B11460">
        <v>2020</v>
      </c>
      <c r="C11460">
        <v>8</v>
      </c>
      <c r="D11460">
        <v>1</v>
      </c>
      <c r="E11460">
        <v>14940</v>
      </c>
      <c r="F11460">
        <v>215556.46</v>
      </c>
      <c r="G11460">
        <v>0</v>
      </c>
      <c r="H11460">
        <v>0</v>
      </c>
      <c r="I11460">
        <v>0</v>
      </c>
      <c r="J11460">
        <v>0</v>
      </c>
      <c r="K11460">
        <v>0</v>
      </c>
      <c r="L11460">
        <v>79909705.310000002</v>
      </c>
      <c r="M11460">
        <v>79909705.310000002</v>
      </c>
      <c r="N11460">
        <v>41453763.539999999</v>
      </c>
      <c r="O11460">
        <v>41453763.539999999</v>
      </c>
      <c r="P11460">
        <v>80252681.680000007</v>
      </c>
      <c r="Q11460">
        <v>80252681.680000007</v>
      </c>
      <c r="R11460" s="14">
        <f>_xlfn.XLOOKUP(Table2[[#This Row],[LoanID]],Table1[G-L ID],Table1[ManagerCode],-99)</f>
        <v>220</v>
      </c>
    </row>
    <row r="11461" spans="1:18" x14ac:dyDescent="0.25">
      <c r="A11461">
        <v>20200831</v>
      </c>
      <c r="B11461">
        <v>2020</v>
      </c>
      <c r="C11461">
        <v>8</v>
      </c>
      <c r="D11461">
        <v>1</v>
      </c>
      <c r="E11461">
        <v>14960</v>
      </c>
      <c r="F11461">
        <v>56515.91</v>
      </c>
      <c r="G11461">
        <v>0</v>
      </c>
      <c r="H11461">
        <v>0</v>
      </c>
      <c r="I11461">
        <v>0</v>
      </c>
      <c r="J11461">
        <v>0</v>
      </c>
      <c r="K11461">
        <v>0</v>
      </c>
      <c r="L11461">
        <v>14905000</v>
      </c>
      <c r="M11461">
        <v>14905000</v>
      </c>
      <c r="N11461">
        <v>14904000</v>
      </c>
      <c r="O11461">
        <v>14904000</v>
      </c>
      <c r="P11461">
        <v>14915139.77</v>
      </c>
      <c r="Q11461">
        <v>14915139.77</v>
      </c>
      <c r="R11461" s="14">
        <f>_xlfn.XLOOKUP(Table2[[#This Row],[LoanID]],Table1[G-L ID],Table1[ManagerCode],-99)</f>
        <v>220</v>
      </c>
    </row>
    <row r="11462" spans="1:18" x14ac:dyDescent="0.25">
      <c r="A11462">
        <v>20200831</v>
      </c>
      <c r="B11462">
        <v>2020</v>
      </c>
      <c r="C11462">
        <v>8</v>
      </c>
      <c r="D11462">
        <v>1</v>
      </c>
      <c r="E11462">
        <v>14970</v>
      </c>
      <c r="F11462">
        <v>102030.69</v>
      </c>
      <c r="G11462">
        <v>0</v>
      </c>
      <c r="H11462">
        <v>0</v>
      </c>
      <c r="I11462">
        <v>0</v>
      </c>
      <c r="J11462">
        <v>0</v>
      </c>
      <c r="K11462">
        <v>0</v>
      </c>
      <c r="L11462">
        <v>29700000</v>
      </c>
      <c r="M11462">
        <v>29700000</v>
      </c>
      <c r="N11462">
        <v>14895000</v>
      </c>
      <c r="O11462">
        <v>14895000</v>
      </c>
      <c r="P11462">
        <v>29700000</v>
      </c>
      <c r="Q11462">
        <v>29700000</v>
      </c>
      <c r="R11462" s="14">
        <f>_xlfn.XLOOKUP(Table2[[#This Row],[LoanID]],Table1[G-L ID],Table1[ManagerCode],-99)</f>
        <v>220</v>
      </c>
    </row>
    <row r="11463" spans="1:18" x14ac:dyDescent="0.25">
      <c r="A11463">
        <v>20200831</v>
      </c>
      <c r="B11463">
        <v>2020</v>
      </c>
      <c r="C11463">
        <v>8</v>
      </c>
      <c r="D11463">
        <v>1</v>
      </c>
      <c r="E11463">
        <v>14980</v>
      </c>
      <c r="F11463">
        <v>239698.89</v>
      </c>
      <c r="G11463">
        <v>0</v>
      </c>
      <c r="H11463">
        <v>0</v>
      </c>
      <c r="I11463">
        <v>0</v>
      </c>
      <c r="J11463">
        <v>0</v>
      </c>
      <c r="K11463">
        <v>0</v>
      </c>
      <c r="L11463">
        <v>75000000</v>
      </c>
      <c r="M11463">
        <v>75000000</v>
      </c>
      <c r="N11463">
        <v>29500000</v>
      </c>
      <c r="O11463">
        <v>29500000</v>
      </c>
      <c r="P11463">
        <v>75000000</v>
      </c>
      <c r="Q11463">
        <v>75000000</v>
      </c>
      <c r="R11463" s="14">
        <f>_xlfn.XLOOKUP(Table2[[#This Row],[LoanID]],Table1[G-L ID],Table1[ManagerCode],-99)</f>
        <v>220</v>
      </c>
    </row>
    <row r="11464" spans="1:18" x14ac:dyDescent="0.25">
      <c r="A11464">
        <v>20200831</v>
      </c>
      <c r="B11464">
        <v>2020</v>
      </c>
      <c r="C11464">
        <v>8</v>
      </c>
      <c r="D11464">
        <v>1</v>
      </c>
      <c r="E11464">
        <v>14990</v>
      </c>
      <c r="F11464">
        <v>103849.49</v>
      </c>
      <c r="G11464">
        <v>0</v>
      </c>
      <c r="H11464">
        <v>0</v>
      </c>
      <c r="I11464">
        <v>0</v>
      </c>
      <c r="J11464">
        <v>0</v>
      </c>
      <c r="K11464">
        <v>0</v>
      </c>
      <c r="L11464">
        <v>33560000</v>
      </c>
      <c r="M11464">
        <v>33560000</v>
      </c>
      <c r="N11464">
        <v>13705000</v>
      </c>
      <c r="O11464">
        <v>13705000</v>
      </c>
      <c r="P11464">
        <v>33445847.82</v>
      </c>
      <c r="Q11464">
        <v>33445847.82</v>
      </c>
      <c r="R11464" s="14">
        <f>_xlfn.XLOOKUP(Table2[[#This Row],[LoanID]],Table1[G-L ID],Table1[ManagerCode],-99)</f>
        <v>220</v>
      </c>
    </row>
    <row r="11465" spans="1:18" x14ac:dyDescent="0.25">
      <c r="A11465">
        <v>20200831</v>
      </c>
      <c r="B11465">
        <v>2020</v>
      </c>
      <c r="C11465">
        <v>8</v>
      </c>
      <c r="D11465">
        <v>1</v>
      </c>
      <c r="E11465">
        <v>15000</v>
      </c>
      <c r="F11465">
        <v>260339.56</v>
      </c>
      <c r="G11465">
        <v>0</v>
      </c>
      <c r="H11465">
        <v>0</v>
      </c>
      <c r="I11465">
        <v>0</v>
      </c>
      <c r="J11465">
        <v>0</v>
      </c>
      <c r="K11465">
        <v>0</v>
      </c>
      <c r="L11465">
        <v>113900000</v>
      </c>
      <c r="M11465">
        <v>113900000</v>
      </c>
      <c r="N11465">
        <v>36900000</v>
      </c>
      <c r="O11465">
        <v>36900000</v>
      </c>
      <c r="P11465">
        <v>115013808.5</v>
      </c>
      <c r="Q11465">
        <v>115013808.5</v>
      </c>
      <c r="R11465" s="14">
        <f>_xlfn.XLOOKUP(Table2[[#This Row],[LoanID]],Table1[G-L ID],Table1[ManagerCode],-99)</f>
        <v>220</v>
      </c>
    </row>
    <row r="11466" spans="1:18" x14ac:dyDescent="0.25">
      <c r="A11466">
        <v>20200831</v>
      </c>
      <c r="B11466">
        <v>2020</v>
      </c>
      <c r="C11466">
        <v>8</v>
      </c>
      <c r="D11466">
        <v>1</v>
      </c>
      <c r="E11466">
        <v>15010</v>
      </c>
      <c r="F11466">
        <v>114527.6</v>
      </c>
      <c r="G11466">
        <v>0</v>
      </c>
      <c r="H11466">
        <v>0</v>
      </c>
      <c r="I11466">
        <v>0</v>
      </c>
      <c r="J11466">
        <v>0</v>
      </c>
      <c r="K11466">
        <v>0</v>
      </c>
      <c r="L11466">
        <v>33620000</v>
      </c>
      <c r="M11466">
        <v>33620000</v>
      </c>
      <c r="N11466">
        <v>16596000</v>
      </c>
      <c r="O11466">
        <v>16596000</v>
      </c>
      <c r="P11466">
        <v>33607943.170000002</v>
      </c>
      <c r="Q11466">
        <v>33607943.170000002</v>
      </c>
      <c r="R11466" s="14">
        <f>_xlfn.XLOOKUP(Table2[[#This Row],[LoanID]],Table1[G-L ID],Table1[ManagerCode],-99)</f>
        <v>220</v>
      </c>
    </row>
    <row r="11467" spans="1:18" x14ac:dyDescent="0.25">
      <c r="A11467">
        <v>20200831</v>
      </c>
      <c r="B11467">
        <v>2020</v>
      </c>
      <c r="C11467">
        <v>8</v>
      </c>
      <c r="D11467">
        <v>1</v>
      </c>
      <c r="E11467">
        <v>15020</v>
      </c>
      <c r="F11467">
        <v>170313.57</v>
      </c>
      <c r="G11467">
        <v>0</v>
      </c>
      <c r="H11467">
        <v>0</v>
      </c>
      <c r="I11467">
        <v>0</v>
      </c>
      <c r="J11467">
        <v>0</v>
      </c>
      <c r="K11467">
        <v>0</v>
      </c>
      <c r="L11467">
        <v>69430000</v>
      </c>
      <c r="M11467">
        <v>69430000</v>
      </c>
      <c r="N11467">
        <v>36311358.579999998</v>
      </c>
      <c r="O11467">
        <v>36311358.579999998</v>
      </c>
      <c r="P11467">
        <v>69000000</v>
      </c>
      <c r="Q11467">
        <v>69000000</v>
      </c>
      <c r="R11467" s="14">
        <f>_xlfn.XLOOKUP(Table2[[#This Row],[LoanID]],Table1[G-L ID],Table1[ManagerCode],-99)</f>
        <v>220</v>
      </c>
    </row>
    <row r="11468" spans="1:18" x14ac:dyDescent="0.25">
      <c r="A11468">
        <v>20200831</v>
      </c>
      <c r="B11468">
        <v>2020</v>
      </c>
      <c r="C11468">
        <v>8</v>
      </c>
      <c r="D11468">
        <v>1</v>
      </c>
      <c r="E11468">
        <v>15030</v>
      </c>
      <c r="F11468">
        <v>119759.49</v>
      </c>
      <c r="G11468">
        <v>0</v>
      </c>
      <c r="H11468">
        <v>0</v>
      </c>
      <c r="I11468">
        <v>0</v>
      </c>
      <c r="J11468">
        <v>0</v>
      </c>
      <c r="K11468">
        <v>0</v>
      </c>
      <c r="L11468">
        <v>45253000</v>
      </c>
      <c r="M11468">
        <v>45253000</v>
      </c>
      <c r="N11468">
        <v>24498282.59</v>
      </c>
      <c r="O11468">
        <v>24498282.59</v>
      </c>
      <c r="P11468">
        <v>45487703</v>
      </c>
      <c r="Q11468">
        <v>45487703</v>
      </c>
      <c r="R11468" s="14">
        <f>_xlfn.XLOOKUP(Table2[[#This Row],[LoanID]],Table1[G-L ID],Table1[ManagerCode],-99)</f>
        <v>220</v>
      </c>
    </row>
    <row r="11469" spans="1:18" x14ac:dyDescent="0.25">
      <c r="A11469">
        <v>20200831</v>
      </c>
      <c r="B11469">
        <v>2020</v>
      </c>
      <c r="C11469">
        <v>8</v>
      </c>
      <c r="D11469">
        <v>1</v>
      </c>
      <c r="E11469">
        <v>15040</v>
      </c>
      <c r="F11469">
        <v>160871.35</v>
      </c>
      <c r="G11469">
        <v>0</v>
      </c>
      <c r="H11469">
        <v>0</v>
      </c>
      <c r="I11469">
        <v>0</v>
      </c>
      <c r="J11469">
        <v>-114065.44</v>
      </c>
      <c r="K11469">
        <v>0</v>
      </c>
      <c r="L11469">
        <v>53449641.219999999</v>
      </c>
      <c r="M11469">
        <v>53563706.659999996</v>
      </c>
      <c r="N11469">
        <v>20364641.219999999</v>
      </c>
      <c r="O11469">
        <v>20478706.66</v>
      </c>
      <c r="P11469">
        <v>53559664.079999998</v>
      </c>
      <c r="Q11469">
        <v>53673729.520000003</v>
      </c>
      <c r="R11469" s="14">
        <f>_xlfn.XLOOKUP(Table2[[#This Row],[LoanID]],Table1[G-L ID],Table1[ManagerCode],-99)</f>
        <v>183</v>
      </c>
    </row>
    <row r="11470" spans="1:18" x14ac:dyDescent="0.25">
      <c r="A11470">
        <v>20200831</v>
      </c>
      <c r="B11470">
        <v>2020</v>
      </c>
      <c r="C11470">
        <v>8</v>
      </c>
      <c r="D11470">
        <v>1</v>
      </c>
      <c r="E11470">
        <v>15050</v>
      </c>
      <c r="F11470">
        <v>136265.16</v>
      </c>
      <c r="G11470">
        <v>0</v>
      </c>
      <c r="H11470">
        <v>0</v>
      </c>
      <c r="I11470">
        <v>0</v>
      </c>
      <c r="J11470">
        <v>0</v>
      </c>
      <c r="K11470">
        <v>0</v>
      </c>
      <c r="L11470">
        <v>47510000</v>
      </c>
      <c r="M11470">
        <v>47510000</v>
      </c>
      <c r="N11470">
        <v>16628500</v>
      </c>
      <c r="O11470">
        <v>16628500</v>
      </c>
      <c r="P11470">
        <v>47510000</v>
      </c>
      <c r="Q11470">
        <v>47510000</v>
      </c>
      <c r="R11470" s="14">
        <f>_xlfn.XLOOKUP(Table2[[#This Row],[LoanID]],Table1[G-L ID],Table1[ManagerCode],-99)</f>
        <v>183</v>
      </c>
    </row>
    <row r="11471" spans="1:18" x14ac:dyDescent="0.25">
      <c r="A11471">
        <v>20200831</v>
      </c>
      <c r="B11471">
        <v>2020</v>
      </c>
      <c r="C11471">
        <v>8</v>
      </c>
      <c r="D11471">
        <v>1</v>
      </c>
      <c r="E11471">
        <v>15060</v>
      </c>
      <c r="F11471">
        <v>79328.86</v>
      </c>
      <c r="G11471">
        <v>0</v>
      </c>
      <c r="H11471">
        <v>0</v>
      </c>
      <c r="I11471">
        <v>0</v>
      </c>
      <c r="J11471">
        <v>0</v>
      </c>
      <c r="K11471">
        <v>0</v>
      </c>
      <c r="L11471">
        <v>27593602.640000001</v>
      </c>
      <c r="M11471">
        <v>27593602.640000001</v>
      </c>
      <c r="N11471">
        <v>9556102.6400000006</v>
      </c>
      <c r="O11471">
        <v>9556102.6400000006</v>
      </c>
      <c r="P11471">
        <v>27750000</v>
      </c>
      <c r="Q11471">
        <v>27750000</v>
      </c>
      <c r="R11471" s="14">
        <f>_xlfn.XLOOKUP(Table2[[#This Row],[LoanID]],Table1[G-L ID],Table1[ManagerCode],-99)</f>
        <v>183</v>
      </c>
    </row>
    <row r="11472" spans="1:18" x14ac:dyDescent="0.25">
      <c r="A11472">
        <v>20200831</v>
      </c>
      <c r="B11472">
        <v>2020</v>
      </c>
      <c r="C11472">
        <v>8</v>
      </c>
      <c r="D11472">
        <v>1</v>
      </c>
      <c r="E11472">
        <v>15070</v>
      </c>
      <c r="F11472">
        <v>220763.51999999999</v>
      </c>
      <c r="G11472">
        <v>0</v>
      </c>
      <c r="H11472">
        <v>0</v>
      </c>
      <c r="I11472">
        <v>0</v>
      </c>
      <c r="J11472">
        <v>-161724.07</v>
      </c>
      <c r="K11472">
        <v>0</v>
      </c>
      <c r="L11472">
        <v>79777131.010000005</v>
      </c>
      <c r="M11472">
        <v>79938855.079999998</v>
      </c>
      <c r="N11472">
        <v>25526431.010000002</v>
      </c>
      <c r="O11472">
        <v>25688155.079999998</v>
      </c>
      <c r="P11472">
        <v>80155505.590000004</v>
      </c>
      <c r="Q11472">
        <v>80317229.659999996</v>
      </c>
      <c r="R11472" s="14">
        <f>_xlfn.XLOOKUP(Table2[[#This Row],[LoanID]],Table1[G-L ID],Table1[ManagerCode],-99)</f>
        <v>183</v>
      </c>
    </row>
    <row r="11473" spans="1:18" x14ac:dyDescent="0.25">
      <c r="A11473">
        <v>20200831</v>
      </c>
      <c r="B11473">
        <v>2020</v>
      </c>
      <c r="C11473">
        <v>8</v>
      </c>
      <c r="D11473">
        <v>1</v>
      </c>
      <c r="E11473">
        <v>15350</v>
      </c>
      <c r="F11473">
        <v>228194.44</v>
      </c>
      <c r="G11473">
        <v>0</v>
      </c>
      <c r="H11473">
        <v>0</v>
      </c>
      <c r="I11473">
        <v>0</v>
      </c>
      <c r="J11473">
        <v>0</v>
      </c>
      <c r="K11473">
        <v>0</v>
      </c>
      <c r="L11473">
        <v>40228194.439999998</v>
      </c>
      <c r="M11473">
        <v>40228194.439999998</v>
      </c>
      <c r="N11473">
        <v>40228194.439999998</v>
      </c>
      <c r="O11473">
        <v>40228194.439999998</v>
      </c>
      <c r="P11473">
        <v>40228194.439999998</v>
      </c>
      <c r="Q11473">
        <v>40228194.439999998</v>
      </c>
      <c r="R11473" s="14">
        <f>_xlfn.XLOOKUP(Table2[[#This Row],[LoanID]],Table1[G-L ID],Table1[ManagerCode],-99)</f>
        <v>219</v>
      </c>
    </row>
    <row r="11474" spans="1:18" x14ac:dyDescent="0.25">
      <c r="A11474">
        <v>20200831</v>
      </c>
      <c r="B11474">
        <v>2020</v>
      </c>
      <c r="C11474">
        <v>8</v>
      </c>
      <c r="D11474">
        <v>1</v>
      </c>
      <c r="E11474">
        <v>15360</v>
      </c>
      <c r="F11474">
        <v>42447.59</v>
      </c>
      <c r="G11474">
        <v>47699.83</v>
      </c>
      <c r="H11474">
        <v>0</v>
      </c>
      <c r="I11474">
        <v>0</v>
      </c>
      <c r="J11474">
        <v>-3772419.2</v>
      </c>
      <c r="K11474">
        <v>0</v>
      </c>
      <c r="L11474">
        <v>8489517.1300000008</v>
      </c>
      <c r="M11474">
        <v>12309636.17</v>
      </c>
      <c r="N11474">
        <v>8489517.1300000008</v>
      </c>
      <c r="O11474">
        <v>12309636.17</v>
      </c>
      <c r="P11474">
        <v>8489517.1300000008</v>
      </c>
      <c r="Q11474">
        <v>12309636.17</v>
      </c>
      <c r="R11474" s="14">
        <f>_xlfn.XLOOKUP(Table2[[#This Row],[LoanID]],Table1[G-L ID],Table1[ManagerCode],-99)</f>
        <v>219</v>
      </c>
    </row>
    <row r="11475" spans="1:18" x14ac:dyDescent="0.25">
      <c r="A11475">
        <v>20200831</v>
      </c>
      <c r="B11475">
        <v>2020</v>
      </c>
      <c r="C11475">
        <v>8</v>
      </c>
      <c r="D11475">
        <v>1</v>
      </c>
      <c r="E11475">
        <v>15370</v>
      </c>
      <c r="F11475">
        <v>286463.77</v>
      </c>
      <c r="G11475">
        <v>0</v>
      </c>
      <c r="H11475">
        <v>0</v>
      </c>
      <c r="I11475">
        <v>0</v>
      </c>
      <c r="J11475">
        <v>-482329.13</v>
      </c>
      <c r="K11475">
        <v>0</v>
      </c>
      <c r="L11475">
        <v>115140627.59999999</v>
      </c>
      <c r="M11475">
        <v>115622956.8</v>
      </c>
      <c r="N11475">
        <v>48244645.57</v>
      </c>
      <c r="O11475">
        <v>48726974.770000003</v>
      </c>
      <c r="P11475">
        <v>114918865.3</v>
      </c>
      <c r="Q11475">
        <v>115401194.5</v>
      </c>
      <c r="R11475" s="14">
        <f>_xlfn.XLOOKUP(Table2[[#This Row],[LoanID]],Table1[G-L ID],Table1[ManagerCode],-99)</f>
        <v>220</v>
      </c>
    </row>
    <row r="11476" spans="1:18" x14ac:dyDescent="0.25">
      <c r="A11476">
        <v>20200831</v>
      </c>
      <c r="B11476">
        <v>2020</v>
      </c>
      <c r="C11476">
        <v>8</v>
      </c>
      <c r="D11476">
        <v>1</v>
      </c>
      <c r="E11476">
        <v>15380</v>
      </c>
      <c r="F11476">
        <v>106002.22</v>
      </c>
      <c r="G11476">
        <v>0</v>
      </c>
      <c r="H11476">
        <v>0</v>
      </c>
      <c r="I11476">
        <v>0</v>
      </c>
      <c r="J11476">
        <v>0</v>
      </c>
      <c r="K11476">
        <v>0</v>
      </c>
      <c r="L11476">
        <v>35990000</v>
      </c>
      <c r="M11476">
        <v>35990000</v>
      </c>
      <c r="N11476">
        <v>15285500</v>
      </c>
      <c r="O11476">
        <v>15285500</v>
      </c>
      <c r="P11476">
        <v>35868907.090000004</v>
      </c>
      <c r="Q11476">
        <v>35868907.090000004</v>
      </c>
      <c r="R11476" s="14">
        <f>_xlfn.XLOOKUP(Table2[[#This Row],[LoanID]],Table1[G-L ID],Table1[ManagerCode],-99)</f>
        <v>220</v>
      </c>
    </row>
    <row r="11477" spans="1:18" x14ac:dyDescent="0.25">
      <c r="A11477">
        <v>20200831</v>
      </c>
      <c r="B11477">
        <v>2020</v>
      </c>
      <c r="C11477">
        <v>8</v>
      </c>
      <c r="D11477">
        <v>1</v>
      </c>
      <c r="E11477">
        <v>15390</v>
      </c>
      <c r="F11477">
        <v>109508.64</v>
      </c>
      <c r="G11477">
        <v>0</v>
      </c>
      <c r="H11477">
        <v>0</v>
      </c>
      <c r="I11477">
        <v>0</v>
      </c>
      <c r="J11477">
        <v>-416441.32</v>
      </c>
      <c r="K11477">
        <v>0</v>
      </c>
      <c r="L11477">
        <v>37880000</v>
      </c>
      <c r="M11477">
        <v>38310000</v>
      </c>
      <c r="N11477">
        <v>15170000</v>
      </c>
      <c r="O11477">
        <v>15600000</v>
      </c>
      <c r="P11477">
        <v>37735588.420000002</v>
      </c>
      <c r="Q11477">
        <v>38152029.740000002</v>
      </c>
      <c r="R11477" s="14">
        <f>_xlfn.XLOOKUP(Table2[[#This Row],[LoanID]],Table1[G-L ID],Table1[ManagerCode],-99)</f>
        <v>220</v>
      </c>
    </row>
    <row r="11478" spans="1:18" x14ac:dyDescent="0.25">
      <c r="A11478">
        <v>20200831</v>
      </c>
      <c r="B11478">
        <v>2020</v>
      </c>
      <c r="C11478">
        <v>8</v>
      </c>
      <c r="D11478">
        <v>1</v>
      </c>
      <c r="E11478">
        <v>15400</v>
      </c>
      <c r="F11478">
        <v>77986.61</v>
      </c>
      <c r="G11478">
        <v>0</v>
      </c>
      <c r="H11478">
        <v>0</v>
      </c>
      <c r="I11478">
        <v>0</v>
      </c>
      <c r="J11478">
        <v>0</v>
      </c>
      <c r="K11478">
        <v>0</v>
      </c>
      <c r="L11478">
        <v>23330000</v>
      </c>
      <c r="M11478">
        <v>23330000</v>
      </c>
      <c r="N11478">
        <v>23330000</v>
      </c>
      <c r="O11478">
        <v>23330000</v>
      </c>
      <c r="P11478">
        <v>23677148.120000001</v>
      </c>
      <c r="Q11478">
        <v>23677148.120000001</v>
      </c>
      <c r="R11478" s="14">
        <f>_xlfn.XLOOKUP(Table2[[#This Row],[LoanID]],Table1[G-L ID],Table1[ManagerCode],-99)</f>
        <v>220</v>
      </c>
    </row>
    <row r="11479" spans="1:18" x14ac:dyDescent="0.25">
      <c r="A11479">
        <v>20200831</v>
      </c>
      <c r="B11479">
        <v>2020</v>
      </c>
      <c r="C11479">
        <v>8</v>
      </c>
      <c r="D11479">
        <v>1</v>
      </c>
      <c r="E11479">
        <v>15410</v>
      </c>
      <c r="F11479">
        <v>174035.72</v>
      </c>
      <c r="G11479">
        <v>0</v>
      </c>
      <c r="H11479">
        <v>0</v>
      </c>
      <c r="I11479">
        <v>0</v>
      </c>
      <c r="J11479">
        <v>0</v>
      </c>
      <c r="K11479">
        <v>0</v>
      </c>
      <c r="L11479">
        <v>64340000</v>
      </c>
      <c r="M11479">
        <v>64340000</v>
      </c>
      <c r="N11479">
        <v>20540000</v>
      </c>
      <c r="O11479">
        <v>20540000</v>
      </c>
      <c r="P11479">
        <v>64000000</v>
      </c>
      <c r="Q11479">
        <v>64000000</v>
      </c>
      <c r="R11479" s="14">
        <f>_xlfn.XLOOKUP(Table2[[#This Row],[LoanID]],Table1[G-L ID],Table1[ManagerCode],-99)</f>
        <v>220</v>
      </c>
    </row>
    <row r="11480" spans="1:18" x14ac:dyDescent="0.25">
      <c r="A11480">
        <v>20200831</v>
      </c>
      <c r="B11480">
        <v>2020</v>
      </c>
      <c r="C11480">
        <v>8</v>
      </c>
      <c r="D11480">
        <v>1</v>
      </c>
      <c r="E11480">
        <v>15420</v>
      </c>
      <c r="F11480">
        <v>107022.88</v>
      </c>
      <c r="G11480">
        <v>0</v>
      </c>
      <c r="H11480">
        <v>0</v>
      </c>
      <c r="I11480">
        <v>0</v>
      </c>
      <c r="J11480">
        <v>0</v>
      </c>
      <c r="K11480">
        <v>0</v>
      </c>
      <c r="L11480">
        <v>44329417.359999999</v>
      </c>
      <c r="M11480">
        <v>44329417.359999999</v>
      </c>
      <c r="N11480">
        <v>15319917.359999999</v>
      </c>
      <c r="O11480">
        <v>15319917.359999999</v>
      </c>
      <c r="P11480">
        <v>44630000</v>
      </c>
      <c r="Q11480">
        <v>44630000</v>
      </c>
      <c r="R11480" s="14">
        <f>_xlfn.XLOOKUP(Table2[[#This Row],[LoanID]],Table1[G-L ID],Table1[ManagerCode],-99)</f>
        <v>183</v>
      </c>
    </row>
    <row r="11481" spans="1:18" x14ac:dyDescent="0.25">
      <c r="A11481">
        <v>20200831</v>
      </c>
      <c r="B11481">
        <v>2020</v>
      </c>
      <c r="C11481">
        <v>8</v>
      </c>
      <c r="D11481">
        <v>1</v>
      </c>
      <c r="E11481">
        <v>15430</v>
      </c>
      <c r="F11481">
        <v>127150.9</v>
      </c>
      <c r="G11481">
        <v>0</v>
      </c>
      <c r="H11481">
        <v>0</v>
      </c>
      <c r="I11481">
        <v>0</v>
      </c>
      <c r="J11481">
        <v>-867441.62</v>
      </c>
      <c r="K11481">
        <v>0</v>
      </c>
      <c r="L11481">
        <v>52203422.299999997</v>
      </c>
      <c r="M11481">
        <v>53070863.920000002</v>
      </c>
      <c r="N11481">
        <v>19011302.300000001</v>
      </c>
      <c r="O11481">
        <v>19878743.920000002</v>
      </c>
      <c r="P11481">
        <v>52645835.189999998</v>
      </c>
      <c r="Q11481">
        <v>53513276.810000002</v>
      </c>
      <c r="R11481" s="14">
        <f>_xlfn.XLOOKUP(Table2[[#This Row],[LoanID]],Table1[G-L ID],Table1[ManagerCode],-99)</f>
        <v>183</v>
      </c>
    </row>
    <row r="11482" spans="1:18" x14ac:dyDescent="0.25">
      <c r="A11482">
        <v>20200831</v>
      </c>
      <c r="B11482">
        <v>2020</v>
      </c>
      <c r="C11482">
        <v>8</v>
      </c>
      <c r="D11482">
        <v>1</v>
      </c>
      <c r="E11482">
        <v>15440</v>
      </c>
      <c r="F11482">
        <v>63960.14</v>
      </c>
      <c r="G11482">
        <v>0</v>
      </c>
      <c r="H11482">
        <v>0</v>
      </c>
      <c r="I11482">
        <v>0</v>
      </c>
      <c r="J11482">
        <v>-4000000</v>
      </c>
      <c r="K11482">
        <v>0</v>
      </c>
      <c r="L11482">
        <v>21277603.359999999</v>
      </c>
      <c r="M11482">
        <v>25277603.359999999</v>
      </c>
      <c r="N11482">
        <v>7302603.3600000003</v>
      </c>
      <c r="O11482">
        <v>11302603.359999999</v>
      </c>
      <c r="P11482">
        <v>21500000</v>
      </c>
      <c r="Q11482">
        <v>25500000</v>
      </c>
      <c r="R11482" s="14">
        <f>_xlfn.XLOOKUP(Table2[[#This Row],[LoanID]],Table1[G-L ID],Table1[ManagerCode],-99)</f>
        <v>183</v>
      </c>
    </row>
    <row r="11483" spans="1:18" x14ac:dyDescent="0.25">
      <c r="A11483">
        <v>20200831</v>
      </c>
      <c r="B11483">
        <v>2020</v>
      </c>
      <c r="C11483">
        <v>8</v>
      </c>
      <c r="D11483">
        <v>1</v>
      </c>
      <c r="E11483">
        <v>15450</v>
      </c>
      <c r="F11483">
        <v>71940.100000000006</v>
      </c>
      <c r="G11483">
        <v>0</v>
      </c>
      <c r="H11483">
        <v>0</v>
      </c>
      <c r="I11483">
        <v>0</v>
      </c>
      <c r="J11483">
        <v>0</v>
      </c>
      <c r="K11483">
        <v>0</v>
      </c>
      <c r="L11483">
        <v>29968506.940000001</v>
      </c>
      <c r="M11483">
        <v>29968506.940000001</v>
      </c>
      <c r="N11483">
        <v>10468506.939999999</v>
      </c>
      <c r="O11483">
        <v>10468506.939999999</v>
      </c>
      <c r="P11483">
        <v>30000000</v>
      </c>
      <c r="Q11483">
        <v>30000000</v>
      </c>
      <c r="R11483" s="14">
        <f>_xlfn.XLOOKUP(Table2[[#This Row],[LoanID]],Table1[G-L ID],Table1[ManagerCode],-99)</f>
        <v>183</v>
      </c>
    </row>
    <row r="11484" spans="1:18" x14ac:dyDescent="0.25">
      <c r="A11484">
        <v>20200831</v>
      </c>
      <c r="B11484">
        <v>2020</v>
      </c>
      <c r="C11484">
        <v>8</v>
      </c>
      <c r="D11484">
        <v>1</v>
      </c>
      <c r="E11484">
        <v>15460</v>
      </c>
      <c r="F11484">
        <v>190568.58</v>
      </c>
      <c r="G11484">
        <v>0</v>
      </c>
      <c r="H11484">
        <v>0</v>
      </c>
      <c r="I11484">
        <v>0</v>
      </c>
      <c r="J11484">
        <v>-186770.12</v>
      </c>
      <c r="K11484">
        <v>0</v>
      </c>
      <c r="L11484">
        <v>70457988.420000002</v>
      </c>
      <c r="M11484">
        <v>70644758.540000007</v>
      </c>
      <c r="N11484">
        <v>32699488.420000002</v>
      </c>
      <c r="O11484">
        <v>32886258.539999999</v>
      </c>
      <c r="P11484">
        <v>70871203.200000003</v>
      </c>
      <c r="Q11484">
        <v>71057973.319999993</v>
      </c>
      <c r="R11484" s="14">
        <f>_xlfn.XLOOKUP(Table2[[#This Row],[LoanID]],Table1[G-L ID],Table1[ManagerCode],-99)</f>
        <v>183</v>
      </c>
    </row>
    <row r="11485" spans="1:18" x14ac:dyDescent="0.25">
      <c r="A11485">
        <v>20200831</v>
      </c>
      <c r="B11485">
        <v>2020</v>
      </c>
      <c r="C11485">
        <v>8</v>
      </c>
      <c r="D11485">
        <v>1</v>
      </c>
      <c r="E11485">
        <v>15470</v>
      </c>
      <c r="F11485">
        <v>235353.73</v>
      </c>
      <c r="G11485">
        <v>0</v>
      </c>
      <c r="H11485">
        <v>0</v>
      </c>
      <c r="I11485">
        <v>0</v>
      </c>
      <c r="J11485">
        <v>0</v>
      </c>
      <c r="K11485">
        <v>0</v>
      </c>
      <c r="L11485">
        <v>84975921</v>
      </c>
      <c r="M11485">
        <v>84975921</v>
      </c>
      <c r="N11485">
        <v>61504907</v>
      </c>
      <c r="O11485">
        <v>61504907</v>
      </c>
      <c r="P11485">
        <v>85500000</v>
      </c>
      <c r="Q11485">
        <v>85500000</v>
      </c>
      <c r="R11485" s="14">
        <f>_xlfn.XLOOKUP(Table2[[#This Row],[LoanID]],Table1[G-L ID],Table1[ManagerCode],-99)</f>
        <v>183</v>
      </c>
    </row>
    <row r="11486" spans="1:18" x14ac:dyDescent="0.25">
      <c r="A11486">
        <v>20200831</v>
      </c>
      <c r="B11486">
        <v>2020</v>
      </c>
      <c r="C11486">
        <v>8</v>
      </c>
      <c r="D11486">
        <v>1</v>
      </c>
      <c r="E11486">
        <v>15480</v>
      </c>
      <c r="F11486">
        <v>152969.97</v>
      </c>
      <c r="G11486">
        <v>0</v>
      </c>
      <c r="H11486">
        <v>0</v>
      </c>
      <c r="I11486">
        <v>0</v>
      </c>
      <c r="J11486">
        <v>0</v>
      </c>
      <c r="K11486">
        <v>0</v>
      </c>
      <c r="L11486">
        <v>67867419.040000007</v>
      </c>
      <c r="M11486">
        <v>67867419.040000007</v>
      </c>
      <c r="N11486">
        <v>20155419.039999999</v>
      </c>
      <c r="O11486">
        <v>20155419.039999999</v>
      </c>
      <c r="P11486">
        <v>68160000</v>
      </c>
      <c r="Q11486">
        <v>68160000</v>
      </c>
      <c r="R11486" s="14">
        <f>_xlfn.XLOOKUP(Table2[[#This Row],[LoanID]],Table1[G-L ID],Table1[ManagerCode],-99)</f>
        <v>183</v>
      </c>
    </row>
    <row r="11487" spans="1:18" x14ac:dyDescent="0.25">
      <c r="A11487">
        <v>20200831</v>
      </c>
      <c r="B11487">
        <v>2020</v>
      </c>
      <c r="C11487">
        <v>8</v>
      </c>
      <c r="D11487">
        <v>1</v>
      </c>
      <c r="E11487">
        <v>15490</v>
      </c>
      <c r="F11487">
        <v>151960.62</v>
      </c>
      <c r="G11487">
        <v>0</v>
      </c>
      <c r="H11487">
        <v>0</v>
      </c>
      <c r="I11487">
        <v>0</v>
      </c>
      <c r="J11487">
        <v>0</v>
      </c>
      <c r="K11487">
        <v>0</v>
      </c>
      <c r="L11487">
        <v>57520122.329999998</v>
      </c>
      <c r="M11487">
        <v>57520122.329999998</v>
      </c>
      <c r="N11487">
        <v>20632622.329999998</v>
      </c>
      <c r="O11487">
        <v>20632622.329999998</v>
      </c>
      <c r="P11487">
        <v>57551037.539999999</v>
      </c>
      <c r="Q11487">
        <v>57551037.539999999</v>
      </c>
      <c r="R11487" s="14">
        <f>_xlfn.XLOOKUP(Table2[[#This Row],[LoanID]],Table1[G-L ID],Table1[ManagerCode],-99)</f>
        <v>183</v>
      </c>
    </row>
    <row r="11488" spans="1:18" x14ac:dyDescent="0.25">
      <c r="A11488">
        <v>20200831</v>
      </c>
      <c r="B11488">
        <v>2020</v>
      </c>
      <c r="C11488">
        <v>8</v>
      </c>
      <c r="D11488">
        <v>1</v>
      </c>
      <c r="E11488">
        <v>15500</v>
      </c>
      <c r="F11488">
        <v>120881.34</v>
      </c>
      <c r="G11488">
        <v>0</v>
      </c>
      <c r="H11488">
        <v>0</v>
      </c>
      <c r="I11488">
        <v>0</v>
      </c>
      <c r="J11488">
        <v>0</v>
      </c>
      <c r="K11488">
        <v>0</v>
      </c>
      <c r="L11488">
        <v>51009095.609999999</v>
      </c>
      <c r="M11488">
        <v>51009095.609999999</v>
      </c>
      <c r="N11488">
        <v>17944984.829999998</v>
      </c>
      <c r="O11488">
        <v>17944984.829999998</v>
      </c>
      <c r="P11488">
        <v>51250000</v>
      </c>
      <c r="Q11488">
        <v>51250000</v>
      </c>
      <c r="R11488" s="14">
        <f>_xlfn.XLOOKUP(Table2[[#This Row],[LoanID]],Table1[G-L ID],Table1[ManagerCode],-99)</f>
        <v>183</v>
      </c>
    </row>
    <row r="11489" spans="1:18" x14ac:dyDescent="0.25">
      <c r="A11489">
        <v>20200831</v>
      </c>
      <c r="B11489">
        <v>2020</v>
      </c>
      <c r="C11489">
        <v>8</v>
      </c>
      <c r="D11489">
        <v>1</v>
      </c>
      <c r="E11489">
        <v>15510</v>
      </c>
      <c r="F11489">
        <v>441547.18</v>
      </c>
      <c r="G11489">
        <v>0</v>
      </c>
      <c r="H11489">
        <v>0</v>
      </c>
      <c r="I11489">
        <v>0</v>
      </c>
      <c r="J11489">
        <v>0</v>
      </c>
      <c r="K11489">
        <v>0</v>
      </c>
      <c r="L11489">
        <v>193050191.19999999</v>
      </c>
      <c r="M11489">
        <v>193050191.19999999</v>
      </c>
      <c r="N11489">
        <v>56250191.200000003</v>
      </c>
      <c r="O11489">
        <v>56250191.200000003</v>
      </c>
      <c r="P11489">
        <v>193801840.09999999</v>
      </c>
      <c r="Q11489">
        <v>193801840.09999999</v>
      </c>
      <c r="R11489" s="14">
        <f>_xlfn.XLOOKUP(Table2[[#This Row],[LoanID]],Table1[G-L ID],Table1[ManagerCode],-99)</f>
        <v>183</v>
      </c>
    </row>
    <row r="11490" spans="1:18" x14ac:dyDescent="0.25">
      <c r="A11490">
        <v>20200831</v>
      </c>
      <c r="B11490">
        <v>2020</v>
      </c>
      <c r="C11490">
        <v>8</v>
      </c>
      <c r="D11490">
        <v>1</v>
      </c>
      <c r="E11490">
        <v>15520</v>
      </c>
      <c r="F11490">
        <v>204066.04</v>
      </c>
      <c r="G11490">
        <v>0</v>
      </c>
      <c r="H11490">
        <v>0</v>
      </c>
      <c r="I11490">
        <v>0</v>
      </c>
      <c r="J11490">
        <v>-1221839.3999999999</v>
      </c>
      <c r="K11490">
        <v>733103.64</v>
      </c>
      <c r="L11490">
        <v>58414908.450000003</v>
      </c>
      <c r="M11490">
        <v>59636747.850000001</v>
      </c>
      <c r="N11490">
        <v>23195963.379999999</v>
      </c>
      <c r="O11490">
        <v>23684699.140000001</v>
      </c>
      <c r="P11490">
        <v>58414908.450000003</v>
      </c>
      <c r="Q11490">
        <v>59636747.850000001</v>
      </c>
      <c r="R11490" s="14">
        <f>_xlfn.XLOOKUP(Table2[[#This Row],[LoanID]],Table1[G-L ID],Table1[ManagerCode],-99)</f>
        <v>183</v>
      </c>
    </row>
    <row r="11491" spans="1:18" x14ac:dyDescent="0.25">
      <c r="A11491">
        <v>20200831</v>
      </c>
      <c r="B11491">
        <v>2020</v>
      </c>
      <c r="C11491">
        <v>8</v>
      </c>
      <c r="D11491">
        <v>1</v>
      </c>
      <c r="E11491">
        <v>15530</v>
      </c>
      <c r="F11491">
        <v>0</v>
      </c>
      <c r="G11491">
        <v>242708.11</v>
      </c>
      <c r="H11491">
        <v>0</v>
      </c>
      <c r="I11491">
        <v>0</v>
      </c>
      <c r="J11491">
        <v>0</v>
      </c>
      <c r="K11491">
        <v>0</v>
      </c>
      <c r="L11491">
        <v>31143282.579999998</v>
      </c>
      <c r="M11491">
        <v>31385990.690000001</v>
      </c>
      <c r="N11491">
        <v>31143282.579999998</v>
      </c>
      <c r="O11491">
        <v>31385990.690000001</v>
      </c>
      <c r="P11491">
        <v>31143282.579999998</v>
      </c>
      <c r="Q11491">
        <v>31385990.690000001</v>
      </c>
      <c r="R11491" s="14">
        <f>_xlfn.XLOOKUP(Table2[[#This Row],[LoanID]],Table1[G-L ID],Table1[ManagerCode],-99)</f>
        <v>183</v>
      </c>
    </row>
    <row r="11492" spans="1:18" x14ac:dyDescent="0.25">
      <c r="A11492">
        <v>20200831</v>
      </c>
      <c r="B11492">
        <v>2020</v>
      </c>
      <c r="C11492">
        <v>8</v>
      </c>
      <c r="D11492">
        <v>1</v>
      </c>
      <c r="E11492">
        <v>15540</v>
      </c>
      <c r="F11492">
        <v>211372.53</v>
      </c>
      <c r="G11492">
        <v>-45</v>
      </c>
      <c r="H11492">
        <v>0</v>
      </c>
      <c r="I11492">
        <v>-3092.96</v>
      </c>
      <c r="J11492">
        <v>-233114.22</v>
      </c>
      <c r="K11492">
        <v>0</v>
      </c>
      <c r="L11492">
        <v>72047738.620000005</v>
      </c>
      <c r="M11492">
        <v>72280807.840000004</v>
      </c>
      <c r="N11492">
        <v>72047738.620000005</v>
      </c>
      <c r="O11492">
        <v>72280807.840000004</v>
      </c>
      <c r="P11492">
        <v>72047738.620000005</v>
      </c>
      <c r="Q11492">
        <v>72280807.840000004</v>
      </c>
      <c r="R11492" s="14">
        <f>_xlfn.XLOOKUP(Table2[[#This Row],[LoanID]],Table1[G-L ID],Table1[ManagerCode],-99)</f>
        <v>212</v>
      </c>
    </row>
    <row r="11493" spans="1:18" x14ac:dyDescent="0.25">
      <c r="A11493">
        <v>20200831</v>
      </c>
      <c r="B11493">
        <v>2020</v>
      </c>
      <c r="C11493">
        <v>8</v>
      </c>
      <c r="D11493">
        <v>1</v>
      </c>
      <c r="E11493">
        <v>15550</v>
      </c>
      <c r="F11493">
        <v>150560.97</v>
      </c>
      <c r="G11493">
        <v>0</v>
      </c>
      <c r="H11493">
        <v>0</v>
      </c>
      <c r="I11493">
        <v>-1368.74</v>
      </c>
      <c r="J11493">
        <v>0</v>
      </c>
      <c r="K11493">
        <v>0</v>
      </c>
      <c r="L11493">
        <v>31940560.969999999</v>
      </c>
      <c r="M11493">
        <v>31940560.969999999</v>
      </c>
      <c r="N11493">
        <v>31940560.969999999</v>
      </c>
      <c r="O11493">
        <v>31940560.969999999</v>
      </c>
      <c r="P11493">
        <v>31940560.969999999</v>
      </c>
      <c r="Q11493">
        <v>31940560.969999999</v>
      </c>
      <c r="R11493" s="14">
        <f>_xlfn.XLOOKUP(Table2[[#This Row],[LoanID]],Table1[G-L ID],Table1[ManagerCode],-99)</f>
        <v>212</v>
      </c>
    </row>
    <row r="11494" spans="1:18" x14ac:dyDescent="0.25">
      <c r="A11494">
        <v>20200831</v>
      </c>
      <c r="B11494">
        <v>2020</v>
      </c>
      <c r="C11494">
        <v>8</v>
      </c>
      <c r="D11494">
        <v>1</v>
      </c>
      <c r="E11494">
        <v>15560</v>
      </c>
      <c r="F11494">
        <v>189491.99</v>
      </c>
      <c r="G11494">
        <v>-295.27999999999997</v>
      </c>
      <c r="H11494">
        <v>0</v>
      </c>
      <c r="I11494">
        <v>0</v>
      </c>
      <c r="J11494">
        <v>0</v>
      </c>
      <c r="K11494">
        <v>0</v>
      </c>
      <c r="L11494">
        <v>48203414.960000001</v>
      </c>
      <c r="M11494">
        <v>48203119.68</v>
      </c>
      <c r="N11494">
        <v>48203414.960000001</v>
      </c>
      <c r="O11494">
        <v>48203119.68</v>
      </c>
      <c r="P11494">
        <v>48203414.960000001</v>
      </c>
      <c r="Q11494">
        <v>48203119.68</v>
      </c>
      <c r="R11494" s="14">
        <f>_xlfn.XLOOKUP(Table2[[#This Row],[LoanID]],Table1[G-L ID],Table1[ManagerCode],-99)</f>
        <v>212</v>
      </c>
    </row>
    <row r="11495" spans="1:18" x14ac:dyDescent="0.25">
      <c r="A11495">
        <v>20200831</v>
      </c>
      <c r="B11495">
        <v>2020</v>
      </c>
      <c r="C11495">
        <v>8</v>
      </c>
      <c r="D11495">
        <v>1</v>
      </c>
      <c r="E11495">
        <v>15570</v>
      </c>
      <c r="F11495">
        <v>123297.71</v>
      </c>
      <c r="G11495">
        <v>-159.36000000000001</v>
      </c>
      <c r="H11495">
        <v>0</v>
      </c>
      <c r="I11495">
        <v>0</v>
      </c>
      <c r="J11495">
        <v>0</v>
      </c>
      <c r="K11495">
        <v>0</v>
      </c>
      <c r="L11495">
        <v>26560601.710000001</v>
      </c>
      <c r="M11495">
        <v>26560442.350000001</v>
      </c>
      <c r="N11495">
        <v>26560601.710000001</v>
      </c>
      <c r="O11495">
        <v>26560442.350000001</v>
      </c>
      <c r="P11495">
        <v>26560601.710000001</v>
      </c>
      <c r="Q11495">
        <v>26560442.350000001</v>
      </c>
      <c r="R11495" s="14">
        <f>_xlfn.XLOOKUP(Table2[[#This Row],[LoanID]],Table1[G-L ID],Table1[ManagerCode],-99)</f>
        <v>212</v>
      </c>
    </row>
    <row r="11496" spans="1:18" x14ac:dyDescent="0.25">
      <c r="A11496">
        <v>20200831</v>
      </c>
      <c r="B11496">
        <v>2020</v>
      </c>
      <c r="C11496">
        <v>8</v>
      </c>
      <c r="D11496">
        <v>1</v>
      </c>
      <c r="E11496">
        <v>15580</v>
      </c>
      <c r="F11496">
        <v>113770.57</v>
      </c>
      <c r="G11496">
        <v>-76.709999999999994</v>
      </c>
      <c r="H11496">
        <v>0</v>
      </c>
      <c r="I11496">
        <v>0</v>
      </c>
      <c r="J11496">
        <v>0</v>
      </c>
      <c r="K11496">
        <v>9630.74</v>
      </c>
      <c r="L11496">
        <v>14397085.539999999</v>
      </c>
      <c r="M11496">
        <v>14387378.09</v>
      </c>
      <c r="N11496">
        <v>14397085.539999999</v>
      </c>
      <c r="O11496">
        <v>14387378.09</v>
      </c>
      <c r="P11496">
        <v>14397085.539999999</v>
      </c>
      <c r="Q11496">
        <v>14387378.09</v>
      </c>
      <c r="R11496" s="14">
        <f>_xlfn.XLOOKUP(Table2[[#This Row],[LoanID]],Table1[G-L ID],Table1[ManagerCode],-99)</f>
        <v>212</v>
      </c>
    </row>
    <row r="11497" spans="1:18" x14ac:dyDescent="0.25">
      <c r="A11497">
        <v>20200831</v>
      </c>
      <c r="B11497">
        <v>2020</v>
      </c>
      <c r="C11497">
        <v>8</v>
      </c>
      <c r="D11497">
        <v>1</v>
      </c>
      <c r="E11497">
        <v>15590</v>
      </c>
      <c r="F11497">
        <v>217092.25</v>
      </c>
      <c r="G11497">
        <v>-898.18</v>
      </c>
      <c r="H11497">
        <v>0</v>
      </c>
      <c r="I11497">
        <v>-4490.95</v>
      </c>
      <c r="J11497">
        <v>0</v>
      </c>
      <c r="K11497">
        <v>0</v>
      </c>
      <c r="L11497">
        <v>104522897</v>
      </c>
      <c r="M11497">
        <v>104521998.8</v>
      </c>
      <c r="N11497">
        <v>104522897</v>
      </c>
      <c r="O11497">
        <v>104521998.8</v>
      </c>
      <c r="P11497">
        <v>104522897</v>
      </c>
      <c r="Q11497">
        <v>104521998.8</v>
      </c>
      <c r="R11497" s="14">
        <f>_xlfn.XLOOKUP(Table2[[#This Row],[LoanID]],Table1[G-L ID],Table1[ManagerCode],-99)</f>
        <v>212</v>
      </c>
    </row>
    <row r="11498" spans="1:18" x14ac:dyDescent="0.25">
      <c r="A11498">
        <v>20200831</v>
      </c>
      <c r="B11498">
        <v>2020</v>
      </c>
      <c r="C11498">
        <v>8</v>
      </c>
      <c r="D11498">
        <v>1</v>
      </c>
      <c r="E11498">
        <v>15600</v>
      </c>
      <c r="F11498">
        <v>365201.57</v>
      </c>
      <c r="G11498">
        <v>-1104.76</v>
      </c>
      <c r="H11498">
        <v>0</v>
      </c>
      <c r="I11498">
        <v>-7891.13</v>
      </c>
      <c r="J11498">
        <v>0</v>
      </c>
      <c r="K11498">
        <v>0</v>
      </c>
      <c r="L11498">
        <v>183643096.59999999</v>
      </c>
      <c r="M11498">
        <v>183641991.80000001</v>
      </c>
      <c r="N11498">
        <v>183643096.59999999</v>
      </c>
      <c r="O11498">
        <v>183641991.80000001</v>
      </c>
      <c r="P11498">
        <v>183643096.59999999</v>
      </c>
      <c r="Q11498">
        <v>183641991.80000001</v>
      </c>
      <c r="R11498" s="14">
        <f>_xlfn.XLOOKUP(Table2[[#This Row],[LoanID]],Table1[G-L ID],Table1[ManagerCode],-99)</f>
        <v>212</v>
      </c>
    </row>
    <row r="11499" spans="1:18" x14ac:dyDescent="0.25">
      <c r="A11499">
        <v>20200831</v>
      </c>
      <c r="B11499">
        <v>2020</v>
      </c>
      <c r="C11499">
        <v>8</v>
      </c>
      <c r="D11499">
        <v>1</v>
      </c>
      <c r="E11499">
        <v>15610</v>
      </c>
      <c r="F11499">
        <v>578698.23</v>
      </c>
      <c r="G11499">
        <v>-1983.42</v>
      </c>
      <c r="H11499">
        <v>0</v>
      </c>
      <c r="I11499">
        <v>-9919.41</v>
      </c>
      <c r="J11499">
        <v>0</v>
      </c>
      <c r="K11499">
        <v>0</v>
      </c>
      <c r="L11499">
        <v>230964934.5</v>
      </c>
      <c r="M11499">
        <v>230962951.09999999</v>
      </c>
      <c r="N11499">
        <v>230964934.5</v>
      </c>
      <c r="O11499">
        <v>230962951.09999999</v>
      </c>
      <c r="P11499">
        <v>230964934.5</v>
      </c>
      <c r="Q11499">
        <v>230962951.09999999</v>
      </c>
      <c r="R11499" s="14">
        <f>_xlfn.XLOOKUP(Table2[[#This Row],[LoanID]],Table1[G-L ID],Table1[ManagerCode],-99)</f>
        <v>212</v>
      </c>
    </row>
    <row r="11500" spans="1:18" x14ac:dyDescent="0.25">
      <c r="A11500">
        <v>20200831</v>
      </c>
      <c r="B11500">
        <v>2020</v>
      </c>
      <c r="C11500">
        <v>8</v>
      </c>
      <c r="D11500">
        <v>1</v>
      </c>
      <c r="E11500">
        <v>15620</v>
      </c>
      <c r="F11500">
        <v>205539.45</v>
      </c>
      <c r="G11500">
        <v>-681.27</v>
      </c>
      <c r="H11500">
        <v>0</v>
      </c>
      <c r="I11500">
        <v>-3406.35</v>
      </c>
      <c r="J11500">
        <v>0</v>
      </c>
      <c r="K11500">
        <v>0</v>
      </c>
      <c r="L11500">
        <v>79320876.859999999</v>
      </c>
      <c r="M11500">
        <v>79320195.590000004</v>
      </c>
      <c r="N11500">
        <v>79320876.859999999</v>
      </c>
      <c r="O11500">
        <v>79320195.590000004</v>
      </c>
      <c r="P11500">
        <v>79320876.859999999</v>
      </c>
      <c r="Q11500">
        <v>79320195.590000004</v>
      </c>
      <c r="R11500" s="14">
        <f>_xlfn.XLOOKUP(Table2[[#This Row],[LoanID]],Table1[G-L ID],Table1[ManagerCode],-99)</f>
        <v>212</v>
      </c>
    </row>
    <row r="11501" spans="1:18" x14ac:dyDescent="0.25">
      <c r="A11501">
        <v>20200831</v>
      </c>
      <c r="B11501">
        <v>2020</v>
      </c>
      <c r="C11501">
        <v>8</v>
      </c>
      <c r="D11501">
        <v>1</v>
      </c>
      <c r="E11501">
        <v>15630</v>
      </c>
      <c r="F11501">
        <v>419770.7</v>
      </c>
      <c r="G11501">
        <v>222.76</v>
      </c>
      <c r="H11501">
        <v>0</v>
      </c>
      <c r="I11501">
        <v>-7734.35</v>
      </c>
      <c r="J11501">
        <v>0</v>
      </c>
      <c r="K11501">
        <v>0</v>
      </c>
      <c r="L11501">
        <v>180594595</v>
      </c>
      <c r="M11501">
        <v>180594817.69999999</v>
      </c>
      <c r="N11501">
        <v>180594595</v>
      </c>
      <c r="O11501">
        <v>180594817.69999999</v>
      </c>
      <c r="P11501">
        <v>180594595</v>
      </c>
      <c r="Q11501">
        <v>180594817.69999999</v>
      </c>
      <c r="R11501" s="14">
        <f>_xlfn.XLOOKUP(Table2[[#This Row],[LoanID]],Table1[G-L ID],Table1[ManagerCode],-99)</f>
        <v>212</v>
      </c>
    </row>
    <row r="11502" spans="1:18" x14ac:dyDescent="0.25">
      <c r="A11502">
        <v>20200831</v>
      </c>
      <c r="B11502">
        <v>2020</v>
      </c>
      <c r="C11502">
        <v>8</v>
      </c>
      <c r="D11502">
        <v>1</v>
      </c>
      <c r="E11502">
        <v>15640</v>
      </c>
      <c r="F11502">
        <v>87943.45</v>
      </c>
      <c r="G11502">
        <v>0</v>
      </c>
      <c r="H11502">
        <v>0</v>
      </c>
      <c r="I11502">
        <v>0</v>
      </c>
      <c r="J11502">
        <v>0</v>
      </c>
      <c r="K11502">
        <v>0</v>
      </c>
      <c r="L11502">
        <v>41899915.020000003</v>
      </c>
      <c r="M11502">
        <v>41899915.020000003</v>
      </c>
      <c r="N11502">
        <v>14599915.02</v>
      </c>
      <c r="O11502">
        <v>14599915.02</v>
      </c>
      <c r="P11502">
        <v>42000000</v>
      </c>
      <c r="Q11502">
        <v>42000000</v>
      </c>
      <c r="R11502" s="14">
        <f>_xlfn.XLOOKUP(Table2[[#This Row],[LoanID]],Table1[G-L ID],Table1[ManagerCode],-99)</f>
        <v>183</v>
      </c>
    </row>
    <row r="11503" spans="1:18" x14ac:dyDescent="0.25">
      <c r="A11503">
        <v>20200831</v>
      </c>
      <c r="B11503">
        <v>2020</v>
      </c>
      <c r="C11503">
        <v>8</v>
      </c>
      <c r="D11503">
        <v>1</v>
      </c>
      <c r="E11503">
        <v>15650</v>
      </c>
      <c r="F11503">
        <v>56604.99</v>
      </c>
      <c r="G11503">
        <v>0</v>
      </c>
      <c r="H11503">
        <v>0</v>
      </c>
      <c r="I11503">
        <v>0</v>
      </c>
      <c r="J11503">
        <v>-56784.480000000003</v>
      </c>
      <c r="K11503">
        <v>0</v>
      </c>
      <c r="L11503">
        <v>14308961.23</v>
      </c>
      <c r="M11503">
        <v>14365745.710000001</v>
      </c>
      <c r="N11503">
        <v>14308961.23</v>
      </c>
      <c r="O11503">
        <v>14365745.710000001</v>
      </c>
      <c r="P11503">
        <v>14249882.5</v>
      </c>
      <c r="Q11503">
        <v>14306666.98</v>
      </c>
      <c r="R11503" s="14">
        <f>_xlfn.XLOOKUP(Table2[[#This Row],[LoanID]],Table1[G-L ID],Table1[ManagerCode],-99)</f>
        <v>183</v>
      </c>
    </row>
    <row r="11504" spans="1:18" x14ac:dyDescent="0.25">
      <c r="A11504">
        <v>20200831</v>
      </c>
      <c r="B11504">
        <v>2020</v>
      </c>
      <c r="C11504">
        <v>8</v>
      </c>
      <c r="D11504">
        <v>1</v>
      </c>
      <c r="E11504">
        <v>15660</v>
      </c>
      <c r="F11504">
        <v>111789.5</v>
      </c>
      <c r="G11504">
        <v>0</v>
      </c>
      <c r="H11504">
        <v>0</v>
      </c>
      <c r="I11504">
        <v>0</v>
      </c>
      <c r="J11504">
        <v>-298013.74</v>
      </c>
      <c r="K11504">
        <v>0</v>
      </c>
      <c r="L11504">
        <v>40000000</v>
      </c>
      <c r="M11504">
        <v>40298013.740000002</v>
      </c>
      <c r="N11504">
        <v>20000000</v>
      </c>
      <c r="O11504">
        <v>20298013.739999998</v>
      </c>
      <c r="P11504">
        <v>40000000</v>
      </c>
      <c r="Q11504">
        <v>40298013.740000002</v>
      </c>
      <c r="R11504" s="14">
        <f>_xlfn.XLOOKUP(Table2[[#This Row],[LoanID]],Table1[G-L ID],Table1[ManagerCode],-99)</f>
        <v>183</v>
      </c>
    </row>
    <row r="11505" spans="1:18" x14ac:dyDescent="0.25">
      <c r="A11505">
        <v>20200831</v>
      </c>
      <c r="B11505">
        <v>2020</v>
      </c>
      <c r="C11505">
        <v>8</v>
      </c>
      <c r="D11505">
        <v>1</v>
      </c>
      <c r="E11505">
        <v>15670</v>
      </c>
      <c r="F11505">
        <v>53195.14</v>
      </c>
      <c r="G11505">
        <v>0</v>
      </c>
      <c r="H11505">
        <v>0</v>
      </c>
      <c r="I11505">
        <v>0</v>
      </c>
      <c r="J11505">
        <v>0</v>
      </c>
      <c r="K11505">
        <v>0</v>
      </c>
      <c r="L11505">
        <v>17437580</v>
      </c>
      <c r="M11505">
        <v>17457071</v>
      </c>
      <c r="N11505">
        <v>17437580</v>
      </c>
      <c r="O11505">
        <v>17457071</v>
      </c>
      <c r="P11505">
        <v>17650000</v>
      </c>
      <c r="Q11505">
        <v>17650000</v>
      </c>
      <c r="R11505" s="14">
        <f>_xlfn.XLOOKUP(Table2[[#This Row],[LoanID]],Table1[G-L ID],Table1[ManagerCode],-99)</f>
        <v>103</v>
      </c>
    </row>
    <row r="11506" spans="1:18" x14ac:dyDescent="0.25">
      <c r="A11506">
        <v>20200831</v>
      </c>
      <c r="B11506">
        <v>2020</v>
      </c>
      <c r="C11506">
        <v>8</v>
      </c>
      <c r="D11506">
        <v>1</v>
      </c>
      <c r="E11506">
        <v>15680</v>
      </c>
      <c r="F11506">
        <v>423962.5</v>
      </c>
      <c r="G11506">
        <v>0</v>
      </c>
      <c r="H11506">
        <v>0</v>
      </c>
      <c r="I11506">
        <v>0</v>
      </c>
      <c r="J11506">
        <v>0</v>
      </c>
      <c r="K11506">
        <v>0</v>
      </c>
      <c r="L11506">
        <v>64350000</v>
      </c>
      <c r="M11506">
        <v>64350000</v>
      </c>
      <c r="N11506">
        <v>64350000</v>
      </c>
      <c r="O11506">
        <v>64350000</v>
      </c>
      <c r="P11506">
        <v>65000000</v>
      </c>
      <c r="Q11506">
        <v>65000000</v>
      </c>
      <c r="R11506" s="14">
        <f>_xlfn.XLOOKUP(Table2[[#This Row],[LoanID]],Table1[G-L ID],Table1[ManagerCode],-99)</f>
        <v>103</v>
      </c>
    </row>
    <row r="11507" spans="1:18" x14ac:dyDescent="0.25">
      <c r="A11507">
        <v>20200831</v>
      </c>
      <c r="B11507">
        <v>2020</v>
      </c>
      <c r="C11507">
        <v>8</v>
      </c>
      <c r="D11507">
        <v>1</v>
      </c>
      <c r="E11507">
        <v>15690</v>
      </c>
      <c r="F11507">
        <v>106099.12</v>
      </c>
      <c r="G11507">
        <v>0</v>
      </c>
      <c r="H11507">
        <v>0</v>
      </c>
      <c r="I11507">
        <v>0</v>
      </c>
      <c r="J11507">
        <v>0</v>
      </c>
      <c r="K11507">
        <v>0</v>
      </c>
      <c r="L11507">
        <v>13793129</v>
      </c>
      <c r="M11507">
        <v>13793129</v>
      </c>
      <c r="N11507">
        <v>13793129</v>
      </c>
      <c r="O11507">
        <v>13793129</v>
      </c>
      <c r="P11507">
        <v>14495516</v>
      </c>
      <c r="Q11507">
        <v>14495516</v>
      </c>
      <c r="R11507" s="14">
        <f>_xlfn.XLOOKUP(Table2[[#This Row],[LoanID]],Table1[G-L ID],Table1[ManagerCode],-99)</f>
        <v>193</v>
      </c>
    </row>
    <row r="11508" spans="1:18" x14ac:dyDescent="0.25">
      <c r="A11508">
        <v>20200831</v>
      </c>
      <c r="B11508">
        <v>2020</v>
      </c>
      <c r="C11508">
        <v>8</v>
      </c>
      <c r="D11508">
        <v>1</v>
      </c>
      <c r="E11508">
        <v>15700</v>
      </c>
      <c r="F11508">
        <v>233576.39</v>
      </c>
      <c r="G11508">
        <v>0</v>
      </c>
      <c r="H11508">
        <v>0</v>
      </c>
      <c r="I11508">
        <v>0</v>
      </c>
      <c r="J11508">
        <v>0</v>
      </c>
      <c r="K11508">
        <v>0</v>
      </c>
      <c r="L11508">
        <v>35000000</v>
      </c>
      <c r="M11508">
        <v>35000000</v>
      </c>
      <c r="N11508">
        <v>35000000</v>
      </c>
      <c r="O11508">
        <v>35000000</v>
      </c>
      <c r="P11508">
        <v>35000000</v>
      </c>
      <c r="Q11508">
        <v>35000000</v>
      </c>
      <c r="R11508" s="14">
        <f>_xlfn.XLOOKUP(Table2[[#This Row],[LoanID]],Table1[G-L ID],Table1[ManagerCode],-99)</f>
        <v>193</v>
      </c>
    </row>
    <row r="11509" spans="1:18" x14ac:dyDescent="0.25">
      <c r="A11509">
        <v>20200831</v>
      </c>
      <c r="B11509">
        <v>2020</v>
      </c>
      <c r="C11509">
        <v>8</v>
      </c>
      <c r="D11509">
        <v>1</v>
      </c>
      <c r="E11509">
        <v>15710</v>
      </c>
      <c r="F11509">
        <v>313282.31</v>
      </c>
      <c r="G11509">
        <v>0</v>
      </c>
      <c r="H11509">
        <v>0</v>
      </c>
      <c r="I11509">
        <v>0</v>
      </c>
      <c r="J11509">
        <v>-182819.69</v>
      </c>
      <c r="K11509">
        <v>0</v>
      </c>
      <c r="L11509">
        <v>73765555.790000007</v>
      </c>
      <c r="M11509">
        <v>73948375.480000004</v>
      </c>
      <c r="N11509">
        <v>73765555.790000007</v>
      </c>
      <c r="O11509">
        <v>73948375.480000004</v>
      </c>
      <c r="P11509">
        <v>73765555.790000007</v>
      </c>
      <c r="Q11509">
        <v>73948375.480000004</v>
      </c>
      <c r="R11509" s="14">
        <f>_xlfn.XLOOKUP(Table2[[#This Row],[LoanID]],Table1[G-L ID],Table1[ManagerCode],-99)</f>
        <v>193</v>
      </c>
    </row>
    <row r="11510" spans="1:18" x14ac:dyDescent="0.25">
      <c r="A11510">
        <v>20200831</v>
      </c>
      <c r="B11510">
        <v>2020</v>
      </c>
      <c r="C11510">
        <v>8</v>
      </c>
      <c r="D11510">
        <v>1</v>
      </c>
      <c r="E11510">
        <v>15720</v>
      </c>
      <c r="F11510">
        <v>146455.53</v>
      </c>
      <c r="G11510">
        <v>0</v>
      </c>
      <c r="H11510">
        <v>0</v>
      </c>
      <c r="I11510">
        <v>0</v>
      </c>
      <c r="J11510">
        <v>0</v>
      </c>
      <c r="K11510">
        <v>0</v>
      </c>
      <c r="L11510">
        <v>22462493.449999999</v>
      </c>
      <c r="M11510">
        <v>22462493.449999999</v>
      </c>
      <c r="N11510">
        <v>22462493.449999999</v>
      </c>
      <c r="O11510">
        <v>22462493.449999999</v>
      </c>
      <c r="P11510">
        <v>22462493.449999999</v>
      </c>
      <c r="Q11510">
        <v>22462493.449999999</v>
      </c>
      <c r="R11510" s="14">
        <f>_xlfn.XLOOKUP(Table2[[#This Row],[LoanID]],Table1[G-L ID],Table1[ManagerCode],-99)</f>
        <v>193</v>
      </c>
    </row>
    <row r="11511" spans="1:18" x14ac:dyDescent="0.25">
      <c r="A11511">
        <v>20200831</v>
      </c>
      <c r="B11511">
        <v>2020</v>
      </c>
      <c r="C11511">
        <v>8</v>
      </c>
      <c r="D11511">
        <v>1</v>
      </c>
      <c r="E11511">
        <v>15730</v>
      </c>
      <c r="F11511">
        <v>119190.69</v>
      </c>
      <c r="G11511">
        <v>0</v>
      </c>
      <c r="H11511">
        <v>0</v>
      </c>
      <c r="I11511">
        <v>0</v>
      </c>
      <c r="J11511">
        <v>0</v>
      </c>
      <c r="K11511">
        <v>0</v>
      </c>
      <c r="L11511">
        <v>19070511.109999999</v>
      </c>
      <c r="M11511">
        <v>19070511.109999999</v>
      </c>
      <c r="N11511">
        <v>19070511.109999999</v>
      </c>
      <c r="O11511">
        <v>19070511.109999999</v>
      </c>
      <c r="P11511">
        <v>19070511.109999999</v>
      </c>
      <c r="Q11511">
        <v>19070511.109999999</v>
      </c>
      <c r="R11511" s="14">
        <f>_xlfn.XLOOKUP(Table2[[#This Row],[LoanID]],Table1[G-L ID],Table1[ManagerCode],-99)</f>
        <v>193</v>
      </c>
    </row>
    <row r="11512" spans="1:18" x14ac:dyDescent="0.25">
      <c r="A11512">
        <v>20200831</v>
      </c>
      <c r="B11512">
        <v>2020</v>
      </c>
      <c r="C11512">
        <v>8</v>
      </c>
      <c r="D11512">
        <v>1</v>
      </c>
      <c r="E11512">
        <v>15740</v>
      </c>
      <c r="F11512">
        <v>294833.33</v>
      </c>
      <c r="G11512">
        <v>0</v>
      </c>
      <c r="H11512">
        <v>0</v>
      </c>
      <c r="I11512">
        <v>0</v>
      </c>
      <c r="J11512">
        <v>0</v>
      </c>
      <c r="K11512">
        <v>0</v>
      </c>
      <c r="L11512">
        <v>60000000</v>
      </c>
      <c r="M11512">
        <v>60000000</v>
      </c>
      <c r="N11512">
        <v>60000000</v>
      </c>
      <c r="O11512">
        <v>60000000</v>
      </c>
      <c r="P11512">
        <v>60000000</v>
      </c>
      <c r="Q11512">
        <v>60000000</v>
      </c>
      <c r="R11512" s="14">
        <f>_xlfn.XLOOKUP(Table2[[#This Row],[LoanID]],Table1[G-L ID],Table1[ManagerCode],-99)</f>
        <v>193</v>
      </c>
    </row>
    <row r="11513" spans="1:18" x14ac:dyDescent="0.25">
      <c r="A11513">
        <v>20200831</v>
      </c>
      <c r="B11513">
        <v>2020</v>
      </c>
      <c r="C11513">
        <v>8</v>
      </c>
      <c r="D11513">
        <v>1</v>
      </c>
      <c r="E11513">
        <v>15750</v>
      </c>
      <c r="F11513">
        <v>155769.82999999999</v>
      </c>
      <c r="G11513">
        <v>0</v>
      </c>
      <c r="H11513">
        <v>0</v>
      </c>
      <c r="I11513">
        <v>0</v>
      </c>
      <c r="J11513">
        <v>0</v>
      </c>
      <c r="K11513">
        <v>0</v>
      </c>
      <c r="L11513">
        <v>36500000</v>
      </c>
      <c r="M11513">
        <v>36500000</v>
      </c>
      <c r="N11513">
        <v>36500000</v>
      </c>
      <c r="O11513">
        <v>36500000</v>
      </c>
      <c r="P11513">
        <v>36500000</v>
      </c>
      <c r="Q11513">
        <v>36500000</v>
      </c>
      <c r="R11513" s="14">
        <f>_xlfn.XLOOKUP(Table2[[#This Row],[LoanID]],Table1[G-L ID],Table1[ManagerCode],-99)</f>
        <v>193</v>
      </c>
    </row>
    <row r="11514" spans="1:18" x14ac:dyDescent="0.25">
      <c r="A11514">
        <v>20200831</v>
      </c>
      <c r="B11514">
        <v>2020</v>
      </c>
      <c r="C11514">
        <v>8</v>
      </c>
      <c r="D11514">
        <v>1</v>
      </c>
      <c r="E11514">
        <v>15760</v>
      </c>
      <c r="F11514">
        <v>234661.39</v>
      </c>
      <c r="G11514">
        <v>0</v>
      </c>
      <c r="H11514">
        <v>0</v>
      </c>
      <c r="I11514">
        <v>0</v>
      </c>
      <c r="J11514">
        <v>0</v>
      </c>
      <c r="K11514">
        <v>0</v>
      </c>
      <c r="L11514">
        <v>42500000</v>
      </c>
      <c r="M11514">
        <v>42500000</v>
      </c>
      <c r="N11514">
        <v>42500000</v>
      </c>
      <c r="O11514">
        <v>42500000</v>
      </c>
      <c r="P11514">
        <v>42500000</v>
      </c>
      <c r="Q11514">
        <v>42500000</v>
      </c>
      <c r="R11514" s="14">
        <f>_xlfn.XLOOKUP(Table2[[#This Row],[LoanID]],Table1[G-L ID],Table1[ManagerCode],-99)</f>
        <v>193</v>
      </c>
    </row>
    <row r="11515" spans="1:18" x14ac:dyDescent="0.25">
      <c r="A11515">
        <v>20200831</v>
      </c>
      <c r="B11515">
        <v>2020</v>
      </c>
      <c r="C11515">
        <v>8</v>
      </c>
      <c r="D11515">
        <v>1</v>
      </c>
      <c r="E11515">
        <v>15770</v>
      </c>
      <c r="F11515">
        <v>714722.22</v>
      </c>
      <c r="G11515">
        <v>0</v>
      </c>
      <c r="H11515">
        <v>0</v>
      </c>
      <c r="I11515">
        <v>0</v>
      </c>
      <c r="J11515">
        <v>0</v>
      </c>
      <c r="K11515">
        <v>0</v>
      </c>
      <c r="L11515">
        <v>100000000</v>
      </c>
      <c r="M11515">
        <v>100000000</v>
      </c>
      <c r="N11515">
        <v>100000000</v>
      </c>
      <c r="O11515">
        <v>100000000</v>
      </c>
      <c r="P11515">
        <v>100000000</v>
      </c>
      <c r="Q11515">
        <v>100000000</v>
      </c>
      <c r="R11515" s="14">
        <f>_xlfn.XLOOKUP(Table2[[#This Row],[LoanID]],Table1[G-L ID],Table1[ManagerCode],-99)</f>
        <v>193</v>
      </c>
    </row>
    <row r="11516" spans="1:18" x14ac:dyDescent="0.25">
      <c r="A11516">
        <v>20200831</v>
      </c>
      <c r="B11516">
        <v>2020</v>
      </c>
      <c r="C11516">
        <v>8</v>
      </c>
      <c r="D11516">
        <v>1</v>
      </c>
      <c r="E11516">
        <v>15780</v>
      </c>
      <c r="F11516">
        <v>114062.5</v>
      </c>
      <c r="G11516">
        <v>0</v>
      </c>
      <c r="H11516">
        <v>0</v>
      </c>
      <c r="I11516">
        <v>0</v>
      </c>
      <c r="J11516">
        <v>0</v>
      </c>
      <c r="K11516">
        <v>0</v>
      </c>
      <c r="L11516">
        <v>15000000</v>
      </c>
      <c r="M11516">
        <v>15000000</v>
      </c>
      <c r="N11516">
        <v>15000000</v>
      </c>
      <c r="O11516">
        <v>15000000</v>
      </c>
      <c r="P11516">
        <v>15000000</v>
      </c>
      <c r="Q11516">
        <v>15000000</v>
      </c>
      <c r="R11516" s="14">
        <f>_xlfn.XLOOKUP(Table2[[#This Row],[LoanID]],Table1[G-L ID],Table1[ManagerCode],-99)</f>
        <v>193</v>
      </c>
    </row>
    <row r="11517" spans="1:18" x14ac:dyDescent="0.25">
      <c r="A11517">
        <v>20200831</v>
      </c>
      <c r="B11517">
        <v>2020</v>
      </c>
      <c r="C11517">
        <v>8</v>
      </c>
      <c r="D11517">
        <v>1</v>
      </c>
      <c r="E11517">
        <v>15790</v>
      </c>
      <c r="F11517">
        <v>268258.08</v>
      </c>
      <c r="G11517">
        <v>0</v>
      </c>
      <c r="H11517">
        <v>0</v>
      </c>
      <c r="I11517">
        <v>0</v>
      </c>
      <c r="J11517">
        <v>0</v>
      </c>
      <c r="K11517">
        <v>0</v>
      </c>
      <c r="L11517">
        <v>50000000</v>
      </c>
      <c r="M11517">
        <v>50000000</v>
      </c>
      <c r="N11517">
        <v>50000000</v>
      </c>
      <c r="O11517">
        <v>50000000</v>
      </c>
      <c r="P11517">
        <v>50000000</v>
      </c>
      <c r="Q11517">
        <v>50000000</v>
      </c>
      <c r="R11517" s="14">
        <f>_xlfn.XLOOKUP(Table2[[#This Row],[LoanID]],Table1[G-L ID],Table1[ManagerCode],-99)</f>
        <v>193</v>
      </c>
    </row>
    <row r="11518" spans="1:18" x14ac:dyDescent="0.25">
      <c r="A11518">
        <v>20200831</v>
      </c>
      <c r="B11518">
        <v>2020</v>
      </c>
      <c r="C11518">
        <v>8</v>
      </c>
      <c r="D11518">
        <v>1</v>
      </c>
      <c r="E11518">
        <v>15800</v>
      </c>
      <c r="F11518">
        <v>420868.06</v>
      </c>
      <c r="G11518">
        <v>0</v>
      </c>
      <c r="H11518">
        <v>0</v>
      </c>
      <c r="I11518">
        <v>-3659.72</v>
      </c>
      <c r="J11518">
        <v>0</v>
      </c>
      <c r="K11518">
        <v>0</v>
      </c>
      <c r="L11518">
        <v>85420868.060000002</v>
      </c>
      <c r="M11518">
        <v>85420868.060000002</v>
      </c>
      <c r="N11518">
        <v>85420868.060000002</v>
      </c>
      <c r="O11518">
        <v>85420868.060000002</v>
      </c>
      <c r="P11518">
        <v>85420868.060000002</v>
      </c>
      <c r="Q11518">
        <v>85420868.060000002</v>
      </c>
      <c r="R11518" s="14">
        <f>_xlfn.XLOOKUP(Table2[[#This Row],[LoanID]],Table1[G-L ID],Table1[ManagerCode],-99)</f>
        <v>212</v>
      </c>
    </row>
    <row r="11519" spans="1:18" x14ac:dyDescent="0.25">
      <c r="A11519">
        <v>20200831</v>
      </c>
      <c r="B11519">
        <v>2020</v>
      </c>
      <c r="C11519">
        <v>8</v>
      </c>
      <c r="D11519">
        <v>1</v>
      </c>
      <c r="E11519">
        <v>15810</v>
      </c>
      <c r="F11519">
        <v>164256.94</v>
      </c>
      <c r="G11519">
        <v>0</v>
      </c>
      <c r="H11519">
        <v>0</v>
      </c>
      <c r="I11519">
        <v>0</v>
      </c>
      <c r="J11519">
        <v>0</v>
      </c>
      <c r="K11519">
        <v>0</v>
      </c>
      <c r="L11519">
        <v>23062500</v>
      </c>
      <c r="M11519">
        <v>23062500</v>
      </c>
      <c r="N11519">
        <v>23062500</v>
      </c>
      <c r="O11519">
        <v>23062500</v>
      </c>
      <c r="P11519">
        <v>25000000</v>
      </c>
      <c r="Q11519">
        <v>25000000</v>
      </c>
      <c r="R11519" s="14">
        <f>_xlfn.XLOOKUP(Table2[[#This Row],[LoanID]],Table1[G-L ID],Table1[ManagerCode],-99)</f>
        <v>193</v>
      </c>
    </row>
    <row r="11520" spans="1:18" x14ac:dyDescent="0.25">
      <c r="A11520">
        <v>20200831</v>
      </c>
      <c r="B11520">
        <v>2020</v>
      </c>
      <c r="C11520">
        <v>8</v>
      </c>
      <c r="D11520">
        <v>1</v>
      </c>
      <c r="E11520">
        <v>15820</v>
      </c>
      <c r="F11520">
        <v>112855.96</v>
      </c>
      <c r="G11520">
        <v>0</v>
      </c>
      <c r="H11520">
        <v>0</v>
      </c>
      <c r="I11520">
        <v>0</v>
      </c>
      <c r="J11520">
        <v>0</v>
      </c>
      <c r="K11520">
        <v>0</v>
      </c>
      <c r="L11520">
        <v>22190745</v>
      </c>
      <c r="M11520">
        <v>22190745</v>
      </c>
      <c r="N11520">
        <v>22190745</v>
      </c>
      <c r="O11520">
        <v>22190745</v>
      </c>
      <c r="P11520">
        <v>22190745</v>
      </c>
      <c r="Q11520">
        <v>22190745</v>
      </c>
      <c r="R11520" s="14">
        <f>_xlfn.XLOOKUP(Table2[[#This Row],[LoanID]],Table1[G-L ID],Table1[ManagerCode],-99)</f>
        <v>193</v>
      </c>
    </row>
    <row r="11521" spans="1:18" x14ac:dyDescent="0.25">
      <c r="A11521">
        <v>20200831</v>
      </c>
      <c r="B11521">
        <v>2020</v>
      </c>
      <c r="C11521">
        <v>8</v>
      </c>
      <c r="D11521">
        <v>1</v>
      </c>
      <c r="E11521">
        <v>15830</v>
      </c>
      <c r="F11521">
        <v>350276.1</v>
      </c>
      <c r="G11521">
        <v>0</v>
      </c>
      <c r="H11521">
        <v>0</v>
      </c>
      <c r="I11521">
        <v>0</v>
      </c>
      <c r="J11521">
        <v>-325881.15999999997</v>
      </c>
      <c r="K11521">
        <v>0</v>
      </c>
      <c r="L11521">
        <v>82893827.969999999</v>
      </c>
      <c r="M11521">
        <v>83219709.129999995</v>
      </c>
      <c r="N11521">
        <v>82893827.969999999</v>
      </c>
      <c r="O11521">
        <v>83219709.129999995</v>
      </c>
      <c r="P11521">
        <v>82815011</v>
      </c>
      <c r="Q11521">
        <v>83140892.159999996</v>
      </c>
      <c r="R11521" s="14">
        <f>_xlfn.XLOOKUP(Table2[[#This Row],[LoanID]],Table1[G-L ID],Table1[ManagerCode],-99)</f>
        <v>183</v>
      </c>
    </row>
    <row r="11522" spans="1:18" x14ac:dyDescent="0.25">
      <c r="A11522">
        <v>20200831</v>
      </c>
      <c r="B11522">
        <v>2020</v>
      </c>
      <c r="C11522">
        <v>8</v>
      </c>
      <c r="D11522">
        <v>1</v>
      </c>
      <c r="E11522">
        <v>15840</v>
      </c>
      <c r="F11522">
        <v>751052.34</v>
      </c>
      <c r="G11522">
        <v>0</v>
      </c>
      <c r="H11522">
        <v>0</v>
      </c>
      <c r="I11522">
        <v>0</v>
      </c>
      <c r="J11522">
        <v>-2057437.44</v>
      </c>
      <c r="K11522">
        <v>0</v>
      </c>
      <c r="L11522">
        <v>127100204</v>
      </c>
      <c r="M11522">
        <v>129157641.40000001</v>
      </c>
      <c r="N11522">
        <v>127100204</v>
      </c>
      <c r="O11522">
        <v>129157641.40000001</v>
      </c>
      <c r="P11522">
        <v>127100204</v>
      </c>
      <c r="Q11522">
        <v>129157641.40000001</v>
      </c>
      <c r="R11522" s="14">
        <f>_xlfn.XLOOKUP(Table2[[#This Row],[LoanID]],Table1[G-L ID],Table1[ManagerCode],-99)</f>
        <v>183</v>
      </c>
    </row>
    <row r="11523" spans="1:18" x14ac:dyDescent="0.25">
      <c r="A11523">
        <v>20200831</v>
      </c>
      <c r="B11523">
        <v>2020</v>
      </c>
      <c r="C11523">
        <v>8</v>
      </c>
      <c r="D11523">
        <v>1</v>
      </c>
      <c r="E11523">
        <v>15850</v>
      </c>
      <c r="F11523">
        <v>4665.7700000000004</v>
      </c>
      <c r="G11523">
        <v>14124.17</v>
      </c>
      <c r="H11523">
        <v>0</v>
      </c>
      <c r="I11523">
        <v>0</v>
      </c>
      <c r="J11523">
        <v>0</v>
      </c>
      <c r="K11523">
        <v>0</v>
      </c>
      <c r="L11523">
        <v>1731792.08</v>
      </c>
      <c r="M11523">
        <v>1745916.25</v>
      </c>
      <c r="N11523">
        <v>1731792.08</v>
      </c>
      <c r="O11523">
        <v>1745916.25</v>
      </c>
      <c r="P11523">
        <v>1731792.08</v>
      </c>
      <c r="Q11523">
        <v>1745916.25</v>
      </c>
      <c r="R11523" s="14">
        <f>_xlfn.XLOOKUP(Table2[[#This Row],[LoanID]],Table1[G-L ID],Table1[ManagerCode],-99)</f>
        <v>219</v>
      </c>
    </row>
    <row r="11524" spans="1:18" x14ac:dyDescent="0.25">
      <c r="A11524">
        <v>20200831</v>
      </c>
      <c r="B11524">
        <v>2020</v>
      </c>
      <c r="C11524">
        <v>8</v>
      </c>
      <c r="D11524">
        <v>1</v>
      </c>
      <c r="E11524">
        <v>15860</v>
      </c>
      <c r="F11524">
        <v>0</v>
      </c>
      <c r="G11524">
        <v>77500</v>
      </c>
      <c r="H11524">
        <v>0</v>
      </c>
      <c r="I11524">
        <v>0</v>
      </c>
      <c r="J11524">
        <v>0</v>
      </c>
      <c r="K11524">
        <v>0</v>
      </c>
      <c r="L11524">
        <v>12400000</v>
      </c>
      <c r="M11524">
        <v>12477500</v>
      </c>
      <c r="N11524">
        <v>12400000</v>
      </c>
      <c r="O11524">
        <v>12477500</v>
      </c>
      <c r="P11524">
        <v>12400000</v>
      </c>
      <c r="Q11524">
        <v>12477500</v>
      </c>
      <c r="R11524" s="14">
        <f>_xlfn.XLOOKUP(Table2[[#This Row],[LoanID]],Table1[G-L ID],Table1[ManagerCode],-99)</f>
        <v>219</v>
      </c>
    </row>
    <row r="11525" spans="1:18" x14ac:dyDescent="0.25">
      <c r="A11525">
        <v>20200831</v>
      </c>
      <c r="B11525">
        <v>2020</v>
      </c>
      <c r="C11525">
        <v>8</v>
      </c>
      <c r="D11525">
        <v>1</v>
      </c>
      <c r="E11525">
        <v>15870</v>
      </c>
      <c r="F11525">
        <v>17462.25</v>
      </c>
      <c r="G11525">
        <v>0</v>
      </c>
      <c r="H11525">
        <v>322270</v>
      </c>
      <c r="I11525">
        <v>0</v>
      </c>
      <c r="J11525">
        <v>-3582000</v>
      </c>
      <c r="K11525">
        <v>0</v>
      </c>
      <c r="L11525">
        <v>0</v>
      </c>
      <c r="M11525">
        <v>3582000</v>
      </c>
      <c r="N11525">
        <v>0</v>
      </c>
      <c r="O11525">
        <v>3582000</v>
      </c>
      <c r="P11525">
        <v>0</v>
      </c>
      <c r="Q11525">
        <v>3582000</v>
      </c>
      <c r="R11525" s="14">
        <f>_xlfn.XLOOKUP(Table2[[#This Row],[LoanID]],Table1[G-L ID],Table1[ManagerCode],-99)</f>
        <v>220</v>
      </c>
    </row>
    <row r="11526" spans="1:18" x14ac:dyDescent="0.25">
      <c r="A11526">
        <v>20200930</v>
      </c>
      <c r="B11526">
        <v>2020</v>
      </c>
      <c r="C11526">
        <v>9</v>
      </c>
      <c r="D11526">
        <v>1</v>
      </c>
      <c r="E11526">
        <v>10050</v>
      </c>
      <c r="F11526">
        <v>153981.01999999999</v>
      </c>
      <c r="G11526">
        <v>0</v>
      </c>
      <c r="H11526">
        <v>0</v>
      </c>
      <c r="I11526">
        <v>-69.44</v>
      </c>
      <c r="J11526">
        <v>0</v>
      </c>
      <c r="K11526">
        <v>0</v>
      </c>
      <c r="L11526">
        <v>37612046</v>
      </c>
      <c r="M11526">
        <v>37665467</v>
      </c>
      <c r="N11526">
        <v>37612046</v>
      </c>
      <c r="O11526">
        <v>37665467</v>
      </c>
      <c r="P11526">
        <v>33333334</v>
      </c>
      <c r="Q11526">
        <v>33333334</v>
      </c>
      <c r="R11526" s="14">
        <f>_xlfn.XLOOKUP(Table2[[#This Row],[LoanID]],Table1[G-L ID],Table1[ManagerCode],-99)</f>
        <v>103</v>
      </c>
    </row>
    <row r="11527" spans="1:18" x14ac:dyDescent="0.25">
      <c r="A11527">
        <v>20200930</v>
      </c>
      <c r="B11527">
        <v>2020</v>
      </c>
      <c r="C11527">
        <v>9</v>
      </c>
      <c r="D11527">
        <v>1</v>
      </c>
      <c r="E11527">
        <v>10220</v>
      </c>
      <c r="F11527">
        <v>559722.22</v>
      </c>
      <c r="G11527">
        <v>0</v>
      </c>
      <c r="H11527">
        <v>0</v>
      </c>
      <c r="I11527">
        <v>0</v>
      </c>
      <c r="J11527">
        <v>0</v>
      </c>
      <c r="K11527">
        <v>0</v>
      </c>
      <c r="L11527">
        <v>107504333</v>
      </c>
      <c r="M11527">
        <v>107343525</v>
      </c>
      <c r="N11527">
        <v>107504333</v>
      </c>
      <c r="O11527">
        <v>107343525</v>
      </c>
      <c r="P11527">
        <v>100000000</v>
      </c>
      <c r="Q11527">
        <v>100000000</v>
      </c>
      <c r="R11527" s="14">
        <f>_xlfn.XLOOKUP(Table2[[#This Row],[LoanID]],Table1[G-L ID],Table1[ManagerCode],-99)</f>
        <v>103</v>
      </c>
    </row>
    <row r="11528" spans="1:18" x14ac:dyDescent="0.25">
      <c r="A11528">
        <v>20200930</v>
      </c>
      <c r="B11528">
        <v>2020</v>
      </c>
      <c r="C11528">
        <v>9</v>
      </c>
      <c r="D11528">
        <v>1</v>
      </c>
      <c r="E11528">
        <v>11680</v>
      </c>
      <c r="F11528">
        <v>0</v>
      </c>
      <c r="G11528">
        <v>0</v>
      </c>
      <c r="H11528">
        <v>0</v>
      </c>
      <c r="I11528">
        <v>0</v>
      </c>
      <c r="J11528">
        <v>-262500</v>
      </c>
      <c r="K11528">
        <v>0</v>
      </c>
      <c r="L11528">
        <v>6600000</v>
      </c>
      <c r="M11528">
        <v>6862500</v>
      </c>
      <c r="N11528">
        <v>6600000</v>
      </c>
      <c r="O11528">
        <v>6862500</v>
      </c>
      <c r="P11528">
        <v>6600000</v>
      </c>
      <c r="Q11528">
        <v>6862500</v>
      </c>
      <c r="R11528" s="14">
        <f>_xlfn.XLOOKUP(Table2[[#This Row],[LoanID]],Table1[G-L ID],Table1[ManagerCode],-99)</f>
        <v>183</v>
      </c>
    </row>
    <row r="11529" spans="1:18" x14ac:dyDescent="0.25">
      <c r="A11529">
        <v>20200930</v>
      </c>
      <c r="B11529">
        <v>2020</v>
      </c>
      <c r="C11529">
        <v>9</v>
      </c>
      <c r="D11529">
        <v>1</v>
      </c>
      <c r="E11529">
        <v>12340</v>
      </c>
      <c r="F11529">
        <v>62889.03</v>
      </c>
      <c r="G11529">
        <v>0</v>
      </c>
      <c r="H11529">
        <v>0</v>
      </c>
      <c r="I11529">
        <v>0</v>
      </c>
      <c r="J11529">
        <v>0</v>
      </c>
      <c r="K11529">
        <v>0</v>
      </c>
      <c r="L11529">
        <v>24180000</v>
      </c>
      <c r="M11529">
        <v>24180000</v>
      </c>
      <c r="N11529">
        <v>12180000</v>
      </c>
      <c r="O11529">
        <v>12180000</v>
      </c>
      <c r="P11529">
        <v>24180000</v>
      </c>
      <c r="Q11529">
        <v>24180000</v>
      </c>
      <c r="R11529" s="14">
        <f>_xlfn.XLOOKUP(Table2[[#This Row],[LoanID]],Table1[G-L ID],Table1[ManagerCode],-99)</f>
        <v>183</v>
      </c>
    </row>
    <row r="11530" spans="1:18" x14ac:dyDescent="0.25">
      <c r="A11530">
        <v>20200930</v>
      </c>
      <c r="B11530">
        <v>2020</v>
      </c>
      <c r="C11530">
        <v>9</v>
      </c>
      <c r="D11530">
        <v>1</v>
      </c>
      <c r="E11530">
        <v>12350</v>
      </c>
      <c r="F11530">
        <v>195662.04</v>
      </c>
      <c r="G11530">
        <v>0</v>
      </c>
      <c r="H11530">
        <v>0</v>
      </c>
      <c r="I11530">
        <v>0</v>
      </c>
      <c r="J11530">
        <v>0</v>
      </c>
      <c r="K11530">
        <v>0</v>
      </c>
      <c r="L11530">
        <v>78700000</v>
      </c>
      <c r="M11530">
        <v>78700000</v>
      </c>
      <c r="N11530">
        <v>40914236.340000004</v>
      </c>
      <c r="O11530">
        <v>40914236.340000004</v>
      </c>
      <c r="P11530">
        <v>78700000</v>
      </c>
      <c r="Q11530">
        <v>78700000</v>
      </c>
      <c r="R11530" s="14">
        <f>_xlfn.XLOOKUP(Table2[[#This Row],[LoanID]],Table1[G-L ID],Table1[ManagerCode],-99)</f>
        <v>183</v>
      </c>
    </row>
    <row r="11531" spans="1:18" x14ac:dyDescent="0.25">
      <c r="A11531">
        <v>20200930</v>
      </c>
      <c r="B11531">
        <v>2020</v>
      </c>
      <c r="C11531">
        <v>9</v>
      </c>
      <c r="D11531">
        <v>1</v>
      </c>
      <c r="E11531">
        <v>12370</v>
      </c>
      <c r="F11531">
        <v>319588.61</v>
      </c>
      <c r="G11531">
        <v>0</v>
      </c>
      <c r="H11531">
        <v>0</v>
      </c>
      <c r="I11531">
        <v>0</v>
      </c>
      <c r="J11531">
        <v>0</v>
      </c>
      <c r="K11531">
        <v>0</v>
      </c>
      <c r="L11531">
        <v>81600000</v>
      </c>
      <c r="M11531">
        <v>81600000</v>
      </c>
      <c r="N11531">
        <v>51303137.549999997</v>
      </c>
      <c r="O11531">
        <v>51303137.549999997</v>
      </c>
      <c r="P11531">
        <v>81600000</v>
      </c>
      <c r="Q11531">
        <v>81600000</v>
      </c>
      <c r="R11531" s="14">
        <f>_xlfn.XLOOKUP(Table2[[#This Row],[LoanID]],Table1[G-L ID],Table1[ManagerCode],-99)</f>
        <v>183</v>
      </c>
    </row>
    <row r="11532" spans="1:18" x14ac:dyDescent="0.25">
      <c r="A11532">
        <v>20200930</v>
      </c>
      <c r="B11532">
        <v>2020</v>
      </c>
      <c r="C11532">
        <v>9</v>
      </c>
      <c r="D11532">
        <v>1</v>
      </c>
      <c r="E11532">
        <v>12390</v>
      </c>
      <c r="F11532">
        <v>1140412.32</v>
      </c>
      <c r="G11532">
        <v>684093.05</v>
      </c>
      <c r="H11532">
        <v>0</v>
      </c>
      <c r="I11532">
        <v>0</v>
      </c>
      <c r="J11532">
        <v>-243522.01</v>
      </c>
      <c r="K11532">
        <v>0</v>
      </c>
      <c r="L11532">
        <v>184012385.40000001</v>
      </c>
      <c r="M11532">
        <v>184940000.5</v>
      </c>
      <c r="N11532">
        <v>184012385.40000001</v>
      </c>
      <c r="O11532">
        <v>184940000.5</v>
      </c>
      <c r="P11532">
        <v>184012385.40000001</v>
      </c>
      <c r="Q11532">
        <v>184940000.5</v>
      </c>
      <c r="R11532" s="14">
        <f>_xlfn.XLOOKUP(Table2[[#This Row],[LoanID]],Table1[G-L ID],Table1[ManagerCode],-99)</f>
        <v>183</v>
      </c>
    </row>
    <row r="11533" spans="1:18" x14ac:dyDescent="0.25">
      <c r="A11533">
        <v>20200930</v>
      </c>
      <c r="B11533">
        <v>2020</v>
      </c>
      <c r="C11533">
        <v>9</v>
      </c>
      <c r="D11533">
        <v>1</v>
      </c>
      <c r="E11533">
        <v>12400</v>
      </c>
      <c r="F11533">
        <v>317981.34000000003</v>
      </c>
      <c r="G11533">
        <v>145345.54999999999</v>
      </c>
      <c r="H11533">
        <v>0</v>
      </c>
      <c r="I11533">
        <v>0</v>
      </c>
      <c r="J11533">
        <v>-241244.31</v>
      </c>
      <c r="K11533">
        <v>0</v>
      </c>
      <c r="L11533">
        <v>68035276.890000001</v>
      </c>
      <c r="M11533">
        <v>68421866.75</v>
      </c>
      <c r="N11533">
        <v>68035276.890000001</v>
      </c>
      <c r="O11533">
        <v>68421866.75</v>
      </c>
      <c r="P11533">
        <v>68035276.890000001</v>
      </c>
      <c r="Q11533">
        <v>68421866.75</v>
      </c>
      <c r="R11533" s="14">
        <f>_xlfn.XLOOKUP(Table2[[#This Row],[LoanID]],Table1[G-L ID],Table1[ManagerCode],-99)</f>
        <v>183</v>
      </c>
    </row>
    <row r="11534" spans="1:18" x14ac:dyDescent="0.25">
      <c r="A11534">
        <v>20200930</v>
      </c>
      <c r="B11534">
        <v>2020</v>
      </c>
      <c r="C11534">
        <v>9</v>
      </c>
      <c r="D11534">
        <v>1</v>
      </c>
      <c r="E11534">
        <v>12410</v>
      </c>
      <c r="F11534">
        <v>250000</v>
      </c>
      <c r="G11534">
        <v>125000</v>
      </c>
      <c r="H11534">
        <v>0</v>
      </c>
      <c r="I11534">
        <v>0</v>
      </c>
      <c r="J11534">
        <v>0</v>
      </c>
      <c r="K11534">
        <v>0</v>
      </c>
      <c r="L11534">
        <v>70462694.280000001</v>
      </c>
      <c r="M11534">
        <v>70610147.700000003</v>
      </c>
      <c r="N11534">
        <v>70462694.280000001</v>
      </c>
      <c r="O11534">
        <v>70610147.700000003</v>
      </c>
      <c r="P11534">
        <v>67504789.659999996</v>
      </c>
      <c r="Q11534">
        <v>67629789.659999996</v>
      </c>
      <c r="R11534" s="14">
        <f>_xlfn.XLOOKUP(Table2[[#This Row],[LoanID]],Table1[G-L ID],Table1[ManagerCode],-99)</f>
        <v>103</v>
      </c>
    </row>
    <row r="11535" spans="1:18" x14ac:dyDescent="0.25">
      <c r="A11535">
        <v>20200930</v>
      </c>
      <c r="B11535">
        <v>2020</v>
      </c>
      <c r="C11535">
        <v>9</v>
      </c>
      <c r="D11535">
        <v>1</v>
      </c>
      <c r="E11535">
        <v>12440</v>
      </c>
      <c r="F11535">
        <v>19971.38</v>
      </c>
      <c r="G11535">
        <v>0</v>
      </c>
      <c r="H11535">
        <v>0</v>
      </c>
      <c r="I11535">
        <v>0</v>
      </c>
      <c r="J11535">
        <v>0</v>
      </c>
      <c r="K11535">
        <v>63394.89</v>
      </c>
      <c r="L11535">
        <v>2616775</v>
      </c>
      <c r="M11535">
        <v>2542873</v>
      </c>
      <c r="N11535">
        <v>2616775</v>
      </c>
      <c r="O11535">
        <v>2542873</v>
      </c>
      <c r="P11535">
        <v>2396565.3199999998</v>
      </c>
      <c r="Q11535">
        <v>2333170.4300000002</v>
      </c>
      <c r="R11535" s="14">
        <f>_xlfn.XLOOKUP(Table2[[#This Row],[LoanID]],Table1[G-L ID],Table1[ManagerCode],-99)</f>
        <v>103</v>
      </c>
    </row>
    <row r="11536" spans="1:18" x14ac:dyDescent="0.25">
      <c r="A11536">
        <v>20200930</v>
      </c>
      <c r="B11536">
        <v>2020</v>
      </c>
      <c r="C11536">
        <v>9</v>
      </c>
      <c r="D11536">
        <v>1</v>
      </c>
      <c r="E11536">
        <v>12460</v>
      </c>
      <c r="F11536">
        <v>0</v>
      </c>
      <c r="G11536">
        <v>50179.01</v>
      </c>
      <c r="H11536">
        <v>0</v>
      </c>
      <c r="I11536">
        <v>0</v>
      </c>
      <c r="J11536">
        <v>0</v>
      </c>
      <c r="K11536">
        <v>0</v>
      </c>
      <c r="L11536">
        <v>10035800.83</v>
      </c>
      <c r="M11536">
        <v>10085979.84</v>
      </c>
      <c r="N11536">
        <v>10035800.83</v>
      </c>
      <c r="O11536">
        <v>10085979.84</v>
      </c>
      <c r="P11536">
        <v>10035800.83</v>
      </c>
      <c r="Q11536">
        <v>10085979.84</v>
      </c>
      <c r="R11536" s="14">
        <f>_xlfn.XLOOKUP(Table2[[#This Row],[LoanID]],Table1[G-L ID],Table1[ManagerCode],-99)</f>
        <v>183</v>
      </c>
    </row>
    <row r="11537" spans="1:18" x14ac:dyDescent="0.25">
      <c r="A11537">
        <v>20200930</v>
      </c>
      <c r="B11537">
        <v>2020</v>
      </c>
      <c r="C11537">
        <v>9</v>
      </c>
      <c r="D11537">
        <v>1</v>
      </c>
      <c r="E11537">
        <v>12470</v>
      </c>
      <c r="F11537">
        <v>351240.67</v>
      </c>
      <c r="G11537">
        <v>0</v>
      </c>
      <c r="H11537">
        <v>0</v>
      </c>
      <c r="I11537">
        <v>0</v>
      </c>
      <c r="J11537">
        <v>0</v>
      </c>
      <c r="K11537">
        <v>0</v>
      </c>
      <c r="L11537">
        <v>112459624.3</v>
      </c>
      <c r="M11537">
        <v>112459624.3</v>
      </c>
      <c r="N11537">
        <v>53809624.299999997</v>
      </c>
      <c r="O11537">
        <v>53809624.299999997</v>
      </c>
      <c r="P11537">
        <v>115000000</v>
      </c>
      <c r="Q11537">
        <v>115000000</v>
      </c>
      <c r="R11537" s="14">
        <f>_xlfn.XLOOKUP(Table2[[#This Row],[LoanID]],Table1[G-L ID],Table1[ManagerCode],-99)</f>
        <v>183</v>
      </c>
    </row>
    <row r="11538" spans="1:18" x14ac:dyDescent="0.25">
      <c r="A11538">
        <v>20200930</v>
      </c>
      <c r="B11538">
        <v>2020</v>
      </c>
      <c r="C11538">
        <v>9</v>
      </c>
      <c r="D11538">
        <v>1</v>
      </c>
      <c r="E11538">
        <v>12490</v>
      </c>
      <c r="F11538">
        <v>200489.31</v>
      </c>
      <c r="G11538">
        <v>0</v>
      </c>
      <c r="H11538">
        <v>0</v>
      </c>
      <c r="I11538">
        <v>0</v>
      </c>
      <c r="J11538">
        <v>0</v>
      </c>
      <c r="K11538">
        <v>0</v>
      </c>
      <c r="L11538">
        <v>50154624.520000003</v>
      </c>
      <c r="M11538">
        <v>50178161.229999997</v>
      </c>
      <c r="N11538">
        <v>19554624.52</v>
      </c>
      <c r="O11538">
        <v>19578161.23</v>
      </c>
      <c r="P11538">
        <v>50200000</v>
      </c>
      <c r="Q11538">
        <v>50200000</v>
      </c>
      <c r="R11538" s="14">
        <f>_xlfn.XLOOKUP(Table2[[#This Row],[LoanID]],Table1[G-L ID],Table1[ManagerCode],-99)</f>
        <v>183</v>
      </c>
    </row>
    <row r="11539" spans="1:18" x14ac:dyDescent="0.25">
      <c r="A11539">
        <v>20200930</v>
      </c>
      <c r="B11539">
        <v>2020</v>
      </c>
      <c r="C11539">
        <v>9</v>
      </c>
      <c r="D11539">
        <v>1</v>
      </c>
      <c r="E11539">
        <v>12520</v>
      </c>
      <c r="F11539">
        <v>213867.57</v>
      </c>
      <c r="G11539">
        <v>0</v>
      </c>
      <c r="H11539">
        <v>0</v>
      </c>
      <c r="I11539">
        <v>0</v>
      </c>
      <c r="J11539">
        <v>0</v>
      </c>
      <c r="K11539">
        <v>0</v>
      </c>
      <c r="L11539">
        <v>49907153.810000002</v>
      </c>
      <c r="M11539">
        <v>49907153.810000002</v>
      </c>
      <c r="N11539">
        <v>28869653.809999999</v>
      </c>
      <c r="O11539">
        <v>28869653.809999999</v>
      </c>
      <c r="P11539">
        <v>49922018.869999997</v>
      </c>
      <c r="Q11539">
        <v>49922018.869999997</v>
      </c>
      <c r="R11539" s="14">
        <f>_xlfn.XLOOKUP(Table2[[#This Row],[LoanID]],Table1[G-L ID],Table1[ManagerCode],-99)</f>
        <v>183</v>
      </c>
    </row>
    <row r="11540" spans="1:18" x14ac:dyDescent="0.25">
      <c r="A11540">
        <v>20200930</v>
      </c>
      <c r="B11540">
        <v>2020</v>
      </c>
      <c r="C11540">
        <v>9</v>
      </c>
      <c r="D11540">
        <v>1</v>
      </c>
      <c r="E11540">
        <v>12650</v>
      </c>
      <c r="F11540">
        <v>299881.31</v>
      </c>
      <c r="G11540">
        <v>0</v>
      </c>
      <c r="H11540">
        <v>0</v>
      </c>
      <c r="I11540">
        <v>0</v>
      </c>
      <c r="J11540">
        <v>-439908.34</v>
      </c>
      <c r="K11540">
        <v>0</v>
      </c>
      <c r="L11540">
        <v>124482708.09999999</v>
      </c>
      <c r="M11540">
        <v>124482708.09999999</v>
      </c>
      <c r="N11540">
        <v>56722708.100000001</v>
      </c>
      <c r="O11540">
        <v>56722708.100000001</v>
      </c>
      <c r="P11540">
        <v>124515501</v>
      </c>
      <c r="Q11540">
        <v>124955409.3</v>
      </c>
      <c r="R11540" s="14">
        <f>_xlfn.XLOOKUP(Table2[[#This Row],[LoanID]],Table1[G-L ID],Table1[ManagerCode],-99)</f>
        <v>183</v>
      </c>
    </row>
    <row r="11541" spans="1:18" x14ac:dyDescent="0.25">
      <c r="A11541">
        <v>20200930</v>
      </c>
      <c r="B11541">
        <v>2020</v>
      </c>
      <c r="C11541">
        <v>9</v>
      </c>
      <c r="D11541">
        <v>1</v>
      </c>
      <c r="E11541">
        <v>12670</v>
      </c>
      <c r="F11541">
        <v>78714.17</v>
      </c>
      <c r="G11541">
        <v>0</v>
      </c>
      <c r="H11541">
        <v>0</v>
      </c>
      <c r="I11541">
        <v>0</v>
      </c>
      <c r="J11541">
        <v>0</v>
      </c>
      <c r="K11541">
        <v>0</v>
      </c>
      <c r="L11541">
        <v>15553141.35</v>
      </c>
      <c r="M11541">
        <v>15553141.35</v>
      </c>
      <c r="N11541">
        <v>15553141.35</v>
      </c>
      <c r="O11541">
        <v>15553141.35</v>
      </c>
      <c r="P11541">
        <v>15500000</v>
      </c>
      <c r="Q11541">
        <v>15500000</v>
      </c>
      <c r="R11541" s="14">
        <f>_xlfn.XLOOKUP(Table2[[#This Row],[LoanID]],Table1[G-L ID],Table1[ManagerCode],-99)</f>
        <v>183</v>
      </c>
    </row>
    <row r="11542" spans="1:18" x14ac:dyDescent="0.25">
      <c r="A11542">
        <v>20200930</v>
      </c>
      <c r="B11542">
        <v>2020</v>
      </c>
      <c r="C11542">
        <v>9</v>
      </c>
      <c r="D11542">
        <v>1</v>
      </c>
      <c r="E11542">
        <v>12720</v>
      </c>
      <c r="F11542">
        <v>564587.78</v>
      </c>
      <c r="G11542">
        <v>0</v>
      </c>
      <c r="H11542">
        <v>0</v>
      </c>
      <c r="I11542">
        <v>0</v>
      </c>
      <c r="J11542">
        <v>-2383965.2599999998</v>
      </c>
      <c r="K11542">
        <v>0</v>
      </c>
      <c r="L11542">
        <v>215364802.5</v>
      </c>
      <c r="M11542">
        <v>217740116.59999999</v>
      </c>
      <c r="N11542">
        <v>113483802.5</v>
      </c>
      <c r="O11542">
        <v>115859116.59999999</v>
      </c>
      <c r="P11542">
        <v>216149185</v>
      </c>
      <c r="Q11542">
        <v>218533150.30000001</v>
      </c>
      <c r="R11542" s="14">
        <f>_xlfn.XLOOKUP(Table2[[#This Row],[LoanID]],Table1[G-L ID],Table1[ManagerCode],-99)</f>
        <v>183</v>
      </c>
    </row>
    <row r="11543" spans="1:18" x14ac:dyDescent="0.25">
      <c r="A11543">
        <v>20200930</v>
      </c>
      <c r="B11543">
        <v>2020</v>
      </c>
      <c r="C11543">
        <v>9</v>
      </c>
      <c r="D11543">
        <v>1</v>
      </c>
      <c r="E11543">
        <v>12730</v>
      </c>
      <c r="F11543">
        <v>112434.91</v>
      </c>
      <c r="G11543">
        <v>0</v>
      </c>
      <c r="H11543">
        <v>0</v>
      </c>
      <c r="I11543">
        <v>0</v>
      </c>
      <c r="J11543">
        <v>0</v>
      </c>
      <c r="K11543">
        <v>0</v>
      </c>
      <c r="L11543">
        <v>38460000</v>
      </c>
      <c r="M11543">
        <v>38460000</v>
      </c>
      <c r="N11543">
        <v>13460000</v>
      </c>
      <c r="O11543">
        <v>13460000</v>
      </c>
      <c r="P11543">
        <v>38460000</v>
      </c>
      <c r="Q11543">
        <v>38460000</v>
      </c>
      <c r="R11543" s="14">
        <f>_xlfn.XLOOKUP(Table2[[#This Row],[LoanID]],Table1[G-L ID],Table1[ManagerCode],-99)</f>
        <v>183</v>
      </c>
    </row>
    <row r="11544" spans="1:18" x14ac:dyDescent="0.25">
      <c r="A11544">
        <v>20200930</v>
      </c>
      <c r="B11544">
        <v>2020</v>
      </c>
      <c r="C11544">
        <v>9</v>
      </c>
      <c r="D11544">
        <v>1</v>
      </c>
      <c r="E11544">
        <v>12740</v>
      </c>
      <c r="F11544">
        <v>177414.09</v>
      </c>
      <c r="G11544">
        <v>82719.09</v>
      </c>
      <c r="H11544">
        <v>0</v>
      </c>
      <c r="I11544">
        <v>0</v>
      </c>
      <c r="J11544">
        <v>-300273.43</v>
      </c>
      <c r="K11544">
        <v>0</v>
      </c>
      <c r="L11544">
        <v>36517743.07</v>
      </c>
      <c r="M11544">
        <v>36900735.590000004</v>
      </c>
      <c r="N11544">
        <v>36517743.07</v>
      </c>
      <c r="O11544">
        <v>36900735.590000004</v>
      </c>
      <c r="P11544">
        <v>36517743.07</v>
      </c>
      <c r="Q11544">
        <v>36900735.590000004</v>
      </c>
      <c r="R11544" s="14">
        <f>_xlfn.XLOOKUP(Table2[[#This Row],[LoanID]],Table1[G-L ID],Table1[ManagerCode],-99)</f>
        <v>183</v>
      </c>
    </row>
    <row r="11545" spans="1:18" x14ac:dyDescent="0.25">
      <c r="A11545">
        <v>20200930</v>
      </c>
      <c r="B11545">
        <v>2020</v>
      </c>
      <c r="C11545">
        <v>9</v>
      </c>
      <c r="D11545">
        <v>1</v>
      </c>
      <c r="E11545">
        <v>13000</v>
      </c>
      <c r="F11545">
        <v>174674.18</v>
      </c>
      <c r="G11545">
        <v>0</v>
      </c>
      <c r="H11545">
        <v>0</v>
      </c>
      <c r="I11545">
        <v>0</v>
      </c>
      <c r="J11545">
        <v>0</v>
      </c>
      <c r="K11545">
        <v>0</v>
      </c>
      <c r="L11545">
        <v>49858004</v>
      </c>
      <c r="M11545">
        <v>49858004</v>
      </c>
      <c r="N11545">
        <v>49858004</v>
      </c>
      <c r="O11545">
        <v>49858004</v>
      </c>
      <c r="P11545">
        <v>52482161.25</v>
      </c>
      <c r="Q11545">
        <v>52482161.25</v>
      </c>
      <c r="R11545" s="14">
        <f>_xlfn.XLOOKUP(Table2[[#This Row],[LoanID]],Table1[G-L ID],Table1[ManagerCode],-99)</f>
        <v>103</v>
      </c>
    </row>
    <row r="11546" spans="1:18" x14ac:dyDescent="0.25">
      <c r="A11546">
        <v>20200930</v>
      </c>
      <c r="B11546">
        <v>2020</v>
      </c>
      <c r="C11546">
        <v>9</v>
      </c>
      <c r="D11546">
        <v>1</v>
      </c>
      <c r="E11546">
        <v>13010</v>
      </c>
      <c r="F11546">
        <v>1050000</v>
      </c>
      <c r="G11546">
        <v>350000</v>
      </c>
      <c r="H11546">
        <v>0</v>
      </c>
      <c r="I11546">
        <v>0</v>
      </c>
      <c r="J11546">
        <v>0</v>
      </c>
      <c r="K11546">
        <v>0</v>
      </c>
      <c r="L11546">
        <v>204155000</v>
      </c>
      <c r="M11546">
        <v>204487500</v>
      </c>
      <c r="N11546">
        <v>204155000</v>
      </c>
      <c r="O11546">
        <v>204487500</v>
      </c>
      <c r="P11546">
        <v>214900000</v>
      </c>
      <c r="Q11546">
        <v>215250000</v>
      </c>
      <c r="R11546" s="14">
        <f>_xlfn.XLOOKUP(Table2[[#This Row],[LoanID]],Table1[G-L ID],Table1[ManagerCode],-99)</f>
        <v>103</v>
      </c>
    </row>
    <row r="11547" spans="1:18" x14ac:dyDescent="0.25">
      <c r="A11547">
        <v>20200930</v>
      </c>
      <c r="B11547">
        <v>2020</v>
      </c>
      <c r="C11547">
        <v>9</v>
      </c>
      <c r="D11547">
        <v>1</v>
      </c>
      <c r="E11547">
        <v>13030</v>
      </c>
      <c r="F11547">
        <v>390443.99</v>
      </c>
      <c r="G11547">
        <v>0</v>
      </c>
      <c r="H11547">
        <v>0</v>
      </c>
      <c r="I11547">
        <v>0</v>
      </c>
      <c r="J11547">
        <v>0</v>
      </c>
      <c r="K11547">
        <v>0</v>
      </c>
      <c r="L11547">
        <v>117611296.90000001</v>
      </c>
      <c r="M11547">
        <v>117611296.90000001</v>
      </c>
      <c r="N11547">
        <v>54887872.899999999</v>
      </c>
      <c r="O11547">
        <v>54887872.899999999</v>
      </c>
      <c r="P11547">
        <v>117734596.40000001</v>
      </c>
      <c r="Q11547">
        <v>117734596.40000001</v>
      </c>
      <c r="R11547" s="14">
        <f>_xlfn.XLOOKUP(Table2[[#This Row],[LoanID]],Table1[G-L ID],Table1[ManagerCode],-99)</f>
        <v>183</v>
      </c>
    </row>
    <row r="11548" spans="1:18" x14ac:dyDescent="0.25">
      <c r="A11548">
        <v>20200930</v>
      </c>
      <c r="B11548">
        <v>2020</v>
      </c>
      <c r="C11548">
        <v>9</v>
      </c>
      <c r="D11548">
        <v>1</v>
      </c>
      <c r="E11548">
        <v>13040</v>
      </c>
      <c r="F11548">
        <v>114607.82</v>
      </c>
      <c r="G11548">
        <v>0</v>
      </c>
      <c r="H11548">
        <v>0</v>
      </c>
      <c r="I11548">
        <v>0</v>
      </c>
      <c r="J11548">
        <v>0</v>
      </c>
      <c r="K11548">
        <v>0</v>
      </c>
      <c r="L11548">
        <v>37143876.789999999</v>
      </c>
      <c r="M11548">
        <v>37143876.789999999</v>
      </c>
      <c r="N11548">
        <v>16971489.789999999</v>
      </c>
      <c r="O11548">
        <v>16971489.789999999</v>
      </c>
      <c r="P11548">
        <v>37143876.789999999</v>
      </c>
      <c r="Q11548">
        <v>37143876.789999999</v>
      </c>
      <c r="R11548" s="14">
        <f>_xlfn.XLOOKUP(Table2[[#This Row],[LoanID]],Table1[G-L ID],Table1[ManagerCode],-99)</f>
        <v>183</v>
      </c>
    </row>
    <row r="11549" spans="1:18" x14ac:dyDescent="0.25">
      <c r="A11549">
        <v>20200930</v>
      </c>
      <c r="B11549">
        <v>2020</v>
      </c>
      <c r="C11549">
        <v>9</v>
      </c>
      <c r="D11549">
        <v>1</v>
      </c>
      <c r="E11549">
        <v>13050</v>
      </c>
      <c r="F11549">
        <v>75427.28</v>
      </c>
      <c r="G11549">
        <v>0</v>
      </c>
      <c r="H11549">
        <v>0</v>
      </c>
      <c r="I11549">
        <v>0</v>
      </c>
      <c r="J11549">
        <v>0</v>
      </c>
      <c r="K11549">
        <v>0</v>
      </c>
      <c r="L11549">
        <v>42255511.829999998</v>
      </c>
      <c r="M11549">
        <v>42255511.829999998</v>
      </c>
      <c r="N11549">
        <v>14581935.83</v>
      </c>
      <c r="O11549">
        <v>14581935.83</v>
      </c>
      <c r="P11549">
        <v>42575000</v>
      </c>
      <c r="Q11549">
        <v>42575000</v>
      </c>
      <c r="R11549" s="14">
        <f>_xlfn.XLOOKUP(Table2[[#This Row],[LoanID]],Table1[G-L ID],Table1[ManagerCode],-99)</f>
        <v>183</v>
      </c>
    </row>
    <row r="11550" spans="1:18" x14ac:dyDescent="0.25">
      <c r="A11550">
        <v>20200930</v>
      </c>
      <c r="B11550">
        <v>2020</v>
      </c>
      <c r="C11550">
        <v>9</v>
      </c>
      <c r="D11550">
        <v>1</v>
      </c>
      <c r="E11550">
        <v>13060</v>
      </c>
      <c r="F11550">
        <v>118814.05</v>
      </c>
      <c r="G11550">
        <v>0</v>
      </c>
      <c r="H11550">
        <v>0</v>
      </c>
      <c r="I11550">
        <v>0</v>
      </c>
      <c r="J11550">
        <v>-609783.04000000004</v>
      </c>
      <c r="K11550">
        <v>0</v>
      </c>
      <c r="L11550">
        <v>52205373.899999999</v>
      </c>
      <c r="M11550">
        <v>52815156.939999998</v>
      </c>
      <c r="N11550">
        <v>25956517.739999998</v>
      </c>
      <c r="O11550">
        <v>26566300.780000001</v>
      </c>
      <c r="P11550">
        <v>53068867.140000001</v>
      </c>
      <c r="Q11550">
        <v>53678650.18</v>
      </c>
      <c r="R11550" s="14">
        <f>_xlfn.XLOOKUP(Table2[[#This Row],[LoanID]],Table1[G-L ID],Table1[ManagerCode],-99)</f>
        <v>183</v>
      </c>
    </row>
    <row r="11551" spans="1:18" x14ac:dyDescent="0.25">
      <c r="A11551">
        <v>20200930</v>
      </c>
      <c r="B11551">
        <v>2020</v>
      </c>
      <c r="C11551">
        <v>9</v>
      </c>
      <c r="D11551">
        <v>1</v>
      </c>
      <c r="E11551">
        <v>13070</v>
      </c>
      <c r="F11551">
        <v>422576.98</v>
      </c>
      <c r="G11551">
        <v>0</v>
      </c>
      <c r="H11551">
        <v>0</v>
      </c>
      <c r="I11551">
        <v>0</v>
      </c>
      <c r="J11551">
        <v>-2495175</v>
      </c>
      <c r="K11551">
        <v>0</v>
      </c>
      <c r="L11551">
        <v>99604825</v>
      </c>
      <c r="M11551">
        <v>102100000</v>
      </c>
      <c r="N11551">
        <v>59604825</v>
      </c>
      <c r="O11551">
        <v>62100000</v>
      </c>
      <c r="P11551">
        <v>99604825</v>
      </c>
      <c r="Q11551">
        <v>102100000</v>
      </c>
      <c r="R11551" s="14">
        <f>_xlfn.XLOOKUP(Table2[[#This Row],[LoanID]],Table1[G-L ID],Table1[ManagerCode],-99)</f>
        <v>183</v>
      </c>
    </row>
    <row r="11552" spans="1:18" x14ac:dyDescent="0.25">
      <c r="A11552">
        <v>20200930</v>
      </c>
      <c r="B11552">
        <v>2020</v>
      </c>
      <c r="C11552">
        <v>9</v>
      </c>
      <c r="D11552">
        <v>1</v>
      </c>
      <c r="E11552">
        <v>13080</v>
      </c>
      <c r="F11552">
        <v>135366.35999999999</v>
      </c>
      <c r="G11552">
        <v>0</v>
      </c>
      <c r="H11552">
        <v>0</v>
      </c>
      <c r="I11552">
        <v>0</v>
      </c>
      <c r="J11552">
        <v>0</v>
      </c>
      <c r="K11552">
        <v>0</v>
      </c>
      <c r="L11552">
        <v>43000000</v>
      </c>
      <c r="M11552">
        <v>43000000</v>
      </c>
      <c r="N11552">
        <v>21500000</v>
      </c>
      <c r="O11552">
        <v>21500000</v>
      </c>
      <c r="P11552">
        <v>43000000</v>
      </c>
      <c r="Q11552">
        <v>43000000</v>
      </c>
      <c r="R11552" s="14">
        <f>_xlfn.XLOOKUP(Table2[[#This Row],[LoanID]],Table1[G-L ID],Table1[ManagerCode],-99)</f>
        <v>183</v>
      </c>
    </row>
    <row r="11553" spans="1:18" x14ac:dyDescent="0.25">
      <c r="A11553">
        <v>20200930</v>
      </c>
      <c r="B11553">
        <v>2020</v>
      </c>
      <c r="C11553">
        <v>9</v>
      </c>
      <c r="D11553">
        <v>1</v>
      </c>
      <c r="E11553">
        <v>13090</v>
      </c>
      <c r="F11553">
        <v>74183.33</v>
      </c>
      <c r="G11553">
        <v>0</v>
      </c>
      <c r="H11553">
        <v>0</v>
      </c>
      <c r="I11553">
        <v>0</v>
      </c>
      <c r="J11553">
        <v>0</v>
      </c>
      <c r="K11553">
        <v>0</v>
      </c>
      <c r="L11553">
        <v>20000000</v>
      </c>
      <c r="M11553">
        <v>20000000</v>
      </c>
      <c r="N11553">
        <v>20000000</v>
      </c>
      <c r="O11553">
        <v>20000000</v>
      </c>
      <c r="P11553">
        <v>20000000</v>
      </c>
      <c r="Q11553">
        <v>20000000</v>
      </c>
      <c r="R11553" s="14">
        <f>_xlfn.XLOOKUP(Table2[[#This Row],[LoanID]],Table1[G-L ID],Table1[ManagerCode],-99)</f>
        <v>183</v>
      </c>
    </row>
    <row r="11554" spans="1:18" x14ac:dyDescent="0.25">
      <c r="A11554">
        <v>20200930</v>
      </c>
      <c r="B11554">
        <v>2020</v>
      </c>
      <c r="C11554">
        <v>9</v>
      </c>
      <c r="D11554">
        <v>1</v>
      </c>
      <c r="E11554">
        <v>13100</v>
      </c>
      <c r="F11554">
        <v>77135.69</v>
      </c>
      <c r="G11554">
        <v>0</v>
      </c>
      <c r="H11554">
        <v>0</v>
      </c>
      <c r="I11554">
        <v>0</v>
      </c>
      <c r="J11554">
        <v>-47762.51</v>
      </c>
      <c r="K11554">
        <v>47762.51</v>
      </c>
      <c r="L11554">
        <v>24183784.280000001</v>
      </c>
      <c r="M11554">
        <v>24231546.789999999</v>
      </c>
      <c r="N11554">
        <v>8632419.2699999996</v>
      </c>
      <c r="O11554">
        <v>8632419.2699999996</v>
      </c>
      <c r="P11554">
        <v>24183784.280000001</v>
      </c>
      <c r="Q11554">
        <v>24231546.789999999</v>
      </c>
      <c r="R11554" s="14">
        <f>_xlfn.XLOOKUP(Table2[[#This Row],[LoanID]],Table1[G-L ID],Table1[ManagerCode],-99)</f>
        <v>183</v>
      </c>
    </row>
    <row r="11555" spans="1:18" x14ac:dyDescent="0.25">
      <c r="A11555">
        <v>20200930</v>
      </c>
      <c r="B11555">
        <v>2020</v>
      </c>
      <c r="C11555">
        <v>9</v>
      </c>
      <c r="D11555">
        <v>1</v>
      </c>
      <c r="E11555">
        <v>13110</v>
      </c>
      <c r="F11555">
        <v>94362.97</v>
      </c>
      <c r="G11555">
        <v>0</v>
      </c>
      <c r="H11555">
        <v>0</v>
      </c>
      <c r="I11555">
        <v>0</v>
      </c>
      <c r="J11555">
        <v>0</v>
      </c>
      <c r="K11555">
        <v>211909</v>
      </c>
      <c r="L11555">
        <v>46647715.689999998</v>
      </c>
      <c r="M11555">
        <v>46647715.689999998</v>
      </c>
      <c r="N11555">
        <v>19002192.030000001</v>
      </c>
      <c r="O11555">
        <v>18790283.030000001</v>
      </c>
      <c r="P11555">
        <v>46647715.689999998</v>
      </c>
      <c r="Q11555">
        <v>46647715.689999998</v>
      </c>
      <c r="R11555" s="14">
        <f>_xlfn.XLOOKUP(Table2[[#This Row],[LoanID]],Table1[G-L ID],Table1[ManagerCode],-99)</f>
        <v>183</v>
      </c>
    </row>
    <row r="11556" spans="1:18" x14ac:dyDescent="0.25">
      <c r="A11556">
        <v>20200930</v>
      </c>
      <c r="B11556">
        <v>2020</v>
      </c>
      <c r="C11556">
        <v>9</v>
      </c>
      <c r="D11556">
        <v>1</v>
      </c>
      <c r="E11556">
        <v>13120</v>
      </c>
      <c r="F11556">
        <v>82238.84</v>
      </c>
      <c r="G11556">
        <v>0</v>
      </c>
      <c r="H11556">
        <v>0</v>
      </c>
      <c r="I11556">
        <v>0</v>
      </c>
      <c r="J11556">
        <v>0</v>
      </c>
      <c r="K11556">
        <v>0</v>
      </c>
      <c r="L11556">
        <v>27360000</v>
      </c>
      <c r="M11556">
        <v>27360000</v>
      </c>
      <c r="N11556">
        <v>9576000</v>
      </c>
      <c r="O11556">
        <v>9576000</v>
      </c>
      <c r="P11556">
        <v>27360000</v>
      </c>
      <c r="Q11556">
        <v>27360000</v>
      </c>
      <c r="R11556" s="14">
        <f>_xlfn.XLOOKUP(Table2[[#This Row],[LoanID]],Table1[G-L ID],Table1[ManagerCode],-99)</f>
        <v>183</v>
      </c>
    </row>
    <row r="11557" spans="1:18" x14ac:dyDescent="0.25">
      <c r="A11557">
        <v>20200930</v>
      </c>
      <c r="B11557">
        <v>2020</v>
      </c>
      <c r="C11557">
        <v>9</v>
      </c>
      <c r="D11557">
        <v>1</v>
      </c>
      <c r="E11557">
        <v>13130</v>
      </c>
      <c r="F11557">
        <v>268902.09000000003</v>
      </c>
      <c r="G11557">
        <v>0</v>
      </c>
      <c r="H11557">
        <v>0</v>
      </c>
      <c r="I11557">
        <v>0</v>
      </c>
      <c r="J11557">
        <v>-3400225.69</v>
      </c>
      <c r="K11557">
        <v>0</v>
      </c>
      <c r="L11557">
        <v>202924460.09999999</v>
      </c>
      <c r="M11557">
        <v>207185939.5</v>
      </c>
      <c r="N11557">
        <v>90593623.099999994</v>
      </c>
      <c r="O11557">
        <v>94855102.5</v>
      </c>
      <c r="P11557">
        <v>210670478.59999999</v>
      </c>
      <c r="Q11557">
        <v>214070704.30000001</v>
      </c>
      <c r="R11557" s="14">
        <f>_xlfn.XLOOKUP(Table2[[#This Row],[LoanID]],Table1[G-L ID],Table1[ManagerCode],-99)</f>
        <v>183</v>
      </c>
    </row>
    <row r="11558" spans="1:18" x14ac:dyDescent="0.25">
      <c r="A11558">
        <v>20200930</v>
      </c>
      <c r="B11558">
        <v>2020</v>
      </c>
      <c r="C11558">
        <v>9</v>
      </c>
      <c r="D11558">
        <v>1</v>
      </c>
      <c r="E11558">
        <v>13150</v>
      </c>
      <c r="F11558">
        <v>178799.96</v>
      </c>
      <c r="G11558">
        <v>0</v>
      </c>
      <c r="H11558">
        <v>0</v>
      </c>
      <c r="I11558">
        <v>0</v>
      </c>
      <c r="J11558">
        <v>0</v>
      </c>
      <c r="K11558">
        <v>0</v>
      </c>
      <c r="L11558">
        <v>90007979.859999999</v>
      </c>
      <c r="M11558">
        <v>90007979.859999999</v>
      </c>
      <c r="N11558">
        <v>34203786.899999999</v>
      </c>
      <c r="O11558">
        <v>34203786.899999999</v>
      </c>
      <c r="P11558">
        <v>90778196.260000005</v>
      </c>
      <c r="Q11558">
        <v>90778196.260000005</v>
      </c>
      <c r="R11558" s="14">
        <f>_xlfn.XLOOKUP(Table2[[#This Row],[LoanID]],Table1[G-L ID],Table1[ManagerCode],-99)</f>
        <v>183</v>
      </c>
    </row>
    <row r="11559" spans="1:18" x14ac:dyDescent="0.25">
      <c r="A11559">
        <v>20200930</v>
      </c>
      <c r="B11559">
        <v>2020</v>
      </c>
      <c r="C11559">
        <v>9</v>
      </c>
      <c r="D11559">
        <v>1</v>
      </c>
      <c r="E11559">
        <v>13160</v>
      </c>
      <c r="F11559">
        <v>135992.67000000001</v>
      </c>
      <c r="G11559">
        <v>0</v>
      </c>
      <c r="H11559">
        <v>0</v>
      </c>
      <c r="I11559">
        <v>0</v>
      </c>
      <c r="J11559">
        <v>0</v>
      </c>
      <c r="K11559">
        <v>0</v>
      </c>
      <c r="L11559">
        <v>41900000</v>
      </c>
      <c r="M11559">
        <v>41900000</v>
      </c>
      <c r="N11559">
        <v>21854858</v>
      </c>
      <c r="O11559">
        <v>21854858</v>
      </c>
      <c r="P11559">
        <v>41900000</v>
      </c>
      <c r="Q11559">
        <v>41900000</v>
      </c>
      <c r="R11559" s="14">
        <f>_xlfn.XLOOKUP(Table2[[#This Row],[LoanID]],Table1[G-L ID],Table1[ManagerCode],-99)</f>
        <v>183</v>
      </c>
    </row>
    <row r="11560" spans="1:18" x14ac:dyDescent="0.25">
      <c r="A11560">
        <v>20200930</v>
      </c>
      <c r="B11560">
        <v>2020</v>
      </c>
      <c r="C11560">
        <v>9</v>
      </c>
      <c r="D11560">
        <v>1</v>
      </c>
      <c r="E11560">
        <v>13170</v>
      </c>
      <c r="F11560">
        <v>142270.26</v>
      </c>
      <c r="G11560">
        <v>0</v>
      </c>
      <c r="H11560">
        <v>0</v>
      </c>
      <c r="I11560">
        <v>0</v>
      </c>
      <c r="J11560">
        <v>0</v>
      </c>
      <c r="K11560">
        <v>0</v>
      </c>
      <c r="L11560">
        <v>45400000</v>
      </c>
      <c r="M11560">
        <v>45400000</v>
      </c>
      <c r="N11560">
        <v>16866666.670000002</v>
      </c>
      <c r="O11560">
        <v>16866666.670000002</v>
      </c>
      <c r="P11560">
        <v>45400000</v>
      </c>
      <c r="Q11560">
        <v>45400000</v>
      </c>
      <c r="R11560" s="14">
        <f>_xlfn.XLOOKUP(Table2[[#This Row],[LoanID]],Table1[G-L ID],Table1[ManagerCode],-99)</f>
        <v>183</v>
      </c>
    </row>
    <row r="11561" spans="1:18" x14ac:dyDescent="0.25">
      <c r="A11561">
        <v>20200930</v>
      </c>
      <c r="B11561">
        <v>2020</v>
      </c>
      <c r="C11561">
        <v>9</v>
      </c>
      <c r="D11561">
        <v>1</v>
      </c>
      <c r="E11561">
        <v>13180</v>
      </c>
      <c r="F11561">
        <v>126509.64</v>
      </c>
      <c r="G11561">
        <v>0</v>
      </c>
      <c r="H11561">
        <v>0</v>
      </c>
      <c r="I11561">
        <v>0</v>
      </c>
      <c r="J11561">
        <v>0</v>
      </c>
      <c r="K11561">
        <v>0</v>
      </c>
      <c r="L11561">
        <v>39780000</v>
      </c>
      <c r="M11561">
        <v>39780000</v>
      </c>
      <c r="N11561">
        <v>15930000</v>
      </c>
      <c r="O11561">
        <v>15930000</v>
      </c>
      <c r="P11561">
        <v>39780000</v>
      </c>
      <c r="Q11561">
        <v>39780000</v>
      </c>
      <c r="R11561" s="14">
        <f>_xlfn.XLOOKUP(Table2[[#This Row],[LoanID]],Table1[G-L ID],Table1[ManagerCode],-99)</f>
        <v>183</v>
      </c>
    </row>
    <row r="11562" spans="1:18" x14ac:dyDescent="0.25">
      <c r="A11562">
        <v>20200930</v>
      </c>
      <c r="B11562">
        <v>2020</v>
      </c>
      <c r="C11562">
        <v>9</v>
      </c>
      <c r="D11562">
        <v>1</v>
      </c>
      <c r="E11562">
        <v>13190</v>
      </c>
      <c r="F11562">
        <v>111802.14</v>
      </c>
      <c r="G11562">
        <v>60105.25</v>
      </c>
      <c r="H11562">
        <v>0</v>
      </c>
      <c r="I11562">
        <v>0</v>
      </c>
      <c r="J11562">
        <v>-223604.28</v>
      </c>
      <c r="K11562">
        <v>0</v>
      </c>
      <c r="L11562">
        <v>24024499.620000001</v>
      </c>
      <c r="M11562">
        <v>24308209.149999999</v>
      </c>
      <c r="N11562">
        <v>24024499.620000001</v>
      </c>
      <c r="O11562">
        <v>24308209.149999999</v>
      </c>
      <c r="P11562">
        <v>24024499.620000001</v>
      </c>
      <c r="Q11562">
        <v>24308209.149999999</v>
      </c>
      <c r="R11562" s="14">
        <f>_xlfn.XLOOKUP(Table2[[#This Row],[LoanID]],Table1[G-L ID],Table1[ManagerCode],-99)</f>
        <v>183</v>
      </c>
    </row>
    <row r="11563" spans="1:18" x14ac:dyDescent="0.25">
      <c r="A11563">
        <v>20200930</v>
      </c>
      <c r="B11563">
        <v>2020</v>
      </c>
      <c r="C11563">
        <v>9</v>
      </c>
      <c r="D11563">
        <v>1</v>
      </c>
      <c r="E11563">
        <v>13200</v>
      </c>
      <c r="F11563">
        <v>161441.57</v>
      </c>
      <c r="G11563">
        <v>73095.98</v>
      </c>
      <c r="H11563">
        <v>0</v>
      </c>
      <c r="I11563">
        <v>0</v>
      </c>
      <c r="J11563">
        <v>-173998.06</v>
      </c>
      <c r="K11563">
        <v>0</v>
      </c>
      <c r="L11563">
        <v>31476455.109999999</v>
      </c>
      <c r="M11563">
        <v>31723549.149999999</v>
      </c>
      <c r="N11563">
        <v>31476455.109999999</v>
      </c>
      <c r="O11563">
        <v>31723549.149999999</v>
      </c>
      <c r="P11563">
        <v>31476455.109999999</v>
      </c>
      <c r="Q11563">
        <v>31723549.149999999</v>
      </c>
      <c r="R11563" s="14">
        <f>_xlfn.XLOOKUP(Table2[[#This Row],[LoanID]],Table1[G-L ID],Table1[ManagerCode],-99)</f>
        <v>183</v>
      </c>
    </row>
    <row r="11564" spans="1:18" x14ac:dyDescent="0.25">
      <c r="A11564">
        <v>20200930</v>
      </c>
      <c r="B11564">
        <v>2020</v>
      </c>
      <c r="C11564">
        <v>9</v>
      </c>
      <c r="D11564">
        <v>1</v>
      </c>
      <c r="E11564">
        <v>13210</v>
      </c>
      <c r="F11564">
        <v>0</v>
      </c>
      <c r="G11564">
        <v>229984.18</v>
      </c>
      <c r="H11564">
        <v>0</v>
      </c>
      <c r="I11564">
        <v>0</v>
      </c>
      <c r="J11564">
        <v>0</v>
      </c>
      <c r="K11564">
        <v>0</v>
      </c>
      <c r="L11564">
        <v>21229308.890000001</v>
      </c>
      <c r="M11564">
        <v>21459293.07</v>
      </c>
      <c r="N11564">
        <v>21229308.890000001</v>
      </c>
      <c r="O11564">
        <v>21459293.07</v>
      </c>
      <c r="P11564">
        <v>21229308.890000001</v>
      </c>
      <c r="Q11564">
        <v>21459293.07</v>
      </c>
      <c r="R11564" s="14">
        <f>_xlfn.XLOOKUP(Table2[[#This Row],[LoanID]],Table1[G-L ID],Table1[ManagerCode],-99)</f>
        <v>183</v>
      </c>
    </row>
    <row r="11565" spans="1:18" x14ac:dyDescent="0.25">
      <c r="A11565">
        <v>20200930</v>
      </c>
      <c r="B11565">
        <v>2020</v>
      </c>
      <c r="C11565">
        <v>9</v>
      </c>
      <c r="D11565">
        <v>1</v>
      </c>
      <c r="E11565">
        <v>13260</v>
      </c>
      <c r="F11565">
        <v>0</v>
      </c>
      <c r="G11565">
        <v>144286.67000000001</v>
      </c>
      <c r="H11565">
        <v>0</v>
      </c>
      <c r="I11565">
        <v>0</v>
      </c>
      <c r="J11565">
        <v>0</v>
      </c>
      <c r="K11565">
        <v>0</v>
      </c>
      <c r="L11565">
        <v>20839282.219999999</v>
      </c>
      <c r="M11565">
        <v>20983568.890000001</v>
      </c>
      <c r="N11565">
        <v>20839282.219999999</v>
      </c>
      <c r="O11565">
        <v>20983568.890000001</v>
      </c>
      <c r="P11565">
        <v>20839282.219999999</v>
      </c>
      <c r="Q11565">
        <v>20983568.890000001</v>
      </c>
      <c r="R11565" s="14">
        <f>_xlfn.XLOOKUP(Table2[[#This Row],[LoanID]],Table1[G-L ID],Table1[ManagerCode],-99)</f>
        <v>219</v>
      </c>
    </row>
    <row r="11566" spans="1:18" x14ac:dyDescent="0.25">
      <c r="A11566">
        <v>20200930</v>
      </c>
      <c r="B11566">
        <v>2020</v>
      </c>
      <c r="C11566">
        <v>9</v>
      </c>
      <c r="D11566">
        <v>1</v>
      </c>
      <c r="E11566">
        <v>13300</v>
      </c>
      <c r="F11566">
        <v>0</v>
      </c>
      <c r="G11566">
        <v>208333</v>
      </c>
      <c r="H11566">
        <v>0</v>
      </c>
      <c r="I11566">
        <v>0</v>
      </c>
      <c r="J11566">
        <v>0</v>
      </c>
      <c r="K11566">
        <v>0</v>
      </c>
      <c r="L11566">
        <v>24065278.23</v>
      </c>
      <c r="M11566">
        <v>24273611.23</v>
      </c>
      <c r="N11566">
        <v>24065278.23</v>
      </c>
      <c r="O11566">
        <v>24273611.23</v>
      </c>
      <c r="P11566">
        <v>25215278.23</v>
      </c>
      <c r="Q11566">
        <v>25423611.23</v>
      </c>
      <c r="R11566" s="14">
        <f>_xlfn.XLOOKUP(Table2[[#This Row],[LoanID]],Table1[G-L ID],Table1[ManagerCode],-99)</f>
        <v>219</v>
      </c>
    </row>
    <row r="11567" spans="1:18" x14ac:dyDescent="0.25">
      <c r="A11567">
        <v>20200930</v>
      </c>
      <c r="B11567">
        <v>2020</v>
      </c>
      <c r="C11567">
        <v>9</v>
      </c>
      <c r="D11567">
        <v>1</v>
      </c>
      <c r="E11567">
        <v>13370</v>
      </c>
      <c r="F11567">
        <v>142364.1</v>
      </c>
      <c r="G11567">
        <v>0</v>
      </c>
      <c r="H11567">
        <v>0</v>
      </c>
      <c r="I11567">
        <v>0</v>
      </c>
      <c r="J11567">
        <v>-128368.38</v>
      </c>
      <c r="K11567">
        <v>0</v>
      </c>
      <c r="L11567">
        <v>45359079.090000004</v>
      </c>
      <c r="M11567">
        <v>45487447.469999999</v>
      </c>
      <c r="N11567">
        <v>45359079.090000004</v>
      </c>
      <c r="O11567">
        <v>45487447.469999999</v>
      </c>
      <c r="P11567">
        <v>45466655.600000001</v>
      </c>
      <c r="Q11567">
        <v>45595023.979999997</v>
      </c>
      <c r="R11567" s="14">
        <f>_xlfn.XLOOKUP(Table2[[#This Row],[LoanID]],Table1[G-L ID],Table1[ManagerCode],-99)</f>
        <v>183</v>
      </c>
    </row>
    <row r="11568" spans="1:18" x14ac:dyDescent="0.25">
      <c r="A11568">
        <v>20200930</v>
      </c>
      <c r="B11568">
        <v>2020</v>
      </c>
      <c r="C11568">
        <v>9</v>
      </c>
      <c r="D11568">
        <v>1</v>
      </c>
      <c r="E11568">
        <v>13380</v>
      </c>
      <c r="F11568">
        <v>64267.38</v>
      </c>
      <c r="G11568">
        <v>0</v>
      </c>
      <c r="H11568">
        <v>0</v>
      </c>
      <c r="I11568">
        <v>0</v>
      </c>
      <c r="J11568">
        <v>0</v>
      </c>
      <c r="K11568">
        <v>0</v>
      </c>
      <c r="L11568">
        <v>31750672.280000001</v>
      </c>
      <c r="M11568">
        <v>31750672.280000001</v>
      </c>
      <c r="N11568">
        <v>10950672.279999999</v>
      </c>
      <c r="O11568">
        <v>10950672.279999999</v>
      </c>
      <c r="P11568">
        <v>32000000</v>
      </c>
      <c r="Q11568">
        <v>32000000</v>
      </c>
      <c r="R11568" s="14">
        <f>_xlfn.XLOOKUP(Table2[[#This Row],[LoanID]],Table1[G-L ID],Table1[ManagerCode],-99)</f>
        <v>183</v>
      </c>
    </row>
    <row r="11569" spans="1:18" x14ac:dyDescent="0.25">
      <c r="A11569">
        <v>20200930</v>
      </c>
      <c r="B11569">
        <v>2020</v>
      </c>
      <c r="C11569">
        <v>9</v>
      </c>
      <c r="D11569">
        <v>1</v>
      </c>
      <c r="E11569">
        <v>13390</v>
      </c>
      <c r="F11569">
        <v>-31650.41</v>
      </c>
      <c r="G11569">
        <v>0</v>
      </c>
      <c r="H11569">
        <v>0</v>
      </c>
      <c r="I11569">
        <v>0</v>
      </c>
      <c r="J11569">
        <v>-156395.48000000001</v>
      </c>
      <c r="K11569">
        <v>0</v>
      </c>
      <c r="L11569">
        <v>18343605.52</v>
      </c>
      <c r="M11569">
        <v>18500001</v>
      </c>
      <c r="N11569">
        <v>-156395.48000000001</v>
      </c>
      <c r="O11569">
        <v>0</v>
      </c>
      <c r="P11569">
        <v>50476439.799999997</v>
      </c>
      <c r="Q11569">
        <v>50632835.280000001</v>
      </c>
      <c r="R11569" s="14">
        <f>_xlfn.XLOOKUP(Table2[[#This Row],[LoanID]],Table1[G-L ID],Table1[ManagerCode],-99)</f>
        <v>183</v>
      </c>
    </row>
    <row r="11570" spans="1:18" x14ac:dyDescent="0.25">
      <c r="A11570">
        <v>20200930</v>
      </c>
      <c r="B11570">
        <v>2020</v>
      </c>
      <c r="C11570">
        <v>9</v>
      </c>
      <c r="D11570">
        <v>1</v>
      </c>
      <c r="E11570">
        <v>13400</v>
      </c>
      <c r="F11570">
        <v>107685.68</v>
      </c>
      <c r="G11570">
        <v>0</v>
      </c>
      <c r="H11570">
        <v>0</v>
      </c>
      <c r="I11570">
        <v>0</v>
      </c>
      <c r="J11570">
        <v>0</v>
      </c>
      <c r="K11570">
        <v>0</v>
      </c>
      <c r="L11570">
        <v>32357792.309999999</v>
      </c>
      <c r="M11570">
        <v>32357792.309999999</v>
      </c>
      <c r="N11570">
        <v>11720292.310000001</v>
      </c>
      <c r="O11570">
        <v>11720292.310000001</v>
      </c>
      <c r="P11570">
        <v>32357792.309999999</v>
      </c>
      <c r="Q11570">
        <v>32357792.309999999</v>
      </c>
      <c r="R11570" s="14">
        <f>_xlfn.XLOOKUP(Table2[[#This Row],[LoanID]],Table1[G-L ID],Table1[ManagerCode],-99)</f>
        <v>183</v>
      </c>
    </row>
    <row r="11571" spans="1:18" x14ac:dyDescent="0.25">
      <c r="A11571">
        <v>20200930</v>
      </c>
      <c r="B11571">
        <v>2020</v>
      </c>
      <c r="C11571">
        <v>9</v>
      </c>
      <c r="D11571">
        <v>1</v>
      </c>
      <c r="E11571">
        <v>13410</v>
      </c>
      <c r="F11571">
        <v>50106.78</v>
      </c>
      <c r="G11571">
        <v>0</v>
      </c>
      <c r="H11571">
        <v>0</v>
      </c>
      <c r="I11571">
        <v>0</v>
      </c>
      <c r="J11571">
        <v>-32447.22</v>
      </c>
      <c r="K11571">
        <v>0</v>
      </c>
      <c r="L11571">
        <v>35279030.789999999</v>
      </c>
      <c r="M11571">
        <v>35311478.009999998</v>
      </c>
      <c r="N11571">
        <v>14409030.789999999</v>
      </c>
      <c r="O11571">
        <v>14441478.01</v>
      </c>
      <c r="P11571">
        <v>35845930.130000003</v>
      </c>
      <c r="Q11571">
        <v>35878377.350000001</v>
      </c>
      <c r="R11571" s="14">
        <f>_xlfn.XLOOKUP(Table2[[#This Row],[LoanID]],Table1[G-L ID],Table1[ManagerCode],-99)</f>
        <v>183</v>
      </c>
    </row>
    <row r="11572" spans="1:18" x14ac:dyDescent="0.25">
      <c r="A11572">
        <v>20200930</v>
      </c>
      <c r="B11572">
        <v>2020</v>
      </c>
      <c r="C11572">
        <v>9</v>
      </c>
      <c r="D11572">
        <v>1</v>
      </c>
      <c r="E11572">
        <v>13420</v>
      </c>
      <c r="F11572">
        <v>66107.600000000006</v>
      </c>
      <c r="G11572">
        <v>0</v>
      </c>
      <c r="H11572">
        <v>0</v>
      </c>
      <c r="I11572">
        <v>0</v>
      </c>
      <c r="J11572">
        <v>-42139.27</v>
      </c>
      <c r="K11572">
        <v>0</v>
      </c>
      <c r="L11572">
        <v>31097931.109999999</v>
      </c>
      <c r="M11572">
        <v>31140070.379999999</v>
      </c>
      <c r="N11572">
        <v>14603018.109999999</v>
      </c>
      <c r="O11572">
        <v>14645157.380000001</v>
      </c>
      <c r="P11572">
        <v>31185197.73</v>
      </c>
      <c r="Q11572">
        <v>31227337</v>
      </c>
      <c r="R11572" s="14">
        <f>_xlfn.XLOOKUP(Table2[[#This Row],[LoanID]],Table1[G-L ID],Table1[ManagerCode],-99)</f>
        <v>183</v>
      </c>
    </row>
    <row r="11573" spans="1:18" x14ac:dyDescent="0.25">
      <c r="A11573">
        <v>20200930</v>
      </c>
      <c r="B11573">
        <v>2020</v>
      </c>
      <c r="C11573">
        <v>9</v>
      </c>
      <c r="D11573">
        <v>1</v>
      </c>
      <c r="E11573">
        <v>13430</v>
      </c>
      <c r="F11573">
        <v>238958.46</v>
      </c>
      <c r="G11573">
        <v>0</v>
      </c>
      <c r="H11573">
        <v>0</v>
      </c>
      <c r="I11573">
        <v>0</v>
      </c>
      <c r="J11573">
        <v>0</v>
      </c>
      <c r="K11573">
        <v>0</v>
      </c>
      <c r="L11573">
        <v>75184698</v>
      </c>
      <c r="M11573">
        <v>75184698</v>
      </c>
      <c r="N11573">
        <v>31067051</v>
      </c>
      <c r="O11573">
        <v>31067051</v>
      </c>
      <c r="P11573">
        <v>75000000</v>
      </c>
      <c r="Q11573">
        <v>75000000</v>
      </c>
      <c r="R11573" s="14">
        <f>_xlfn.XLOOKUP(Table2[[#This Row],[LoanID]],Table1[G-L ID],Table1[ManagerCode],-99)</f>
        <v>183</v>
      </c>
    </row>
    <row r="11574" spans="1:18" x14ac:dyDescent="0.25">
      <c r="A11574">
        <v>20200930</v>
      </c>
      <c r="B11574">
        <v>2020</v>
      </c>
      <c r="C11574">
        <v>9</v>
      </c>
      <c r="D11574">
        <v>1</v>
      </c>
      <c r="E11574">
        <v>13440</v>
      </c>
      <c r="F11574">
        <v>0</v>
      </c>
      <c r="G11574">
        <v>132663.79999999999</v>
      </c>
      <c r="H11574">
        <v>0</v>
      </c>
      <c r="I11574">
        <v>0</v>
      </c>
      <c r="J11574">
        <v>0</v>
      </c>
      <c r="K11574">
        <v>0</v>
      </c>
      <c r="L11574">
        <v>13397742.76</v>
      </c>
      <c r="M11574">
        <v>13530406.560000001</v>
      </c>
      <c r="N11574">
        <v>13397742.76</v>
      </c>
      <c r="O11574">
        <v>13530406.560000001</v>
      </c>
      <c r="P11574">
        <v>13397742.76</v>
      </c>
      <c r="Q11574">
        <v>13530406.560000001</v>
      </c>
      <c r="R11574" s="14">
        <f>_xlfn.XLOOKUP(Table2[[#This Row],[LoanID]],Table1[G-L ID],Table1[ManagerCode],-99)</f>
        <v>183</v>
      </c>
    </row>
    <row r="11575" spans="1:18" x14ac:dyDescent="0.25">
      <c r="A11575">
        <v>20200930</v>
      </c>
      <c r="B11575">
        <v>2020</v>
      </c>
      <c r="C11575">
        <v>9</v>
      </c>
      <c r="D11575">
        <v>1</v>
      </c>
      <c r="E11575">
        <v>13450</v>
      </c>
      <c r="F11575">
        <v>0</v>
      </c>
      <c r="G11575">
        <v>161327.10999999999</v>
      </c>
      <c r="H11575">
        <v>0</v>
      </c>
      <c r="I11575">
        <v>0</v>
      </c>
      <c r="J11575">
        <v>0</v>
      </c>
      <c r="K11575">
        <v>0</v>
      </c>
      <c r="L11575">
        <v>14891733.060000001</v>
      </c>
      <c r="M11575">
        <v>15053060.17</v>
      </c>
      <c r="N11575">
        <v>14891733.060000001</v>
      </c>
      <c r="O11575">
        <v>15053060.17</v>
      </c>
      <c r="P11575">
        <v>14891733.060000001</v>
      </c>
      <c r="Q11575">
        <v>15053060.17</v>
      </c>
      <c r="R11575" s="14">
        <f>_xlfn.XLOOKUP(Table2[[#This Row],[LoanID]],Table1[G-L ID],Table1[ManagerCode],-99)</f>
        <v>183</v>
      </c>
    </row>
    <row r="11576" spans="1:18" x14ac:dyDescent="0.25">
      <c r="A11576">
        <v>20200930</v>
      </c>
      <c r="B11576">
        <v>2020</v>
      </c>
      <c r="C11576">
        <v>9</v>
      </c>
      <c r="D11576">
        <v>1</v>
      </c>
      <c r="E11576">
        <v>13460</v>
      </c>
      <c r="F11576">
        <v>35311.839999999997</v>
      </c>
      <c r="G11576">
        <v>26874.33</v>
      </c>
      <c r="H11576">
        <v>0</v>
      </c>
      <c r="I11576">
        <v>0</v>
      </c>
      <c r="J11576">
        <v>-541806.6</v>
      </c>
      <c r="K11576">
        <v>0</v>
      </c>
      <c r="L11576">
        <v>7723433.5099999998</v>
      </c>
      <c r="M11576">
        <v>8292114.4400000004</v>
      </c>
      <c r="N11576">
        <v>7723433.5099999998</v>
      </c>
      <c r="O11576">
        <v>8292114.4400000004</v>
      </c>
      <c r="P11576">
        <v>7723433.5099999998</v>
      </c>
      <c r="Q11576">
        <v>8292114.4400000004</v>
      </c>
      <c r="R11576" s="14">
        <f>_xlfn.XLOOKUP(Table2[[#This Row],[LoanID]],Table1[G-L ID],Table1[ManagerCode],-99)</f>
        <v>183</v>
      </c>
    </row>
    <row r="11577" spans="1:18" x14ac:dyDescent="0.25">
      <c r="A11577">
        <v>20200930</v>
      </c>
      <c r="B11577">
        <v>2020</v>
      </c>
      <c r="C11577">
        <v>9</v>
      </c>
      <c r="D11577">
        <v>1</v>
      </c>
      <c r="E11577">
        <v>13470</v>
      </c>
      <c r="F11577">
        <v>370008.68</v>
      </c>
      <c r="G11577">
        <v>0</v>
      </c>
      <c r="H11577">
        <v>0</v>
      </c>
      <c r="I11577">
        <v>0</v>
      </c>
      <c r="J11577">
        <v>0</v>
      </c>
      <c r="K11577">
        <v>0</v>
      </c>
      <c r="L11577">
        <v>62500000</v>
      </c>
      <c r="M11577">
        <v>62500000</v>
      </c>
      <c r="N11577">
        <v>62500000</v>
      </c>
      <c r="O11577">
        <v>62500000</v>
      </c>
      <c r="P11577">
        <v>62500000</v>
      </c>
      <c r="Q11577">
        <v>62500000</v>
      </c>
      <c r="R11577" s="14">
        <f>_xlfn.XLOOKUP(Table2[[#This Row],[LoanID]],Table1[G-L ID],Table1[ManagerCode],-99)</f>
        <v>165</v>
      </c>
    </row>
    <row r="11578" spans="1:18" x14ac:dyDescent="0.25">
      <c r="A11578">
        <v>20200930</v>
      </c>
      <c r="B11578">
        <v>2020</v>
      </c>
      <c r="C11578">
        <v>9</v>
      </c>
      <c r="D11578">
        <v>1</v>
      </c>
      <c r="E11578">
        <v>13480</v>
      </c>
      <c r="F11578">
        <v>250531.67</v>
      </c>
      <c r="G11578">
        <v>0</v>
      </c>
      <c r="H11578">
        <v>0</v>
      </c>
      <c r="I11578">
        <v>0</v>
      </c>
      <c r="J11578">
        <v>0</v>
      </c>
      <c r="K11578">
        <v>0</v>
      </c>
      <c r="L11578">
        <v>39000000</v>
      </c>
      <c r="M11578">
        <v>39000000</v>
      </c>
      <c r="N11578">
        <v>39000000</v>
      </c>
      <c r="O11578">
        <v>39000000</v>
      </c>
      <c r="P11578">
        <v>39000000</v>
      </c>
      <c r="Q11578">
        <v>39000000</v>
      </c>
      <c r="R11578" s="14">
        <f>_xlfn.XLOOKUP(Table2[[#This Row],[LoanID]],Table1[G-L ID],Table1[ManagerCode],-99)</f>
        <v>165</v>
      </c>
    </row>
    <row r="11579" spans="1:18" x14ac:dyDescent="0.25">
      <c r="A11579">
        <v>20200930</v>
      </c>
      <c r="B11579">
        <v>2020</v>
      </c>
      <c r="C11579">
        <v>9</v>
      </c>
      <c r="D11579">
        <v>1</v>
      </c>
      <c r="E11579">
        <v>13490</v>
      </c>
      <c r="F11579">
        <v>303800</v>
      </c>
      <c r="G11579">
        <v>0</v>
      </c>
      <c r="H11579">
        <v>0</v>
      </c>
      <c r="I11579">
        <v>0</v>
      </c>
      <c r="J11579">
        <v>0</v>
      </c>
      <c r="K11579">
        <v>0</v>
      </c>
      <c r="L11579">
        <v>40000000</v>
      </c>
      <c r="M11579">
        <v>40000000</v>
      </c>
      <c r="N11579">
        <v>40000000</v>
      </c>
      <c r="O11579">
        <v>40000000</v>
      </c>
      <c r="P11579">
        <v>40000000</v>
      </c>
      <c r="Q11579">
        <v>40000000</v>
      </c>
      <c r="R11579" s="14">
        <f>_xlfn.XLOOKUP(Table2[[#This Row],[LoanID]],Table1[G-L ID],Table1[ManagerCode],-99)</f>
        <v>165</v>
      </c>
    </row>
    <row r="11580" spans="1:18" x14ac:dyDescent="0.25">
      <c r="A11580">
        <v>20200930</v>
      </c>
      <c r="B11580">
        <v>2020</v>
      </c>
      <c r="C11580">
        <v>9</v>
      </c>
      <c r="D11580">
        <v>1</v>
      </c>
      <c r="E11580">
        <v>13500</v>
      </c>
      <c r="F11580">
        <v>283628.46999999997</v>
      </c>
      <c r="G11580">
        <v>0</v>
      </c>
      <c r="H11580">
        <v>0</v>
      </c>
      <c r="I11580">
        <v>0</v>
      </c>
      <c r="J11580">
        <v>0</v>
      </c>
      <c r="K11580">
        <v>0</v>
      </c>
      <c r="L11580">
        <v>42500000</v>
      </c>
      <c r="M11580">
        <v>42500000</v>
      </c>
      <c r="N11580">
        <v>42500000</v>
      </c>
      <c r="O11580">
        <v>42500000</v>
      </c>
      <c r="P11580">
        <v>42500000</v>
      </c>
      <c r="Q11580">
        <v>42500000</v>
      </c>
      <c r="R11580" s="14">
        <f>_xlfn.XLOOKUP(Table2[[#This Row],[LoanID]],Table1[G-L ID],Table1[ManagerCode],-99)</f>
        <v>165</v>
      </c>
    </row>
    <row r="11581" spans="1:18" x14ac:dyDescent="0.25">
      <c r="A11581">
        <v>20200930</v>
      </c>
      <c r="B11581">
        <v>2020</v>
      </c>
      <c r="C11581">
        <v>9</v>
      </c>
      <c r="D11581">
        <v>1</v>
      </c>
      <c r="E11581">
        <v>13510</v>
      </c>
      <c r="F11581">
        <v>317750</v>
      </c>
      <c r="G11581">
        <v>0</v>
      </c>
      <c r="H11581">
        <v>0</v>
      </c>
      <c r="I11581">
        <v>0</v>
      </c>
      <c r="J11581">
        <v>0</v>
      </c>
      <c r="K11581">
        <v>0</v>
      </c>
      <c r="L11581">
        <v>90000000</v>
      </c>
      <c r="M11581">
        <v>90000000</v>
      </c>
      <c r="N11581">
        <v>90000000</v>
      </c>
      <c r="O11581">
        <v>90000000</v>
      </c>
      <c r="P11581">
        <v>90000000</v>
      </c>
      <c r="Q11581">
        <v>90000000</v>
      </c>
      <c r="R11581" s="14">
        <f>_xlfn.XLOOKUP(Table2[[#This Row],[LoanID]],Table1[G-L ID],Table1[ManagerCode],-99)</f>
        <v>165</v>
      </c>
    </row>
    <row r="11582" spans="1:18" x14ac:dyDescent="0.25">
      <c r="A11582">
        <v>20200930</v>
      </c>
      <c r="B11582">
        <v>2020</v>
      </c>
      <c r="C11582">
        <v>9</v>
      </c>
      <c r="D11582">
        <v>1</v>
      </c>
      <c r="E11582">
        <v>13520</v>
      </c>
      <c r="F11582">
        <v>860572.92</v>
      </c>
      <c r="G11582">
        <v>0</v>
      </c>
      <c r="H11582">
        <v>0</v>
      </c>
      <c r="I11582">
        <v>0</v>
      </c>
      <c r="J11582">
        <v>0</v>
      </c>
      <c r="K11582">
        <v>0</v>
      </c>
      <c r="L11582">
        <v>195000000</v>
      </c>
      <c r="M11582">
        <v>195000000</v>
      </c>
      <c r="N11582">
        <v>195000000</v>
      </c>
      <c r="O11582">
        <v>195000000</v>
      </c>
      <c r="P11582">
        <v>195000000</v>
      </c>
      <c r="Q11582">
        <v>195000000</v>
      </c>
      <c r="R11582" s="14">
        <f>_xlfn.XLOOKUP(Table2[[#This Row],[LoanID]],Table1[G-L ID],Table1[ManagerCode],-99)</f>
        <v>165</v>
      </c>
    </row>
    <row r="11583" spans="1:18" x14ac:dyDescent="0.25">
      <c r="A11583">
        <v>20200930</v>
      </c>
      <c r="B11583">
        <v>2020</v>
      </c>
      <c r="C11583">
        <v>9</v>
      </c>
      <c r="D11583">
        <v>1</v>
      </c>
      <c r="E11583">
        <v>13530</v>
      </c>
      <c r="F11583">
        <v>403645.83</v>
      </c>
      <c r="G11583">
        <v>0</v>
      </c>
      <c r="H11583">
        <v>0</v>
      </c>
      <c r="I11583">
        <v>0</v>
      </c>
      <c r="J11583">
        <v>0</v>
      </c>
      <c r="K11583">
        <v>0</v>
      </c>
      <c r="L11583">
        <v>75000000</v>
      </c>
      <c r="M11583">
        <v>75000000</v>
      </c>
      <c r="N11583">
        <v>75000000</v>
      </c>
      <c r="O11583">
        <v>75000000</v>
      </c>
      <c r="P11583">
        <v>75000000</v>
      </c>
      <c r="Q11583">
        <v>75000000</v>
      </c>
      <c r="R11583" s="14">
        <f>_xlfn.XLOOKUP(Table2[[#This Row],[LoanID]],Table1[G-L ID],Table1[ManagerCode],-99)</f>
        <v>165</v>
      </c>
    </row>
    <row r="11584" spans="1:18" x14ac:dyDescent="0.25">
      <c r="A11584">
        <v>20200930</v>
      </c>
      <c r="B11584">
        <v>2020</v>
      </c>
      <c r="C11584">
        <v>9</v>
      </c>
      <c r="D11584">
        <v>1</v>
      </c>
      <c r="E11584">
        <v>13550</v>
      </c>
      <c r="F11584">
        <v>1682872.91</v>
      </c>
      <c r="G11584">
        <v>0</v>
      </c>
      <c r="H11584">
        <v>0</v>
      </c>
      <c r="I11584">
        <v>0</v>
      </c>
      <c r="J11584">
        <v>0</v>
      </c>
      <c r="K11584">
        <v>0</v>
      </c>
      <c r="L11584">
        <v>355328004.80000001</v>
      </c>
      <c r="M11584">
        <v>355328004.80000001</v>
      </c>
      <c r="N11584">
        <v>355328004.80000001</v>
      </c>
      <c r="O11584">
        <v>355328004.80000001</v>
      </c>
      <c r="P11584">
        <v>355328004.80000001</v>
      </c>
      <c r="Q11584">
        <v>355328004.80000001</v>
      </c>
      <c r="R11584" s="14">
        <f>_xlfn.XLOOKUP(Table2[[#This Row],[LoanID]],Table1[G-L ID],Table1[ManagerCode],-99)</f>
        <v>165</v>
      </c>
    </row>
    <row r="11585" spans="1:18" x14ac:dyDescent="0.25">
      <c r="A11585">
        <v>20200930</v>
      </c>
      <c r="B11585">
        <v>2020</v>
      </c>
      <c r="C11585">
        <v>9</v>
      </c>
      <c r="D11585">
        <v>1</v>
      </c>
      <c r="E11585">
        <v>13560</v>
      </c>
      <c r="F11585">
        <v>421522.5</v>
      </c>
      <c r="G11585">
        <v>-14110.82</v>
      </c>
      <c r="H11585">
        <v>0</v>
      </c>
      <c r="I11585">
        <v>0</v>
      </c>
      <c r="J11585">
        <v>0</v>
      </c>
      <c r="K11585">
        <v>0</v>
      </c>
      <c r="L11585">
        <v>105231157.8</v>
      </c>
      <c r="M11585">
        <v>105217047</v>
      </c>
      <c r="N11585">
        <v>105231157.8</v>
      </c>
      <c r="O11585">
        <v>105217047</v>
      </c>
      <c r="P11585">
        <v>105231157.8</v>
      </c>
      <c r="Q11585">
        <v>105217047</v>
      </c>
      <c r="R11585" s="14">
        <f>_xlfn.XLOOKUP(Table2[[#This Row],[LoanID]],Table1[G-L ID],Table1[ManagerCode],-99)</f>
        <v>219</v>
      </c>
    </row>
    <row r="11586" spans="1:18" x14ac:dyDescent="0.25">
      <c r="A11586">
        <v>20200930</v>
      </c>
      <c r="B11586">
        <v>2020</v>
      </c>
      <c r="C11586">
        <v>9</v>
      </c>
      <c r="D11586">
        <v>1</v>
      </c>
      <c r="E11586">
        <v>13580</v>
      </c>
      <c r="F11586">
        <v>0</v>
      </c>
      <c r="G11586">
        <v>0</v>
      </c>
      <c r="H11586">
        <v>0</v>
      </c>
      <c r="I11586">
        <v>0</v>
      </c>
      <c r="J11586">
        <v>0</v>
      </c>
      <c r="K11586">
        <v>0</v>
      </c>
      <c r="L11586">
        <v>60904719.380000003</v>
      </c>
      <c r="M11586">
        <v>1</v>
      </c>
      <c r="N11586">
        <v>60904719.380000003</v>
      </c>
      <c r="O11586">
        <v>1</v>
      </c>
      <c r="P11586">
        <v>66500000</v>
      </c>
      <c r="Q11586">
        <v>66500000</v>
      </c>
      <c r="R11586" s="14">
        <f>_xlfn.XLOOKUP(Table2[[#This Row],[LoanID]],Table1[G-L ID],Table1[ManagerCode],-99)</f>
        <v>298</v>
      </c>
    </row>
    <row r="11587" spans="1:18" x14ac:dyDescent="0.25">
      <c r="A11587">
        <v>20200930</v>
      </c>
      <c r="B11587">
        <v>2020</v>
      </c>
      <c r="C11587">
        <v>9</v>
      </c>
      <c r="D11587">
        <v>1</v>
      </c>
      <c r="E11587">
        <v>13600</v>
      </c>
      <c r="F11587">
        <v>379029.03</v>
      </c>
      <c r="G11587">
        <v>0</v>
      </c>
      <c r="H11587">
        <v>0</v>
      </c>
      <c r="I11587">
        <v>0</v>
      </c>
      <c r="J11587">
        <v>0</v>
      </c>
      <c r="K11587">
        <v>0</v>
      </c>
      <c r="L11587">
        <v>45561204.140000001</v>
      </c>
      <c r="M11587">
        <v>45571675.140000001</v>
      </c>
      <c r="N11587">
        <v>45561204.140000001</v>
      </c>
      <c r="O11587">
        <v>45571675.140000001</v>
      </c>
      <c r="P11587">
        <v>45970000</v>
      </c>
      <c r="Q11587">
        <v>45970000</v>
      </c>
      <c r="R11587" s="14">
        <f>_xlfn.XLOOKUP(Table2[[#This Row],[LoanID]],Table1[G-L ID],Table1[ManagerCode],-99)</f>
        <v>298</v>
      </c>
    </row>
    <row r="11588" spans="1:18" x14ac:dyDescent="0.25">
      <c r="A11588">
        <v>20200930</v>
      </c>
      <c r="B11588">
        <v>2020</v>
      </c>
      <c r="C11588">
        <v>9</v>
      </c>
      <c r="D11588">
        <v>1</v>
      </c>
      <c r="E11588">
        <v>13610</v>
      </c>
      <c r="F11588">
        <v>63291.67</v>
      </c>
      <c r="G11588">
        <v>0</v>
      </c>
      <c r="H11588">
        <v>0</v>
      </c>
      <c r="I11588">
        <v>0</v>
      </c>
      <c r="J11588">
        <v>0</v>
      </c>
      <c r="K11588">
        <v>0</v>
      </c>
      <c r="L11588">
        <v>10385796.220000001</v>
      </c>
      <c r="M11588">
        <v>10385796.220000001</v>
      </c>
      <c r="N11588">
        <v>10385796.220000001</v>
      </c>
      <c r="O11588">
        <v>10385796.220000001</v>
      </c>
      <c r="P11588">
        <v>10500000</v>
      </c>
      <c r="Q11588">
        <v>10500000</v>
      </c>
      <c r="R11588" s="14">
        <f>_xlfn.XLOOKUP(Table2[[#This Row],[LoanID]],Table1[G-L ID],Table1[ManagerCode],-99)</f>
        <v>298</v>
      </c>
    </row>
    <row r="11589" spans="1:18" x14ac:dyDescent="0.25">
      <c r="A11589">
        <v>20200930</v>
      </c>
      <c r="B11589">
        <v>2020</v>
      </c>
      <c r="C11589">
        <v>9</v>
      </c>
      <c r="D11589">
        <v>1</v>
      </c>
      <c r="E11589">
        <v>13620</v>
      </c>
      <c r="F11589">
        <v>271766.67</v>
      </c>
      <c r="G11589">
        <v>0</v>
      </c>
      <c r="H11589">
        <v>0</v>
      </c>
      <c r="I11589">
        <v>0</v>
      </c>
      <c r="J11589">
        <v>0</v>
      </c>
      <c r="K11589">
        <v>0</v>
      </c>
      <c r="L11589">
        <v>49865510.369999997</v>
      </c>
      <c r="M11589">
        <v>49865510.369999997</v>
      </c>
      <c r="N11589">
        <v>49865510.369999997</v>
      </c>
      <c r="O11589">
        <v>49865510.369999997</v>
      </c>
      <c r="P11589">
        <v>50000000</v>
      </c>
      <c r="Q11589">
        <v>50000000</v>
      </c>
      <c r="R11589" s="14">
        <f>_xlfn.XLOOKUP(Table2[[#This Row],[LoanID]],Table1[G-L ID],Table1[ManagerCode],-99)</f>
        <v>298</v>
      </c>
    </row>
    <row r="11590" spans="1:18" x14ac:dyDescent="0.25">
      <c r="A11590">
        <v>20200930</v>
      </c>
      <c r="B11590">
        <v>2020</v>
      </c>
      <c r="C11590">
        <v>9</v>
      </c>
      <c r="D11590">
        <v>1</v>
      </c>
      <c r="E11590">
        <v>13630</v>
      </c>
      <c r="F11590">
        <v>0</v>
      </c>
      <c r="G11590">
        <v>0</v>
      </c>
      <c r="H11590">
        <v>0</v>
      </c>
      <c r="I11590">
        <v>0</v>
      </c>
      <c r="J11590">
        <v>0</v>
      </c>
      <c r="K11590">
        <v>1</v>
      </c>
      <c r="L11590">
        <v>22527136.07</v>
      </c>
      <c r="M11590">
        <v>0</v>
      </c>
      <c r="N11590">
        <v>22527136.07</v>
      </c>
      <c r="O11590">
        <v>0</v>
      </c>
      <c r="P11590">
        <v>36247043.789999999</v>
      </c>
      <c r="Q11590">
        <v>0</v>
      </c>
      <c r="R11590" s="14">
        <f>_xlfn.XLOOKUP(Table2[[#This Row],[LoanID]],Table1[G-L ID],Table1[ManagerCode],-99)</f>
        <v>298</v>
      </c>
    </row>
    <row r="11591" spans="1:18" x14ac:dyDescent="0.25">
      <c r="A11591">
        <v>20200930</v>
      </c>
      <c r="B11591">
        <v>2020</v>
      </c>
      <c r="C11591">
        <v>9</v>
      </c>
      <c r="D11591">
        <v>1</v>
      </c>
      <c r="E11591">
        <v>13640</v>
      </c>
      <c r="F11591">
        <v>226983.51</v>
      </c>
      <c r="G11591">
        <v>0</v>
      </c>
      <c r="H11591">
        <v>0</v>
      </c>
      <c r="I11591">
        <v>0</v>
      </c>
      <c r="J11591">
        <v>0</v>
      </c>
      <c r="K11591">
        <v>0</v>
      </c>
      <c r="L11591">
        <v>30234429.84</v>
      </c>
      <c r="M11591">
        <v>30234429.84</v>
      </c>
      <c r="N11591">
        <v>30234429.84</v>
      </c>
      <c r="O11591">
        <v>30234429.84</v>
      </c>
      <c r="P11591">
        <v>30125000</v>
      </c>
      <c r="Q11591">
        <v>30125000</v>
      </c>
      <c r="R11591" s="14">
        <f>_xlfn.XLOOKUP(Table2[[#This Row],[LoanID]],Table1[G-L ID],Table1[ManagerCode],-99)</f>
        <v>298</v>
      </c>
    </row>
    <row r="11592" spans="1:18" x14ac:dyDescent="0.25">
      <c r="A11592">
        <v>20200930</v>
      </c>
      <c r="B11592">
        <v>2020</v>
      </c>
      <c r="C11592">
        <v>9</v>
      </c>
      <c r="D11592">
        <v>1</v>
      </c>
      <c r="E11592">
        <v>13650</v>
      </c>
      <c r="F11592">
        <v>223888.89</v>
      </c>
      <c r="G11592">
        <v>0</v>
      </c>
      <c r="H11592">
        <v>0</v>
      </c>
      <c r="I11592">
        <v>0</v>
      </c>
      <c r="J11592">
        <v>0</v>
      </c>
      <c r="K11592">
        <v>0</v>
      </c>
      <c r="L11592">
        <v>39537559.880000003</v>
      </c>
      <c r="M11592">
        <v>39537559.880000003</v>
      </c>
      <c r="N11592">
        <v>39537559.880000003</v>
      </c>
      <c r="O11592">
        <v>39537559.880000003</v>
      </c>
      <c r="P11592">
        <v>40000000</v>
      </c>
      <c r="Q11592">
        <v>40000000</v>
      </c>
      <c r="R11592" s="14">
        <f>_xlfn.XLOOKUP(Table2[[#This Row],[LoanID]],Table1[G-L ID],Table1[ManagerCode],-99)</f>
        <v>298</v>
      </c>
    </row>
    <row r="11593" spans="1:18" x14ac:dyDescent="0.25">
      <c r="A11593">
        <v>20200930</v>
      </c>
      <c r="B11593">
        <v>2020</v>
      </c>
      <c r="C11593">
        <v>9</v>
      </c>
      <c r="D11593">
        <v>1</v>
      </c>
      <c r="E11593">
        <v>13660</v>
      </c>
      <c r="F11593">
        <v>117972.22</v>
      </c>
      <c r="G11593">
        <v>0</v>
      </c>
      <c r="H11593">
        <v>0</v>
      </c>
      <c r="I11593">
        <v>0</v>
      </c>
      <c r="J11593">
        <v>0</v>
      </c>
      <c r="K11593">
        <v>0</v>
      </c>
      <c r="L11593">
        <v>19633684.649999999</v>
      </c>
      <c r="M11593">
        <v>19633684.649999999</v>
      </c>
      <c r="N11593">
        <v>19633684.649999999</v>
      </c>
      <c r="O11593">
        <v>19633684.649999999</v>
      </c>
      <c r="P11593">
        <v>20000000</v>
      </c>
      <c r="Q11593">
        <v>20000000</v>
      </c>
      <c r="R11593" s="14">
        <f>_xlfn.XLOOKUP(Table2[[#This Row],[LoanID]],Table1[G-L ID],Table1[ManagerCode],-99)</f>
        <v>298</v>
      </c>
    </row>
    <row r="11594" spans="1:18" x14ac:dyDescent="0.25">
      <c r="A11594">
        <v>20200930</v>
      </c>
      <c r="B11594">
        <v>2020</v>
      </c>
      <c r="C11594">
        <v>9</v>
      </c>
      <c r="D11594">
        <v>1</v>
      </c>
      <c r="E11594">
        <v>13690</v>
      </c>
      <c r="F11594">
        <v>133472.22</v>
      </c>
      <c r="G11594">
        <v>0</v>
      </c>
      <c r="H11594">
        <v>0</v>
      </c>
      <c r="I11594">
        <v>0</v>
      </c>
      <c r="J11594">
        <v>0</v>
      </c>
      <c r="K11594">
        <v>0</v>
      </c>
      <c r="L11594">
        <v>20825761.02</v>
      </c>
      <c r="M11594">
        <v>20825761.02</v>
      </c>
      <c r="N11594">
        <v>20825761.02</v>
      </c>
      <c r="O11594">
        <v>20825761.02</v>
      </c>
      <c r="P11594">
        <v>20000000</v>
      </c>
      <c r="Q11594">
        <v>20000000</v>
      </c>
      <c r="R11594" s="14">
        <f>_xlfn.XLOOKUP(Table2[[#This Row],[LoanID]],Table1[G-L ID],Table1[ManagerCode],-99)</f>
        <v>298</v>
      </c>
    </row>
    <row r="11595" spans="1:18" x14ac:dyDescent="0.25">
      <c r="A11595">
        <v>20200930</v>
      </c>
      <c r="B11595">
        <v>2020</v>
      </c>
      <c r="C11595">
        <v>9</v>
      </c>
      <c r="D11595">
        <v>1</v>
      </c>
      <c r="E11595">
        <v>13800</v>
      </c>
      <c r="F11595">
        <v>325962.86</v>
      </c>
      <c r="G11595">
        <v>0</v>
      </c>
      <c r="H11595">
        <v>0</v>
      </c>
      <c r="I11595">
        <v>0</v>
      </c>
      <c r="J11595">
        <v>0</v>
      </c>
      <c r="K11595">
        <v>0</v>
      </c>
      <c r="L11595">
        <v>80700000</v>
      </c>
      <c r="M11595">
        <v>80700000</v>
      </c>
      <c r="N11595">
        <v>32279999.719999999</v>
      </c>
      <c r="O11595">
        <v>32279999.719999999</v>
      </c>
      <c r="P11595">
        <v>80700000</v>
      </c>
      <c r="Q11595">
        <v>80700000</v>
      </c>
      <c r="R11595" s="14">
        <f>_xlfn.XLOOKUP(Table2[[#This Row],[LoanID]],Table1[G-L ID],Table1[ManagerCode],-99)</f>
        <v>183</v>
      </c>
    </row>
    <row r="11596" spans="1:18" x14ac:dyDescent="0.25">
      <c r="A11596">
        <v>20200930</v>
      </c>
      <c r="B11596">
        <v>2020</v>
      </c>
      <c r="C11596">
        <v>9</v>
      </c>
      <c r="D11596">
        <v>1</v>
      </c>
      <c r="E11596">
        <v>13810</v>
      </c>
      <c r="F11596">
        <v>166206.72</v>
      </c>
      <c r="G11596">
        <v>0</v>
      </c>
      <c r="H11596">
        <v>0</v>
      </c>
      <c r="I11596">
        <v>0</v>
      </c>
      <c r="J11596">
        <v>0</v>
      </c>
      <c r="K11596">
        <v>0</v>
      </c>
      <c r="L11596">
        <v>45654676</v>
      </c>
      <c r="M11596">
        <v>45654676</v>
      </c>
      <c r="N11596">
        <v>21528930.219999999</v>
      </c>
      <c r="O11596">
        <v>21528930.219999999</v>
      </c>
      <c r="P11596">
        <v>45627882.240000002</v>
      </c>
      <c r="Q11596">
        <v>45627882.240000002</v>
      </c>
      <c r="R11596" s="14">
        <f>_xlfn.XLOOKUP(Table2[[#This Row],[LoanID]],Table1[G-L ID],Table1[ManagerCode],-99)</f>
        <v>183</v>
      </c>
    </row>
    <row r="11597" spans="1:18" x14ac:dyDescent="0.25">
      <c r="A11597">
        <v>20200930</v>
      </c>
      <c r="B11597">
        <v>2020</v>
      </c>
      <c r="C11597">
        <v>9</v>
      </c>
      <c r="D11597">
        <v>1</v>
      </c>
      <c r="E11597">
        <v>13820</v>
      </c>
      <c r="F11597">
        <v>273204.15999999997</v>
      </c>
      <c r="G11597">
        <v>0</v>
      </c>
      <c r="H11597">
        <v>0</v>
      </c>
      <c r="I11597">
        <v>0</v>
      </c>
      <c r="J11597">
        <v>0</v>
      </c>
      <c r="K11597">
        <v>0</v>
      </c>
      <c r="L11597">
        <v>66463138.159999996</v>
      </c>
      <c r="M11597">
        <v>66463138.159999996</v>
      </c>
      <c r="N11597">
        <v>66463138.159999996</v>
      </c>
      <c r="O11597">
        <v>66463138.159999996</v>
      </c>
      <c r="P11597">
        <v>66500000</v>
      </c>
      <c r="Q11597">
        <v>66500000</v>
      </c>
      <c r="R11597" s="14">
        <f>_xlfn.XLOOKUP(Table2[[#This Row],[LoanID]],Table1[G-L ID],Table1[ManagerCode],-99)</f>
        <v>183</v>
      </c>
    </row>
    <row r="11598" spans="1:18" x14ac:dyDescent="0.25">
      <c r="A11598">
        <v>20200930</v>
      </c>
      <c r="B11598">
        <v>2020</v>
      </c>
      <c r="C11598">
        <v>9</v>
      </c>
      <c r="D11598">
        <v>1</v>
      </c>
      <c r="E11598">
        <v>13830</v>
      </c>
      <c r="F11598">
        <v>286567.56</v>
      </c>
      <c r="G11598">
        <v>0</v>
      </c>
      <c r="H11598">
        <v>0</v>
      </c>
      <c r="I11598">
        <v>0</v>
      </c>
      <c r="J11598">
        <v>-379672.34</v>
      </c>
      <c r="K11598">
        <v>206648</v>
      </c>
      <c r="L11598">
        <v>100976981.3</v>
      </c>
      <c r="M11598">
        <v>101356653.59999999</v>
      </c>
      <c r="N11598">
        <v>35326981.299999997</v>
      </c>
      <c r="O11598">
        <v>35500005.600000001</v>
      </c>
      <c r="P11598">
        <v>101317920.5</v>
      </c>
      <c r="Q11598">
        <v>101697592.90000001</v>
      </c>
      <c r="R11598" s="14">
        <f>_xlfn.XLOOKUP(Table2[[#This Row],[LoanID]],Table1[G-L ID],Table1[ManagerCode],-99)</f>
        <v>183</v>
      </c>
    </row>
    <row r="11599" spans="1:18" x14ac:dyDescent="0.25">
      <c r="A11599">
        <v>20200930</v>
      </c>
      <c r="B11599">
        <v>2020</v>
      </c>
      <c r="C11599">
        <v>9</v>
      </c>
      <c r="D11599">
        <v>1</v>
      </c>
      <c r="E11599">
        <v>14000</v>
      </c>
      <c r="F11599">
        <v>296821.67</v>
      </c>
      <c r="G11599">
        <v>0</v>
      </c>
      <c r="H11599">
        <v>0</v>
      </c>
      <c r="I11599">
        <v>0</v>
      </c>
      <c r="J11599">
        <v>0</v>
      </c>
      <c r="K11599">
        <v>0</v>
      </c>
      <c r="L11599">
        <v>98000000</v>
      </c>
      <c r="M11599">
        <v>98000000</v>
      </c>
      <c r="N11599">
        <v>39200000</v>
      </c>
      <c r="O11599">
        <v>39200000</v>
      </c>
      <c r="P11599">
        <v>98000000</v>
      </c>
      <c r="Q11599">
        <v>98000000</v>
      </c>
      <c r="R11599" s="14">
        <f>_xlfn.XLOOKUP(Table2[[#This Row],[LoanID]],Table1[G-L ID],Table1[ManagerCode],-99)</f>
        <v>183</v>
      </c>
    </row>
    <row r="11600" spans="1:18" x14ac:dyDescent="0.25">
      <c r="A11600">
        <v>20200930</v>
      </c>
      <c r="B11600">
        <v>2020</v>
      </c>
      <c r="C11600">
        <v>9</v>
      </c>
      <c r="D11600">
        <v>1</v>
      </c>
      <c r="E11600">
        <v>14660</v>
      </c>
      <c r="F11600">
        <v>0</v>
      </c>
      <c r="G11600">
        <v>140327</v>
      </c>
      <c r="H11600">
        <v>0</v>
      </c>
      <c r="I11600">
        <v>0</v>
      </c>
      <c r="J11600">
        <v>0</v>
      </c>
      <c r="K11600">
        <v>0</v>
      </c>
      <c r="L11600">
        <v>17976227</v>
      </c>
      <c r="M11600">
        <v>18230535</v>
      </c>
      <c r="N11600">
        <v>17976227</v>
      </c>
      <c r="O11600">
        <v>18230535</v>
      </c>
      <c r="P11600">
        <v>18423721</v>
      </c>
      <c r="Q11600">
        <v>18564048</v>
      </c>
      <c r="R11600" s="14">
        <f>_xlfn.XLOOKUP(Table2[[#This Row],[LoanID]],Table1[G-L ID],Table1[ManagerCode],-99)</f>
        <v>219</v>
      </c>
    </row>
    <row r="11601" spans="1:18" x14ac:dyDescent="0.25">
      <c r="A11601">
        <v>20200930</v>
      </c>
      <c r="B11601">
        <v>2020</v>
      </c>
      <c r="C11601">
        <v>9</v>
      </c>
      <c r="D11601">
        <v>1</v>
      </c>
      <c r="E11601">
        <v>14680</v>
      </c>
      <c r="F11601">
        <v>62255.75</v>
      </c>
      <c r="G11601">
        <v>0</v>
      </c>
      <c r="H11601">
        <v>0</v>
      </c>
      <c r="I11601">
        <v>0</v>
      </c>
      <c r="J11601">
        <v>0</v>
      </c>
      <c r="K11601">
        <v>0</v>
      </c>
      <c r="L11601">
        <v>30920000</v>
      </c>
      <c r="M11601">
        <v>30920000</v>
      </c>
      <c r="N11601">
        <v>8475011.8000000007</v>
      </c>
      <c r="O11601">
        <v>8475011.8000000007</v>
      </c>
      <c r="P11601">
        <v>30863549.23</v>
      </c>
      <c r="Q11601">
        <v>30863549.23</v>
      </c>
      <c r="R11601" s="14">
        <f>_xlfn.XLOOKUP(Table2[[#This Row],[LoanID]],Table1[G-L ID],Table1[ManagerCode],-99)</f>
        <v>220</v>
      </c>
    </row>
    <row r="11602" spans="1:18" x14ac:dyDescent="0.25">
      <c r="A11602">
        <v>20200930</v>
      </c>
      <c r="B11602">
        <v>2020</v>
      </c>
      <c r="C11602">
        <v>9</v>
      </c>
      <c r="D11602">
        <v>1</v>
      </c>
      <c r="E11602">
        <v>14690</v>
      </c>
      <c r="F11602">
        <v>153288.95999999999</v>
      </c>
      <c r="G11602">
        <v>0</v>
      </c>
      <c r="H11602">
        <v>0</v>
      </c>
      <c r="I11602">
        <v>0</v>
      </c>
      <c r="J11602">
        <v>-334429.68</v>
      </c>
      <c r="K11602">
        <v>0</v>
      </c>
      <c r="L11602">
        <v>43671381.979999997</v>
      </c>
      <c r="M11602">
        <v>43984429.68</v>
      </c>
      <c r="N11602">
        <v>20153631.98</v>
      </c>
      <c r="O11602">
        <v>20466679.68</v>
      </c>
      <c r="P11602">
        <v>43635194.600000001</v>
      </c>
      <c r="Q11602">
        <v>43969624.280000001</v>
      </c>
      <c r="R11602" s="14">
        <f>_xlfn.XLOOKUP(Table2[[#This Row],[LoanID]],Table1[G-L ID],Table1[ManagerCode],-99)</f>
        <v>220</v>
      </c>
    </row>
    <row r="11603" spans="1:18" x14ac:dyDescent="0.25">
      <c r="A11603">
        <v>20200930</v>
      </c>
      <c r="B11603">
        <v>2020</v>
      </c>
      <c r="C11603">
        <v>9</v>
      </c>
      <c r="D11603">
        <v>1</v>
      </c>
      <c r="E11603">
        <v>14700</v>
      </c>
      <c r="F11603">
        <v>130557.04</v>
      </c>
      <c r="G11603">
        <v>0</v>
      </c>
      <c r="H11603">
        <v>0</v>
      </c>
      <c r="I11603">
        <v>0</v>
      </c>
      <c r="J11603">
        <v>0</v>
      </c>
      <c r="K11603">
        <v>0</v>
      </c>
      <c r="L11603">
        <v>36742421.060000002</v>
      </c>
      <c r="M11603">
        <v>36742421.060000002</v>
      </c>
      <c r="N11603">
        <v>13254921.060000001</v>
      </c>
      <c r="O11603">
        <v>13254921.060000001</v>
      </c>
      <c r="P11603">
        <v>36742421.060000002</v>
      </c>
      <c r="Q11603">
        <v>36742421.060000002</v>
      </c>
      <c r="R11603" s="14">
        <f>_xlfn.XLOOKUP(Table2[[#This Row],[LoanID]],Table1[G-L ID],Table1[ManagerCode],-99)</f>
        <v>220</v>
      </c>
    </row>
    <row r="11604" spans="1:18" x14ac:dyDescent="0.25">
      <c r="A11604">
        <v>20200930</v>
      </c>
      <c r="B11604">
        <v>2020</v>
      </c>
      <c r="C11604">
        <v>9</v>
      </c>
      <c r="D11604">
        <v>1</v>
      </c>
      <c r="E11604">
        <v>14710</v>
      </c>
      <c r="F11604">
        <v>107873.69</v>
      </c>
      <c r="G11604">
        <v>0</v>
      </c>
      <c r="H11604">
        <v>0</v>
      </c>
      <c r="I11604">
        <v>0</v>
      </c>
      <c r="J11604">
        <v>0</v>
      </c>
      <c r="K11604">
        <v>0</v>
      </c>
      <c r="L11604">
        <v>33650000</v>
      </c>
      <c r="M11604">
        <v>33650000</v>
      </c>
      <c r="N11604">
        <v>13777500</v>
      </c>
      <c r="O11604">
        <v>13777500</v>
      </c>
      <c r="P11604">
        <v>33650000</v>
      </c>
      <c r="Q11604">
        <v>33650000</v>
      </c>
      <c r="R11604" s="14">
        <f>_xlfn.XLOOKUP(Table2[[#This Row],[LoanID]],Table1[G-L ID],Table1[ManagerCode],-99)</f>
        <v>220</v>
      </c>
    </row>
    <row r="11605" spans="1:18" x14ac:dyDescent="0.25">
      <c r="A11605">
        <v>20200930</v>
      </c>
      <c r="B11605">
        <v>2020</v>
      </c>
      <c r="C11605">
        <v>9</v>
      </c>
      <c r="D11605">
        <v>1</v>
      </c>
      <c r="E11605">
        <v>14720</v>
      </c>
      <c r="F11605">
        <v>74890.78</v>
      </c>
      <c r="G11605">
        <v>0</v>
      </c>
      <c r="H11605">
        <v>0</v>
      </c>
      <c r="I11605">
        <v>0</v>
      </c>
      <c r="J11605">
        <v>0</v>
      </c>
      <c r="K11605">
        <v>0</v>
      </c>
      <c r="L11605">
        <v>24631586.609999999</v>
      </c>
      <c r="M11605">
        <v>24631586.609999999</v>
      </c>
      <c r="N11605">
        <v>10904586.609999999</v>
      </c>
      <c r="O11605">
        <v>10904586.609999999</v>
      </c>
      <c r="P11605">
        <v>24627740.690000001</v>
      </c>
      <c r="Q11605">
        <v>24627740.690000001</v>
      </c>
      <c r="R11605" s="14">
        <f>_xlfn.XLOOKUP(Table2[[#This Row],[LoanID]],Table1[G-L ID],Table1[ManagerCode],-99)</f>
        <v>220</v>
      </c>
    </row>
    <row r="11606" spans="1:18" x14ac:dyDescent="0.25">
      <c r="A11606">
        <v>20200930</v>
      </c>
      <c r="B11606">
        <v>2020</v>
      </c>
      <c r="C11606">
        <v>9</v>
      </c>
      <c r="D11606">
        <v>1</v>
      </c>
      <c r="E11606">
        <v>14740</v>
      </c>
      <c r="F11606">
        <v>160361.57999999999</v>
      </c>
      <c r="G11606">
        <v>0</v>
      </c>
      <c r="H11606">
        <v>0</v>
      </c>
      <c r="I11606">
        <v>0</v>
      </c>
      <c r="J11606">
        <v>0</v>
      </c>
      <c r="K11606">
        <v>0</v>
      </c>
      <c r="L11606">
        <v>34010000</v>
      </c>
      <c r="M11606">
        <v>34010000</v>
      </c>
      <c r="N11606">
        <v>34010000</v>
      </c>
      <c r="O11606">
        <v>34010000</v>
      </c>
      <c r="P11606">
        <v>35471686.299999997</v>
      </c>
      <c r="Q11606">
        <v>35471686.299999997</v>
      </c>
      <c r="R11606" s="14">
        <f>_xlfn.XLOOKUP(Table2[[#This Row],[LoanID]],Table1[G-L ID],Table1[ManagerCode],-99)</f>
        <v>220</v>
      </c>
    </row>
    <row r="11607" spans="1:18" x14ac:dyDescent="0.25">
      <c r="A11607">
        <v>20200930</v>
      </c>
      <c r="B11607">
        <v>2020</v>
      </c>
      <c r="C11607">
        <v>9</v>
      </c>
      <c r="D11607">
        <v>1</v>
      </c>
      <c r="E11607">
        <v>14750</v>
      </c>
      <c r="F11607">
        <v>176829.12</v>
      </c>
      <c r="G11607">
        <v>0</v>
      </c>
      <c r="H11607">
        <v>0</v>
      </c>
      <c r="I11607">
        <v>0</v>
      </c>
      <c r="J11607">
        <v>0</v>
      </c>
      <c r="K11607">
        <v>0</v>
      </c>
      <c r="L11607">
        <v>62537542.670000002</v>
      </c>
      <c r="M11607">
        <v>62537542.670000002</v>
      </c>
      <c r="N11607">
        <v>30787542.670000002</v>
      </c>
      <c r="O11607">
        <v>30787542.670000002</v>
      </c>
      <c r="P11607">
        <v>62537542.670000002</v>
      </c>
      <c r="Q11607">
        <v>62537542.670000002</v>
      </c>
      <c r="R11607" s="14">
        <f>_xlfn.XLOOKUP(Table2[[#This Row],[LoanID]],Table1[G-L ID],Table1[ManagerCode],-99)</f>
        <v>220</v>
      </c>
    </row>
    <row r="11608" spans="1:18" x14ac:dyDescent="0.25">
      <c r="A11608">
        <v>20200930</v>
      </c>
      <c r="B11608">
        <v>2020</v>
      </c>
      <c r="C11608">
        <v>9</v>
      </c>
      <c r="D11608">
        <v>1</v>
      </c>
      <c r="E11608">
        <v>14760</v>
      </c>
      <c r="F11608">
        <v>336281.11</v>
      </c>
      <c r="G11608">
        <v>0</v>
      </c>
      <c r="H11608">
        <v>0</v>
      </c>
      <c r="I11608">
        <v>0</v>
      </c>
      <c r="J11608">
        <v>0</v>
      </c>
      <c r="K11608">
        <v>0</v>
      </c>
      <c r="L11608">
        <v>105100000</v>
      </c>
      <c r="M11608">
        <v>105100000</v>
      </c>
      <c r="N11608">
        <v>37350000</v>
      </c>
      <c r="O11608">
        <v>37350000</v>
      </c>
      <c r="P11608">
        <v>105000000</v>
      </c>
      <c r="Q11608">
        <v>105000000</v>
      </c>
      <c r="R11608" s="14">
        <f>_xlfn.XLOOKUP(Table2[[#This Row],[LoanID]],Table1[G-L ID],Table1[ManagerCode],-99)</f>
        <v>220</v>
      </c>
    </row>
    <row r="11609" spans="1:18" x14ac:dyDescent="0.25">
      <c r="A11609">
        <v>20200930</v>
      </c>
      <c r="B11609">
        <v>2020</v>
      </c>
      <c r="C11609">
        <v>9</v>
      </c>
      <c r="D11609">
        <v>1</v>
      </c>
      <c r="E11609">
        <v>14770</v>
      </c>
      <c r="F11609">
        <v>248038.75</v>
      </c>
      <c r="G11609">
        <v>0</v>
      </c>
      <c r="H11609">
        <v>0</v>
      </c>
      <c r="I11609">
        <v>0</v>
      </c>
      <c r="J11609">
        <v>0</v>
      </c>
      <c r="K11609">
        <v>0</v>
      </c>
      <c r="L11609">
        <v>55600000</v>
      </c>
      <c r="M11609">
        <v>55600000</v>
      </c>
      <c r="N11609">
        <v>55600000</v>
      </c>
      <c r="O11609">
        <v>55600000</v>
      </c>
      <c r="P11609">
        <v>55500000</v>
      </c>
      <c r="Q11609">
        <v>55500000</v>
      </c>
      <c r="R11609" s="14">
        <f>_xlfn.XLOOKUP(Table2[[#This Row],[LoanID]],Table1[G-L ID],Table1[ManagerCode],-99)</f>
        <v>220</v>
      </c>
    </row>
    <row r="11610" spans="1:18" x14ac:dyDescent="0.25">
      <c r="A11610">
        <v>20200930</v>
      </c>
      <c r="B11610">
        <v>2020</v>
      </c>
      <c r="C11610">
        <v>9</v>
      </c>
      <c r="D11610">
        <v>1</v>
      </c>
      <c r="E11610">
        <v>14780</v>
      </c>
      <c r="F11610">
        <v>159055.29</v>
      </c>
      <c r="G11610">
        <v>0</v>
      </c>
      <c r="H11610">
        <v>0</v>
      </c>
      <c r="I11610">
        <v>0</v>
      </c>
      <c r="J11610">
        <v>0</v>
      </c>
      <c r="K11610">
        <v>-536556.86</v>
      </c>
      <c r="L11610">
        <v>50188000</v>
      </c>
      <c r="M11610">
        <v>50188000</v>
      </c>
      <c r="N11610">
        <v>16488000</v>
      </c>
      <c r="O11610">
        <v>17024556.859999999</v>
      </c>
      <c r="P11610">
        <v>50188000</v>
      </c>
      <c r="Q11610">
        <v>50188000</v>
      </c>
      <c r="R11610" s="14">
        <f>_xlfn.XLOOKUP(Table2[[#This Row],[LoanID]],Table1[G-L ID],Table1[ManagerCode],-99)</f>
        <v>220</v>
      </c>
    </row>
    <row r="11611" spans="1:18" x14ac:dyDescent="0.25">
      <c r="A11611">
        <v>20200930</v>
      </c>
      <c r="B11611">
        <v>2020</v>
      </c>
      <c r="C11611">
        <v>9</v>
      </c>
      <c r="D11611">
        <v>1</v>
      </c>
      <c r="E11611">
        <v>14790</v>
      </c>
      <c r="F11611">
        <v>187814.64</v>
      </c>
      <c r="G11611">
        <v>0</v>
      </c>
      <c r="H11611">
        <v>0</v>
      </c>
      <c r="I11611">
        <v>0</v>
      </c>
      <c r="J11611">
        <v>0</v>
      </c>
      <c r="K11611">
        <v>0</v>
      </c>
      <c r="L11611">
        <v>80360000</v>
      </c>
      <c r="M11611">
        <v>80360000</v>
      </c>
      <c r="N11611">
        <v>25960000</v>
      </c>
      <c r="O11611">
        <v>25960000</v>
      </c>
      <c r="P11611">
        <v>80000000</v>
      </c>
      <c r="Q11611">
        <v>80000000</v>
      </c>
      <c r="R11611" s="14">
        <f>_xlfn.XLOOKUP(Table2[[#This Row],[LoanID]],Table1[G-L ID],Table1[ManagerCode],-99)</f>
        <v>220</v>
      </c>
    </row>
    <row r="11612" spans="1:18" x14ac:dyDescent="0.25">
      <c r="A11612">
        <v>20200930</v>
      </c>
      <c r="B11612">
        <v>2020</v>
      </c>
      <c r="C11612">
        <v>9</v>
      </c>
      <c r="D11612">
        <v>1</v>
      </c>
      <c r="E11612">
        <v>14810</v>
      </c>
      <c r="F11612">
        <v>94770.71</v>
      </c>
      <c r="G11612">
        <v>0</v>
      </c>
      <c r="H11612">
        <v>0</v>
      </c>
      <c r="I11612">
        <v>0</v>
      </c>
      <c r="J11612">
        <v>0</v>
      </c>
      <c r="K11612">
        <v>46891.29</v>
      </c>
      <c r="L11612">
        <v>25012796.859999999</v>
      </c>
      <c r="M11612">
        <v>24900000</v>
      </c>
      <c r="N11612">
        <v>25012796.859999999</v>
      </c>
      <c r="O11612">
        <v>24900000</v>
      </c>
      <c r="P11612">
        <v>25012796.859999999</v>
      </c>
      <c r="Q11612">
        <v>24965905.57</v>
      </c>
      <c r="R11612" s="14">
        <f>_xlfn.XLOOKUP(Table2[[#This Row],[LoanID]],Table1[G-L ID],Table1[ManagerCode],-99)</f>
        <v>220</v>
      </c>
    </row>
    <row r="11613" spans="1:18" x14ac:dyDescent="0.25">
      <c r="A11613">
        <v>20200930</v>
      </c>
      <c r="B11613">
        <v>2020</v>
      </c>
      <c r="C11613">
        <v>9</v>
      </c>
      <c r="D11613">
        <v>1</v>
      </c>
      <c r="E11613">
        <v>14820</v>
      </c>
      <c r="F11613">
        <v>94655.679999999993</v>
      </c>
      <c r="G11613">
        <v>0</v>
      </c>
      <c r="H11613">
        <v>0</v>
      </c>
      <c r="I11613">
        <v>0</v>
      </c>
      <c r="J11613">
        <v>-3928397.62</v>
      </c>
      <c r="K11613">
        <v>0</v>
      </c>
      <c r="L11613">
        <v>23287391.140000001</v>
      </c>
      <c r="M11613">
        <v>27830000</v>
      </c>
      <c r="N11613">
        <v>6404032.5599999996</v>
      </c>
      <c r="O11613">
        <v>10946641.42</v>
      </c>
      <c r="P11613">
        <v>23901602.379999999</v>
      </c>
      <c r="Q11613">
        <v>27830000</v>
      </c>
      <c r="R11613" s="14">
        <f>_xlfn.XLOOKUP(Table2[[#This Row],[LoanID]],Table1[G-L ID],Table1[ManagerCode],-99)</f>
        <v>220</v>
      </c>
    </row>
    <row r="11614" spans="1:18" x14ac:dyDescent="0.25">
      <c r="A11614">
        <v>20200930</v>
      </c>
      <c r="B11614">
        <v>2020</v>
      </c>
      <c r="C11614">
        <v>9</v>
      </c>
      <c r="D11614">
        <v>1</v>
      </c>
      <c r="E11614">
        <v>14840</v>
      </c>
      <c r="F11614">
        <v>99789.61</v>
      </c>
      <c r="G11614">
        <v>0</v>
      </c>
      <c r="H11614">
        <v>0</v>
      </c>
      <c r="I11614">
        <v>0</v>
      </c>
      <c r="J11614">
        <v>-399587.06</v>
      </c>
      <c r="K11614">
        <v>0</v>
      </c>
      <c r="L11614">
        <v>32864189.789999999</v>
      </c>
      <c r="M11614">
        <v>33263776.850000001</v>
      </c>
      <c r="N11614">
        <v>15665656.75</v>
      </c>
      <c r="O11614">
        <v>16065243.810000001</v>
      </c>
      <c r="P11614">
        <v>32834189.789999999</v>
      </c>
      <c r="Q11614">
        <v>33233776.850000001</v>
      </c>
      <c r="R11614" s="14">
        <f>_xlfn.XLOOKUP(Table2[[#This Row],[LoanID]],Table1[G-L ID],Table1[ManagerCode],-99)</f>
        <v>220</v>
      </c>
    </row>
    <row r="11615" spans="1:18" x14ac:dyDescent="0.25">
      <c r="A11615">
        <v>20200930</v>
      </c>
      <c r="B11615">
        <v>2020</v>
      </c>
      <c r="C11615">
        <v>9</v>
      </c>
      <c r="D11615">
        <v>1</v>
      </c>
      <c r="E11615">
        <v>14850</v>
      </c>
      <c r="F11615">
        <v>230323.34</v>
      </c>
      <c r="G11615">
        <v>0</v>
      </c>
      <c r="H11615">
        <v>0</v>
      </c>
      <c r="I11615">
        <v>0</v>
      </c>
      <c r="J11615">
        <v>-558957.97</v>
      </c>
      <c r="K11615">
        <v>0</v>
      </c>
      <c r="L11615">
        <v>88265094.780000001</v>
      </c>
      <c r="M11615">
        <v>88885094.780000001</v>
      </c>
      <c r="N11615">
        <v>41636568.899999999</v>
      </c>
      <c r="O11615">
        <v>42256568.899999999</v>
      </c>
      <c r="P11615">
        <v>88282409.599999994</v>
      </c>
      <c r="Q11615">
        <v>88841367.569999993</v>
      </c>
      <c r="R11615" s="14">
        <f>_xlfn.XLOOKUP(Table2[[#This Row],[LoanID]],Table1[G-L ID],Table1[ManagerCode],-99)</f>
        <v>220</v>
      </c>
    </row>
    <row r="11616" spans="1:18" x14ac:dyDescent="0.25">
      <c r="A11616">
        <v>20200930</v>
      </c>
      <c r="B11616">
        <v>2020</v>
      </c>
      <c r="C11616">
        <v>9</v>
      </c>
      <c r="D11616">
        <v>1</v>
      </c>
      <c r="E11616">
        <v>14870</v>
      </c>
      <c r="F11616">
        <v>646165.05000000005</v>
      </c>
      <c r="G11616">
        <v>0</v>
      </c>
      <c r="H11616">
        <v>0</v>
      </c>
      <c r="I11616">
        <v>0</v>
      </c>
      <c r="J11616">
        <v>0</v>
      </c>
      <c r="K11616">
        <v>0</v>
      </c>
      <c r="L11616">
        <v>126175780</v>
      </c>
      <c r="M11616">
        <v>126175780</v>
      </c>
      <c r="N11616">
        <v>126174780</v>
      </c>
      <c r="O11616">
        <v>126174780</v>
      </c>
      <c r="P11616">
        <v>126107000</v>
      </c>
      <c r="Q11616">
        <v>126107000</v>
      </c>
      <c r="R11616" s="14">
        <f>_xlfn.XLOOKUP(Table2[[#This Row],[LoanID]],Table1[G-L ID],Table1[ManagerCode],-99)</f>
        <v>220</v>
      </c>
    </row>
    <row r="11617" spans="1:18" x14ac:dyDescent="0.25">
      <c r="A11617">
        <v>20200930</v>
      </c>
      <c r="B11617">
        <v>2020</v>
      </c>
      <c r="C11617">
        <v>9</v>
      </c>
      <c r="D11617">
        <v>1</v>
      </c>
      <c r="E11617">
        <v>14880</v>
      </c>
      <c r="F11617">
        <v>136271.07999999999</v>
      </c>
      <c r="G11617">
        <v>0</v>
      </c>
      <c r="H11617">
        <v>0</v>
      </c>
      <c r="I11617">
        <v>0</v>
      </c>
      <c r="J11617">
        <v>0</v>
      </c>
      <c r="K11617">
        <v>0</v>
      </c>
      <c r="L11617">
        <v>20296304.09</v>
      </c>
      <c r="M11617">
        <v>20296304.09</v>
      </c>
      <c r="N11617">
        <v>20296304.09</v>
      </c>
      <c r="O11617">
        <v>20296304.09</v>
      </c>
      <c r="P11617">
        <v>20296304.09</v>
      </c>
      <c r="Q11617">
        <v>20296304.09</v>
      </c>
      <c r="R11617" s="14">
        <f>_xlfn.XLOOKUP(Table2[[#This Row],[LoanID]],Table1[G-L ID],Table1[ManagerCode],-99)</f>
        <v>220</v>
      </c>
    </row>
    <row r="11618" spans="1:18" x14ac:dyDescent="0.25">
      <c r="A11618">
        <v>20200930</v>
      </c>
      <c r="B11618">
        <v>2020</v>
      </c>
      <c r="C11618">
        <v>9</v>
      </c>
      <c r="D11618">
        <v>1</v>
      </c>
      <c r="E11618">
        <v>14890</v>
      </c>
      <c r="F11618">
        <v>84999.29</v>
      </c>
      <c r="G11618">
        <v>0</v>
      </c>
      <c r="H11618">
        <v>0</v>
      </c>
      <c r="I11618">
        <v>0</v>
      </c>
      <c r="J11618">
        <v>0</v>
      </c>
      <c r="K11618">
        <v>0</v>
      </c>
      <c r="L11618">
        <v>34000000</v>
      </c>
      <c r="M11618">
        <v>34000000</v>
      </c>
      <c r="N11618">
        <v>17177663.98</v>
      </c>
      <c r="O11618">
        <v>17177663.98</v>
      </c>
      <c r="P11618">
        <v>34000000</v>
      </c>
      <c r="Q11618">
        <v>34000000</v>
      </c>
      <c r="R11618" s="14">
        <f>_xlfn.XLOOKUP(Table2[[#This Row],[LoanID]],Table1[G-L ID],Table1[ManagerCode],-99)</f>
        <v>220</v>
      </c>
    </row>
    <row r="11619" spans="1:18" x14ac:dyDescent="0.25">
      <c r="A11619">
        <v>20200930</v>
      </c>
      <c r="B11619">
        <v>2020</v>
      </c>
      <c r="C11619">
        <v>9</v>
      </c>
      <c r="D11619">
        <v>1</v>
      </c>
      <c r="E11619">
        <v>14900</v>
      </c>
      <c r="F11619">
        <v>181975.7</v>
      </c>
      <c r="G11619">
        <v>0</v>
      </c>
      <c r="H11619">
        <v>0</v>
      </c>
      <c r="I11619">
        <v>0</v>
      </c>
      <c r="J11619">
        <v>0</v>
      </c>
      <c r="K11619">
        <v>0</v>
      </c>
      <c r="L11619">
        <v>66277360.850000001</v>
      </c>
      <c r="M11619">
        <v>66277360.850000001</v>
      </c>
      <c r="N11619">
        <v>34572110.850000001</v>
      </c>
      <c r="O11619">
        <v>34572110.850000001</v>
      </c>
      <c r="P11619">
        <v>66277360.850000001</v>
      </c>
      <c r="Q11619">
        <v>66277360.850000001</v>
      </c>
      <c r="R11619" s="14">
        <f>_xlfn.XLOOKUP(Table2[[#This Row],[LoanID]],Table1[G-L ID],Table1[ManagerCode],-99)</f>
        <v>220</v>
      </c>
    </row>
    <row r="11620" spans="1:18" x14ac:dyDescent="0.25">
      <c r="A11620">
        <v>20200930</v>
      </c>
      <c r="B11620">
        <v>2020</v>
      </c>
      <c r="C11620">
        <v>9</v>
      </c>
      <c r="D11620">
        <v>1</v>
      </c>
      <c r="E11620">
        <v>14910</v>
      </c>
      <c r="F11620">
        <v>129196.62</v>
      </c>
      <c r="G11620">
        <v>0</v>
      </c>
      <c r="H11620">
        <v>0</v>
      </c>
      <c r="I11620">
        <v>0</v>
      </c>
      <c r="J11620">
        <v>0</v>
      </c>
      <c r="K11620">
        <v>0</v>
      </c>
      <c r="L11620">
        <v>40100000</v>
      </c>
      <c r="M11620">
        <v>40100000</v>
      </c>
      <c r="N11620">
        <v>16500000</v>
      </c>
      <c r="O11620">
        <v>16500000</v>
      </c>
      <c r="P11620">
        <v>40000000</v>
      </c>
      <c r="Q11620">
        <v>40000000</v>
      </c>
      <c r="R11620" s="14">
        <f>_xlfn.XLOOKUP(Table2[[#This Row],[LoanID]],Table1[G-L ID],Table1[ManagerCode],-99)</f>
        <v>220</v>
      </c>
    </row>
    <row r="11621" spans="1:18" x14ac:dyDescent="0.25">
      <c r="A11621">
        <v>20200930</v>
      </c>
      <c r="B11621">
        <v>2020</v>
      </c>
      <c r="C11621">
        <v>9</v>
      </c>
      <c r="D11621">
        <v>1</v>
      </c>
      <c r="E11621">
        <v>14920</v>
      </c>
      <c r="F11621">
        <v>225606.15</v>
      </c>
      <c r="G11621">
        <v>0</v>
      </c>
      <c r="H11621">
        <v>0</v>
      </c>
      <c r="I11621">
        <v>0</v>
      </c>
      <c r="J11621">
        <v>-131069.07</v>
      </c>
      <c r="K11621">
        <v>0</v>
      </c>
      <c r="L11621">
        <v>71409381.150000006</v>
      </c>
      <c r="M11621">
        <v>71540450.219999999</v>
      </c>
      <c r="N11621">
        <v>27409381.149999999</v>
      </c>
      <c r="O11621">
        <v>27540450.219999999</v>
      </c>
      <c r="P11621">
        <v>71409381.150000006</v>
      </c>
      <c r="Q11621">
        <v>71540450.219999999</v>
      </c>
      <c r="R11621" s="14">
        <f>_xlfn.XLOOKUP(Table2[[#This Row],[LoanID]],Table1[G-L ID],Table1[ManagerCode],-99)</f>
        <v>220</v>
      </c>
    </row>
    <row r="11622" spans="1:18" x14ac:dyDescent="0.25">
      <c r="A11622">
        <v>20200930</v>
      </c>
      <c r="B11622">
        <v>2020</v>
      </c>
      <c r="C11622">
        <v>9</v>
      </c>
      <c r="D11622">
        <v>1</v>
      </c>
      <c r="E11622">
        <v>14930</v>
      </c>
      <c r="F11622">
        <v>134549.04</v>
      </c>
      <c r="G11622">
        <v>0</v>
      </c>
      <c r="H11622">
        <v>0</v>
      </c>
      <c r="I11622">
        <v>0</v>
      </c>
      <c r="J11622">
        <v>0</v>
      </c>
      <c r="K11622">
        <v>0</v>
      </c>
      <c r="L11622">
        <v>55000000</v>
      </c>
      <c r="M11622">
        <v>55000000</v>
      </c>
      <c r="N11622">
        <v>19650000</v>
      </c>
      <c r="O11622">
        <v>19650000</v>
      </c>
      <c r="P11622">
        <v>55000000</v>
      </c>
      <c r="Q11622">
        <v>55000000</v>
      </c>
      <c r="R11622" s="14">
        <f>_xlfn.XLOOKUP(Table2[[#This Row],[LoanID]],Table1[G-L ID],Table1[ManagerCode],-99)</f>
        <v>220</v>
      </c>
    </row>
    <row r="11623" spans="1:18" x14ac:dyDescent="0.25">
      <c r="A11623">
        <v>20200930</v>
      </c>
      <c r="B11623">
        <v>2020</v>
      </c>
      <c r="C11623">
        <v>9</v>
      </c>
      <c r="D11623">
        <v>1</v>
      </c>
      <c r="E11623">
        <v>14940</v>
      </c>
      <c r="F11623">
        <v>215738.29</v>
      </c>
      <c r="G11623">
        <v>0</v>
      </c>
      <c r="H11623">
        <v>0</v>
      </c>
      <c r="I11623">
        <v>0</v>
      </c>
      <c r="J11623">
        <v>-292486.03000000003</v>
      </c>
      <c r="K11623">
        <v>0</v>
      </c>
      <c r="L11623">
        <v>79909705.310000002</v>
      </c>
      <c r="M11623">
        <v>80320000</v>
      </c>
      <c r="N11623">
        <v>41453763.539999999</v>
      </c>
      <c r="O11623">
        <v>41864058.229999997</v>
      </c>
      <c r="P11623">
        <v>80252681.680000007</v>
      </c>
      <c r="Q11623">
        <v>80545167.709999993</v>
      </c>
      <c r="R11623" s="14">
        <f>_xlfn.XLOOKUP(Table2[[#This Row],[LoanID]],Table1[G-L ID],Table1[ManagerCode],-99)</f>
        <v>220</v>
      </c>
    </row>
    <row r="11624" spans="1:18" x14ac:dyDescent="0.25">
      <c r="A11624">
        <v>20200930</v>
      </c>
      <c r="B11624">
        <v>2020</v>
      </c>
      <c r="C11624">
        <v>9</v>
      </c>
      <c r="D11624">
        <v>1</v>
      </c>
      <c r="E11624">
        <v>14960</v>
      </c>
      <c r="F11624">
        <v>56449.89</v>
      </c>
      <c r="G11624">
        <v>0</v>
      </c>
      <c r="H11624">
        <v>0</v>
      </c>
      <c r="I11624">
        <v>0</v>
      </c>
      <c r="J11624">
        <v>0</v>
      </c>
      <c r="K11624">
        <v>0</v>
      </c>
      <c r="L11624">
        <v>14905000</v>
      </c>
      <c r="M11624">
        <v>14905000</v>
      </c>
      <c r="N11624">
        <v>14904000</v>
      </c>
      <c r="O11624">
        <v>14904000</v>
      </c>
      <c r="P11624">
        <v>14915139.77</v>
      </c>
      <c r="Q11624">
        <v>14915139.77</v>
      </c>
      <c r="R11624" s="14">
        <f>_xlfn.XLOOKUP(Table2[[#This Row],[LoanID]],Table1[G-L ID],Table1[ManagerCode],-99)</f>
        <v>220</v>
      </c>
    </row>
    <row r="11625" spans="1:18" x14ac:dyDescent="0.25">
      <c r="A11625">
        <v>20200930</v>
      </c>
      <c r="B11625">
        <v>2020</v>
      </c>
      <c r="C11625">
        <v>9</v>
      </c>
      <c r="D11625">
        <v>1</v>
      </c>
      <c r="E11625">
        <v>14970</v>
      </c>
      <c r="F11625">
        <v>102158.17</v>
      </c>
      <c r="G11625">
        <v>0</v>
      </c>
      <c r="H11625">
        <v>0</v>
      </c>
      <c r="I11625">
        <v>0</v>
      </c>
      <c r="J11625">
        <v>0</v>
      </c>
      <c r="K11625">
        <v>0</v>
      </c>
      <c r="L11625">
        <v>29700000</v>
      </c>
      <c r="M11625">
        <v>29700000</v>
      </c>
      <c r="N11625">
        <v>14895000</v>
      </c>
      <c r="O11625">
        <v>14895000</v>
      </c>
      <c r="P11625">
        <v>29700000</v>
      </c>
      <c r="Q11625">
        <v>29700000</v>
      </c>
      <c r="R11625" s="14">
        <f>_xlfn.XLOOKUP(Table2[[#This Row],[LoanID]],Table1[G-L ID],Table1[ManagerCode],-99)</f>
        <v>220</v>
      </c>
    </row>
    <row r="11626" spans="1:18" x14ac:dyDescent="0.25">
      <c r="A11626">
        <v>20200930</v>
      </c>
      <c r="B11626">
        <v>2020</v>
      </c>
      <c r="C11626">
        <v>9</v>
      </c>
      <c r="D11626">
        <v>1</v>
      </c>
      <c r="E11626">
        <v>14980</v>
      </c>
      <c r="F11626">
        <v>240090.69</v>
      </c>
      <c r="G11626">
        <v>0</v>
      </c>
      <c r="H11626">
        <v>0</v>
      </c>
      <c r="I11626">
        <v>0</v>
      </c>
      <c r="J11626">
        <v>0</v>
      </c>
      <c r="K11626">
        <v>0</v>
      </c>
      <c r="L11626">
        <v>75000000</v>
      </c>
      <c r="M11626">
        <v>75000000</v>
      </c>
      <c r="N11626">
        <v>29500000</v>
      </c>
      <c r="O11626">
        <v>29500000</v>
      </c>
      <c r="P11626">
        <v>75000000</v>
      </c>
      <c r="Q11626">
        <v>75000000</v>
      </c>
      <c r="R11626" s="14">
        <f>_xlfn.XLOOKUP(Table2[[#This Row],[LoanID]],Table1[G-L ID],Table1[ManagerCode],-99)</f>
        <v>220</v>
      </c>
    </row>
    <row r="11627" spans="1:18" x14ac:dyDescent="0.25">
      <c r="A11627">
        <v>20200930</v>
      </c>
      <c r="B11627">
        <v>2020</v>
      </c>
      <c r="C11627">
        <v>9</v>
      </c>
      <c r="D11627">
        <v>1</v>
      </c>
      <c r="E11627">
        <v>14990</v>
      </c>
      <c r="F11627">
        <v>103883.02</v>
      </c>
      <c r="G11627">
        <v>0</v>
      </c>
      <c r="H11627">
        <v>0</v>
      </c>
      <c r="I11627">
        <v>0</v>
      </c>
      <c r="J11627">
        <v>0</v>
      </c>
      <c r="K11627">
        <v>0</v>
      </c>
      <c r="L11627">
        <v>33560000</v>
      </c>
      <c r="M11627">
        <v>33560000</v>
      </c>
      <c r="N11627">
        <v>13705000</v>
      </c>
      <c r="O11627">
        <v>13705000</v>
      </c>
      <c r="P11627">
        <v>33445847.82</v>
      </c>
      <c r="Q11627">
        <v>33445847.82</v>
      </c>
      <c r="R11627" s="14">
        <f>_xlfn.XLOOKUP(Table2[[#This Row],[LoanID]],Table1[G-L ID],Table1[ManagerCode],-99)</f>
        <v>220</v>
      </c>
    </row>
    <row r="11628" spans="1:18" x14ac:dyDescent="0.25">
      <c r="A11628">
        <v>20200930</v>
      </c>
      <c r="B11628">
        <v>2020</v>
      </c>
      <c r="C11628">
        <v>9</v>
      </c>
      <c r="D11628">
        <v>1</v>
      </c>
      <c r="E11628">
        <v>15000</v>
      </c>
      <c r="F11628">
        <v>262519.02</v>
      </c>
      <c r="G11628">
        <v>0</v>
      </c>
      <c r="H11628">
        <v>0</v>
      </c>
      <c r="I11628">
        <v>0</v>
      </c>
      <c r="J11628">
        <v>-285703.03000000003</v>
      </c>
      <c r="K11628">
        <v>0</v>
      </c>
      <c r="L11628">
        <v>113900000</v>
      </c>
      <c r="M11628">
        <v>114785703</v>
      </c>
      <c r="N11628">
        <v>36900000</v>
      </c>
      <c r="O11628">
        <v>37785703</v>
      </c>
      <c r="P11628">
        <v>115013808.5</v>
      </c>
      <c r="Q11628">
        <v>115299511.5</v>
      </c>
      <c r="R11628" s="14">
        <f>_xlfn.XLOOKUP(Table2[[#This Row],[LoanID]],Table1[G-L ID],Table1[ManagerCode],-99)</f>
        <v>220</v>
      </c>
    </row>
    <row r="11629" spans="1:18" x14ac:dyDescent="0.25">
      <c r="A11629">
        <v>20200930</v>
      </c>
      <c r="B11629">
        <v>2020</v>
      </c>
      <c r="C11629">
        <v>9</v>
      </c>
      <c r="D11629">
        <v>1</v>
      </c>
      <c r="E11629">
        <v>15010</v>
      </c>
      <c r="F11629">
        <v>115406.59</v>
      </c>
      <c r="G11629">
        <v>0</v>
      </c>
      <c r="H11629">
        <v>0</v>
      </c>
      <c r="I11629">
        <v>0</v>
      </c>
      <c r="J11629">
        <v>0</v>
      </c>
      <c r="K11629">
        <v>0</v>
      </c>
      <c r="L11629">
        <v>33620000</v>
      </c>
      <c r="M11629">
        <v>33620000</v>
      </c>
      <c r="N11629">
        <v>16596000</v>
      </c>
      <c r="O11629">
        <v>16596000</v>
      </c>
      <c r="P11629">
        <v>33607943.170000002</v>
      </c>
      <c r="Q11629">
        <v>33607943.170000002</v>
      </c>
      <c r="R11629" s="14">
        <f>_xlfn.XLOOKUP(Table2[[#This Row],[LoanID]],Table1[G-L ID],Table1[ManagerCode],-99)</f>
        <v>220</v>
      </c>
    </row>
    <row r="11630" spans="1:18" x14ac:dyDescent="0.25">
      <c r="A11630">
        <v>20200930</v>
      </c>
      <c r="B11630">
        <v>2020</v>
      </c>
      <c r="C11630">
        <v>9</v>
      </c>
      <c r="D11630">
        <v>1</v>
      </c>
      <c r="E11630">
        <v>15020</v>
      </c>
      <c r="F11630">
        <v>177744.1</v>
      </c>
      <c r="G11630">
        <v>0</v>
      </c>
      <c r="H11630">
        <v>0</v>
      </c>
      <c r="I11630">
        <v>0</v>
      </c>
      <c r="J11630">
        <v>0</v>
      </c>
      <c r="K11630">
        <v>0</v>
      </c>
      <c r="L11630">
        <v>69430000</v>
      </c>
      <c r="M11630">
        <v>69430000</v>
      </c>
      <c r="N11630">
        <v>36311358.579999998</v>
      </c>
      <c r="O11630">
        <v>36311358.579999998</v>
      </c>
      <c r="P11630">
        <v>69000000</v>
      </c>
      <c r="Q11630">
        <v>69000000</v>
      </c>
      <c r="R11630" s="14">
        <f>_xlfn.XLOOKUP(Table2[[#This Row],[LoanID]],Table1[G-L ID],Table1[ManagerCode],-99)</f>
        <v>220</v>
      </c>
    </row>
    <row r="11631" spans="1:18" x14ac:dyDescent="0.25">
      <c r="A11631">
        <v>20200930</v>
      </c>
      <c r="B11631">
        <v>2020</v>
      </c>
      <c r="C11631">
        <v>9</v>
      </c>
      <c r="D11631">
        <v>1</v>
      </c>
      <c r="E11631">
        <v>15030</v>
      </c>
      <c r="F11631">
        <v>133178.96</v>
      </c>
      <c r="G11631">
        <v>0</v>
      </c>
      <c r="H11631">
        <v>0</v>
      </c>
      <c r="I11631">
        <v>0</v>
      </c>
      <c r="J11631">
        <v>0</v>
      </c>
      <c r="K11631">
        <v>0</v>
      </c>
      <c r="L11631">
        <v>45253000</v>
      </c>
      <c r="M11631">
        <v>45253000</v>
      </c>
      <c r="N11631">
        <v>24498282.59</v>
      </c>
      <c r="O11631">
        <v>24498282.59</v>
      </c>
      <c r="P11631">
        <v>45487703</v>
      </c>
      <c r="Q11631">
        <v>45487703</v>
      </c>
      <c r="R11631" s="14">
        <f>_xlfn.XLOOKUP(Table2[[#This Row],[LoanID]],Table1[G-L ID],Table1[ManagerCode],-99)</f>
        <v>220</v>
      </c>
    </row>
    <row r="11632" spans="1:18" x14ac:dyDescent="0.25">
      <c r="A11632">
        <v>20200930</v>
      </c>
      <c r="B11632">
        <v>2020</v>
      </c>
      <c r="C11632">
        <v>9</v>
      </c>
      <c r="D11632">
        <v>1</v>
      </c>
      <c r="E11632">
        <v>15040</v>
      </c>
      <c r="F11632">
        <v>156324.64000000001</v>
      </c>
      <c r="G11632">
        <v>0</v>
      </c>
      <c r="H11632">
        <v>0</v>
      </c>
      <c r="I11632">
        <v>0</v>
      </c>
      <c r="J11632">
        <v>-85925.75</v>
      </c>
      <c r="K11632">
        <v>0</v>
      </c>
      <c r="L11632">
        <v>53563706.659999996</v>
      </c>
      <c r="M11632">
        <v>53649632.409999996</v>
      </c>
      <c r="N11632">
        <v>20478706.66</v>
      </c>
      <c r="O11632">
        <v>20564632.41</v>
      </c>
      <c r="P11632">
        <v>53673729.520000003</v>
      </c>
      <c r="Q11632">
        <v>53759655.270000003</v>
      </c>
      <c r="R11632" s="14">
        <f>_xlfn.XLOOKUP(Table2[[#This Row],[LoanID]],Table1[G-L ID],Table1[ManagerCode],-99)</f>
        <v>183</v>
      </c>
    </row>
    <row r="11633" spans="1:18" x14ac:dyDescent="0.25">
      <c r="A11633">
        <v>20200930</v>
      </c>
      <c r="B11633">
        <v>2020</v>
      </c>
      <c r="C11633">
        <v>9</v>
      </c>
      <c r="D11633">
        <v>1</v>
      </c>
      <c r="E11633">
        <v>15050</v>
      </c>
      <c r="F11633">
        <v>137375.10999999999</v>
      </c>
      <c r="G11633">
        <v>0</v>
      </c>
      <c r="H11633">
        <v>0</v>
      </c>
      <c r="I11633">
        <v>0</v>
      </c>
      <c r="J11633">
        <v>0</v>
      </c>
      <c r="K11633">
        <v>0</v>
      </c>
      <c r="L11633">
        <v>47510000</v>
      </c>
      <c r="M11633">
        <v>47510000</v>
      </c>
      <c r="N11633">
        <v>16628500</v>
      </c>
      <c r="O11633">
        <v>16628500</v>
      </c>
      <c r="P11633">
        <v>47510000</v>
      </c>
      <c r="Q11633">
        <v>47510000</v>
      </c>
      <c r="R11633" s="14">
        <f>_xlfn.XLOOKUP(Table2[[#This Row],[LoanID]],Table1[G-L ID],Table1[ManagerCode],-99)</f>
        <v>183</v>
      </c>
    </row>
    <row r="11634" spans="1:18" x14ac:dyDescent="0.25">
      <c r="A11634">
        <v>20200930</v>
      </c>
      <c r="B11634">
        <v>2020</v>
      </c>
      <c r="C11634">
        <v>9</v>
      </c>
      <c r="D11634">
        <v>1</v>
      </c>
      <c r="E11634">
        <v>15060</v>
      </c>
      <c r="F11634">
        <v>76912.67</v>
      </c>
      <c r="G11634">
        <v>0</v>
      </c>
      <c r="H11634">
        <v>0</v>
      </c>
      <c r="I11634">
        <v>0</v>
      </c>
      <c r="J11634">
        <v>0</v>
      </c>
      <c r="K11634">
        <v>0</v>
      </c>
      <c r="L11634">
        <v>27593602.640000001</v>
      </c>
      <c r="M11634">
        <v>27593602.640000001</v>
      </c>
      <c r="N11634">
        <v>9556102.6400000006</v>
      </c>
      <c r="O11634">
        <v>9556102.6400000006</v>
      </c>
      <c r="P11634">
        <v>27750000</v>
      </c>
      <c r="Q11634">
        <v>27750000</v>
      </c>
      <c r="R11634" s="14">
        <f>_xlfn.XLOOKUP(Table2[[#This Row],[LoanID]],Table1[G-L ID],Table1[ManagerCode],-99)</f>
        <v>183</v>
      </c>
    </row>
    <row r="11635" spans="1:18" x14ac:dyDescent="0.25">
      <c r="A11635">
        <v>20200930</v>
      </c>
      <c r="B11635">
        <v>2020</v>
      </c>
      <c r="C11635">
        <v>9</v>
      </c>
      <c r="D11635">
        <v>1</v>
      </c>
      <c r="E11635">
        <v>15070</v>
      </c>
      <c r="F11635">
        <v>214604.31</v>
      </c>
      <c r="G11635">
        <v>0</v>
      </c>
      <c r="H11635">
        <v>0</v>
      </c>
      <c r="I11635">
        <v>0</v>
      </c>
      <c r="J11635">
        <v>-703932.54</v>
      </c>
      <c r="K11635">
        <v>0</v>
      </c>
      <c r="L11635">
        <v>79938855.079999998</v>
      </c>
      <c r="M11635">
        <v>81021162.200000003</v>
      </c>
      <c r="N11635">
        <v>25688155.079999998</v>
      </c>
      <c r="O11635">
        <v>26770462.199999999</v>
      </c>
      <c r="P11635">
        <v>80317229.659999996</v>
      </c>
      <c r="Q11635">
        <v>81021162.200000003</v>
      </c>
      <c r="R11635" s="14">
        <f>_xlfn.XLOOKUP(Table2[[#This Row],[LoanID]],Table1[G-L ID],Table1[ManagerCode],-99)</f>
        <v>183</v>
      </c>
    </row>
    <row r="11636" spans="1:18" x14ac:dyDescent="0.25">
      <c r="A11636">
        <v>20200930</v>
      </c>
      <c r="B11636">
        <v>2020</v>
      </c>
      <c r="C11636">
        <v>9</v>
      </c>
      <c r="D11636">
        <v>1</v>
      </c>
      <c r="E11636">
        <v>15350</v>
      </c>
      <c r="F11636">
        <v>228194.44</v>
      </c>
      <c r="G11636">
        <v>-7361.11</v>
      </c>
      <c r="H11636">
        <v>0</v>
      </c>
      <c r="I11636">
        <v>0</v>
      </c>
      <c r="J11636">
        <v>0</v>
      </c>
      <c r="K11636">
        <v>0</v>
      </c>
      <c r="L11636">
        <v>40228194.439999998</v>
      </c>
      <c r="M11636">
        <v>40220833.329999998</v>
      </c>
      <c r="N11636">
        <v>40228194.439999998</v>
      </c>
      <c r="O11636">
        <v>40220833.329999998</v>
      </c>
      <c r="P11636">
        <v>40228194.439999998</v>
      </c>
      <c r="Q11636">
        <v>40220833.329999998</v>
      </c>
      <c r="R11636" s="14">
        <f>_xlfn.XLOOKUP(Table2[[#This Row],[LoanID]],Table1[G-L ID],Table1[ManagerCode],-99)</f>
        <v>219</v>
      </c>
    </row>
    <row r="11637" spans="1:18" x14ac:dyDescent="0.25">
      <c r="A11637">
        <v>20200930</v>
      </c>
      <c r="B11637">
        <v>2020</v>
      </c>
      <c r="C11637">
        <v>9</v>
      </c>
      <c r="D11637">
        <v>1</v>
      </c>
      <c r="E11637">
        <v>15360</v>
      </c>
      <c r="F11637">
        <v>65651.39</v>
      </c>
      <c r="G11637">
        <v>44554.28</v>
      </c>
      <c r="H11637">
        <v>0</v>
      </c>
      <c r="I11637">
        <v>0</v>
      </c>
      <c r="J11637">
        <v>0</v>
      </c>
      <c r="K11637">
        <v>0</v>
      </c>
      <c r="L11637">
        <v>12309636.17</v>
      </c>
      <c r="M11637">
        <v>12354190.449999999</v>
      </c>
      <c r="N11637">
        <v>12309636.17</v>
      </c>
      <c r="O11637">
        <v>12354190.449999999</v>
      </c>
      <c r="P11637">
        <v>12309636.17</v>
      </c>
      <c r="Q11637">
        <v>12354190.449999999</v>
      </c>
      <c r="R11637" s="14">
        <f>_xlfn.XLOOKUP(Table2[[#This Row],[LoanID]],Table1[G-L ID],Table1[ManagerCode],-99)</f>
        <v>219</v>
      </c>
    </row>
    <row r="11638" spans="1:18" x14ac:dyDescent="0.25">
      <c r="A11638">
        <v>20200930</v>
      </c>
      <c r="B11638">
        <v>2020</v>
      </c>
      <c r="C11638">
        <v>9</v>
      </c>
      <c r="D11638">
        <v>1</v>
      </c>
      <c r="E11638">
        <v>15370</v>
      </c>
      <c r="F11638">
        <v>288462.43</v>
      </c>
      <c r="G11638">
        <v>0</v>
      </c>
      <c r="H11638">
        <v>0</v>
      </c>
      <c r="I11638">
        <v>0</v>
      </c>
      <c r="J11638">
        <v>-793261.81</v>
      </c>
      <c r="K11638">
        <v>0</v>
      </c>
      <c r="L11638">
        <v>115622956.8</v>
      </c>
      <c r="M11638">
        <v>116550603.7</v>
      </c>
      <c r="N11638">
        <v>48726974.770000003</v>
      </c>
      <c r="O11638">
        <v>49654621.670000002</v>
      </c>
      <c r="P11638">
        <v>115401194.5</v>
      </c>
      <c r="Q11638">
        <v>116194456.3</v>
      </c>
      <c r="R11638" s="14">
        <f>_xlfn.XLOOKUP(Table2[[#This Row],[LoanID]],Table1[G-L ID],Table1[ManagerCode],-99)</f>
        <v>220</v>
      </c>
    </row>
    <row r="11639" spans="1:18" x14ac:dyDescent="0.25">
      <c r="A11639">
        <v>20200930</v>
      </c>
      <c r="B11639">
        <v>2020</v>
      </c>
      <c r="C11639">
        <v>9</v>
      </c>
      <c r="D11639">
        <v>1</v>
      </c>
      <c r="E11639">
        <v>15380</v>
      </c>
      <c r="F11639">
        <v>105622.04</v>
      </c>
      <c r="G11639">
        <v>0</v>
      </c>
      <c r="H11639">
        <v>0</v>
      </c>
      <c r="I11639">
        <v>0</v>
      </c>
      <c r="J11639">
        <v>0</v>
      </c>
      <c r="K11639">
        <v>0</v>
      </c>
      <c r="L11639">
        <v>35990000</v>
      </c>
      <c r="M11639">
        <v>35990000</v>
      </c>
      <c r="N11639">
        <v>15285500</v>
      </c>
      <c r="O11639">
        <v>15285500</v>
      </c>
      <c r="P11639">
        <v>35868907.090000004</v>
      </c>
      <c r="Q11639">
        <v>35868907.090000004</v>
      </c>
      <c r="R11639" s="14">
        <f>_xlfn.XLOOKUP(Table2[[#This Row],[LoanID]],Table1[G-L ID],Table1[ManagerCode],-99)</f>
        <v>220</v>
      </c>
    </row>
    <row r="11640" spans="1:18" x14ac:dyDescent="0.25">
      <c r="A11640">
        <v>20200930</v>
      </c>
      <c r="B11640">
        <v>2020</v>
      </c>
      <c r="C11640">
        <v>9</v>
      </c>
      <c r="D11640">
        <v>1</v>
      </c>
      <c r="E11640">
        <v>15390</v>
      </c>
      <c r="F11640">
        <v>110038.62</v>
      </c>
      <c r="G11640">
        <v>0</v>
      </c>
      <c r="H11640">
        <v>0</v>
      </c>
      <c r="I11640">
        <v>0</v>
      </c>
      <c r="J11640">
        <v>0</v>
      </c>
      <c r="K11640">
        <v>0</v>
      </c>
      <c r="L11640">
        <v>38310000</v>
      </c>
      <c r="M11640">
        <v>38310000</v>
      </c>
      <c r="N11640">
        <v>15600000</v>
      </c>
      <c r="O11640">
        <v>15600000</v>
      </c>
      <c r="P11640">
        <v>38152029.740000002</v>
      </c>
      <c r="Q11640">
        <v>38152029.740000002</v>
      </c>
      <c r="R11640" s="14">
        <f>_xlfn.XLOOKUP(Table2[[#This Row],[LoanID]],Table1[G-L ID],Table1[ManagerCode],-99)</f>
        <v>220</v>
      </c>
    </row>
    <row r="11641" spans="1:18" x14ac:dyDescent="0.25">
      <c r="A11641">
        <v>20200930</v>
      </c>
      <c r="B11641">
        <v>2020</v>
      </c>
      <c r="C11641">
        <v>9</v>
      </c>
      <c r="D11641">
        <v>1</v>
      </c>
      <c r="E11641">
        <v>15400</v>
      </c>
      <c r="F11641">
        <v>77986.61</v>
      </c>
      <c r="G11641">
        <v>0</v>
      </c>
      <c r="H11641">
        <v>0</v>
      </c>
      <c r="I11641">
        <v>0</v>
      </c>
      <c r="J11641">
        <v>-409500</v>
      </c>
      <c r="K11641">
        <v>0</v>
      </c>
      <c r="L11641">
        <v>23330000</v>
      </c>
      <c r="M11641">
        <v>24090000</v>
      </c>
      <c r="N11641">
        <v>23330000</v>
      </c>
      <c r="O11641">
        <v>24090000</v>
      </c>
      <c r="P11641">
        <v>23677148.120000001</v>
      </c>
      <c r="Q11641">
        <v>24086648.120000001</v>
      </c>
      <c r="R11641" s="14">
        <f>_xlfn.XLOOKUP(Table2[[#This Row],[LoanID]],Table1[G-L ID],Table1[ManagerCode],-99)</f>
        <v>220</v>
      </c>
    </row>
    <row r="11642" spans="1:18" x14ac:dyDescent="0.25">
      <c r="A11642">
        <v>20200930</v>
      </c>
      <c r="B11642">
        <v>2020</v>
      </c>
      <c r="C11642">
        <v>9</v>
      </c>
      <c r="D11642">
        <v>1</v>
      </c>
      <c r="E11642">
        <v>15410</v>
      </c>
      <c r="F11642">
        <v>174412.89</v>
      </c>
      <c r="G11642">
        <v>0</v>
      </c>
      <c r="H11642">
        <v>0</v>
      </c>
      <c r="I11642">
        <v>0</v>
      </c>
      <c r="J11642">
        <v>0</v>
      </c>
      <c r="K11642">
        <v>0</v>
      </c>
      <c r="L11642">
        <v>64340000</v>
      </c>
      <c r="M11642">
        <v>64340000</v>
      </c>
      <c r="N11642">
        <v>20540000</v>
      </c>
      <c r="O11642">
        <v>20540000</v>
      </c>
      <c r="P11642">
        <v>64000000</v>
      </c>
      <c r="Q11642">
        <v>64000000</v>
      </c>
      <c r="R11642" s="14">
        <f>_xlfn.XLOOKUP(Table2[[#This Row],[LoanID]],Table1[G-L ID],Table1[ManagerCode],-99)</f>
        <v>220</v>
      </c>
    </row>
    <row r="11643" spans="1:18" x14ac:dyDescent="0.25">
      <c r="A11643">
        <v>20200930</v>
      </c>
      <c r="B11643">
        <v>2020</v>
      </c>
      <c r="C11643">
        <v>9</v>
      </c>
      <c r="D11643">
        <v>1</v>
      </c>
      <c r="E11643">
        <v>15420</v>
      </c>
      <c r="F11643">
        <v>103800.19</v>
      </c>
      <c r="G11643">
        <v>0</v>
      </c>
      <c r="H11643">
        <v>0</v>
      </c>
      <c r="I11643">
        <v>0</v>
      </c>
      <c r="J11643">
        <v>0</v>
      </c>
      <c r="K11643">
        <v>0</v>
      </c>
      <c r="L11643">
        <v>44329417.359999999</v>
      </c>
      <c r="M11643">
        <v>44329417.359999999</v>
      </c>
      <c r="N11643">
        <v>15319917.359999999</v>
      </c>
      <c r="O11643">
        <v>15319917.359999999</v>
      </c>
      <c r="P11643">
        <v>44630000</v>
      </c>
      <c r="Q11643">
        <v>44630000</v>
      </c>
      <c r="R11643" s="14">
        <f>_xlfn.XLOOKUP(Table2[[#This Row],[LoanID]],Table1[G-L ID],Table1[ManagerCode],-99)</f>
        <v>183</v>
      </c>
    </row>
    <row r="11644" spans="1:18" x14ac:dyDescent="0.25">
      <c r="A11644">
        <v>20200930</v>
      </c>
      <c r="B11644">
        <v>2020</v>
      </c>
      <c r="C11644">
        <v>9</v>
      </c>
      <c r="D11644">
        <v>1</v>
      </c>
      <c r="E11644">
        <v>15430</v>
      </c>
      <c r="F11644">
        <v>124610.32</v>
      </c>
      <c r="G11644">
        <v>0</v>
      </c>
      <c r="H11644">
        <v>0</v>
      </c>
      <c r="I11644">
        <v>0</v>
      </c>
      <c r="J11644">
        <v>0</v>
      </c>
      <c r="K11644">
        <v>1591510</v>
      </c>
      <c r="L11644">
        <v>53070863.920000002</v>
      </c>
      <c r="M11644">
        <v>53070863.920000002</v>
      </c>
      <c r="N11644">
        <v>19878743.920000002</v>
      </c>
      <c r="O11644">
        <v>18287233.920000002</v>
      </c>
      <c r="P11644">
        <v>53513276.810000002</v>
      </c>
      <c r="Q11644">
        <v>53513276.810000002</v>
      </c>
      <c r="R11644" s="14">
        <f>_xlfn.XLOOKUP(Table2[[#This Row],[LoanID]],Table1[G-L ID],Table1[ManagerCode],-99)</f>
        <v>183</v>
      </c>
    </row>
    <row r="11645" spans="1:18" x14ac:dyDescent="0.25">
      <c r="A11645">
        <v>20200930</v>
      </c>
      <c r="B11645">
        <v>2020</v>
      </c>
      <c r="C11645">
        <v>9</v>
      </c>
      <c r="D11645">
        <v>1</v>
      </c>
      <c r="E11645">
        <v>15440</v>
      </c>
      <c r="F11645">
        <v>102530</v>
      </c>
      <c r="G11645">
        <v>0</v>
      </c>
      <c r="H11645">
        <v>0</v>
      </c>
      <c r="I11645">
        <v>0</v>
      </c>
      <c r="J11645">
        <v>0</v>
      </c>
      <c r="K11645">
        <v>2600000</v>
      </c>
      <c r="L11645">
        <v>25277603.359999999</v>
      </c>
      <c r="M11645">
        <v>25277603.359999999</v>
      </c>
      <c r="N11645">
        <v>11302603.359999999</v>
      </c>
      <c r="O11645">
        <v>8702603.3599999994</v>
      </c>
      <c r="P11645">
        <v>25500000</v>
      </c>
      <c r="Q11645">
        <v>25500000</v>
      </c>
      <c r="R11645" s="14">
        <f>_xlfn.XLOOKUP(Table2[[#This Row],[LoanID]],Table1[G-L ID],Table1[ManagerCode],-99)</f>
        <v>183</v>
      </c>
    </row>
    <row r="11646" spans="1:18" x14ac:dyDescent="0.25">
      <c r="A11646">
        <v>20200930</v>
      </c>
      <c r="B11646">
        <v>2020</v>
      </c>
      <c r="C11646">
        <v>9</v>
      </c>
      <c r="D11646">
        <v>1</v>
      </c>
      <c r="E11646">
        <v>15450</v>
      </c>
      <c r="F11646">
        <v>69773.820000000007</v>
      </c>
      <c r="G11646">
        <v>0</v>
      </c>
      <c r="H11646">
        <v>0</v>
      </c>
      <c r="I11646">
        <v>0</v>
      </c>
      <c r="J11646">
        <v>0</v>
      </c>
      <c r="K11646">
        <v>0</v>
      </c>
      <c r="L11646">
        <v>29968506.940000001</v>
      </c>
      <c r="M11646">
        <v>29968506.940000001</v>
      </c>
      <c r="N11646">
        <v>10468506.939999999</v>
      </c>
      <c r="O11646">
        <v>10468506.939999999</v>
      </c>
      <c r="P11646">
        <v>30000000</v>
      </c>
      <c r="Q11646">
        <v>30000000</v>
      </c>
      <c r="R11646" s="14">
        <f>_xlfn.XLOOKUP(Table2[[#This Row],[LoanID]],Table1[G-L ID],Table1[ManagerCode],-99)</f>
        <v>183</v>
      </c>
    </row>
    <row r="11647" spans="1:18" x14ac:dyDescent="0.25">
      <c r="A11647">
        <v>20200930</v>
      </c>
      <c r="B11647">
        <v>2020</v>
      </c>
      <c r="C11647">
        <v>9</v>
      </c>
      <c r="D11647">
        <v>1</v>
      </c>
      <c r="E11647">
        <v>15460</v>
      </c>
      <c r="F11647">
        <v>208475.23</v>
      </c>
      <c r="G11647">
        <v>0</v>
      </c>
      <c r="H11647">
        <v>0</v>
      </c>
      <c r="I11647">
        <v>0</v>
      </c>
      <c r="J11647">
        <v>0</v>
      </c>
      <c r="K11647">
        <v>0</v>
      </c>
      <c r="L11647">
        <v>70644758.540000007</v>
      </c>
      <c r="M11647">
        <v>70644758.540000007</v>
      </c>
      <c r="N11647">
        <v>32886258.539999999</v>
      </c>
      <c r="O11647">
        <v>32886258.539999999</v>
      </c>
      <c r="P11647">
        <v>71057973.319999993</v>
      </c>
      <c r="Q11647">
        <v>71057973.319999993</v>
      </c>
      <c r="R11647" s="14">
        <f>_xlfn.XLOOKUP(Table2[[#This Row],[LoanID]],Table1[G-L ID],Table1[ManagerCode],-99)</f>
        <v>183</v>
      </c>
    </row>
    <row r="11648" spans="1:18" x14ac:dyDescent="0.25">
      <c r="A11648">
        <v>20200930</v>
      </c>
      <c r="B11648">
        <v>2020</v>
      </c>
      <c r="C11648">
        <v>9</v>
      </c>
      <c r="D11648">
        <v>1</v>
      </c>
      <c r="E11648">
        <v>15470</v>
      </c>
      <c r="F11648">
        <v>233472.96</v>
      </c>
      <c r="G11648">
        <v>0</v>
      </c>
      <c r="H11648">
        <v>0</v>
      </c>
      <c r="I11648">
        <v>0</v>
      </c>
      <c r="J11648">
        <v>0</v>
      </c>
      <c r="K11648">
        <v>0</v>
      </c>
      <c r="L11648">
        <v>84975921</v>
      </c>
      <c r="M11648">
        <v>84975921</v>
      </c>
      <c r="N11648">
        <v>61504907</v>
      </c>
      <c r="O11648">
        <v>61504907</v>
      </c>
      <c r="P11648">
        <v>85500000</v>
      </c>
      <c r="Q11648">
        <v>85500000</v>
      </c>
      <c r="R11648" s="14">
        <f>_xlfn.XLOOKUP(Table2[[#This Row],[LoanID]],Table1[G-L ID],Table1[ManagerCode],-99)</f>
        <v>183</v>
      </c>
    </row>
    <row r="11649" spans="1:18" x14ac:dyDescent="0.25">
      <c r="A11649">
        <v>20200930</v>
      </c>
      <c r="B11649">
        <v>2020</v>
      </c>
      <c r="C11649">
        <v>9</v>
      </c>
      <c r="D11649">
        <v>1</v>
      </c>
      <c r="E11649">
        <v>15480</v>
      </c>
      <c r="F11649">
        <v>156800.09</v>
      </c>
      <c r="G11649">
        <v>0</v>
      </c>
      <c r="H11649">
        <v>0</v>
      </c>
      <c r="I11649">
        <v>0</v>
      </c>
      <c r="J11649">
        <v>0</v>
      </c>
      <c r="K11649">
        <v>0</v>
      </c>
      <c r="L11649">
        <v>67867419.040000007</v>
      </c>
      <c r="M11649">
        <v>67867419.040000007</v>
      </c>
      <c r="N11649">
        <v>20155419.039999999</v>
      </c>
      <c r="O11649">
        <v>20155419.039999999</v>
      </c>
      <c r="P11649">
        <v>68160000</v>
      </c>
      <c r="Q11649">
        <v>68160000</v>
      </c>
      <c r="R11649" s="14">
        <f>_xlfn.XLOOKUP(Table2[[#This Row],[LoanID]],Table1[G-L ID],Table1[ManagerCode],-99)</f>
        <v>183</v>
      </c>
    </row>
    <row r="11650" spans="1:18" x14ac:dyDescent="0.25">
      <c r="A11650">
        <v>20200930</v>
      </c>
      <c r="B11650">
        <v>2020</v>
      </c>
      <c r="C11650">
        <v>9</v>
      </c>
      <c r="D11650">
        <v>1</v>
      </c>
      <c r="E11650">
        <v>15490</v>
      </c>
      <c r="F11650">
        <v>147376.22</v>
      </c>
      <c r="G11650">
        <v>0</v>
      </c>
      <c r="H11650">
        <v>0</v>
      </c>
      <c r="I11650">
        <v>0</v>
      </c>
      <c r="J11650">
        <v>0</v>
      </c>
      <c r="K11650">
        <v>0</v>
      </c>
      <c r="L11650">
        <v>57520122.329999998</v>
      </c>
      <c r="M11650">
        <v>57520122.329999998</v>
      </c>
      <c r="N11650">
        <v>20632622.329999998</v>
      </c>
      <c r="O11650">
        <v>20632622.329999998</v>
      </c>
      <c r="P11650">
        <v>57551037.539999999</v>
      </c>
      <c r="Q11650">
        <v>57551037.539999999</v>
      </c>
      <c r="R11650" s="14">
        <f>_xlfn.XLOOKUP(Table2[[#This Row],[LoanID]],Table1[G-L ID],Table1[ManagerCode],-99)</f>
        <v>183</v>
      </c>
    </row>
    <row r="11651" spans="1:18" x14ac:dyDescent="0.25">
      <c r="A11651">
        <v>20200930</v>
      </c>
      <c r="B11651">
        <v>2020</v>
      </c>
      <c r="C11651">
        <v>9</v>
      </c>
      <c r="D11651">
        <v>1</v>
      </c>
      <c r="E11651">
        <v>15500</v>
      </c>
      <c r="F11651">
        <v>122876.47</v>
      </c>
      <c r="G11651">
        <v>0</v>
      </c>
      <c r="H11651">
        <v>0</v>
      </c>
      <c r="I11651">
        <v>0</v>
      </c>
      <c r="J11651">
        <v>0</v>
      </c>
      <c r="K11651">
        <v>0</v>
      </c>
      <c r="L11651">
        <v>51009095.609999999</v>
      </c>
      <c r="M11651">
        <v>51009095.609999999</v>
      </c>
      <c r="N11651">
        <v>17944984.829999998</v>
      </c>
      <c r="O11651">
        <v>17944984.829999998</v>
      </c>
      <c r="P11651">
        <v>51250000</v>
      </c>
      <c r="Q11651">
        <v>51250000</v>
      </c>
      <c r="R11651" s="14">
        <f>_xlfn.XLOOKUP(Table2[[#This Row],[LoanID]],Table1[G-L ID],Table1[ManagerCode],-99)</f>
        <v>183</v>
      </c>
    </row>
    <row r="11652" spans="1:18" x14ac:dyDescent="0.25">
      <c r="A11652">
        <v>20200930</v>
      </c>
      <c r="B11652">
        <v>2020</v>
      </c>
      <c r="C11652">
        <v>9</v>
      </c>
      <c r="D11652">
        <v>1</v>
      </c>
      <c r="E11652">
        <v>15510</v>
      </c>
      <c r="F11652">
        <v>452904.95</v>
      </c>
      <c r="G11652">
        <v>0</v>
      </c>
      <c r="H11652">
        <v>0</v>
      </c>
      <c r="I11652">
        <v>0</v>
      </c>
      <c r="J11652">
        <v>-724579.54</v>
      </c>
      <c r="K11652">
        <v>0</v>
      </c>
      <c r="L11652">
        <v>193050191.19999999</v>
      </c>
      <c r="M11652">
        <v>193774770.69999999</v>
      </c>
      <c r="N11652">
        <v>56250191.200000003</v>
      </c>
      <c r="O11652">
        <v>56974770.700000003</v>
      </c>
      <c r="P11652">
        <v>193801840.09999999</v>
      </c>
      <c r="Q11652">
        <v>194526419.59999999</v>
      </c>
      <c r="R11652" s="14">
        <f>_xlfn.XLOOKUP(Table2[[#This Row],[LoanID]],Table1[G-L ID],Table1[ManagerCode],-99)</f>
        <v>183</v>
      </c>
    </row>
    <row r="11653" spans="1:18" x14ac:dyDescent="0.25">
      <c r="A11653">
        <v>20200930</v>
      </c>
      <c r="B11653">
        <v>2020</v>
      </c>
      <c r="C11653">
        <v>9</v>
      </c>
      <c r="D11653">
        <v>1</v>
      </c>
      <c r="E11653">
        <v>15520</v>
      </c>
      <c r="F11653">
        <v>201608.14</v>
      </c>
      <c r="G11653">
        <v>0</v>
      </c>
      <c r="H11653">
        <v>0</v>
      </c>
      <c r="I11653">
        <v>0</v>
      </c>
      <c r="J11653">
        <v>-1278884.8899999999</v>
      </c>
      <c r="K11653">
        <v>767330.93</v>
      </c>
      <c r="L11653">
        <v>59636747.850000001</v>
      </c>
      <c r="M11653">
        <v>60915632.740000002</v>
      </c>
      <c r="N11653">
        <v>23684699.140000001</v>
      </c>
      <c r="O11653">
        <v>24196253.100000001</v>
      </c>
      <c r="P11653">
        <v>59636747.850000001</v>
      </c>
      <c r="Q11653">
        <v>60915632.740000002</v>
      </c>
      <c r="R11653" s="14">
        <f>_xlfn.XLOOKUP(Table2[[#This Row],[LoanID]],Table1[G-L ID],Table1[ManagerCode],-99)</f>
        <v>183</v>
      </c>
    </row>
    <row r="11654" spans="1:18" x14ac:dyDescent="0.25">
      <c r="A11654">
        <v>20200930</v>
      </c>
      <c r="B11654">
        <v>2020</v>
      </c>
      <c r="C11654">
        <v>9</v>
      </c>
      <c r="D11654">
        <v>1</v>
      </c>
      <c r="E11654">
        <v>15530</v>
      </c>
      <c r="F11654">
        <v>0</v>
      </c>
      <c r="G11654">
        <v>254297.71</v>
      </c>
      <c r="H11654">
        <v>0</v>
      </c>
      <c r="I11654">
        <v>0</v>
      </c>
      <c r="J11654">
        <v>0</v>
      </c>
      <c r="K11654">
        <v>0</v>
      </c>
      <c r="L11654">
        <v>31385990.690000001</v>
      </c>
      <c r="M11654">
        <v>31640288.399999999</v>
      </c>
      <c r="N11654">
        <v>31385990.690000001</v>
      </c>
      <c r="O11654">
        <v>31640288.399999999</v>
      </c>
      <c r="P11654">
        <v>31385990.690000001</v>
      </c>
      <c r="Q11654">
        <v>31640288.399999999</v>
      </c>
      <c r="R11654" s="14">
        <f>_xlfn.XLOOKUP(Table2[[#This Row],[LoanID]],Table1[G-L ID],Table1[ManagerCode],-99)</f>
        <v>183</v>
      </c>
    </row>
    <row r="11655" spans="1:18" x14ac:dyDescent="0.25">
      <c r="A11655">
        <v>20200930</v>
      </c>
      <c r="B11655">
        <v>2020</v>
      </c>
      <c r="C11655">
        <v>9</v>
      </c>
      <c r="D11655">
        <v>1</v>
      </c>
      <c r="E11655">
        <v>15540</v>
      </c>
      <c r="F11655">
        <v>211327.53</v>
      </c>
      <c r="G11655">
        <v>-5927.36</v>
      </c>
      <c r="H11655">
        <v>0</v>
      </c>
      <c r="I11655">
        <v>-3101.38</v>
      </c>
      <c r="J11655">
        <v>-291636.06</v>
      </c>
      <c r="K11655">
        <v>0</v>
      </c>
      <c r="L11655">
        <v>72280807.840000004</v>
      </c>
      <c r="M11655">
        <v>72566516.540000007</v>
      </c>
      <c r="N11655">
        <v>72280807.840000004</v>
      </c>
      <c r="O11655">
        <v>72566516.540000007</v>
      </c>
      <c r="P11655">
        <v>72280807.840000004</v>
      </c>
      <c r="Q11655">
        <v>72566516.540000007</v>
      </c>
      <c r="R11655" s="14">
        <f>_xlfn.XLOOKUP(Table2[[#This Row],[LoanID]],Table1[G-L ID],Table1[ManagerCode],-99)</f>
        <v>212</v>
      </c>
    </row>
    <row r="11656" spans="1:18" x14ac:dyDescent="0.25">
      <c r="A11656">
        <v>20200930</v>
      </c>
      <c r="B11656">
        <v>2020</v>
      </c>
      <c r="C11656">
        <v>9</v>
      </c>
      <c r="D11656">
        <v>1</v>
      </c>
      <c r="E11656">
        <v>15550</v>
      </c>
      <c r="F11656">
        <v>150560.97</v>
      </c>
      <c r="G11656">
        <v>-4856.8</v>
      </c>
      <c r="H11656">
        <v>0</v>
      </c>
      <c r="I11656">
        <v>-1368.74</v>
      </c>
      <c r="J11656">
        <v>0</v>
      </c>
      <c r="K11656">
        <v>0</v>
      </c>
      <c r="L11656">
        <v>31940560.969999999</v>
      </c>
      <c r="M11656">
        <v>31935704.170000002</v>
      </c>
      <c r="N11656">
        <v>31940560.969999999</v>
      </c>
      <c r="O11656">
        <v>31935704.170000002</v>
      </c>
      <c r="P11656">
        <v>31940560.969999999</v>
      </c>
      <c r="Q11656">
        <v>31935704.170000002</v>
      </c>
      <c r="R11656" s="14">
        <f>_xlfn.XLOOKUP(Table2[[#This Row],[LoanID]],Table1[G-L ID],Table1[ManagerCode],-99)</f>
        <v>212</v>
      </c>
    </row>
    <row r="11657" spans="1:18" x14ac:dyDescent="0.25">
      <c r="A11657">
        <v>20200930</v>
      </c>
      <c r="B11657">
        <v>2020</v>
      </c>
      <c r="C11657">
        <v>9</v>
      </c>
      <c r="D11657">
        <v>1</v>
      </c>
      <c r="E11657">
        <v>15560</v>
      </c>
      <c r="F11657">
        <v>188953.54</v>
      </c>
      <c r="G11657">
        <v>-6309.05</v>
      </c>
      <c r="H11657">
        <v>0</v>
      </c>
      <c r="I11657">
        <v>0</v>
      </c>
      <c r="J11657">
        <v>0</v>
      </c>
      <c r="K11657">
        <v>0</v>
      </c>
      <c r="L11657">
        <v>48203119.68</v>
      </c>
      <c r="M11657">
        <v>48196810.630000003</v>
      </c>
      <c r="N11657">
        <v>48203119.68</v>
      </c>
      <c r="O11657">
        <v>48196810.630000003</v>
      </c>
      <c r="P11657">
        <v>48203119.68</v>
      </c>
      <c r="Q11657">
        <v>48196810.630000003</v>
      </c>
      <c r="R11657" s="14">
        <f>_xlfn.XLOOKUP(Table2[[#This Row],[LoanID]],Table1[G-L ID],Table1[ManagerCode],-99)</f>
        <v>212</v>
      </c>
    </row>
    <row r="11658" spans="1:18" x14ac:dyDescent="0.25">
      <c r="A11658">
        <v>20200930</v>
      </c>
      <c r="B11658">
        <v>2020</v>
      </c>
      <c r="C11658">
        <v>9</v>
      </c>
      <c r="D11658">
        <v>1</v>
      </c>
      <c r="E11658">
        <v>15570</v>
      </c>
      <c r="F11658">
        <v>123138.35</v>
      </c>
      <c r="G11658">
        <v>-3928.14</v>
      </c>
      <c r="H11658">
        <v>0</v>
      </c>
      <c r="I11658">
        <v>0</v>
      </c>
      <c r="J11658">
        <v>0</v>
      </c>
      <c r="K11658">
        <v>0</v>
      </c>
      <c r="L11658">
        <v>26560442.350000001</v>
      </c>
      <c r="M11658">
        <v>26556514.210000001</v>
      </c>
      <c r="N11658">
        <v>26560442.350000001</v>
      </c>
      <c r="O11658">
        <v>26556514.210000001</v>
      </c>
      <c r="P11658">
        <v>26560442.350000001</v>
      </c>
      <c r="Q11658">
        <v>26556514.210000001</v>
      </c>
      <c r="R11658" s="14">
        <f>_xlfn.XLOOKUP(Table2[[#This Row],[LoanID]],Table1[G-L ID],Table1[ManagerCode],-99)</f>
        <v>212</v>
      </c>
    </row>
    <row r="11659" spans="1:18" x14ac:dyDescent="0.25">
      <c r="A11659">
        <v>20200930</v>
      </c>
      <c r="B11659">
        <v>2020</v>
      </c>
      <c r="C11659">
        <v>9</v>
      </c>
      <c r="D11659">
        <v>1</v>
      </c>
      <c r="E11659">
        <v>15580</v>
      </c>
      <c r="F11659">
        <v>113693.86</v>
      </c>
      <c r="G11659">
        <v>-3742.37</v>
      </c>
      <c r="H11659">
        <v>0</v>
      </c>
      <c r="I11659">
        <v>0</v>
      </c>
      <c r="J11659">
        <v>0</v>
      </c>
      <c r="K11659">
        <v>9707.4500000000007</v>
      </c>
      <c r="L11659">
        <v>14387378.09</v>
      </c>
      <c r="M11659">
        <v>14373928.27</v>
      </c>
      <c r="N11659">
        <v>14387378.09</v>
      </c>
      <c r="O11659">
        <v>14373928.27</v>
      </c>
      <c r="P11659">
        <v>14387378.09</v>
      </c>
      <c r="Q11659">
        <v>14373928.27</v>
      </c>
      <c r="R11659" s="14">
        <f>_xlfn.XLOOKUP(Table2[[#This Row],[LoanID]],Table1[G-L ID],Table1[ManagerCode],-99)</f>
        <v>212</v>
      </c>
    </row>
    <row r="11660" spans="1:18" x14ac:dyDescent="0.25">
      <c r="A11660">
        <v>20200930</v>
      </c>
      <c r="B11660">
        <v>2020</v>
      </c>
      <c r="C11660">
        <v>9</v>
      </c>
      <c r="D11660">
        <v>1</v>
      </c>
      <c r="E11660">
        <v>15590</v>
      </c>
      <c r="F11660">
        <v>216194.07</v>
      </c>
      <c r="G11660">
        <v>-6800.17</v>
      </c>
      <c r="H11660">
        <v>0</v>
      </c>
      <c r="I11660">
        <v>-4490.95</v>
      </c>
      <c r="J11660">
        <v>0</v>
      </c>
      <c r="K11660">
        <v>0</v>
      </c>
      <c r="L11660">
        <v>104521998.8</v>
      </c>
      <c r="M11660">
        <v>104515198.59999999</v>
      </c>
      <c r="N11660">
        <v>104521998.8</v>
      </c>
      <c r="O11660">
        <v>104515198.59999999</v>
      </c>
      <c r="P11660">
        <v>104521998.8</v>
      </c>
      <c r="Q11660">
        <v>104515198.59999999</v>
      </c>
      <c r="R11660" s="14">
        <f>_xlfn.XLOOKUP(Table2[[#This Row],[LoanID]],Table1[G-L ID],Table1[ManagerCode],-99)</f>
        <v>212</v>
      </c>
    </row>
    <row r="11661" spans="1:18" x14ac:dyDescent="0.25">
      <c r="A11661">
        <v>20200930</v>
      </c>
      <c r="B11661">
        <v>2020</v>
      </c>
      <c r="C11661">
        <v>9</v>
      </c>
      <c r="D11661">
        <v>1</v>
      </c>
      <c r="E11661">
        <v>15600</v>
      </c>
      <c r="F11661">
        <v>364096.81</v>
      </c>
      <c r="G11661">
        <v>-11439.59</v>
      </c>
      <c r="H11661">
        <v>0</v>
      </c>
      <c r="I11661">
        <v>-7891.13</v>
      </c>
      <c r="J11661">
        <v>0</v>
      </c>
      <c r="K11661">
        <v>0</v>
      </c>
      <c r="L11661">
        <v>183641991.80000001</v>
      </c>
      <c r="M11661">
        <v>183630552.19999999</v>
      </c>
      <c r="N11661">
        <v>183641991.80000001</v>
      </c>
      <c r="O11661">
        <v>183630552.19999999</v>
      </c>
      <c r="P11661">
        <v>183641991.80000001</v>
      </c>
      <c r="Q11661">
        <v>183630552.19999999</v>
      </c>
      <c r="R11661" s="14">
        <f>_xlfn.XLOOKUP(Table2[[#This Row],[LoanID]],Table1[G-L ID],Table1[ManagerCode],-99)</f>
        <v>212</v>
      </c>
    </row>
    <row r="11662" spans="1:18" x14ac:dyDescent="0.25">
      <c r="A11662">
        <v>20200930</v>
      </c>
      <c r="B11662">
        <v>2020</v>
      </c>
      <c r="C11662">
        <v>9</v>
      </c>
      <c r="D11662">
        <v>1</v>
      </c>
      <c r="E11662">
        <v>15610</v>
      </c>
      <c r="F11662">
        <v>576713.56000000006</v>
      </c>
      <c r="G11662">
        <v>-18219.71</v>
      </c>
      <c r="H11662">
        <v>0</v>
      </c>
      <c r="I11662">
        <v>-9918.6200000000008</v>
      </c>
      <c r="J11662">
        <v>0</v>
      </c>
      <c r="K11662">
        <v>0</v>
      </c>
      <c r="L11662">
        <v>230962951.09999999</v>
      </c>
      <c r="M11662">
        <v>230944731.40000001</v>
      </c>
      <c r="N11662">
        <v>230962951.09999999</v>
      </c>
      <c r="O11662">
        <v>230944731.40000001</v>
      </c>
      <c r="P11662">
        <v>230962951.09999999</v>
      </c>
      <c r="Q11662">
        <v>230944731.40000001</v>
      </c>
      <c r="R11662" s="14">
        <f>_xlfn.XLOOKUP(Table2[[#This Row],[LoanID]],Table1[G-L ID],Table1[ManagerCode],-99)</f>
        <v>212</v>
      </c>
    </row>
    <row r="11663" spans="1:18" x14ac:dyDescent="0.25">
      <c r="A11663">
        <v>20200930</v>
      </c>
      <c r="B11663">
        <v>2020</v>
      </c>
      <c r="C11663">
        <v>9</v>
      </c>
      <c r="D11663">
        <v>1</v>
      </c>
      <c r="E11663">
        <v>15620</v>
      </c>
      <c r="F11663">
        <v>204858.18</v>
      </c>
      <c r="G11663">
        <v>-6476.47</v>
      </c>
      <c r="H11663">
        <v>0</v>
      </c>
      <c r="I11663">
        <v>-3406.35</v>
      </c>
      <c r="J11663">
        <v>0</v>
      </c>
      <c r="K11663">
        <v>0</v>
      </c>
      <c r="L11663">
        <v>79320195.590000004</v>
      </c>
      <c r="M11663">
        <v>79313719.120000005</v>
      </c>
      <c r="N11663">
        <v>79320195.590000004</v>
      </c>
      <c r="O11663">
        <v>79313719.120000005</v>
      </c>
      <c r="P11663">
        <v>79320195.590000004</v>
      </c>
      <c r="Q11663">
        <v>79313719.120000005</v>
      </c>
      <c r="R11663" s="14">
        <f>_xlfn.XLOOKUP(Table2[[#This Row],[LoanID]],Table1[G-L ID],Table1[ManagerCode],-99)</f>
        <v>212</v>
      </c>
    </row>
    <row r="11664" spans="1:18" x14ac:dyDescent="0.25">
      <c r="A11664">
        <v>20200930</v>
      </c>
      <c r="B11664">
        <v>2020</v>
      </c>
      <c r="C11664">
        <v>9</v>
      </c>
      <c r="D11664">
        <v>1</v>
      </c>
      <c r="E11664">
        <v>15630</v>
      </c>
      <c r="F11664">
        <v>419992.52</v>
      </c>
      <c r="G11664">
        <v>-13247.85</v>
      </c>
      <c r="H11664">
        <v>0</v>
      </c>
      <c r="I11664">
        <v>-7757.53</v>
      </c>
      <c r="J11664">
        <v>0</v>
      </c>
      <c r="K11664">
        <v>0</v>
      </c>
      <c r="L11664">
        <v>180594817.69999999</v>
      </c>
      <c r="M11664">
        <v>180581569.90000001</v>
      </c>
      <c r="N11664">
        <v>180594817.69999999</v>
      </c>
      <c r="O11664">
        <v>180581569.90000001</v>
      </c>
      <c r="P11664">
        <v>180594817.69999999</v>
      </c>
      <c r="Q11664">
        <v>180581569.90000001</v>
      </c>
      <c r="R11664" s="14">
        <f>_xlfn.XLOOKUP(Table2[[#This Row],[LoanID]],Table1[G-L ID],Table1[ManagerCode],-99)</f>
        <v>212</v>
      </c>
    </row>
    <row r="11665" spans="1:18" x14ac:dyDescent="0.25">
      <c r="A11665">
        <v>20200930</v>
      </c>
      <c r="B11665">
        <v>2020</v>
      </c>
      <c r="C11665">
        <v>9</v>
      </c>
      <c r="D11665">
        <v>1</v>
      </c>
      <c r="E11665">
        <v>15640</v>
      </c>
      <c r="F11665">
        <v>91618.43</v>
      </c>
      <c r="G11665">
        <v>0</v>
      </c>
      <c r="H11665">
        <v>0</v>
      </c>
      <c r="I11665">
        <v>0</v>
      </c>
      <c r="J11665">
        <v>0</v>
      </c>
      <c r="K11665">
        <v>0</v>
      </c>
      <c r="L11665">
        <v>41899915.020000003</v>
      </c>
      <c r="M11665">
        <v>41899915.020000003</v>
      </c>
      <c r="N11665">
        <v>14599915.02</v>
      </c>
      <c r="O11665">
        <v>14599915.02</v>
      </c>
      <c r="P11665">
        <v>42000000</v>
      </c>
      <c r="Q11665">
        <v>42000000</v>
      </c>
      <c r="R11665" s="14">
        <f>_xlfn.XLOOKUP(Table2[[#This Row],[LoanID]],Table1[G-L ID],Table1[ManagerCode],-99)</f>
        <v>183</v>
      </c>
    </row>
    <row r="11666" spans="1:18" x14ac:dyDescent="0.25">
      <c r="A11666">
        <v>20200930</v>
      </c>
      <c r="B11666">
        <v>2020</v>
      </c>
      <c r="C11666">
        <v>9</v>
      </c>
      <c r="D11666">
        <v>1</v>
      </c>
      <c r="E11666">
        <v>15650</v>
      </c>
      <c r="F11666">
        <v>54995.19</v>
      </c>
      <c r="G11666">
        <v>0</v>
      </c>
      <c r="H11666">
        <v>0</v>
      </c>
      <c r="I11666">
        <v>0</v>
      </c>
      <c r="J11666">
        <v>-57004.99</v>
      </c>
      <c r="K11666">
        <v>0</v>
      </c>
      <c r="L11666">
        <v>14365745.710000001</v>
      </c>
      <c r="M11666">
        <v>14422750.699999999</v>
      </c>
      <c r="N11666">
        <v>14365745.710000001</v>
      </c>
      <c r="O11666">
        <v>14422750.699999999</v>
      </c>
      <c r="P11666">
        <v>14306666.98</v>
      </c>
      <c r="Q11666">
        <v>14363671.970000001</v>
      </c>
      <c r="R11666" s="14">
        <f>_xlfn.XLOOKUP(Table2[[#This Row],[LoanID]],Table1[G-L ID],Table1[ManagerCode],-99)</f>
        <v>183</v>
      </c>
    </row>
    <row r="11667" spans="1:18" x14ac:dyDescent="0.25">
      <c r="A11667">
        <v>20200930</v>
      </c>
      <c r="B11667">
        <v>2020</v>
      </c>
      <c r="C11667">
        <v>9</v>
      </c>
      <c r="D11667">
        <v>1</v>
      </c>
      <c r="E11667">
        <v>15660</v>
      </c>
      <c r="F11667">
        <v>108452.46</v>
      </c>
      <c r="G11667">
        <v>0</v>
      </c>
      <c r="H11667">
        <v>0</v>
      </c>
      <c r="I11667">
        <v>0</v>
      </c>
      <c r="J11667">
        <v>0</v>
      </c>
      <c r="K11667">
        <v>0</v>
      </c>
      <c r="L11667">
        <v>40298013.740000002</v>
      </c>
      <c r="M11667">
        <v>40298013.740000002</v>
      </c>
      <c r="N11667">
        <v>20298013.739999998</v>
      </c>
      <c r="O11667">
        <v>20298013.739999998</v>
      </c>
      <c r="P11667">
        <v>40298013.740000002</v>
      </c>
      <c r="Q11667">
        <v>40298013.740000002</v>
      </c>
      <c r="R11667" s="14">
        <f>_xlfn.XLOOKUP(Table2[[#This Row],[LoanID]],Table1[G-L ID],Table1[ManagerCode],-99)</f>
        <v>183</v>
      </c>
    </row>
    <row r="11668" spans="1:18" x14ac:dyDescent="0.25">
      <c r="A11668">
        <v>20200930</v>
      </c>
      <c r="B11668">
        <v>2020</v>
      </c>
      <c r="C11668">
        <v>9</v>
      </c>
      <c r="D11668">
        <v>1</v>
      </c>
      <c r="E11668">
        <v>15670</v>
      </c>
      <c r="F11668">
        <v>53195.14</v>
      </c>
      <c r="G11668">
        <v>0</v>
      </c>
      <c r="H11668">
        <v>0</v>
      </c>
      <c r="I11668">
        <v>0</v>
      </c>
      <c r="J11668">
        <v>0</v>
      </c>
      <c r="K11668">
        <v>0</v>
      </c>
      <c r="L11668">
        <v>17457071</v>
      </c>
      <c r="M11668">
        <v>17434731</v>
      </c>
      <c r="N11668">
        <v>17457071</v>
      </c>
      <c r="O11668">
        <v>17434731</v>
      </c>
      <c r="P11668">
        <v>17650000</v>
      </c>
      <c r="Q11668">
        <v>17650000</v>
      </c>
      <c r="R11668" s="14">
        <f>_xlfn.XLOOKUP(Table2[[#This Row],[LoanID]],Table1[G-L ID],Table1[ManagerCode],-99)</f>
        <v>103</v>
      </c>
    </row>
    <row r="11669" spans="1:18" x14ac:dyDescent="0.25">
      <c r="A11669">
        <v>20200930</v>
      </c>
      <c r="B11669">
        <v>2020</v>
      </c>
      <c r="C11669">
        <v>9</v>
      </c>
      <c r="D11669">
        <v>1</v>
      </c>
      <c r="E11669">
        <v>15680</v>
      </c>
      <c r="F11669">
        <v>423962.5</v>
      </c>
      <c r="G11669">
        <v>0</v>
      </c>
      <c r="H11669">
        <v>0</v>
      </c>
      <c r="I11669">
        <v>0</v>
      </c>
      <c r="J11669">
        <v>0</v>
      </c>
      <c r="K11669">
        <v>0</v>
      </c>
      <c r="L11669">
        <v>64350000</v>
      </c>
      <c r="M11669">
        <v>64350000</v>
      </c>
      <c r="N11669">
        <v>64350000</v>
      </c>
      <c r="O11669">
        <v>64350000</v>
      </c>
      <c r="P11669">
        <v>65000000</v>
      </c>
      <c r="Q11669">
        <v>65000000</v>
      </c>
      <c r="R11669" s="14">
        <f>_xlfn.XLOOKUP(Table2[[#This Row],[LoanID]],Table1[G-L ID],Table1[ManagerCode],-99)</f>
        <v>103</v>
      </c>
    </row>
    <row r="11670" spans="1:18" x14ac:dyDescent="0.25">
      <c r="A11670">
        <v>20200930</v>
      </c>
      <c r="B11670">
        <v>2020</v>
      </c>
      <c r="C11670">
        <v>9</v>
      </c>
      <c r="D11670">
        <v>1</v>
      </c>
      <c r="E11670">
        <v>15690</v>
      </c>
      <c r="F11670">
        <v>102676.57</v>
      </c>
      <c r="G11670">
        <v>0</v>
      </c>
      <c r="H11670">
        <v>0</v>
      </c>
      <c r="I11670">
        <v>0</v>
      </c>
      <c r="J11670">
        <v>0</v>
      </c>
      <c r="K11670">
        <v>0</v>
      </c>
      <c r="L11670">
        <v>13793129</v>
      </c>
      <c r="M11670">
        <v>13793129</v>
      </c>
      <c r="N11670">
        <v>13793129</v>
      </c>
      <c r="O11670">
        <v>13793129</v>
      </c>
      <c r="P11670">
        <v>14495516</v>
      </c>
      <c r="Q11670">
        <v>14495516</v>
      </c>
      <c r="R11670" s="14">
        <f>_xlfn.XLOOKUP(Table2[[#This Row],[LoanID]],Table1[G-L ID],Table1[ManagerCode],-99)</f>
        <v>193</v>
      </c>
    </row>
    <row r="11671" spans="1:18" x14ac:dyDescent="0.25">
      <c r="A11671">
        <v>20200930</v>
      </c>
      <c r="B11671">
        <v>2020</v>
      </c>
      <c r="C11671">
        <v>9</v>
      </c>
      <c r="D11671">
        <v>1</v>
      </c>
      <c r="E11671">
        <v>15700</v>
      </c>
      <c r="F11671">
        <v>226041.67</v>
      </c>
      <c r="G11671">
        <v>0</v>
      </c>
      <c r="H11671">
        <v>0</v>
      </c>
      <c r="I11671">
        <v>0</v>
      </c>
      <c r="J11671">
        <v>0</v>
      </c>
      <c r="K11671">
        <v>0</v>
      </c>
      <c r="L11671">
        <v>35000000</v>
      </c>
      <c r="M11671">
        <v>35000000</v>
      </c>
      <c r="N11671">
        <v>35000000</v>
      </c>
      <c r="O11671">
        <v>35000000</v>
      </c>
      <c r="P11671">
        <v>35000000</v>
      </c>
      <c r="Q11671">
        <v>35000000</v>
      </c>
      <c r="R11671" s="14">
        <f>_xlfn.XLOOKUP(Table2[[#This Row],[LoanID]],Table1[G-L ID],Table1[ManagerCode],-99)</f>
        <v>193</v>
      </c>
    </row>
    <row r="11672" spans="1:18" x14ac:dyDescent="0.25">
      <c r="A11672">
        <v>20200930</v>
      </c>
      <c r="B11672">
        <v>2020</v>
      </c>
      <c r="C11672">
        <v>9</v>
      </c>
      <c r="D11672">
        <v>1</v>
      </c>
      <c r="E11672">
        <v>15710</v>
      </c>
      <c r="F11672">
        <v>303868.92</v>
      </c>
      <c r="G11672">
        <v>0</v>
      </c>
      <c r="H11672">
        <v>0</v>
      </c>
      <c r="I11672">
        <v>0</v>
      </c>
      <c r="J11672">
        <v>0</v>
      </c>
      <c r="K11672">
        <v>0</v>
      </c>
      <c r="L11672">
        <v>73948375.480000004</v>
      </c>
      <c r="M11672">
        <v>73948375.480000004</v>
      </c>
      <c r="N11672">
        <v>73948375.480000004</v>
      </c>
      <c r="O11672">
        <v>73948375.480000004</v>
      </c>
      <c r="P11672">
        <v>73948375.480000004</v>
      </c>
      <c r="Q11672">
        <v>73948375.480000004</v>
      </c>
      <c r="R11672" s="14">
        <f>_xlfn.XLOOKUP(Table2[[#This Row],[LoanID]],Table1[G-L ID],Table1[ManagerCode],-99)</f>
        <v>193</v>
      </c>
    </row>
    <row r="11673" spans="1:18" x14ac:dyDescent="0.25">
      <c r="A11673">
        <v>20200930</v>
      </c>
      <c r="B11673">
        <v>2020</v>
      </c>
      <c r="C11673">
        <v>9</v>
      </c>
      <c r="D11673">
        <v>1</v>
      </c>
      <c r="E11673">
        <v>15720</v>
      </c>
      <c r="F11673">
        <v>149749.96</v>
      </c>
      <c r="G11673">
        <v>0</v>
      </c>
      <c r="H11673">
        <v>0</v>
      </c>
      <c r="I11673">
        <v>0</v>
      </c>
      <c r="J11673">
        <v>0</v>
      </c>
      <c r="K11673">
        <v>0</v>
      </c>
      <c r="L11673">
        <v>22462493.449999999</v>
      </c>
      <c r="M11673">
        <v>22462493.449999999</v>
      </c>
      <c r="N11673">
        <v>22462493.449999999</v>
      </c>
      <c r="O11673">
        <v>22462493.449999999</v>
      </c>
      <c r="P11673">
        <v>22462493.449999999</v>
      </c>
      <c r="Q11673">
        <v>22462493.449999999</v>
      </c>
      <c r="R11673" s="14">
        <f>_xlfn.XLOOKUP(Table2[[#This Row],[LoanID]],Table1[G-L ID],Table1[ManagerCode],-99)</f>
        <v>193</v>
      </c>
    </row>
    <row r="11674" spans="1:18" x14ac:dyDescent="0.25">
      <c r="A11674">
        <v>20200930</v>
      </c>
      <c r="B11674">
        <v>2020</v>
      </c>
      <c r="C11674">
        <v>9</v>
      </c>
      <c r="D11674">
        <v>1</v>
      </c>
      <c r="E11674">
        <v>15730</v>
      </c>
      <c r="F11674">
        <v>123163.72</v>
      </c>
      <c r="G11674">
        <v>0</v>
      </c>
      <c r="H11674">
        <v>0</v>
      </c>
      <c r="I11674">
        <v>0</v>
      </c>
      <c r="J11674">
        <v>0</v>
      </c>
      <c r="K11674">
        <v>0</v>
      </c>
      <c r="L11674">
        <v>19070511.109999999</v>
      </c>
      <c r="M11674">
        <v>19070511.109999999</v>
      </c>
      <c r="N11674">
        <v>19070511.109999999</v>
      </c>
      <c r="O11674">
        <v>19070511.109999999</v>
      </c>
      <c r="P11674">
        <v>19070511.109999999</v>
      </c>
      <c r="Q11674">
        <v>19070511.109999999</v>
      </c>
      <c r="R11674" s="14">
        <f>_xlfn.XLOOKUP(Table2[[#This Row],[LoanID]],Table1[G-L ID],Table1[ManagerCode],-99)</f>
        <v>193</v>
      </c>
    </row>
    <row r="11675" spans="1:18" x14ac:dyDescent="0.25">
      <c r="A11675">
        <v>20200930</v>
      </c>
      <c r="B11675">
        <v>2020</v>
      </c>
      <c r="C11675">
        <v>9</v>
      </c>
      <c r="D11675">
        <v>1</v>
      </c>
      <c r="E11675">
        <v>15740</v>
      </c>
      <c r="F11675">
        <v>305000</v>
      </c>
      <c r="G11675">
        <v>0</v>
      </c>
      <c r="H11675">
        <v>0</v>
      </c>
      <c r="I11675">
        <v>0</v>
      </c>
      <c r="J11675">
        <v>0</v>
      </c>
      <c r="K11675">
        <v>0</v>
      </c>
      <c r="L11675">
        <v>60000000</v>
      </c>
      <c r="M11675">
        <v>60000000</v>
      </c>
      <c r="N11675">
        <v>60000000</v>
      </c>
      <c r="O11675">
        <v>60000000</v>
      </c>
      <c r="P11675">
        <v>60000000</v>
      </c>
      <c r="Q11675">
        <v>60000000</v>
      </c>
      <c r="R11675" s="14">
        <f>_xlfn.XLOOKUP(Table2[[#This Row],[LoanID]],Table1[G-L ID],Table1[ManagerCode],-99)</f>
        <v>193</v>
      </c>
    </row>
    <row r="11676" spans="1:18" x14ac:dyDescent="0.25">
      <c r="A11676">
        <v>20200930</v>
      </c>
      <c r="B11676">
        <v>2020</v>
      </c>
      <c r="C11676">
        <v>9</v>
      </c>
      <c r="D11676">
        <v>1</v>
      </c>
      <c r="E11676">
        <v>15750</v>
      </c>
      <c r="F11676">
        <v>151505.42000000001</v>
      </c>
      <c r="G11676">
        <v>0</v>
      </c>
      <c r="H11676">
        <v>0</v>
      </c>
      <c r="I11676">
        <v>0</v>
      </c>
      <c r="J11676">
        <v>0</v>
      </c>
      <c r="K11676">
        <v>0</v>
      </c>
      <c r="L11676">
        <v>36500000</v>
      </c>
      <c r="M11676">
        <v>36500000</v>
      </c>
      <c r="N11676">
        <v>36500000</v>
      </c>
      <c r="O11676">
        <v>36500000</v>
      </c>
      <c r="P11676">
        <v>36500000</v>
      </c>
      <c r="Q11676">
        <v>36500000</v>
      </c>
      <c r="R11676" s="14">
        <f>_xlfn.XLOOKUP(Table2[[#This Row],[LoanID]],Table1[G-L ID],Table1[ManagerCode],-99)</f>
        <v>193</v>
      </c>
    </row>
    <row r="11677" spans="1:18" x14ac:dyDescent="0.25">
      <c r="A11677">
        <v>20200930</v>
      </c>
      <c r="B11677">
        <v>2020</v>
      </c>
      <c r="C11677">
        <v>9</v>
      </c>
      <c r="D11677">
        <v>1</v>
      </c>
      <c r="E11677">
        <v>15760</v>
      </c>
      <c r="F11677">
        <v>226772.92</v>
      </c>
      <c r="G11677">
        <v>0</v>
      </c>
      <c r="H11677">
        <v>0</v>
      </c>
      <c r="I11677">
        <v>0</v>
      </c>
      <c r="J11677">
        <v>0</v>
      </c>
      <c r="K11677">
        <v>0</v>
      </c>
      <c r="L11677">
        <v>42500000</v>
      </c>
      <c r="M11677">
        <v>42500000</v>
      </c>
      <c r="N11677">
        <v>42500000</v>
      </c>
      <c r="O11677">
        <v>42500000</v>
      </c>
      <c r="P11677">
        <v>42500000</v>
      </c>
      <c r="Q11677">
        <v>42500000</v>
      </c>
      <c r="R11677" s="14">
        <f>_xlfn.XLOOKUP(Table2[[#This Row],[LoanID]],Table1[G-L ID],Table1[ManagerCode],-99)</f>
        <v>193</v>
      </c>
    </row>
    <row r="11678" spans="1:18" x14ac:dyDescent="0.25">
      <c r="A11678">
        <v>20200930</v>
      </c>
      <c r="B11678">
        <v>2020</v>
      </c>
      <c r="C11678">
        <v>9</v>
      </c>
      <c r="D11678">
        <v>1</v>
      </c>
      <c r="E11678">
        <v>15770</v>
      </c>
      <c r="F11678">
        <v>691666.67</v>
      </c>
      <c r="G11678">
        <v>0</v>
      </c>
      <c r="H11678">
        <v>0</v>
      </c>
      <c r="I11678">
        <v>0</v>
      </c>
      <c r="J11678">
        <v>0</v>
      </c>
      <c r="K11678">
        <v>0</v>
      </c>
      <c r="L11678">
        <v>100000000</v>
      </c>
      <c r="M11678">
        <v>100000000</v>
      </c>
      <c r="N11678">
        <v>100000000</v>
      </c>
      <c r="O11678">
        <v>100000000</v>
      </c>
      <c r="P11678">
        <v>100000000</v>
      </c>
      <c r="Q11678">
        <v>100000000</v>
      </c>
      <c r="R11678" s="14">
        <f>_xlfn.XLOOKUP(Table2[[#This Row],[LoanID]],Table1[G-L ID],Table1[ManagerCode],-99)</f>
        <v>193</v>
      </c>
    </row>
    <row r="11679" spans="1:18" x14ac:dyDescent="0.25">
      <c r="A11679">
        <v>20200930</v>
      </c>
      <c r="B11679">
        <v>2020</v>
      </c>
      <c r="C11679">
        <v>9</v>
      </c>
      <c r="D11679">
        <v>1</v>
      </c>
      <c r="E11679">
        <v>15780</v>
      </c>
      <c r="F11679">
        <v>114062.5</v>
      </c>
      <c r="G11679">
        <v>0</v>
      </c>
      <c r="H11679">
        <v>0</v>
      </c>
      <c r="I11679">
        <v>0</v>
      </c>
      <c r="J11679">
        <v>0</v>
      </c>
      <c r="K11679">
        <v>0</v>
      </c>
      <c r="L11679">
        <v>15000000</v>
      </c>
      <c r="M11679">
        <v>15000000</v>
      </c>
      <c r="N11679">
        <v>15000000</v>
      </c>
      <c r="O11679">
        <v>15000000</v>
      </c>
      <c r="P11679">
        <v>15000000</v>
      </c>
      <c r="Q11679">
        <v>15000000</v>
      </c>
      <c r="R11679" s="14">
        <f>_xlfn.XLOOKUP(Table2[[#This Row],[LoanID]],Table1[G-L ID],Table1[ManagerCode],-99)</f>
        <v>193</v>
      </c>
    </row>
    <row r="11680" spans="1:18" x14ac:dyDescent="0.25">
      <c r="A11680">
        <v>20200930</v>
      </c>
      <c r="B11680">
        <v>2020</v>
      </c>
      <c r="C11680">
        <v>9</v>
      </c>
      <c r="D11680">
        <v>1</v>
      </c>
      <c r="E11680">
        <v>15790</v>
      </c>
      <c r="F11680">
        <v>268258.08</v>
      </c>
      <c r="G11680">
        <v>0</v>
      </c>
      <c r="H11680">
        <v>0</v>
      </c>
      <c r="I11680">
        <v>0</v>
      </c>
      <c r="J11680">
        <v>0</v>
      </c>
      <c r="K11680">
        <v>0</v>
      </c>
      <c r="L11680">
        <v>50000000</v>
      </c>
      <c r="M11680">
        <v>50000000</v>
      </c>
      <c r="N11680">
        <v>50000000</v>
      </c>
      <c r="O11680">
        <v>50000000</v>
      </c>
      <c r="P11680">
        <v>50000000</v>
      </c>
      <c r="Q11680">
        <v>50000000</v>
      </c>
      <c r="R11680" s="14">
        <f>_xlfn.XLOOKUP(Table2[[#This Row],[LoanID]],Table1[G-L ID],Table1[ManagerCode],-99)</f>
        <v>193</v>
      </c>
    </row>
    <row r="11681" spans="1:18" x14ac:dyDescent="0.25">
      <c r="A11681">
        <v>20200930</v>
      </c>
      <c r="B11681">
        <v>2020</v>
      </c>
      <c r="C11681">
        <v>9</v>
      </c>
      <c r="D11681">
        <v>1</v>
      </c>
      <c r="E11681">
        <v>15800</v>
      </c>
      <c r="F11681">
        <v>420868.06</v>
      </c>
      <c r="G11681">
        <v>-13576.39</v>
      </c>
      <c r="H11681">
        <v>0</v>
      </c>
      <c r="I11681">
        <v>-3659.72</v>
      </c>
      <c r="J11681">
        <v>0</v>
      </c>
      <c r="K11681">
        <v>0</v>
      </c>
      <c r="L11681">
        <v>85420868.060000002</v>
      </c>
      <c r="M11681">
        <v>85407291.670000002</v>
      </c>
      <c r="N11681">
        <v>85420868.060000002</v>
      </c>
      <c r="O11681">
        <v>85407291.670000002</v>
      </c>
      <c r="P11681">
        <v>85420868.060000002</v>
      </c>
      <c r="Q11681">
        <v>85407291.670000002</v>
      </c>
      <c r="R11681" s="14">
        <f>_xlfn.XLOOKUP(Table2[[#This Row],[LoanID]],Table1[G-L ID],Table1[ManagerCode],-99)</f>
        <v>212</v>
      </c>
    </row>
    <row r="11682" spans="1:18" x14ac:dyDescent="0.25">
      <c r="A11682">
        <v>20200930</v>
      </c>
      <c r="B11682">
        <v>2020</v>
      </c>
      <c r="C11682">
        <v>9</v>
      </c>
      <c r="D11682">
        <v>1</v>
      </c>
      <c r="E11682">
        <v>15810</v>
      </c>
      <c r="F11682">
        <v>158958.32999999999</v>
      </c>
      <c r="G11682">
        <v>0</v>
      </c>
      <c r="H11682">
        <v>0</v>
      </c>
      <c r="I11682">
        <v>0</v>
      </c>
      <c r="J11682">
        <v>0</v>
      </c>
      <c r="K11682">
        <v>0</v>
      </c>
      <c r="L11682">
        <v>23062500</v>
      </c>
      <c r="M11682">
        <v>23062500</v>
      </c>
      <c r="N11682">
        <v>23062500</v>
      </c>
      <c r="O11682">
        <v>23062500</v>
      </c>
      <c r="P11682">
        <v>25000000</v>
      </c>
      <c r="Q11682">
        <v>25000000</v>
      </c>
      <c r="R11682" s="14">
        <f>_xlfn.XLOOKUP(Table2[[#This Row],[LoanID]],Table1[G-L ID],Table1[ManagerCode],-99)</f>
        <v>193</v>
      </c>
    </row>
    <row r="11683" spans="1:18" x14ac:dyDescent="0.25">
      <c r="A11683">
        <v>20200930</v>
      </c>
      <c r="B11683">
        <v>2020</v>
      </c>
      <c r="C11683">
        <v>9</v>
      </c>
      <c r="D11683">
        <v>1</v>
      </c>
      <c r="E11683">
        <v>15820</v>
      </c>
      <c r="F11683">
        <v>109215.45</v>
      </c>
      <c r="G11683">
        <v>0</v>
      </c>
      <c r="H11683">
        <v>0</v>
      </c>
      <c r="I11683">
        <v>0</v>
      </c>
      <c r="J11683">
        <v>0</v>
      </c>
      <c r="K11683">
        <v>0</v>
      </c>
      <c r="L11683">
        <v>22190745</v>
      </c>
      <c r="M11683">
        <v>22190745</v>
      </c>
      <c r="N11683">
        <v>22190745</v>
      </c>
      <c r="O11683">
        <v>22190745</v>
      </c>
      <c r="P11683">
        <v>22190745</v>
      </c>
      <c r="Q11683">
        <v>22190745</v>
      </c>
      <c r="R11683" s="14">
        <f>_xlfn.XLOOKUP(Table2[[#This Row],[LoanID]],Table1[G-L ID],Table1[ManagerCode],-99)</f>
        <v>193</v>
      </c>
    </row>
    <row r="11684" spans="1:18" x14ac:dyDescent="0.25">
      <c r="A11684">
        <v>20200930</v>
      </c>
      <c r="B11684">
        <v>2020</v>
      </c>
      <c r="C11684">
        <v>9</v>
      </c>
      <c r="D11684">
        <v>1</v>
      </c>
      <c r="E11684">
        <v>15830</v>
      </c>
      <c r="F11684">
        <v>340559.52</v>
      </c>
      <c r="G11684">
        <v>0</v>
      </c>
      <c r="H11684">
        <v>0</v>
      </c>
      <c r="I11684">
        <v>0</v>
      </c>
      <c r="J11684">
        <v>-373481.48</v>
      </c>
      <c r="K11684">
        <v>0</v>
      </c>
      <c r="L11684">
        <v>83219709.129999995</v>
      </c>
      <c r="M11684">
        <v>83593190.609999999</v>
      </c>
      <c r="N11684">
        <v>83219709.129999995</v>
      </c>
      <c r="O11684">
        <v>83593190.609999999</v>
      </c>
      <c r="P11684">
        <v>83140892.159999996</v>
      </c>
      <c r="Q11684">
        <v>83514373.640000001</v>
      </c>
      <c r="R11684" s="14">
        <f>_xlfn.XLOOKUP(Table2[[#This Row],[LoanID]],Table1[G-L ID],Table1[ManagerCode],-99)</f>
        <v>183</v>
      </c>
    </row>
    <row r="11685" spans="1:18" x14ac:dyDescent="0.25">
      <c r="A11685">
        <v>20200930</v>
      </c>
      <c r="B11685">
        <v>2020</v>
      </c>
      <c r="C11685">
        <v>9</v>
      </c>
      <c r="D11685">
        <v>1</v>
      </c>
      <c r="E11685">
        <v>15840</v>
      </c>
      <c r="F11685">
        <v>735498.88</v>
      </c>
      <c r="G11685">
        <v>0</v>
      </c>
      <c r="H11685">
        <v>0</v>
      </c>
      <c r="I11685">
        <v>0</v>
      </c>
      <c r="J11685">
        <v>-1856471.62</v>
      </c>
      <c r="K11685">
        <v>0</v>
      </c>
      <c r="L11685">
        <v>129157641.40000001</v>
      </c>
      <c r="M11685">
        <v>131014113.09999999</v>
      </c>
      <c r="N11685">
        <v>129157641.40000001</v>
      </c>
      <c r="O11685">
        <v>131014113.09999999</v>
      </c>
      <c r="P11685">
        <v>129157641.40000001</v>
      </c>
      <c r="Q11685">
        <v>131014113.09999999</v>
      </c>
      <c r="R11685" s="14">
        <f>_xlfn.XLOOKUP(Table2[[#This Row],[LoanID]],Table1[G-L ID],Table1[ManagerCode],-99)</f>
        <v>183</v>
      </c>
    </row>
    <row r="11686" spans="1:18" x14ac:dyDescent="0.25">
      <c r="A11686">
        <v>20200930</v>
      </c>
      <c r="B11686">
        <v>2020</v>
      </c>
      <c r="C11686">
        <v>9</v>
      </c>
      <c r="D11686">
        <v>1</v>
      </c>
      <c r="E11686">
        <v>15850</v>
      </c>
      <c r="F11686">
        <v>9693.23</v>
      </c>
      <c r="G11686">
        <v>12248.78</v>
      </c>
      <c r="H11686">
        <v>0</v>
      </c>
      <c r="I11686">
        <v>0</v>
      </c>
      <c r="J11686">
        <v>-339132.43</v>
      </c>
      <c r="K11686">
        <v>0</v>
      </c>
      <c r="L11686">
        <v>1745916.25</v>
      </c>
      <c r="M11686">
        <v>2097297.46</v>
      </c>
      <c r="N11686">
        <v>1745916.25</v>
      </c>
      <c r="O11686">
        <v>2097297.46</v>
      </c>
      <c r="P11686">
        <v>1745916.25</v>
      </c>
      <c r="Q11686">
        <v>2097297.46</v>
      </c>
      <c r="R11686" s="14">
        <f>_xlfn.XLOOKUP(Table2[[#This Row],[LoanID]],Table1[G-L ID],Table1[ManagerCode],-99)</f>
        <v>219</v>
      </c>
    </row>
    <row r="11687" spans="1:18" x14ac:dyDescent="0.25">
      <c r="A11687">
        <v>20200930</v>
      </c>
      <c r="B11687">
        <v>2020</v>
      </c>
      <c r="C11687">
        <v>9</v>
      </c>
      <c r="D11687">
        <v>1</v>
      </c>
      <c r="E11687">
        <v>15860</v>
      </c>
      <c r="F11687">
        <v>96100</v>
      </c>
      <c r="G11687">
        <v>-3100</v>
      </c>
      <c r="H11687">
        <v>0</v>
      </c>
      <c r="I11687">
        <v>0</v>
      </c>
      <c r="J11687">
        <v>0</v>
      </c>
      <c r="K11687">
        <v>0</v>
      </c>
      <c r="L11687">
        <v>12477500</v>
      </c>
      <c r="M11687">
        <v>12474400</v>
      </c>
      <c r="N11687">
        <v>12477500</v>
      </c>
      <c r="O11687">
        <v>12474400</v>
      </c>
      <c r="P11687">
        <v>12477500</v>
      </c>
      <c r="Q11687">
        <v>12474400</v>
      </c>
      <c r="R11687" s="14">
        <f>_xlfn.XLOOKUP(Table2[[#This Row],[LoanID]],Table1[G-L ID],Table1[ManagerCode],-99)</f>
        <v>219</v>
      </c>
    </row>
    <row r="11688" spans="1:18" x14ac:dyDescent="0.25">
      <c r="A11688">
        <v>20200930</v>
      </c>
      <c r="B11688">
        <v>2020</v>
      </c>
      <c r="C11688">
        <v>9</v>
      </c>
      <c r="D11688">
        <v>1</v>
      </c>
      <c r="E11688">
        <v>15870</v>
      </c>
      <c r="F11688">
        <v>0</v>
      </c>
      <c r="G11688">
        <v>0</v>
      </c>
      <c r="H11688">
        <v>0</v>
      </c>
      <c r="I11688">
        <v>0</v>
      </c>
      <c r="J11688">
        <v>-1364151</v>
      </c>
      <c r="K11688">
        <v>0</v>
      </c>
      <c r="L11688">
        <v>3582000</v>
      </c>
      <c r="M11688">
        <v>4946151</v>
      </c>
      <c r="N11688">
        <v>3582000</v>
      </c>
      <c r="O11688">
        <v>4946151</v>
      </c>
      <c r="P11688">
        <v>3582000</v>
      </c>
      <c r="Q11688">
        <v>4946151</v>
      </c>
      <c r="R11688" s="14">
        <f>_xlfn.XLOOKUP(Table2[[#This Row],[LoanID]],Table1[G-L ID],Table1[ManagerCode],-99)</f>
        <v>220</v>
      </c>
    </row>
    <row r="11689" spans="1:18" x14ac:dyDescent="0.25">
      <c r="A11689">
        <v>20200930</v>
      </c>
      <c r="B11689">
        <v>2020</v>
      </c>
      <c r="C11689">
        <v>9</v>
      </c>
      <c r="D11689">
        <v>1</v>
      </c>
      <c r="E11689">
        <v>15880</v>
      </c>
      <c r="F11689">
        <v>0</v>
      </c>
      <c r="G11689">
        <v>0</v>
      </c>
      <c r="H11689">
        <v>331973</v>
      </c>
      <c r="I11689">
        <v>0</v>
      </c>
      <c r="J11689">
        <v>-58641896</v>
      </c>
      <c r="K11689">
        <v>0</v>
      </c>
      <c r="L11689">
        <v>0</v>
      </c>
      <c r="M11689">
        <v>58641896</v>
      </c>
      <c r="N11689">
        <v>0</v>
      </c>
      <c r="O11689">
        <v>58641896</v>
      </c>
      <c r="P11689">
        <v>0</v>
      </c>
      <c r="Q11689">
        <v>58641896</v>
      </c>
      <c r="R11689" s="14">
        <f>_xlfn.XLOOKUP(Table2[[#This Row],[LoanID]],Table1[G-L ID],Table1[ManagerCode],-99)</f>
        <v>183</v>
      </c>
    </row>
    <row r="11690" spans="1:18" x14ac:dyDescent="0.25">
      <c r="F11690"/>
      <c r="G11690"/>
      <c r="H11690"/>
      <c r="I11690"/>
      <c r="J11690"/>
      <c r="K11690"/>
      <c r="L11690"/>
      <c r="M11690"/>
      <c r="N11690"/>
      <c r="O11690"/>
      <c r="P11690"/>
      <c r="R11690" s="14">
        <f>_xlfn.XLOOKUP(Table2[[#This Row],[LoanID]],Table1[G-L ID],Table1[ManagerCode],-99)</f>
        <v>-99</v>
      </c>
    </row>
  </sheetData>
  <sortState xmlns:xlrd2="http://schemas.microsoft.com/office/spreadsheetml/2017/richdata2" ref="B4:Q10432">
    <sortCondition ref="B3:B10432"/>
    <sortCondition ref="C3:C10432"/>
    <sortCondition ref="E3:E10432"/>
  </sortState>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B8484-983B-409E-BB5A-0FB9E5137CAB}">
  <sheetPr codeName="Sheet10"/>
  <dimension ref="A2:BP115"/>
  <sheetViews>
    <sheetView topLeftCell="A2" workbookViewId="0">
      <pane ySplit="3300" topLeftCell="A10" activePane="bottomLeft"/>
      <selection activeCell="AR6" sqref="AR6"/>
      <selection pane="bottomLeft" activeCell="A11" sqref="A11"/>
    </sheetView>
  </sheetViews>
  <sheetFormatPr defaultRowHeight="15" x14ac:dyDescent="0.25"/>
  <cols>
    <col min="5" max="5" width="2.85546875" customWidth="1"/>
    <col min="6" max="6" width="15" customWidth="1"/>
    <col min="7" max="7" width="11.5703125" customWidth="1"/>
    <col min="8" max="8" width="10.42578125" customWidth="1"/>
    <col min="9" max="9" width="9.85546875" customWidth="1"/>
    <col min="10" max="10" width="14.5703125" customWidth="1"/>
    <col min="11" max="11" width="16.42578125" customWidth="1"/>
    <col min="12" max="12" width="4.5703125" customWidth="1"/>
    <col min="13" max="13" width="15.28515625" customWidth="1"/>
    <col min="14" max="14" width="15.140625" customWidth="1"/>
    <col min="15" max="15" width="16.7109375" customWidth="1"/>
    <col min="16" max="18" width="15.7109375" customWidth="1"/>
    <col min="19" max="19" width="3.42578125" customWidth="1"/>
    <col min="20" max="20" width="16.42578125" customWidth="1"/>
    <col min="21" max="23" width="17.5703125" customWidth="1"/>
    <col min="24" max="24" width="16.7109375" customWidth="1"/>
    <col min="25" max="26" width="16.42578125" customWidth="1"/>
    <col min="27" max="27" width="11.5703125" customWidth="1"/>
    <col min="28" max="28" width="4.5703125" customWidth="1"/>
    <col min="33" max="33" width="10.7109375" customWidth="1"/>
    <col min="36" max="36" width="12" bestFit="1" customWidth="1"/>
    <col min="37" max="37" width="10" bestFit="1" customWidth="1"/>
    <col min="39" max="39" width="12.7109375" bestFit="1" customWidth="1"/>
    <col min="56" max="57" width="16.140625" customWidth="1"/>
  </cols>
  <sheetData>
    <row r="2" spans="1:68" x14ac:dyDescent="0.25">
      <c r="F2" t="s">
        <v>44</v>
      </c>
      <c r="G2" t="str">
        <f ca="1">SlicerCapture!B8</f>
        <v>All</v>
      </c>
    </row>
    <row r="3" spans="1:68" x14ac:dyDescent="0.25">
      <c r="F3" t="s">
        <v>265</v>
      </c>
      <c r="G3" t="str">
        <f ca="1">SlicerCapture!B7</f>
        <v>All</v>
      </c>
      <c r="AE3" s="51" t="s">
        <v>133</v>
      </c>
      <c r="AF3" s="22" t="s">
        <v>133</v>
      </c>
      <c r="AS3" t="s">
        <v>269</v>
      </c>
    </row>
    <row r="4" spans="1:68" x14ac:dyDescent="0.25">
      <c r="F4" t="s">
        <v>178</v>
      </c>
      <c r="G4" t="str">
        <f ca="1">SlicerCapture!B6</f>
        <v>All</v>
      </c>
      <c r="AE4" s="51">
        <v>20</v>
      </c>
      <c r="AF4" s="22">
        <v>3</v>
      </c>
    </row>
    <row r="5" spans="1:68" x14ac:dyDescent="0.25">
      <c r="F5" t="s">
        <v>266</v>
      </c>
      <c r="G5" t="str">
        <f ca="1">SlicerCapture!B9</f>
        <v>All</v>
      </c>
    </row>
    <row r="6" spans="1:68" x14ac:dyDescent="0.25">
      <c r="F6" t="s">
        <v>267</v>
      </c>
      <c r="G6" t="str">
        <f ca="1">SlicerCapture!B10</f>
        <v>All</v>
      </c>
    </row>
    <row r="7" spans="1:68" x14ac:dyDescent="0.25">
      <c r="F7" s="56" t="s">
        <v>134</v>
      </c>
      <c r="G7" s="56"/>
      <c r="H7" s="56"/>
      <c r="I7" s="56"/>
      <c r="J7" s="56"/>
      <c r="K7" s="56"/>
      <c r="L7" s="23"/>
      <c r="M7" s="23"/>
      <c r="N7" s="23"/>
      <c r="O7" s="23"/>
      <c r="P7" s="23"/>
      <c r="T7" t="s">
        <v>135</v>
      </c>
      <c r="U7" t="s">
        <v>136</v>
      </c>
      <c r="AC7" t="s">
        <v>137</v>
      </c>
      <c r="AD7" t="s">
        <v>252</v>
      </c>
      <c r="AE7" t="s">
        <v>137</v>
      </c>
      <c r="AF7" t="s">
        <v>252</v>
      </c>
      <c r="AG7" t="s">
        <v>270</v>
      </c>
      <c r="AI7" s="56" t="s">
        <v>138</v>
      </c>
      <c r="AJ7" s="56"/>
      <c r="AK7" s="56"/>
      <c r="AL7" s="56"/>
      <c r="AM7" s="56"/>
      <c r="AN7" s="56"/>
      <c r="AO7" s="56"/>
      <c r="AP7" s="56"/>
      <c r="AQ7" s="23" t="s">
        <v>241</v>
      </c>
      <c r="AS7" s="56" t="s">
        <v>138</v>
      </c>
      <c r="AT7" s="56"/>
      <c r="AU7" s="56"/>
      <c r="AV7" s="56"/>
      <c r="AW7" s="56"/>
      <c r="AX7" s="56"/>
      <c r="AY7" s="56"/>
      <c r="AZ7" s="56"/>
      <c r="BA7" s="56"/>
      <c r="BB7" s="23" t="s">
        <v>241</v>
      </c>
      <c r="BF7" s="56" t="s">
        <v>139</v>
      </c>
      <c r="BG7" s="56"/>
      <c r="BH7" s="56"/>
      <c r="BI7" s="56"/>
      <c r="BJ7" s="56"/>
      <c r="BK7" s="56"/>
      <c r="BL7" s="56"/>
      <c r="BM7" s="56"/>
      <c r="BN7" s="56"/>
      <c r="BP7" s="23" t="s">
        <v>241</v>
      </c>
    </row>
    <row r="8" spans="1:68" x14ac:dyDescent="0.25">
      <c r="F8" t="s">
        <v>1</v>
      </c>
      <c r="G8" t="s">
        <v>9</v>
      </c>
      <c r="H8" t="s">
        <v>6</v>
      </c>
      <c r="J8" t="s">
        <v>140</v>
      </c>
      <c r="K8" t="s">
        <v>140</v>
      </c>
      <c r="M8" s="24" t="s">
        <v>141</v>
      </c>
      <c r="N8" s="24" t="s">
        <v>142</v>
      </c>
      <c r="O8" s="24" t="s">
        <v>141</v>
      </c>
      <c r="P8" s="24" t="s">
        <v>142</v>
      </c>
      <c r="Q8" s="25" t="s">
        <v>141</v>
      </c>
      <c r="R8" s="25" t="s">
        <v>142</v>
      </c>
      <c r="S8" s="25"/>
      <c r="V8" t="s">
        <v>248</v>
      </c>
      <c r="W8" t="s">
        <v>228</v>
      </c>
      <c r="X8" t="s">
        <v>2</v>
      </c>
      <c r="Y8" t="s">
        <v>2</v>
      </c>
      <c r="Z8" t="s">
        <v>147</v>
      </c>
      <c r="AC8" t="s">
        <v>144</v>
      </c>
      <c r="AD8" t="s">
        <v>144</v>
      </c>
      <c r="AE8" t="s">
        <v>144</v>
      </c>
      <c r="AF8" t="s">
        <v>144</v>
      </c>
      <c r="AG8" t="s">
        <v>272</v>
      </c>
      <c r="AI8" t="s">
        <v>1</v>
      </c>
      <c r="AJ8" t="s">
        <v>9</v>
      </c>
      <c r="AK8" t="s">
        <v>6</v>
      </c>
      <c r="AL8" t="s">
        <v>7</v>
      </c>
      <c r="AN8" t="s">
        <v>143</v>
      </c>
      <c r="AQ8" t="s">
        <v>3</v>
      </c>
      <c r="AS8" t="s">
        <v>1</v>
      </c>
      <c r="AT8" t="s">
        <v>9</v>
      </c>
      <c r="AU8" t="s">
        <v>3</v>
      </c>
      <c r="AV8" t="s">
        <v>6</v>
      </c>
      <c r="AW8" t="s">
        <v>7</v>
      </c>
      <c r="AY8" t="s">
        <v>143</v>
      </c>
      <c r="BB8" s="21" t="s">
        <v>3</v>
      </c>
      <c r="BD8" t="s">
        <v>145</v>
      </c>
      <c r="BF8" t="s">
        <v>1</v>
      </c>
      <c r="BG8" t="s">
        <v>9</v>
      </c>
      <c r="BH8" t="s">
        <v>3</v>
      </c>
      <c r="BI8" t="s">
        <v>6</v>
      </c>
      <c r="BJ8" t="s">
        <v>7</v>
      </c>
      <c r="BL8" t="s">
        <v>143</v>
      </c>
      <c r="BO8" t="s">
        <v>146</v>
      </c>
      <c r="BP8" s="21" t="s">
        <v>3</v>
      </c>
    </row>
    <row r="9" spans="1:68" x14ac:dyDescent="0.25">
      <c r="F9" t="s">
        <v>3</v>
      </c>
      <c r="G9" t="s">
        <v>3</v>
      </c>
      <c r="H9" t="s">
        <v>7</v>
      </c>
      <c r="I9" t="s">
        <v>8</v>
      </c>
      <c r="J9" t="s">
        <v>247</v>
      </c>
      <c r="K9" t="s">
        <v>5</v>
      </c>
      <c r="M9" t="s">
        <v>157</v>
      </c>
      <c r="N9" t="s">
        <v>157</v>
      </c>
      <c r="O9" t="s">
        <v>4</v>
      </c>
      <c r="P9" t="s">
        <v>4</v>
      </c>
      <c r="Q9" t="s">
        <v>158</v>
      </c>
      <c r="R9" t="s">
        <v>158</v>
      </c>
      <c r="V9" t="s">
        <v>1</v>
      </c>
      <c r="W9" t="s">
        <v>229</v>
      </c>
      <c r="X9" t="s">
        <v>246</v>
      </c>
      <c r="Y9" t="s">
        <v>245</v>
      </c>
      <c r="Z9" t="s">
        <v>2</v>
      </c>
      <c r="AE9" t="s">
        <v>271</v>
      </c>
      <c r="AF9" t="s">
        <v>271</v>
      </c>
      <c r="AG9" t="s">
        <v>273</v>
      </c>
      <c r="AI9" t="s">
        <v>3</v>
      </c>
      <c r="AJ9" t="s">
        <v>3</v>
      </c>
      <c r="AK9" t="s">
        <v>7</v>
      </c>
      <c r="AL9" t="s">
        <v>147</v>
      </c>
      <c r="AM9" t="s">
        <v>148</v>
      </c>
      <c r="AN9" t="s">
        <v>7</v>
      </c>
      <c r="AO9" t="s">
        <v>149</v>
      </c>
      <c r="AP9" t="s">
        <v>147</v>
      </c>
      <c r="AQ9" t="s">
        <v>242</v>
      </c>
      <c r="AS9" t="s">
        <v>3</v>
      </c>
      <c r="AT9" t="s">
        <v>3</v>
      </c>
      <c r="AU9" t="s">
        <v>7</v>
      </c>
      <c r="AV9" t="s">
        <v>7</v>
      </c>
      <c r="AW9" t="s">
        <v>147</v>
      </c>
      <c r="AX9" t="s">
        <v>148</v>
      </c>
      <c r="AY9" t="s">
        <v>7</v>
      </c>
      <c r="AZ9" t="s">
        <v>149</v>
      </c>
      <c r="BA9" t="s">
        <v>147</v>
      </c>
      <c r="BB9" s="21" t="s">
        <v>242</v>
      </c>
      <c r="BD9" t="s">
        <v>150</v>
      </c>
      <c r="BE9" t="s">
        <v>151</v>
      </c>
      <c r="BF9" t="s">
        <v>3</v>
      </c>
      <c r="BG9" t="s">
        <v>3</v>
      </c>
      <c r="BH9" t="s">
        <v>7</v>
      </c>
      <c r="BI9" t="s">
        <v>7</v>
      </c>
      <c r="BJ9" t="s">
        <v>147</v>
      </c>
      <c r="BK9" t="s">
        <v>148</v>
      </c>
      <c r="BL9" t="s">
        <v>7</v>
      </c>
      <c r="BM9" t="s">
        <v>149</v>
      </c>
      <c r="BN9" t="s">
        <v>147</v>
      </c>
      <c r="BO9" t="s">
        <v>152</v>
      </c>
      <c r="BP9" s="21" t="s">
        <v>242</v>
      </c>
    </row>
    <row r="10" spans="1:68" x14ac:dyDescent="0.25">
      <c r="C10" t="s">
        <v>13</v>
      </c>
      <c r="D10" t="s">
        <v>14</v>
      </c>
    </row>
    <row r="11" spans="1:68" x14ac:dyDescent="0.25">
      <c r="A11" t="str">
        <f>TEXT(C11*10000+D11*100+DAY(B11),"0")</f>
        <v>20120131</v>
      </c>
      <c r="B11">
        <f>EOMONTH(DATE(C11,D11,1),0)</f>
        <v>40939</v>
      </c>
      <c r="C11">
        <v>2012</v>
      </c>
      <c r="D11">
        <v>1</v>
      </c>
      <c r="F11" s="20">
        <f>IFERROR(GETPIVOTDATA("[Measures].[Sum of CashInterest]",'Results PT'!$B$8,"[Table2].[ReturnDate]","[Table2].[ReturnDate].&amp;["&amp;$A11&amp;"]"),NA())</f>
        <v>5119157.6500000004</v>
      </c>
      <c r="G11" s="20">
        <f>IFERROR(GETPIVOTDATA("[Measures].[Sum of AccrInterest]",'Results PT'!$B$8,"[Table2].[ReturnDate]","[Table2].[ReturnDate].&amp;["&amp;$A11&amp;"]"),NA())</f>
        <v>66275.33</v>
      </c>
      <c r="H11" s="20">
        <f>IFERROR(GETPIVOTDATA("[Measures].[Sum of OtherIncome]",'Results PT'!$B$8,"[Table2].[ReturnDate]","[Table2].[ReturnDate].&amp;["&amp;$A11&amp;"]"),NA())</f>
        <v>105000</v>
      </c>
      <c r="I11" s="20">
        <f>IFERROR(GETPIVOTDATA("[Measures].[Sum of Expenses]",'Results PT'!$B$8,"[Table2].[ReturnDate]","[Table2].[ReturnDate].&amp;["&amp;$A11&amp;"]"),NA())</f>
        <v>-5181.5399999999991</v>
      </c>
      <c r="J11" s="20">
        <f>IFERROR(GETPIVOTDATA("[Measures].[Sum of PrincipalFunded]",'Results PT'!$B$8,"[Table2].[ReturnDate]","[Table2].[ReturnDate].&amp;["&amp;$A11&amp;"]"),NA())</f>
        <v>-6953193.8699999992</v>
      </c>
      <c r="K11" s="20">
        <f>IFERROR(GETPIVOTDATA("[Measures].[Sum of PrincipalRepaid]",'Results PT'!$B$8,"[Table2].[ReturnDate]","[Table2].[ReturnDate].&amp;["&amp;$A11&amp;"]"),NA())</f>
        <v>860732.72</v>
      </c>
      <c r="L11" s="20"/>
      <c r="M11" s="20">
        <f>IFERROR(GETPIVOTDATA("[Measures].[Sum of StartValue]",'Results PT'!$B$8,"[Table2].[ReturnDate]","[Table2].[ReturnDate].&amp;["&amp;$A11&amp;"]"),NA())</f>
        <v>1541327174.8499999</v>
      </c>
      <c r="N11" s="20">
        <f>IFERROR(GETPIVOTDATA("[Measures].[Sum of EndValue]",'Results PT'!$B$8,"[Table2].[ReturnDate]","[Table2].[ReturnDate].&amp;["&amp;$A11&amp;"]"),NA())</f>
        <v>1550926291.2</v>
      </c>
      <c r="O11" s="20">
        <f>IFERROR(GETPIVOTDATA("[Measures].[Sum of StartPrincipal]",'Results PT'!$B$8,"[Table2].[ReturnDate]","[Table2].[ReturnDate].&amp;["&amp;$A11&amp;"]"),NA())</f>
        <v>1620125593.6500001</v>
      </c>
      <c r="P11" s="20">
        <f>IFERROR(GETPIVOTDATA("[Measures].[Sum of EndPrincipal]",'Results PT'!$B$8,"[Table2].[ReturnDate]","[Table2].[ReturnDate].&amp;["&amp;$A11&amp;"]"),NA())</f>
        <v>1626296317.4299996</v>
      </c>
      <c r="Q11" s="20">
        <f>IFERROR(GETPIVOTDATA("[Measures].[Sum of StartNAV]",'Results PT'!$B$8,"[Table2].[ReturnDate]","[Table2].[ReturnDate].&amp;["&amp;$A11&amp;"]"),NA())</f>
        <v>1541327174.8499999</v>
      </c>
      <c r="R11" s="20">
        <f>IFERROR(GETPIVOTDATA("[Measures].[Sum of EndNAV]",'Results PT'!$B$8,"[Table2].[ReturnDate]","[Table2].[ReturnDate].&amp;["&amp;$A11&amp;"]"),NA())</f>
        <v>1550926291.2</v>
      </c>
      <c r="S11" s="20"/>
      <c r="V11">
        <f>1*(Q11&gt;0)+2*(R11&gt;0)+1</f>
        <v>4</v>
      </c>
      <c r="W11" s="20">
        <f t="shared" ref="W11:W42" si="0">SUM(F11,H11:K11)</f>
        <v>-873485.03999999887</v>
      </c>
      <c r="X11" s="20">
        <f>CHOOSE(V11,0,W11-Q11,W11+R11,W11+R11-Q11)</f>
        <v>8725631.3100001812</v>
      </c>
      <c r="Y11" s="20">
        <f t="shared" ref="Y11:Y42" si="1">CHOOSE(V11,1,Q11,-J11,Q11-0.5*W11)</f>
        <v>1541763917.3699999</v>
      </c>
      <c r="Z11" s="3">
        <f>X11/Y11</f>
        <v>5.659511947123979E-3</v>
      </c>
      <c r="AA11" s="3"/>
      <c r="AB11" s="20"/>
      <c r="AC11" s="20">
        <f>IFERROR(GETPIVOTDATA("[Measures].[Distinct Count of LoanID]",'Count PT'!$B$3,"[Table2].[ReturnDate]","[Table2].[ReturnDate].&amp;["&amp;$A11&amp;"]"),NA())</f>
        <v>39</v>
      </c>
      <c r="AD11" s="20">
        <f>GETPIVOTDATA("[Measures].[Distinct Count of ManagerCode 2]",'Count PT'!$B$3,"[Table2].[ReturnDate]","[Table2].[ReturnDate].&amp;["&amp;$A11&amp;"]")</f>
        <v>3</v>
      </c>
      <c r="AE11" s="20" t="b">
        <f>AC11&gt;=$AE$4</f>
        <v>1</v>
      </c>
      <c r="AF11" s="20" t="b">
        <f>AD11&gt;=$AF$4</f>
        <v>1</v>
      </c>
      <c r="AG11" s="20" t="b">
        <f>IF(AD11=1,FALSE,IF(AF11,TRUE,IF(AE11,TRUE,FALSE)))</f>
        <v>1</v>
      </c>
      <c r="AI11" s="7">
        <f t="shared" ref="AI11:AI42" si="2">F11/Y11</f>
        <v>3.3203252406713837E-3</v>
      </c>
      <c r="AJ11" s="7">
        <f t="shared" ref="AJ11:AJ42" si="3">G11/Y11</f>
        <v>4.2986691576655268E-5</v>
      </c>
      <c r="AK11" s="7">
        <f t="shared" ref="AK11:AK42" si="4">H11/Y11</f>
        <v>6.8103812014950406E-5</v>
      </c>
      <c r="AL11" s="7">
        <f>SUM(AI11:AK11)</f>
        <v>3.4314157442629895E-3</v>
      </c>
      <c r="AM11" s="7">
        <f t="shared" ref="AM11:AM42" si="5">I11/Y11</f>
        <v>-3.3607869153137721E-6</v>
      </c>
      <c r="AN11" s="7">
        <f>AL11+AM11</f>
        <v>3.4280549573476758E-3</v>
      </c>
      <c r="AO11" s="7">
        <f>AP11-AN11</f>
        <v>2.2314569897763032E-3</v>
      </c>
      <c r="AP11" s="7">
        <f t="shared" ref="AP11:AP42" si="6">Z11</f>
        <v>5.659511947123979E-3</v>
      </c>
      <c r="AQ11" s="7">
        <f t="shared" ref="AQ11:AQ42" si="7">(F11+G11)/Y11</f>
        <v>3.3633119322480391E-3</v>
      </c>
      <c r="AS11" s="7">
        <f>IFERROR(IF(NOT($AG11),"***",AI11),NA())</f>
        <v>3.3203252406713837E-3</v>
      </c>
      <c r="AT11" s="7">
        <f>IFERROR(IF(NOT($AG11),"***",AJ11),NA())</f>
        <v>4.2986691576655268E-5</v>
      </c>
      <c r="AU11" s="7">
        <f>IF(AND(ISNUMBER(AS11),ISNUMBER(AT11)),AS11+AT11,AS11)</f>
        <v>3.3633119322480391E-3</v>
      </c>
      <c r="AV11" s="7">
        <f t="shared" ref="AV11:BB11" si="8">IFERROR(IF(NOT($AG11),"***",AK11),NA())</f>
        <v>6.8103812014950406E-5</v>
      </c>
      <c r="AW11" s="7">
        <f t="shared" si="8"/>
        <v>3.4314157442629895E-3</v>
      </c>
      <c r="AX11" s="7">
        <f t="shared" si="8"/>
        <v>-3.3607869153137721E-6</v>
      </c>
      <c r="AY11" s="7">
        <f t="shared" si="8"/>
        <v>3.4280549573476758E-3</v>
      </c>
      <c r="AZ11" s="7">
        <f t="shared" si="8"/>
        <v>2.2314569897763032E-3</v>
      </c>
      <c r="BA11" s="7">
        <f t="shared" si="8"/>
        <v>5.659511947123979E-3</v>
      </c>
      <c r="BB11" s="7">
        <f t="shared" si="8"/>
        <v>3.3633119322480391E-3</v>
      </c>
      <c r="BD11">
        <f>IF(ISNUMBER(BA11),1,0)</f>
        <v>1</v>
      </c>
    </row>
    <row r="12" spans="1:68" x14ac:dyDescent="0.25">
      <c r="A12" t="str">
        <f>TEXT(C12*10000+D12*100+DAY(B12),"0")</f>
        <v>20120229</v>
      </c>
      <c r="B12">
        <f>EOMONTH(DATE(C12,D12,1),0)</f>
        <v>40968</v>
      </c>
      <c r="C12">
        <f>C11</f>
        <v>2012</v>
      </c>
      <c r="D12">
        <v>2</v>
      </c>
      <c r="F12" s="20">
        <f>IFERROR(GETPIVOTDATA("[Measures].[Sum of CashInterest]",'Results PT'!$B$8,"[Table2].[ReturnDate]","[Table2].[ReturnDate].&amp;["&amp;$A12&amp;"]"),NA())</f>
        <v>5761359.5899999999</v>
      </c>
      <c r="G12" s="20">
        <f>IFERROR(GETPIVOTDATA("[Measures].[Sum of AccrInterest]",'Results PT'!$B$8,"[Table2].[ReturnDate]","[Table2].[ReturnDate].&amp;["&amp;$A12&amp;"]"),NA())</f>
        <v>90719.37</v>
      </c>
      <c r="H12" s="20">
        <f>IFERROR(GETPIVOTDATA("[Measures].[Sum of OtherIncome]",'Results PT'!$B$8,"[Table2].[ReturnDate]","[Table2].[ReturnDate].&amp;["&amp;$A12&amp;"]"),NA())</f>
        <v>0</v>
      </c>
      <c r="I12" s="20">
        <f>IFERROR(GETPIVOTDATA("[Measures].[Sum of Expenses]",'Results PT'!$B$8,"[Table2].[ReturnDate]","[Table2].[ReturnDate].&amp;["&amp;$A12&amp;"]"),NA())</f>
        <v>-5176.96</v>
      </c>
      <c r="J12" s="20">
        <f>IFERROR(GETPIVOTDATA("[Measures].[Sum of PrincipalFunded]",'Results PT'!$B$8,"[Table2].[ReturnDate]","[Table2].[ReturnDate].&amp;["&amp;$A12&amp;"]"),NA())</f>
        <v>-76837873.850000024</v>
      </c>
      <c r="K12" s="20">
        <f>IFERROR(GETPIVOTDATA("[Measures].[Sum of PrincipalRepaid]",'Results PT'!$B$8,"[Table2].[ReturnDate]","[Table2].[ReturnDate].&amp;["&amp;$A12&amp;"]"),NA())</f>
        <v>689151.23999999987</v>
      </c>
      <c r="L12" s="20"/>
      <c r="M12" s="20">
        <f>IFERROR(GETPIVOTDATA("[Measures].[Sum of StartValue]",'Results PT'!$B$8,"[Table2].[ReturnDate]","[Table2].[ReturnDate].&amp;["&amp;$A12&amp;"]"),NA())</f>
        <v>1550926291.2</v>
      </c>
      <c r="N12" s="20">
        <f>IFERROR(GETPIVOTDATA("[Measures].[Sum of EndValue]",'Results PT'!$B$8,"[Table2].[ReturnDate]","[Table2].[ReturnDate].&amp;["&amp;$A12&amp;"]"),NA())</f>
        <v>1630859984.2899995</v>
      </c>
      <c r="O12" s="20">
        <f>IFERROR(GETPIVOTDATA("[Measures].[Sum of StartPrincipal]",'Results PT'!$B$8,"[Table2].[ReturnDate]","[Table2].[ReturnDate].&amp;["&amp;$A12&amp;"]"),NA())</f>
        <v>1626296317.4299996</v>
      </c>
      <c r="P12" s="20">
        <f>IFERROR(GETPIVOTDATA("[Measures].[Sum of EndPrincipal]",'Results PT'!$B$8,"[Table2].[ReturnDate]","[Table2].[ReturnDate].&amp;["&amp;$A12&amp;"]"),NA())</f>
        <v>1702535963.52</v>
      </c>
      <c r="Q12" s="20">
        <f>IFERROR(GETPIVOTDATA("[Measures].[Sum of StartNAV]",'Results PT'!$B$8,"[Table2].[ReturnDate]","[Table2].[ReturnDate].&amp;["&amp;$A12&amp;"]"),NA())</f>
        <v>1550926291.2</v>
      </c>
      <c r="R12" s="20">
        <f>IFERROR(GETPIVOTDATA("[Measures].[Sum of EndNAV]",'Results PT'!$B$8,"[Table2].[ReturnDate]","[Table2].[ReturnDate].&amp;["&amp;$A12&amp;"]"),NA())</f>
        <v>1630859984.2899995</v>
      </c>
      <c r="S12" s="20"/>
      <c r="T12" s="1">
        <f t="shared" ref="T12:T43" si="9">M12-N11</f>
        <v>0</v>
      </c>
      <c r="U12" s="1">
        <f t="shared" ref="U12:U43" si="10">O12-P11</f>
        <v>0</v>
      </c>
      <c r="V12">
        <f t="shared" ref="V12:V75" si="11">1*(Q12&gt;0)+2*(R12&gt;0)+1</f>
        <v>4</v>
      </c>
      <c r="W12" s="20">
        <f t="shared" si="0"/>
        <v>-70392539.980000034</v>
      </c>
      <c r="X12" s="20">
        <f t="shared" ref="X12:X75" si="12">CHOOSE(V12,0,W12-Q12,W12+R12,W12+R12-Q12)</f>
        <v>9541153.1099994183</v>
      </c>
      <c r="Y12" s="20">
        <f t="shared" si="1"/>
        <v>1586122561.1900001</v>
      </c>
      <c r="Z12" s="3">
        <f t="shared" ref="Z12:Z75" si="13">X12/Y12</f>
        <v>6.0153946129113114E-3</v>
      </c>
      <c r="AA12" s="20"/>
      <c r="AB12" s="20"/>
      <c r="AC12" s="20">
        <f>IFERROR(GETPIVOTDATA("[Measures].[Distinct Count of LoanID]",'Count PT'!$B$3,"[Table2].[ReturnDate]","[Table2].[ReturnDate].&amp;["&amp;$A12&amp;"]"),NA())</f>
        <v>41</v>
      </c>
      <c r="AD12" s="20">
        <f>GETPIVOTDATA("[Measures].[Distinct Count of ManagerCode 2]",'Count PT'!$B$3,"[Table2].[ReturnDate]","[Table2].[ReturnDate].&amp;["&amp;$A12&amp;"]")</f>
        <v>3</v>
      </c>
      <c r="AE12" s="20" t="b">
        <f t="shared" ref="AE12:AE75" si="14">AC12&gt;=$AE$4</f>
        <v>1</v>
      </c>
      <c r="AF12" s="20" t="b">
        <f t="shared" ref="AF12:AF75" si="15">AD12&gt;=$AF$4</f>
        <v>1</v>
      </c>
      <c r="AG12" s="20" t="b">
        <f t="shared" ref="AG12:AG75" si="16">IF(AD12=1,FALSE,IF(AF12,TRUE,IF(AE12,TRUE,FALSE)))</f>
        <v>1</v>
      </c>
      <c r="AI12" s="7">
        <f t="shared" si="2"/>
        <v>3.632354605483638E-3</v>
      </c>
      <c r="AJ12" s="7">
        <f t="shared" si="3"/>
        <v>5.719568728152831E-5</v>
      </c>
      <c r="AK12" s="7">
        <f t="shared" si="4"/>
        <v>0</v>
      </c>
      <c r="AL12" s="7">
        <f t="shared" ref="AL12:AL75" si="17">SUM(AI12:AK12)</f>
        <v>3.6895502927651665E-3</v>
      </c>
      <c r="AM12" s="7">
        <f t="shared" si="5"/>
        <v>-3.263909187519499E-6</v>
      </c>
      <c r="AN12" s="7">
        <f t="shared" ref="AN12:AN75" si="18">AL12+AM12</f>
        <v>3.6862863835776471E-3</v>
      </c>
      <c r="AO12" s="7">
        <f t="shared" ref="AO12:AO75" si="19">AP12-AN12</f>
        <v>2.3291082293336643E-3</v>
      </c>
      <c r="AP12" s="7">
        <f t="shared" si="6"/>
        <v>6.0153946129113114E-3</v>
      </c>
      <c r="AQ12" s="7">
        <f t="shared" si="7"/>
        <v>3.6895502927651661E-3</v>
      </c>
      <c r="AS12" s="7">
        <f t="shared" ref="AS12:AS75" si="20">IFERROR(IF(NOT($AG12),"***",AI12),NA())</f>
        <v>3.632354605483638E-3</v>
      </c>
      <c r="AT12" s="7">
        <f t="shared" ref="AT12:AT75" si="21">IFERROR(IF(NOT($AG12),"***",AJ12),NA())</f>
        <v>5.719568728152831E-5</v>
      </c>
      <c r="AU12" s="7">
        <f t="shared" ref="AU12:AU75" si="22">IF(AND(ISNUMBER(AS12),ISNUMBER(AT12)),AS12+AT12,AS12)</f>
        <v>3.6895502927651665E-3</v>
      </c>
      <c r="AV12" s="7">
        <f t="shared" ref="AV12:AV75" si="23">IFERROR(IF(NOT($AG12),"***",AK12),NA())</f>
        <v>0</v>
      </c>
      <c r="AW12" s="7">
        <f t="shared" ref="AW12:AW75" si="24">IFERROR(IF(NOT($AG12),"***",AL12),NA())</f>
        <v>3.6895502927651665E-3</v>
      </c>
      <c r="AX12" s="7">
        <f t="shared" ref="AX12:AX75" si="25">IFERROR(IF(NOT($AG12),"***",AM12),NA())</f>
        <v>-3.263909187519499E-6</v>
      </c>
      <c r="AY12" s="7">
        <f t="shared" ref="AY12:AY75" si="26">IFERROR(IF(NOT($AG12),"***",AN12),NA())</f>
        <v>3.6862863835776471E-3</v>
      </c>
      <c r="AZ12" s="7">
        <f t="shared" ref="AZ12:AZ75" si="27">IFERROR(IF(NOT($AG12),"***",AO12),NA())</f>
        <v>2.3291082293336643E-3</v>
      </c>
      <c r="BA12" s="7">
        <f t="shared" ref="BA12:BA75" si="28">IFERROR(IF(NOT($AG12),"***",AP12),NA())</f>
        <v>6.0153946129113114E-3</v>
      </c>
      <c r="BB12" s="7">
        <f t="shared" ref="BB12:BB75" si="29">IFERROR(IF(NOT($AG12),"***",AQ12),NA())</f>
        <v>3.6895502927651661E-3</v>
      </c>
      <c r="BD12">
        <f t="shared" ref="BD12:BD75" si="30">IF(ISNUMBER(BA12),1,0)</f>
        <v>1</v>
      </c>
    </row>
    <row r="13" spans="1:68" x14ac:dyDescent="0.25">
      <c r="A13" t="str">
        <f t="shared" ref="A13:A76" si="31">TEXT(C13*10000+D13*100+DAY(B13),"0")</f>
        <v>20120331</v>
      </c>
      <c r="B13">
        <f t="shared" ref="B13:B76" si="32">EOMONTH(DATE(C13,D13,1),0)</f>
        <v>40999</v>
      </c>
      <c r="C13">
        <f t="shared" ref="C13:C22" si="33">C12</f>
        <v>2012</v>
      </c>
      <c r="D13">
        <v>3</v>
      </c>
      <c r="F13" s="20">
        <f>IFERROR(GETPIVOTDATA("[Measures].[Sum of CashInterest]",'Results PT'!$B$8,"[Table2].[ReturnDate]","[Table2].[ReturnDate].&amp;["&amp;$A13&amp;"]"),NA())</f>
        <v>5563536.870000001</v>
      </c>
      <c r="G13" s="20">
        <f>IFERROR(GETPIVOTDATA("[Measures].[Sum of AccrInterest]",'Results PT'!$B$8,"[Table2].[ReturnDate]","[Table2].[ReturnDate].&amp;["&amp;$A13&amp;"]"),NA())</f>
        <v>118674.84999999998</v>
      </c>
      <c r="H13" s="20">
        <f>IFERROR(GETPIVOTDATA("[Measures].[Sum of OtherIncome]",'Results PT'!$B$8,"[Table2].[ReturnDate]","[Table2].[ReturnDate].&amp;["&amp;$A13&amp;"]"),NA())</f>
        <v>504361.5</v>
      </c>
      <c r="I13" s="20">
        <f>IFERROR(GETPIVOTDATA("[Measures].[Sum of Expenses]",'Results PT'!$B$8,"[Table2].[ReturnDate]","[Table2].[ReturnDate].&amp;["&amp;$A13&amp;"]"),NA())</f>
        <v>-4866.1499999999996</v>
      </c>
      <c r="J13" s="20">
        <f>IFERROR(GETPIVOTDATA("[Measures].[Sum of PrincipalFunded]",'Results PT'!$B$8,"[Table2].[ReturnDate]","[Table2].[ReturnDate].&amp;["&amp;$A13&amp;"]"),NA())</f>
        <v>-10704196.789999999</v>
      </c>
      <c r="K13" s="20">
        <f>IFERROR(GETPIVOTDATA("[Measures].[Sum of PrincipalRepaid]",'Results PT'!$B$8,"[Table2].[ReturnDate]","[Table2].[ReturnDate].&amp;["&amp;$A13&amp;"]"),NA())</f>
        <v>3505180.11</v>
      </c>
      <c r="L13" s="20"/>
      <c r="M13" s="20">
        <f>IFERROR(GETPIVOTDATA("[Measures].[Sum of StartValue]",'Results PT'!$B$8,"[Table2].[ReturnDate]","[Table2].[ReturnDate].&amp;["&amp;$A13&amp;"]"),NA())</f>
        <v>1630859984.2899995</v>
      </c>
      <c r="N13" s="20">
        <f>IFERROR(GETPIVOTDATA("[Measures].[Sum of EndValue]",'Results PT'!$B$8,"[Table2].[ReturnDate]","[Table2].[ReturnDate].&amp;["&amp;$A13&amp;"]"),NA())</f>
        <v>1637939996.3699996</v>
      </c>
      <c r="O13" s="20">
        <f>IFERROR(GETPIVOTDATA("[Measures].[Sum of StartPrincipal]",'Results PT'!$B$8,"[Table2].[ReturnDate]","[Table2].[ReturnDate].&amp;["&amp;$A13&amp;"]"),NA())</f>
        <v>1702535963.52</v>
      </c>
      <c r="P13" s="20">
        <f>IFERROR(GETPIVOTDATA("[Measures].[Sum of EndPrincipal]",'Results PT'!$B$8,"[Table2].[ReturnDate]","[Table2].[ReturnDate].&amp;["&amp;$A13&amp;"]"),NA())</f>
        <v>1709853859.1500001</v>
      </c>
      <c r="Q13" s="20">
        <f>IFERROR(GETPIVOTDATA("[Measures].[Sum of StartNAV]",'Results PT'!$B$8,"[Table2].[ReturnDate]","[Table2].[ReturnDate].&amp;["&amp;$A13&amp;"]"),NA())</f>
        <v>1630859984.2899995</v>
      </c>
      <c r="R13" s="20">
        <f>IFERROR(GETPIVOTDATA("[Measures].[Sum of EndNAV]",'Results PT'!$B$8,"[Table2].[ReturnDate]","[Table2].[ReturnDate].&amp;["&amp;$A13&amp;"]"),NA())</f>
        <v>1637939996.3699996</v>
      </c>
      <c r="S13" s="20"/>
      <c r="T13" s="1">
        <f t="shared" si="9"/>
        <v>0</v>
      </c>
      <c r="U13" s="1">
        <f t="shared" si="10"/>
        <v>0</v>
      </c>
      <c r="V13">
        <f t="shared" si="11"/>
        <v>4</v>
      </c>
      <c r="W13" s="20">
        <f t="shared" si="0"/>
        <v>-1135984.4599999986</v>
      </c>
      <c r="X13" s="20">
        <f t="shared" si="12"/>
        <v>5944027.620000124</v>
      </c>
      <c r="Y13" s="20">
        <f t="shared" si="1"/>
        <v>1631427976.5199995</v>
      </c>
      <c r="Z13" s="3">
        <f t="shared" si="13"/>
        <v>3.6434508329808925E-3</v>
      </c>
      <c r="AA13" s="20"/>
      <c r="AB13" s="20"/>
      <c r="AC13" s="20">
        <f>IFERROR(GETPIVOTDATA("[Measures].[Distinct Count of LoanID]",'Count PT'!$B$3,"[Table2].[ReturnDate]","[Table2].[ReturnDate].&amp;["&amp;$A13&amp;"]"),NA())</f>
        <v>41</v>
      </c>
      <c r="AD13" s="20">
        <f>GETPIVOTDATA("[Measures].[Distinct Count of ManagerCode 2]",'Count PT'!$B$3,"[Table2].[ReturnDate]","[Table2].[ReturnDate].&amp;["&amp;$A13&amp;"]")</f>
        <v>3</v>
      </c>
      <c r="AE13" s="20" t="b">
        <f t="shared" si="14"/>
        <v>1</v>
      </c>
      <c r="AF13" s="20" t="b">
        <f t="shared" si="15"/>
        <v>1</v>
      </c>
      <c r="AG13" s="20" t="b">
        <f t="shared" si="16"/>
        <v>1</v>
      </c>
      <c r="AI13" s="7">
        <f t="shared" si="2"/>
        <v>3.4102252444313153E-3</v>
      </c>
      <c r="AJ13" s="7">
        <f t="shared" si="3"/>
        <v>7.2742929328173839E-5</v>
      </c>
      <c r="AK13" s="7">
        <f t="shared" si="4"/>
        <v>3.0915339644711374E-4</v>
      </c>
      <c r="AL13" s="7">
        <f t="shared" si="17"/>
        <v>3.7921215702066027E-3</v>
      </c>
      <c r="AM13" s="7">
        <f t="shared" si="5"/>
        <v>-2.9827550281318508E-6</v>
      </c>
      <c r="AN13" s="7">
        <f t="shared" si="18"/>
        <v>3.7891388151784708E-3</v>
      </c>
      <c r="AO13" s="7">
        <f t="shared" si="19"/>
        <v>-1.4568798219757829E-4</v>
      </c>
      <c r="AP13" s="7">
        <f t="shared" si="6"/>
        <v>3.6434508329808925E-3</v>
      </c>
      <c r="AQ13" s="7">
        <f t="shared" si="7"/>
        <v>3.4829681737594885E-3</v>
      </c>
      <c r="AS13" s="7">
        <f t="shared" si="20"/>
        <v>3.4102252444313153E-3</v>
      </c>
      <c r="AT13" s="7">
        <f t="shared" si="21"/>
        <v>7.2742929328173839E-5</v>
      </c>
      <c r="AU13" s="7">
        <f t="shared" si="22"/>
        <v>3.4829681737594889E-3</v>
      </c>
      <c r="AV13" s="7">
        <f t="shared" si="23"/>
        <v>3.0915339644711374E-4</v>
      </c>
      <c r="AW13" s="7">
        <f t="shared" si="24"/>
        <v>3.7921215702066027E-3</v>
      </c>
      <c r="AX13" s="7">
        <f t="shared" si="25"/>
        <v>-2.9827550281318508E-6</v>
      </c>
      <c r="AY13" s="7">
        <f t="shared" si="26"/>
        <v>3.7891388151784708E-3</v>
      </c>
      <c r="AZ13" s="7">
        <f t="shared" si="27"/>
        <v>-1.4568798219757829E-4</v>
      </c>
      <c r="BA13" s="7">
        <f t="shared" si="28"/>
        <v>3.6434508329808925E-3</v>
      </c>
      <c r="BB13" s="7">
        <f t="shared" si="29"/>
        <v>3.4829681737594885E-3</v>
      </c>
      <c r="BD13">
        <f t="shared" si="30"/>
        <v>1</v>
      </c>
      <c r="BE13">
        <f>IF(SUM(BD11:BD13)=3,1,0)</f>
        <v>1</v>
      </c>
      <c r="BF13" s="7" cm="1">
        <f t="array" ref="BF13">IF(ISNA($BA13),NA(),IF($BE13=0,"***",PRODUCT(1+AS11:AS13)-1))</f>
        <v>1.0398717022951809E-2</v>
      </c>
      <c r="BG13" s="7" cm="1">
        <f t="array" ref="BG13">IF(ISNA($BA13),NA(),IF($BE13=0,"***",PRODUCT(1+AT11:AT13)-1))</f>
        <v>1.7293505457827152E-4</v>
      </c>
      <c r="BH13" s="7" cm="1">
        <f t="array" ref="BH13">IF(ISNA($BA13),NA(),IF($BE13=0,"***",PRODUCT(1+AU11:AU13)-1))</f>
        <v>1.0572847622490888E-2</v>
      </c>
      <c r="BI13" s="7" cm="1">
        <f t="array" ref="BI13">IF(ISNA($BA13),NA(),IF($BE13=0,"***",PRODUCT(1+AV11:AV13)-1))</f>
        <v>3.7727826298694644E-4</v>
      </c>
      <c r="BJ13" s="7" cm="1">
        <f t="array" ref="BJ13">IF(ISNA($BA13),NA(),IF($BE13=0,"***",PRODUCT(1+AW11:AW13)-1))</f>
        <v>1.0952799566811944E-2</v>
      </c>
      <c r="BK13" s="7" cm="1">
        <f t="array" ref="BK13">IF(ISNA($BA13),NA(),IF($BE13=0,"***",PRODUCT(1+AX11:AX13)-1))</f>
        <v>-9.6074204016804998E-6</v>
      </c>
      <c r="BL13" s="7" cm="1">
        <f t="array" ref="BL13">IF(ISNA($BA13),NA(),IF($BE13=0,"***",PRODUCT(1+AY11:AY13)-1))</f>
        <v>1.0943122057894827E-2</v>
      </c>
      <c r="BM13" s="7" cm="1">
        <f t="array" ref="BM13">IF(ISNA($BA13),NA(),IF($BE13=0,"***",PRODUCT(1+AZ11:AZ13)-1))</f>
        <v>4.4194093650213873E-3</v>
      </c>
      <c r="BN13" s="7" cm="1">
        <f t="array" ref="BN13">IF(ISNA($BA13),NA(),IF($BE13=0,"***",PRODUCT(1+BA11:BA13)-1))</f>
        <v>1.5395062577086005E-2</v>
      </c>
      <c r="BO13" s="7">
        <f>BN13-BM13-BL13</f>
        <v>3.2531154169790355E-5</v>
      </c>
      <c r="BP13" s="7">
        <f>SUM(BB11:BB13)</f>
        <v>1.0535830398772693E-2</v>
      </c>
    </row>
    <row r="14" spans="1:68" x14ac:dyDescent="0.25">
      <c r="A14" t="str">
        <f t="shared" si="31"/>
        <v>20120430</v>
      </c>
      <c r="B14">
        <f t="shared" si="32"/>
        <v>41029</v>
      </c>
      <c r="C14">
        <f t="shared" si="33"/>
        <v>2012</v>
      </c>
      <c r="D14">
        <v>4</v>
      </c>
      <c r="F14" s="20">
        <f>IFERROR(GETPIVOTDATA("[Measures].[Sum of CashInterest]",'Results PT'!$B$8,"[Table2].[ReturnDate]","[Table2].[ReturnDate].&amp;["&amp;$A14&amp;"]"),NA())</f>
        <v>7082048.5099999998</v>
      </c>
      <c r="G14" s="20">
        <f>IFERROR(GETPIVOTDATA("[Measures].[Sum of AccrInterest]",'Results PT'!$B$8,"[Table2].[ReturnDate]","[Table2].[ReturnDate].&amp;["&amp;$A14&amp;"]"),NA())</f>
        <v>149980.22</v>
      </c>
      <c r="H14" s="20">
        <f>IFERROR(GETPIVOTDATA("[Measures].[Sum of OtherIncome]",'Results PT'!$B$8,"[Table2].[ReturnDate]","[Table2].[ReturnDate].&amp;["&amp;$A14&amp;"]"),NA())</f>
        <v>0</v>
      </c>
      <c r="I14" s="20">
        <f>IFERROR(GETPIVOTDATA("[Measures].[Sum of Expenses]",'Results PT'!$B$8,"[Table2].[ReturnDate]","[Table2].[ReturnDate].&amp;["&amp;$A14&amp;"]"),NA())</f>
        <v>-5161.72</v>
      </c>
      <c r="J14" s="20">
        <f>IFERROR(GETPIVOTDATA("[Measures].[Sum of PrincipalFunded]",'Results PT'!$B$8,"[Table2].[ReturnDate]","[Table2].[ReturnDate].&amp;["&amp;$A14&amp;"]"),NA())</f>
        <v>-22068426.850000001</v>
      </c>
      <c r="K14" s="20">
        <f>IFERROR(GETPIVOTDATA("[Measures].[Sum of PrincipalRepaid]",'Results PT'!$B$8,"[Table2].[ReturnDate]","[Table2].[ReturnDate].&amp;["&amp;$A14&amp;"]"),NA())</f>
        <v>3243609.4800000004</v>
      </c>
      <c r="L14" s="20"/>
      <c r="M14" s="20">
        <f>IFERROR(GETPIVOTDATA("[Measures].[Sum of StartValue]",'Results PT'!$B$8,"[Table2].[ReturnDate]","[Table2].[ReturnDate].&amp;["&amp;$A14&amp;"]"),NA())</f>
        <v>1637939996.3699996</v>
      </c>
      <c r="N14" s="20">
        <f>IFERROR(GETPIVOTDATA("[Measures].[Sum of EndValue]",'Results PT'!$B$8,"[Table2].[ReturnDate]","[Table2].[ReturnDate].&amp;["&amp;$A14&amp;"]"),NA())</f>
        <v>1653440448.4999995</v>
      </c>
      <c r="O14" s="20">
        <f>IFERROR(GETPIVOTDATA("[Measures].[Sum of StartPrincipal]",'Results PT'!$B$8,"[Table2].[ReturnDate]","[Table2].[ReturnDate].&amp;["&amp;$A14&amp;"]"),NA())</f>
        <v>1709853859.1500001</v>
      </c>
      <c r="P14" s="20">
        <f>IFERROR(GETPIVOTDATA("[Measures].[Sum of EndPrincipal]",'Results PT'!$B$8,"[Table2].[ReturnDate]","[Table2].[ReturnDate].&amp;["&amp;$A14&amp;"]"),NA())</f>
        <v>1728828860.6699996</v>
      </c>
      <c r="Q14" s="20">
        <f>IFERROR(GETPIVOTDATA("[Measures].[Sum of StartNAV]",'Results PT'!$B$8,"[Table2].[ReturnDate]","[Table2].[ReturnDate].&amp;["&amp;$A14&amp;"]"),NA())</f>
        <v>1637939996.3699996</v>
      </c>
      <c r="R14" s="20">
        <f>IFERROR(GETPIVOTDATA("[Measures].[Sum of EndNAV]",'Results PT'!$B$8,"[Table2].[ReturnDate]","[Table2].[ReturnDate].&amp;["&amp;$A14&amp;"]"),NA())</f>
        <v>1653440448.4999995</v>
      </c>
      <c r="S14" s="20"/>
      <c r="T14" s="1">
        <f t="shared" si="9"/>
        <v>0</v>
      </c>
      <c r="U14" s="1">
        <f t="shared" si="10"/>
        <v>0</v>
      </c>
      <c r="V14">
        <f t="shared" si="11"/>
        <v>4</v>
      </c>
      <c r="W14" s="20">
        <f t="shared" si="0"/>
        <v>-11747930.580000002</v>
      </c>
      <c r="X14" s="20">
        <f t="shared" si="12"/>
        <v>3752521.5499999523</v>
      </c>
      <c r="Y14" s="20">
        <f t="shared" si="1"/>
        <v>1643813961.6599996</v>
      </c>
      <c r="Z14" s="3">
        <f t="shared" si="13"/>
        <v>2.2828140151641501E-3</v>
      </c>
      <c r="AA14" s="20"/>
      <c r="AB14" s="20"/>
      <c r="AC14" s="20">
        <f>IFERROR(GETPIVOTDATA("[Measures].[Distinct Count of LoanID]",'Count PT'!$B$3,"[Table2].[ReturnDate]","[Table2].[ReturnDate].&amp;["&amp;$A14&amp;"]"),NA())</f>
        <v>42</v>
      </c>
      <c r="AD14" s="20">
        <f>GETPIVOTDATA("[Measures].[Distinct Count of ManagerCode 2]",'Count PT'!$B$3,"[Table2].[ReturnDate]","[Table2].[ReturnDate].&amp;["&amp;$A14&amp;"]")</f>
        <v>3</v>
      </c>
      <c r="AE14" s="20" t="b">
        <f t="shared" si="14"/>
        <v>1</v>
      </c>
      <c r="AF14" s="20" t="b">
        <f t="shared" si="15"/>
        <v>1</v>
      </c>
      <c r="AG14" s="20" t="b">
        <f t="shared" si="16"/>
        <v>1</v>
      </c>
      <c r="AI14" s="7">
        <f t="shared" si="2"/>
        <v>4.3083029315849211E-3</v>
      </c>
      <c r="AJ14" s="7">
        <f t="shared" si="3"/>
        <v>9.1239169089756979E-5</v>
      </c>
      <c r="AK14" s="7">
        <f t="shared" si="4"/>
        <v>0</v>
      </c>
      <c r="AL14" s="7">
        <f t="shared" si="17"/>
        <v>4.399542100674678E-3</v>
      </c>
      <c r="AM14" s="7">
        <f t="shared" si="5"/>
        <v>-3.1400876987244078E-6</v>
      </c>
      <c r="AN14" s="7">
        <f t="shared" si="18"/>
        <v>4.3964020129759534E-3</v>
      </c>
      <c r="AO14" s="7">
        <f t="shared" si="19"/>
        <v>-2.1135879978118033E-3</v>
      </c>
      <c r="AP14" s="7">
        <f t="shared" si="6"/>
        <v>2.2828140151641501E-3</v>
      </c>
      <c r="AQ14" s="7">
        <f t="shared" si="7"/>
        <v>4.399542100674678E-3</v>
      </c>
      <c r="AS14" s="7">
        <f t="shared" si="20"/>
        <v>4.3083029315849211E-3</v>
      </c>
      <c r="AT14" s="7">
        <f t="shared" si="21"/>
        <v>9.1239169089756979E-5</v>
      </c>
      <c r="AU14" s="7">
        <f t="shared" si="22"/>
        <v>4.399542100674678E-3</v>
      </c>
      <c r="AV14" s="7">
        <f t="shared" si="23"/>
        <v>0</v>
      </c>
      <c r="AW14" s="7">
        <f t="shared" si="24"/>
        <v>4.399542100674678E-3</v>
      </c>
      <c r="AX14" s="7">
        <f t="shared" si="25"/>
        <v>-3.1400876987244078E-6</v>
      </c>
      <c r="AY14" s="7">
        <f t="shared" si="26"/>
        <v>4.3964020129759534E-3</v>
      </c>
      <c r="AZ14" s="7">
        <f t="shared" si="27"/>
        <v>-2.1135879978118033E-3</v>
      </c>
      <c r="BA14" s="7">
        <f t="shared" si="28"/>
        <v>2.2828140151641501E-3</v>
      </c>
      <c r="BB14" s="7">
        <f t="shared" si="29"/>
        <v>4.399542100674678E-3</v>
      </c>
      <c r="BD14">
        <f t="shared" si="30"/>
        <v>1</v>
      </c>
      <c r="BE14">
        <f t="shared" ref="BE14:BE77" si="34">IF(SUM(BD12:BD14)=3,1,0)</f>
        <v>1</v>
      </c>
      <c r="BF14" s="7" cm="1">
        <f t="array" ref="BF14">IF(ISNA($BA14),NA(),IF($BE14=0,"***",PRODUCT(1+AS12:AS14)-1))</f>
        <v>1.1393664863868835E-2</v>
      </c>
      <c r="BG14" s="7" cm="1">
        <f t="array" ref="BG14">IF(ISNA($BA14),NA(),IF($BE14=0,"***",PRODUCT(1+AT12:AT14)-1))</f>
        <v>2.2119380215213091E-4</v>
      </c>
      <c r="BH14" s="7" cm="1">
        <f t="array" ref="BH14">IF(ISNA($BA14),NA(),IF($BE14=0,"***",PRODUCT(1+AU12:AU14)-1))</f>
        <v>1.1616523487101071E-2</v>
      </c>
      <c r="BI14" s="7" cm="1">
        <f t="array" ref="BI14">IF(ISNA($BA14),NA(),IF($BE14=0,"***",PRODUCT(1+AV12:AV14)-1))</f>
        <v>3.0915339644721485E-4</v>
      </c>
      <c r="BJ14" s="7" cm="1">
        <f t="array" ref="BJ14">IF(ISNA($BA14),NA(),IF($BE14=0,"***",PRODUCT(1+AW12:AW14)-1))</f>
        <v>1.1928182672216181E-2</v>
      </c>
      <c r="BK14" s="7" cm="1">
        <f t="array" ref="BK14">IF(ISNA($BA14),NA(),IF($BE14=0,"***",PRODUCT(1+AX12:AX14)-1))</f>
        <v>-9.386722563786698E-6</v>
      </c>
      <c r="BL14" s="7" cm="1">
        <f t="array" ref="BL14">IF(ISNA($BA14),NA(),IF($BE14=0,"***",PRODUCT(1+AY12:AY14)-1))</f>
        <v>1.1918721445230984E-2</v>
      </c>
      <c r="BM14" s="7" cm="1">
        <f t="array" ref="BM14">IF(ISNA($BA14),NA(),IF($BE14=0,"***",PRODUCT(1+AZ12:AZ14)-1))</f>
        <v>6.4878792606748448E-5</v>
      </c>
      <c r="BN14" s="7" cm="1">
        <f t="array" ref="BN14">IF(ISNA($BA14),NA(),IF($BE14=0,"***",PRODUCT(1+BA12:BA14)-1))</f>
        <v>1.1985675635289184E-2</v>
      </c>
      <c r="BO14" s="7">
        <f t="shared" ref="BO14:BO77" si="35">BN14-BM14-BL14</f>
        <v>2.075397451450911E-6</v>
      </c>
      <c r="BP14" s="7">
        <f t="shared" ref="BP14:BP77" si="36">SUM(BB12:BB14)</f>
        <v>1.1572060567199333E-2</v>
      </c>
    </row>
    <row r="15" spans="1:68" x14ac:dyDescent="0.25">
      <c r="A15" t="str">
        <f t="shared" si="31"/>
        <v>20120531</v>
      </c>
      <c r="B15">
        <f t="shared" si="32"/>
        <v>41060</v>
      </c>
      <c r="C15">
        <f t="shared" si="33"/>
        <v>2012</v>
      </c>
      <c r="D15">
        <v>5</v>
      </c>
      <c r="F15" s="20">
        <f>IFERROR(GETPIVOTDATA("[Measures].[Sum of CashInterest]",'Results PT'!$B$8,"[Table2].[ReturnDate]","[Table2].[ReturnDate].&amp;["&amp;$A15&amp;"]"),NA())</f>
        <v>6441860.5799999982</v>
      </c>
      <c r="G15" s="20">
        <f>IFERROR(GETPIVOTDATA("[Measures].[Sum of AccrInterest]",'Results PT'!$B$8,"[Table2].[ReturnDate]","[Table2].[ReturnDate].&amp;["&amp;$A15&amp;"]"),NA())</f>
        <v>164837.04999999999</v>
      </c>
      <c r="H15" s="20">
        <f>IFERROR(GETPIVOTDATA("[Measures].[Sum of OtherIncome]",'Results PT'!$B$8,"[Table2].[ReturnDate]","[Table2].[ReturnDate].&amp;["&amp;$A15&amp;"]"),NA())</f>
        <v>0</v>
      </c>
      <c r="I15" s="20">
        <f>IFERROR(GETPIVOTDATA("[Measures].[Sum of Expenses]",'Results PT'!$B$8,"[Table2].[ReturnDate]","[Table2].[ReturnDate].&amp;["&amp;$A15&amp;"]"),NA())</f>
        <v>-4996.68</v>
      </c>
      <c r="J15" s="20">
        <f>IFERROR(GETPIVOTDATA("[Measures].[Sum of PrincipalFunded]",'Results PT'!$B$8,"[Table2].[ReturnDate]","[Table2].[ReturnDate].&amp;["&amp;$A15&amp;"]"),NA())</f>
        <v>-206646907.94999999</v>
      </c>
      <c r="K15" s="20">
        <f>IFERROR(GETPIVOTDATA("[Measures].[Sum of PrincipalRepaid]",'Results PT'!$B$8,"[Table2].[ReturnDate]","[Table2].[ReturnDate].&amp;["&amp;$A15&amp;"]"),NA())</f>
        <v>200703637.59000003</v>
      </c>
      <c r="L15" s="20"/>
      <c r="M15" s="20">
        <f>IFERROR(GETPIVOTDATA("[Measures].[Sum of StartValue]",'Results PT'!$B$8,"[Table2].[ReturnDate]","[Table2].[ReturnDate].&amp;["&amp;$A15&amp;"]"),NA())</f>
        <v>1653440448.4999995</v>
      </c>
      <c r="N15" s="20">
        <f>IFERROR(GETPIVOTDATA("[Measures].[Sum of EndValue]",'Results PT'!$B$8,"[Table2].[ReturnDate]","[Table2].[ReturnDate].&amp;["&amp;$A15&amp;"]"),NA())</f>
        <v>1678828007.7299998</v>
      </c>
      <c r="O15" s="20">
        <f>IFERROR(GETPIVOTDATA("[Measures].[Sum of StartPrincipal]",'Results PT'!$B$8,"[Table2].[ReturnDate]","[Table2].[ReturnDate].&amp;["&amp;$A15&amp;"]"),NA())</f>
        <v>1728828860.6699996</v>
      </c>
      <c r="P15" s="20">
        <f>IFERROR(GETPIVOTDATA("[Measures].[Sum of EndPrincipal]",'Results PT'!$B$8,"[Table2].[ReturnDate]","[Table2].[ReturnDate].&amp;["&amp;$A15&amp;"]"),NA())</f>
        <v>1734937172.1999998</v>
      </c>
      <c r="Q15" s="20">
        <f>IFERROR(GETPIVOTDATA("[Measures].[Sum of StartNAV]",'Results PT'!$B$8,"[Table2].[ReturnDate]","[Table2].[ReturnDate].&amp;["&amp;$A15&amp;"]"),NA())</f>
        <v>1653440448.4999995</v>
      </c>
      <c r="R15" s="20">
        <f>IFERROR(GETPIVOTDATA("[Measures].[Sum of EndNAV]",'Results PT'!$B$8,"[Table2].[ReturnDate]","[Table2].[ReturnDate].&amp;["&amp;$A15&amp;"]"),NA())</f>
        <v>1678828007.7299998</v>
      </c>
      <c r="S15" s="20"/>
      <c r="T15" s="1">
        <f t="shared" si="9"/>
        <v>0</v>
      </c>
      <c r="U15" s="1">
        <f t="shared" si="10"/>
        <v>0</v>
      </c>
      <c r="V15">
        <f t="shared" si="11"/>
        <v>4</v>
      </c>
      <c r="W15" s="20">
        <f t="shared" si="0"/>
        <v>493593.54000005126</v>
      </c>
      <c r="X15" s="20">
        <f t="shared" si="12"/>
        <v>25881152.770000219</v>
      </c>
      <c r="Y15" s="20">
        <f t="shared" si="1"/>
        <v>1653193651.7299995</v>
      </c>
      <c r="Z15" s="3">
        <f t="shared" si="13"/>
        <v>1.5655245677308676E-2</v>
      </c>
      <c r="AA15" s="20"/>
      <c r="AB15" s="20"/>
      <c r="AC15" s="20">
        <f>IFERROR(GETPIVOTDATA("[Measures].[Distinct Count of LoanID]",'Count PT'!$B$3,"[Table2].[ReturnDate]","[Table2].[ReturnDate].&amp;["&amp;$A15&amp;"]"),NA())</f>
        <v>43</v>
      </c>
      <c r="AD15" s="20">
        <f>GETPIVOTDATA("[Measures].[Distinct Count of ManagerCode 2]",'Count PT'!$B$3,"[Table2].[ReturnDate]","[Table2].[ReturnDate].&amp;["&amp;$A15&amp;"]")</f>
        <v>3</v>
      </c>
      <c r="AE15" s="20" t="b">
        <f t="shared" si="14"/>
        <v>1</v>
      </c>
      <c r="AF15" s="20" t="b">
        <f t="shared" si="15"/>
        <v>1</v>
      </c>
      <c r="AG15" s="20" t="b">
        <f t="shared" si="16"/>
        <v>1</v>
      </c>
      <c r="AI15" s="7">
        <f t="shared" si="2"/>
        <v>3.8966158460981594E-3</v>
      </c>
      <c r="AJ15" s="7">
        <f t="shared" si="3"/>
        <v>9.9708252464860827E-5</v>
      </c>
      <c r="AK15" s="7">
        <f t="shared" si="4"/>
        <v>0</v>
      </c>
      <c r="AL15" s="7">
        <f t="shared" si="17"/>
        <v>3.9963240985630205E-3</v>
      </c>
      <c r="AM15" s="7">
        <f t="shared" si="5"/>
        <v>-3.0224408343034582E-6</v>
      </c>
      <c r="AN15" s="7">
        <f t="shared" si="18"/>
        <v>3.9933016577287173E-3</v>
      </c>
      <c r="AO15" s="7">
        <f t="shared" si="19"/>
        <v>1.166194401957996E-2</v>
      </c>
      <c r="AP15" s="7">
        <f t="shared" si="6"/>
        <v>1.5655245677308676E-2</v>
      </c>
      <c r="AQ15" s="7">
        <f t="shared" si="7"/>
        <v>3.9963240985630205E-3</v>
      </c>
      <c r="AS15" s="7">
        <f t="shared" si="20"/>
        <v>3.8966158460981594E-3</v>
      </c>
      <c r="AT15" s="7">
        <f t="shared" si="21"/>
        <v>9.9708252464860827E-5</v>
      </c>
      <c r="AU15" s="7">
        <f t="shared" si="22"/>
        <v>3.9963240985630205E-3</v>
      </c>
      <c r="AV15" s="7">
        <f t="shared" si="23"/>
        <v>0</v>
      </c>
      <c r="AW15" s="7">
        <f t="shared" si="24"/>
        <v>3.9963240985630205E-3</v>
      </c>
      <c r="AX15" s="7">
        <f t="shared" si="25"/>
        <v>-3.0224408343034582E-6</v>
      </c>
      <c r="AY15" s="7">
        <f t="shared" si="26"/>
        <v>3.9933016577287173E-3</v>
      </c>
      <c r="AZ15" s="7">
        <f t="shared" si="27"/>
        <v>1.166194401957996E-2</v>
      </c>
      <c r="BA15" s="7">
        <f t="shared" si="28"/>
        <v>1.5655245677308676E-2</v>
      </c>
      <c r="BB15" s="7">
        <f t="shared" si="29"/>
        <v>3.9963240985630205E-3</v>
      </c>
      <c r="BD15">
        <f t="shared" si="30"/>
        <v>1</v>
      </c>
      <c r="BE15">
        <f t="shared" si="34"/>
        <v>1</v>
      </c>
      <c r="BF15" s="7" cm="1">
        <f t="array" ref="BF15">IF(ISNA($BA15),NA(),IF($BE15=0,"***",PRODUCT(1+AS13:AS15)-1))</f>
        <v>1.1659969694915784E-2</v>
      </c>
      <c r="BG15" s="7" cm="1">
        <f t="array" ref="BG15">IF(ISNA($BA15),NA(),IF($BE15=0,"***",PRODUCT(1+AT13:AT15)-1))</f>
        <v>2.6371333891761495E-4</v>
      </c>
      <c r="BH15" s="7" cm="1">
        <f t="array" ref="BH15">IF(ISNA($BA15),NA(),IF($BE15=0,"***",PRODUCT(1+AU13:AU15)-1))</f>
        <v>1.1925720141412688E-2</v>
      </c>
      <c r="BI15" s="7" cm="1">
        <f t="array" ref="BI15">IF(ISNA($BA15),NA(),IF($BE15=0,"***",PRODUCT(1+AV13:AV15)-1))</f>
        <v>3.0915339644721485E-4</v>
      </c>
      <c r="BJ15" s="7" cm="1">
        <f t="array" ref="BJ15">IF(ISNA($BA15),NA(),IF($BE15=0,"***",PRODUCT(1+AW13:AW15)-1))</f>
        <v>1.2237474583945085E-2</v>
      </c>
      <c r="BK15" s="7" cm="1">
        <f t="array" ref="BK15">IF(ISNA($BA15),NA(),IF($BE15=0,"***",PRODUCT(1+AX13:AX15)-1))</f>
        <v>-9.1452556891802317E-6</v>
      </c>
      <c r="BL15" s="7" cm="1">
        <f t="array" ref="BL15">IF(ISNA($BA15),NA(),IF($BE15=0,"***",PRODUCT(1+AY13:AY15)-1))</f>
        <v>1.2228254919881332E-2</v>
      </c>
      <c r="BM15" s="7" cm="1">
        <f t="array" ref="BM15">IF(ISNA($BA15),NA(),IF($BE15=0,"***",PRODUCT(1+AZ13:AZ15)-1))</f>
        <v>9.3766320049342156E-3</v>
      </c>
      <c r="BN15" s="7" cm="1">
        <f t="array" ref="BN15">IF(ISNA($BA15),NA(),IF($BE15=0,"***",PRODUCT(1+BA13:BA15)-1))</f>
        <v>2.1682735187922964E-2</v>
      </c>
      <c r="BO15" s="7">
        <f t="shared" si="35"/>
        <v>7.7848263107416216E-5</v>
      </c>
      <c r="BP15" s="7">
        <f t="shared" si="36"/>
        <v>1.1878834372997187E-2</v>
      </c>
    </row>
    <row r="16" spans="1:68" x14ac:dyDescent="0.25">
      <c r="A16" t="str">
        <f t="shared" si="31"/>
        <v>20120630</v>
      </c>
      <c r="B16">
        <f t="shared" si="32"/>
        <v>41090</v>
      </c>
      <c r="C16">
        <f t="shared" si="33"/>
        <v>2012</v>
      </c>
      <c r="D16">
        <v>6</v>
      </c>
      <c r="F16" s="20">
        <f>IFERROR(GETPIVOTDATA("[Measures].[Sum of CashInterest]",'Results PT'!$B$8,"[Table2].[ReturnDate]","[Table2].[ReturnDate].&amp;["&amp;$A16&amp;"]"),NA())</f>
        <v>7828483.6100000013</v>
      </c>
      <c r="G16" s="20">
        <f>IFERROR(GETPIVOTDATA("[Measures].[Sum of AccrInterest]",'Results PT'!$B$8,"[Table2].[ReturnDate]","[Table2].[ReturnDate].&amp;["&amp;$A16&amp;"]"),NA())</f>
        <v>179886.82</v>
      </c>
      <c r="H16" s="20">
        <f>IFERROR(GETPIVOTDATA("[Measures].[Sum of OtherIncome]",'Results PT'!$B$8,"[Table2].[ReturnDate]","[Table2].[ReturnDate].&amp;["&amp;$A16&amp;"]"),NA())</f>
        <v>0</v>
      </c>
      <c r="I16" s="20">
        <f>IFERROR(GETPIVOTDATA("[Measures].[Sum of Expenses]",'Results PT'!$B$8,"[Table2].[ReturnDate]","[Table2].[ReturnDate].&amp;["&amp;$A16&amp;"]"),NA())</f>
        <v>-5147.46</v>
      </c>
      <c r="J16" s="20">
        <f>IFERROR(GETPIVOTDATA("[Measures].[Sum of PrincipalFunded]",'Results PT'!$B$8,"[Table2].[ReturnDate]","[Table2].[ReturnDate].&amp;["&amp;$A16&amp;"]"),NA())</f>
        <v>-25111696.120000001</v>
      </c>
      <c r="K16" s="20">
        <f>IFERROR(GETPIVOTDATA("[Measures].[Sum of PrincipalRepaid]",'Results PT'!$B$8,"[Table2].[ReturnDate]","[Table2].[ReturnDate].&amp;["&amp;$A16&amp;"]"),NA())</f>
        <v>62549028.369999997</v>
      </c>
      <c r="L16" s="20"/>
      <c r="M16" s="20">
        <f>IFERROR(GETPIVOTDATA("[Measures].[Sum of StartValue]",'Results PT'!$B$8,"[Table2].[ReturnDate]","[Table2].[ReturnDate].&amp;["&amp;$A16&amp;"]"),NA())</f>
        <v>1678828007.7299998</v>
      </c>
      <c r="N16" s="20">
        <f>IFERROR(GETPIVOTDATA("[Measures].[Sum of EndValue]",'Results PT'!$B$8,"[Table2].[ReturnDate]","[Table2].[ReturnDate].&amp;["&amp;$A16&amp;"]"),NA())</f>
        <v>1641086594.97</v>
      </c>
      <c r="O16" s="20">
        <f>IFERROR(GETPIVOTDATA("[Measures].[Sum of StartPrincipal]",'Results PT'!$B$8,"[Table2].[ReturnDate]","[Table2].[ReturnDate].&amp;["&amp;$A16&amp;"]"),NA())</f>
        <v>1734937172.1999998</v>
      </c>
      <c r="P16" s="20">
        <f>IFERROR(GETPIVOTDATA("[Measures].[Sum of EndPrincipal]",'Results PT'!$B$8,"[Table2].[ReturnDate]","[Table2].[ReturnDate].&amp;["&amp;$A16&amp;"]"),NA())</f>
        <v>1697679930.7899995</v>
      </c>
      <c r="Q16" s="20">
        <f>IFERROR(GETPIVOTDATA("[Measures].[Sum of StartNAV]",'Results PT'!$B$8,"[Table2].[ReturnDate]","[Table2].[ReturnDate].&amp;["&amp;$A16&amp;"]"),NA())</f>
        <v>1678828007.7299998</v>
      </c>
      <c r="R16" s="20">
        <f>IFERROR(GETPIVOTDATA("[Measures].[Sum of EndNAV]",'Results PT'!$B$8,"[Table2].[ReturnDate]","[Table2].[ReturnDate].&amp;["&amp;$A16&amp;"]"),NA())</f>
        <v>1641086594.97</v>
      </c>
      <c r="S16" s="20"/>
      <c r="T16" s="1">
        <f t="shared" si="9"/>
        <v>0</v>
      </c>
      <c r="U16" s="1">
        <f t="shared" si="10"/>
        <v>0</v>
      </c>
      <c r="V16">
        <f t="shared" si="11"/>
        <v>4</v>
      </c>
      <c r="W16" s="20">
        <f t="shared" si="0"/>
        <v>45260668.399999999</v>
      </c>
      <c r="X16" s="20">
        <f t="shared" si="12"/>
        <v>7519255.6400003433</v>
      </c>
      <c r="Y16" s="20">
        <f t="shared" si="1"/>
        <v>1656197673.5299997</v>
      </c>
      <c r="Z16" s="3">
        <f t="shared" si="13"/>
        <v>4.5400713696052315E-3</v>
      </c>
      <c r="AA16" s="20"/>
      <c r="AB16" s="20"/>
      <c r="AC16" s="20">
        <f>IFERROR(GETPIVOTDATA("[Measures].[Distinct Count of LoanID]",'Count PT'!$B$3,"[Table2].[ReturnDate]","[Table2].[ReturnDate].&amp;["&amp;$A16&amp;"]"),NA())</f>
        <v>43</v>
      </c>
      <c r="AD16" s="20">
        <f>GETPIVOTDATA("[Measures].[Distinct Count of ManagerCode 2]",'Count PT'!$B$3,"[Table2].[ReturnDate]","[Table2].[ReturnDate].&amp;["&amp;$A16&amp;"]")</f>
        <v>3</v>
      </c>
      <c r="AE16" s="20" t="b">
        <f t="shared" si="14"/>
        <v>1</v>
      </c>
      <c r="AF16" s="20" t="b">
        <f t="shared" si="15"/>
        <v>1</v>
      </c>
      <c r="AG16" s="20" t="b">
        <f t="shared" si="16"/>
        <v>1</v>
      </c>
      <c r="AI16" s="7">
        <f t="shared" si="2"/>
        <v>4.7267809483842989E-3</v>
      </c>
      <c r="AJ16" s="7">
        <f t="shared" si="3"/>
        <v>1.0861434167854578E-4</v>
      </c>
      <c r="AK16" s="7">
        <f t="shared" si="4"/>
        <v>0</v>
      </c>
      <c r="AL16" s="7">
        <f t="shared" si="17"/>
        <v>4.8353952900628445E-3</v>
      </c>
      <c r="AM16" s="7">
        <f t="shared" si="5"/>
        <v>-3.1079985694151871E-6</v>
      </c>
      <c r="AN16" s="7">
        <f t="shared" si="18"/>
        <v>4.8322872914934294E-3</v>
      </c>
      <c r="AO16" s="7">
        <f t="shared" si="19"/>
        <v>-2.9221592188819791E-4</v>
      </c>
      <c r="AP16" s="7">
        <f t="shared" si="6"/>
        <v>4.5400713696052315E-3</v>
      </c>
      <c r="AQ16" s="7">
        <f t="shared" si="7"/>
        <v>4.8353952900628445E-3</v>
      </c>
      <c r="AS16" s="7">
        <f t="shared" si="20"/>
        <v>4.7267809483842989E-3</v>
      </c>
      <c r="AT16" s="7">
        <f t="shared" si="21"/>
        <v>1.0861434167854578E-4</v>
      </c>
      <c r="AU16" s="7">
        <f t="shared" si="22"/>
        <v>4.8353952900628445E-3</v>
      </c>
      <c r="AV16" s="7">
        <f t="shared" si="23"/>
        <v>0</v>
      </c>
      <c r="AW16" s="7">
        <f t="shared" si="24"/>
        <v>4.8353952900628445E-3</v>
      </c>
      <c r="AX16" s="7">
        <f t="shared" si="25"/>
        <v>-3.1079985694151871E-6</v>
      </c>
      <c r="AY16" s="7">
        <f t="shared" si="26"/>
        <v>4.8322872914934294E-3</v>
      </c>
      <c r="AZ16" s="7">
        <f t="shared" si="27"/>
        <v>-2.9221592188819791E-4</v>
      </c>
      <c r="BA16" s="7">
        <f t="shared" si="28"/>
        <v>4.5400713696052315E-3</v>
      </c>
      <c r="BB16" s="7">
        <f t="shared" si="29"/>
        <v>4.8353952900628445E-3</v>
      </c>
      <c r="BD16">
        <f t="shared" si="30"/>
        <v>1</v>
      </c>
      <c r="BE16">
        <f t="shared" si="34"/>
        <v>1</v>
      </c>
      <c r="BF16" s="7" cm="1">
        <f t="array" ref="BF16">IF(ISNA($BA16),NA(),IF($BE16=0,"***",PRODUCT(1+AS14:AS16)-1))</f>
        <v>1.2987349733561748E-2</v>
      </c>
      <c r="BG16" s="7" cm="1">
        <f t="array" ref="BG16">IF(ISNA($BA16),NA(),IF($BE16=0,"***",PRODUCT(1+AT14:AT16)-1))</f>
        <v>2.9959160114789718E-4</v>
      </c>
      <c r="BH16" s="7" cm="1">
        <f t="array" ref="BH16">IF(ISNA($BA16),NA(),IF($BE16=0,"***",PRODUCT(1+AU14:AU16)-1))</f>
        <v>1.3289525833197091E-2</v>
      </c>
      <c r="BI16" s="7" cm="1">
        <f t="array" ref="BI16">IF(ISNA($BA16),NA(),IF($BE16=0,"***",PRODUCT(1+AV14:AV16)-1))</f>
        <v>0</v>
      </c>
      <c r="BJ16" s="7" cm="1">
        <f t="array" ref="BJ16">IF(ISNA($BA16),NA(),IF($BE16=0,"***",PRODUCT(1+AW14:AW16)-1))</f>
        <v>1.3289525833197091E-2</v>
      </c>
      <c r="BK16" s="7" cm="1">
        <f t="array" ref="BK16">IF(ISNA($BA16),NA(),IF($BE16=0,"***",PRODUCT(1+AX14:AX16)-1))</f>
        <v>-9.2704984585578742E-6</v>
      </c>
      <c r="BL16" s="7" cm="1">
        <f t="array" ref="BL16">IF(ISNA($BA16),NA(),IF($BE16=0,"***",PRODUCT(1+AY14:AY16)-1))</f>
        <v>1.3280173416478025E-2</v>
      </c>
      <c r="BM16" s="7" cm="1">
        <f t="array" ref="BM16">IF(ISNA($BA16),NA(),IF($BE16=0,"***",PRODUCT(1+AZ14:AZ16)-1))</f>
        <v>9.2287085760089926E-3</v>
      </c>
      <c r="BN16" s="7" cm="1">
        <f t="array" ref="BN16">IF(ISNA($BA16),NA(),IF($BE16=0,"***",PRODUCT(1+BA14:BA16)-1))</f>
        <v>2.2595471400692402E-2</v>
      </c>
      <c r="BO16" s="7">
        <f t="shared" si="35"/>
        <v>8.6589408205384188E-5</v>
      </c>
      <c r="BP16" s="7">
        <f t="shared" si="36"/>
        <v>1.3231261489300542E-2</v>
      </c>
    </row>
    <row r="17" spans="1:68" x14ac:dyDescent="0.25">
      <c r="A17" t="str">
        <f t="shared" si="31"/>
        <v>20120731</v>
      </c>
      <c r="B17">
        <f t="shared" si="32"/>
        <v>41121</v>
      </c>
      <c r="C17">
        <f t="shared" si="33"/>
        <v>2012</v>
      </c>
      <c r="D17">
        <v>7</v>
      </c>
      <c r="F17" s="20">
        <f>IFERROR(GETPIVOTDATA("[Measures].[Sum of CashInterest]",'Results PT'!$B$8,"[Table2].[ReturnDate]","[Table2].[ReturnDate].&amp;["&amp;$A17&amp;"]"),NA())</f>
        <v>6813964.4200000009</v>
      </c>
      <c r="G17" s="20">
        <f>IFERROR(GETPIVOTDATA("[Measures].[Sum of AccrInterest]",'Results PT'!$B$8,"[Table2].[ReturnDate]","[Table2].[ReturnDate].&amp;["&amp;$A17&amp;"]"),NA())</f>
        <v>207170.31</v>
      </c>
      <c r="H17" s="20">
        <f>IFERROR(GETPIVOTDATA("[Measures].[Sum of OtherIncome]",'Results PT'!$B$8,"[Table2].[ReturnDate]","[Table2].[ReturnDate].&amp;["&amp;$A17&amp;"]"),NA())</f>
        <v>568819.49</v>
      </c>
      <c r="I17" s="20">
        <f>IFERROR(GETPIVOTDATA("[Measures].[Sum of Expenses]",'Results PT'!$B$8,"[Table2].[ReturnDate]","[Table2].[ReturnDate].&amp;["&amp;$A17&amp;"]"),NA())</f>
        <v>-4989.53</v>
      </c>
      <c r="J17" s="20">
        <f>IFERROR(GETPIVOTDATA("[Measures].[Sum of PrincipalFunded]",'Results PT'!$B$8,"[Table2].[ReturnDate]","[Table2].[ReturnDate].&amp;["&amp;$A17&amp;"]"),NA())</f>
        <v>-146786150.87</v>
      </c>
      <c r="K17" s="20">
        <f>IFERROR(GETPIVOTDATA("[Measures].[Sum of PrincipalRepaid]",'Results PT'!$B$8,"[Table2].[ReturnDate]","[Table2].[ReturnDate].&amp;["&amp;$A17&amp;"]"),NA())</f>
        <v>738451.32</v>
      </c>
      <c r="L17" s="20"/>
      <c r="M17" s="20">
        <f>IFERROR(GETPIVOTDATA("[Measures].[Sum of StartValue]",'Results PT'!$B$8,"[Table2].[ReturnDate]","[Table2].[ReturnDate].&amp;["&amp;$A17&amp;"]"),NA())</f>
        <v>1641086594.97</v>
      </c>
      <c r="N17" s="20">
        <f>IFERROR(GETPIVOTDATA("[Measures].[Sum of EndValue]",'Results PT'!$B$8,"[Table2].[ReturnDate]","[Table2].[ReturnDate].&amp;["&amp;$A17&amp;"]"),NA())</f>
        <v>1790792863.1500003</v>
      </c>
      <c r="O17" s="20">
        <f>IFERROR(GETPIVOTDATA("[Measures].[Sum of StartPrincipal]",'Results PT'!$B$8,"[Table2].[ReturnDate]","[Table2].[ReturnDate].&amp;["&amp;$A17&amp;"]"),NA())</f>
        <v>1697679930.7899995</v>
      </c>
      <c r="P17" s="20">
        <f>IFERROR(GETPIVOTDATA("[Measures].[Sum of EndPrincipal]",'Results PT'!$B$8,"[Table2].[ReturnDate]","[Table2].[ReturnDate].&amp;["&amp;$A17&amp;"]"),NA())</f>
        <v>1843935004.78</v>
      </c>
      <c r="Q17" s="20">
        <f>IFERROR(GETPIVOTDATA("[Measures].[Sum of StartNAV]",'Results PT'!$B$8,"[Table2].[ReturnDate]","[Table2].[ReturnDate].&amp;["&amp;$A17&amp;"]"),NA())</f>
        <v>1641086594.97</v>
      </c>
      <c r="R17" s="20">
        <f>IFERROR(GETPIVOTDATA("[Measures].[Sum of EndNAV]",'Results PT'!$B$8,"[Table2].[ReturnDate]","[Table2].[ReturnDate].&amp;["&amp;$A17&amp;"]"),NA())</f>
        <v>1790792863.1500003</v>
      </c>
      <c r="S17" s="20"/>
      <c r="T17" s="1">
        <f t="shared" si="9"/>
        <v>0</v>
      </c>
      <c r="U17" s="1">
        <f t="shared" si="10"/>
        <v>0</v>
      </c>
      <c r="V17">
        <f t="shared" si="11"/>
        <v>4</v>
      </c>
      <c r="W17" s="20">
        <f t="shared" si="0"/>
        <v>-138669905.17000002</v>
      </c>
      <c r="X17" s="20">
        <f t="shared" si="12"/>
        <v>11036363.010000229</v>
      </c>
      <c r="Y17" s="20">
        <f t="shared" si="1"/>
        <v>1710421547.5550001</v>
      </c>
      <c r="Z17" s="3">
        <f t="shared" si="13"/>
        <v>6.4524228110762532E-3</v>
      </c>
      <c r="AA17" s="20"/>
      <c r="AB17" s="20"/>
      <c r="AC17" s="20">
        <f>IFERROR(GETPIVOTDATA("[Measures].[Distinct Count of LoanID]",'Count PT'!$B$3,"[Table2].[ReturnDate]","[Table2].[ReturnDate].&amp;["&amp;$A17&amp;"]"),NA())</f>
        <v>46</v>
      </c>
      <c r="AD17" s="20">
        <f>GETPIVOTDATA("[Measures].[Distinct Count of ManagerCode 2]",'Count PT'!$B$3,"[Table2].[ReturnDate]","[Table2].[ReturnDate].&amp;["&amp;$A17&amp;"]")</f>
        <v>3</v>
      </c>
      <c r="AE17" s="20" t="b">
        <f t="shared" si="14"/>
        <v>1</v>
      </c>
      <c r="AF17" s="20" t="b">
        <f t="shared" si="15"/>
        <v>1</v>
      </c>
      <c r="AG17" s="20" t="b">
        <f t="shared" si="16"/>
        <v>1</v>
      </c>
      <c r="AI17" s="7">
        <f t="shared" si="2"/>
        <v>3.9837924339414296E-3</v>
      </c>
      <c r="AJ17" s="7">
        <f t="shared" si="3"/>
        <v>1.2112236910026314E-4</v>
      </c>
      <c r="AK17" s="7">
        <f t="shared" si="4"/>
        <v>3.3256099399186801E-4</v>
      </c>
      <c r="AL17" s="7">
        <f t="shared" si="17"/>
        <v>4.4374757970335604E-3</v>
      </c>
      <c r="AM17" s="7">
        <f t="shared" si="5"/>
        <v>-2.917134671936514E-6</v>
      </c>
      <c r="AN17" s="7">
        <f t="shared" si="18"/>
        <v>4.4345586623616238E-3</v>
      </c>
      <c r="AO17" s="7">
        <f t="shared" si="19"/>
        <v>2.0178641487146294E-3</v>
      </c>
      <c r="AP17" s="7">
        <f t="shared" si="6"/>
        <v>6.4524228110762532E-3</v>
      </c>
      <c r="AQ17" s="7">
        <f t="shared" si="7"/>
        <v>4.1049148030416925E-3</v>
      </c>
      <c r="AS17" s="7">
        <f t="shared" si="20"/>
        <v>3.9837924339414296E-3</v>
      </c>
      <c r="AT17" s="7">
        <f t="shared" si="21"/>
        <v>1.2112236910026314E-4</v>
      </c>
      <c r="AU17" s="7">
        <f t="shared" si="22"/>
        <v>4.1049148030416925E-3</v>
      </c>
      <c r="AV17" s="7">
        <f t="shared" si="23"/>
        <v>3.3256099399186801E-4</v>
      </c>
      <c r="AW17" s="7">
        <f t="shared" si="24"/>
        <v>4.4374757970335604E-3</v>
      </c>
      <c r="AX17" s="7">
        <f t="shared" si="25"/>
        <v>-2.917134671936514E-6</v>
      </c>
      <c r="AY17" s="7">
        <f t="shared" si="26"/>
        <v>4.4345586623616238E-3</v>
      </c>
      <c r="AZ17" s="7">
        <f t="shared" si="27"/>
        <v>2.0178641487146294E-3</v>
      </c>
      <c r="BA17" s="7">
        <f t="shared" si="28"/>
        <v>6.4524228110762532E-3</v>
      </c>
      <c r="BB17" s="7">
        <f t="shared" si="29"/>
        <v>4.1049148030416925E-3</v>
      </c>
      <c r="BD17">
        <f t="shared" si="30"/>
        <v>1</v>
      </c>
      <c r="BE17">
        <f t="shared" si="34"/>
        <v>1</v>
      </c>
      <c r="BF17" s="7" cm="1">
        <f t="array" ref="BF17">IF(ISNA($BA17),NA(),IF($BE17=0,"***",PRODUCT(1+AS15:AS17)-1))</f>
        <v>1.266003487615297E-2</v>
      </c>
      <c r="BG17" s="7" cm="1">
        <f t="array" ref="BG17">IF(ISNA($BA17),NA(),IF($BE17=0,"***",PRODUCT(1+AT15:AT17)-1))</f>
        <v>3.2948102682794911E-4</v>
      </c>
      <c r="BH17" s="7" cm="1">
        <f t="array" ref="BH17">IF(ISNA($BA17),NA(),IF($BE17=0,"***",PRODUCT(1+AU15:AU17)-1))</f>
        <v>1.2992290776626003E-2</v>
      </c>
      <c r="BI17" s="7" cm="1">
        <f t="array" ref="BI17">IF(ISNA($BA17),NA(),IF($BE17=0,"***",PRODUCT(1+AV15:AV17)-1))</f>
        <v>3.3256099399192607E-4</v>
      </c>
      <c r="BJ17" s="7" cm="1">
        <f t="array" ref="BJ17">IF(ISNA($BA17),NA(),IF($BE17=0,"***",PRODUCT(1+AW15:AW17)-1))</f>
        <v>1.332779528234096E-2</v>
      </c>
      <c r="BK17" s="7" cm="1">
        <f t="array" ref="BK17">IF(ISNA($BA17),NA(),IF($BE17=0,"***",PRODUCT(1+AX15:AX17)-1))</f>
        <v>-9.0475467986461666E-6</v>
      </c>
      <c r="BL17" s="7" cm="1">
        <f t="array" ref="BL17">IF(ISNA($BA17),NA(),IF($BE17=0,"***",PRODUCT(1+AY15:AY17)-1))</f>
        <v>1.3318667557067343E-2</v>
      </c>
      <c r="BM17" s="7" cm="1">
        <f t="array" ref="BM17">IF(ISNA($BA17),NA(),IF($BE17=0,"***",PRODUCT(1+AZ15:AZ17)-1))</f>
        <v>1.3407120130903616E-2</v>
      </c>
      <c r="BN17" s="7" cm="1">
        <f t="array" ref="BN17">IF(ISNA($BA17),NA(),IF($BE17=0,"***",PRODUCT(1+BA15:BA17)-1))</f>
        <v>2.6849583127033672E-2</v>
      </c>
      <c r="BO17" s="7">
        <f t="shared" si="35"/>
        <v>1.2379543906271273E-4</v>
      </c>
      <c r="BP17" s="7">
        <f t="shared" si="36"/>
        <v>1.2936634191667559E-2</v>
      </c>
    </row>
    <row r="18" spans="1:68" x14ac:dyDescent="0.25">
      <c r="A18" t="str">
        <f t="shared" si="31"/>
        <v>20120831</v>
      </c>
      <c r="B18">
        <f t="shared" si="32"/>
        <v>41152</v>
      </c>
      <c r="C18">
        <f t="shared" si="33"/>
        <v>2012</v>
      </c>
      <c r="D18">
        <v>8</v>
      </c>
      <c r="F18" s="20">
        <f>IFERROR(GETPIVOTDATA("[Measures].[Sum of CashInterest]",'Results PT'!$B$8,"[Table2].[ReturnDate]","[Table2].[ReturnDate].&amp;["&amp;$A18&amp;"]"),NA())</f>
        <v>10177381.159999998</v>
      </c>
      <c r="G18" s="20">
        <f>IFERROR(GETPIVOTDATA("[Measures].[Sum of AccrInterest]",'Results PT'!$B$8,"[Table2].[ReturnDate]","[Table2].[ReturnDate].&amp;["&amp;$A18&amp;"]"),NA())</f>
        <v>234826.66000000003</v>
      </c>
      <c r="H18" s="20">
        <f>IFERROR(GETPIVOTDATA("[Measures].[Sum of OtherIncome]",'Results PT'!$B$8,"[Table2].[ReturnDate]","[Table2].[ReturnDate].&amp;["&amp;$A18&amp;"]"),NA())</f>
        <v>222942.78</v>
      </c>
      <c r="I18" s="20">
        <f>IFERROR(GETPIVOTDATA("[Measures].[Sum of Expenses]",'Results PT'!$B$8,"[Table2].[ReturnDate]","[Table2].[ReturnDate].&amp;["&amp;$A18&amp;"]"),NA())</f>
        <v>-5108.8099999999995</v>
      </c>
      <c r="J18" s="20">
        <f>IFERROR(GETPIVOTDATA("[Measures].[Sum of PrincipalFunded]",'Results PT'!$B$8,"[Table2].[ReturnDate]","[Table2].[ReturnDate].&amp;["&amp;$A18&amp;"]"),NA())</f>
        <v>-4349435.78</v>
      </c>
      <c r="K18" s="20">
        <f>IFERROR(GETPIVOTDATA("[Measures].[Sum of PrincipalRepaid]",'Results PT'!$B$8,"[Table2].[ReturnDate]","[Table2].[ReturnDate].&amp;["&amp;$A18&amp;"]"),NA())</f>
        <v>21881400.670000006</v>
      </c>
      <c r="L18" s="20"/>
      <c r="M18" s="20">
        <f>IFERROR(GETPIVOTDATA("[Measures].[Sum of StartValue]",'Results PT'!$B$8,"[Table2].[ReturnDate]","[Table2].[ReturnDate].&amp;["&amp;$A18&amp;"]"),NA())</f>
        <v>1790792863.1500003</v>
      </c>
      <c r="N18" s="20">
        <f>IFERROR(GETPIVOTDATA("[Measures].[Sum of EndValue]",'Results PT'!$B$8,"[Table2].[ReturnDate]","[Table2].[ReturnDate].&amp;["&amp;$A18&amp;"]"),NA())</f>
        <v>1785285112.1799998</v>
      </c>
      <c r="O18" s="20">
        <f>IFERROR(GETPIVOTDATA("[Measures].[Sum of StartPrincipal]",'Results PT'!$B$8,"[Table2].[ReturnDate]","[Table2].[ReturnDate].&amp;["&amp;$A18&amp;"]"),NA())</f>
        <v>1843935004.78</v>
      </c>
      <c r="P18" s="20">
        <f>IFERROR(GETPIVOTDATA("[Measures].[Sum of EndPrincipal]",'Results PT'!$B$8,"[Table2].[ReturnDate]","[Table2].[ReturnDate].&amp;["&amp;$A18&amp;"]"),NA())</f>
        <v>1826633626.2099996</v>
      </c>
      <c r="Q18" s="20">
        <f>IFERROR(GETPIVOTDATA("[Measures].[Sum of StartNAV]",'Results PT'!$B$8,"[Table2].[ReturnDate]","[Table2].[ReturnDate].&amp;["&amp;$A18&amp;"]"),NA())</f>
        <v>1790792863.1500003</v>
      </c>
      <c r="R18" s="20">
        <f>IFERROR(GETPIVOTDATA("[Measures].[Sum of EndNAV]",'Results PT'!$B$8,"[Table2].[ReturnDate]","[Table2].[ReturnDate].&amp;["&amp;$A18&amp;"]"),NA())</f>
        <v>1785285112.1799998</v>
      </c>
      <c r="S18" s="20"/>
      <c r="T18" s="1">
        <f t="shared" si="9"/>
        <v>0</v>
      </c>
      <c r="U18" s="1">
        <f t="shared" si="10"/>
        <v>0</v>
      </c>
      <c r="V18">
        <f t="shared" si="11"/>
        <v>4</v>
      </c>
      <c r="W18" s="20">
        <f t="shared" si="0"/>
        <v>27927180.020000003</v>
      </c>
      <c r="X18" s="20">
        <f t="shared" si="12"/>
        <v>22419429.049999475</v>
      </c>
      <c r="Y18" s="20">
        <f t="shared" si="1"/>
        <v>1776829273.1400003</v>
      </c>
      <c r="Z18" s="3">
        <f t="shared" si="13"/>
        <v>1.2617660789874323E-2</v>
      </c>
      <c r="AA18" s="20"/>
      <c r="AB18" s="20"/>
      <c r="AC18" s="20">
        <f>IFERROR(GETPIVOTDATA("[Measures].[Distinct Count of LoanID]",'Count PT'!$B$3,"[Table2].[ReturnDate]","[Table2].[ReturnDate].&amp;["&amp;$A18&amp;"]"),NA())</f>
        <v>46</v>
      </c>
      <c r="AD18" s="20">
        <f>GETPIVOTDATA("[Measures].[Distinct Count of ManagerCode 2]",'Count PT'!$B$3,"[Table2].[ReturnDate]","[Table2].[ReturnDate].&amp;["&amp;$A18&amp;"]")</f>
        <v>3</v>
      </c>
      <c r="AE18" s="20" t="b">
        <f t="shared" si="14"/>
        <v>1</v>
      </c>
      <c r="AF18" s="20" t="b">
        <f t="shared" si="15"/>
        <v>1</v>
      </c>
      <c r="AG18" s="20" t="b">
        <f t="shared" si="16"/>
        <v>1</v>
      </c>
      <c r="AI18" s="7">
        <f t="shared" si="2"/>
        <v>5.7278328952868954E-3</v>
      </c>
      <c r="AJ18" s="7">
        <f t="shared" si="3"/>
        <v>1.3216050835599752E-4</v>
      </c>
      <c r="AK18" s="7">
        <f t="shared" si="4"/>
        <v>1.254722574476821E-4</v>
      </c>
      <c r="AL18" s="7">
        <f t="shared" si="17"/>
        <v>5.9854656610905744E-3</v>
      </c>
      <c r="AM18" s="7">
        <f t="shared" si="5"/>
        <v>-2.875239662712077E-6</v>
      </c>
      <c r="AN18" s="7">
        <f t="shared" si="18"/>
        <v>5.9825904214278625E-3</v>
      </c>
      <c r="AO18" s="7">
        <f t="shared" si="19"/>
        <v>6.6350703684464607E-3</v>
      </c>
      <c r="AP18" s="7">
        <f t="shared" si="6"/>
        <v>1.2617660789874323E-2</v>
      </c>
      <c r="AQ18" s="7">
        <f t="shared" si="7"/>
        <v>5.8599934036428934E-3</v>
      </c>
      <c r="AS18" s="7">
        <f t="shared" si="20"/>
        <v>5.7278328952868954E-3</v>
      </c>
      <c r="AT18" s="7">
        <f t="shared" si="21"/>
        <v>1.3216050835599752E-4</v>
      </c>
      <c r="AU18" s="7">
        <f t="shared" si="22"/>
        <v>5.8599934036428925E-3</v>
      </c>
      <c r="AV18" s="7">
        <f t="shared" si="23"/>
        <v>1.254722574476821E-4</v>
      </c>
      <c r="AW18" s="7">
        <f t="shared" si="24"/>
        <v>5.9854656610905744E-3</v>
      </c>
      <c r="AX18" s="7">
        <f t="shared" si="25"/>
        <v>-2.875239662712077E-6</v>
      </c>
      <c r="AY18" s="7">
        <f t="shared" si="26"/>
        <v>5.9825904214278625E-3</v>
      </c>
      <c r="AZ18" s="7">
        <f t="shared" si="27"/>
        <v>6.6350703684464607E-3</v>
      </c>
      <c r="BA18" s="7">
        <f t="shared" si="28"/>
        <v>1.2617660789874323E-2</v>
      </c>
      <c r="BB18" s="7">
        <f t="shared" si="29"/>
        <v>5.8599934036428934E-3</v>
      </c>
      <c r="BD18">
        <f t="shared" si="30"/>
        <v>1</v>
      </c>
      <c r="BE18">
        <f t="shared" si="34"/>
        <v>1</v>
      </c>
      <c r="BF18" s="7" cm="1">
        <f t="array" ref="BF18">IF(ISNA($BA18),NA(),IF($BE18=0,"***",PRODUCT(1+AS16:AS18)-1))</f>
        <v>1.4507237358586389E-2</v>
      </c>
      <c r="BG18" s="7" cm="1">
        <f t="array" ref="BG18">IF(ISNA($BA18),NA(),IF($BE18=0,"***",PRODUCT(1+AT16:AT18)-1))</f>
        <v>3.6194073862039211E-4</v>
      </c>
      <c r="BH18" s="7" cm="1">
        <f t="array" ref="BH18">IF(ISNA($BA18),NA(),IF($BE18=0,"***",PRODUCT(1+AU16:AU18)-1))</f>
        <v>1.4872658854963694E-2</v>
      </c>
      <c r="BI18" s="7" cm="1">
        <f t="array" ref="BI18">IF(ISNA($BA18),NA(),IF($BE18=0,"***",PRODUCT(1+AV16:AV18)-1))</f>
        <v>4.5807497861827251E-4</v>
      </c>
      <c r="BJ18" s="7" cm="1">
        <f t="array" ref="BJ18">IF(ISNA($BA18),NA(),IF($BE18=0,"***",PRODUCT(1+AW16:AW18)-1))</f>
        <v>1.5335424579062007E-2</v>
      </c>
      <c r="BK18" s="7" cm="1">
        <f t="array" ref="BK18">IF(ISNA($BA18),NA(),IF($BE18=0,"***",PRODUCT(1+AX16:AX18)-1))</f>
        <v>-8.9003465139070315E-6</v>
      </c>
      <c r="BL18" s="7" cm="1">
        <f t="array" ref="BL18">IF(ISNA($BA18),NA(),IF($BE18=0,"***",PRODUCT(1+AY16:AY18)-1))</f>
        <v>1.5326433381888549E-2</v>
      </c>
      <c r="BM18" s="7" cm="1">
        <f t="array" ref="BM18">IF(ISNA($BA18),NA(),IF($BE18=0,"***",PRODUCT(1+AZ16:AZ18)-1))</f>
        <v>8.3715748282737756E-3</v>
      </c>
      <c r="BN18" s="7" cm="1">
        <f t="array" ref="BN18">IF(ISNA($BA18),NA(),IF($BE18=0,"***",PRODUCT(1+BA16:BA18)-1))</f>
        <v>2.3778518620991562E-2</v>
      </c>
      <c r="BO18" s="7">
        <f t="shared" si="35"/>
        <v>8.05104108292376E-5</v>
      </c>
      <c r="BP18" s="7">
        <f t="shared" si="36"/>
        <v>1.4800303496747432E-2</v>
      </c>
    </row>
    <row r="19" spans="1:68" x14ac:dyDescent="0.25">
      <c r="A19" t="str">
        <f t="shared" si="31"/>
        <v>20120930</v>
      </c>
      <c r="B19">
        <f t="shared" si="32"/>
        <v>41182</v>
      </c>
      <c r="C19">
        <f t="shared" si="33"/>
        <v>2012</v>
      </c>
      <c r="D19">
        <v>9</v>
      </c>
      <c r="F19" s="20">
        <f>IFERROR(GETPIVOTDATA("[Measures].[Sum of CashInterest]",'Results PT'!$B$8,"[Table2].[ReturnDate]","[Table2].[ReturnDate].&amp;["&amp;$A19&amp;"]"),NA())</f>
        <v>9451484.0500000007</v>
      </c>
      <c r="G19" s="20">
        <f>IFERROR(GETPIVOTDATA("[Measures].[Sum of AccrInterest]",'Results PT'!$B$8,"[Table2].[ReturnDate]","[Table2].[ReturnDate].&amp;["&amp;$A19&amp;"]"),NA())</f>
        <v>43312.129999999983</v>
      </c>
      <c r="H19" s="20">
        <f>IFERROR(GETPIVOTDATA("[Measures].[Sum of OtherIncome]",'Results PT'!$B$8,"[Table2].[ReturnDate]","[Table2].[ReturnDate].&amp;["&amp;$A19&amp;"]"),NA())</f>
        <v>674500</v>
      </c>
      <c r="I19" s="20">
        <f>IFERROR(GETPIVOTDATA("[Measures].[Sum of Expenses]",'Results PT'!$B$8,"[Table2].[ReturnDate]","[Table2].[ReturnDate].&amp;["&amp;$A19&amp;"]"),NA())</f>
        <v>-5108.9699999999993</v>
      </c>
      <c r="J19" s="20">
        <f>IFERROR(GETPIVOTDATA("[Measures].[Sum of PrincipalFunded]",'Results PT'!$B$8,"[Table2].[ReturnDate]","[Table2].[ReturnDate].&amp;["&amp;$A19&amp;"]"),NA())</f>
        <v>-255979919.81</v>
      </c>
      <c r="K19" s="20">
        <f>IFERROR(GETPIVOTDATA("[Measures].[Sum of PrincipalRepaid]",'Results PT'!$B$8,"[Table2].[ReturnDate]","[Table2].[ReturnDate].&amp;["&amp;$A19&amp;"]"),NA())</f>
        <v>195605302.75</v>
      </c>
      <c r="L19" s="20"/>
      <c r="M19" s="20">
        <f>IFERROR(GETPIVOTDATA("[Measures].[Sum of StartValue]",'Results PT'!$B$8,"[Table2].[ReturnDate]","[Table2].[ReturnDate].&amp;["&amp;$A19&amp;"]"),NA())</f>
        <v>1785285112.1799998</v>
      </c>
      <c r="N19" s="20">
        <f>IFERROR(GETPIVOTDATA("[Measures].[Sum of EndValue]",'Results PT'!$B$8,"[Table2].[ReturnDate]","[Table2].[ReturnDate].&amp;["&amp;$A19&amp;"]"),NA())</f>
        <v>1830593798.27</v>
      </c>
      <c r="O19" s="20">
        <f>IFERROR(GETPIVOTDATA("[Measures].[Sum of StartPrincipal]",'Results PT'!$B$8,"[Table2].[ReturnDate]","[Table2].[ReturnDate].&amp;["&amp;$A19&amp;"]"),NA())</f>
        <v>1826633626.2099996</v>
      </c>
      <c r="P19" s="20">
        <f>IFERROR(GETPIVOTDATA("[Measures].[Sum of EndPrincipal]",'Results PT'!$B$8,"[Table2].[ReturnDate]","[Table2].[ReturnDate].&amp;["&amp;$A19&amp;"]"),NA())</f>
        <v>1887051759.4699996</v>
      </c>
      <c r="Q19" s="20">
        <f>IFERROR(GETPIVOTDATA("[Measures].[Sum of StartNAV]",'Results PT'!$B$8,"[Table2].[ReturnDate]","[Table2].[ReturnDate].&amp;["&amp;$A19&amp;"]"),NA())</f>
        <v>1785285112.1799998</v>
      </c>
      <c r="R19" s="20">
        <f>IFERROR(GETPIVOTDATA("[Measures].[Sum of EndNAV]",'Results PT'!$B$8,"[Table2].[ReturnDate]","[Table2].[ReturnDate].&amp;["&amp;$A19&amp;"]"),NA())</f>
        <v>1830593798.27</v>
      </c>
      <c r="S19" s="20"/>
      <c r="T19" s="1">
        <f t="shared" si="9"/>
        <v>0</v>
      </c>
      <c r="U19" s="1">
        <f t="shared" si="10"/>
        <v>0</v>
      </c>
      <c r="V19">
        <f t="shared" si="11"/>
        <v>4</v>
      </c>
      <c r="W19" s="20">
        <f t="shared" si="0"/>
        <v>-50253741.979999989</v>
      </c>
      <c r="X19" s="20">
        <f t="shared" si="12"/>
        <v>-4945055.8899998665</v>
      </c>
      <c r="Y19" s="20">
        <f t="shared" si="1"/>
        <v>1810411983.1699998</v>
      </c>
      <c r="Z19" s="3">
        <f t="shared" si="13"/>
        <v>-2.7314533575618295E-3</v>
      </c>
      <c r="AA19" s="20"/>
      <c r="AB19" s="20"/>
      <c r="AC19" s="20">
        <f>IFERROR(GETPIVOTDATA("[Measures].[Distinct Count of LoanID]",'Count PT'!$B$3,"[Table2].[ReturnDate]","[Table2].[ReturnDate].&amp;["&amp;$A19&amp;"]"),NA())</f>
        <v>48</v>
      </c>
      <c r="AD19" s="20">
        <f>GETPIVOTDATA("[Measures].[Distinct Count of ManagerCode 2]",'Count PT'!$B$3,"[Table2].[ReturnDate]","[Table2].[ReturnDate].&amp;["&amp;$A19&amp;"]")</f>
        <v>3</v>
      </c>
      <c r="AE19" s="20" t="b">
        <f t="shared" si="14"/>
        <v>1</v>
      </c>
      <c r="AF19" s="20" t="b">
        <f t="shared" si="15"/>
        <v>1</v>
      </c>
      <c r="AG19" s="20" t="b">
        <f t="shared" si="16"/>
        <v>1</v>
      </c>
      <c r="AI19" s="7">
        <f t="shared" si="2"/>
        <v>5.2206260993978935E-3</v>
      </c>
      <c r="AJ19" s="7">
        <f t="shared" si="3"/>
        <v>2.3923908150542175E-5</v>
      </c>
      <c r="AK19" s="7">
        <f t="shared" si="4"/>
        <v>3.7256713182982931E-4</v>
      </c>
      <c r="AL19" s="7">
        <f t="shared" si="17"/>
        <v>5.6171171393782646E-3</v>
      </c>
      <c r="AM19" s="7">
        <f t="shared" si="5"/>
        <v>-2.8219930311410565E-6</v>
      </c>
      <c r="AN19" s="7">
        <f t="shared" si="18"/>
        <v>5.6142951463471237E-3</v>
      </c>
      <c r="AO19" s="7">
        <f t="shared" si="19"/>
        <v>-8.3457485039089528E-3</v>
      </c>
      <c r="AP19" s="7">
        <f t="shared" si="6"/>
        <v>-2.7314533575618295E-3</v>
      </c>
      <c r="AQ19" s="7">
        <f t="shared" si="7"/>
        <v>5.2445500075484356E-3</v>
      </c>
      <c r="AS19" s="7">
        <f t="shared" si="20"/>
        <v>5.2206260993978935E-3</v>
      </c>
      <c r="AT19" s="7">
        <f t="shared" si="21"/>
        <v>2.3923908150542175E-5</v>
      </c>
      <c r="AU19" s="7">
        <f t="shared" si="22"/>
        <v>5.2445500075484356E-3</v>
      </c>
      <c r="AV19" s="7">
        <f t="shared" si="23"/>
        <v>3.7256713182982931E-4</v>
      </c>
      <c r="AW19" s="7">
        <f t="shared" si="24"/>
        <v>5.6171171393782646E-3</v>
      </c>
      <c r="AX19" s="7">
        <f t="shared" si="25"/>
        <v>-2.8219930311410565E-6</v>
      </c>
      <c r="AY19" s="7">
        <f t="shared" si="26"/>
        <v>5.6142951463471237E-3</v>
      </c>
      <c r="AZ19" s="7">
        <f t="shared" si="27"/>
        <v>-8.3457485039089528E-3</v>
      </c>
      <c r="BA19" s="7">
        <f t="shared" si="28"/>
        <v>-2.7314533575618295E-3</v>
      </c>
      <c r="BB19" s="7">
        <f t="shared" si="29"/>
        <v>5.2445500075484356E-3</v>
      </c>
      <c r="BD19">
        <f t="shared" si="30"/>
        <v>1</v>
      </c>
      <c r="BE19">
        <f t="shared" si="34"/>
        <v>1</v>
      </c>
      <c r="BF19" s="7" cm="1">
        <f t="array" ref="BF19">IF(ISNA($BA19),NA(),IF($BE19=0,"***",PRODUCT(1+AS17:AS19)-1))</f>
        <v>1.5005889817481632E-2</v>
      </c>
      <c r="BG19" s="7" cm="1">
        <f t="array" ref="BG19">IF(ISNA($BA19),NA(),IF($BE19=0,"***",PRODUCT(1+AT17:AT19)-1))</f>
        <v>2.7722885309988676E-4</v>
      </c>
      <c r="BH19" s="7" cm="1">
        <f t="array" ref="BH19">IF(ISNA($BA19),NA(),IF($BE19=0,"***",PRODUCT(1+AU17:AU19)-1))</f>
        <v>1.5285900603775326E-2</v>
      </c>
      <c r="BI19" s="7" cm="1">
        <f t="array" ref="BI19">IF(ISNA($BA19),NA(),IF($BE19=0,"***",PRODUCT(1+AV17:AV19)-1))</f>
        <v>8.3081277412899723E-4</v>
      </c>
      <c r="BJ19" s="7" cm="1">
        <f t="array" ref="BJ19">IF(ISNA($BA19),NA(),IF($BE19=0,"***",PRODUCT(1+AW17:AW19)-1))</f>
        <v>1.6125315032262222E-2</v>
      </c>
      <c r="BK19" s="7" cm="1">
        <f t="array" ref="BK19">IF(ISNA($BA19),NA(),IF($BE19=0,"***",PRODUCT(1+AX17:AX19)-1))</f>
        <v>-8.6143426322182748E-6</v>
      </c>
      <c r="BL19" s="7" cm="1">
        <f t="array" ref="BL19">IF(ISNA($BA19),NA(),IF($BE19=0,"***",PRODUCT(1+AY17:AY19)-1))</f>
        <v>1.6116608275935418E-2</v>
      </c>
      <c r="BM19" s="7" cm="1">
        <f t="array" ref="BM19">IF(ISNA($BA19),NA(),IF($BE19=0,"***",PRODUCT(1+AZ17:AZ19)-1))</f>
        <v>2.4824773009379797E-4</v>
      </c>
      <c r="BN19" s="7" cm="1">
        <f t="array" ref="BN19">IF(ISNA($BA19),NA(),IF($BE19=0,"***",PRODUCT(1+BA17:BA19)-1))</f>
        <v>1.6367733301949849E-2</v>
      </c>
      <c r="BO19" s="7">
        <f t="shared" si="35"/>
        <v>2.8772959206335713E-6</v>
      </c>
      <c r="BP19" s="7">
        <f t="shared" si="36"/>
        <v>1.5209458214233022E-2</v>
      </c>
    </row>
    <row r="20" spans="1:68" x14ac:dyDescent="0.25">
      <c r="A20" t="str">
        <f t="shared" si="31"/>
        <v>20121031</v>
      </c>
      <c r="B20">
        <f t="shared" si="32"/>
        <v>41213</v>
      </c>
      <c r="C20">
        <f t="shared" si="33"/>
        <v>2012</v>
      </c>
      <c r="D20">
        <v>10</v>
      </c>
      <c r="F20" s="20">
        <f>IFERROR(GETPIVOTDATA("[Measures].[Sum of CashInterest]",'Results PT'!$B$8,"[Table2].[ReturnDate]","[Table2].[ReturnDate].&amp;["&amp;$A20&amp;"]"),NA())</f>
        <v>8966605.3100000005</v>
      </c>
      <c r="G20" s="20">
        <f>IFERROR(GETPIVOTDATA("[Measures].[Sum of AccrInterest]",'Results PT'!$B$8,"[Table2].[ReturnDate]","[Table2].[ReturnDate].&amp;["&amp;$A20&amp;"]"),NA())</f>
        <v>256429.26000000004</v>
      </c>
      <c r="H20" s="20">
        <f>IFERROR(GETPIVOTDATA("[Measures].[Sum of OtherIncome]",'Results PT'!$B$8,"[Table2].[ReturnDate]","[Table2].[ReturnDate].&amp;["&amp;$A20&amp;"]"),NA())</f>
        <v>970000</v>
      </c>
      <c r="I20" s="20">
        <f>IFERROR(GETPIVOTDATA("[Measures].[Sum of Expenses]",'Results PT'!$B$8,"[Table2].[ReturnDate]","[Table2].[ReturnDate].&amp;["&amp;$A20&amp;"]"),NA())</f>
        <v>-4954.51</v>
      </c>
      <c r="J20" s="20">
        <f>IFERROR(GETPIVOTDATA("[Measures].[Sum of PrincipalFunded]",'Results PT'!$B$8,"[Table2].[ReturnDate]","[Table2].[ReturnDate].&amp;["&amp;$A20&amp;"]"),NA())</f>
        <v>-82584476.920000002</v>
      </c>
      <c r="K20" s="20">
        <f>IFERROR(GETPIVOTDATA("[Measures].[Sum of PrincipalRepaid]",'Results PT'!$B$8,"[Table2].[ReturnDate]","[Table2].[ReturnDate].&amp;["&amp;$A20&amp;"]"),NA())</f>
        <v>14158272.100000001</v>
      </c>
      <c r="L20" s="20"/>
      <c r="M20" s="20">
        <f>IFERROR(GETPIVOTDATA("[Measures].[Sum of StartValue]",'Results PT'!$B$8,"[Table2].[ReturnDate]","[Table2].[ReturnDate].&amp;["&amp;$A20&amp;"]"),NA())</f>
        <v>1830593798.27</v>
      </c>
      <c r="N20" s="20">
        <f>IFERROR(GETPIVOTDATA("[Measures].[Sum of EndValue]",'Results PT'!$B$8,"[Table2].[ReturnDate]","[Table2].[ReturnDate].&amp;["&amp;$A20&amp;"]"),NA())</f>
        <v>1900434852.8</v>
      </c>
      <c r="O20" s="20">
        <f>IFERROR(GETPIVOTDATA("[Measures].[Sum of StartPrincipal]",'Results PT'!$B$8,"[Table2].[ReturnDate]","[Table2].[ReturnDate].&amp;["&amp;$A20&amp;"]"),NA())</f>
        <v>1887051759.4699996</v>
      </c>
      <c r="P20" s="20">
        <f>IFERROR(GETPIVOTDATA("[Measures].[Sum of EndPrincipal]",'Results PT'!$B$8,"[Table2].[ReturnDate]","[Table2].[ReturnDate].&amp;["&amp;$A20&amp;"]"),NA())</f>
        <v>1955734597.5999997</v>
      </c>
      <c r="Q20" s="20">
        <f>IFERROR(GETPIVOTDATA("[Measures].[Sum of StartNAV]",'Results PT'!$B$8,"[Table2].[ReturnDate]","[Table2].[ReturnDate].&amp;["&amp;$A20&amp;"]"),NA())</f>
        <v>1830593798.27</v>
      </c>
      <c r="R20" s="20">
        <f>IFERROR(GETPIVOTDATA("[Measures].[Sum of EndNAV]",'Results PT'!$B$8,"[Table2].[ReturnDate]","[Table2].[ReturnDate].&amp;["&amp;$A20&amp;"]"),NA())</f>
        <v>1900434852.8</v>
      </c>
      <c r="S20" s="20"/>
      <c r="T20" s="1">
        <f t="shared" si="9"/>
        <v>0</v>
      </c>
      <c r="U20" s="1">
        <f t="shared" si="10"/>
        <v>0</v>
      </c>
      <c r="V20">
        <f t="shared" si="11"/>
        <v>4</v>
      </c>
      <c r="W20" s="20">
        <f t="shared" si="0"/>
        <v>-58494554.020000003</v>
      </c>
      <c r="X20" s="20">
        <f t="shared" si="12"/>
        <v>11346500.50999999</v>
      </c>
      <c r="Y20" s="20">
        <f t="shared" si="1"/>
        <v>1859841075.28</v>
      </c>
      <c r="Z20" s="3">
        <f t="shared" si="13"/>
        <v>6.1007903636560827E-3</v>
      </c>
      <c r="AA20" s="20"/>
      <c r="AB20" s="20"/>
      <c r="AC20" s="20">
        <f>IFERROR(GETPIVOTDATA("[Measures].[Distinct Count of LoanID]",'Count PT'!$B$3,"[Table2].[ReturnDate]","[Table2].[ReturnDate].&amp;["&amp;$A20&amp;"]"),NA())</f>
        <v>50</v>
      </c>
      <c r="AD20" s="20">
        <f>GETPIVOTDATA("[Measures].[Distinct Count of ManagerCode 2]",'Count PT'!$B$3,"[Table2].[ReturnDate]","[Table2].[ReturnDate].&amp;["&amp;$A20&amp;"]")</f>
        <v>4</v>
      </c>
      <c r="AE20" s="20" t="b">
        <f t="shared" si="14"/>
        <v>1</v>
      </c>
      <c r="AF20" s="20" t="b">
        <f t="shared" si="15"/>
        <v>1</v>
      </c>
      <c r="AG20" s="20" t="b">
        <f t="shared" si="16"/>
        <v>1</v>
      </c>
      <c r="AI20" s="7">
        <f t="shared" si="2"/>
        <v>4.8211674799418409E-3</v>
      </c>
      <c r="AJ20" s="7">
        <f t="shared" si="3"/>
        <v>1.3787697422555016E-4</v>
      </c>
      <c r="AK20" s="7">
        <f t="shared" si="4"/>
        <v>5.2154993934305164E-4</v>
      </c>
      <c r="AL20" s="7">
        <f t="shared" si="17"/>
        <v>5.4805943935104431E-3</v>
      </c>
      <c r="AM20" s="7">
        <f t="shared" si="5"/>
        <v>-2.6639426700768483E-6</v>
      </c>
      <c r="AN20" s="7">
        <f t="shared" si="18"/>
        <v>5.4779304508403666E-3</v>
      </c>
      <c r="AO20" s="7">
        <f t="shared" si="19"/>
        <v>6.2285991281571616E-4</v>
      </c>
      <c r="AP20" s="7">
        <f t="shared" si="6"/>
        <v>6.1007903636560827E-3</v>
      </c>
      <c r="AQ20" s="7">
        <f t="shared" si="7"/>
        <v>4.9590444541673905E-3</v>
      </c>
      <c r="AS20" s="7">
        <f t="shared" si="20"/>
        <v>4.8211674799418409E-3</v>
      </c>
      <c r="AT20" s="7">
        <f t="shared" si="21"/>
        <v>1.3787697422555016E-4</v>
      </c>
      <c r="AU20" s="7">
        <f t="shared" si="22"/>
        <v>4.9590444541673913E-3</v>
      </c>
      <c r="AV20" s="7">
        <f t="shared" si="23"/>
        <v>5.2154993934305164E-4</v>
      </c>
      <c r="AW20" s="7">
        <f t="shared" si="24"/>
        <v>5.4805943935104431E-3</v>
      </c>
      <c r="AX20" s="7">
        <f t="shared" si="25"/>
        <v>-2.6639426700768483E-6</v>
      </c>
      <c r="AY20" s="7">
        <f t="shared" si="26"/>
        <v>5.4779304508403666E-3</v>
      </c>
      <c r="AZ20" s="7">
        <f t="shared" si="27"/>
        <v>6.2285991281571616E-4</v>
      </c>
      <c r="BA20" s="7">
        <f t="shared" si="28"/>
        <v>6.1007903636560827E-3</v>
      </c>
      <c r="BB20" s="7">
        <f t="shared" si="29"/>
        <v>4.9590444541673905E-3</v>
      </c>
      <c r="BD20">
        <f t="shared" si="30"/>
        <v>1</v>
      </c>
      <c r="BE20">
        <f t="shared" si="34"/>
        <v>1</v>
      </c>
      <c r="BF20" s="7" cm="1">
        <f t="array" ref="BF20">IF(ISNA($BA20),NA(),IF($BE20=0,"***",PRODUCT(1+AS18:AS20)-1))</f>
        <v>1.5852457869756753E-2</v>
      </c>
      <c r="BG20" s="7" cm="1">
        <f t="array" ref="BG20">IF(ISNA($BA20),NA(),IF($BE20=0,"***",PRODUCT(1+AT18:AT20)-1))</f>
        <v>2.9398607341102334E-4</v>
      </c>
      <c r="BH20" s="7" cm="1">
        <f t="array" ref="BH20">IF(ISNA($BA20),NA(),IF($BE20=0,"***",PRODUCT(1+AU18:AU20)-1))</f>
        <v>1.6149541224681707E-2</v>
      </c>
      <c r="BI20" s="7" cm="1">
        <f t="array" ref="BI20">IF(ISNA($BA20),NA(),IF($BE20=0,"***",PRODUCT(1+AV18:AV20)-1))</f>
        <v>1.0198958522535939E-3</v>
      </c>
      <c r="BJ20" s="7" cm="1">
        <f t="array" ref="BJ20">IF(ISNA($BA20),NA(),IF($BE20=0,"***",PRODUCT(1+AW18:AW20)-1))</f>
        <v>1.7180571569380021E-2</v>
      </c>
      <c r="BK20" s="7" cm="1">
        <f t="array" ref="BK20">IF(ISNA($BA20),NA(),IF($BE20=0,"***",PRODUCT(1+AX18:AX20)-1))</f>
        <v>-8.3611520729220956E-6</v>
      </c>
      <c r="BL20" s="7" cm="1">
        <f t="array" ref="BL20">IF(ISNA($BA20),NA(),IF($BE20=0,"***",PRODUCT(1+AY18:AY20)-1))</f>
        <v>1.7172114972450858E-2</v>
      </c>
      <c r="BM20" s="7" cm="1">
        <f t="array" ref="BM20">IF(ISNA($BA20),NA(),IF($BE20=0,"***",PRODUCT(1+AZ18:AZ20)-1))</f>
        <v>-1.1442928547182873E-3</v>
      </c>
      <c r="BN20" s="7" cm="1">
        <f t="array" ref="BN20">IF(ISNA($BA20),NA(),IF($BE20=0,"***",PRODUCT(1+BA18:BA20)-1))</f>
        <v>1.6012636662069202E-2</v>
      </c>
      <c r="BO20" s="7">
        <f t="shared" si="35"/>
        <v>-1.5185455663369041E-5</v>
      </c>
      <c r="BP20" s="7">
        <f t="shared" si="36"/>
        <v>1.6063587865358719E-2</v>
      </c>
    </row>
    <row r="21" spans="1:68" x14ac:dyDescent="0.25">
      <c r="A21" t="str">
        <f t="shared" si="31"/>
        <v>20121130</v>
      </c>
      <c r="B21">
        <f t="shared" si="32"/>
        <v>41243</v>
      </c>
      <c r="C21">
        <f t="shared" si="33"/>
        <v>2012</v>
      </c>
      <c r="D21">
        <v>11</v>
      </c>
      <c r="F21" s="20">
        <f>IFERROR(GETPIVOTDATA("[Measures].[Sum of CashInterest]",'Results PT'!$B$8,"[Table2].[ReturnDate]","[Table2].[ReturnDate].&amp;["&amp;$A21&amp;"]"),NA())</f>
        <v>9706435.9400000032</v>
      </c>
      <c r="G21" s="20">
        <f>IFERROR(GETPIVOTDATA("[Measures].[Sum of AccrInterest]",'Results PT'!$B$8,"[Table2].[ReturnDate]","[Table2].[ReturnDate].&amp;["&amp;$A21&amp;"]"),NA())</f>
        <v>292698.07</v>
      </c>
      <c r="H21" s="20">
        <f>IFERROR(GETPIVOTDATA("[Measures].[Sum of OtherIncome]",'Results PT'!$B$8,"[Table2].[ReturnDate]","[Table2].[ReturnDate].&amp;["&amp;$A21&amp;"]"),NA())</f>
        <v>2005397.79</v>
      </c>
      <c r="I21" s="20">
        <f>IFERROR(GETPIVOTDATA("[Measures].[Sum of Expenses]",'Results PT'!$B$8,"[Table2].[ReturnDate]","[Table2].[ReturnDate].&amp;["&amp;$A21&amp;"]"),NA())</f>
        <v>-5072.5600000000004</v>
      </c>
      <c r="J21" s="20">
        <f>IFERROR(GETPIVOTDATA("[Measures].[Sum of PrincipalFunded]",'Results PT'!$B$8,"[Table2].[ReturnDate]","[Table2].[ReturnDate].&amp;["&amp;$A21&amp;"]"),NA())</f>
        <v>-67390448.439999998</v>
      </c>
      <c r="K21" s="20">
        <f>IFERROR(GETPIVOTDATA("[Measures].[Sum of PrincipalRepaid]",'Results PT'!$B$8,"[Table2].[ReturnDate]","[Table2].[ReturnDate].&amp;["&amp;$A21&amp;"]"),NA())</f>
        <v>30996492.66</v>
      </c>
      <c r="L21" s="20"/>
      <c r="M21" s="20">
        <f>IFERROR(GETPIVOTDATA("[Measures].[Sum of StartValue]",'Results PT'!$B$8,"[Table2].[ReturnDate]","[Table2].[ReturnDate].&amp;["&amp;$A21&amp;"]"),NA())</f>
        <v>1900434852.8</v>
      </c>
      <c r="N21" s="20">
        <f>IFERROR(GETPIVOTDATA("[Measures].[Sum of EndValue]",'Results PT'!$B$8,"[Table2].[ReturnDate]","[Table2].[ReturnDate].&amp;["&amp;$A21&amp;"]"),NA())</f>
        <v>1940229425.4499998</v>
      </c>
      <c r="O21" s="20">
        <f>IFERROR(GETPIVOTDATA("[Measures].[Sum of StartPrincipal]",'Results PT'!$B$8,"[Table2].[ReturnDate]","[Table2].[ReturnDate].&amp;["&amp;$A21&amp;"]"),NA())</f>
        <v>1955734597.5999997</v>
      </c>
      <c r="P21" s="20">
        <f>IFERROR(GETPIVOTDATA("[Measures].[Sum of EndPrincipal]",'Results PT'!$B$8,"[Table2].[ReturnDate]","[Table2].[ReturnDate].&amp;["&amp;$A21&amp;"]"),NA())</f>
        <v>1992421455.5199995</v>
      </c>
      <c r="Q21" s="20">
        <f>IFERROR(GETPIVOTDATA("[Measures].[Sum of StartNAV]",'Results PT'!$B$8,"[Table2].[ReturnDate]","[Table2].[ReturnDate].&amp;["&amp;$A21&amp;"]"),NA())</f>
        <v>1900434852.8</v>
      </c>
      <c r="R21" s="20">
        <f>IFERROR(GETPIVOTDATA("[Measures].[Sum of EndNAV]",'Results PT'!$B$8,"[Table2].[ReturnDate]","[Table2].[ReturnDate].&amp;["&amp;$A21&amp;"]"),NA())</f>
        <v>1940229425.4499998</v>
      </c>
      <c r="S21" s="20"/>
      <c r="T21" s="1">
        <f t="shared" si="9"/>
        <v>0</v>
      </c>
      <c r="U21" s="1">
        <f t="shared" si="10"/>
        <v>0</v>
      </c>
      <c r="V21">
        <f t="shared" si="11"/>
        <v>4</v>
      </c>
      <c r="W21" s="20">
        <f t="shared" si="0"/>
        <v>-24687194.609999996</v>
      </c>
      <c r="X21" s="20">
        <f t="shared" si="12"/>
        <v>15107378.039999962</v>
      </c>
      <c r="Y21" s="20">
        <f t="shared" si="1"/>
        <v>1912778450.105</v>
      </c>
      <c r="Z21" s="3">
        <f t="shared" si="13"/>
        <v>7.8981327080356097E-3</v>
      </c>
      <c r="AA21" s="20"/>
      <c r="AB21" s="20"/>
      <c r="AC21" s="20">
        <f>IFERROR(GETPIVOTDATA("[Measures].[Distinct Count of LoanID]",'Count PT'!$B$3,"[Table2].[ReturnDate]","[Table2].[ReturnDate].&amp;["&amp;$A21&amp;"]"),NA())</f>
        <v>52</v>
      </c>
      <c r="AD21" s="20">
        <f>GETPIVOTDATA("[Measures].[Distinct Count of ManagerCode 2]",'Count PT'!$B$3,"[Table2].[ReturnDate]","[Table2].[ReturnDate].&amp;["&amp;$A21&amp;"]")</f>
        <v>4</v>
      </c>
      <c r="AE21" s="20" t="b">
        <f t="shared" si="14"/>
        <v>1</v>
      </c>
      <c r="AF21" s="20" t="b">
        <f t="shared" si="15"/>
        <v>1</v>
      </c>
      <c r="AG21" s="20" t="b">
        <f t="shared" si="16"/>
        <v>1</v>
      </c>
      <c r="AI21" s="7">
        <f t="shared" si="2"/>
        <v>5.074521798103266E-3</v>
      </c>
      <c r="AJ21" s="7">
        <f t="shared" si="3"/>
        <v>1.5302246320473374E-4</v>
      </c>
      <c r="AK21" s="7">
        <f t="shared" si="4"/>
        <v>1.0484213631170487E-3</v>
      </c>
      <c r="AL21" s="7">
        <f t="shared" si="17"/>
        <v>6.2759656244250487E-3</v>
      </c>
      <c r="AM21" s="7">
        <f t="shared" si="5"/>
        <v>-2.6519328465466284E-6</v>
      </c>
      <c r="AN21" s="7">
        <f t="shared" si="18"/>
        <v>6.2733136915785019E-3</v>
      </c>
      <c r="AO21" s="7">
        <f t="shared" si="19"/>
        <v>1.6248190164571078E-3</v>
      </c>
      <c r="AP21" s="7">
        <f t="shared" si="6"/>
        <v>7.8981327080356097E-3</v>
      </c>
      <c r="AQ21" s="7">
        <f t="shared" si="7"/>
        <v>5.2275442613080002E-3</v>
      </c>
      <c r="AS21" s="7">
        <f t="shared" si="20"/>
        <v>5.074521798103266E-3</v>
      </c>
      <c r="AT21" s="7">
        <f t="shared" si="21"/>
        <v>1.5302246320473374E-4</v>
      </c>
      <c r="AU21" s="7">
        <f t="shared" si="22"/>
        <v>5.2275442613080002E-3</v>
      </c>
      <c r="AV21" s="7">
        <f t="shared" si="23"/>
        <v>1.0484213631170487E-3</v>
      </c>
      <c r="AW21" s="7">
        <f t="shared" si="24"/>
        <v>6.2759656244250487E-3</v>
      </c>
      <c r="AX21" s="7">
        <f t="shared" si="25"/>
        <v>-2.6519328465466284E-6</v>
      </c>
      <c r="AY21" s="7">
        <f t="shared" si="26"/>
        <v>6.2733136915785019E-3</v>
      </c>
      <c r="AZ21" s="7">
        <f t="shared" si="27"/>
        <v>1.6248190164571078E-3</v>
      </c>
      <c r="BA21" s="7">
        <f t="shared" si="28"/>
        <v>7.8981327080356097E-3</v>
      </c>
      <c r="BB21" s="7">
        <f t="shared" si="29"/>
        <v>5.2275442613080002E-3</v>
      </c>
      <c r="BD21">
        <f t="shared" si="30"/>
        <v>1</v>
      </c>
      <c r="BE21">
        <f t="shared" si="34"/>
        <v>1</v>
      </c>
      <c r="BF21" s="7" cm="1">
        <f t="array" ref="BF21">IF(ISNA($BA21),NA(),IF($BE21=0,"***",PRODUCT(1+AS19:AS21)-1))</f>
        <v>1.5192569913869969E-2</v>
      </c>
      <c r="BG21" s="7" cm="1">
        <f t="array" ref="BG21">IF(ISNA($BA21),NA(),IF($BE21=0,"***",PRODUCT(1+AT19:AT21)-1))</f>
        <v>3.1485140381115606E-4</v>
      </c>
      <c r="BH21" s="7" cm="1">
        <f t="array" ref="BH21">IF(ISNA($BA21),NA(),IF($BE21=0,"***",PRODUCT(1+AU19:AU21)-1))</f>
        <v>1.5510622379070638E-2</v>
      </c>
      <c r="BI21" s="7" cm="1">
        <f t="array" ref="BI21">IF(ISNA($BA21),NA(),IF($BE21=0,"***",PRODUCT(1+AV19:AV21)-1))</f>
        <v>1.9436703618145312E-3</v>
      </c>
      <c r="BJ21" s="7" cm="1">
        <f t="array" ref="BJ21">IF(ISNA($BA21),NA(),IF($BE21=0,"***",PRODUCT(1+AW19:AW21)-1))</f>
        <v>1.7474304360590276E-2</v>
      </c>
      <c r="BK21" s="7" cm="1">
        <f t="array" ref="BK21">IF(ISNA($BA21),NA(),IF($BE21=0,"***",PRODUCT(1+AX19:AX21)-1))</f>
        <v>-8.137846481792721E-6</v>
      </c>
      <c r="BL21" s="7" cm="1">
        <f t="array" ref="BL21">IF(ISNA($BA21),NA(),IF($BE21=0,"***",PRODUCT(1+AY19:AY21)-1))</f>
        <v>1.7466071951812712E-2</v>
      </c>
      <c r="BM21" s="7" cm="1">
        <f t="array" ref="BM21">IF(ISNA($BA21),NA(),IF($BE21=0,"***",PRODUCT(1+AZ19:AZ21)-1))</f>
        <v>-6.1158245492527463E-3</v>
      </c>
      <c r="BN21" s="7" cm="1">
        <f t="array" ref="BN21">IF(ISNA($BA21),NA(),IF($BE21=0,"***",PRODUCT(1+BA19:BA21)-1))</f>
        <v>1.1277285545943982E-2</v>
      </c>
      <c r="BO21" s="7">
        <f t="shared" si="35"/>
        <v>-7.2961856615982867E-5</v>
      </c>
      <c r="BP21" s="7">
        <f t="shared" si="36"/>
        <v>1.5431138723023825E-2</v>
      </c>
    </row>
    <row r="22" spans="1:68" x14ac:dyDescent="0.25">
      <c r="A22" t="str">
        <f t="shared" si="31"/>
        <v>20121231</v>
      </c>
      <c r="B22">
        <f t="shared" si="32"/>
        <v>41274</v>
      </c>
      <c r="C22">
        <f t="shared" si="33"/>
        <v>2012</v>
      </c>
      <c r="D22">
        <v>12</v>
      </c>
      <c r="F22" s="20">
        <f>IFERROR(GETPIVOTDATA("[Measures].[Sum of CashInterest]",'Results PT'!$B$8,"[Table2].[ReturnDate]","[Table2].[ReturnDate].&amp;["&amp;$A22&amp;"]"),NA())</f>
        <v>16761173.220000001</v>
      </c>
      <c r="G22" s="20">
        <f>IFERROR(GETPIVOTDATA("[Measures].[Sum of AccrInterest]",'Results PT'!$B$8,"[Table2].[ReturnDate]","[Table2].[ReturnDate].&amp;["&amp;$A22&amp;"]"),NA())</f>
        <v>434416.46</v>
      </c>
      <c r="H22" s="20">
        <f>IFERROR(GETPIVOTDATA("[Measures].[Sum of OtherIncome]",'Results PT'!$B$8,"[Table2].[ReturnDate]","[Table2].[ReturnDate].&amp;["&amp;$A22&amp;"]"),NA())</f>
        <v>2126519.9699999997</v>
      </c>
      <c r="I22" s="20">
        <f>IFERROR(GETPIVOTDATA("[Measures].[Sum of Expenses]",'Results PT'!$B$8,"[Table2].[ReturnDate]","[Table2].[ReturnDate].&amp;["&amp;$A22&amp;"]"),NA())</f>
        <v>-3829.7000000000003</v>
      </c>
      <c r="J22" s="20">
        <f>IFERROR(GETPIVOTDATA("[Measures].[Sum of PrincipalFunded]",'Results PT'!$B$8,"[Table2].[ReturnDate]","[Table2].[ReturnDate].&amp;["&amp;$A22&amp;"]"),NA())</f>
        <v>-161810686.23000002</v>
      </c>
      <c r="K22" s="20">
        <f>IFERROR(GETPIVOTDATA("[Measures].[Sum of PrincipalRepaid]",'Results PT'!$B$8,"[Table2].[ReturnDate]","[Table2].[ReturnDate].&amp;["&amp;$A22&amp;"]"),NA())</f>
        <v>28922647.789999999</v>
      </c>
      <c r="L22" s="20"/>
      <c r="M22" s="20">
        <f>IFERROR(GETPIVOTDATA("[Measures].[Sum of StartValue]",'Results PT'!$B$8,"[Table2].[ReturnDate]","[Table2].[ReturnDate].&amp;["&amp;$A22&amp;"]"),NA())</f>
        <v>1940229425.4499998</v>
      </c>
      <c r="N22" s="20">
        <f>IFERROR(GETPIVOTDATA("[Measures].[Sum of EndValue]",'Results PT'!$B$8,"[Table2].[ReturnDate]","[Table2].[ReturnDate].&amp;["&amp;$A22&amp;"]"),NA())</f>
        <v>2076898838.9499998</v>
      </c>
      <c r="O22" s="20">
        <f>IFERROR(GETPIVOTDATA("[Measures].[Sum of StartPrincipal]",'Results PT'!$B$8,"[Table2].[ReturnDate]","[Table2].[ReturnDate].&amp;["&amp;$A22&amp;"]"),NA())</f>
        <v>1992421455.5199995</v>
      </c>
      <c r="P22" s="20">
        <f>IFERROR(GETPIVOTDATA("[Measures].[Sum of EndPrincipal]",'Results PT'!$B$8,"[Table2].[ReturnDate]","[Table2].[ReturnDate].&amp;["&amp;$A22&amp;"]"),NA())</f>
        <v>2125744114.4999998</v>
      </c>
      <c r="Q22" s="20">
        <f>IFERROR(GETPIVOTDATA("[Measures].[Sum of StartNAV]",'Results PT'!$B$8,"[Table2].[ReturnDate]","[Table2].[ReturnDate].&amp;["&amp;$A22&amp;"]"),NA())</f>
        <v>1940229425.4499998</v>
      </c>
      <c r="R22" s="20">
        <f>IFERROR(GETPIVOTDATA("[Measures].[Sum of EndNAV]",'Results PT'!$B$8,"[Table2].[ReturnDate]","[Table2].[ReturnDate].&amp;["&amp;$A22&amp;"]"),NA())</f>
        <v>2076898838.9499998</v>
      </c>
      <c r="S22" s="20"/>
      <c r="T22" s="1">
        <f t="shared" si="9"/>
        <v>0</v>
      </c>
      <c r="U22" s="1">
        <f t="shared" si="10"/>
        <v>0</v>
      </c>
      <c r="V22">
        <f t="shared" si="11"/>
        <v>4</v>
      </c>
      <c r="W22" s="20">
        <f t="shared" si="0"/>
        <v>-114004174.95000002</v>
      </c>
      <c r="X22" s="20">
        <f t="shared" si="12"/>
        <v>22665238.549999952</v>
      </c>
      <c r="Y22" s="20">
        <f t="shared" si="1"/>
        <v>1997231512.9249997</v>
      </c>
      <c r="Z22" s="3">
        <f t="shared" si="13"/>
        <v>1.1348328124868256E-2</v>
      </c>
      <c r="AA22" s="20"/>
      <c r="AB22" s="20"/>
      <c r="AC22" s="20">
        <f>IFERROR(GETPIVOTDATA("[Measures].[Distinct Count of LoanID]",'Count PT'!$B$3,"[Table2].[ReturnDate]","[Table2].[ReturnDate].&amp;["&amp;$A22&amp;"]"),NA())</f>
        <v>60</v>
      </c>
      <c r="AD22" s="20">
        <f>GETPIVOTDATA("[Measures].[Distinct Count of ManagerCode 2]",'Count PT'!$B$3,"[Table2].[ReturnDate]","[Table2].[ReturnDate].&amp;["&amp;$A22&amp;"]")</f>
        <v>4</v>
      </c>
      <c r="AE22" s="20" t="b">
        <f t="shared" si="14"/>
        <v>1</v>
      </c>
      <c r="AF22" s="20" t="b">
        <f t="shared" si="15"/>
        <v>1</v>
      </c>
      <c r="AG22" s="20" t="b">
        <f t="shared" si="16"/>
        <v>1</v>
      </c>
      <c r="AI22" s="7">
        <f t="shared" si="2"/>
        <v>8.3922034634096119E-3</v>
      </c>
      <c r="AJ22" s="7">
        <f t="shared" si="3"/>
        <v>2.1750931586483199E-4</v>
      </c>
      <c r="AK22" s="7">
        <f t="shared" si="4"/>
        <v>1.0647338359315458E-3</v>
      </c>
      <c r="AL22" s="7">
        <f t="shared" si="17"/>
        <v>9.6744466152059901E-3</v>
      </c>
      <c r="AM22" s="7">
        <f t="shared" si="5"/>
        <v>-1.9175042929256111E-6</v>
      </c>
      <c r="AN22" s="7">
        <f t="shared" si="18"/>
        <v>9.6725291109130643E-3</v>
      </c>
      <c r="AO22" s="7">
        <f t="shared" si="19"/>
        <v>1.6757990139551916E-3</v>
      </c>
      <c r="AP22" s="7">
        <f t="shared" si="6"/>
        <v>1.1348328124868256E-2</v>
      </c>
      <c r="AQ22" s="7">
        <f t="shared" si="7"/>
        <v>8.6097127792744421E-3</v>
      </c>
      <c r="AS22" s="7">
        <f t="shared" si="20"/>
        <v>8.3922034634096119E-3</v>
      </c>
      <c r="AT22" s="7">
        <f t="shared" si="21"/>
        <v>2.1750931586483199E-4</v>
      </c>
      <c r="AU22" s="7">
        <f t="shared" si="22"/>
        <v>8.6097127792744439E-3</v>
      </c>
      <c r="AV22" s="7">
        <f t="shared" si="23"/>
        <v>1.0647338359315458E-3</v>
      </c>
      <c r="AW22" s="7">
        <f t="shared" si="24"/>
        <v>9.6744466152059901E-3</v>
      </c>
      <c r="AX22" s="7">
        <f t="shared" si="25"/>
        <v>-1.9175042929256111E-6</v>
      </c>
      <c r="AY22" s="7">
        <f t="shared" si="26"/>
        <v>9.6725291109130643E-3</v>
      </c>
      <c r="AZ22" s="7">
        <f t="shared" si="27"/>
        <v>1.6757990139551916E-3</v>
      </c>
      <c r="BA22" s="7">
        <f t="shared" si="28"/>
        <v>1.1348328124868256E-2</v>
      </c>
      <c r="BB22" s="7">
        <f t="shared" si="29"/>
        <v>8.6097127792744421E-3</v>
      </c>
      <c r="BD22">
        <f t="shared" si="30"/>
        <v>1</v>
      </c>
      <c r="BE22">
        <f t="shared" si="34"/>
        <v>1</v>
      </c>
      <c r="BF22" s="7" cm="1">
        <f t="array" ref="BF22">IF(ISNA($BA22),NA(),IF($BE22=0,"***",PRODUCT(1+AS20:AS22)-1))</f>
        <v>1.8395609815016201E-2</v>
      </c>
      <c r="BG22" s="7" cm="1">
        <f t="array" ref="BG22">IF(ISNA($BA22),NA(),IF($BE22=0,"***",PRODUCT(1+AT20:AT22)-1))</f>
        <v>5.0849312949585723E-4</v>
      </c>
      <c r="BH22" s="7" cm="1">
        <f t="array" ref="BH22">IF(ISNA($BA22),NA(),IF($BE22=0,"***",PRODUCT(1+AU20:AU22)-1))</f>
        <v>1.8910151917128637E-2</v>
      </c>
      <c r="BI22" s="7" cm="1">
        <f t="array" ref="BI22">IF(ISNA($BA22),NA(),IF($BE22=0,"***",PRODUCT(1+AV20:AV22)-1))</f>
        <v>2.6369241262578225E-3</v>
      </c>
      <c r="BJ22" s="7" cm="1">
        <f t="array" ref="BJ22">IF(ISNA($BA22),NA(),IF($BE22=0,"***",PRODUCT(1+AW20:AW22)-1))</f>
        <v>2.1579473629907087E-2</v>
      </c>
      <c r="BK22" s="7" cm="1">
        <f t="array" ref="BK22">IF(ISNA($BA22),NA(),IF($BE22=0,"***",PRODUCT(1+AX20:AX22)-1))</f>
        <v>-7.2333625518172795E-6</v>
      </c>
      <c r="BL22" s="7" cm="1">
        <f t="array" ref="BL22">IF(ISNA($BA22),NA(),IF($BE22=0,"***",PRODUCT(1+AY20:AY22)-1))</f>
        <v>2.1572134674784804E-2</v>
      </c>
      <c r="BM22" s="7" cm="1">
        <f t="array" ref="BM22">IF(ISNA($BA22),NA(),IF($BE22=0,"***",PRODUCT(1+AZ20:AZ22)-1))</f>
        <v>3.9282583319590891E-3</v>
      </c>
      <c r="BN22" s="7" cm="1">
        <f t="array" ref="BN22">IF(ISNA($BA22),NA(),IF($BE22=0,"***",PRODUCT(1+BA20:BA22)-1))</f>
        <v>2.5554847238398626E-2</v>
      </c>
      <c r="BO22" s="7">
        <f t="shared" si="35"/>
        <v>5.445423165473251E-5</v>
      </c>
      <c r="BP22" s="7">
        <f t="shared" si="36"/>
        <v>1.8796301494749833E-2</v>
      </c>
    </row>
    <row r="23" spans="1:68" x14ac:dyDescent="0.25">
      <c r="A23" t="str">
        <f t="shared" si="31"/>
        <v>20130131</v>
      </c>
      <c r="B23">
        <f t="shared" si="32"/>
        <v>41305</v>
      </c>
      <c r="C23">
        <v>2013</v>
      </c>
      <c r="D23">
        <v>1</v>
      </c>
      <c r="F23" s="20">
        <f>IFERROR(GETPIVOTDATA("[Measures].[Sum of CashInterest]",'Results PT'!$B$8,"[Table2].[ReturnDate]","[Table2].[ReturnDate].&amp;["&amp;$A23&amp;"]"),NA())</f>
        <v>8809807.9100000001</v>
      </c>
      <c r="G23" s="20">
        <f>IFERROR(GETPIVOTDATA("[Measures].[Sum of AccrInterest]",'Results PT'!$B$8,"[Table2].[ReturnDate]","[Table2].[ReturnDate].&amp;["&amp;$A23&amp;"]"),NA())</f>
        <v>483813.40999999992</v>
      </c>
      <c r="H23" s="20">
        <f>IFERROR(GETPIVOTDATA("[Measures].[Sum of OtherIncome]",'Results PT'!$B$8,"[Table2].[ReturnDate]","[Table2].[ReturnDate].&amp;["&amp;$A23&amp;"]"),NA())</f>
        <v>147175.6</v>
      </c>
      <c r="I23" s="20">
        <f>IFERROR(GETPIVOTDATA("[Measures].[Sum of Expenses]",'Results PT'!$B$8,"[Table2].[ReturnDate]","[Table2].[ReturnDate].&amp;["&amp;$A23&amp;"]"),NA())</f>
        <v>-3942.0200000000004</v>
      </c>
      <c r="J23" s="20">
        <f>IFERROR(GETPIVOTDATA("[Measures].[Sum of PrincipalFunded]",'Results PT'!$B$8,"[Table2].[ReturnDate]","[Table2].[ReturnDate].&amp;["&amp;$A23&amp;"]"),NA())</f>
        <v>-69902060.829999998</v>
      </c>
      <c r="K23" s="20">
        <f>IFERROR(GETPIVOTDATA("[Measures].[Sum of PrincipalRepaid]",'Results PT'!$B$8,"[Table2].[ReturnDate]","[Table2].[ReturnDate].&amp;["&amp;$A23&amp;"]"),NA())</f>
        <v>2349983.2400000002</v>
      </c>
      <c r="L23" s="20"/>
      <c r="M23" s="20">
        <f>IFERROR(GETPIVOTDATA("[Measures].[Sum of StartValue]",'Results PT'!$B$8,"[Table2].[ReturnDate]","[Table2].[ReturnDate].&amp;["&amp;$A23&amp;"]"),NA())</f>
        <v>2076898838.9499998</v>
      </c>
      <c r="N23" s="20">
        <f>IFERROR(GETPIVOTDATA("[Measures].[Sum of EndValue]",'Results PT'!$B$8,"[Table2].[ReturnDate]","[Table2].[ReturnDate].&amp;["&amp;$A23&amp;"]"),NA())</f>
        <v>2142527754.1699998</v>
      </c>
      <c r="O23" s="20">
        <f>IFERROR(GETPIVOTDATA("[Measures].[Sum of StartPrincipal]",'Results PT'!$B$8,"[Table2].[ReturnDate]","[Table2].[ReturnDate].&amp;["&amp;$A23&amp;"]"),NA())</f>
        <v>2125744114.4999998</v>
      </c>
      <c r="P23" s="20">
        <f>IFERROR(GETPIVOTDATA("[Measures].[Sum of EndPrincipal]",'Results PT'!$B$8,"[Table2].[ReturnDate]","[Table2].[ReturnDate].&amp;["&amp;$A23&amp;"]"),NA())</f>
        <v>2193780209.5899997</v>
      </c>
      <c r="Q23" s="20">
        <f>IFERROR(GETPIVOTDATA("[Measures].[Sum of StartNAV]",'Results PT'!$B$8,"[Table2].[ReturnDate]","[Table2].[ReturnDate].&amp;["&amp;$A23&amp;"]"),NA())</f>
        <v>2076898838.9499998</v>
      </c>
      <c r="R23" s="20">
        <f>IFERROR(GETPIVOTDATA("[Measures].[Sum of EndNAV]",'Results PT'!$B$8,"[Table2].[ReturnDate]","[Table2].[ReturnDate].&amp;["&amp;$A23&amp;"]"),NA())</f>
        <v>2142527754.1699998</v>
      </c>
      <c r="S23" s="20"/>
      <c r="T23" s="1">
        <f t="shared" si="9"/>
        <v>0</v>
      </c>
      <c r="U23" s="1">
        <f t="shared" si="10"/>
        <v>0</v>
      </c>
      <c r="V23">
        <f t="shared" si="11"/>
        <v>4</v>
      </c>
      <c r="W23" s="20">
        <f t="shared" si="0"/>
        <v>-58599036.099999994</v>
      </c>
      <c r="X23" s="20">
        <f t="shared" si="12"/>
        <v>7029879.120000124</v>
      </c>
      <c r="Y23" s="20">
        <f t="shared" si="1"/>
        <v>2106198356.9999998</v>
      </c>
      <c r="Z23" s="3">
        <f t="shared" si="13"/>
        <v>3.3377099059241763E-3</v>
      </c>
      <c r="AA23" s="20"/>
      <c r="AC23" s="20">
        <f>IFERROR(GETPIVOTDATA("[Measures].[Distinct Count of LoanID]",'Count PT'!$B$3,"[Table2].[ReturnDate]","[Table2].[ReturnDate].&amp;["&amp;$A23&amp;"]"),NA())</f>
        <v>61</v>
      </c>
      <c r="AD23" s="20">
        <f>GETPIVOTDATA("[Measures].[Distinct Count of ManagerCode 2]",'Count PT'!$B$3,"[Table2].[ReturnDate]","[Table2].[ReturnDate].&amp;["&amp;$A23&amp;"]")</f>
        <v>4</v>
      </c>
      <c r="AE23" s="20" t="b">
        <f t="shared" si="14"/>
        <v>1</v>
      </c>
      <c r="AF23" s="20" t="b">
        <f t="shared" si="15"/>
        <v>1</v>
      </c>
      <c r="AG23" s="20" t="b">
        <f t="shared" si="16"/>
        <v>1</v>
      </c>
      <c r="AI23" s="7">
        <f t="shared" si="2"/>
        <v>4.1828006753117037E-3</v>
      </c>
      <c r="AJ23" s="7">
        <f t="shared" si="3"/>
        <v>2.2970932836977802E-4</v>
      </c>
      <c r="AK23" s="7">
        <f t="shared" si="4"/>
        <v>6.9877369104794155E-5</v>
      </c>
      <c r="AL23" s="7">
        <f t="shared" si="17"/>
        <v>4.4823873727862758E-3</v>
      </c>
      <c r="AM23" s="7">
        <f t="shared" si="5"/>
        <v>-1.8716280861670053E-6</v>
      </c>
      <c r="AN23" s="7">
        <f t="shared" si="18"/>
        <v>4.4805157447001089E-3</v>
      </c>
      <c r="AO23" s="7">
        <f t="shared" si="19"/>
        <v>-1.1428058387759326E-3</v>
      </c>
      <c r="AP23" s="7">
        <f t="shared" si="6"/>
        <v>3.3377099059241763E-3</v>
      </c>
      <c r="AQ23" s="7">
        <f t="shared" si="7"/>
        <v>4.4125100036814819E-3</v>
      </c>
      <c r="AS23" s="7">
        <f t="shared" si="20"/>
        <v>4.1828006753117037E-3</v>
      </c>
      <c r="AT23" s="7">
        <f t="shared" si="21"/>
        <v>2.2970932836977802E-4</v>
      </c>
      <c r="AU23" s="7">
        <f t="shared" si="22"/>
        <v>4.4125100036814819E-3</v>
      </c>
      <c r="AV23" s="7">
        <f t="shared" si="23"/>
        <v>6.9877369104794155E-5</v>
      </c>
      <c r="AW23" s="7">
        <f t="shared" si="24"/>
        <v>4.4823873727862758E-3</v>
      </c>
      <c r="AX23" s="7">
        <f t="shared" si="25"/>
        <v>-1.8716280861670053E-6</v>
      </c>
      <c r="AY23" s="7">
        <f t="shared" si="26"/>
        <v>4.4805157447001089E-3</v>
      </c>
      <c r="AZ23" s="7">
        <f t="shared" si="27"/>
        <v>-1.1428058387759326E-3</v>
      </c>
      <c r="BA23" s="7">
        <f t="shared" si="28"/>
        <v>3.3377099059241763E-3</v>
      </c>
      <c r="BB23" s="7">
        <f t="shared" si="29"/>
        <v>4.4125100036814819E-3</v>
      </c>
      <c r="BD23">
        <f t="shared" si="30"/>
        <v>1</v>
      </c>
      <c r="BE23">
        <f t="shared" si="34"/>
        <v>1</v>
      </c>
      <c r="BF23" s="7" cm="1">
        <f t="array" ref="BF23">IF(ISNA($BA23),NA(),IF($BE23=0,"***",PRODUCT(1+AS21:AS23)-1))</f>
        <v>1.7748619114255737E-2</v>
      </c>
      <c r="BG23" s="7" cm="1">
        <f t="array" ref="BG23">IF(ISNA($BA23),NA(),IF($BE23=0,"***",PRODUCT(1+AT21:AT23)-1))</f>
        <v>6.0035951350223549E-4</v>
      </c>
      <c r="BH23" s="7" cm="1">
        <f t="array" ref="BH23">IF(ISNA($BA23),NA(),IF($BE23=0,"***",PRODUCT(1+AU21:AU23)-1))</f>
        <v>1.8356030330735962E-2</v>
      </c>
      <c r="BI23" s="7" cm="1">
        <f t="array" ref="BI23">IF(ISNA($BA23),NA(),IF($BE23=0,"***",PRODUCT(1+AV21:AV23)-1))</f>
        <v>2.1842965975820139E-3</v>
      </c>
      <c r="BJ23" s="7" cm="1">
        <f t="array" ref="BJ23">IF(ISNA($BA23),NA(),IF($BE23=0,"***",PRODUCT(1+AW21:AW23)-1))</f>
        <v>2.056528418807102E-2</v>
      </c>
      <c r="BK23" s="7" cm="1">
        <f t="array" ref="BK23">IF(ISNA($BA23),NA(),IF($BE23=0,"***",PRODUCT(1+AX21:AX23)-1))</f>
        <v>-6.4410515883128738E-6</v>
      </c>
      <c r="BL23" s="7" cm="1">
        <f t="array" ref="BL23">IF(ISNA($BA23),NA(),IF($BE23=0,"***",PRODUCT(1+AY21:AY23)-1))</f>
        <v>2.0558754828594594E-2</v>
      </c>
      <c r="BM23" s="7" cm="1">
        <f t="array" ref="BM23">IF(ISNA($BA23),NA(),IF($BE23=0,"***",PRODUCT(1+AZ21:AZ23)-1))</f>
        <v>2.1567599844733998E-3</v>
      </c>
      <c r="BN23" s="7" cm="1">
        <f t="array" ref="BN23">IF(ISNA($BA23),NA(),IF($BE23=0,"***",PRODUCT(1+BA21:BA23)-1))</f>
        <v>2.2738339604295277E-2</v>
      </c>
      <c r="BO23" s="7">
        <f t="shared" si="35"/>
        <v>2.2824791227282759E-5</v>
      </c>
      <c r="BP23" s="7">
        <f t="shared" si="36"/>
        <v>1.8249767044263926E-2</v>
      </c>
    </row>
    <row r="24" spans="1:68" x14ac:dyDescent="0.25">
      <c r="A24" t="str">
        <f t="shared" si="31"/>
        <v>20130228</v>
      </c>
      <c r="B24">
        <f t="shared" si="32"/>
        <v>41333</v>
      </c>
      <c r="C24">
        <v>2013</v>
      </c>
      <c r="D24">
        <v>2</v>
      </c>
      <c r="F24" s="20">
        <f>IFERROR(GETPIVOTDATA("[Measures].[Sum of CashInterest]",'Results PT'!$B$8,"[Table2].[ReturnDate]","[Table2].[ReturnDate].&amp;["&amp;$A24&amp;"]"),NA())</f>
        <v>12946852.889999999</v>
      </c>
      <c r="G24" s="20">
        <f>IFERROR(GETPIVOTDATA("[Measures].[Sum of AccrInterest]",'Results PT'!$B$8,"[Table2].[ReturnDate]","[Table2].[ReturnDate].&amp;["&amp;$A24&amp;"]"),NA())</f>
        <v>524777.55999999994</v>
      </c>
      <c r="H24" s="20">
        <f>IFERROR(GETPIVOTDATA("[Measures].[Sum of OtherIncome]",'Results PT'!$B$8,"[Table2].[ReturnDate]","[Table2].[ReturnDate].&amp;["&amp;$A24&amp;"]"),NA())</f>
        <v>1289994.4100000001</v>
      </c>
      <c r="I24" s="20">
        <f>IFERROR(GETPIVOTDATA("[Measures].[Sum of Expenses]",'Results PT'!$B$8,"[Table2].[ReturnDate]","[Table2].[ReturnDate].&amp;["&amp;$A24&amp;"]"),NA())</f>
        <v>-128533.42</v>
      </c>
      <c r="J24" s="20">
        <f>IFERROR(GETPIVOTDATA("[Measures].[Sum of PrincipalFunded]",'Results PT'!$B$8,"[Table2].[ReturnDate]","[Table2].[ReturnDate].&amp;["&amp;$A24&amp;"]"),NA())</f>
        <v>-9161698.7699999996</v>
      </c>
      <c r="K24" s="20">
        <f>IFERROR(GETPIVOTDATA("[Measures].[Sum of PrincipalRepaid]",'Results PT'!$B$8,"[Table2].[ReturnDate]","[Table2].[ReturnDate].&amp;["&amp;$A24&amp;"]"),NA())</f>
        <v>120838054.18999998</v>
      </c>
      <c r="L24" s="20"/>
      <c r="M24" s="20">
        <f>IFERROR(GETPIVOTDATA("[Measures].[Sum of StartValue]",'Results PT'!$B$8,"[Table2].[ReturnDate]","[Table2].[ReturnDate].&amp;["&amp;$A24&amp;"]"),NA())</f>
        <v>2142527754.1699998</v>
      </c>
      <c r="N24" s="20">
        <f>IFERROR(GETPIVOTDATA("[Measures].[Sum of EndValue]",'Results PT'!$B$8,"[Table2].[ReturnDate]","[Table2].[ReturnDate].&amp;["&amp;$A24&amp;"]"),NA())</f>
        <v>2037244407.1499999</v>
      </c>
      <c r="O24" s="20">
        <f>IFERROR(GETPIVOTDATA("[Measures].[Sum of StartPrincipal]",'Results PT'!$B$8,"[Table2].[ReturnDate]","[Table2].[ReturnDate].&amp;["&amp;$A24&amp;"]"),NA())</f>
        <v>2193780209.5899997</v>
      </c>
      <c r="P24" s="20">
        <f>IFERROR(GETPIVOTDATA("[Measures].[Sum of EndPrincipal]",'Results PT'!$B$8,"[Table2].[ReturnDate]","[Table2].[ReturnDate].&amp;["&amp;$A24&amp;"]"),NA())</f>
        <v>2082628835.78</v>
      </c>
      <c r="Q24" s="20">
        <f>IFERROR(GETPIVOTDATA("[Measures].[Sum of StartNAV]",'Results PT'!$B$8,"[Table2].[ReturnDate]","[Table2].[ReturnDate].&amp;["&amp;$A24&amp;"]"),NA())</f>
        <v>2142527754.1699998</v>
      </c>
      <c r="R24" s="20">
        <f>IFERROR(GETPIVOTDATA("[Measures].[Sum of EndNAV]",'Results PT'!$B$8,"[Table2].[ReturnDate]","[Table2].[ReturnDate].&amp;["&amp;$A24&amp;"]"),NA())</f>
        <v>2037244407.1499999</v>
      </c>
      <c r="S24" s="20"/>
      <c r="T24" s="1">
        <f t="shared" si="9"/>
        <v>0</v>
      </c>
      <c r="U24" s="1">
        <f t="shared" si="10"/>
        <v>0</v>
      </c>
      <c r="V24">
        <f t="shared" si="11"/>
        <v>4</v>
      </c>
      <c r="W24" s="20">
        <f t="shared" si="0"/>
        <v>125784669.29999998</v>
      </c>
      <c r="X24" s="20">
        <f t="shared" si="12"/>
        <v>20501322.279999971</v>
      </c>
      <c r="Y24" s="20">
        <f t="shared" si="1"/>
        <v>2079635419.5199997</v>
      </c>
      <c r="Z24" s="3">
        <f t="shared" si="13"/>
        <v>9.858132866736747E-3</v>
      </c>
      <c r="AA24" s="20"/>
      <c r="AC24" s="20">
        <f>IFERROR(GETPIVOTDATA("[Measures].[Distinct Count of LoanID]",'Count PT'!$B$3,"[Table2].[ReturnDate]","[Table2].[ReturnDate].&amp;["&amp;$A24&amp;"]"),NA())</f>
        <v>61</v>
      </c>
      <c r="AD24" s="20">
        <f>GETPIVOTDATA("[Measures].[Distinct Count of ManagerCode 2]",'Count PT'!$B$3,"[Table2].[ReturnDate]","[Table2].[ReturnDate].&amp;["&amp;$A24&amp;"]")</f>
        <v>4</v>
      </c>
      <c r="AE24" s="20" t="b">
        <f t="shared" si="14"/>
        <v>1</v>
      </c>
      <c r="AF24" s="20" t="b">
        <f t="shared" si="15"/>
        <v>1</v>
      </c>
      <c r="AG24" s="20" t="b">
        <f t="shared" si="16"/>
        <v>1</v>
      </c>
      <c r="AI24" s="7">
        <f t="shared" si="2"/>
        <v>6.2255397116617005E-3</v>
      </c>
      <c r="AJ24" s="7">
        <f t="shared" si="3"/>
        <v>2.5234113396718533E-4</v>
      </c>
      <c r="AK24" s="7">
        <f t="shared" si="4"/>
        <v>6.2029834551372638E-4</v>
      </c>
      <c r="AL24" s="7">
        <f t="shared" si="17"/>
        <v>7.0981791911426118E-3</v>
      </c>
      <c r="AM24" s="7">
        <f t="shared" si="5"/>
        <v>-6.1805746715771351E-5</v>
      </c>
      <c r="AN24" s="7">
        <f t="shared" si="18"/>
        <v>7.0363734444268402E-3</v>
      </c>
      <c r="AO24" s="7">
        <f t="shared" si="19"/>
        <v>2.8217594223099067E-3</v>
      </c>
      <c r="AP24" s="7">
        <f t="shared" si="6"/>
        <v>9.858132866736747E-3</v>
      </c>
      <c r="AQ24" s="7">
        <f t="shared" si="7"/>
        <v>6.4778808456288865E-3</v>
      </c>
      <c r="AS24" s="7">
        <f t="shared" si="20"/>
        <v>6.2255397116617005E-3</v>
      </c>
      <c r="AT24" s="7">
        <f t="shared" si="21"/>
        <v>2.5234113396718533E-4</v>
      </c>
      <c r="AU24" s="7">
        <f t="shared" si="22"/>
        <v>6.4778808456288856E-3</v>
      </c>
      <c r="AV24" s="7">
        <f t="shared" si="23"/>
        <v>6.2029834551372638E-4</v>
      </c>
      <c r="AW24" s="7">
        <f t="shared" si="24"/>
        <v>7.0981791911426118E-3</v>
      </c>
      <c r="AX24" s="7">
        <f t="shared" si="25"/>
        <v>-6.1805746715771351E-5</v>
      </c>
      <c r="AY24" s="7">
        <f t="shared" si="26"/>
        <v>7.0363734444268402E-3</v>
      </c>
      <c r="AZ24" s="7">
        <f t="shared" si="27"/>
        <v>2.8217594223099067E-3</v>
      </c>
      <c r="BA24" s="7">
        <f t="shared" si="28"/>
        <v>9.858132866736747E-3</v>
      </c>
      <c r="BB24" s="7">
        <f t="shared" si="29"/>
        <v>6.4778808456288865E-3</v>
      </c>
      <c r="BD24">
        <f t="shared" si="30"/>
        <v>1</v>
      </c>
      <c r="BE24">
        <f t="shared" si="34"/>
        <v>1</v>
      </c>
      <c r="BF24" s="7" cm="1">
        <f t="array" ref="BF24">IF(ISNA($BA24),NA(),IF($BE24=0,"***",PRODUCT(1+AS22:AS24)-1))</f>
        <v>1.8914151486924213E-2</v>
      </c>
      <c r="BG24" s="7" cm="1">
        <f t="array" ref="BG24">IF(ISNA($BA24),NA(),IF($BE24=0,"***",PRODUCT(1+AT22:AT24)-1))</f>
        <v>6.9972260638828665E-4</v>
      </c>
      <c r="BH24" s="7" cm="1">
        <f t="array" ref="BH24">IF(ISNA($BA24),NA(),IF($BE24=0,"***",PRODUCT(1+AU22:AU24)-1))</f>
        <v>1.9622696577453302E-2</v>
      </c>
      <c r="BI24" s="7" cm="1">
        <f t="array" ref="BI24">IF(ISNA($BA24),NA(),IF($BE24=0,"***",PRODUCT(1+AV22:AV24)-1))</f>
        <v>1.7556877949533867E-3</v>
      </c>
      <c r="BJ24" s="7" cm="1">
        <f t="array" ref="BJ24">IF(ISNA($BA24),NA(),IF($BE24=0,"***",PRODUCT(1+AW22:AW24)-1))</f>
        <v>2.1399173350731937E-2</v>
      </c>
      <c r="BK24" s="7" cm="1">
        <f t="array" ref="BK24">IF(ISNA($BA24),NA(),IF($BE24=0,"***",PRODUCT(1+AX22:AX24)-1))</f>
        <v>-6.5594641316057967E-5</v>
      </c>
      <c r="BL24" s="7" cm="1">
        <f t="array" ref="BL24">IF(ISNA($BA24),NA(),IF($BE24=0,"***",PRODUCT(1+AY22:AY24)-1))</f>
        <v>2.1332647269774352E-2</v>
      </c>
      <c r="BM24" s="7" cm="1">
        <f t="array" ref="BM24">IF(ISNA($BA24),NA(),IF($BE24=0,"***",PRODUCT(1+AZ22:AZ24)-1))</f>
        <v>3.354336059117502E-3</v>
      </c>
      <c r="BN24" s="7" cm="1">
        <f t="array" ref="BN24">IF(ISNA($BA24),NA(),IF($BE24=0,"***",PRODUCT(1+BA22:BA24)-1))</f>
        <v>2.4727198639630688E-2</v>
      </c>
      <c r="BO24" s="7">
        <f t="shared" si="35"/>
        <v>4.0215310738833665E-5</v>
      </c>
      <c r="BP24" s="7">
        <f t="shared" si="36"/>
        <v>1.950010362858481E-2</v>
      </c>
    </row>
    <row r="25" spans="1:68" x14ac:dyDescent="0.25">
      <c r="A25" t="str">
        <f t="shared" si="31"/>
        <v>20130331</v>
      </c>
      <c r="B25">
        <f t="shared" si="32"/>
        <v>41364</v>
      </c>
      <c r="C25">
        <v>2013</v>
      </c>
      <c r="D25">
        <v>3</v>
      </c>
      <c r="F25" s="20">
        <f>IFERROR(GETPIVOTDATA("[Measures].[Sum of CashInterest]",'Results PT'!$B$8,"[Table2].[ReturnDate]","[Table2].[ReturnDate].&amp;["&amp;$A25&amp;"]"),NA())</f>
        <v>9862458.7000000011</v>
      </c>
      <c r="G25" s="20">
        <f>IFERROR(GETPIVOTDATA("[Measures].[Sum of AccrInterest]",'Results PT'!$B$8,"[Table2].[ReturnDate]","[Table2].[ReturnDate].&amp;["&amp;$A25&amp;"]"),NA())</f>
        <v>407578.79999999993</v>
      </c>
      <c r="H25" s="20">
        <f>IFERROR(GETPIVOTDATA("[Measures].[Sum of OtherIncome]",'Results PT'!$B$8,"[Table2].[ReturnDate]","[Table2].[ReturnDate].&amp;["&amp;$A25&amp;"]"),NA())</f>
        <v>487500</v>
      </c>
      <c r="I25" s="20">
        <f>IFERROR(GETPIVOTDATA("[Measures].[Sum of Expenses]",'Results PT'!$B$8,"[Table2].[ReturnDate]","[Table2].[ReturnDate].&amp;["&amp;$A25&amp;"]"),NA())</f>
        <v>-4070.0799999999995</v>
      </c>
      <c r="J25" s="20">
        <f>IFERROR(GETPIVOTDATA("[Measures].[Sum of PrincipalFunded]",'Results PT'!$B$8,"[Table2].[ReturnDate]","[Table2].[ReturnDate].&amp;["&amp;$A25&amp;"]"),NA())</f>
        <v>-98417637.169999987</v>
      </c>
      <c r="K25" s="20">
        <f>IFERROR(GETPIVOTDATA("[Measures].[Sum of PrincipalRepaid]",'Results PT'!$B$8,"[Table2].[ReturnDate]","[Table2].[ReturnDate].&amp;["&amp;$A25&amp;"]"),NA())</f>
        <v>18578096.649999999</v>
      </c>
      <c r="L25" s="20"/>
      <c r="M25" s="20">
        <f>IFERROR(GETPIVOTDATA("[Measures].[Sum of StartValue]",'Results PT'!$B$8,"[Table2].[ReturnDate]","[Table2].[ReturnDate].&amp;["&amp;$A25&amp;"]"),NA())</f>
        <v>2037244407.1499999</v>
      </c>
      <c r="N25" s="20">
        <f>IFERROR(GETPIVOTDATA("[Measures].[Sum of EndValue]",'Results PT'!$B$8,"[Table2].[ReturnDate]","[Table2].[ReturnDate].&amp;["&amp;$A25&amp;"]"),NA())</f>
        <v>2130136282.6000001</v>
      </c>
      <c r="O25" s="20">
        <f>IFERROR(GETPIVOTDATA("[Measures].[Sum of StartPrincipal]",'Results PT'!$B$8,"[Table2].[ReturnDate]","[Table2].[ReturnDate].&amp;["&amp;$A25&amp;"]"),NA())</f>
        <v>2082628835.79</v>
      </c>
      <c r="P25" s="20">
        <f>IFERROR(GETPIVOTDATA("[Measures].[Sum of EndPrincipal]",'Results PT'!$B$8,"[Table2].[ReturnDate]","[Table2].[ReturnDate].&amp;["&amp;$A25&amp;"]"),NA())</f>
        <v>2162875301.5599995</v>
      </c>
      <c r="Q25" s="20">
        <f>IFERROR(GETPIVOTDATA("[Measures].[Sum of StartNAV]",'Results PT'!$B$8,"[Table2].[ReturnDate]","[Table2].[ReturnDate].&amp;["&amp;$A25&amp;"]"),NA())</f>
        <v>2037244407.1499999</v>
      </c>
      <c r="R25" s="20">
        <f>IFERROR(GETPIVOTDATA("[Measures].[Sum of EndNAV]",'Results PT'!$B$8,"[Table2].[ReturnDate]","[Table2].[ReturnDate].&amp;["&amp;$A25&amp;"]"),NA())</f>
        <v>2130136282.6000001</v>
      </c>
      <c r="S25" s="20"/>
      <c r="T25" s="1">
        <f t="shared" si="9"/>
        <v>0</v>
      </c>
      <c r="U25" s="1">
        <f t="shared" si="10"/>
        <v>9.9999904632568359E-3</v>
      </c>
      <c r="V25">
        <f t="shared" si="11"/>
        <v>4</v>
      </c>
      <c r="W25" s="20">
        <f t="shared" si="0"/>
        <v>-69493651.899999976</v>
      </c>
      <c r="X25" s="20">
        <f t="shared" si="12"/>
        <v>23398223.550000429</v>
      </c>
      <c r="Y25" s="20">
        <f t="shared" si="1"/>
        <v>2071991233.0999999</v>
      </c>
      <c r="Z25" s="3">
        <f t="shared" si="13"/>
        <v>1.1292626713962146E-2</v>
      </c>
      <c r="AA25" s="20"/>
      <c r="AC25" s="20">
        <f>IFERROR(GETPIVOTDATA("[Measures].[Distinct Count of LoanID]",'Count PT'!$B$3,"[Table2].[ReturnDate]","[Table2].[ReturnDate].&amp;["&amp;$A25&amp;"]"),NA())</f>
        <v>63</v>
      </c>
      <c r="AD25" s="20">
        <f>GETPIVOTDATA("[Measures].[Distinct Count of ManagerCode 2]",'Count PT'!$B$3,"[Table2].[ReturnDate]","[Table2].[ReturnDate].&amp;["&amp;$A25&amp;"]")</f>
        <v>4</v>
      </c>
      <c r="AE25" s="20" t="b">
        <f t="shared" si="14"/>
        <v>1</v>
      </c>
      <c r="AF25" s="20" t="b">
        <f t="shared" si="15"/>
        <v>1</v>
      </c>
      <c r="AG25" s="20" t="b">
        <f t="shared" si="16"/>
        <v>1</v>
      </c>
      <c r="AI25" s="7">
        <f t="shared" si="2"/>
        <v>4.7598940296886922E-3</v>
      </c>
      <c r="AJ25" s="7">
        <f t="shared" si="3"/>
        <v>1.9670874735806812E-4</v>
      </c>
      <c r="AK25" s="7">
        <f t="shared" si="4"/>
        <v>2.3528091828392013E-4</v>
      </c>
      <c r="AL25" s="7">
        <f t="shared" si="17"/>
        <v>5.1918836953306806E-3</v>
      </c>
      <c r="AM25" s="7">
        <f t="shared" si="5"/>
        <v>-1.9643326356697798E-6</v>
      </c>
      <c r="AN25" s="7">
        <f t="shared" si="18"/>
        <v>5.1899193626950106E-3</v>
      </c>
      <c r="AO25" s="7">
        <f t="shared" si="19"/>
        <v>6.1027073512671358E-3</v>
      </c>
      <c r="AP25" s="7">
        <f t="shared" si="6"/>
        <v>1.1292626713962146E-2</v>
      </c>
      <c r="AQ25" s="7">
        <f t="shared" si="7"/>
        <v>4.9566027770467612E-3</v>
      </c>
      <c r="AS25" s="7">
        <f t="shared" si="20"/>
        <v>4.7598940296886922E-3</v>
      </c>
      <c r="AT25" s="7">
        <f t="shared" si="21"/>
        <v>1.9670874735806812E-4</v>
      </c>
      <c r="AU25" s="7">
        <f t="shared" si="22"/>
        <v>4.9566027770467603E-3</v>
      </c>
      <c r="AV25" s="7">
        <f t="shared" si="23"/>
        <v>2.3528091828392013E-4</v>
      </c>
      <c r="AW25" s="7">
        <f t="shared" si="24"/>
        <v>5.1918836953306806E-3</v>
      </c>
      <c r="AX25" s="7">
        <f t="shared" si="25"/>
        <v>-1.9643326356697798E-6</v>
      </c>
      <c r="AY25" s="7">
        <f t="shared" si="26"/>
        <v>5.1899193626950106E-3</v>
      </c>
      <c r="AZ25" s="7">
        <f t="shared" si="27"/>
        <v>6.1027073512671358E-3</v>
      </c>
      <c r="BA25" s="7">
        <f t="shared" si="28"/>
        <v>1.1292626713962146E-2</v>
      </c>
      <c r="BB25" s="7">
        <f t="shared" si="29"/>
        <v>4.9566027770467612E-3</v>
      </c>
      <c r="BD25">
        <f t="shared" si="30"/>
        <v>1</v>
      </c>
      <c r="BE25">
        <f t="shared" si="34"/>
        <v>1</v>
      </c>
      <c r="BF25" s="7" cm="1">
        <f t="array" ref="BF25">IF(ISNA($BA25),NA(),IF($BE25=0,"***",PRODUCT(1+AS23:AS25)-1))</f>
        <v>1.5243941154192253E-2</v>
      </c>
      <c r="BG25" s="7" cm="1">
        <f t="array" ref="BG25">IF(ISNA($BA25),NA(),IF($BE25=0,"***",PRODUCT(1+AT23:AT25)-1))</f>
        <v>6.7891200975234156E-4</v>
      </c>
      <c r="BH25" s="7" cm="1">
        <f t="array" ref="BH25">IF(ISNA($BA25),NA(),IF($BE25=0,"***",PRODUCT(1+AU23:AU25)-1))</f>
        <v>1.5929698360034328E-2</v>
      </c>
      <c r="BI25" s="7" cm="1">
        <f t="array" ref="BI25">IF(ISNA($BA25),NA(),IF($BE25=0,"***",PRODUCT(1+AV23:AV25)-1))</f>
        <v>9.2566237309288368E-4</v>
      </c>
      <c r="BJ25" s="7" cm="1">
        <f t="array" ref="BJ25">IF(ISNA($BA25),NA(),IF($BE25=0,"***",PRODUCT(1+AW23:AW25)-1))</f>
        <v>1.6864557191828444E-2</v>
      </c>
      <c r="BK25" s="7" cm="1">
        <f t="array" ref="BK25">IF(ISNA($BA25),NA(),IF($BE25=0,"***",PRODUCT(1+AX23:AX25)-1))</f>
        <v>-6.5641466676980009E-5</v>
      </c>
      <c r="BL25" s="7" cm="1">
        <f t="array" ref="BL25">IF(ISNA($BA25),NA(),IF($BE25=0,"***",PRODUCT(1+AY23:AY25)-1))</f>
        <v>1.6798270480444355E-2</v>
      </c>
      <c r="BM25" s="7" cm="1">
        <f t="array" ref="BM25">IF(ISNA($BA25),NA(),IF($BE25=0,"***",PRODUCT(1+AZ23:AZ25)-1))</f>
        <v>7.7886626944927428E-3</v>
      </c>
      <c r="BN25" s="7" cm="1">
        <f t="array" ref="BN25">IF(ISNA($BA25),NA(),IF($BE25=0,"***",PRODUCT(1+BA23:BA25)-1))</f>
        <v>2.4670760368887601E-2</v>
      </c>
      <c r="BO25" s="7">
        <f t="shared" si="35"/>
        <v>8.3827193950503087E-5</v>
      </c>
      <c r="BP25" s="7">
        <f t="shared" si="36"/>
        <v>1.584699362635713E-2</v>
      </c>
    </row>
    <row r="26" spans="1:68" x14ac:dyDescent="0.25">
      <c r="A26" t="str">
        <f t="shared" si="31"/>
        <v>20130430</v>
      </c>
      <c r="B26">
        <f t="shared" si="32"/>
        <v>41394</v>
      </c>
      <c r="C26">
        <v>2013</v>
      </c>
      <c r="D26">
        <v>4</v>
      </c>
      <c r="F26" s="20">
        <f>IFERROR(GETPIVOTDATA("[Measures].[Sum of CashInterest]",'Results PT'!$B$8,"[Table2].[ReturnDate]","[Table2].[ReturnDate].&amp;["&amp;$A26&amp;"]"),NA())</f>
        <v>11283519.640000001</v>
      </c>
      <c r="G26" s="20">
        <f>IFERROR(GETPIVOTDATA("[Measures].[Sum of AccrInterest]",'Results PT'!$B$8,"[Table2].[ReturnDate]","[Table2].[ReturnDate].&amp;["&amp;$A26&amp;"]"),NA())</f>
        <v>455918.66</v>
      </c>
      <c r="H26" s="20">
        <f>IFERROR(GETPIVOTDATA("[Measures].[Sum of OtherIncome]",'Results PT'!$B$8,"[Table2].[ReturnDate]","[Table2].[ReturnDate].&amp;["&amp;$A26&amp;"]"),NA())</f>
        <v>2500</v>
      </c>
      <c r="I26" s="20">
        <f>IFERROR(GETPIVOTDATA("[Measures].[Sum of Expenses]",'Results PT'!$B$8,"[Table2].[ReturnDate]","[Table2].[ReturnDate].&amp;["&amp;$A26&amp;"]"),NA())</f>
        <v>-3900.72</v>
      </c>
      <c r="J26" s="20">
        <f>IFERROR(GETPIVOTDATA("[Measures].[Sum of PrincipalFunded]",'Results PT'!$B$8,"[Table2].[ReturnDate]","[Table2].[ReturnDate].&amp;["&amp;$A26&amp;"]"),NA())</f>
        <v>-64244179.910000004</v>
      </c>
      <c r="K26" s="20">
        <f>IFERROR(GETPIVOTDATA("[Measures].[Sum of PrincipalRepaid]",'Results PT'!$B$8,"[Table2].[ReturnDate]","[Table2].[ReturnDate].&amp;["&amp;$A26&amp;"]"),NA())</f>
        <v>68391763.090000004</v>
      </c>
      <c r="L26" s="20"/>
      <c r="M26" s="20">
        <f>IFERROR(GETPIVOTDATA("[Measures].[Sum of StartValue]",'Results PT'!$B$8,"[Table2].[ReturnDate]","[Table2].[ReturnDate].&amp;["&amp;$A26&amp;"]"),NA())</f>
        <v>2130136282.6000001</v>
      </c>
      <c r="N26" s="20">
        <f>IFERROR(GETPIVOTDATA("[Measures].[Sum of EndValue]",'Results PT'!$B$8,"[Table2].[ReturnDate]","[Table2].[ReturnDate].&amp;["&amp;$A26&amp;"]"),NA())</f>
        <v>2144297787.04</v>
      </c>
      <c r="O26" s="20">
        <f>IFERROR(GETPIVOTDATA("[Measures].[Sum of StartPrincipal]",'Results PT'!$B$8,"[Table2].[ReturnDate]","[Table2].[ReturnDate].&amp;["&amp;$A26&amp;"]"),NA())</f>
        <v>2162875301.5599995</v>
      </c>
      <c r="P26" s="20">
        <f>IFERROR(GETPIVOTDATA("[Measures].[Sum of EndPrincipal]",'Results PT'!$B$8,"[Table2].[ReturnDate]","[Table2].[ReturnDate].&amp;["&amp;$A26&amp;"]"),NA())</f>
        <v>2177407901.0599999</v>
      </c>
      <c r="Q26" s="20">
        <f>IFERROR(GETPIVOTDATA("[Measures].[Sum of StartNAV]",'Results PT'!$B$8,"[Table2].[ReturnDate]","[Table2].[ReturnDate].&amp;["&amp;$A26&amp;"]"),NA())</f>
        <v>2130136282.6000001</v>
      </c>
      <c r="R26" s="20">
        <f>IFERROR(GETPIVOTDATA("[Measures].[Sum of EndNAV]",'Results PT'!$B$8,"[Table2].[ReturnDate]","[Table2].[ReturnDate].&amp;["&amp;$A26&amp;"]"),NA())</f>
        <v>2126074585.04</v>
      </c>
      <c r="S26" s="20"/>
      <c r="T26" s="1">
        <f t="shared" si="9"/>
        <v>0</v>
      </c>
      <c r="U26" s="1">
        <f t="shared" si="10"/>
        <v>0</v>
      </c>
      <c r="V26">
        <f t="shared" si="11"/>
        <v>4</v>
      </c>
      <c r="W26" s="20">
        <f t="shared" si="0"/>
        <v>15429702.100000001</v>
      </c>
      <c r="X26" s="20">
        <f t="shared" si="12"/>
        <v>11368004.539999723</v>
      </c>
      <c r="Y26" s="20">
        <f t="shared" si="1"/>
        <v>2122421431.5500002</v>
      </c>
      <c r="Z26" s="3">
        <f t="shared" si="13"/>
        <v>5.3561485815273226E-3</v>
      </c>
      <c r="AA26" s="20"/>
      <c r="AC26" s="20">
        <f>IFERROR(GETPIVOTDATA("[Measures].[Distinct Count of LoanID]",'Count PT'!$B$3,"[Table2].[ReturnDate]","[Table2].[ReturnDate].&amp;["&amp;$A26&amp;"]"),NA())</f>
        <v>64</v>
      </c>
      <c r="AD26" s="20">
        <f>GETPIVOTDATA("[Measures].[Distinct Count of ManagerCode 2]",'Count PT'!$B$3,"[Table2].[ReturnDate]","[Table2].[ReturnDate].&amp;["&amp;$A26&amp;"]")</f>
        <v>4</v>
      </c>
      <c r="AE26" s="20" t="b">
        <f t="shared" si="14"/>
        <v>1</v>
      </c>
      <c r="AF26" s="20" t="b">
        <f t="shared" si="15"/>
        <v>1</v>
      </c>
      <c r="AG26" s="20" t="b">
        <f t="shared" si="16"/>
        <v>1</v>
      </c>
      <c r="AI26" s="7">
        <f t="shared" si="2"/>
        <v>5.3163426792951617E-3</v>
      </c>
      <c r="AJ26" s="7">
        <f t="shared" si="3"/>
        <v>2.1481061829791432E-4</v>
      </c>
      <c r="AK26" s="7">
        <f t="shared" si="4"/>
        <v>1.1778999037784192E-6</v>
      </c>
      <c r="AL26" s="7">
        <f t="shared" si="17"/>
        <v>5.5323311974968536E-3</v>
      </c>
      <c r="AM26" s="7">
        <f t="shared" si="5"/>
        <v>-1.8378630850666221E-6</v>
      </c>
      <c r="AN26" s="7">
        <f t="shared" si="18"/>
        <v>5.5304933344117874E-3</v>
      </c>
      <c r="AO26" s="7">
        <f t="shared" si="19"/>
        <v>-1.7434475288446473E-4</v>
      </c>
      <c r="AP26" s="7">
        <f t="shared" si="6"/>
        <v>5.3561485815273226E-3</v>
      </c>
      <c r="AQ26" s="7">
        <f t="shared" si="7"/>
        <v>5.5311532975930756E-3</v>
      </c>
      <c r="AS26" s="7">
        <f t="shared" si="20"/>
        <v>5.3163426792951617E-3</v>
      </c>
      <c r="AT26" s="7">
        <f t="shared" si="21"/>
        <v>2.1481061829791432E-4</v>
      </c>
      <c r="AU26" s="7">
        <f t="shared" si="22"/>
        <v>5.5311532975930756E-3</v>
      </c>
      <c r="AV26" s="7">
        <f t="shared" si="23"/>
        <v>1.1778999037784192E-6</v>
      </c>
      <c r="AW26" s="7">
        <f t="shared" si="24"/>
        <v>5.5323311974968536E-3</v>
      </c>
      <c r="AX26" s="7">
        <f t="shared" si="25"/>
        <v>-1.8378630850666221E-6</v>
      </c>
      <c r="AY26" s="7">
        <f t="shared" si="26"/>
        <v>5.5304933344117874E-3</v>
      </c>
      <c r="AZ26" s="7">
        <f t="shared" si="27"/>
        <v>-1.7434475288446473E-4</v>
      </c>
      <c r="BA26" s="7">
        <f t="shared" si="28"/>
        <v>5.3561485815273226E-3</v>
      </c>
      <c r="BB26" s="7">
        <f t="shared" si="29"/>
        <v>5.5311532975930756E-3</v>
      </c>
      <c r="BD26">
        <f t="shared" si="30"/>
        <v>1</v>
      </c>
      <c r="BE26">
        <f t="shared" si="34"/>
        <v>1</v>
      </c>
      <c r="BF26" s="7" cm="1">
        <f t="array" ref="BF26">IF(ISNA($BA26),NA(),IF($BE26=0,"***",PRODUCT(1+AS24:AS26)-1))</f>
        <v>1.63899691989009E-2</v>
      </c>
      <c r="BG26" s="7" cm="1">
        <f t="array" ref="BG26">IF(ISNA($BA26),NA(),IF($BE26=0,"***",PRODUCT(1+AT24:AT26)-1))</f>
        <v>6.6400660867693695E-4</v>
      </c>
      <c r="BH26" s="7" cm="1">
        <f t="array" ref="BH26">IF(ISNA($BA26),NA(),IF($BE26=0,"***",PRODUCT(1+AU24:AU26)-1))</f>
        <v>1.7061168680084116E-2</v>
      </c>
      <c r="BI26" s="7" cm="1">
        <f t="array" ref="BI26">IF(ISNA($BA26),NA(),IF($BE26=0,"***",PRODUCT(1+AV24:AV26)-1))</f>
        <v>8.5690411602445948E-4</v>
      </c>
      <c r="BJ26" s="7" cm="1">
        <f t="array" ref="BJ26">IF(ISNA($BA26),NA(),IF($BE26=0,"***",PRODUCT(1+AW24:AW26)-1))</f>
        <v>1.7927443585668668E-2</v>
      </c>
      <c r="BK26" s="7" cm="1">
        <f t="array" ref="BK26">IF(ISNA($BA26),NA(),IF($BE26=0,"***",PRODUCT(1+AX24:AX26)-1))</f>
        <v>-6.5607703829018149E-5</v>
      </c>
      <c r="BL26" s="7" cm="1">
        <f t="array" ref="BL26">IF(ISNA($BA26),NA(),IF($BE26=0,"***",PRODUCT(1+AY24:AY26)-1))</f>
        <v>1.7861123746911733E-2</v>
      </c>
      <c r="BM26" s="7" cm="1">
        <f t="array" ref="BM26">IF(ISNA($BA26),NA(),IF($BE26=0,"***",PRODUCT(1+AZ24:AZ26)-1))</f>
        <v>8.7657834564267567E-3</v>
      </c>
      <c r="BN26" s="7" cm="1">
        <f t="array" ref="BN26">IF(ISNA($BA26),NA(),IF($BE26=0,"***",PRODUCT(1+BA24:BA26)-1))</f>
        <v>2.6732115256747013E-2</v>
      </c>
      <c r="BO26" s="7">
        <f t="shared" si="35"/>
        <v>1.0520805340852313E-4</v>
      </c>
      <c r="BP26" s="7">
        <f t="shared" si="36"/>
        <v>1.6965636920268722E-2</v>
      </c>
    </row>
    <row r="27" spans="1:68" x14ac:dyDescent="0.25">
      <c r="A27" t="str">
        <f t="shared" si="31"/>
        <v>20130531</v>
      </c>
      <c r="B27">
        <f t="shared" si="32"/>
        <v>41425</v>
      </c>
      <c r="C27">
        <v>2013</v>
      </c>
      <c r="D27">
        <v>5</v>
      </c>
      <c r="F27" s="20">
        <f>IFERROR(GETPIVOTDATA("[Measures].[Sum of CashInterest]",'Results PT'!$B$8,"[Table2].[ReturnDate]","[Table2].[ReturnDate].&amp;["&amp;$A27&amp;"]"),NA())</f>
        <v>17147051.350000001</v>
      </c>
      <c r="G27" s="20">
        <f>IFERROR(GETPIVOTDATA("[Measures].[Sum of AccrInterest]",'Results PT'!$B$8,"[Table2].[ReturnDate]","[Table2].[ReturnDate].&amp;["&amp;$A27&amp;"]"),NA())</f>
        <v>581980.14</v>
      </c>
      <c r="H27" s="20">
        <f>IFERROR(GETPIVOTDATA("[Measures].[Sum of OtherIncome]",'Results PT'!$B$8,"[Table2].[ReturnDate]","[Table2].[ReturnDate].&amp;["&amp;$A27&amp;"]"),NA())</f>
        <v>301311.35999999999</v>
      </c>
      <c r="I27" s="20">
        <f>IFERROR(GETPIVOTDATA("[Measures].[Sum of Expenses]",'Results PT'!$B$8,"[Table2].[ReturnDate]","[Table2].[ReturnDate].&amp;["&amp;$A27&amp;"]"),NA())</f>
        <v>-4312.6900000000005</v>
      </c>
      <c r="J27" s="20">
        <f>IFERROR(GETPIVOTDATA("[Measures].[Sum of PrincipalFunded]",'Results PT'!$B$8,"[Table2].[ReturnDate]","[Table2].[ReturnDate].&amp;["&amp;$A27&amp;"]"),NA())</f>
        <v>-16766097.229999999</v>
      </c>
      <c r="K27" s="20">
        <f>IFERROR(GETPIVOTDATA("[Measures].[Sum of PrincipalRepaid]",'Results PT'!$B$8,"[Table2].[ReturnDate]","[Table2].[ReturnDate].&amp;["&amp;$A27&amp;"]"),NA())</f>
        <v>74932421.719999999</v>
      </c>
      <c r="L27" s="20"/>
      <c r="M27" s="20">
        <f>IFERROR(GETPIVOTDATA("[Measures].[Sum of StartValue]",'Results PT'!$B$8,"[Table2].[ReturnDate]","[Table2].[ReturnDate].&amp;["&amp;$A27&amp;"]"),NA())</f>
        <v>2144297787.04</v>
      </c>
      <c r="N27" s="20">
        <f>IFERROR(GETPIVOTDATA("[Measures].[Sum of EndValue]",'Results PT'!$B$8,"[Table2].[ReturnDate]","[Table2].[ReturnDate].&amp;["&amp;$A27&amp;"]"),NA())</f>
        <v>2082606142.71</v>
      </c>
      <c r="O27" s="20">
        <f>IFERROR(GETPIVOTDATA("[Measures].[Sum of StartPrincipal]",'Results PT'!$B$8,"[Table2].[ReturnDate]","[Table2].[ReturnDate].&amp;["&amp;$A27&amp;"]"),NA())</f>
        <v>2177407901.0599999</v>
      </c>
      <c r="P27" s="20">
        <f>IFERROR(GETPIVOTDATA("[Measures].[Sum of EndPrincipal]",'Results PT'!$B$8,"[Table2].[ReturnDate]","[Table2].[ReturnDate].&amp;["&amp;$A27&amp;"]"),NA())</f>
        <v>2119760846.7499998</v>
      </c>
      <c r="Q27" s="20">
        <f>IFERROR(GETPIVOTDATA("[Measures].[Sum of StartNAV]",'Results PT'!$B$8,"[Table2].[ReturnDate]","[Table2].[ReturnDate].&amp;["&amp;$A27&amp;"]"),NA())</f>
        <v>2126074585.04</v>
      </c>
      <c r="R27" s="20">
        <f>IFERROR(GETPIVOTDATA("[Measures].[Sum of EndNAV]",'Results PT'!$B$8,"[Table2].[ReturnDate]","[Table2].[ReturnDate].&amp;["&amp;$A27&amp;"]"),NA())</f>
        <v>2064382940.71</v>
      </c>
      <c r="S27" s="20"/>
      <c r="T27" s="1">
        <f t="shared" si="9"/>
        <v>0</v>
      </c>
      <c r="U27" s="1">
        <f t="shared" si="10"/>
        <v>0</v>
      </c>
      <c r="V27">
        <f t="shared" si="11"/>
        <v>4</v>
      </c>
      <c r="W27" s="20">
        <f t="shared" si="0"/>
        <v>75610374.510000005</v>
      </c>
      <c r="X27" s="20">
        <f t="shared" si="12"/>
        <v>13918730.180000067</v>
      </c>
      <c r="Y27" s="20">
        <f t="shared" si="1"/>
        <v>2088269397.7849998</v>
      </c>
      <c r="Z27" s="3">
        <f t="shared" si="13"/>
        <v>6.6651985585592941E-3</v>
      </c>
      <c r="AA27" s="20"/>
      <c r="AC27" s="20">
        <f>IFERROR(GETPIVOTDATA("[Measures].[Distinct Count of LoanID]",'Count PT'!$B$3,"[Table2].[ReturnDate]","[Table2].[ReturnDate].&amp;["&amp;$A27&amp;"]"),NA())</f>
        <v>63</v>
      </c>
      <c r="AD27" s="20">
        <f>GETPIVOTDATA("[Measures].[Distinct Count of ManagerCode 2]",'Count PT'!$B$3,"[Table2].[ReturnDate]","[Table2].[ReturnDate].&amp;["&amp;$A27&amp;"]")</f>
        <v>4</v>
      </c>
      <c r="AE27" s="20" t="b">
        <f t="shared" si="14"/>
        <v>1</v>
      </c>
      <c r="AF27" s="20" t="b">
        <f t="shared" si="15"/>
        <v>1</v>
      </c>
      <c r="AG27" s="20" t="b">
        <f t="shared" si="16"/>
        <v>1</v>
      </c>
      <c r="AI27" s="7">
        <f t="shared" si="2"/>
        <v>8.2111299280579683E-3</v>
      </c>
      <c r="AJ27" s="7">
        <f t="shared" si="3"/>
        <v>2.7869016354752828E-4</v>
      </c>
      <c r="AK27" s="7">
        <f t="shared" si="4"/>
        <v>1.4428759063346761E-4</v>
      </c>
      <c r="AL27" s="7">
        <f t="shared" si="17"/>
        <v>8.6341076822389635E-3</v>
      </c>
      <c r="AM27" s="7">
        <f t="shared" si="5"/>
        <v>-2.0651981035466087E-6</v>
      </c>
      <c r="AN27" s="7">
        <f t="shared" si="18"/>
        <v>8.632042484135417E-3</v>
      </c>
      <c r="AO27" s="7">
        <f t="shared" si="19"/>
        <v>-1.9668439255761229E-3</v>
      </c>
      <c r="AP27" s="7">
        <f t="shared" si="6"/>
        <v>6.6651985585592941E-3</v>
      </c>
      <c r="AQ27" s="7">
        <f t="shared" si="7"/>
        <v>8.4898200916054961E-3</v>
      </c>
      <c r="AS27" s="7">
        <f t="shared" si="20"/>
        <v>8.2111299280579683E-3</v>
      </c>
      <c r="AT27" s="7">
        <f t="shared" si="21"/>
        <v>2.7869016354752828E-4</v>
      </c>
      <c r="AU27" s="7">
        <f t="shared" si="22"/>
        <v>8.4898200916054961E-3</v>
      </c>
      <c r="AV27" s="7">
        <f t="shared" si="23"/>
        <v>1.4428759063346761E-4</v>
      </c>
      <c r="AW27" s="7">
        <f t="shared" si="24"/>
        <v>8.6341076822389635E-3</v>
      </c>
      <c r="AX27" s="7">
        <f t="shared" si="25"/>
        <v>-2.0651981035466087E-6</v>
      </c>
      <c r="AY27" s="7">
        <f t="shared" si="26"/>
        <v>8.632042484135417E-3</v>
      </c>
      <c r="AZ27" s="7">
        <f t="shared" si="27"/>
        <v>-1.9668439255761229E-3</v>
      </c>
      <c r="BA27" s="7">
        <f t="shared" si="28"/>
        <v>6.6651985585592941E-3</v>
      </c>
      <c r="BB27" s="7">
        <f t="shared" si="29"/>
        <v>8.4898200916054961E-3</v>
      </c>
      <c r="BD27">
        <f t="shared" si="30"/>
        <v>1</v>
      </c>
      <c r="BE27">
        <f t="shared" si="34"/>
        <v>1</v>
      </c>
      <c r="BF27" s="7" cm="1">
        <f t="array" ref="BF27">IF(ISNA($BA27),NA(),IF($BE27=0,"***",PRODUCT(1+AS25:AS27)-1))</f>
        <v>1.8395616938137405E-2</v>
      </c>
      <c r="BG27" s="7" cm="1">
        <f t="array" ref="BG27">IF(ISNA($BA27),NA(),IF($BE27=0,"***",PRODUCT(1+AT25:AT27)-1))</f>
        <v>6.9036648250642152E-4</v>
      </c>
      <c r="BH27" s="7" cm="1">
        <f t="array" ref="BH27">IF(ISNA($BA27),NA(),IF($BE27=0,"***",PRODUCT(1+AU25:AU27)-1))</f>
        <v>1.9094263812892143E-2</v>
      </c>
      <c r="BI27" s="7" cm="1">
        <f t="array" ref="BI27">IF(ISNA($BA27),NA(),IF($BE27=0,"***",PRODUCT(1+AV25:AV27)-1))</f>
        <v>3.8078080407188963E-4</v>
      </c>
      <c r="BJ27" s="7" cm="1">
        <f t="array" ref="BJ27">IF(ISNA($BA27),NA(),IF($BE27=0,"***",PRODUCT(1+AW25:AW27)-1))</f>
        <v>1.947988782077581E-2</v>
      </c>
      <c r="BK27" s="7" cm="1">
        <f t="array" ref="BK27">IF(ISNA($BA27),NA(),IF($BE27=0,"***",PRODUCT(1+AX25:AX27)-1))</f>
        <v>-5.8673823617461096E-6</v>
      </c>
      <c r="BL27" s="7" cm="1">
        <f t="array" ref="BL27">IF(ISNA($BA27),NA(),IF($BE27=0,"***",PRODUCT(1+AY25:AY27)-1))</f>
        <v>1.9473944817446354E-2</v>
      </c>
      <c r="BM27" s="7" cm="1">
        <f t="array" ref="BM27">IF(ISNA($BA27),NA(),IF($BE27=0,"***",PRODUCT(1+AZ25:AZ27)-1))</f>
        <v>3.9487966265090435E-3</v>
      </c>
      <c r="BN27" s="7" cm="1">
        <f t="array" ref="BN27">IF(ISNA($BA27),NA(),IF($BE27=0,"***",PRODUCT(1+BA25:BA27)-1))</f>
        <v>2.3485829378150802E-2</v>
      </c>
      <c r="BO27" s="7">
        <f t="shared" si="35"/>
        <v>6.3087934195404927E-5</v>
      </c>
      <c r="BP27" s="7">
        <f t="shared" si="36"/>
        <v>1.8977576166245333E-2</v>
      </c>
    </row>
    <row r="28" spans="1:68" x14ac:dyDescent="0.25">
      <c r="A28" t="str">
        <f t="shared" si="31"/>
        <v>20130630</v>
      </c>
      <c r="B28">
        <f t="shared" si="32"/>
        <v>41455</v>
      </c>
      <c r="C28">
        <v>2013</v>
      </c>
      <c r="D28">
        <v>6</v>
      </c>
      <c r="F28" s="20">
        <f>IFERROR(GETPIVOTDATA("[Measures].[Sum of CashInterest]",'Results PT'!$B$8,"[Table2].[ReturnDate]","[Table2].[ReturnDate].&amp;["&amp;$A28&amp;"]"),NA())</f>
        <v>10857469.209999999</v>
      </c>
      <c r="G28" s="20">
        <f>IFERROR(GETPIVOTDATA("[Measures].[Sum of AccrInterest]",'Results PT'!$B$8,"[Table2].[ReturnDate]","[Table2].[ReturnDate].&amp;["&amp;$A28&amp;"]"),NA())</f>
        <v>474604.93</v>
      </c>
      <c r="H28" s="20">
        <f>IFERROR(GETPIVOTDATA("[Measures].[Sum of OtherIncome]",'Results PT'!$B$8,"[Table2].[ReturnDate]","[Table2].[ReturnDate].&amp;["&amp;$A28&amp;"]"),NA())</f>
        <v>346000</v>
      </c>
      <c r="I28" s="20">
        <f>IFERROR(GETPIVOTDATA("[Measures].[Sum of Expenses]",'Results PT'!$B$8,"[Table2].[ReturnDate]","[Table2].[ReturnDate].&amp;["&amp;$A28&amp;"]"),NA())</f>
        <v>-3309.8300000000004</v>
      </c>
      <c r="J28" s="20">
        <f>IFERROR(GETPIVOTDATA("[Measures].[Sum of PrincipalFunded]",'Results PT'!$B$8,"[Table2].[ReturnDate]","[Table2].[ReturnDate].&amp;["&amp;$A28&amp;"]"),NA())</f>
        <v>-57617451.620000005</v>
      </c>
      <c r="K28" s="20">
        <f>IFERROR(GETPIVOTDATA("[Measures].[Sum of PrincipalRepaid]",'Results PT'!$B$8,"[Table2].[ReturnDate]","[Table2].[ReturnDate].&amp;["&amp;$A28&amp;"]"),NA())</f>
        <v>8108056.3400000008</v>
      </c>
      <c r="L28" s="20"/>
      <c r="M28" s="20">
        <f>IFERROR(GETPIVOTDATA("[Measures].[Sum of StartValue]",'Results PT'!$B$8,"[Table2].[ReturnDate]","[Table2].[ReturnDate].&amp;["&amp;$A28&amp;"]"),NA())</f>
        <v>2082606142.71</v>
      </c>
      <c r="N28" s="20">
        <f>IFERROR(GETPIVOTDATA("[Measures].[Sum of EndValue]",'Results PT'!$B$8,"[Table2].[ReturnDate]","[Table2].[ReturnDate].&amp;["&amp;$A28&amp;"]"),NA())</f>
        <v>2133103468.9199998</v>
      </c>
      <c r="O28" s="20">
        <f>IFERROR(GETPIVOTDATA("[Measures].[Sum of StartPrincipal]",'Results PT'!$B$8,"[Table2].[ReturnDate]","[Table2].[ReturnDate].&amp;["&amp;$A28&amp;"]"),NA())</f>
        <v>2119760846.7499998</v>
      </c>
      <c r="P28" s="20">
        <f>IFERROR(GETPIVOTDATA("[Measures].[Sum of EndPrincipal]",'Results PT'!$B$8,"[Table2].[ReturnDate]","[Table2].[ReturnDate].&amp;["&amp;$A28&amp;"]"),NA())</f>
        <v>2169745051.0599999</v>
      </c>
      <c r="Q28" s="20">
        <f>IFERROR(GETPIVOTDATA("[Measures].[Sum of StartNAV]",'Results PT'!$B$8,"[Table2].[ReturnDate]","[Table2].[ReturnDate].&amp;["&amp;$A28&amp;"]"),NA())</f>
        <v>2064382940.71</v>
      </c>
      <c r="R28" s="20">
        <f>IFERROR(GETPIVOTDATA("[Measures].[Sum of EndNAV]",'Results PT'!$B$8,"[Table2].[ReturnDate]","[Table2].[ReturnDate].&amp;["&amp;$A28&amp;"]"),NA())</f>
        <v>2114880266.9199998</v>
      </c>
      <c r="S28" s="20"/>
      <c r="T28" s="1">
        <f t="shared" si="9"/>
        <v>0</v>
      </c>
      <c r="U28" s="1">
        <f t="shared" si="10"/>
        <v>0</v>
      </c>
      <c r="V28">
        <f t="shared" si="11"/>
        <v>4</v>
      </c>
      <c r="W28" s="20">
        <f t="shared" si="0"/>
        <v>-38309235.900000006</v>
      </c>
      <c r="X28" s="20">
        <f t="shared" si="12"/>
        <v>12188090.309999704</v>
      </c>
      <c r="Y28" s="20">
        <f t="shared" si="1"/>
        <v>2083537558.6600001</v>
      </c>
      <c r="Z28" s="3">
        <f t="shared" si="13"/>
        <v>5.8497099125193186E-3</v>
      </c>
      <c r="AA28" s="20"/>
      <c r="AC28" s="20">
        <f>IFERROR(GETPIVOTDATA("[Measures].[Distinct Count of LoanID]",'Count PT'!$B$3,"[Table2].[ReturnDate]","[Table2].[ReturnDate].&amp;["&amp;$A28&amp;"]"),NA())</f>
        <v>61</v>
      </c>
      <c r="AD28" s="20">
        <f>GETPIVOTDATA("[Measures].[Distinct Count of ManagerCode 2]",'Count PT'!$B$3,"[Table2].[ReturnDate]","[Table2].[ReturnDate].&amp;["&amp;$A28&amp;"]")</f>
        <v>4</v>
      </c>
      <c r="AE28" s="20" t="b">
        <f t="shared" si="14"/>
        <v>1</v>
      </c>
      <c r="AF28" s="20" t="b">
        <f t="shared" si="15"/>
        <v>1</v>
      </c>
      <c r="AG28" s="20" t="b">
        <f t="shared" si="16"/>
        <v>1</v>
      </c>
      <c r="AI28" s="7">
        <f t="shared" si="2"/>
        <v>5.2110743887827191E-3</v>
      </c>
      <c r="AJ28" s="7">
        <f t="shared" si="3"/>
        <v>2.2778803675861545E-4</v>
      </c>
      <c r="AK28" s="7">
        <f t="shared" si="4"/>
        <v>1.6606372107951122E-4</v>
      </c>
      <c r="AL28" s="7">
        <f t="shared" si="17"/>
        <v>5.6049261466208462E-3</v>
      </c>
      <c r="AM28" s="7">
        <f t="shared" si="5"/>
        <v>-1.5885626761288979E-6</v>
      </c>
      <c r="AN28" s="7">
        <f t="shared" si="18"/>
        <v>5.6033375839447171E-3</v>
      </c>
      <c r="AO28" s="7">
        <f t="shared" si="19"/>
        <v>2.4637232857460147E-4</v>
      </c>
      <c r="AP28" s="7">
        <f t="shared" si="6"/>
        <v>5.8497099125193186E-3</v>
      </c>
      <c r="AQ28" s="7">
        <f t="shared" si="7"/>
        <v>5.4388624255413348E-3</v>
      </c>
      <c r="AS28" s="7">
        <f t="shared" si="20"/>
        <v>5.2110743887827191E-3</v>
      </c>
      <c r="AT28" s="7">
        <f t="shared" si="21"/>
        <v>2.2778803675861545E-4</v>
      </c>
      <c r="AU28" s="7">
        <f t="shared" si="22"/>
        <v>5.4388624255413348E-3</v>
      </c>
      <c r="AV28" s="7">
        <f t="shared" si="23"/>
        <v>1.6606372107951122E-4</v>
      </c>
      <c r="AW28" s="7">
        <f t="shared" si="24"/>
        <v>5.6049261466208462E-3</v>
      </c>
      <c r="AX28" s="7">
        <f t="shared" si="25"/>
        <v>-1.5885626761288979E-6</v>
      </c>
      <c r="AY28" s="7">
        <f t="shared" si="26"/>
        <v>5.6033375839447171E-3</v>
      </c>
      <c r="AZ28" s="7">
        <f t="shared" si="27"/>
        <v>2.4637232857460147E-4</v>
      </c>
      <c r="BA28" s="7">
        <f t="shared" si="28"/>
        <v>5.8497099125193186E-3</v>
      </c>
      <c r="BB28" s="7">
        <f t="shared" si="29"/>
        <v>5.4388624255413348E-3</v>
      </c>
      <c r="BD28">
        <f t="shared" si="30"/>
        <v>1</v>
      </c>
      <c r="BE28">
        <f t="shared" si="34"/>
        <v>1</v>
      </c>
      <c r="BF28" s="7" cm="1">
        <f t="array" ref="BF28">IF(ISNA($BA28),NA(),IF($BE28=0,"***",PRODUCT(1+AS26:AS28)-1))</f>
        <v>1.8852920322637745E-2</v>
      </c>
      <c r="BG28" s="7" cm="1">
        <f t="array" ref="BG28">IF(ISNA($BA28),NA(),IF($BE28=0,"***",PRODUCT(1+AT26:AT28)-1))</f>
        <v>7.2146111142123992E-4</v>
      </c>
      <c r="BH28" s="7" cm="1">
        <f t="array" ref="BH28">IF(ISNA($BA28),NA(),IF($BE28=0,"***",PRODUCT(1+AU26:AU28)-1))</f>
        <v>1.9583307857272914E-2</v>
      </c>
      <c r="BI28" s="7" cm="1">
        <f t="array" ref="BI28">IF(ISNA($BA28),NA(),IF($BE28=0,"***",PRODUCT(1+AV26:AV28)-1))</f>
        <v>3.1155353814193987E-4</v>
      </c>
      <c r="BJ28" s="7" cm="1">
        <f t="array" ref="BJ28">IF(ISNA($BA28),NA(),IF($BE28=0,"***",PRODUCT(1+AW26:AW28)-1))</f>
        <v>1.9898801342399519E-2</v>
      </c>
      <c r="BK28" s="7" cm="1">
        <f t="array" ref="BK28">IF(ISNA($BA28),NA(),IF($BE28=0,"***",PRODUCT(1+AX26:AX28)-1))</f>
        <v>-5.4916138689797833E-6</v>
      </c>
      <c r="BL28" s="7" cm="1">
        <f t="array" ref="BL28">IF(ISNA($BA28),NA(),IF($BE28=0,"***",PRODUCT(1+AY26:AY28)-1))</f>
        <v>1.9893237825422627E-2</v>
      </c>
      <c r="BM28" s="7" cm="1">
        <f t="array" ref="BM28">IF(ISNA($BA28),NA(),IF($BE28=0,"***",PRODUCT(1+AZ26:AZ28)-1))</f>
        <v>-1.8950008861251533E-3</v>
      </c>
      <c r="BN28" s="7" cm="1">
        <f t="array" ref="BN28">IF(ISNA($BA28),NA(),IF($BE28=0,"***",PRODUCT(1+BA26:BA28)-1))</f>
        <v>1.7977287073375869E-2</v>
      </c>
      <c r="BO28" s="7">
        <f t="shared" si="35"/>
        <v>-2.0949865921604527E-5</v>
      </c>
      <c r="BP28" s="7">
        <f t="shared" si="36"/>
        <v>1.9459835814739906E-2</v>
      </c>
    </row>
    <row r="29" spans="1:68" x14ac:dyDescent="0.25">
      <c r="A29" t="str">
        <f t="shared" si="31"/>
        <v>20130731</v>
      </c>
      <c r="B29">
        <f t="shared" si="32"/>
        <v>41486</v>
      </c>
      <c r="C29">
        <v>2013</v>
      </c>
      <c r="D29">
        <v>7</v>
      </c>
      <c r="F29" s="20">
        <f>IFERROR(GETPIVOTDATA("[Measures].[Sum of CashInterest]",'Results PT'!$B$8,"[Table2].[ReturnDate]","[Table2].[ReturnDate].&amp;["&amp;$A29&amp;"]"),NA())</f>
        <v>12722385.140000002</v>
      </c>
      <c r="G29" s="20">
        <f>IFERROR(GETPIVOTDATA("[Measures].[Sum of AccrInterest]",'Results PT'!$B$8,"[Table2].[ReturnDate]","[Table2].[ReturnDate].&amp;["&amp;$A29&amp;"]"),NA())</f>
        <v>672707.1100000001</v>
      </c>
      <c r="H29" s="20">
        <f>IFERROR(GETPIVOTDATA("[Measures].[Sum of OtherIncome]",'Results PT'!$B$8,"[Table2].[ReturnDate]","[Table2].[ReturnDate].&amp;["&amp;$A29&amp;"]"),NA())</f>
        <v>1775940.05</v>
      </c>
      <c r="I29" s="20">
        <f>IFERROR(GETPIVOTDATA("[Measures].[Sum of Expenses]",'Results PT'!$B$8,"[Table2].[ReturnDate]","[Table2].[ReturnDate].&amp;["&amp;$A29&amp;"]"),NA())</f>
        <v>-50643.49</v>
      </c>
      <c r="J29" s="20">
        <f>IFERROR(GETPIVOTDATA("[Measures].[Sum of PrincipalFunded]",'Results PT'!$B$8,"[Table2].[ReturnDate]","[Table2].[ReturnDate].&amp;["&amp;$A29&amp;"]"),NA())</f>
        <v>-79105335.639999986</v>
      </c>
      <c r="K29" s="20">
        <f>IFERROR(GETPIVOTDATA("[Measures].[Sum of PrincipalRepaid]",'Results PT'!$B$8,"[Table2].[ReturnDate]","[Table2].[ReturnDate].&amp;["&amp;$A29&amp;"]"),NA())</f>
        <v>36452424.339999989</v>
      </c>
      <c r="L29" s="20"/>
      <c r="M29" s="20">
        <f>IFERROR(GETPIVOTDATA("[Measures].[Sum of StartValue]",'Results PT'!$B$8,"[Table2].[ReturnDate]","[Table2].[ReturnDate].&amp;["&amp;$A29&amp;"]"),NA())</f>
        <v>2133103468.9199998</v>
      </c>
      <c r="N29" s="20">
        <f>IFERROR(GETPIVOTDATA("[Measures].[Sum of EndValue]",'Results PT'!$B$8,"[Table2].[ReturnDate]","[Table2].[ReturnDate].&amp;["&amp;$A29&amp;"]"),NA())</f>
        <v>2175316780.5299997</v>
      </c>
      <c r="O29" s="20">
        <f>IFERROR(GETPIVOTDATA("[Measures].[Sum of StartPrincipal]",'Results PT'!$B$8,"[Table2].[ReturnDate]","[Table2].[ReturnDate].&amp;["&amp;$A29&amp;"]"),NA())</f>
        <v>2169745051.0599999</v>
      </c>
      <c r="P29" s="20">
        <f>IFERROR(GETPIVOTDATA("[Measures].[Sum of EndPrincipal]",'Results PT'!$B$8,"[Table2].[ReturnDate]","[Table2].[ReturnDate].&amp;["&amp;$A29&amp;"]"),NA())</f>
        <v>2213070873.5999994</v>
      </c>
      <c r="Q29" s="20">
        <f>IFERROR(GETPIVOTDATA("[Measures].[Sum of StartNAV]",'Results PT'!$B$8,"[Table2].[ReturnDate]","[Table2].[ReturnDate].&amp;["&amp;$A29&amp;"]"),NA())</f>
        <v>2114880266.9199998</v>
      </c>
      <c r="R29" s="20">
        <f>IFERROR(GETPIVOTDATA("[Measures].[Sum of EndNAV]",'Results PT'!$B$8,"[Table2].[ReturnDate]","[Table2].[ReturnDate].&amp;["&amp;$A29&amp;"]"),NA())</f>
        <v>2157093578.5299993</v>
      </c>
      <c r="S29" s="20"/>
      <c r="T29" s="1">
        <f t="shared" si="9"/>
        <v>0</v>
      </c>
      <c r="U29" s="1">
        <f t="shared" si="10"/>
        <v>0</v>
      </c>
      <c r="V29">
        <f t="shared" si="11"/>
        <v>4</v>
      </c>
      <c r="W29" s="20">
        <f t="shared" si="0"/>
        <v>-28205229.599999994</v>
      </c>
      <c r="X29" s="20">
        <f t="shared" si="12"/>
        <v>14008082.009999514</v>
      </c>
      <c r="Y29" s="20">
        <f t="shared" si="1"/>
        <v>2128982881.7199998</v>
      </c>
      <c r="Z29" s="3">
        <f t="shared" si="13"/>
        <v>6.5797062673807975E-3</v>
      </c>
      <c r="AA29" s="20"/>
      <c r="AC29" s="20">
        <f>IFERROR(GETPIVOTDATA("[Measures].[Distinct Count of LoanID]",'Count PT'!$B$3,"[Table2].[ReturnDate]","[Table2].[ReturnDate].&amp;["&amp;$A29&amp;"]"),NA())</f>
        <v>66</v>
      </c>
      <c r="AD29" s="20">
        <f>GETPIVOTDATA("[Measures].[Distinct Count of ManagerCode 2]",'Count PT'!$B$3,"[Table2].[ReturnDate]","[Table2].[ReturnDate].&amp;["&amp;$A29&amp;"]")</f>
        <v>5</v>
      </c>
      <c r="AE29" s="20" t="b">
        <f t="shared" si="14"/>
        <v>1</v>
      </c>
      <c r="AF29" s="20" t="b">
        <f t="shared" si="15"/>
        <v>1</v>
      </c>
      <c r="AG29" s="20" t="b">
        <f t="shared" si="16"/>
        <v>1</v>
      </c>
      <c r="AI29" s="7">
        <f t="shared" si="2"/>
        <v>5.9758043379482791E-3</v>
      </c>
      <c r="AJ29" s="7">
        <f t="shared" si="3"/>
        <v>3.1597581914633423E-4</v>
      </c>
      <c r="AK29" s="7">
        <f t="shared" si="4"/>
        <v>8.3417300592159883E-4</v>
      </c>
      <c r="AL29" s="7">
        <f t="shared" si="17"/>
        <v>7.1259531630162125E-3</v>
      </c>
      <c r="AM29" s="7">
        <f t="shared" si="5"/>
        <v>-2.3787645469035078E-5</v>
      </c>
      <c r="AN29" s="7">
        <f t="shared" si="18"/>
        <v>7.1021655175471776E-3</v>
      </c>
      <c r="AO29" s="7">
        <f t="shared" si="19"/>
        <v>-5.2245925016638009E-4</v>
      </c>
      <c r="AP29" s="7">
        <f t="shared" si="6"/>
        <v>6.5797062673807975E-3</v>
      </c>
      <c r="AQ29" s="7">
        <f t="shared" si="7"/>
        <v>6.2917801570946128E-3</v>
      </c>
      <c r="AS29" s="7">
        <f t="shared" si="20"/>
        <v>5.9758043379482791E-3</v>
      </c>
      <c r="AT29" s="7">
        <f t="shared" si="21"/>
        <v>3.1597581914633423E-4</v>
      </c>
      <c r="AU29" s="7">
        <f t="shared" si="22"/>
        <v>6.2917801570946136E-3</v>
      </c>
      <c r="AV29" s="7">
        <f t="shared" si="23"/>
        <v>8.3417300592159883E-4</v>
      </c>
      <c r="AW29" s="7">
        <f t="shared" si="24"/>
        <v>7.1259531630162125E-3</v>
      </c>
      <c r="AX29" s="7">
        <f t="shared" si="25"/>
        <v>-2.3787645469035078E-5</v>
      </c>
      <c r="AY29" s="7">
        <f t="shared" si="26"/>
        <v>7.1021655175471776E-3</v>
      </c>
      <c r="AZ29" s="7">
        <f t="shared" si="27"/>
        <v>-5.2245925016638009E-4</v>
      </c>
      <c r="BA29" s="7">
        <f t="shared" si="28"/>
        <v>6.5797062673807975E-3</v>
      </c>
      <c r="BB29" s="7">
        <f t="shared" si="29"/>
        <v>6.2917801570946128E-3</v>
      </c>
      <c r="BD29">
        <f t="shared" si="30"/>
        <v>1</v>
      </c>
      <c r="BE29">
        <f t="shared" si="34"/>
        <v>1</v>
      </c>
      <c r="BF29" s="7" cm="1">
        <f t="array" ref="BF29">IF(ISNA($BA29),NA(),IF($BE29=0,"***",PRODUCT(1+AS27:AS29)-1))</f>
        <v>1.9521261627991171E-2</v>
      </c>
      <c r="BG29" s="7" cm="1">
        <f t="array" ref="BG29">IF(ISNA($BA29),NA(),IF($BE29=0,"***",PRODUCT(1+AT27:AT29)-1))</f>
        <v>8.2267755666087794E-4</v>
      </c>
      <c r="BH29" s="7" cm="1">
        <f t="array" ref="BH29">IF(ISNA($BA29),NA(),IF($BE29=0,"***",PRODUCT(1+AU27:AU29)-1))</f>
        <v>2.0354564368732175E-2</v>
      </c>
      <c r="BI29" s="7" cm="1">
        <f t="array" ref="BI29">IF(ISNA($BA29),NA(),IF($BE29=0,"***",PRODUCT(1+AV27:AV29)-1))</f>
        <v>1.14480718524268E-3</v>
      </c>
      <c r="BJ29" s="7" cm="1">
        <f t="array" ref="BJ29">IF(ISNA($BA29),NA(),IF($BE29=0,"***",PRODUCT(1+AW27:AW29)-1))</f>
        <v>2.1515192065998168E-2</v>
      </c>
      <c r="BK29" s="7" cm="1">
        <f t="array" ref="BK29">IF(ISNA($BA29),NA(),IF($BE29=0,"***",PRODUCT(1+AX27:AX29)-1))</f>
        <v>-2.7441316053811171E-5</v>
      </c>
      <c r="BL29" s="7" cm="1">
        <f t="array" ref="BL29">IF(ISNA($BA29),NA(),IF($BE29=0,"***",PRODUCT(1+AY27:AY29)-1))</f>
        <v>2.1487359378457471E-2</v>
      </c>
      <c r="BM29" s="7" cm="1">
        <f t="array" ref="BM29">IF(ISNA($BA29),NA(),IF($BE29=0,"***",PRODUCT(1+AZ27:AZ29)-1))</f>
        <v>-2.2425162936140497E-3</v>
      </c>
      <c r="BN29" s="7" cm="1">
        <f t="array" ref="BN29">IF(ISNA($BA29),NA(),IF($BE29=0,"***",PRODUCT(1+BA27:BA29)-1))</f>
        <v>1.9216205177552625E-2</v>
      </c>
      <c r="BO29" s="7">
        <f t="shared" si="35"/>
        <v>-2.8637907290796072E-5</v>
      </c>
      <c r="BP29" s="7">
        <f t="shared" si="36"/>
        <v>2.0220462674241442E-2</v>
      </c>
    </row>
    <row r="30" spans="1:68" x14ac:dyDescent="0.25">
      <c r="A30" t="str">
        <f t="shared" si="31"/>
        <v>20130831</v>
      </c>
      <c r="B30">
        <f t="shared" si="32"/>
        <v>41517</v>
      </c>
      <c r="C30">
        <v>2013</v>
      </c>
      <c r="D30">
        <v>8</v>
      </c>
      <c r="F30" s="20">
        <f>IFERROR(GETPIVOTDATA("[Measures].[Sum of CashInterest]",'Results PT'!$B$8,"[Table2].[ReturnDate]","[Table2].[ReturnDate].&amp;["&amp;$A30&amp;"]"),NA())</f>
        <v>13648260.509999998</v>
      </c>
      <c r="G30" s="20">
        <f>IFERROR(GETPIVOTDATA("[Measures].[Sum of AccrInterest]",'Results PT'!$B$8,"[Table2].[ReturnDate]","[Table2].[ReturnDate].&amp;["&amp;$A30&amp;"]"),NA())</f>
        <v>474579.03</v>
      </c>
      <c r="H30" s="20">
        <f>IFERROR(GETPIVOTDATA("[Measures].[Sum of OtherIncome]",'Results PT'!$B$8,"[Table2].[ReturnDate]","[Table2].[ReturnDate].&amp;["&amp;$A30&amp;"]"),NA())</f>
        <v>337500</v>
      </c>
      <c r="I30" s="20">
        <f>IFERROR(GETPIVOTDATA("[Measures].[Sum of Expenses]",'Results PT'!$B$8,"[Table2].[ReturnDate]","[Table2].[ReturnDate].&amp;["&amp;$A30&amp;"]"),NA())</f>
        <v>-4416.07</v>
      </c>
      <c r="J30" s="20">
        <f>IFERROR(GETPIVOTDATA("[Measures].[Sum of PrincipalFunded]",'Results PT'!$B$8,"[Table2].[ReturnDate]","[Table2].[ReturnDate].&amp;["&amp;$A30&amp;"]"),NA())</f>
        <v>-90764967.829999998</v>
      </c>
      <c r="K30" s="20">
        <f>IFERROR(GETPIVOTDATA("[Measures].[Sum of PrincipalRepaid]",'Results PT'!$B$8,"[Table2].[ReturnDate]","[Table2].[ReturnDate].&amp;["&amp;$A30&amp;"]"),NA())</f>
        <v>8211584.7899999991</v>
      </c>
      <c r="L30" s="20"/>
      <c r="M30" s="20">
        <f>IFERROR(GETPIVOTDATA("[Measures].[Sum of StartValue]",'Results PT'!$B$8,"[Table2].[ReturnDate]","[Table2].[ReturnDate].&amp;["&amp;$A30&amp;"]"),NA())</f>
        <v>2175316780.5299997</v>
      </c>
      <c r="N30" s="20">
        <f>IFERROR(GETPIVOTDATA("[Measures].[Sum of EndValue]",'Results PT'!$B$8,"[Table2].[ReturnDate]","[Table2].[ReturnDate].&amp;["&amp;$A30&amp;"]"),NA())</f>
        <v>2258079305.0899997</v>
      </c>
      <c r="O30" s="20">
        <f>IFERROR(GETPIVOTDATA("[Measures].[Sum of StartPrincipal]",'Results PT'!$B$8,"[Table2].[ReturnDate]","[Table2].[ReturnDate].&amp;["&amp;$A30&amp;"]"),NA())</f>
        <v>2213070873.5999994</v>
      </c>
      <c r="P30" s="20">
        <f>IFERROR(GETPIVOTDATA("[Measures].[Sum of EndPrincipal]",'Results PT'!$B$8,"[Table2].[ReturnDate]","[Table2].[ReturnDate].&amp;["&amp;$A30&amp;"]"),NA())</f>
        <v>2296099039.7599993</v>
      </c>
      <c r="Q30" s="20">
        <f>IFERROR(GETPIVOTDATA("[Measures].[Sum of StartNAV]",'Results PT'!$B$8,"[Table2].[ReturnDate]","[Table2].[ReturnDate].&amp;["&amp;$A30&amp;"]"),NA())</f>
        <v>2157093578.5299993</v>
      </c>
      <c r="R30" s="20">
        <f>IFERROR(GETPIVOTDATA("[Measures].[Sum of EndNAV]",'Results PT'!$B$8,"[Table2].[ReturnDate]","[Table2].[ReturnDate].&amp;["&amp;$A30&amp;"]"),NA())</f>
        <v>2239856103.0899997</v>
      </c>
      <c r="S30" s="20"/>
      <c r="T30" s="1">
        <f t="shared" si="9"/>
        <v>0</v>
      </c>
      <c r="U30" s="1">
        <f t="shared" si="10"/>
        <v>0</v>
      </c>
      <c r="V30">
        <f t="shared" si="11"/>
        <v>4</v>
      </c>
      <c r="W30" s="20">
        <f t="shared" si="0"/>
        <v>-68572038.599999994</v>
      </c>
      <c r="X30" s="20">
        <f t="shared" si="12"/>
        <v>14190485.960000515</v>
      </c>
      <c r="Y30" s="20">
        <f t="shared" si="1"/>
        <v>2191379597.8299994</v>
      </c>
      <c r="Z30" s="3">
        <f t="shared" si="13"/>
        <v>6.4755946318257951E-3</v>
      </c>
      <c r="AA30" s="20"/>
      <c r="AC30" s="20">
        <f>IFERROR(GETPIVOTDATA("[Measures].[Distinct Count of LoanID]",'Count PT'!$B$3,"[Table2].[ReturnDate]","[Table2].[ReturnDate].&amp;["&amp;$A30&amp;"]"),NA())</f>
        <v>65</v>
      </c>
      <c r="AD30" s="20">
        <f>GETPIVOTDATA("[Measures].[Distinct Count of ManagerCode 2]",'Count PT'!$B$3,"[Table2].[ReturnDate]","[Table2].[ReturnDate].&amp;["&amp;$A30&amp;"]")</f>
        <v>5</v>
      </c>
      <c r="AE30" s="20" t="b">
        <f t="shared" si="14"/>
        <v>1</v>
      </c>
      <c r="AF30" s="20" t="b">
        <f t="shared" si="15"/>
        <v>1</v>
      </c>
      <c r="AG30" s="20" t="b">
        <f t="shared" si="16"/>
        <v>1</v>
      </c>
      <c r="AI30" s="7">
        <f t="shared" si="2"/>
        <v>6.2281589750653454E-3</v>
      </c>
      <c r="AJ30" s="7">
        <f t="shared" si="3"/>
        <v>2.165663267422719E-4</v>
      </c>
      <c r="AK30" s="7">
        <f t="shared" si="4"/>
        <v>1.5401256830820518E-4</v>
      </c>
      <c r="AL30" s="7">
        <f t="shared" si="17"/>
        <v>6.5987378701158226E-3</v>
      </c>
      <c r="AM30" s="7">
        <f t="shared" si="5"/>
        <v>-2.0152008371224168E-6</v>
      </c>
      <c r="AN30" s="7">
        <f t="shared" si="18"/>
        <v>6.5967226692787003E-3</v>
      </c>
      <c r="AO30" s="7">
        <f t="shared" si="19"/>
        <v>-1.2112803745290522E-4</v>
      </c>
      <c r="AP30" s="7">
        <f t="shared" si="6"/>
        <v>6.4755946318257951E-3</v>
      </c>
      <c r="AQ30" s="7">
        <f t="shared" si="7"/>
        <v>6.4447253018076172E-3</v>
      </c>
      <c r="AS30" s="7">
        <f t="shared" si="20"/>
        <v>6.2281589750653454E-3</v>
      </c>
      <c r="AT30" s="7">
        <f t="shared" si="21"/>
        <v>2.165663267422719E-4</v>
      </c>
      <c r="AU30" s="7">
        <f t="shared" si="22"/>
        <v>6.4447253018076172E-3</v>
      </c>
      <c r="AV30" s="7">
        <f t="shared" si="23"/>
        <v>1.5401256830820518E-4</v>
      </c>
      <c r="AW30" s="7">
        <f t="shared" si="24"/>
        <v>6.5987378701158226E-3</v>
      </c>
      <c r="AX30" s="7">
        <f t="shared" si="25"/>
        <v>-2.0152008371224168E-6</v>
      </c>
      <c r="AY30" s="7">
        <f t="shared" si="26"/>
        <v>6.5967226692787003E-3</v>
      </c>
      <c r="AZ30" s="7">
        <f t="shared" si="27"/>
        <v>-1.2112803745290522E-4</v>
      </c>
      <c r="BA30" s="7">
        <f t="shared" si="28"/>
        <v>6.4755946318257951E-3</v>
      </c>
      <c r="BB30" s="7">
        <f t="shared" si="29"/>
        <v>6.4447253018076172E-3</v>
      </c>
      <c r="BD30">
        <f t="shared" si="30"/>
        <v>1</v>
      </c>
      <c r="BE30">
        <f t="shared" si="34"/>
        <v>1</v>
      </c>
      <c r="BF30" s="7" cm="1">
        <f t="array" ref="BF30">IF(ISNA($BA30),NA(),IF($BE30=0,"***",PRODUCT(1+AS28:AS30)-1))</f>
        <v>1.751604566899756E-2</v>
      </c>
      <c r="BG30" s="7" cm="1">
        <f t="array" ref="BG30">IF(ISNA($BA30),NA(),IF($BE30=0,"***",PRODUCT(1+AT28:AT30)-1))</f>
        <v>7.6051993468717605E-4</v>
      </c>
      <c r="BH30" s="7" cm="1">
        <f t="array" ref="BH30">IF(ISNA($BA30),NA(),IF($BE30=0,"***",PRODUCT(1+AU28:AU30)-1))</f>
        <v>1.828540931950462E-2</v>
      </c>
      <c r="BI30" s="7" cm="1">
        <f t="array" ref="BI30">IF(ISNA($BA30),NA(),IF($BE30=0,"***",PRODUCT(1+AV28:AV30)-1))</f>
        <v>1.1545418915446248E-3</v>
      </c>
      <c r="BJ30" s="7" cm="1">
        <f t="array" ref="BJ30">IF(ISNA($BA30),NA(),IF($BE30=0,"***",PRODUCT(1+AW28:AW30)-1))</f>
        <v>1.9453828912878057E-2</v>
      </c>
      <c r="BK30" s="7" cm="1">
        <f t="array" ref="BK30">IF(ISNA($BA30),NA(),IF($BE30=0,"***",PRODUCT(1+AX28:AX30)-1))</f>
        <v>-2.7391320056024959E-5</v>
      </c>
      <c r="BL30" s="7" cm="1">
        <f t="array" ref="BL30">IF(ISNA($BA30),NA(),IF($BE30=0,"***",PRODUCT(1+AY28:AY30)-1))</f>
        <v>1.9426098804137037E-2</v>
      </c>
      <c r="BM30" s="7" cm="1">
        <f t="array" ref="BM30">IF(ISNA($BA30),NA(),IF($BE30=0,"***",PRODUCT(1+AZ28:AZ30)-1))</f>
        <v>-3.9731022108824288E-4</v>
      </c>
      <c r="BN30" s="7" cm="1">
        <f t="array" ref="BN30">IF(ISNA($BA30),NA(),IF($BE30=0,"***",PRODUCT(1+BA28:BA30)-1))</f>
        <v>1.9024237286967782E-2</v>
      </c>
      <c r="BO30" s="7">
        <f t="shared" si="35"/>
        <v>-4.551296081012346E-6</v>
      </c>
      <c r="BP30" s="7">
        <f t="shared" si="36"/>
        <v>1.8175367884443565E-2</v>
      </c>
    </row>
    <row r="31" spans="1:68" x14ac:dyDescent="0.25">
      <c r="A31" t="str">
        <f t="shared" si="31"/>
        <v>20130930</v>
      </c>
      <c r="B31">
        <f t="shared" si="32"/>
        <v>41547</v>
      </c>
      <c r="C31">
        <v>2013</v>
      </c>
      <c r="D31">
        <v>9</v>
      </c>
      <c r="F31" s="20">
        <f>IFERROR(GETPIVOTDATA("[Measures].[Sum of CashInterest]",'Results PT'!$B$8,"[Table2].[ReturnDate]","[Table2].[ReturnDate].&amp;["&amp;$A31&amp;"]"),NA())</f>
        <v>12038521.509999996</v>
      </c>
      <c r="G31" s="20">
        <f>IFERROR(GETPIVOTDATA("[Measures].[Sum of AccrInterest]",'Results PT'!$B$8,"[Table2].[ReturnDate]","[Table2].[ReturnDate].&amp;["&amp;$A31&amp;"]"),NA())</f>
        <v>741853.94000000006</v>
      </c>
      <c r="H31" s="20">
        <f>IFERROR(GETPIVOTDATA("[Measures].[Sum of OtherIncome]",'Results PT'!$B$8,"[Table2].[ReturnDate]","[Table2].[ReturnDate].&amp;["&amp;$A31&amp;"]"),NA())</f>
        <v>0</v>
      </c>
      <c r="I31" s="20">
        <f>IFERROR(GETPIVOTDATA("[Measures].[Sum of Expenses]",'Results PT'!$B$8,"[Table2].[ReturnDate]","[Table2].[ReturnDate].&amp;["&amp;$A31&amp;"]"),NA())</f>
        <v>-4421.0499999999993</v>
      </c>
      <c r="J31" s="20">
        <f>IFERROR(GETPIVOTDATA("[Measures].[Sum of PrincipalFunded]",'Results PT'!$B$8,"[Table2].[ReturnDate]","[Table2].[ReturnDate].&amp;["&amp;$A31&amp;"]"),NA())</f>
        <v>-78020779.439999998</v>
      </c>
      <c r="K31" s="20">
        <f>IFERROR(GETPIVOTDATA("[Measures].[Sum of PrincipalRepaid]",'Results PT'!$B$8,"[Table2].[ReturnDate]","[Table2].[ReturnDate].&amp;["&amp;$A31&amp;"]"),NA())</f>
        <v>6602720.6000000006</v>
      </c>
      <c r="L31" s="20"/>
      <c r="M31" s="20">
        <f>IFERROR(GETPIVOTDATA("[Measures].[Sum of StartValue]",'Results PT'!$B$8,"[Table2].[ReturnDate]","[Table2].[ReturnDate].&amp;["&amp;$A31&amp;"]"),NA())</f>
        <v>2258079305.0899997</v>
      </c>
      <c r="N31" s="20">
        <f>IFERROR(GETPIVOTDATA("[Measures].[Sum of EndValue]",'Results PT'!$B$8,"[Table2].[ReturnDate]","[Table2].[ReturnDate].&amp;["&amp;$A31&amp;"]"),NA())</f>
        <v>2328624594.8200002</v>
      </c>
      <c r="O31" s="20">
        <f>IFERROR(GETPIVOTDATA("[Measures].[Sum of StartPrincipal]",'Results PT'!$B$8,"[Table2].[ReturnDate]","[Table2].[ReturnDate].&amp;["&amp;$A31&amp;"]"),NA())</f>
        <v>2296099039.7599993</v>
      </c>
      <c r="P31" s="20">
        <f>IFERROR(GETPIVOTDATA("[Measures].[Sum of EndPrincipal]",'Results PT'!$B$8,"[Table2].[ReturnDate]","[Table2].[ReturnDate].&amp;["&amp;$A31&amp;"]"),NA())</f>
        <v>2368259156.5500002</v>
      </c>
      <c r="Q31" s="20">
        <f>IFERROR(GETPIVOTDATA("[Measures].[Sum of StartNAV]",'Results PT'!$B$8,"[Table2].[ReturnDate]","[Table2].[ReturnDate].&amp;["&amp;$A31&amp;"]"),NA())</f>
        <v>2239856103.0899997</v>
      </c>
      <c r="R31" s="20">
        <f>IFERROR(GETPIVOTDATA("[Measures].[Sum of EndNAV]",'Results PT'!$B$8,"[Table2].[ReturnDate]","[Table2].[ReturnDate].&amp;["&amp;$A31&amp;"]"),NA())</f>
        <v>2310401392.8200002</v>
      </c>
      <c r="S31" s="20"/>
      <c r="T31" s="1">
        <f t="shared" si="9"/>
        <v>0</v>
      </c>
      <c r="U31" s="1">
        <f t="shared" si="10"/>
        <v>0</v>
      </c>
      <c r="V31">
        <f t="shared" si="11"/>
        <v>4</v>
      </c>
      <c r="W31" s="20">
        <f t="shared" si="0"/>
        <v>-59383958.380000003</v>
      </c>
      <c r="X31" s="20">
        <f t="shared" si="12"/>
        <v>11161331.350000381</v>
      </c>
      <c r="Y31" s="20">
        <f t="shared" si="1"/>
        <v>2269548082.2799997</v>
      </c>
      <c r="Z31" s="3">
        <f t="shared" si="13"/>
        <v>4.9178651191155425E-3</v>
      </c>
      <c r="AA31" s="20"/>
      <c r="AC31" s="20">
        <f>IFERROR(GETPIVOTDATA("[Measures].[Distinct Count of LoanID]",'Count PT'!$B$3,"[Table2].[ReturnDate]","[Table2].[ReturnDate].&amp;["&amp;$A31&amp;"]"),NA())</f>
        <v>68</v>
      </c>
      <c r="AD31" s="20">
        <f>GETPIVOTDATA("[Measures].[Distinct Count of ManagerCode 2]",'Count PT'!$B$3,"[Table2].[ReturnDate]","[Table2].[ReturnDate].&amp;["&amp;$A31&amp;"]")</f>
        <v>5</v>
      </c>
      <c r="AE31" s="20" t="b">
        <f t="shared" si="14"/>
        <v>1</v>
      </c>
      <c r="AF31" s="20" t="b">
        <f t="shared" si="15"/>
        <v>1</v>
      </c>
      <c r="AG31" s="20" t="b">
        <f t="shared" si="16"/>
        <v>1</v>
      </c>
      <c r="AI31" s="7">
        <f t="shared" si="2"/>
        <v>5.3043694486992476E-3</v>
      </c>
      <c r="AJ31" s="7">
        <f t="shared" si="3"/>
        <v>3.2687297783738943E-4</v>
      </c>
      <c r="AK31" s="7">
        <f t="shared" si="4"/>
        <v>0</v>
      </c>
      <c r="AL31" s="7">
        <f t="shared" si="17"/>
        <v>5.6312424265366375E-3</v>
      </c>
      <c r="AM31" s="7">
        <f t="shared" si="5"/>
        <v>-1.9479869294324842E-6</v>
      </c>
      <c r="AN31" s="7">
        <f t="shared" si="18"/>
        <v>5.6292944396072048E-3</v>
      </c>
      <c r="AO31" s="7">
        <f t="shared" si="19"/>
        <v>-7.1142932049166226E-4</v>
      </c>
      <c r="AP31" s="7">
        <f t="shared" si="6"/>
        <v>4.9178651191155425E-3</v>
      </c>
      <c r="AQ31" s="7">
        <f t="shared" si="7"/>
        <v>5.6312424265366366E-3</v>
      </c>
      <c r="AS31" s="7">
        <f t="shared" si="20"/>
        <v>5.3043694486992476E-3</v>
      </c>
      <c r="AT31" s="7">
        <f t="shared" si="21"/>
        <v>3.2687297783738943E-4</v>
      </c>
      <c r="AU31" s="7">
        <f t="shared" si="22"/>
        <v>5.6312424265366375E-3</v>
      </c>
      <c r="AV31" s="7">
        <f t="shared" si="23"/>
        <v>0</v>
      </c>
      <c r="AW31" s="7">
        <f t="shared" si="24"/>
        <v>5.6312424265366375E-3</v>
      </c>
      <c r="AX31" s="7">
        <f t="shared" si="25"/>
        <v>-1.9479869294324842E-6</v>
      </c>
      <c r="AY31" s="7">
        <f t="shared" si="26"/>
        <v>5.6292944396072048E-3</v>
      </c>
      <c r="AZ31" s="7">
        <f t="shared" si="27"/>
        <v>-7.1142932049166226E-4</v>
      </c>
      <c r="BA31" s="7">
        <f t="shared" si="28"/>
        <v>4.9178651191155425E-3</v>
      </c>
      <c r="BB31" s="7">
        <f t="shared" si="29"/>
        <v>5.6312424265366366E-3</v>
      </c>
      <c r="BD31">
        <f t="shared" si="30"/>
        <v>1</v>
      </c>
      <c r="BE31">
        <f t="shared" si="34"/>
        <v>1</v>
      </c>
      <c r="BF31" s="7" cm="1">
        <f t="array" ref="BF31">IF(ISNA($BA31),NA(),IF($BE31=0,"***",PRODUCT(1+AS29:AS31)-1))</f>
        <v>1.7610482770682001E-2</v>
      </c>
      <c r="BG31" s="7" cm="1">
        <f t="array" ref="BG31">IF(ISNA($BA31),NA(),IF($BE31=0,"***",PRODUCT(1+AT29:AT31)-1))</f>
        <v>8.5965764945350465E-4</v>
      </c>
      <c r="BH31" s="7" cm="1">
        <f t="array" ref="BH31">IF(ISNA($BA31),NA(),IF($BE31=0,"***",PRODUCT(1+AU29:AU31)-1))</f>
        <v>1.8480247370210146E-2</v>
      </c>
      <c r="BI31" s="7" cm="1">
        <f t="array" ref="BI31">IF(ISNA($BA31),NA(),IF($BE31=0,"***",PRODUCT(1+AV29:AV31)-1))</f>
        <v>9.883140473567753E-4</v>
      </c>
      <c r="BJ31" s="7" cm="1">
        <f t="array" ref="BJ31">IF(ISNA($BA31),NA(),IF($BE31=0,"***",PRODUCT(1+AW29:AW31)-1))</f>
        <v>1.9480507613056641E-2</v>
      </c>
      <c r="BK31" s="7" cm="1">
        <f t="array" ref="BK31">IF(ISNA($BA31),NA(),IF($BE31=0,"***",PRODUCT(1+AX29:AX31)-1))</f>
        <v>-2.7750735035247942E-5</v>
      </c>
      <c r="BL31" s="7" cm="1">
        <f t="array" ref="BL31">IF(ISNA($BA31),NA(),IF($BE31=0,"***",PRODUCT(1+AY29:AY31)-1))</f>
        <v>1.9452412455967849E-2</v>
      </c>
      <c r="BM31" s="7" cm="1">
        <f t="array" ref="BM31">IF(ISNA($BA31),NA(),IF($BE31=0,"***",PRODUCT(1+AZ29:AZ31)-1))</f>
        <v>-1.3544955018028881E-3</v>
      </c>
      <c r="BN31" s="7" cm="1">
        <f t="array" ref="BN31">IF(ISNA($BA31),NA(),IF($BE31=0,"***",PRODUCT(1+BA29:BA31)-1))</f>
        <v>1.8080187275807846E-2</v>
      </c>
      <c r="BO31" s="7">
        <f t="shared" si="35"/>
        <v>-1.7729678357114587E-5</v>
      </c>
      <c r="BP31" s="7">
        <f t="shared" si="36"/>
        <v>1.8367747885438868E-2</v>
      </c>
    </row>
    <row r="32" spans="1:68" x14ac:dyDescent="0.25">
      <c r="A32" t="str">
        <f t="shared" si="31"/>
        <v>20131031</v>
      </c>
      <c r="B32">
        <f t="shared" si="32"/>
        <v>41578</v>
      </c>
      <c r="C32">
        <v>2013</v>
      </c>
      <c r="D32">
        <v>10</v>
      </c>
      <c r="F32" s="20">
        <f>IFERROR(GETPIVOTDATA("[Measures].[Sum of CashInterest]",'Results PT'!$B$8,"[Table2].[ReturnDate]","[Table2].[ReturnDate].&amp;["&amp;$A32&amp;"]"),NA())</f>
        <v>13015683.82</v>
      </c>
      <c r="G32" s="20">
        <f>IFERROR(GETPIVOTDATA("[Measures].[Sum of AccrInterest]",'Results PT'!$B$8,"[Table2].[ReturnDate]","[Table2].[ReturnDate].&amp;["&amp;$A32&amp;"]"),NA())</f>
        <v>660210.59000000008</v>
      </c>
      <c r="H32" s="20">
        <f>IFERROR(GETPIVOTDATA("[Measures].[Sum of OtherIncome]",'Results PT'!$B$8,"[Table2].[ReturnDate]","[Table2].[ReturnDate].&amp;["&amp;$A32&amp;"]"),NA())</f>
        <v>90000</v>
      </c>
      <c r="I32" s="20">
        <f>IFERROR(GETPIVOTDATA("[Measures].[Sum of Expenses]",'Results PT'!$B$8,"[Table2].[ReturnDate]","[Table2].[ReturnDate].&amp;["&amp;$A32&amp;"]"),NA())</f>
        <v>-4272.6900000000005</v>
      </c>
      <c r="J32" s="20">
        <f>IFERROR(GETPIVOTDATA("[Measures].[Sum of PrincipalFunded]",'Results PT'!$B$8,"[Table2].[ReturnDate]","[Table2].[ReturnDate].&amp;["&amp;$A32&amp;"]"),NA())</f>
        <v>-295642841.34999996</v>
      </c>
      <c r="K32" s="20">
        <f>IFERROR(GETPIVOTDATA("[Measures].[Sum of PrincipalRepaid]",'Results PT'!$B$8,"[Table2].[ReturnDate]","[Table2].[ReturnDate].&amp;["&amp;$A32&amp;"]"),NA())</f>
        <v>41503705.609999999</v>
      </c>
      <c r="L32" s="20"/>
      <c r="M32" s="20">
        <f>IFERROR(GETPIVOTDATA("[Measures].[Sum of StartValue]",'Results PT'!$B$8,"[Table2].[ReturnDate]","[Table2].[ReturnDate].&amp;["&amp;$A32&amp;"]"),NA())</f>
        <v>2328624594.8200002</v>
      </c>
      <c r="N32" s="20">
        <f>IFERROR(GETPIVOTDATA("[Measures].[Sum of EndValue]",'Results PT'!$B$8,"[Table2].[ReturnDate]","[Table2].[ReturnDate].&amp;["&amp;$A32&amp;"]"),NA())</f>
        <v>2586718639.059999</v>
      </c>
      <c r="O32" s="20">
        <f>IFERROR(GETPIVOTDATA("[Measures].[Sum of StartPrincipal]",'Results PT'!$B$8,"[Table2].[ReturnDate]","[Table2].[ReturnDate].&amp;["&amp;$A32&amp;"]"),NA())</f>
        <v>2368259156.5500002</v>
      </c>
      <c r="P32" s="20">
        <f>IFERROR(GETPIVOTDATA("[Measures].[Sum of EndPrincipal]",'Results PT'!$B$8,"[Table2].[ReturnDate]","[Table2].[ReturnDate].&amp;["&amp;$A32&amp;"]"),NA())</f>
        <v>2623058707.0099988</v>
      </c>
      <c r="Q32" s="20">
        <f>IFERROR(GETPIVOTDATA("[Measures].[Sum of StartNAV]",'Results PT'!$B$8,"[Table2].[ReturnDate]","[Table2].[ReturnDate].&amp;["&amp;$A32&amp;"]"),NA())</f>
        <v>2310401392.8200002</v>
      </c>
      <c r="R32" s="20">
        <f>IFERROR(GETPIVOTDATA("[Measures].[Sum of EndNAV]",'Results PT'!$B$8,"[Table2].[ReturnDate]","[Table2].[ReturnDate].&amp;["&amp;$A32&amp;"]"),NA())</f>
        <v>2568495437.059999</v>
      </c>
      <c r="S32" s="20"/>
      <c r="T32" s="1">
        <f t="shared" si="9"/>
        <v>0</v>
      </c>
      <c r="U32" s="1">
        <f t="shared" si="10"/>
        <v>0</v>
      </c>
      <c r="V32">
        <f t="shared" si="11"/>
        <v>4</v>
      </c>
      <c r="W32" s="20">
        <f t="shared" si="0"/>
        <v>-241037724.60999995</v>
      </c>
      <c r="X32" s="20">
        <f t="shared" si="12"/>
        <v>17056319.629998684</v>
      </c>
      <c r="Y32" s="20">
        <f t="shared" si="1"/>
        <v>2430920255.125</v>
      </c>
      <c r="Z32" s="3">
        <f t="shared" si="13"/>
        <v>7.0164044229915033E-3</v>
      </c>
      <c r="AA32" s="20"/>
      <c r="AC32" s="20">
        <f>IFERROR(GETPIVOTDATA("[Measures].[Distinct Count of LoanID]",'Count PT'!$B$3,"[Table2].[ReturnDate]","[Table2].[ReturnDate].&amp;["&amp;$A32&amp;"]"),NA())</f>
        <v>73</v>
      </c>
      <c r="AD32" s="20">
        <f>GETPIVOTDATA("[Measures].[Distinct Count of ManagerCode 2]",'Count PT'!$B$3,"[Table2].[ReturnDate]","[Table2].[ReturnDate].&amp;["&amp;$A32&amp;"]")</f>
        <v>5</v>
      </c>
      <c r="AE32" s="20" t="b">
        <f t="shared" si="14"/>
        <v>1</v>
      </c>
      <c r="AF32" s="20" t="b">
        <f t="shared" si="15"/>
        <v>1</v>
      </c>
      <c r="AG32" s="20" t="b">
        <f t="shared" si="16"/>
        <v>1</v>
      </c>
      <c r="AI32" s="7">
        <f t="shared" si="2"/>
        <v>5.3542208110527768E-3</v>
      </c>
      <c r="AJ32" s="7">
        <f t="shared" si="3"/>
        <v>2.7158874858527663E-4</v>
      </c>
      <c r="AK32" s="7">
        <f t="shared" si="4"/>
        <v>3.7023016205594173E-5</v>
      </c>
      <c r="AL32" s="7">
        <f t="shared" si="17"/>
        <v>5.6628325758436475E-3</v>
      </c>
      <c r="AM32" s="7">
        <f t="shared" si="5"/>
        <v>-1.75764301234978E-6</v>
      </c>
      <c r="AN32" s="7">
        <f t="shared" si="18"/>
        <v>5.6610749328312978E-3</v>
      </c>
      <c r="AO32" s="7">
        <f t="shared" si="19"/>
        <v>1.3553294901602056E-3</v>
      </c>
      <c r="AP32" s="7">
        <f t="shared" si="6"/>
        <v>7.0164044229915033E-3</v>
      </c>
      <c r="AQ32" s="7">
        <f t="shared" si="7"/>
        <v>5.6258095596380528E-3</v>
      </c>
      <c r="AS32" s="7">
        <f t="shared" si="20"/>
        <v>5.3542208110527768E-3</v>
      </c>
      <c r="AT32" s="7">
        <f t="shared" si="21"/>
        <v>2.7158874858527663E-4</v>
      </c>
      <c r="AU32" s="7">
        <f t="shared" si="22"/>
        <v>5.6258095596380536E-3</v>
      </c>
      <c r="AV32" s="7">
        <f t="shared" si="23"/>
        <v>3.7023016205594173E-5</v>
      </c>
      <c r="AW32" s="7">
        <f t="shared" si="24"/>
        <v>5.6628325758436475E-3</v>
      </c>
      <c r="AX32" s="7">
        <f t="shared" si="25"/>
        <v>-1.75764301234978E-6</v>
      </c>
      <c r="AY32" s="7">
        <f t="shared" si="26"/>
        <v>5.6610749328312978E-3</v>
      </c>
      <c r="AZ32" s="7">
        <f t="shared" si="27"/>
        <v>1.3553294901602056E-3</v>
      </c>
      <c r="BA32" s="7">
        <f t="shared" si="28"/>
        <v>7.0164044229915033E-3</v>
      </c>
      <c r="BB32" s="7">
        <f t="shared" si="29"/>
        <v>5.6258095596380528E-3</v>
      </c>
      <c r="BD32">
        <f t="shared" si="30"/>
        <v>1</v>
      </c>
      <c r="BE32">
        <f t="shared" si="34"/>
        <v>1</v>
      </c>
      <c r="BF32" s="7" cm="1">
        <f t="array" ref="BF32">IF(ISNA($BA32),NA(),IF($BE32=0,"***",PRODUCT(1+AS30:AS32)-1))</f>
        <v>1.6981710279178053E-2</v>
      </c>
      <c r="BG32" s="7" cm="1">
        <f t="array" ref="BG32">IF(ISNA($BA32),NA(),IF($BE32=0,"***",PRODUCT(1+AT30:AT32)-1))</f>
        <v>8.152464540713833E-4</v>
      </c>
      <c r="BH32" s="7" cm="1">
        <f t="array" ref="BH32">IF(ISNA($BA32),NA(),IF($BE32=0,"***",PRODUCT(1+AU30:AU32)-1))</f>
        <v>1.780621036403196E-2</v>
      </c>
      <c r="BI32" s="7" cm="1">
        <f t="array" ref="BI32">IF(ISNA($BA32),NA(),IF($BE32=0,"***",PRODUCT(1+AV30:AV32)-1))</f>
        <v>1.9104128652358554E-4</v>
      </c>
      <c r="BJ32" s="7" cm="1">
        <f t="array" ref="BJ32">IF(ISNA($BA32),NA(),IF($BE32=0,"***",PRODUCT(1+AW30:AW32)-1))</f>
        <v>1.7999438721697958E-2</v>
      </c>
      <c r="BK32" s="7" cm="1">
        <f t="array" ref="BK32">IF(ISNA($BA32),NA(),IF($BE32=0,"***",PRODUCT(1+AX30:AX32)-1))</f>
        <v>-5.7208198873670568E-6</v>
      </c>
      <c r="BL32" s="7" cm="1">
        <f t="array" ref="BL32">IF(ISNA($BA32),NA(),IF($BE32=0,"***",PRODUCT(1+AY30:AY32)-1))</f>
        <v>1.7993649558361469E-2</v>
      </c>
      <c r="BM32" s="7" cm="1">
        <f t="array" ref="BM32">IF(ISNA($BA32),NA(),IF($BE32=0,"***",PRODUCT(1+AZ30:AZ32)-1))</f>
        <v>5.2173003350786118E-4</v>
      </c>
      <c r="BN32" s="7" cm="1">
        <f t="array" ref="BN32">IF(ISNA($BA32),NA(),IF($BE32=0,"***",PRODUCT(1+BA30:BA32)-1))</f>
        <v>1.8521874841411545E-2</v>
      </c>
      <c r="BO32" s="7">
        <f t="shared" si="35"/>
        <v>6.4952495422154755E-6</v>
      </c>
      <c r="BP32" s="7">
        <f t="shared" si="36"/>
        <v>1.7701777287982307E-2</v>
      </c>
    </row>
    <row r="33" spans="1:68" x14ac:dyDescent="0.25">
      <c r="A33" t="str">
        <f t="shared" si="31"/>
        <v>20131130</v>
      </c>
      <c r="B33">
        <f t="shared" si="32"/>
        <v>41608</v>
      </c>
      <c r="C33">
        <v>2013</v>
      </c>
      <c r="D33">
        <v>11</v>
      </c>
      <c r="F33" s="20">
        <f>IFERROR(GETPIVOTDATA("[Measures].[Sum of CashInterest]",'Results PT'!$B$8,"[Table2].[ReturnDate]","[Table2].[ReturnDate].&amp;["&amp;$A33&amp;"]"),NA())</f>
        <v>19642555.329999998</v>
      </c>
      <c r="G33" s="20">
        <f>IFERROR(GETPIVOTDATA("[Measures].[Sum of AccrInterest]",'Results PT'!$B$8,"[Table2].[ReturnDate]","[Table2].[ReturnDate].&amp;["&amp;$A33&amp;"]"),NA())</f>
        <v>836521.4</v>
      </c>
      <c r="H33" s="20">
        <f>IFERROR(GETPIVOTDATA("[Measures].[Sum of OtherIncome]",'Results PT'!$B$8,"[Table2].[ReturnDate]","[Table2].[ReturnDate].&amp;["&amp;$A33&amp;"]"),NA())</f>
        <v>150000</v>
      </c>
      <c r="I33" s="20">
        <f>IFERROR(GETPIVOTDATA("[Measures].[Sum of Expenses]",'Results PT'!$B$8,"[Table2].[ReturnDate]","[Table2].[ReturnDate].&amp;["&amp;$A33&amp;"]"),NA())</f>
        <v>-4148.21</v>
      </c>
      <c r="J33" s="20">
        <f>IFERROR(GETPIVOTDATA("[Measures].[Sum of PrincipalFunded]",'Results PT'!$B$8,"[Table2].[ReturnDate]","[Table2].[ReturnDate].&amp;["&amp;$A33&amp;"]"),NA())</f>
        <v>-22053167.050000001</v>
      </c>
      <c r="K33" s="20">
        <f>IFERROR(GETPIVOTDATA("[Measures].[Sum of PrincipalRepaid]",'Results PT'!$B$8,"[Table2].[ReturnDate]","[Table2].[ReturnDate].&amp;["&amp;$A33&amp;"]"),NA())</f>
        <v>113981931.85000001</v>
      </c>
      <c r="L33" s="20"/>
      <c r="M33" s="20">
        <f>IFERROR(GETPIVOTDATA("[Measures].[Sum of StartValue]",'Results PT'!$B$8,"[Table2].[ReturnDate]","[Table2].[ReturnDate].&amp;["&amp;$A33&amp;"]"),NA())</f>
        <v>2586718639.059999</v>
      </c>
      <c r="N33" s="20">
        <f>IFERROR(GETPIVOTDATA("[Measures].[Sum of EndValue]",'Results PT'!$B$8,"[Table2].[ReturnDate]","[Table2].[ReturnDate].&amp;["&amp;$A33&amp;"]"),NA())</f>
        <v>2491155904.7799997</v>
      </c>
      <c r="O33" s="20">
        <f>IFERROR(GETPIVOTDATA("[Measures].[Sum of StartPrincipal]",'Results PT'!$B$8,"[Table2].[ReturnDate]","[Table2].[ReturnDate].&amp;["&amp;$A33&amp;"]"),NA())</f>
        <v>2623058707.0099988</v>
      </c>
      <c r="P33" s="20">
        <f>IFERROR(GETPIVOTDATA("[Measures].[Sum of EndPrincipal]",'Results PT'!$B$8,"[Table2].[ReturnDate]","[Table2].[ReturnDate].&amp;["&amp;$A33&amp;"]"),NA())</f>
        <v>2531966667.6900001</v>
      </c>
      <c r="Q33" s="20">
        <f>IFERROR(GETPIVOTDATA("[Measures].[Sum of StartNAV]",'Results PT'!$B$8,"[Table2].[ReturnDate]","[Table2].[ReturnDate].&amp;["&amp;$A33&amp;"]"),NA())</f>
        <v>2568495437.059999</v>
      </c>
      <c r="R33" s="20">
        <f>IFERROR(GETPIVOTDATA("[Measures].[Sum of EndNAV]",'Results PT'!$B$8,"[Table2].[ReturnDate]","[Table2].[ReturnDate].&amp;["&amp;$A33&amp;"]"),NA())</f>
        <v>2472932702.7799997</v>
      </c>
      <c r="S33" s="20"/>
      <c r="T33" s="1">
        <f t="shared" si="9"/>
        <v>0</v>
      </c>
      <c r="U33" s="1">
        <f t="shared" si="10"/>
        <v>0</v>
      </c>
      <c r="V33">
        <f t="shared" si="11"/>
        <v>4</v>
      </c>
      <c r="W33" s="20">
        <f t="shared" si="0"/>
        <v>111717171.92</v>
      </c>
      <c r="X33" s="20">
        <f t="shared" si="12"/>
        <v>16154437.64000082</v>
      </c>
      <c r="Y33" s="20">
        <f t="shared" si="1"/>
        <v>2512636851.099999</v>
      </c>
      <c r="Z33" s="3">
        <f t="shared" si="13"/>
        <v>6.4292767309086559E-3</v>
      </c>
      <c r="AA33" s="20"/>
      <c r="AC33" s="20">
        <f>IFERROR(GETPIVOTDATA("[Measures].[Distinct Count of LoanID]",'Count PT'!$B$3,"[Table2].[ReturnDate]","[Table2].[ReturnDate].&amp;["&amp;$A33&amp;"]"),NA())</f>
        <v>72</v>
      </c>
      <c r="AD33" s="20">
        <f>GETPIVOTDATA("[Measures].[Distinct Count of ManagerCode 2]",'Count PT'!$B$3,"[Table2].[ReturnDate]","[Table2].[ReturnDate].&amp;["&amp;$A33&amp;"]")</f>
        <v>5</v>
      </c>
      <c r="AE33" s="20" t="b">
        <f t="shared" si="14"/>
        <v>1</v>
      </c>
      <c r="AF33" s="20" t="b">
        <f t="shared" si="15"/>
        <v>1</v>
      </c>
      <c r="AG33" s="20" t="b">
        <f t="shared" si="16"/>
        <v>1</v>
      </c>
      <c r="AI33" s="7">
        <f t="shared" si="2"/>
        <v>7.8175066649208581E-3</v>
      </c>
      <c r="AJ33" s="7">
        <f t="shared" si="3"/>
        <v>3.3292570696548613E-4</v>
      </c>
      <c r="AK33" s="7">
        <f t="shared" si="4"/>
        <v>5.9698240887588668E-5</v>
      </c>
      <c r="AL33" s="7">
        <f t="shared" si="17"/>
        <v>8.2101306127739318E-3</v>
      </c>
      <c r="AM33" s="7">
        <f t="shared" si="5"/>
        <v>-1.6509389322153612E-6</v>
      </c>
      <c r="AN33" s="7">
        <f t="shared" si="18"/>
        <v>8.2084796738417162E-3</v>
      </c>
      <c r="AO33" s="7">
        <f t="shared" si="19"/>
        <v>-1.7792029429330603E-3</v>
      </c>
      <c r="AP33" s="7">
        <f t="shared" si="6"/>
        <v>6.4292767309086559E-3</v>
      </c>
      <c r="AQ33" s="7">
        <f t="shared" si="7"/>
        <v>8.1504323718863438E-3</v>
      </c>
      <c r="AS33" s="7">
        <f t="shared" si="20"/>
        <v>7.8175066649208581E-3</v>
      </c>
      <c r="AT33" s="7">
        <f t="shared" si="21"/>
        <v>3.3292570696548613E-4</v>
      </c>
      <c r="AU33" s="7">
        <f t="shared" si="22"/>
        <v>8.1504323718863438E-3</v>
      </c>
      <c r="AV33" s="7">
        <f t="shared" si="23"/>
        <v>5.9698240887588668E-5</v>
      </c>
      <c r="AW33" s="7">
        <f t="shared" si="24"/>
        <v>8.2101306127739318E-3</v>
      </c>
      <c r="AX33" s="7">
        <f t="shared" si="25"/>
        <v>-1.6509389322153612E-6</v>
      </c>
      <c r="AY33" s="7">
        <f t="shared" si="26"/>
        <v>8.2084796738417162E-3</v>
      </c>
      <c r="AZ33" s="7">
        <f t="shared" si="27"/>
        <v>-1.7792029429330603E-3</v>
      </c>
      <c r="BA33" s="7">
        <f t="shared" si="28"/>
        <v>6.4292767309086559E-3</v>
      </c>
      <c r="BB33" s="7">
        <f t="shared" si="29"/>
        <v>8.1504323718863438E-3</v>
      </c>
      <c r="BD33">
        <f t="shared" si="30"/>
        <v>1</v>
      </c>
      <c r="BE33">
        <f t="shared" si="34"/>
        <v>1</v>
      </c>
      <c r="BF33" s="7" cm="1">
        <f t="array" ref="BF33">IF(ISNA($BA33),NA(),IF($BE33=0,"***",PRODUCT(1+AS31:AS33)-1))</f>
        <v>1.8588043313530811E-2</v>
      </c>
      <c r="BG33" s="7" cm="1">
        <f t="array" ref="BG33">IF(ISNA($BA33),NA(),IF($BE33=0,"***",PRODUCT(1+AT31:AT33)-1))</f>
        <v>9.3167548126005251E-4</v>
      </c>
      <c r="BH33" s="7" cm="1">
        <f t="array" ref="BH33">IF(ISNA($BA33),NA(),IF($BE33=0,"***",PRODUCT(1+AU31:AU33)-1))</f>
        <v>1.9531172704579047E-2</v>
      </c>
      <c r="BI33" s="7" cm="1">
        <f t="array" ref="BI33">IF(ISNA($BA33),NA(),IF($BE33=0,"***",PRODUCT(1+AV31:AV33)-1))</f>
        <v>9.6723467302162192E-5</v>
      </c>
      <c r="BJ33" s="7" cm="1">
        <f t="array" ref="BJ33">IF(ISNA($BA33),NA(),IF($BE33=0,"***",PRODUCT(1+AW31:AW33)-1))</f>
        <v>1.9629082040203638E-2</v>
      </c>
      <c r="BK33" s="7" cm="1">
        <f t="array" ref="BK33">IF(ISNA($BA33),NA(),IF($BE33=0,"***",PRODUCT(1+AX31:AX33)-1))</f>
        <v>-5.3565593324256255E-6</v>
      </c>
      <c r="BL33" s="7" cm="1">
        <f t="array" ref="BL33">IF(ISNA($BA33),NA(),IF($BE33=0,"***",PRODUCT(1+AY31:AY33)-1))</f>
        <v>1.9623655258087291E-2</v>
      </c>
      <c r="BM33" s="7" cm="1">
        <f t="array" ref="BM33">IF(ISNA($BA33),NA(),IF($BE33=0,"***",PRODUCT(1+AZ31:AZ33)-1))</f>
        <v>-1.1374109079343997E-3</v>
      </c>
      <c r="BN33" s="7" cm="1">
        <f t="array" ref="BN33">IF(ISNA($BA33),NA(),IF($BE33=0,"***",PRODUCT(1+BA31:BA33)-1))</f>
        <v>1.8475002571947341E-2</v>
      </c>
      <c r="BO33" s="7">
        <f t="shared" si="35"/>
        <v>-1.1241778205550723E-5</v>
      </c>
      <c r="BP33" s="7">
        <f t="shared" si="36"/>
        <v>1.9407484358061035E-2</v>
      </c>
    </row>
    <row r="34" spans="1:68" x14ac:dyDescent="0.25">
      <c r="A34" t="str">
        <f t="shared" si="31"/>
        <v>20131231</v>
      </c>
      <c r="B34">
        <f t="shared" si="32"/>
        <v>41639</v>
      </c>
      <c r="C34">
        <v>2013</v>
      </c>
      <c r="D34">
        <v>12</v>
      </c>
      <c r="F34" s="20">
        <f>IFERROR(GETPIVOTDATA("[Measures].[Sum of CashInterest]",'Results PT'!$B$8,"[Table2].[ReturnDate]","[Table2].[ReturnDate].&amp;["&amp;$A34&amp;"]"),NA())</f>
        <v>31005802.030000012</v>
      </c>
      <c r="G34" s="20">
        <f>IFERROR(GETPIVOTDATA("[Measures].[Sum of AccrInterest]",'Results PT'!$B$8,"[Table2].[ReturnDate]","[Table2].[ReturnDate].&amp;["&amp;$A34&amp;"]"),NA())</f>
        <v>941481.19</v>
      </c>
      <c r="H34" s="20">
        <f>IFERROR(GETPIVOTDATA("[Measures].[Sum of OtherIncome]",'Results PT'!$B$8,"[Table2].[ReturnDate]","[Table2].[ReturnDate].&amp;["&amp;$A34&amp;"]"),NA())</f>
        <v>363094.88</v>
      </c>
      <c r="I34" s="20">
        <f>IFERROR(GETPIVOTDATA("[Measures].[Sum of Expenses]",'Results PT'!$B$8,"[Table2].[ReturnDate]","[Table2].[ReturnDate].&amp;["&amp;$A34&amp;"]"),NA())</f>
        <v>-4012.4700000000003</v>
      </c>
      <c r="J34" s="20">
        <f>IFERROR(GETPIVOTDATA("[Measures].[Sum of PrincipalFunded]",'Results PT'!$B$8,"[Table2].[ReturnDate]","[Table2].[ReturnDate].&amp;["&amp;$A34&amp;"]"),NA())</f>
        <v>-105112821.86</v>
      </c>
      <c r="K34" s="20">
        <f>IFERROR(GETPIVOTDATA("[Measures].[Sum of PrincipalRepaid]",'Results PT'!$B$8,"[Table2].[ReturnDate]","[Table2].[ReturnDate].&amp;["&amp;$A34&amp;"]"),NA())</f>
        <v>258054305.70000002</v>
      </c>
      <c r="L34" s="20"/>
      <c r="M34" s="20">
        <f>IFERROR(GETPIVOTDATA("[Measures].[Sum of StartValue]",'Results PT'!$B$8,"[Table2].[ReturnDate]","[Table2].[ReturnDate].&amp;["&amp;$A34&amp;"]"),NA())</f>
        <v>2491155904.7799997</v>
      </c>
      <c r="N34" s="20">
        <f>IFERROR(GETPIVOTDATA("[Measures].[Sum of EndValue]",'Results PT'!$B$8,"[Table2].[ReturnDate]","[Table2].[ReturnDate].&amp;["&amp;$A34&amp;"]"),NA())</f>
        <v>2357722082.3199997</v>
      </c>
      <c r="O34" s="20">
        <f>IFERROR(GETPIVOTDATA("[Measures].[Sum of StartPrincipal]",'Results PT'!$B$8,"[Table2].[ReturnDate]","[Table2].[ReturnDate].&amp;["&amp;$A34&amp;"]"),NA())</f>
        <v>2531966667.6900001</v>
      </c>
      <c r="P34" s="20">
        <f>IFERROR(GETPIVOTDATA("[Measures].[Sum of EndPrincipal]",'Results PT'!$B$8,"[Table2].[ReturnDate]","[Table2].[ReturnDate].&amp;["&amp;$A34&amp;"]"),NA())</f>
        <v>2379966869.0799999</v>
      </c>
      <c r="Q34" s="20">
        <f>IFERROR(GETPIVOTDATA("[Measures].[Sum of StartNAV]",'Results PT'!$B$8,"[Table2].[ReturnDate]","[Table2].[ReturnDate].&amp;["&amp;$A34&amp;"]"),NA())</f>
        <v>2472932702.7799997</v>
      </c>
      <c r="R34" s="20">
        <f>IFERROR(GETPIVOTDATA("[Measures].[Sum of EndNAV]",'Results PT'!$B$8,"[Table2].[ReturnDate]","[Table2].[ReturnDate].&amp;["&amp;$A34&amp;"]"),NA())</f>
        <v>2339498880.3199997</v>
      </c>
      <c r="S34" s="20"/>
      <c r="T34" s="1">
        <f t="shared" si="9"/>
        <v>0</v>
      </c>
      <c r="U34" s="1">
        <f t="shared" si="10"/>
        <v>0</v>
      </c>
      <c r="V34">
        <f t="shared" si="11"/>
        <v>4</v>
      </c>
      <c r="W34" s="20">
        <f t="shared" si="0"/>
        <v>184306368.28000003</v>
      </c>
      <c r="X34" s="20">
        <f t="shared" si="12"/>
        <v>50872545.820000172</v>
      </c>
      <c r="Y34" s="20">
        <f t="shared" si="1"/>
        <v>2380779518.6399999</v>
      </c>
      <c r="Z34" s="3">
        <f t="shared" si="13"/>
        <v>2.136802060909054E-2</v>
      </c>
      <c r="AA34" s="20"/>
      <c r="AC34" s="20">
        <f>IFERROR(GETPIVOTDATA("[Measures].[Distinct Count of LoanID]",'Count PT'!$B$3,"[Table2].[ReturnDate]","[Table2].[ReturnDate].&amp;["&amp;$A34&amp;"]"),NA())</f>
        <v>72</v>
      </c>
      <c r="AD34" s="20">
        <f>GETPIVOTDATA("[Measures].[Distinct Count of ManagerCode 2]",'Count PT'!$B$3,"[Table2].[ReturnDate]","[Table2].[ReturnDate].&amp;["&amp;$A34&amp;"]")</f>
        <v>5</v>
      </c>
      <c r="AE34" s="20" t="b">
        <f t="shared" si="14"/>
        <v>1</v>
      </c>
      <c r="AF34" s="20" t="b">
        <f t="shared" si="15"/>
        <v>1</v>
      </c>
      <c r="AG34" s="20" t="b">
        <f t="shared" si="16"/>
        <v>1</v>
      </c>
      <c r="AI34" s="7">
        <f t="shared" si="2"/>
        <v>1.3023382378437049E-2</v>
      </c>
      <c r="AJ34" s="7">
        <f t="shared" si="3"/>
        <v>3.9545081038743694E-4</v>
      </c>
      <c r="AK34" s="7">
        <f t="shared" si="4"/>
        <v>1.525109222240852E-4</v>
      </c>
      <c r="AL34" s="7">
        <f t="shared" si="17"/>
        <v>1.357134411104857E-2</v>
      </c>
      <c r="AM34" s="7">
        <f t="shared" si="5"/>
        <v>-1.6853597607778858E-6</v>
      </c>
      <c r="AN34" s="7">
        <f t="shared" si="18"/>
        <v>1.3569658751287792E-2</v>
      </c>
      <c r="AO34" s="7">
        <f t="shared" si="19"/>
        <v>7.7983618578027474E-3</v>
      </c>
      <c r="AP34" s="7">
        <f t="shared" si="6"/>
        <v>2.136802060909054E-2</v>
      </c>
      <c r="AQ34" s="7">
        <f t="shared" si="7"/>
        <v>1.3418833188824485E-2</v>
      </c>
      <c r="AS34" s="7">
        <f t="shared" si="20"/>
        <v>1.3023382378437049E-2</v>
      </c>
      <c r="AT34" s="7">
        <f t="shared" si="21"/>
        <v>3.9545081038743694E-4</v>
      </c>
      <c r="AU34" s="7">
        <f t="shared" si="22"/>
        <v>1.3418833188824485E-2</v>
      </c>
      <c r="AV34" s="7">
        <f t="shared" si="23"/>
        <v>1.525109222240852E-4</v>
      </c>
      <c r="AW34" s="7">
        <f t="shared" si="24"/>
        <v>1.357134411104857E-2</v>
      </c>
      <c r="AX34" s="7">
        <f t="shared" si="25"/>
        <v>-1.6853597607778858E-6</v>
      </c>
      <c r="AY34" s="7">
        <f t="shared" si="26"/>
        <v>1.3569658751287792E-2</v>
      </c>
      <c r="AZ34" s="7">
        <f t="shared" si="27"/>
        <v>7.7983618578027474E-3</v>
      </c>
      <c r="BA34" s="7">
        <f t="shared" si="28"/>
        <v>2.136802060909054E-2</v>
      </c>
      <c r="BB34" s="7">
        <f t="shared" si="29"/>
        <v>1.3418833188824485E-2</v>
      </c>
      <c r="BD34">
        <f t="shared" si="30"/>
        <v>1</v>
      </c>
      <c r="BE34">
        <f t="shared" si="34"/>
        <v>1</v>
      </c>
      <c r="BF34" s="7" cm="1">
        <f t="array" ref="BF34">IF(ISNA($BA34),NA(),IF($BE34=0,"***",PRODUCT(1+AS32:AS34)-1))</f>
        <v>2.6409052070038408E-2</v>
      </c>
      <c r="BG34" s="7" cm="1">
        <f t="array" ref="BG34">IF(ISNA($BA34),NA(),IF($BE34=0,"***",PRODUCT(1+AT32:AT34)-1))</f>
        <v>1.0002947763019243E-3</v>
      </c>
      <c r="BH34" s="7" cm="1">
        <f t="array" ref="BH34">IF(ISNA($BA34),NA(),IF($BE34=0,"***",PRODUCT(1+AU32:AU34)-1))</f>
        <v>2.7426404283960482E-2</v>
      </c>
      <c r="BI34" s="7" cm="1">
        <f t="array" ref="BI34">IF(ISNA($BA34),NA(),IF($BE34=0,"***",PRODUCT(1+AV32:AV34)-1))</f>
        <v>2.492491409114006E-4</v>
      </c>
      <c r="BJ34" s="7" cm="1">
        <f t="array" ref="BJ34">IF(ISNA($BA34),NA(),IF($BE34=0,"***",PRODUCT(1+AW32:AW34)-1))</f>
        <v>2.7679705619031436E-2</v>
      </c>
      <c r="BK34" s="7" cm="1">
        <f t="array" ref="BK34">IF(ISNA($BA34),NA(),IF($BE34=0,"***",PRODUCT(1+AX32:AX34)-1))</f>
        <v>-5.0939330589194753E-6</v>
      </c>
      <c r="BL34" s="7" cm="1">
        <f t="array" ref="BL34">IF(ISNA($BA34),NA(),IF($BE34=0,"***",PRODUCT(1+AY32:AY34)-1))</f>
        <v>2.7674517865533543E-2</v>
      </c>
      <c r="BM34" s="7" cm="1">
        <f t="array" ref="BM34">IF(ISNA($BA34),NA(),IF($BE34=0,"***",PRODUCT(1+AZ32:AZ34)-1))</f>
        <v>7.368752675227519E-3</v>
      </c>
      <c r="BN34" s="7" cm="1">
        <f t="array" ref="BN34">IF(ISNA($BA34),NA(),IF($BE34=0,"***",PRODUCT(1+BA32:BA34)-1))</f>
        <v>3.5147083680760138E-2</v>
      </c>
      <c r="BO34" s="7">
        <f t="shared" si="35"/>
        <v>1.0381313999907604E-4</v>
      </c>
      <c r="BP34" s="7">
        <f t="shared" si="36"/>
        <v>2.7195075120348883E-2</v>
      </c>
    </row>
    <row r="35" spans="1:68" x14ac:dyDescent="0.25">
      <c r="A35" t="str">
        <f t="shared" si="31"/>
        <v>20140131</v>
      </c>
      <c r="B35">
        <f t="shared" si="32"/>
        <v>41670</v>
      </c>
      <c r="C35">
        <v>2014</v>
      </c>
      <c r="D35">
        <v>1</v>
      </c>
      <c r="F35" s="20">
        <f>IFERROR(GETPIVOTDATA("[Measures].[Sum of CashInterest]",'Results PT'!$B$8,"[Table2].[ReturnDate]","[Table2].[ReturnDate].&amp;["&amp;$A35&amp;"]"),NA())</f>
        <v>14639949.340000002</v>
      </c>
      <c r="G35" s="20">
        <f>IFERROR(GETPIVOTDATA("[Measures].[Sum of AccrInterest]",'Results PT'!$B$8,"[Table2].[ReturnDate]","[Table2].[ReturnDate].&amp;["&amp;$A35&amp;"]"),NA())</f>
        <v>915164.66</v>
      </c>
      <c r="H35" s="20">
        <f>IFERROR(GETPIVOTDATA("[Measures].[Sum of OtherIncome]",'Results PT'!$B$8,"[Table2].[ReturnDate]","[Table2].[ReturnDate].&amp;["&amp;$A35&amp;"]"),NA())</f>
        <v>3046754.73</v>
      </c>
      <c r="I35" s="20">
        <f>IFERROR(GETPIVOTDATA("[Measures].[Sum of Expenses]",'Results PT'!$B$8,"[Table2].[ReturnDate]","[Table2].[ReturnDate].&amp;["&amp;$A35&amp;"]"),NA())</f>
        <v>-4144.13</v>
      </c>
      <c r="J35" s="20">
        <f>IFERROR(GETPIVOTDATA("[Measures].[Sum of PrincipalFunded]",'Results PT'!$B$8,"[Table2].[ReturnDate]","[Table2].[ReturnDate].&amp;["&amp;$A35&amp;"]"),NA())</f>
        <v>-3161345.540000001</v>
      </c>
      <c r="K35" s="20">
        <f>IFERROR(GETPIVOTDATA("[Measures].[Sum of PrincipalRepaid]",'Results PT'!$B$8,"[Table2].[ReturnDate]","[Table2].[ReturnDate].&amp;["&amp;$A35&amp;"]"),NA())</f>
        <v>51121846.660000004</v>
      </c>
      <c r="L35" s="20"/>
      <c r="M35" s="20">
        <f>IFERROR(GETPIVOTDATA("[Measures].[Sum of StartValue]",'Results PT'!$B$8,"[Table2].[ReturnDate]","[Table2].[ReturnDate].&amp;["&amp;$A35&amp;"]"),NA())</f>
        <v>2357722082.3199997</v>
      </c>
      <c r="N35" s="20">
        <f>IFERROR(GETPIVOTDATA("[Measures].[Sum of EndValue]",'Results PT'!$B$8,"[Table2].[ReturnDate]","[Table2].[ReturnDate].&amp;["&amp;$A35&amp;"]"),NA())</f>
        <v>2301630792.4100003</v>
      </c>
      <c r="O35" s="20">
        <f>IFERROR(GETPIVOTDATA("[Measures].[Sum of StartPrincipal]",'Results PT'!$B$8,"[Table2].[ReturnDate]","[Table2].[ReturnDate].&amp;["&amp;$A35&amp;"]"),NA())</f>
        <v>2379966869.0799999</v>
      </c>
      <c r="P35" s="20">
        <f>IFERROR(GETPIVOTDATA("[Measures].[Sum of EndPrincipal]",'Results PT'!$B$8,"[Table2].[ReturnDate]","[Table2].[ReturnDate].&amp;["&amp;$A35&amp;"]"),NA())</f>
        <v>2321256849.5800004</v>
      </c>
      <c r="Q35" s="20">
        <f>IFERROR(GETPIVOTDATA("[Measures].[Sum of StartNAV]",'Results PT'!$B$8,"[Table2].[ReturnDate]","[Table2].[ReturnDate].&amp;["&amp;$A35&amp;"]"),NA())</f>
        <v>2339498880.3199997</v>
      </c>
      <c r="R35" s="20">
        <f>IFERROR(GETPIVOTDATA("[Measures].[Sum of EndNAV]",'Results PT'!$B$8,"[Table2].[ReturnDate]","[Table2].[ReturnDate].&amp;["&amp;$A35&amp;"]"),NA())</f>
        <v>2295073090.4100003</v>
      </c>
      <c r="S35" s="20"/>
      <c r="T35" s="1">
        <f t="shared" si="9"/>
        <v>0</v>
      </c>
      <c r="U35" s="1">
        <f t="shared" si="10"/>
        <v>0</v>
      </c>
      <c r="V35">
        <f t="shared" si="11"/>
        <v>4</v>
      </c>
      <c r="W35" s="20">
        <f t="shared" si="0"/>
        <v>65643061.060000002</v>
      </c>
      <c r="X35" s="20">
        <f t="shared" si="12"/>
        <v>21217271.150000572</v>
      </c>
      <c r="Y35" s="20">
        <f t="shared" si="1"/>
        <v>2306677349.7899995</v>
      </c>
      <c r="Z35" s="3">
        <f t="shared" si="13"/>
        <v>9.1981963372260098E-3</v>
      </c>
      <c r="AA35" s="20"/>
      <c r="AC35" s="20">
        <f>IFERROR(GETPIVOTDATA("[Measures].[Distinct Count of LoanID]",'Count PT'!$B$3,"[Table2].[ReturnDate]","[Table2].[ReturnDate].&amp;["&amp;$A35&amp;"]"),NA())</f>
        <v>71</v>
      </c>
      <c r="AD35" s="20">
        <f>GETPIVOTDATA("[Measures].[Distinct Count of ManagerCode 2]",'Count PT'!$B$3,"[Table2].[ReturnDate]","[Table2].[ReturnDate].&amp;["&amp;$A35&amp;"]")</f>
        <v>5</v>
      </c>
      <c r="AE35" s="20" t="b">
        <f t="shared" si="14"/>
        <v>1</v>
      </c>
      <c r="AF35" s="20" t="b">
        <f t="shared" si="15"/>
        <v>1</v>
      </c>
      <c r="AG35" s="20" t="b">
        <f t="shared" si="16"/>
        <v>1</v>
      </c>
      <c r="AI35" s="7">
        <f t="shared" si="2"/>
        <v>6.3467694523175622E-3</v>
      </c>
      <c r="AJ35" s="7">
        <f t="shared" si="3"/>
        <v>3.9674584747767901E-4</v>
      </c>
      <c r="AK35" s="7">
        <f t="shared" si="4"/>
        <v>1.3208413089404885E-3</v>
      </c>
      <c r="AL35" s="7">
        <f t="shared" si="17"/>
        <v>8.0643566087357302E-3</v>
      </c>
      <c r="AM35" s="7">
        <f t="shared" si="5"/>
        <v>-1.7965798295879062E-6</v>
      </c>
      <c r="AN35" s="7">
        <f t="shared" si="18"/>
        <v>8.062560028906143E-3</v>
      </c>
      <c r="AO35" s="7">
        <f t="shared" si="19"/>
        <v>1.1356363083198668E-3</v>
      </c>
      <c r="AP35" s="7">
        <f t="shared" si="6"/>
        <v>9.1981963372260098E-3</v>
      </c>
      <c r="AQ35" s="7">
        <f t="shared" si="7"/>
        <v>6.7435152997952419E-3</v>
      </c>
      <c r="AS35" s="7">
        <f t="shared" si="20"/>
        <v>6.3467694523175622E-3</v>
      </c>
      <c r="AT35" s="7">
        <f t="shared" si="21"/>
        <v>3.9674584747767901E-4</v>
      </c>
      <c r="AU35" s="7">
        <f t="shared" si="22"/>
        <v>6.743515299795241E-3</v>
      </c>
      <c r="AV35" s="7">
        <f t="shared" si="23"/>
        <v>1.3208413089404885E-3</v>
      </c>
      <c r="AW35" s="7">
        <f t="shared" si="24"/>
        <v>8.0643566087357302E-3</v>
      </c>
      <c r="AX35" s="7">
        <f t="shared" si="25"/>
        <v>-1.7965798295879062E-6</v>
      </c>
      <c r="AY35" s="7">
        <f t="shared" si="26"/>
        <v>8.062560028906143E-3</v>
      </c>
      <c r="AZ35" s="7">
        <f t="shared" si="27"/>
        <v>1.1356363083198668E-3</v>
      </c>
      <c r="BA35" s="7">
        <f t="shared" si="28"/>
        <v>9.1981963372260098E-3</v>
      </c>
      <c r="BB35" s="7">
        <f t="shared" si="29"/>
        <v>6.7435152997952419E-3</v>
      </c>
      <c r="BD35">
        <f t="shared" si="30"/>
        <v>1</v>
      </c>
      <c r="BE35">
        <f t="shared" si="34"/>
        <v>1</v>
      </c>
      <c r="BF35" s="7" cm="1">
        <f t="array" ref="BF35">IF(ISNA($BA35),NA(),IF($BE35=0,"***",PRODUCT(1+AS33:AS35)-1))</f>
        <v>2.7422387359158806E-2</v>
      </c>
      <c r="BG35" s="7" cm="1">
        <f t="array" ref="BG35">IF(ISNA($BA35),NA(),IF($BE35=0,"***",PRODUCT(1+AT33:AT35)-1))</f>
        <v>1.1255430531635913E-3</v>
      </c>
      <c r="BH35" s="7" cm="1">
        <f t="array" ref="BH35">IF(ISNA($BA35),NA(),IF($BE35=0,"***",PRODUCT(1+AU33:AU35)-1))</f>
        <v>2.8568340358732014E-2</v>
      </c>
      <c r="BI35" s="7" cm="1">
        <f t="array" ref="BI35">IF(ISNA($BA35),NA(),IF($BE35=0,"***",PRODUCT(1+AV33:AV35)-1))</f>
        <v>1.5333398833403677E-3</v>
      </c>
      <c r="BJ35" s="7" cm="1">
        <f t="array" ref="BJ35">IF(ISNA($BA35),NA(),IF($BE35=0,"***",PRODUCT(1+AW33:AW35)-1))</f>
        <v>3.013380597077453E-2</v>
      </c>
      <c r="BK35" s="7" cm="1">
        <f t="array" ref="BK35">IF(ISNA($BA35),NA(),IF($BE35=0,"***",PRODUCT(1+AX33:AX35)-1))</f>
        <v>-5.1328697462382777E-6</v>
      </c>
      <c r="BL35" s="7" cm="1">
        <f t="array" ref="BL35">IF(ISNA($BA35),NA(),IF($BE35=0,"***",PRODUCT(1+AY33:AY35)-1))</f>
        <v>3.0128570328919357E-2</v>
      </c>
      <c r="BM35" s="7" cm="1">
        <f t="array" ref="BM35">IF(ISNA($BA35),NA(),IF($BE35=0,"***",PRODUCT(1+AZ33:AZ35)-1))</f>
        <v>7.1477401734270085E-3</v>
      </c>
      <c r="BN35" s="7" cm="1">
        <f t="array" ref="BN35">IF(ISNA($BA35),NA(),IF($BE35=0,"***",PRODUCT(1+BA33:BA35)-1))</f>
        <v>3.7389823250144394E-2</v>
      </c>
      <c r="BO35" s="7">
        <f t="shared" si="35"/>
        <v>1.13512747798028E-4</v>
      </c>
      <c r="BP35" s="7">
        <f t="shared" si="36"/>
        <v>2.8312780860506072E-2</v>
      </c>
    </row>
    <row r="36" spans="1:68" x14ac:dyDescent="0.25">
      <c r="A36" t="str">
        <f t="shared" si="31"/>
        <v>20140228</v>
      </c>
      <c r="B36">
        <f t="shared" si="32"/>
        <v>41698</v>
      </c>
      <c r="C36">
        <v>2014</v>
      </c>
      <c r="D36">
        <v>2</v>
      </c>
      <c r="F36" s="20">
        <f>IFERROR(GETPIVOTDATA("[Measures].[Sum of CashInterest]",'Results PT'!$B$8,"[Table2].[ReturnDate]","[Table2].[ReturnDate].&amp;["&amp;$A36&amp;"]"),NA())</f>
        <v>13077010.59</v>
      </c>
      <c r="G36" s="20">
        <f>IFERROR(GETPIVOTDATA("[Measures].[Sum of AccrInterest]",'Results PT'!$B$8,"[Table2].[ReturnDate]","[Table2].[ReturnDate].&amp;["&amp;$A36&amp;"]"),NA())</f>
        <v>537241.52</v>
      </c>
      <c r="H36" s="20">
        <f>IFERROR(GETPIVOTDATA("[Measures].[Sum of OtherIncome]",'Results PT'!$B$8,"[Table2].[ReturnDate]","[Table2].[ReturnDate].&amp;["&amp;$A36&amp;"]"),NA())</f>
        <v>4900473.91</v>
      </c>
      <c r="I36" s="20">
        <f>IFERROR(GETPIVOTDATA("[Measures].[Sum of Expenses]",'Results PT'!$B$8,"[Table2].[ReturnDate]","[Table2].[ReturnDate].&amp;["&amp;$A36&amp;"]"),NA())</f>
        <v>-4142.2</v>
      </c>
      <c r="J36" s="20">
        <f>IFERROR(GETPIVOTDATA("[Measures].[Sum of PrincipalFunded]",'Results PT'!$B$8,"[Table2].[ReturnDate]","[Table2].[ReturnDate].&amp;["&amp;$A36&amp;"]"),NA())</f>
        <v>-76490620.11999999</v>
      </c>
      <c r="K36" s="20">
        <f>IFERROR(GETPIVOTDATA("[Measures].[Sum of PrincipalRepaid]",'Results PT'!$B$8,"[Table2].[ReturnDate]","[Table2].[ReturnDate].&amp;["&amp;$A36&amp;"]"),NA())</f>
        <v>48892680.660000004</v>
      </c>
      <c r="L36" s="20"/>
      <c r="M36" s="20">
        <f>IFERROR(GETPIVOTDATA("[Measures].[Sum of StartValue]",'Results PT'!$B$8,"[Table2].[ReturnDate]","[Table2].[ReturnDate].&amp;["&amp;$A36&amp;"]"),NA())</f>
        <v>2301630792.4100003</v>
      </c>
      <c r="N36" s="20">
        <f>IFERROR(GETPIVOTDATA("[Measures].[Sum of EndValue]",'Results PT'!$B$8,"[Table2].[ReturnDate]","[Table2].[ReturnDate].&amp;["&amp;$A36&amp;"]"),NA())</f>
        <v>2326952720.2799997</v>
      </c>
      <c r="O36" s="20">
        <f>IFERROR(GETPIVOTDATA("[Measures].[Sum of StartPrincipal]",'Results PT'!$B$8,"[Table2].[ReturnDate]","[Table2].[ReturnDate].&amp;["&amp;$A36&amp;"]"),NA())</f>
        <v>2321256849.5800004</v>
      </c>
      <c r="P36" s="20">
        <f>IFERROR(GETPIVOTDATA("[Measures].[Sum of EndPrincipal]",'Results PT'!$B$8,"[Table2].[ReturnDate]","[Table2].[ReturnDate].&amp;["&amp;$A36&amp;"]"),NA())</f>
        <v>2348882835.9899998</v>
      </c>
      <c r="Q36" s="20">
        <f>IFERROR(GETPIVOTDATA("[Measures].[Sum of StartNAV]",'Results PT'!$B$8,"[Table2].[ReturnDate]","[Table2].[ReturnDate].&amp;["&amp;$A36&amp;"]"),NA())</f>
        <v>2295073090.4100003</v>
      </c>
      <c r="R36" s="20">
        <f>IFERROR(GETPIVOTDATA("[Measures].[Sum of EndNAV]",'Results PT'!$B$8,"[Table2].[ReturnDate]","[Table2].[ReturnDate].&amp;["&amp;$A36&amp;"]"),NA())</f>
        <v>2320904212.7799997</v>
      </c>
      <c r="S36" s="20"/>
      <c r="T36" s="1">
        <f t="shared" si="9"/>
        <v>0</v>
      </c>
      <c r="U36" s="1">
        <f t="shared" si="10"/>
        <v>0</v>
      </c>
      <c r="V36">
        <f t="shared" si="11"/>
        <v>4</v>
      </c>
      <c r="W36" s="20">
        <f t="shared" si="0"/>
        <v>-9624597.159999989</v>
      </c>
      <c r="X36" s="20">
        <f t="shared" si="12"/>
        <v>16206525.209999561</v>
      </c>
      <c r="Y36" s="20">
        <f t="shared" si="1"/>
        <v>2299885388.9900002</v>
      </c>
      <c r="Z36" s="3">
        <f t="shared" si="13"/>
        <v>7.04666645024285E-3</v>
      </c>
      <c r="AA36" s="20"/>
      <c r="AC36" s="20">
        <f>IFERROR(GETPIVOTDATA("[Measures].[Distinct Count of LoanID]",'Count PT'!$B$3,"[Table2].[ReturnDate]","[Table2].[ReturnDate].&amp;["&amp;$A36&amp;"]"),NA())</f>
        <v>71</v>
      </c>
      <c r="AD36" s="20">
        <f>GETPIVOTDATA("[Measures].[Distinct Count of ManagerCode 2]",'Count PT'!$B$3,"[Table2].[ReturnDate]","[Table2].[ReturnDate].&amp;["&amp;$A36&amp;"]")</f>
        <v>5</v>
      </c>
      <c r="AE36" s="20" t="b">
        <f t="shared" si="14"/>
        <v>1</v>
      </c>
      <c r="AF36" s="20" t="b">
        <f t="shared" si="15"/>
        <v>1</v>
      </c>
      <c r="AG36" s="20" t="b">
        <f t="shared" si="16"/>
        <v>1</v>
      </c>
      <c r="AI36" s="7">
        <f t="shared" si="2"/>
        <v>5.6859401136257481E-3</v>
      </c>
      <c r="AJ36" s="7">
        <f t="shared" si="3"/>
        <v>2.3359490980371454E-4</v>
      </c>
      <c r="AK36" s="7">
        <f t="shared" si="4"/>
        <v>2.1307470074202499E-3</v>
      </c>
      <c r="AL36" s="7">
        <f t="shared" si="17"/>
        <v>8.0502820308497123E-3</v>
      </c>
      <c r="AM36" s="7">
        <f t="shared" si="5"/>
        <v>-1.8010462694486945E-6</v>
      </c>
      <c r="AN36" s="7">
        <f t="shared" si="18"/>
        <v>8.048480984580263E-3</v>
      </c>
      <c r="AO36" s="7">
        <f t="shared" si="19"/>
        <v>-1.001814534337413E-3</v>
      </c>
      <c r="AP36" s="7">
        <f t="shared" si="6"/>
        <v>7.04666645024285E-3</v>
      </c>
      <c r="AQ36" s="7">
        <f t="shared" si="7"/>
        <v>5.9195350234294624E-3</v>
      </c>
      <c r="AS36" s="7">
        <f t="shared" si="20"/>
        <v>5.6859401136257481E-3</v>
      </c>
      <c r="AT36" s="7">
        <f t="shared" si="21"/>
        <v>2.3359490980371454E-4</v>
      </c>
      <c r="AU36" s="7">
        <f t="shared" si="22"/>
        <v>5.9195350234294624E-3</v>
      </c>
      <c r="AV36" s="7">
        <f t="shared" si="23"/>
        <v>2.1307470074202499E-3</v>
      </c>
      <c r="AW36" s="7">
        <f t="shared" si="24"/>
        <v>8.0502820308497123E-3</v>
      </c>
      <c r="AX36" s="7">
        <f t="shared" si="25"/>
        <v>-1.8010462694486945E-6</v>
      </c>
      <c r="AY36" s="7">
        <f t="shared" si="26"/>
        <v>8.048480984580263E-3</v>
      </c>
      <c r="AZ36" s="7">
        <f t="shared" si="27"/>
        <v>-1.001814534337413E-3</v>
      </c>
      <c r="BA36" s="7">
        <f t="shared" si="28"/>
        <v>7.04666645024285E-3</v>
      </c>
      <c r="BB36" s="7">
        <f t="shared" si="29"/>
        <v>5.9195350234294624E-3</v>
      </c>
      <c r="BD36">
        <f t="shared" si="30"/>
        <v>1</v>
      </c>
      <c r="BE36">
        <f t="shared" si="34"/>
        <v>1</v>
      </c>
      <c r="BF36" s="7" cm="1">
        <f t="array" ref="BF36">IF(ISNA($BA36),NA(),IF($BE36=0,"***",PRODUCT(1+AS34:AS36)-1))</f>
        <v>2.5249355852498656E-2</v>
      </c>
      <c r="BG36" s="7" cm="1">
        <f t="array" ref="BG36">IF(ISNA($BA36),NA(),IF($BE36=0,"***",PRODUCT(1+AT34:AT36)-1))</f>
        <v>1.0261335508920943E-3</v>
      </c>
      <c r="BH36" s="7" cm="1">
        <f t="array" ref="BH36">IF(ISNA($BA36),NA(),IF($BE36=0,"***",PRODUCT(1+AU34:AU36)-1))</f>
        <v>2.6292261006353845E-2</v>
      </c>
      <c r="BI36" s="7" cm="1">
        <f t="array" ref="BI36">IF(ISNA($BA36),NA(),IF($BE36=0,"***",PRODUCT(1+AV34:AV36)-1))</f>
        <v>3.6074404513917191E-3</v>
      </c>
      <c r="BJ36" s="7" cm="1">
        <f t="array" ref="BJ36">IF(ISNA($BA36),NA(),IF($BE36=0,"***",PRODUCT(1+AW34:AW36)-1))</f>
        <v>2.9970481458277742E-2</v>
      </c>
      <c r="BK36" s="7" cm="1">
        <f t="array" ref="BK36">IF(ISNA($BA36),NA(),IF($BE36=0,"***",PRODUCT(1+AX34:AX36)-1))</f>
        <v>-5.2829765607720347E-6</v>
      </c>
      <c r="BL36" s="7" cm="1">
        <f t="array" ref="BL36">IF(ISNA($BA36),NA(),IF($BE36=0,"***",PRODUCT(1+AY34:AY36)-1))</f>
        <v>2.9965093008160526E-2</v>
      </c>
      <c r="BM36" s="7" cm="1">
        <f t="array" ref="BM36">IF(ISNA($BA36),NA(),IF($BE36=0,"***",PRODUCT(1+AZ34:AZ36)-1))</f>
        <v>7.9320806532712229E-3</v>
      </c>
      <c r="BN36" s="7" cm="1">
        <f t="array" ref="BN36">IF(ISNA($BA36),NA(),IF($BE36=0,"***",PRODUCT(1+BA34:BA36)-1))</f>
        <v>3.8026205583830963E-2</v>
      </c>
      <c r="BO36" s="7">
        <f t="shared" si="35"/>
        <v>1.2903192239921424E-4</v>
      </c>
      <c r="BP36" s="7">
        <f t="shared" si="36"/>
        <v>2.6081883512049191E-2</v>
      </c>
    </row>
    <row r="37" spans="1:68" x14ac:dyDescent="0.25">
      <c r="A37" t="str">
        <f t="shared" si="31"/>
        <v>20140331</v>
      </c>
      <c r="B37">
        <f t="shared" si="32"/>
        <v>41729</v>
      </c>
      <c r="C37">
        <v>2014</v>
      </c>
      <c r="D37">
        <v>3</v>
      </c>
      <c r="F37" s="20">
        <f>IFERROR(GETPIVOTDATA("[Measures].[Sum of CashInterest]",'Results PT'!$B$8,"[Table2].[ReturnDate]","[Table2].[ReturnDate].&amp;["&amp;$A37&amp;"]"),NA())</f>
        <v>12332050.73</v>
      </c>
      <c r="G37" s="20">
        <f>IFERROR(GETPIVOTDATA("[Measures].[Sum of AccrInterest]",'Results PT'!$B$8,"[Table2].[ReturnDate]","[Table2].[ReturnDate].&amp;["&amp;$A37&amp;"]"),NA())</f>
        <v>681181.09000000008</v>
      </c>
      <c r="H37" s="20">
        <f>IFERROR(GETPIVOTDATA("[Measures].[Sum of OtherIncome]",'Results PT'!$B$8,"[Table2].[ReturnDate]","[Table2].[ReturnDate].&amp;["&amp;$A37&amp;"]"),NA())</f>
        <v>289000</v>
      </c>
      <c r="I37" s="20">
        <f>IFERROR(GETPIVOTDATA("[Measures].[Sum of Expenses]",'Results PT'!$B$8,"[Table2].[ReturnDate]","[Table2].[ReturnDate].&amp;["&amp;$A37&amp;"]"),NA())</f>
        <v>-35739.57</v>
      </c>
      <c r="J37" s="20">
        <f>IFERROR(GETPIVOTDATA("[Measures].[Sum of PrincipalFunded]",'Results PT'!$B$8,"[Table2].[ReturnDate]","[Table2].[ReturnDate].&amp;["&amp;$A37&amp;"]"),NA())</f>
        <v>-41575253.689999998</v>
      </c>
      <c r="K37" s="20">
        <f>IFERROR(GETPIVOTDATA("[Measures].[Sum of PrincipalRepaid]",'Results PT'!$B$8,"[Table2].[ReturnDate]","[Table2].[ReturnDate].&amp;["&amp;$A37&amp;"]"),NA())</f>
        <v>526252.0199999999</v>
      </c>
      <c r="L37" s="20"/>
      <c r="M37" s="20">
        <f>IFERROR(GETPIVOTDATA("[Measures].[Sum of StartValue]",'Results PT'!$B$8,"[Table2].[ReturnDate]","[Table2].[ReturnDate].&amp;["&amp;$A37&amp;"]"),NA())</f>
        <v>2326952720.2799997</v>
      </c>
      <c r="N37" s="20">
        <f>IFERROR(GETPIVOTDATA("[Measures].[Sum of EndValue]",'Results PT'!$B$8,"[Table2].[ReturnDate]","[Table2].[ReturnDate].&amp;["&amp;$A37&amp;"]"),NA())</f>
        <v>2372474119.8000002</v>
      </c>
      <c r="O37" s="20">
        <f>IFERROR(GETPIVOTDATA("[Measures].[Sum of StartPrincipal]",'Results PT'!$B$8,"[Table2].[ReturnDate]","[Table2].[ReturnDate].&amp;["&amp;$A37&amp;"]"),NA())</f>
        <v>2348882835.9899998</v>
      </c>
      <c r="P37" s="20">
        <f>IFERROR(GETPIVOTDATA("[Measures].[Sum of EndPrincipal]",'Results PT'!$B$8,"[Table2].[ReturnDate]","[Table2].[ReturnDate].&amp;["&amp;$A37&amp;"]"),NA())</f>
        <v>2390613018.7599998</v>
      </c>
      <c r="Q37" s="20">
        <f>IFERROR(GETPIVOTDATA("[Measures].[Sum of StartNAV]",'Results PT'!$B$8,"[Table2].[ReturnDate]","[Table2].[ReturnDate].&amp;["&amp;$A37&amp;"]"),NA())</f>
        <v>2320904212.7799997</v>
      </c>
      <c r="R37" s="20">
        <f>IFERROR(GETPIVOTDATA("[Measures].[Sum of EndNAV]",'Results PT'!$B$8,"[Table2].[ReturnDate]","[Table2].[ReturnDate].&amp;["&amp;$A37&amp;"]"),NA())</f>
        <v>2366425612.3000002</v>
      </c>
      <c r="S37" s="20"/>
      <c r="T37" s="1">
        <f t="shared" si="9"/>
        <v>0</v>
      </c>
      <c r="U37" s="1">
        <f t="shared" si="10"/>
        <v>0</v>
      </c>
      <c r="V37">
        <f t="shared" si="11"/>
        <v>4</v>
      </c>
      <c r="W37" s="20">
        <f t="shared" si="0"/>
        <v>-28463690.509999998</v>
      </c>
      <c r="X37" s="20">
        <f t="shared" si="12"/>
        <v>17057709.010000229</v>
      </c>
      <c r="Y37" s="20">
        <f t="shared" si="1"/>
        <v>2335136058.0349998</v>
      </c>
      <c r="Z37" s="3">
        <f t="shared" si="13"/>
        <v>7.3048030547539777E-3</v>
      </c>
      <c r="AA37" s="20"/>
      <c r="AC37" s="20">
        <f>IFERROR(GETPIVOTDATA("[Measures].[Distinct Count of LoanID]",'Count PT'!$B$3,"[Table2].[ReturnDate]","[Table2].[ReturnDate].&amp;["&amp;$A37&amp;"]"),NA())</f>
        <v>71</v>
      </c>
      <c r="AD37" s="20">
        <f>GETPIVOTDATA("[Measures].[Distinct Count of ManagerCode 2]",'Count PT'!$B$3,"[Table2].[ReturnDate]","[Table2].[ReturnDate].&amp;["&amp;$A37&amp;"]")</f>
        <v>5</v>
      </c>
      <c r="AE37" s="20" t="b">
        <f t="shared" si="14"/>
        <v>1</v>
      </c>
      <c r="AF37" s="20" t="b">
        <f t="shared" si="15"/>
        <v>1</v>
      </c>
      <c r="AG37" s="20" t="b">
        <f t="shared" si="16"/>
        <v>1</v>
      </c>
      <c r="AI37" s="7">
        <f t="shared" si="2"/>
        <v>5.2810844522598538E-3</v>
      </c>
      <c r="AJ37" s="7">
        <f t="shared" si="3"/>
        <v>2.9170937926983539E-4</v>
      </c>
      <c r="AK37" s="7">
        <f t="shared" si="4"/>
        <v>1.2376152516063301E-4</v>
      </c>
      <c r="AL37" s="7">
        <f t="shared" si="17"/>
        <v>5.6965553566903221E-3</v>
      </c>
      <c r="AM37" s="7">
        <f t="shared" si="5"/>
        <v>-1.5305133881609703E-5</v>
      </c>
      <c r="AN37" s="7">
        <f t="shared" si="18"/>
        <v>5.6812502228087121E-3</v>
      </c>
      <c r="AO37" s="7">
        <f t="shared" si="19"/>
        <v>1.6235528319452656E-3</v>
      </c>
      <c r="AP37" s="7">
        <f t="shared" si="6"/>
        <v>7.3048030547539777E-3</v>
      </c>
      <c r="AQ37" s="7">
        <f t="shared" si="7"/>
        <v>5.5727938315296884E-3</v>
      </c>
      <c r="AS37" s="7">
        <f t="shared" si="20"/>
        <v>5.2810844522598538E-3</v>
      </c>
      <c r="AT37" s="7">
        <f t="shared" si="21"/>
        <v>2.9170937926983539E-4</v>
      </c>
      <c r="AU37" s="7">
        <f t="shared" si="22"/>
        <v>5.5727938315296892E-3</v>
      </c>
      <c r="AV37" s="7">
        <f t="shared" si="23"/>
        <v>1.2376152516063301E-4</v>
      </c>
      <c r="AW37" s="7">
        <f t="shared" si="24"/>
        <v>5.6965553566903221E-3</v>
      </c>
      <c r="AX37" s="7">
        <f t="shared" si="25"/>
        <v>-1.5305133881609703E-5</v>
      </c>
      <c r="AY37" s="7">
        <f t="shared" si="26"/>
        <v>5.6812502228087121E-3</v>
      </c>
      <c r="AZ37" s="7">
        <f t="shared" si="27"/>
        <v>1.6235528319452656E-3</v>
      </c>
      <c r="BA37" s="7">
        <f t="shared" si="28"/>
        <v>7.3048030547539777E-3</v>
      </c>
      <c r="BB37" s="7">
        <f t="shared" si="29"/>
        <v>5.5727938315296884E-3</v>
      </c>
      <c r="BD37">
        <f t="shared" si="30"/>
        <v>1</v>
      </c>
      <c r="BE37">
        <f t="shared" si="34"/>
        <v>1</v>
      </c>
      <c r="BF37" s="7" cm="1">
        <f t="array" ref="BF37">IF(ISNA($BA37),NA(),IF($BE37=0,"***",PRODUCT(1+AS35:AS37)-1))</f>
        <v>1.7413617704979734E-2</v>
      </c>
      <c r="BG37" s="7" cm="1">
        <f t="array" ref="BG37">IF(ISNA($BA37),NA(),IF($BE37=0,"***",PRODUCT(1+AT35:AT37)-1))</f>
        <v>9.2232671770786645E-4</v>
      </c>
      <c r="BH37" s="7" cm="1">
        <f t="array" ref="BH37">IF(ISNA($BA37),NA(),IF($BE37=0,"***",PRODUCT(1+AU35:AU37)-1))</f>
        <v>1.8346553655913533E-2</v>
      </c>
      <c r="BI37" s="7" cm="1">
        <f t="array" ref="BI37">IF(ISNA($BA37),NA(),IF($BE37=0,"***",PRODUCT(1+AV35:AV37)-1))</f>
        <v>3.5785917423338809E-3</v>
      </c>
      <c r="BJ37" s="7" cm="1">
        <f t="array" ref="BJ37">IF(ISNA($BA37),NA(),IF($BE37=0,"***",PRODUCT(1+AW35:AW37)-1))</f>
        <v>2.1968282094776637E-2</v>
      </c>
      <c r="BK37" s="7" cm="1">
        <f t="array" ref="BK37">IF(ISNA($BA37),NA(),IF($BE37=0,"***",PRODUCT(1+AX35:AX37)-1))</f>
        <v>-1.8902701682810275E-5</v>
      </c>
      <c r="BL37" s="7" cm="1">
        <f t="array" ref="BL37">IF(ISNA($BA37),NA(),IF($BE37=0,"***",PRODUCT(1+AY35:AY37)-1))</f>
        <v>2.1949082116782037E-2</v>
      </c>
      <c r="BM37" s="7" cm="1">
        <f t="array" ref="BM37">IF(ISNA($BA37),NA(),IF($BE37=0,"***",PRODUCT(1+AZ35:AZ37)-1))</f>
        <v>1.7564523285773515E-3</v>
      </c>
      <c r="BN37" s="7" cm="1">
        <f t="array" ref="BN37">IF(ISNA($BA37),NA(),IF($BE37=0,"***",PRODUCT(1+BA35:BA37)-1))</f>
        <v>2.373362145972413E-2</v>
      </c>
      <c r="BO37" s="7">
        <f t="shared" si="35"/>
        <v>2.8087014364741592E-5</v>
      </c>
      <c r="BP37" s="7">
        <f t="shared" si="36"/>
        <v>1.8235844154754391E-2</v>
      </c>
    </row>
    <row r="38" spans="1:68" x14ac:dyDescent="0.25">
      <c r="A38" t="str">
        <f t="shared" si="31"/>
        <v>20140430</v>
      </c>
      <c r="B38">
        <f t="shared" si="32"/>
        <v>41759</v>
      </c>
      <c r="C38">
        <v>2014</v>
      </c>
      <c r="D38">
        <v>4</v>
      </c>
      <c r="F38" s="20">
        <f>IFERROR(GETPIVOTDATA("[Measures].[Sum of CashInterest]",'Results PT'!$B$8,"[Table2].[ReturnDate]","[Table2].[ReturnDate].&amp;["&amp;$A38&amp;"]"),NA())</f>
        <v>14970247.250000007</v>
      </c>
      <c r="G38" s="20">
        <f>IFERROR(GETPIVOTDATA("[Measures].[Sum of AccrInterest]",'Results PT'!$B$8,"[Table2].[ReturnDate]","[Table2].[ReturnDate].&amp;["&amp;$A38&amp;"]"),NA())</f>
        <v>710564.49</v>
      </c>
      <c r="H38" s="20">
        <f>IFERROR(GETPIVOTDATA("[Measures].[Sum of OtherIncome]",'Results PT'!$B$8,"[Table2].[ReturnDate]","[Table2].[ReturnDate].&amp;["&amp;$A38&amp;"]"),NA())</f>
        <v>1333705.22</v>
      </c>
      <c r="I38" s="20">
        <f>IFERROR(GETPIVOTDATA("[Measures].[Sum of Expenses]",'Results PT'!$B$8,"[Table2].[ReturnDate]","[Table2].[ReturnDate].&amp;["&amp;$A38&amp;"]"),NA())</f>
        <v>-4137.75</v>
      </c>
      <c r="J38" s="20">
        <f>IFERROR(GETPIVOTDATA("[Measures].[Sum of PrincipalFunded]",'Results PT'!$B$8,"[Table2].[ReturnDate]","[Table2].[ReturnDate].&amp;["&amp;$A38&amp;"]"),NA())</f>
        <v>-14313991.66</v>
      </c>
      <c r="K38" s="20">
        <f>IFERROR(GETPIVOTDATA("[Measures].[Sum of PrincipalRepaid]",'Results PT'!$B$8,"[Table2].[ReturnDate]","[Table2].[ReturnDate].&amp;["&amp;$A38&amp;"]"),NA())</f>
        <v>78812226.609999999</v>
      </c>
      <c r="L38" s="20"/>
      <c r="M38" s="20">
        <f>IFERROR(GETPIVOTDATA("[Measures].[Sum of StartValue]",'Results PT'!$B$8,"[Table2].[ReturnDate]","[Table2].[ReturnDate].&amp;["&amp;$A38&amp;"]"),NA())</f>
        <v>2372474119.8000002</v>
      </c>
      <c r="N38" s="20">
        <f>IFERROR(GETPIVOTDATA("[Measures].[Sum of EndValue]",'Results PT'!$B$8,"[Table2].[ReturnDate]","[Table2].[ReturnDate].&amp;["&amp;$A38&amp;"]"),NA())</f>
        <v>2307805732.5100002</v>
      </c>
      <c r="O38" s="20">
        <f>IFERROR(GETPIVOTDATA("[Measures].[Sum of StartPrincipal]",'Results PT'!$B$8,"[Table2].[ReturnDate]","[Table2].[ReturnDate].&amp;["&amp;$A38&amp;"]"),NA())</f>
        <v>2390613018.7599998</v>
      </c>
      <c r="P38" s="20">
        <f>IFERROR(GETPIVOTDATA("[Measures].[Sum of EndPrincipal]",'Results PT'!$B$8,"[Table2].[ReturnDate]","[Table2].[ReturnDate].&amp;["&amp;$A38&amp;"]"),NA())</f>
        <v>2326825348.29</v>
      </c>
      <c r="Q38" s="20">
        <f>IFERROR(GETPIVOTDATA("[Measures].[Sum of StartNAV]",'Results PT'!$B$8,"[Table2].[ReturnDate]","[Table2].[ReturnDate].&amp;["&amp;$A38&amp;"]"),NA())</f>
        <v>2366425612.3000002</v>
      </c>
      <c r="R38" s="20">
        <f>IFERROR(GETPIVOTDATA("[Measures].[Sum of EndNAV]",'Results PT'!$B$8,"[Table2].[ReturnDate]","[Table2].[ReturnDate].&amp;["&amp;$A38&amp;"]"),NA())</f>
        <v>2301757225.0100002</v>
      </c>
      <c r="S38" s="20"/>
      <c r="T38" s="1">
        <f t="shared" si="9"/>
        <v>0</v>
      </c>
      <c r="U38" s="1">
        <f t="shared" si="10"/>
        <v>0</v>
      </c>
      <c r="V38">
        <f t="shared" si="11"/>
        <v>4</v>
      </c>
      <c r="W38" s="20">
        <f t="shared" si="0"/>
        <v>80798049.670000002</v>
      </c>
      <c r="X38" s="20">
        <f t="shared" si="12"/>
        <v>16129662.380000114</v>
      </c>
      <c r="Y38" s="20">
        <f t="shared" si="1"/>
        <v>2326026587.4650002</v>
      </c>
      <c r="Z38" s="3">
        <f t="shared" si="13"/>
        <v>6.9344273478743369E-3</v>
      </c>
      <c r="AA38" s="20"/>
      <c r="AC38" s="20">
        <f>IFERROR(GETPIVOTDATA("[Measures].[Distinct Count of LoanID]",'Count PT'!$B$3,"[Table2].[ReturnDate]","[Table2].[ReturnDate].&amp;["&amp;$A38&amp;"]"),NA())</f>
        <v>72</v>
      </c>
      <c r="AD38" s="20">
        <f>GETPIVOTDATA("[Measures].[Distinct Count of ManagerCode 2]",'Count PT'!$B$3,"[Table2].[ReturnDate]","[Table2].[ReturnDate].&amp;["&amp;$A38&amp;"]")</f>
        <v>5</v>
      </c>
      <c r="AE38" s="20" t="b">
        <f t="shared" si="14"/>
        <v>1</v>
      </c>
      <c r="AF38" s="20" t="b">
        <f t="shared" si="15"/>
        <v>1</v>
      </c>
      <c r="AG38" s="20" t="b">
        <f t="shared" si="16"/>
        <v>1</v>
      </c>
      <c r="AI38" s="7">
        <f t="shared" si="2"/>
        <v>6.4359742621494286E-3</v>
      </c>
      <c r="AJ38" s="7">
        <f t="shared" si="3"/>
        <v>3.0548425105252238E-4</v>
      </c>
      <c r="AK38" s="7">
        <f t="shared" si="4"/>
        <v>5.7338348030386321E-4</v>
      </c>
      <c r="AL38" s="7">
        <f t="shared" si="17"/>
        <v>7.314841993505814E-3</v>
      </c>
      <c r="AM38" s="7">
        <f t="shared" si="5"/>
        <v>-1.7788919620688819E-6</v>
      </c>
      <c r="AN38" s="7">
        <f t="shared" si="18"/>
        <v>7.3130631015437455E-3</v>
      </c>
      <c r="AO38" s="7">
        <f t="shared" si="19"/>
        <v>-3.7863575366940856E-4</v>
      </c>
      <c r="AP38" s="7">
        <f t="shared" si="6"/>
        <v>6.9344273478743369E-3</v>
      </c>
      <c r="AQ38" s="7">
        <f t="shared" si="7"/>
        <v>6.7414585132019511E-3</v>
      </c>
      <c r="AS38" s="7">
        <f t="shared" si="20"/>
        <v>6.4359742621494286E-3</v>
      </c>
      <c r="AT38" s="7">
        <f t="shared" si="21"/>
        <v>3.0548425105252238E-4</v>
      </c>
      <c r="AU38" s="7">
        <f t="shared" si="22"/>
        <v>6.7414585132019511E-3</v>
      </c>
      <c r="AV38" s="7">
        <f t="shared" si="23"/>
        <v>5.7338348030386321E-4</v>
      </c>
      <c r="AW38" s="7">
        <f t="shared" si="24"/>
        <v>7.314841993505814E-3</v>
      </c>
      <c r="AX38" s="7">
        <f t="shared" si="25"/>
        <v>-1.7788919620688819E-6</v>
      </c>
      <c r="AY38" s="7">
        <f t="shared" si="26"/>
        <v>7.3130631015437455E-3</v>
      </c>
      <c r="AZ38" s="7">
        <f t="shared" si="27"/>
        <v>-3.7863575366940856E-4</v>
      </c>
      <c r="BA38" s="7">
        <f t="shared" si="28"/>
        <v>6.9344273478743369E-3</v>
      </c>
      <c r="BB38" s="7">
        <f t="shared" si="29"/>
        <v>6.7414585132019511E-3</v>
      </c>
      <c r="BD38">
        <f t="shared" si="30"/>
        <v>1</v>
      </c>
      <c r="BE38">
        <f t="shared" si="34"/>
        <v>1</v>
      </c>
      <c r="BF38" s="7" cm="1">
        <f t="array" ref="BF38">IF(ISNA($BA38),NA(),IF($BE38=0,"***",PRODUCT(1+AS36:AS38)-1))</f>
        <v>1.7503803504788307E-2</v>
      </c>
      <c r="BG38" s="7" cm="1">
        <f t="array" ref="BG38">IF(ISNA($BA38),NA(),IF($BE38=0,"***",PRODUCT(1+AT36:AT38)-1))</f>
        <v>8.3101717495592808E-4</v>
      </c>
      <c r="BH38" s="7" cm="1">
        <f t="array" ref="BH38">IF(ISNA($BA38),NA(),IF($BE38=0,"***",PRODUCT(1+AU36:AU38)-1))</f>
        <v>1.8344473164202402E-2</v>
      </c>
      <c r="BI38" s="7" cm="1">
        <f t="array" ref="BI38">IF(ISNA($BA38),NA(),IF($BE38=0,"***",PRODUCT(1+AV36:AV38)-1))</f>
        <v>2.8294485665367741E-3</v>
      </c>
      <c r="BJ38" s="7" cm="1">
        <f t="array" ref="BJ38">IF(ISNA($BA38),NA(),IF($BE38=0,"***",PRODUCT(1+AW36:AW38)-1))</f>
        <v>2.120842965211267E-2</v>
      </c>
      <c r="BK38" s="7" cm="1">
        <f t="array" ref="BK38">IF(ISNA($BA38),NA(),IF($BE38=0,"***",PRODUCT(1+AX36:AX38)-1))</f>
        <v>-1.8885014117842047E-5</v>
      </c>
      <c r="BL38" s="7" cm="1">
        <f t="array" ref="BL38">IF(ISNA($BA38),NA(),IF($BE38=0,"***",PRODUCT(1+AY36:AY38)-1))</f>
        <v>2.1189260526993436E-2</v>
      </c>
      <c r="BM38" s="7" cm="1">
        <f t="array" ref="BM38">IF(ISNA($BA38),NA(),IF($BE38=0,"***",PRODUCT(1+AZ36:AZ38)-1))</f>
        <v>2.4124124861568674E-4</v>
      </c>
      <c r="BN38" s="7" cm="1">
        <f t="array" ref="BN38">IF(ISNA($BA38),NA(),IF($BE38=0,"***",PRODUCT(1+BA36:BA38)-1))</f>
        <v>2.1437247532354542E-2</v>
      </c>
      <c r="BO38" s="7">
        <f t="shared" si="35"/>
        <v>6.7457567454187739E-6</v>
      </c>
      <c r="BP38" s="7">
        <f t="shared" si="36"/>
        <v>1.8233787368161104E-2</v>
      </c>
    </row>
    <row r="39" spans="1:68" x14ac:dyDescent="0.25">
      <c r="A39" t="str">
        <f t="shared" si="31"/>
        <v>20140531</v>
      </c>
      <c r="B39">
        <f t="shared" si="32"/>
        <v>41790</v>
      </c>
      <c r="C39">
        <v>2014</v>
      </c>
      <c r="D39">
        <v>5</v>
      </c>
      <c r="F39" s="20">
        <f>IFERROR(GETPIVOTDATA("[Measures].[Sum of CashInterest]",'Results PT'!$B$8,"[Table2].[ReturnDate]","[Table2].[ReturnDate].&amp;["&amp;$A39&amp;"]"),NA())</f>
        <v>14971105.300000001</v>
      </c>
      <c r="G39" s="20">
        <f>IFERROR(GETPIVOTDATA("[Measures].[Sum of AccrInterest]",'Results PT'!$B$8,"[Table2].[ReturnDate]","[Table2].[ReturnDate].&amp;["&amp;$A39&amp;"]"),NA())</f>
        <v>474820.95999999996</v>
      </c>
      <c r="H39" s="20">
        <f>IFERROR(GETPIVOTDATA("[Measures].[Sum of OtherIncome]",'Results PT'!$B$8,"[Table2].[ReturnDate]","[Table2].[ReturnDate].&amp;["&amp;$A39&amp;"]"),NA())</f>
        <v>181090.71</v>
      </c>
      <c r="I39" s="20">
        <f>IFERROR(GETPIVOTDATA("[Measures].[Sum of Expenses]",'Results PT'!$B$8,"[Table2].[ReturnDate]","[Table2].[ReturnDate].&amp;["&amp;$A39&amp;"]"),NA())</f>
        <v>-1533.94</v>
      </c>
      <c r="J39" s="20">
        <f>IFERROR(GETPIVOTDATA("[Measures].[Sum of PrincipalFunded]",'Results PT'!$B$8,"[Table2].[ReturnDate]","[Table2].[ReturnDate].&amp;["&amp;$A39&amp;"]"),NA())</f>
        <v>-183396187.39999998</v>
      </c>
      <c r="K39" s="20">
        <f>IFERROR(GETPIVOTDATA("[Measures].[Sum of PrincipalRepaid]",'Results PT'!$B$8,"[Table2].[ReturnDate]","[Table2].[ReturnDate].&amp;["&amp;$A39&amp;"]"),NA())</f>
        <v>317827350.96000004</v>
      </c>
      <c r="L39" s="20"/>
      <c r="M39" s="20">
        <f>IFERROR(GETPIVOTDATA("[Measures].[Sum of StartValue]",'Results PT'!$B$8,"[Table2].[ReturnDate]","[Table2].[ReturnDate].&amp;["&amp;$A39&amp;"]"),NA())</f>
        <v>2307805732.5100002</v>
      </c>
      <c r="N39" s="20">
        <f>IFERROR(GETPIVOTDATA("[Measures].[Sum of EndValue]",'Results PT'!$B$8,"[Table2].[ReturnDate]","[Table2].[ReturnDate].&amp;["&amp;$A39&amp;"]"),NA())</f>
        <v>2172059790.4100003</v>
      </c>
      <c r="O39" s="20">
        <f>IFERROR(GETPIVOTDATA("[Measures].[Sum of StartPrincipal]",'Results PT'!$B$8,"[Table2].[ReturnDate]","[Table2].[ReturnDate].&amp;["&amp;$A39&amp;"]"),NA())</f>
        <v>2326825348.29</v>
      </c>
      <c r="P39" s="20">
        <f>IFERROR(GETPIVOTDATA("[Measures].[Sum of EndPrincipal]",'Results PT'!$B$8,"[Table2].[ReturnDate]","[Table2].[ReturnDate].&amp;["&amp;$A39&amp;"]"),NA())</f>
        <v>2173009471.2700005</v>
      </c>
      <c r="Q39" s="20">
        <f>IFERROR(GETPIVOTDATA("[Measures].[Sum of StartNAV]",'Results PT'!$B$8,"[Table2].[ReturnDate]","[Table2].[ReturnDate].&amp;["&amp;$A39&amp;"]"),NA())</f>
        <v>2301757225.0100002</v>
      </c>
      <c r="R39" s="20">
        <f>IFERROR(GETPIVOTDATA("[Measures].[Sum of EndNAV]",'Results PT'!$B$8,"[Table2].[ReturnDate]","[Table2].[ReturnDate].&amp;["&amp;$A39&amp;"]"),NA())</f>
        <v>2165662399.9100003</v>
      </c>
      <c r="S39" s="20"/>
      <c r="T39" s="1">
        <f t="shared" si="9"/>
        <v>0</v>
      </c>
      <c r="U39" s="1">
        <f t="shared" si="10"/>
        <v>0</v>
      </c>
      <c r="V39">
        <f t="shared" si="11"/>
        <v>4</v>
      </c>
      <c r="W39" s="20">
        <f t="shared" si="0"/>
        <v>149581825.63000005</v>
      </c>
      <c r="X39" s="20">
        <f t="shared" si="12"/>
        <v>13487000.53000021</v>
      </c>
      <c r="Y39" s="20">
        <f t="shared" si="1"/>
        <v>2226966312.1950002</v>
      </c>
      <c r="Z39" s="3">
        <f t="shared" si="13"/>
        <v>6.056221172338617E-3</v>
      </c>
      <c r="AA39" s="20"/>
      <c r="AC39" s="20">
        <f>IFERROR(GETPIVOTDATA("[Measures].[Distinct Count of LoanID]",'Count PT'!$B$3,"[Table2].[ReturnDate]","[Table2].[ReturnDate].&amp;["&amp;$A39&amp;"]"),NA())</f>
        <v>70</v>
      </c>
      <c r="AD39" s="20">
        <f>GETPIVOTDATA("[Measures].[Distinct Count of ManagerCode 2]",'Count PT'!$B$3,"[Table2].[ReturnDate]","[Table2].[ReturnDate].&amp;["&amp;$A39&amp;"]")</f>
        <v>5</v>
      </c>
      <c r="AE39" s="20" t="b">
        <f t="shared" si="14"/>
        <v>1</v>
      </c>
      <c r="AF39" s="20" t="b">
        <f t="shared" si="15"/>
        <v>1</v>
      </c>
      <c r="AG39" s="20" t="b">
        <f t="shared" si="16"/>
        <v>1</v>
      </c>
      <c r="AI39" s="7">
        <f t="shared" si="2"/>
        <v>6.7226456089691774E-3</v>
      </c>
      <c r="AJ39" s="7">
        <f t="shared" si="3"/>
        <v>2.1321425357889436E-4</v>
      </c>
      <c r="AK39" s="7">
        <f t="shared" si="4"/>
        <v>8.1317220205953035E-5</v>
      </c>
      <c r="AL39" s="7">
        <f t="shared" si="17"/>
        <v>7.0171770827540253E-3</v>
      </c>
      <c r="AM39" s="7">
        <f t="shared" si="5"/>
        <v>-6.8880251649971227E-7</v>
      </c>
      <c r="AN39" s="7">
        <f t="shared" si="18"/>
        <v>7.0164882802375254E-3</v>
      </c>
      <c r="AO39" s="7">
        <f t="shared" si="19"/>
        <v>-9.6026710789890845E-4</v>
      </c>
      <c r="AP39" s="7">
        <f t="shared" si="6"/>
        <v>6.056221172338617E-3</v>
      </c>
      <c r="AQ39" s="7">
        <f t="shared" si="7"/>
        <v>6.9358598625480728E-3</v>
      </c>
      <c r="AS39" s="7">
        <f t="shared" si="20"/>
        <v>6.7226456089691774E-3</v>
      </c>
      <c r="AT39" s="7">
        <f t="shared" si="21"/>
        <v>2.1321425357889436E-4</v>
      </c>
      <c r="AU39" s="7">
        <f t="shared" si="22"/>
        <v>6.935859862548072E-3</v>
      </c>
      <c r="AV39" s="7">
        <f t="shared" si="23"/>
        <v>8.1317220205953035E-5</v>
      </c>
      <c r="AW39" s="7">
        <f t="shared" si="24"/>
        <v>7.0171770827540253E-3</v>
      </c>
      <c r="AX39" s="7">
        <f t="shared" si="25"/>
        <v>-6.8880251649971227E-7</v>
      </c>
      <c r="AY39" s="7">
        <f t="shared" si="26"/>
        <v>7.0164882802375254E-3</v>
      </c>
      <c r="AZ39" s="7">
        <f t="shared" si="27"/>
        <v>-9.6026710789890845E-4</v>
      </c>
      <c r="BA39" s="7">
        <f t="shared" si="28"/>
        <v>6.056221172338617E-3</v>
      </c>
      <c r="BB39" s="7">
        <f t="shared" si="29"/>
        <v>6.9358598625480728E-3</v>
      </c>
      <c r="BD39">
        <f t="shared" si="30"/>
        <v>1</v>
      </c>
      <c r="BE39">
        <f t="shared" si="34"/>
        <v>1</v>
      </c>
      <c r="BF39" s="7" cm="1">
        <f t="array" ref="BF39">IF(ISNA($BA39),NA(),IF($BE39=0,"***",PRODUCT(1+AS37:AS39)-1))</f>
        <v>1.8552691375793851E-2</v>
      </c>
      <c r="BG39" s="7" cm="1">
        <f t="array" ref="BG39">IF(ISNA($BA39),NA(),IF($BE39=0,"***",PRODUCT(1+AT37:AT39)-1))</f>
        <v>8.1062434571688158E-4</v>
      </c>
      <c r="BH39" s="7" cm="1">
        <f t="array" ref="BH39">IF(ISNA($BA39),NA(),IF($BE39=0,"***",PRODUCT(1+AU37:AU39)-1))</f>
        <v>1.9373351465916455E-2</v>
      </c>
      <c r="BI39" s="7" cm="1">
        <f t="array" ref="BI39">IF(ISNA($BA39),NA(),IF($BE39=0,"***",PRODUCT(1+AV37:AV39)-1))</f>
        <v>7.7858988414880592E-4</v>
      </c>
      <c r="BJ39" s="7" cm="1">
        <f t="array" ref="BJ39">IF(ISNA($BA39),NA(),IF($BE39=0,"***",PRODUCT(1+AW37:AW39)-1))</f>
        <v>2.0161839516167346E-2</v>
      </c>
      <c r="BK39" s="7" cm="1">
        <f t="array" ref="BK39">IF(ISNA($BA39),NA(),IF($BE39=0,"***",PRODUCT(1+AX37:AX39)-1))</f>
        <v>-1.7772789366432562E-5</v>
      </c>
      <c r="BL39" s="7" cm="1">
        <f t="array" ref="BL39">IF(ISNA($BA39),NA(),IF($BE39=0,"***",PRODUCT(1+AY37:AY39)-1))</f>
        <v>2.0143814909548752E-2</v>
      </c>
      <c r="BM39" s="7" cm="1">
        <f t="array" ref="BM39">IF(ISNA($BA39),NA(),IF($BE39=0,"***",PRODUCT(1+AZ37:AZ39)-1))</f>
        <v>2.8284037261450123E-4</v>
      </c>
      <c r="BN39" s="7" cm="1">
        <f t="array" ref="BN39">IF(ISNA($BA39),NA(),IF($BE39=0,"***",PRODUCT(1+BA37:BA39)-1))</f>
        <v>2.0432648905301942E-2</v>
      </c>
      <c r="BO39" s="7">
        <f t="shared" si="35"/>
        <v>5.9936231386892302E-6</v>
      </c>
      <c r="BP39" s="7">
        <f t="shared" si="36"/>
        <v>1.9250112207279714E-2</v>
      </c>
    </row>
    <row r="40" spans="1:68" x14ac:dyDescent="0.25">
      <c r="A40" t="str">
        <f t="shared" si="31"/>
        <v>20140630</v>
      </c>
      <c r="B40">
        <f t="shared" si="32"/>
        <v>41820</v>
      </c>
      <c r="C40">
        <v>2014</v>
      </c>
      <c r="D40">
        <v>6</v>
      </c>
      <c r="F40" s="20">
        <f>IFERROR(GETPIVOTDATA("[Measures].[Sum of CashInterest]",'Results PT'!$B$8,"[Table2].[ReturnDate]","[Table2].[ReturnDate].&amp;["&amp;$A40&amp;"]"),NA())</f>
        <v>12730532.74000001</v>
      </c>
      <c r="G40" s="20">
        <f>IFERROR(GETPIVOTDATA("[Measures].[Sum of AccrInterest]",'Results PT'!$B$8,"[Table2].[ReturnDate]","[Table2].[ReturnDate].&amp;["&amp;$A40&amp;"]"),NA())</f>
        <v>732258.87</v>
      </c>
      <c r="H40" s="20">
        <f>IFERROR(GETPIVOTDATA("[Measures].[Sum of OtherIncome]",'Results PT'!$B$8,"[Table2].[ReturnDate]","[Table2].[ReturnDate].&amp;["&amp;$A40&amp;"]"),NA())</f>
        <v>1076638.74</v>
      </c>
      <c r="I40" s="20">
        <f>IFERROR(GETPIVOTDATA("[Measures].[Sum of Expenses]",'Results PT'!$B$8,"[Table2].[ReturnDate]","[Table2].[ReturnDate].&amp;["&amp;$A40&amp;"]"),NA())</f>
        <v>-154454.12000000002</v>
      </c>
      <c r="J40" s="20">
        <f>IFERROR(GETPIVOTDATA("[Measures].[Sum of PrincipalFunded]",'Results PT'!$B$8,"[Table2].[ReturnDate]","[Table2].[ReturnDate].&amp;["&amp;$A40&amp;"]"),NA())</f>
        <v>-270307371.59000003</v>
      </c>
      <c r="K40" s="20">
        <f>IFERROR(GETPIVOTDATA("[Measures].[Sum of PrincipalRepaid]",'Results PT'!$B$8,"[Table2].[ReturnDate]","[Table2].[ReturnDate].&amp;["&amp;$A40&amp;"]"),NA())</f>
        <v>11975939.23</v>
      </c>
      <c r="L40" s="20"/>
      <c r="M40" s="20">
        <f>IFERROR(GETPIVOTDATA("[Measures].[Sum of StartValue]",'Results PT'!$B$8,"[Table2].[ReturnDate]","[Table2].[ReturnDate].&amp;["&amp;$A40&amp;"]"),NA())</f>
        <v>2172059790.4100003</v>
      </c>
      <c r="N40" s="20">
        <f>IFERROR(GETPIVOTDATA("[Measures].[Sum of EndValue]",'Results PT'!$B$8,"[Table2].[ReturnDate]","[Table2].[ReturnDate].&amp;["&amp;$A40&amp;"]"),NA())</f>
        <v>2424099469.0800004</v>
      </c>
      <c r="O40" s="20">
        <f>IFERROR(GETPIVOTDATA("[Measures].[Sum of StartPrincipal]",'Results PT'!$B$8,"[Table2].[ReturnDate]","[Table2].[ReturnDate].&amp;["&amp;$A40&amp;"]"),NA())</f>
        <v>2173009471.2700005</v>
      </c>
      <c r="P40" s="20">
        <f>IFERROR(GETPIVOTDATA("[Measures].[Sum of EndPrincipal]",'Results PT'!$B$8,"[Table2].[ReturnDate]","[Table2].[ReturnDate].&amp;["&amp;$A40&amp;"]"),NA())</f>
        <v>2432073162.5799999</v>
      </c>
      <c r="Q40" s="20">
        <f>IFERROR(GETPIVOTDATA("[Measures].[Sum of StartNAV]",'Results PT'!$B$8,"[Table2].[ReturnDate]","[Table2].[ReturnDate].&amp;["&amp;$A40&amp;"]"),NA())</f>
        <v>2165662399.9100003</v>
      </c>
      <c r="R40" s="20">
        <f>IFERROR(GETPIVOTDATA("[Measures].[Sum of EndNAV]",'Results PT'!$B$8,"[Table2].[ReturnDate]","[Table2].[ReturnDate].&amp;["&amp;$A40&amp;"]"),NA())</f>
        <v>2417702078.5800004</v>
      </c>
      <c r="S40" s="20"/>
      <c r="T40" s="1">
        <f t="shared" si="9"/>
        <v>0</v>
      </c>
      <c r="U40" s="1">
        <f t="shared" si="10"/>
        <v>0</v>
      </c>
      <c r="V40">
        <f t="shared" si="11"/>
        <v>4</v>
      </c>
      <c r="W40" s="20">
        <f t="shared" si="0"/>
        <v>-244678715.00000003</v>
      </c>
      <c r="X40" s="20">
        <f t="shared" si="12"/>
        <v>7360963.6700000763</v>
      </c>
      <c r="Y40" s="20">
        <f t="shared" si="1"/>
        <v>2288001757.4100003</v>
      </c>
      <c r="Z40" s="3">
        <f t="shared" si="13"/>
        <v>3.2172019300949436E-3</v>
      </c>
      <c r="AA40" s="20"/>
      <c r="AC40" s="20">
        <f>IFERROR(GETPIVOTDATA("[Measures].[Distinct Count of LoanID]",'Count PT'!$B$3,"[Table2].[ReturnDate]","[Table2].[ReturnDate].&amp;["&amp;$A40&amp;"]"),NA())</f>
        <v>73</v>
      </c>
      <c r="AD40" s="20">
        <f>GETPIVOTDATA("[Measures].[Distinct Count of ManagerCode 2]",'Count PT'!$B$3,"[Table2].[ReturnDate]","[Table2].[ReturnDate].&amp;["&amp;$A40&amp;"]")</f>
        <v>6</v>
      </c>
      <c r="AE40" s="20" t="b">
        <f t="shared" si="14"/>
        <v>1</v>
      </c>
      <c r="AF40" s="20" t="b">
        <f t="shared" si="15"/>
        <v>1</v>
      </c>
      <c r="AG40" s="20" t="b">
        <f t="shared" si="16"/>
        <v>1</v>
      </c>
      <c r="AI40" s="7">
        <f t="shared" si="2"/>
        <v>5.5640397559881555E-3</v>
      </c>
      <c r="AJ40" s="7">
        <f t="shared" si="3"/>
        <v>3.2004296658797642E-4</v>
      </c>
      <c r="AK40" s="7">
        <f t="shared" si="4"/>
        <v>4.7055852842470996E-4</v>
      </c>
      <c r="AL40" s="7">
        <f t="shared" si="17"/>
        <v>6.3546412510008419E-3</v>
      </c>
      <c r="AM40" s="7">
        <f t="shared" si="5"/>
        <v>-6.7506119477303567E-5</v>
      </c>
      <c r="AN40" s="7">
        <f t="shared" si="18"/>
        <v>6.2871351315235387E-3</v>
      </c>
      <c r="AO40" s="7">
        <f t="shared" si="19"/>
        <v>-3.0699332014285951E-3</v>
      </c>
      <c r="AP40" s="7">
        <f t="shared" si="6"/>
        <v>3.2172019300949436E-3</v>
      </c>
      <c r="AQ40" s="7">
        <f t="shared" si="7"/>
        <v>5.8840827225761314E-3</v>
      </c>
      <c r="AS40" s="7">
        <f t="shared" si="20"/>
        <v>5.5640397559881555E-3</v>
      </c>
      <c r="AT40" s="7">
        <f t="shared" si="21"/>
        <v>3.2004296658797642E-4</v>
      </c>
      <c r="AU40" s="7">
        <f t="shared" si="22"/>
        <v>5.8840827225761323E-3</v>
      </c>
      <c r="AV40" s="7">
        <f t="shared" si="23"/>
        <v>4.7055852842470996E-4</v>
      </c>
      <c r="AW40" s="7">
        <f t="shared" si="24"/>
        <v>6.3546412510008419E-3</v>
      </c>
      <c r="AX40" s="7">
        <f t="shared" si="25"/>
        <v>-6.7506119477303567E-5</v>
      </c>
      <c r="AY40" s="7">
        <f t="shared" si="26"/>
        <v>6.2871351315235387E-3</v>
      </c>
      <c r="AZ40" s="7">
        <f t="shared" si="27"/>
        <v>-3.0699332014285951E-3</v>
      </c>
      <c r="BA40" s="7">
        <f t="shared" si="28"/>
        <v>3.2172019300949436E-3</v>
      </c>
      <c r="BB40" s="7">
        <f t="shared" si="29"/>
        <v>5.8840827225761314E-3</v>
      </c>
      <c r="BD40">
        <f t="shared" si="30"/>
        <v>1</v>
      </c>
      <c r="BE40">
        <f t="shared" si="34"/>
        <v>1</v>
      </c>
      <c r="BF40" s="7" cm="1">
        <f t="array" ref="BF40">IF(ISNA($BA40),NA(),IF($BE40=0,"***",PRODUCT(1+AS38:AS40)-1))</f>
        <v>1.8839382223367451E-2</v>
      </c>
      <c r="BG40" s="7" cm="1">
        <f t="array" ref="BG40">IF(ISNA($BA40),NA(),IF($BE40=0,"***",PRODUCT(1+AT38:AT40)-1))</f>
        <v>8.3897263146970324E-4</v>
      </c>
      <c r="BH40" s="7" cm="1">
        <f t="array" ref="BH40">IF(ISNA($BA40),NA(),IF($BE40=0,"***",PRODUCT(1+AU38:AU40)-1))</f>
        <v>1.9688912509419509E-2</v>
      </c>
      <c r="BI40" s="7" cm="1">
        <f t="array" ref="BI40">IF(ISNA($BA40),NA(),IF($BE40=0,"***",PRODUCT(1+AV38:AV40)-1))</f>
        <v>1.1256139518236452E-3</v>
      </c>
      <c r="BJ40" s="7" cm="1">
        <f t="array" ref="BJ40">IF(ISNA($BA40),NA(),IF($BE40=0,"***",PRODUCT(1+AW38:AW40)-1))</f>
        <v>2.0829390889316235E-2</v>
      </c>
      <c r="BK40" s="7" cm="1">
        <f t="array" ref="BK40">IF(ISNA($BA40),NA(),IF($BE40=0,"***",PRODUCT(1+AX38:AX40)-1))</f>
        <v>-6.9973646146026525E-5</v>
      </c>
      <c r="BL40" s="7" cm="1">
        <f t="array" ref="BL40">IF(ISNA($BA40),NA(),IF($BE40=0,"***",PRODUCT(1+AY38:AY40)-1))</f>
        <v>2.075841296637404E-2</v>
      </c>
      <c r="BM40" s="7" cm="1">
        <f t="array" ref="BM40">IF(ISNA($BA40),NA(),IF($BE40=0,"***",PRODUCT(1+AZ38:AZ40)-1))</f>
        <v>-4.4043632453899528E-3</v>
      </c>
      <c r="BN40" s="7" cm="1">
        <f t="array" ref="BN40">IF(ISNA($BA40),NA(),IF($BE40=0,"***",PRODUCT(1+BA38:BA40)-1))</f>
        <v>1.6291775526504626E-2</v>
      </c>
      <c r="BO40" s="7">
        <f t="shared" si="35"/>
        <v>-6.2274194479461364E-5</v>
      </c>
      <c r="BP40" s="7">
        <f t="shared" si="36"/>
        <v>1.9561401098326155E-2</v>
      </c>
    </row>
    <row r="41" spans="1:68" x14ac:dyDescent="0.25">
      <c r="A41" t="str">
        <f t="shared" si="31"/>
        <v>20140731</v>
      </c>
      <c r="B41">
        <f t="shared" si="32"/>
        <v>41851</v>
      </c>
      <c r="C41">
        <v>2014</v>
      </c>
      <c r="D41">
        <v>7</v>
      </c>
      <c r="F41" s="20">
        <f>IFERROR(GETPIVOTDATA("[Measures].[Sum of CashInterest]",'Results PT'!$B$8,"[Table2].[ReturnDate]","[Table2].[ReturnDate].&amp;["&amp;$A41&amp;"]"),NA())</f>
        <v>49770776.249999993</v>
      </c>
      <c r="G41" s="20">
        <f>IFERROR(GETPIVOTDATA("[Measures].[Sum of AccrInterest]",'Results PT'!$B$8,"[Table2].[ReturnDate]","[Table2].[ReturnDate].&amp;["&amp;$A41&amp;"]"),NA())</f>
        <v>727257.15</v>
      </c>
      <c r="H41" s="20">
        <f>IFERROR(GETPIVOTDATA("[Measures].[Sum of OtherIncome]",'Results PT'!$B$8,"[Table2].[ReturnDate]","[Table2].[ReturnDate].&amp;["&amp;$A41&amp;"]"),NA())</f>
        <v>385000</v>
      </c>
      <c r="I41" s="20">
        <f>IFERROR(GETPIVOTDATA("[Measures].[Sum of Expenses]",'Results PT'!$B$8,"[Table2].[ReturnDate]","[Table2].[ReturnDate].&amp;["&amp;$A41&amp;"]"),NA())</f>
        <v>-39952.18</v>
      </c>
      <c r="J41" s="20">
        <f>IFERROR(GETPIVOTDATA("[Measures].[Sum of PrincipalFunded]",'Results PT'!$B$8,"[Table2].[ReturnDate]","[Table2].[ReturnDate].&amp;["&amp;$A41&amp;"]"),NA())</f>
        <v>-33968872.18</v>
      </c>
      <c r="K41" s="20">
        <f>IFERROR(GETPIVOTDATA("[Measures].[Sum of PrincipalRepaid]",'Results PT'!$B$8,"[Table2].[ReturnDate]","[Table2].[ReturnDate].&amp;["&amp;$A41&amp;"]"),NA())</f>
        <v>251226996.22999999</v>
      </c>
      <c r="L41" s="20"/>
      <c r="M41" s="20">
        <f>IFERROR(GETPIVOTDATA("[Measures].[Sum of StartValue]",'Results PT'!$B$8,"[Table2].[ReturnDate]","[Table2].[ReturnDate].&amp;["&amp;$A41&amp;"]"),NA())</f>
        <v>2424099469.0800004</v>
      </c>
      <c r="N41" s="20">
        <f>IFERROR(GETPIVOTDATA("[Measures].[Sum of EndValue]",'Results PT'!$B$8,"[Table2].[ReturnDate]","[Table2].[ReturnDate].&amp;["&amp;$A41&amp;"]"),NA())</f>
        <v>2217111852.0199995</v>
      </c>
      <c r="O41" s="20">
        <f>IFERROR(GETPIVOTDATA("[Measures].[Sum of StartPrincipal]",'Results PT'!$B$8,"[Table2].[ReturnDate]","[Table2].[ReturnDate].&amp;["&amp;$A41&amp;"]"),NA())</f>
        <v>2432073162.5799999</v>
      </c>
      <c r="P41" s="20">
        <f>IFERROR(GETPIVOTDATA("[Measures].[Sum of EndPrincipal]",'Results PT'!$B$8,"[Table2].[ReturnDate]","[Table2].[ReturnDate].&amp;["&amp;$A41&amp;"]"),NA())</f>
        <v>2215576016.6100001</v>
      </c>
      <c r="Q41" s="20">
        <f>IFERROR(GETPIVOTDATA("[Measures].[Sum of StartNAV]",'Results PT'!$B$8,"[Table2].[ReturnDate]","[Table2].[ReturnDate].&amp;["&amp;$A41&amp;"]"),NA())</f>
        <v>2417702078.5800004</v>
      </c>
      <c r="R41" s="20">
        <f>IFERROR(GETPIVOTDATA("[Measures].[Sum of EndNAV]",'Results PT'!$B$8,"[Table2].[ReturnDate]","[Table2].[ReturnDate].&amp;["&amp;$A41&amp;"]"),NA())</f>
        <v>2210680740.5199995</v>
      </c>
      <c r="S41" s="20"/>
      <c r="T41" s="1">
        <f t="shared" si="9"/>
        <v>0</v>
      </c>
      <c r="U41" s="1">
        <f t="shared" si="10"/>
        <v>0</v>
      </c>
      <c r="V41">
        <f t="shared" si="11"/>
        <v>4</v>
      </c>
      <c r="W41" s="20">
        <f t="shared" si="0"/>
        <v>267373948.11999997</v>
      </c>
      <c r="X41" s="20">
        <f t="shared" si="12"/>
        <v>60352610.059998989</v>
      </c>
      <c r="Y41" s="20">
        <f t="shared" si="1"/>
        <v>2284015104.5200005</v>
      </c>
      <c r="Z41" s="3">
        <f t="shared" si="13"/>
        <v>2.6423910218703415E-2</v>
      </c>
      <c r="AA41" s="20"/>
      <c r="AC41" s="20">
        <f>IFERROR(GETPIVOTDATA("[Measures].[Distinct Count of LoanID]",'Count PT'!$B$3,"[Table2].[ReturnDate]","[Table2].[ReturnDate].&amp;["&amp;$A41&amp;"]"),NA())</f>
        <v>73</v>
      </c>
      <c r="AD41" s="20">
        <f>GETPIVOTDATA("[Measures].[Distinct Count of ManagerCode 2]",'Count PT'!$B$3,"[Table2].[ReturnDate]","[Table2].[ReturnDate].&amp;["&amp;$A41&amp;"]")</f>
        <v>6</v>
      </c>
      <c r="AE41" s="20" t="b">
        <f t="shared" si="14"/>
        <v>1</v>
      </c>
      <c r="AF41" s="20" t="b">
        <f t="shared" si="15"/>
        <v>1</v>
      </c>
      <c r="AG41" s="20" t="b">
        <f t="shared" si="16"/>
        <v>1</v>
      </c>
      <c r="AI41" s="7">
        <f t="shared" si="2"/>
        <v>2.1790913795405754E-2</v>
      </c>
      <c r="AJ41" s="7">
        <f t="shared" si="3"/>
        <v>3.1841170776882299E-4</v>
      </c>
      <c r="AK41" s="7">
        <f t="shared" si="4"/>
        <v>1.6856280820476887E-4</v>
      </c>
      <c r="AL41" s="7">
        <f t="shared" si="17"/>
        <v>2.2277888311379345E-2</v>
      </c>
      <c r="AM41" s="7">
        <f t="shared" si="5"/>
        <v>-1.7492082220006243E-5</v>
      </c>
      <c r="AN41" s="7">
        <f t="shared" si="18"/>
        <v>2.2260396229159339E-2</v>
      </c>
      <c r="AO41" s="7">
        <f t="shared" si="19"/>
        <v>4.1635139895440758E-3</v>
      </c>
      <c r="AP41" s="7">
        <f t="shared" si="6"/>
        <v>2.6423910218703415E-2</v>
      </c>
      <c r="AQ41" s="7">
        <f t="shared" si="7"/>
        <v>2.2109325503174578E-2</v>
      </c>
      <c r="AS41" s="7">
        <f t="shared" si="20"/>
        <v>2.1790913795405754E-2</v>
      </c>
      <c r="AT41" s="7">
        <f t="shared" si="21"/>
        <v>3.1841170776882299E-4</v>
      </c>
      <c r="AU41" s="7">
        <f t="shared" si="22"/>
        <v>2.2109325503174578E-2</v>
      </c>
      <c r="AV41" s="7">
        <f t="shared" si="23"/>
        <v>1.6856280820476887E-4</v>
      </c>
      <c r="AW41" s="7">
        <f t="shared" si="24"/>
        <v>2.2277888311379345E-2</v>
      </c>
      <c r="AX41" s="7">
        <f t="shared" si="25"/>
        <v>-1.7492082220006243E-5</v>
      </c>
      <c r="AY41" s="7">
        <f t="shared" si="26"/>
        <v>2.2260396229159339E-2</v>
      </c>
      <c r="AZ41" s="7">
        <f t="shared" si="27"/>
        <v>4.1635139895440758E-3</v>
      </c>
      <c r="BA41" s="7">
        <f t="shared" si="28"/>
        <v>2.6423910218703415E-2</v>
      </c>
      <c r="BB41" s="7">
        <f t="shared" si="29"/>
        <v>2.2109325503174578E-2</v>
      </c>
      <c r="BD41">
        <f t="shared" si="30"/>
        <v>1</v>
      </c>
      <c r="BE41">
        <f t="shared" si="34"/>
        <v>1</v>
      </c>
      <c r="BF41" s="7" cm="1">
        <f t="array" ref="BF41">IF(ISNA($BA41),NA(),IF($BE41=0,"***",PRODUCT(1+AS39:AS41)-1))</f>
        <v>3.4383557420015753E-2</v>
      </c>
      <c r="BG41" s="7" cm="1">
        <f t="array" ref="BG41">IF(ISNA($BA41),NA(),IF($BE41=0,"***",PRODUCT(1+AT39:AT41)-1))</f>
        <v>8.5190698272752385E-4</v>
      </c>
      <c r="BH41" s="7" cm="1">
        <f t="array" ref="BH41">IF(ISNA($BA41),NA(),IF($BE41=0,"***",PRODUCT(1+AU39:AU41)-1))</f>
        <v>3.5254421852540574E-2</v>
      </c>
      <c r="BI41" s="7" cm="1">
        <f t="array" ref="BI41">IF(ISNA($BA41),NA(),IF($BE41=0,"***",PRODUCT(1+AV39:AV41)-1))</f>
        <v>7.2056985352308978E-4</v>
      </c>
      <c r="BJ41" s="7" cm="1">
        <f t="array" ref="BJ41">IF(ISNA($BA41),NA(),IF($BE41=0,"***",PRODUCT(1+AW39:AW41)-1))</f>
        <v>3.5993187571091045E-2</v>
      </c>
      <c r="BK41" s="7" cm="1">
        <f t="array" ref="BK41">IF(ISNA($BA41),NA(),IF($BE41=0,"***",PRODUCT(1+AX39:AX41)-1))</f>
        <v>-8.5685764845022661E-5</v>
      </c>
      <c r="BL41" s="7" cm="1">
        <f t="array" ref="BL41">IF(ISNA($BA41),NA(),IF($BE41=0,"***",PRODUCT(1+AY39:AY41)-1))</f>
        <v>3.5905259165753378E-2</v>
      </c>
      <c r="BM41" s="7" cm="1">
        <f t="array" ref="BM41">IF(ISNA($BA41),NA(),IF($BE41=0,"***",PRODUCT(1+AZ39:AZ41)-1))</f>
        <v>1.1949411458056503E-4</v>
      </c>
      <c r="BN41" s="7" cm="1">
        <f t="array" ref="BN41">IF(ISNA($BA41),NA(),IF($BE41=0,"***",PRODUCT(1+BA39:BA41)-1))</f>
        <v>3.59623723528113E-2</v>
      </c>
      <c r="BO41" s="7">
        <f t="shared" si="35"/>
        <v>-6.2380927522642793E-5</v>
      </c>
      <c r="BP41" s="7">
        <f t="shared" si="36"/>
        <v>3.4929268088298784E-2</v>
      </c>
    </row>
    <row r="42" spans="1:68" x14ac:dyDescent="0.25">
      <c r="A42" t="str">
        <f t="shared" si="31"/>
        <v>20140831</v>
      </c>
      <c r="B42">
        <f t="shared" si="32"/>
        <v>41882</v>
      </c>
      <c r="C42">
        <v>2014</v>
      </c>
      <c r="D42">
        <v>8</v>
      </c>
      <c r="F42" s="20">
        <f>IFERROR(GETPIVOTDATA("[Measures].[Sum of CashInterest]",'Results PT'!$B$8,"[Table2].[ReturnDate]","[Table2].[ReturnDate].&amp;["&amp;$A42&amp;"]"),NA())</f>
        <v>14562657.780000007</v>
      </c>
      <c r="G42" s="20">
        <f>IFERROR(GETPIVOTDATA("[Measures].[Sum of AccrInterest]",'Results PT'!$B$8,"[Table2].[ReturnDate]","[Table2].[ReturnDate].&amp;["&amp;$A42&amp;"]"),NA())</f>
        <v>585583.98</v>
      </c>
      <c r="H42" s="20">
        <f>IFERROR(GETPIVOTDATA("[Measures].[Sum of OtherIncome]",'Results PT'!$B$8,"[Table2].[ReturnDate]","[Table2].[ReturnDate].&amp;["&amp;$A42&amp;"]"),NA())</f>
        <v>0</v>
      </c>
      <c r="I42" s="20">
        <f>IFERROR(GETPIVOTDATA("[Measures].[Sum of Expenses]",'Results PT'!$B$8,"[Table2].[ReturnDate]","[Table2].[ReturnDate].&amp;["&amp;$A42&amp;"]"),NA())</f>
        <v>-161.45000000000002</v>
      </c>
      <c r="J42" s="20">
        <f>IFERROR(GETPIVOTDATA("[Measures].[Sum of PrincipalFunded]",'Results PT'!$B$8,"[Table2].[ReturnDate]","[Table2].[ReturnDate].&amp;["&amp;$A42&amp;"]"),NA())</f>
        <v>-35436127.740000002</v>
      </c>
      <c r="K42" s="20">
        <f>IFERROR(GETPIVOTDATA("[Measures].[Sum of PrincipalRepaid]",'Results PT'!$B$8,"[Table2].[ReturnDate]","[Table2].[ReturnDate].&amp;["&amp;$A42&amp;"]"),NA())</f>
        <v>71517327.449999988</v>
      </c>
      <c r="L42" s="20"/>
      <c r="M42" s="20">
        <f>IFERROR(GETPIVOTDATA("[Measures].[Sum of StartValue]",'Results PT'!$B$8,"[Table2].[ReturnDate]","[Table2].[ReturnDate].&amp;["&amp;$A42&amp;"]"),NA())</f>
        <v>2217111852.0199995</v>
      </c>
      <c r="N42" s="20">
        <f>IFERROR(GETPIVOTDATA("[Measures].[Sum of EndValue]",'Results PT'!$B$8,"[Table2].[ReturnDate]","[Table2].[ReturnDate].&amp;["&amp;$A42&amp;"]"),NA())</f>
        <v>2180871835.0299997</v>
      </c>
      <c r="O42" s="20">
        <f>IFERROR(GETPIVOTDATA("[Measures].[Sum of StartPrincipal]",'Results PT'!$B$8,"[Table2].[ReturnDate]","[Table2].[ReturnDate].&amp;["&amp;$A42&amp;"]"),NA())</f>
        <v>2215576016.6100001</v>
      </c>
      <c r="P42" s="20">
        <f>IFERROR(GETPIVOTDATA("[Measures].[Sum of EndPrincipal]",'Results PT'!$B$8,"[Table2].[ReturnDate]","[Table2].[ReturnDate].&amp;["&amp;$A42&amp;"]"),NA())</f>
        <v>2180080400.9099998</v>
      </c>
      <c r="Q42" s="20">
        <f>IFERROR(GETPIVOTDATA("[Measures].[Sum of StartNAV]",'Results PT'!$B$8,"[Table2].[ReturnDate]","[Table2].[ReturnDate].&amp;["&amp;$A42&amp;"]"),NA())</f>
        <v>2210680740.5199995</v>
      </c>
      <c r="R42" s="20">
        <f>IFERROR(GETPIVOTDATA("[Measures].[Sum of EndNAV]",'Results PT'!$B$8,"[Table2].[ReturnDate]","[Table2].[ReturnDate].&amp;["&amp;$A42&amp;"]"),NA())</f>
        <v>2174440723.5299997</v>
      </c>
      <c r="S42" s="20"/>
      <c r="T42" s="1">
        <f t="shared" si="9"/>
        <v>0</v>
      </c>
      <c r="U42" s="1">
        <f t="shared" si="10"/>
        <v>0</v>
      </c>
      <c r="V42">
        <f t="shared" si="11"/>
        <v>4</v>
      </c>
      <c r="W42" s="20">
        <f t="shared" si="0"/>
        <v>50643696.039999992</v>
      </c>
      <c r="X42" s="20">
        <f t="shared" si="12"/>
        <v>14403679.050000191</v>
      </c>
      <c r="Y42" s="20">
        <f t="shared" si="1"/>
        <v>2185358892.4999995</v>
      </c>
      <c r="Z42" s="3">
        <f t="shared" si="13"/>
        <v>6.5909902027683513E-3</v>
      </c>
      <c r="AA42" s="20"/>
      <c r="AC42" s="20">
        <f>IFERROR(GETPIVOTDATA("[Measures].[Distinct Count of LoanID]",'Count PT'!$B$3,"[Table2].[ReturnDate]","[Table2].[ReturnDate].&amp;["&amp;$A42&amp;"]"),NA())</f>
        <v>72</v>
      </c>
      <c r="AD42" s="20">
        <f>GETPIVOTDATA("[Measures].[Distinct Count of ManagerCode 2]",'Count PT'!$B$3,"[Table2].[ReturnDate]","[Table2].[ReturnDate].&amp;["&amp;$A42&amp;"]")</f>
        <v>6</v>
      </c>
      <c r="AE42" s="20" t="b">
        <f t="shared" si="14"/>
        <v>1</v>
      </c>
      <c r="AF42" s="20" t="b">
        <f t="shared" si="15"/>
        <v>1</v>
      </c>
      <c r="AG42" s="20" t="b">
        <f t="shared" si="16"/>
        <v>1</v>
      </c>
      <c r="AI42" s="7">
        <f t="shared" si="2"/>
        <v>6.6637373979981235E-3</v>
      </c>
      <c r="AJ42" s="7">
        <f t="shared" si="3"/>
        <v>2.6795780867375316E-4</v>
      </c>
      <c r="AK42" s="7">
        <f t="shared" si="4"/>
        <v>0</v>
      </c>
      <c r="AL42" s="7">
        <f t="shared" si="17"/>
        <v>6.9316952066718765E-3</v>
      </c>
      <c r="AM42" s="7">
        <f t="shared" si="5"/>
        <v>-7.3878025506055433E-8</v>
      </c>
      <c r="AN42" s="7">
        <f t="shared" si="18"/>
        <v>6.9316213286463703E-3</v>
      </c>
      <c r="AO42" s="7">
        <f t="shared" si="19"/>
        <v>-3.4063112587801904E-4</v>
      </c>
      <c r="AP42" s="7">
        <f t="shared" si="6"/>
        <v>6.5909902027683513E-3</v>
      </c>
      <c r="AQ42" s="7">
        <f t="shared" si="7"/>
        <v>6.9316952066718765E-3</v>
      </c>
      <c r="AS42" s="7">
        <f t="shared" si="20"/>
        <v>6.6637373979981235E-3</v>
      </c>
      <c r="AT42" s="7">
        <f t="shared" si="21"/>
        <v>2.6795780867375316E-4</v>
      </c>
      <c r="AU42" s="7">
        <f t="shared" si="22"/>
        <v>6.9316952066718765E-3</v>
      </c>
      <c r="AV42" s="7">
        <f t="shared" si="23"/>
        <v>0</v>
      </c>
      <c r="AW42" s="7">
        <f t="shared" si="24"/>
        <v>6.9316952066718765E-3</v>
      </c>
      <c r="AX42" s="7">
        <f t="shared" si="25"/>
        <v>-7.3878025506055433E-8</v>
      </c>
      <c r="AY42" s="7">
        <f t="shared" si="26"/>
        <v>6.9316213286463703E-3</v>
      </c>
      <c r="AZ42" s="7">
        <f t="shared" si="27"/>
        <v>-3.4063112587801904E-4</v>
      </c>
      <c r="BA42" s="7">
        <f t="shared" si="28"/>
        <v>6.5909902027683513E-3</v>
      </c>
      <c r="BB42" s="7">
        <f t="shared" si="29"/>
        <v>6.9316952066718765E-3</v>
      </c>
      <c r="BD42">
        <f t="shared" si="30"/>
        <v>1</v>
      </c>
      <c r="BE42">
        <f t="shared" si="34"/>
        <v>1</v>
      </c>
      <c r="BF42" s="7" cm="1">
        <f t="array" ref="BF42">IF(ISNA($BA42),NA(),IF($BE42=0,"***",PRODUCT(1+AS40:AS42)-1))</f>
        <v>3.4323030635313723E-2</v>
      </c>
      <c r="BG42" s="7" cm="1">
        <f t="array" ref="BG42">IF(ISNA($BA42),NA(),IF($BE42=0,"***",PRODUCT(1+AT40:AT42)-1))</f>
        <v>9.0668549467998183E-4</v>
      </c>
      <c r="BH42" s="7" cm="1">
        <f t="array" ref="BH42">IF(ISNA($BA42),NA(),IF($BE42=0,"***",PRODUCT(1+AU40:AU42)-1))</f>
        <v>3.525014007195959E-2</v>
      </c>
      <c r="BI42" s="7" cm="1">
        <f t="array" ref="BI42">IF(ISNA($BA42),NA(),IF($BE42=0,"***",PRODUCT(1+AV40:AV42)-1))</f>
        <v>6.3920065529665671E-4</v>
      </c>
      <c r="BJ42" s="7" cm="1">
        <f t="array" ref="BJ42">IF(ISNA($BA42),NA(),IF($BE42=0,"***",PRODUCT(1+AW40:AW42)-1))</f>
        <v>3.5905246031167515E-2</v>
      </c>
      <c r="BK42" s="7" cm="1">
        <f t="array" ref="BK42">IF(ISNA($BA42),NA(),IF($BE42=0,"***",PRODUCT(1+AX40:AX42)-1))</f>
        <v>-8.5070892620775496E-5</v>
      </c>
      <c r="BL42" s="7" cm="1">
        <f t="array" ref="BL42">IF(ISNA($BA42),NA(),IF($BE42=0,"***",PRODUCT(1+AY40:AY42)-1))</f>
        <v>3.5817957594720617E-2</v>
      </c>
      <c r="BM42" s="7" cm="1">
        <f t="array" ref="BM42">IF(ISNA($BA42),NA(),IF($BE42=0,"***",PRODUCT(1+AZ40:AZ42)-1))</f>
        <v>7.3979979859961631E-4</v>
      </c>
      <c r="BN42" s="7" cm="1">
        <f t="array" ref="BN42">IF(ISNA($BA42),NA(),IF($BE42=0,"***",PRODUCT(1+BA40:BA42)-1))</f>
        <v>3.6513037993324948E-2</v>
      </c>
      <c r="BO42" s="7">
        <f t="shared" si="35"/>
        <v>-4.4719399995285514E-5</v>
      </c>
      <c r="BP42" s="7">
        <f t="shared" si="36"/>
        <v>3.4925103432422583E-2</v>
      </c>
    </row>
    <row r="43" spans="1:68" x14ac:dyDescent="0.25">
      <c r="A43" t="str">
        <f t="shared" si="31"/>
        <v>20140930</v>
      </c>
      <c r="B43">
        <f t="shared" si="32"/>
        <v>41912</v>
      </c>
      <c r="C43">
        <v>2014</v>
      </c>
      <c r="D43">
        <v>9</v>
      </c>
      <c r="F43" s="20">
        <f>IFERROR(GETPIVOTDATA("[Measures].[Sum of CashInterest]",'Results PT'!$B$8,"[Table2].[ReturnDate]","[Table2].[ReturnDate].&amp;["&amp;$A43&amp;"]"),NA())</f>
        <v>13008431.380000001</v>
      </c>
      <c r="G43" s="20">
        <f>IFERROR(GETPIVOTDATA("[Measures].[Sum of AccrInterest]",'Results PT'!$B$8,"[Table2].[ReturnDate]","[Table2].[ReturnDate].&amp;["&amp;$A43&amp;"]"),NA())</f>
        <v>647139.01</v>
      </c>
      <c r="H43" s="20">
        <f>IFERROR(GETPIVOTDATA("[Measures].[Sum of OtherIncome]",'Results PT'!$B$8,"[Table2].[ReturnDate]","[Table2].[ReturnDate].&amp;["&amp;$A43&amp;"]"),NA())</f>
        <v>656250</v>
      </c>
      <c r="I43" s="20">
        <f>IFERROR(GETPIVOTDATA("[Measures].[Sum of Expenses]",'Results PT'!$B$8,"[Table2].[ReturnDate]","[Table2].[ReturnDate].&amp;["&amp;$A43&amp;"]"),NA())</f>
        <v>-58900.84</v>
      </c>
      <c r="J43" s="20">
        <f>IFERROR(GETPIVOTDATA("[Measures].[Sum of PrincipalFunded]",'Results PT'!$B$8,"[Table2].[ReturnDate]","[Table2].[ReturnDate].&amp;["&amp;$A43&amp;"]"),NA())</f>
        <v>-239488286.93000001</v>
      </c>
      <c r="K43" s="20">
        <f>IFERROR(GETPIVOTDATA("[Measures].[Sum of PrincipalRepaid]",'Results PT'!$B$8,"[Table2].[ReturnDate]","[Table2].[ReturnDate].&amp;["&amp;$A43&amp;"]"),NA())</f>
        <v>81405413</v>
      </c>
      <c r="L43" s="20"/>
      <c r="M43" s="20">
        <f>IFERROR(GETPIVOTDATA("[Measures].[Sum of StartValue]",'Results PT'!$B$8,"[Table2].[ReturnDate]","[Table2].[ReturnDate].&amp;["&amp;$A43&amp;"]"),NA())</f>
        <v>2180871835.0299997</v>
      </c>
      <c r="N43" s="20">
        <f>IFERROR(GETPIVOTDATA("[Measures].[Sum of EndValue]",'Results PT'!$B$8,"[Table2].[ReturnDate]","[Table2].[ReturnDate].&amp;["&amp;$A43&amp;"]"),NA())</f>
        <v>2329319752.8600001</v>
      </c>
      <c r="O43" s="20">
        <f>IFERROR(GETPIVOTDATA("[Measures].[Sum of StartPrincipal]",'Results PT'!$B$8,"[Table2].[ReturnDate]","[Table2].[ReturnDate].&amp;["&amp;$A43&amp;"]"),NA())</f>
        <v>2180080400.9099998</v>
      </c>
      <c r="P43" s="20">
        <f>IFERROR(GETPIVOTDATA("[Measures].[Sum of EndPrincipal]",'Results PT'!$B$8,"[Table2].[ReturnDate]","[Table2].[ReturnDate].&amp;["&amp;$A43&amp;"]"),NA())</f>
        <v>2338810413.8300004</v>
      </c>
      <c r="Q43" s="20">
        <f>IFERROR(GETPIVOTDATA("[Measures].[Sum of StartNAV]",'Results PT'!$B$8,"[Table2].[ReturnDate]","[Table2].[ReturnDate].&amp;["&amp;$A43&amp;"]"),NA())</f>
        <v>2174440723.5299997</v>
      </c>
      <c r="R43" s="20">
        <f>IFERROR(GETPIVOTDATA("[Measures].[Sum of EndNAV]",'Results PT'!$B$8,"[Table2].[ReturnDate]","[Table2].[ReturnDate].&amp;["&amp;$A43&amp;"]"),NA())</f>
        <v>2322888641.3600001</v>
      </c>
      <c r="S43" s="20"/>
      <c r="T43" s="1">
        <f t="shared" si="9"/>
        <v>0</v>
      </c>
      <c r="U43" s="1">
        <f t="shared" si="10"/>
        <v>0</v>
      </c>
      <c r="V43">
        <f t="shared" si="11"/>
        <v>4</v>
      </c>
      <c r="W43" s="20">
        <f t="shared" ref="W43:W74" si="37">SUM(F43,H43:K43)</f>
        <v>-144477093.39000002</v>
      </c>
      <c r="X43" s="20">
        <f t="shared" si="12"/>
        <v>3970824.4400005341</v>
      </c>
      <c r="Y43" s="20">
        <f t="shared" ref="Y43:Y74" si="38">CHOOSE(V43,1,Q43,-J43,Q43-0.5*W43)</f>
        <v>2246679270.2249999</v>
      </c>
      <c r="Z43" s="3">
        <f t="shared" si="13"/>
        <v>1.7674193609321302E-3</v>
      </c>
      <c r="AA43" s="20"/>
      <c r="AC43" s="20">
        <f>IFERROR(GETPIVOTDATA("[Measures].[Distinct Count of LoanID]",'Count PT'!$B$3,"[Table2].[ReturnDate]","[Table2].[ReturnDate].&amp;["&amp;$A43&amp;"]"),NA())</f>
        <v>75</v>
      </c>
      <c r="AD43" s="20">
        <f>GETPIVOTDATA("[Measures].[Distinct Count of ManagerCode 2]",'Count PT'!$B$3,"[Table2].[ReturnDate]","[Table2].[ReturnDate].&amp;["&amp;$A43&amp;"]")</f>
        <v>6</v>
      </c>
      <c r="AE43" s="20" t="b">
        <f t="shared" si="14"/>
        <v>1</v>
      </c>
      <c r="AF43" s="20" t="b">
        <f t="shared" si="15"/>
        <v>1</v>
      </c>
      <c r="AG43" s="20" t="b">
        <f t="shared" si="16"/>
        <v>1</v>
      </c>
      <c r="AI43" s="7">
        <f t="shared" ref="AI43:AI74" si="39">F43/Y43</f>
        <v>5.7900705064578423E-3</v>
      </c>
      <c r="AJ43" s="7">
        <f t="shared" ref="AJ43:AJ74" si="40">G43/Y43</f>
        <v>2.8804245384575543E-4</v>
      </c>
      <c r="AK43" s="7">
        <f t="shared" ref="AK43:AK74" si="41">H43/Y43</f>
        <v>2.9209776789113209E-4</v>
      </c>
      <c r="AL43" s="7">
        <f t="shared" si="17"/>
        <v>6.3702107281947305E-3</v>
      </c>
      <c r="AM43" s="7">
        <f t="shared" ref="AM43:AM74" si="42">I43/Y43</f>
        <v>-2.6216844024247934E-5</v>
      </c>
      <c r="AN43" s="7">
        <f t="shared" si="18"/>
        <v>6.3439938841704825E-3</v>
      </c>
      <c r="AO43" s="7">
        <f t="shared" si="19"/>
        <v>-4.5765745232383519E-3</v>
      </c>
      <c r="AP43" s="7">
        <f t="shared" ref="AP43:AP74" si="43">Z43</f>
        <v>1.7674193609321302E-3</v>
      </c>
      <c r="AQ43" s="7">
        <f t="shared" ref="AQ43:AQ74" si="44">(F43+G43)/Y43</f>
        <v>6.078112960303598E-3</v>
      </c>
      <c r="AS43" s="7">
        <f t="shared" si="20"/>
        <v>5.7900705064578423E-3</v>
      </c>
      <c r="AT43" s="7">
        <f t="shared" si="21"/>
        <v>2.8804245384575543E-4</v>
      </c>
      <c r="AU43" s="7">
        <f t="shared" si="22"/>
        <v>6.078112960303598E-3</v>
      </c>
      <c r="AV43" s="7">
        <f t="shared" si="23"/>
        <v>2.9209776789113209E-4</v>
      </c>
      <c r="AW43" s="7">
        <f t="shared" si="24"/>
        <v>6.3702107281947305E-3</v>
      </c>
      <c r="AX43" s="7">
        <f t="shared" si="25"/>
        <v>-2.6216844024247934E-5</v>
      </c>
      <c r="AY43" s="7">
        <f t="shared" si="26"/>
        <v>6.3439938841704825E-3</v>
      </c>
      <c r="AZ43" s="7">
        <f t="shared" si="27"/>
        <v>-4.5765745232383519E-3</v>
      </c>
      <c r="BA43" s="7">
        <f t="shared" si="28"/>
        <v>1.7674193609321302E-3</v>
      </c>
      <c r="BB43" s="7">
        <f t="shared" si="29"/>
        <v>6.078112960303598E-3</v>
      </c>
      <c r="BD43">
        <f t="shared" si="30"/>
        <v>1</v>
      </c>
      <c r="BE43">
        <f t="shared" si="34"/>
        <v>1</v>
      </c>
      <c r="BF43" s="7" cm="1">
        <f t="array" ref="BF43">IF(ISNA($BA43),NA(),IF($BE43=0,"***",PRODUCT(1+AS41:AS43)-1))</f>
        <v>3.4555525833629641E-2</v>
      </c>
      <c r="BG43" s="7" cm="1">
        <f t="array" ref="BG43">IF(ISNA($BA43),NA(),IF($BE43=0,"***",PRODUCT(1+AT41:AT43)-1))</f>
        <v>8.7466621508225373E-4</v>
      </c>
      <c r="BH43" s="7" cm="1">
        <f t="array" ref="BH43">IF(ISNA($BA43),NA(),IF($BE43=0,"***",PRODUCT(1+AU41:AU43)-1))</f>
        <v>3.5449834881963627E-2</v>
      </c>
      <c r="BI43" s="7" cm="1">
        <f t="array" ref="BI43">IF(ISNA($BA43),NA(),IF($BE43=0,"***",PRODUCT(1+AV41:AV43)-1))</f>
        <v>4.6070981291590485E-4</v>
      </c>
      <c r="BJ43" s="7" cm="1">
        <f t="array" ref="BJ43">IF(ISNA($BA43),NA(),IF($BE43=0,"***",PRODUCT(1+AW41:AW43)-1))</f>
        <v>3.5921272690599082E-2</v>
      </c>
      <c r="BK43" s="7" cm="1">
        <f t="array" ref="BK43">IF(ISNA($BA43),NA(),IF($BE43=0,"***",PRODUCT(1+AX41:AX43)-1))</f>
        <v>-4.378234245350221E-5</v>
      </c>
      <c r="BL43" s="7" cm="1">
        <f t="array" ref="BL43">IF(ISNA($BA43),NA(),IF($BE43=0,"***",PRODUCT(1+AY41:AY43)-1))</f>
        <v>3.587648494241491E-2</v>
      </c>
      <c r="BM43" s="7" cm="1">
        <f t="array" ref="BM43">IF(ISNA($BA43),NA(),IF($BE43=0,"***",PRODUCT(1+AZ41:AZ43)-1))</f>
        <v>-7.7259909974847218E-4</v>
      </c>
      <c r="BN43" s="7" cm="1">
        <f t="array" ref="BN43">IF(ISNA($BA43),NA(),IF($BE43=0,"***",PRODUCT(1+BA41:BA43)-1))</f>
        <v>3.5015138503262877E-2</v>
      </c>
      <c r="BO43" s="7">
        <f t="shared" si="35"/>
        <v>-8.8747339403560943E-5</v>
      </c>
      <c r="BP43" s="7">
        <f t="shared" si="36"/>
        <v>3.511913367015005E-2</v>
      </c>
    </row>
    <row r="44" spans="1:68" x14ac:dyDescent="0.25">
      <c r="A44" t="str">
        <f t="shared" si="31"/>
        <v>20141031</v>
      </c>
      <c r="B44">
        <f t="shared" si="32"/>
        <v>41943</v>
      </c>
      <c r="C44">
        <v>2014</v>
      </c>
      <c r="D44">
        <v>10</v>
      </c>
      <c r="F44" s="20">
        <f>IFERROR(GETPIVOTDATA("[Measures].[Sum of CashInterest]",'Results PT'!$B$8,"[Table2].[ReturnDate]","[Table2].[ReturnDate].&amp;["&amp;$A44&amp;"]"),NA())</f>
        <v>14018845.530000005</v>
      </c>
      <c r="G44" s="20">
        <f>IFERROR(GETPIVOTDATA("[Measures].[Sum of AccrInterest]",'Results PT'!$B$8,"[Table2].[ReturnDate]","[Table2].[ReturnDate].&amp;["&amp;$A44&amp;"]"),NA())</f>
        <v>1892519.1400000001</v>
      </c>
      <c r="H44" s="20">
        <f>IFERROR(GETPIVOTDATA("[Measures].[Sum of OtherIncome]",'Results PT'!$B$8,"[Table2].[ReturnDate]","[Table2].[ReturnDate].&amp;["&amp;$A44&amp;"]"),NA())</f>
        <v>-126075</v>
      </c>
      <c r="I44" s="20">
        <f>IFERROR(GETPIVOTDATA("[Measures].[Sum of Expenses]",'Results PT'!$B$8,"[Table2].[ReturnDate]","[Table2].[ReturnDate].&amp;["&amp;$A44&amp;"]"),NA())</f>
        <v>-156.24</v>
      </c>
      <c r="J44" s="20">
        <f>IFERROR(GETPIVOTDATA("[Measures].[Sum of PrincipalFunded]",'Results PT'!$B$8,"[Table2].[ReturnDate]","[Table2].[ReturnDate].&amp;["&amp;$A44&amp;"]"),NA())</f>
        <v>-55227753.439999998</v>
      </c>
      <c r="K44" s="20">
        <f>IFERROR(GETPIVOTDATA("[Measures].[Sum of PrincipalRepaid]",'Results PT'!$B$8,"[Table2].[ReturnDate]","[Table2].[ReturnDate].&amp;["&amp;$A44&amp;"]"),NA())</f>
        <v>388828.11000000004</v>
      </c>
      <c r="L44" s="20"/>
      <c r="M44" s="20">
        <f>IFERROR(GETPIVOTDATA("[Measures].[Sum of StartValue]",'Results PT'!$B$8,"[Table2].[ReturnDate]","[Table2].[ReturnDate].&amp;["&amp;$A44&amp;"]"),NA())</f>
        <v>2329319752.8600001</v>
      </c>
      <c r="N44" s="20">
        <f>IFERROR(GETPIVOTDATA("[Measures].[Sum of EndValue]",'Results PT'!$B$8,"[Table2].[ReturnDate]","[Table2].[ReturnDate].&amp;["&amp;$A44&amp;"]"),NA())</f>
        <v>2405569432.0700002</v>
      </c>
      <c r="O44" s="20">
        <f>IFERROR(GETPIVOTDATA("[Measures].[Sum of StartPrincipal]",'Results PT'!$B$8,"[Table2].[ReturnDate]","[Table2].[ReturnDate].&amp;["&amp;$A44&amp;"]"),NA())</f>
        <v>2338810413.8300004</v>
      </c>
      <c r="P44" s="20">
        <f>IFERROR(GETPIVOTDATA("[Measures].[Sum of EndPrincipal]",'Results PT'!$B$8,"[Table2].[ReturnDate]","[Table2].[ReturnDate].&amp;["&amp;$A44&amp;"]"),NA())</f>
        <v>2395541857.9000006</v>
      </c>
      <c r="Q44" s="20">
        <f>IFERROR(GETPIVOTDATA("[Measures].[Sum of StartNAV]",'Results PT'!$B$8,"[Table2].[ReturnDate]","[Table2].[ReturnDate].&amp;["&amp;$A44&amp;"]"),NA())</f>
        <v>2322888641.3600001</v>
      </c>
      <c r="R44" s="20">
        <f>IFERROR(GETPIVOTDATA("[Measures].[Sum of EndNAV]",'Results PT'!$B$8,"[Table2].[ReturnDate]","[Table2].[ReturnDate].&amp;["&amp;$A44&amp;"]"),NA())</f>
        <v>2399138320.5700002</v>
      </c>
      <c r="S44" s="20"/>
      <c r="T44" s="1">
        <f t="shared" ref="T44:T75" si="45">M44-N43</f>
        <v>0</v>
      </c>
      <c r="U44" s="1">
        <f t="shared" ref="U44:U75" si="46">O44-P43</f>
        <v>0</v>
      </c>
      <c r="V44">
        <f t="shared" si="11"/>
        <v>4</v>
      </c>
      <c r="W44" s="20">
        <f t="shared" si="37"/>
        <v>-40946311.039999992</v>
      </c>
      <c r="X44" s="20">
        <f t="shared" si="12"/>
        <v>35303368.170000076</v>
      </c>
      <c r="Y44" s="20">
        <f t="shared" si="38"/>
        <v>2343361796.8800001</v>
      </c>
      <c r="Z44" s="3">
        <f t="shared" si="13"/>
        <v>1.5065265729348198E-2</v>
      </c>
      <c r="AA44" s="20"/>
      <c r="AC44" s="20">
        <f>IFERROR(GETPIVOTDATA("[Measures].[Distinct Count of LoanID]",'Count PT'!$B$3,"[Table2].[ReturnDate]","[Table2].[ReturnDate].&amp;["&amp;$A44&amp;"]"),NA())</f>
        <v>75</v>
      </c>
      <c r="AD44" s="20">
        <f>GETPIVOTDATA("[Measures].[Distinct Count of ManagerCode 2]",'Count PT'!$B$3,"[Table2].[ReturnDate]","[Table2].[ReturnDate].&amp;["&amp;$A44&amp;"]")</f>
        <v>6</v>
      </c>
      <c r="AE44" s="20" t="b">
        <f t="shared" si="14"/>
        <v>1</v>
      </c>
      <c r="AF44" s="20" t="b">
        <f t="shared" si="15"/>
        <v>1</v>
      </c>
      <c r="AG44" s="20" t="b">
        <f t="shared" si="16"/>
        <v>1</v>
      </c>
      <c r="AI44" s="7">
        <f t="shared" si="39"/>
        <v>5.9823649718387419E-3</v>
      </c>
      <c r="AJ44" s="7">
        <f t="shared" si="40"/>
        <v>8.0760859996938539E-4</v>
      </c>
      <c r="AK44" s="7">
        <f t="shared" si="41"/>
        <v>-5.3800911224147651E-5</v>
      </c>
      <c r="AL44" s="7">
        <f t="shared" si="17"/>
        <v>6.7361726605839794E-3</v>
      </c>
      <c r="AM44" s="7">
        <f t="shared" si="42"/>
        <v>-6.6673443344523726E-8</v>
      </c>
      <c r="AN44" s="7">
        <f t="shared" si="18"/>
        <v>6.7361059871406349E-3</v>
      </c>
      <c r="AO44" s="7">
        <f t="shared" si="19"/>
        <v>8.3291597422075619E-3</v>
      </c>
      <c r="AP44" s="7">
        <f t="shared" si="43"/>
        <v>1.5065265729348198E-2</v>
      </c>
      <c r="AQ44" s="7">
        <f t="shared" si="44"/>
        <v>6.7899735718081273E-3</v>
      </c>
      <c r="AS44" s="7">
        <f t="shared" si="20"/>
        <v>5.9823649718387419E-3</v>
      </c>
      <c r="AT44" s="7">
        <f t="shared" si="21"/>
        <v>8.0760859996938539E-4</v>
      </c>
      <c r="AU44" s="7">
        <f t="shared" si="22"/>
        <v>6.7899735718081273E-3</v>
      </c>
      <c r="AV44" s="7">
        <f t="shared" si="23"/>
        <v>-5.3800911224147651E-5</v>
      </c>
      <c r="AW44" s="7">
        <f t="shared" si="24"/>
        <v>6.7361726605839794E-3</v>
      </c>
      <c r="AX44" s="7">
        <f t="shared" si="25"/>
        <v>-6.6673443344523726E-8</v>
      </c>
      <c r="AY44" s="7">
        <f t="shared" si="26"/>
        <v>6.7361059871406349E-3</v>
      </c>
      <c r="AZ44" s="7">
        <f t="shared" si="27"/>
        <v>8.3291597422075619E-3</v>
      </c>
      <c r="BA44" s="7">
        <f t="shared" si="28"/>
        <v>1.5065265729348198E-2</v>
      </c>
      <c r="BB44" s="7">
        <f t="shared" si="29"/>
        <v>6.7899735718081273E-3</v>
      </c>
      <c r="BD44">
        <f t="shared" si="30"/>
        <v>1</v>
      </c>
      <c r="BE44">
        <f t="shared" si="34"/>
        <v>1</v>
      </c>
      <c r="BF44" s="7" cm="1">
        <f t="array" ref="BF44">IF(ISNA($BA44),NA(),IF($BE44=0,"***",PRODUCT(1+AS42:AS44)-1))</f>
        <v>1.8549490430474158E-2</v>
      </c>
      <c r="BG44" s="7" cm="1">
        <f t="array" ref="BG44">IF(ISNA($BA44),NA(),IF($BE44=0,"***",PRODUCT(1+AT42:AT44)-1))</f>
        <v>1.3641351386410872E-3</v>
      </c>
      <c r="BH44" s="7" cm="1">
        <f t="array" ref="BH44">IF(ISNA($BA44),NA(),IF($BE44=0,"***",PRODUCT(1+AU42:AU44)-1))</f>
        <v>1.9930535691514484E-2</v>
      </c>
      <c r="BI44" s="7" cm="1">
        <f t="array" ref="BI44">IF(ISNA($BA44),NA(),IF($BE44=0,"***",PRODUCT(1+AV42:AV44)-1))</f>
        <v>2.3828114154089697E-4</v>
      </c>
      <c r="BJ44" s="7" cm="1">
        <f t="array" ref="BJ44">IF(ISNA($BA44),NA(),IF($BE44=0,"***",PRODUCT(1+AW42:AW44)-1))</f>
        <v>2.0172136334572155E-2</v>
      </c>
      <c r="BK44" s="7" cm="1">
        <f t="array" ref="BK44">IF(ISNA($BA44),NA(),IF($BE44=0,"***",PRODUCT(1+AX42:AX44)-1))</f>
        <v>-2.6357391803233376E-5</v>
      </c>
      <c r="BL44" s="7" cm="1">
        <f t="array" ref="BL44">IF(ISNA($BA44),NA(),IF($BE44=0,"***",PRODUCT(1+AY42:AY44)-1))</f>
        <v>2.0145417529016552E-2</v>
      </c>
      <c r="BM44" s="7" cm="1">
        <f t="array" ref="BM44">IF(ISNA($BA44),NA(),IF($BE44=0,"***",PRODUCT(1+AZ42:AZ44)-1))</f>
        <v>3.3725698100117718E-3</v>
      </c>
      <c r="BN44" s="7" cm="1">
        <f t="array" ref="BN44">IF(ISNA($BA44),NA(),IF($BE44=0,"***",PRODUCT(1+BA42:BA44)-1))</f>
        <v>2.3561421493831336E-2</v>
      </c>
      <c r="BO44" s="7">
        <f t="shared" si="35"/>
        <v>4.3434154803012603E-5</v>
      </c>
      <c r="BP44" s="7">
        <f t="shared" si="36"/>
        <v>1.9799781738783603E-2</v>
      </c>
    </row>
    <row r="45" spans="1:68" x14ac:dyDescent="0.25">
      <c r="A45" t="str">
        <f t="shared" si="31"/>
        <v>20141130</v>
      </c>
      <c r="B45">
        <f t="shared" si="32"/>
        <v>41973</v>
      </c>
      <c r="C45">
        <v>2014</v>
      </c>
      <c r="D45">
        <v>11</v>
      </c>
      <c r="F45" s="20">
        <f>IFERROR(GETPIVOTDATA("[Measures].[Sum of CashInterest]",'Results PT'!$B$8,"[Table2].[ReturnDate]","[Table2].[ReturnDate].&amp;["&amp;$A45&amp;"]"),NA())</f>
        <v>14228085.130000005</v>
      </c>
      <c r="G45" s="20">
        <f>IFERROR(GETPIVOTDATA("[Measures].[Sum of AccrInterest]",'Results PT'!$B$8,"[Table2].[ReturnDate]","[Table2].[ReturnDate].&amp;["&amp;$A45&amp;"]"),NA())</f>
        <v>1976109.0999999999</v>
      </c>
      <c r="H45" s="20">
        <f>IFERROR(GETPIVOTDATA("[Measures].[Sum of OtherIncome]",'Results PT'!$B$8,"[Table2].[ReturnDate]","[Table2].[ReturnDate].&amp;["&amp;$A45&amp;"]"),NA())</f>
        <v>1213448</v>
      </c>
      <c r="I45" s="20">
        <f>IFERROR(GETPIVOTDATA("[Measures].[Sum of Expenses]",'Results PT'!$B$8,"[Table2].[ReturnDate]","[Table2].[ReturnDate].&amp;["&amp;$A45&amp;"]"),NA())</f>
        <v>-2284.5700000000002</v>
      </c>
      <c r="J45" s="20">
        <f>IFERROR(GETPIVOTDATA("[Measures].[Sum of PrincipalFunded]",'Results PT'!$B$8,"[Table2].[ReturnDate]","[Table2].[ReturnDate].&amp;["&amp;$A45&amp;"]"),NA())</f>
        <v>-146866463.69</v>
      </c>
      <c r="K45" s="20">
        <f>IFERROR(GETPIVOTDATA("[Measures].[Sum of PrincipalRepaid]",'Results PT'!$B$8,"[Table2].[ReturnDate]","[Table2].[ReturnDate].&amp;["&amp;$A45&amp;"]"),NA())</f>
        <v>21807825.670000002</v>
      </c>
      <c r="L45" s="20"/>
      <c r="M45" s="20">
        <f>IFERROR(GETPIVOTDATA("[Measures].[Sum of StartValue]",'Results PT'!$B$8,"[Table2].[ReturnDate]","[Table2].[ReturnDate].&amp;["&amp;$A45&amp;"]"),NA())</f>
        <v>2405569432.0700002</v>
      </c>
      <c r="N45" s="20">
        <f>IFERROR(GETPIVOTDATA("[Measures].[Sum of EndValue]",'Results PT'!$B$8,"[Table2].[ReturnDate]","[Table2].[ReturnDate].&amp;["&amp;$A45&amp;"]"),NA())</f>
        <v>2536090466.3900008</v>
      </c>
      <c r="O45" s="20">
        <f>IFERROR(GETPIVOTDATA("[Measures].[Sum of StartPrincipal]",'Results PT'!$B$8,"[Table2].[ReturnDate]","[Table2].[ReturnDate].&amp;["&amp;$A45&amp;"]"),NA())</f>
        <v>2395541857.9000006</v>
      </c>
      <c r="P45" s="20">
        <f>IFERROR(GETPIVOTDATA("[Measures].[Sum of EndPrincipal]",'Results PT'!$B$8,"[Table2].[ReturnDate]","[Table2].[ReturnDate].&amp;["&amp;$A45&amp;"]"),NA())</f>
        <v>2522626044.0500007</v>
      </c>
      <c r="Q45" s="20">
        <f>IFERROR(GETPIVOTDATA("[Measures].[Sum of StartNAV]",'Results PT'!$B$8,"[Table2].[ReturnDate]","[Table2].[ReturnDate].&amp;["&amp;$A45&amp;"]"),NA())</f>
        <v>2399138320.5700002</v>
      </c>
      <c r="R45" s="20">
        <f>IFERROR(GETPIVOTDATA("[Measures].[Sum of EndNAV]",'Results PT'!$B$8,"[Table2].[ReturnDate]","[Table2].[ReturnDate].&amp;["&amp;$A45&amp;"]"),NA())</f>
        <v>2529609915.8900008</v>
      </c>
      <c r="S45" s="20"/>
      <c r="T45" s="1">
        <f t="shared" si="45"/>
        <v>0</v>
      </c>
      <c r="U45" s="1">
        <f t="shared" si="46"/>
        <v>0</v>
      </c>
      <c r="V45">
        <f t="shared" si="11"/>
        <v>4</v>
      </c>
      <c r="W45" s="20">
        <f t="shared" si="37"/>
        <v>-109619389.45999999</v>
      </c>
      <c r="X45" s="20">
        <f t="shared" si="12"/>
        <v>20852205.86000061</v>
      </c>
      <c r="Y45" s="20">
        <f t="shared" si="38"/>
        <v>2453948015.3000002</v>
      </c>
      <c r="Z45" s="3">
        <f t="shared" si="13"/>
        <v>8.4974114080617093E-3</v>
      </c>
      <c r="AA45" s="20"/>
      <c r="AC45" s="20">
        <f>IFERROR(GETPIVOTDATA("[Measures].[Distinct Count of LoanID]",'Count PT'!$B$3,"[Table2].[ReturnDate]","[Table2].[ReturnDate].&amp;["&amp;$A45&amp;"]"),NA())</f>
        <v>81</v>
      </c>
      <c r="AD45" s="20">
        <f>GETPIVOTDATA("[Measures].[Distinct Count of ManagerCode 2]",'Count PT'!$B$3,"[Table2].[ReturnDate]","[Table2].[ReturnDate].&amp;["&amp;$A45&amp;"]")</f>
        <v>6</v>
      </c>
      <c r="AE45" s="20" t="b">
        <f t="shared" si="14"/>
        <v>1</v>
      </c>
      <c r="AF45" s="20" t="b">
        <f t="shared" si="15"/>
        <v>1</v>
      </c>
      <c r="AG45" s="20" t="b">
        <f t="shared" si="16"/>
        <v>1</v>
      </c>
      <c r="AI45" s="7">
        <f t="shared" si="39"/>
        <v>5.7980385245693933E-3</v>
      </c>
      <c r="AJ45" s="7">
        <f t="shared" si="40"/>
        <v>8.0527749067187007E-4</v>
      </c>
      <c r="AK45" s="7">
        <f t="shared" si="41"/>
        <v>4.9448806267872523E-4</v>
      </c>
      <c r="AL45" s="7">
        <f t="shared" si="17"/>
        <v>7.0978040779199891E-3</v>
      </c>
      <c r="AM45" s="7">
        <f t="shared" si="42"/>
        <v>-9.3097734171875143E-7</v>
      </c>
      <c r="AN45" s="7">
        <f t="shared" si="18"/>
        <v>7.0968731005782706E-3</v>
      </c>
      <c r="AO45" s="7">
        <f t="shared" si="19"/>
        <v>1.4005383074834387E-3</v>
      </c>
      <c r="AP45" s="7">
        <f t="shared" si="43"/>
        <v>8.4974114080617093E-3</v>
      </c>
      <c r="AQ45" s="7">
        <f t="shared" si="44"/>
        <v>6.6033160152412637E-3</v>
      </c>
      <c r="AS45" s="7">
        <f t="shared" si="20"/>
        <v>5.7980385245693933E-3</v>
      </c>
      <c r="AT45" s="7">
        <f t="shared" si="21"/>
        <v>8.0527749067187007E-4</v>
      </c>
      <c r="AU45" s="7">
        <f t="shared" si="22"/>
        <v>6.6033160152412637E-3</v>
      </c>
      <c r="AV45" s="7">
        <f t="shared" si="23"/>
        <v>4.9448806267872523E-4</v>
      </c>
      <c r="AW45" s="7">
        <f t="shared" si="24"/>
        <v>7.0978040779199891E-3</v>
      </c>
      <c r="AX45" s="7">
        <f t="shared" si="25"/>
        <v>-9.3097734171875143E-7</v>
      </c>
      <c r="AY45" s="7">
        <f t="shared" si="26"/>
        <v>7.0968731005782706E-3</v>
      </c>
      <c r="AZ45" s="7">
        <f t="shared" si="27"/>
        <v>1.4005383074834387E-3</v>
      </c>
      <c r="BA45" s="7">
        <f t="shared" si="28"/>
        <v>8.4974114080617093E-3</v>
      </c>
      <c r="BB45" s="7">
        <f t="shared" si="29"/>
        <v>6.6033160152412637E-3</v>
      </c>
      <c r="BD45">
        <f t="shared" si="30"/>
        <v>1</v>
      </c>
      <c r="BE45">
        <f t="shared" si="34"/>
        <v>1</v>
      </c>
      <c r="BF45" s="7" cm="1">
        <f t="array" ref="BF45">IF(ISNA($BA45),NA(),IF($BE45=0,"***",PRODUCT(1+AS43:AS45)-1))</f>
        <v>1.7673570186563792E-2</v>
      </c>
      <c r="BG45" s="7" cm="1">
        <f t="array" ref="BG45">IF(ISNA($BA45),NA(),IF($BE45=0,"***",PRODUCT(1+AT43:AT45)-1))</f>
        <v>1.9020436605092783E-3</v>
      </c>
      <c r="BH45" s="7" cm="1">
        <f t="array" ref="BH45">IF(ISNA($BA45),NA(),IF($BE45=0,"***",PRODUCT(1+AU43:AU45)-1))</f>
        <v>1.9597917335949733E-2</v>
      </c>
      <c r="BI45" s="7" cm="1">
        <f t="array" ref="BI45">IF(ISNA($BA45),NA(),IF($BE45=0,"***",PRODUCT(1+AV43:AV45)-1))</f>
        <v>7.3288703139962053E-4</v>
      </c>
      <c r="BJ45" s="7" cm="1">
        <f t="array" ref="BJ45">IF(ISNA($BA45),NA(),IF($BE45=0,"***",PRODUCT(1+AW43:AW45)-1))</f>
        <v>2.0340429420242057E-2</v>
      </c>
      <c r="BK45" s="7" cm="1">
        <f t="array" ref="BK45">IF(ISNA($BA45),NA(),IF($BE45=0,"***",PRODUCT(1+AX43:AX45)-1))</f>
        <v>-2.7214468592107188E-5</v>
      </c>
      <c r="BL45" s="7" cm="1">
        <f t="array" ref="BL45">IF(ISNA($BA45),NA(),IF($BE45=0,"***",PRODUCT(1+AY43:AY45)-1))</f>
        <v>2.0312837872468181E-2</v>
      </c>
      <c r="BM45" s="7" cm="1">
        <f t="array" ref="BM45">IF(ISNA($BA45),NA(),IF($BE45=0,"***",PRODUCT(1+AZ43:AZ45)-1))</f>
        <v>5.1202067583795419E-3</v>
      </c>
      <c r="BN45" s="7" cm="1">
        <f t="array" ref="BN45">IF(ISNA($BA45),NA(),IF($BE45=0,"***",PRODUCT(1+BA43:BA45)-1))</f>
        <v>2.5499983648518354E-2</v>
      </c>
      <c r="BO45" s="7">
        <f t="shared" si="35"/>
        <v>6.6939017670630818E-5</v>
      </c>
      <c r="BP45" s="7">
        <f t="shared" si="36"/>
        <v>1.9471402547352988E-2</v>
      </c>
    </row>
    <row r="46" spans="1:68" x14ac:dyDescent="0.25">
      <c r="A46" t="str">
        <f t="shared" si="31"/>
        <v>20141231</v>
      </c>
      <c r="B46">
        <f t="shared" si="32"/>
        <v>42004</v>
      </c>
      <c r="C46">
        <v>2014</v>
      </c>
      <c r="D46">
        <v>12</v>
      </c>
      <c r="F46" s="20">
        <f>IFERROR(GETPIVOTDATA("[Measures].[Sum of CashInterest]",'Results PT'!$B$8,"[Table2].[ReturnDate]","[Table2].[ReturnDate].&amp;["&amp;$A46&amp;"]"),NA())</f>
        <v>14563666.960000003</v>
      </c>
      <c r="G46" s="20">
        <f>IFERROR(GETPIVOTDATA("[Measures].[Sum of AccrInterest]",'Results PT'!$B$8,"[Table2].[ReturnDate]","[Table2].[ReturnDate].&amp;["&amp;$A46&amp;"]"),NA())</f>
        <v>1985229.0699999998</v>
      </c>
      <c r="H46" s="20">
        <f>IFERROR(GETPIVOTDATA("[Measures].[Sum of OtherIncome]",'Results PT'!$B$8,"[Table2].[ReturnDate]","[Table2].[ReturnDate].&amp;["&amp;$A46&amp;"]"),NA())</f>
        <v>1027771.47</v>
      </c>
      <c r="I46" s="20">
        <f>IFERROR(GETPIVOTDATA("[Measures].[Sum of Expenses]",'Results PT'!$B$8,"[Table2].[ReturnDate]","[Table2].[ReturnDate].&amp;["&amp;$A46&amp;"]"),NA())</f>
        <v>-138109.19999999998</v>
      </c>
      <c r="J46" s="20">
        <f>IFERROR(GETPIVOTDATA("[Measures].[Sum of PrincipalFunded]",'Results PT'!$B$8,"[Table2].[ReturnDate]","[Table2].[ReturnDate].&amp;["&amp;$A46&amp;"]"),NA())</f>
        <v>-27965009.510000005</v>
      </c>
      <c r="K46" s="20">
        <f>IFERROR(GETPIVOTDATA("[Measures].[Sum of PrincipalRepaid]",'Results PT'!$B$8,"[Table2].[ReturnDate]","[Table2].[ReturnDate].&amp;["&amp;$A46&amp;"]"),NA())</f>
        <v>55321696.070000008</v>
      </c>
      <c r="L46" s="20"/>
      <c r="M46" s="20">
        <f>IFERROR(GETPIVOTDATA("[Measures].[Sum of StartValue]",'Results PT'!$B$8,"[Table2].[ReturnDate]","[Table2].[ReturnDate].&amp;["&amp;$A46&amp;"]"),NA())</f>
        <v>2536090466.3900008</v>
      </c>
      <c r="N46" s="20">
        <f>IFERROR(GETPIVOTDATA("[Measures].[Sum of EndValue]",'Results PT'!$B$8,"[Table2].[ReturnDate]","[Table2].[ReturnDate].&amp;["&amp;$A46&amp;"]"),NA())</f>
        <v>2514476523.1600003</v>
      </c>
      <c r="O46" s="20">
        <f>IFERROR(GETPIVOTDATA("[Measures].[Sum of StartPrincipal]",'Results PT'!$B$8,"[Table2].[ReturnDate]","[Table2].[ReturnDate].&amp;["&amp;$A46&amp;"]"),NA())</f>
        <v>2522626044.0500007</v>
      </c>
      <c r="P46" s="20">
        <f>IFERROR(GETPIVOTDATA("[Measures].[Sum of EndPrincipal]",'Results PT'!$B$8,"[Table2].[ReturnDate]","[Table2].[ReturnDate].&amp;["&amp;$A46&amp;"]"),NA())</f>
        <v>2497254586.3200006</v>
      </c>
      <c r="Q46" s="20">
        <f>IFERROR(GETPIVOTDATA("[Measures].[Sum of StartNAV]",'Results PT'!$B$8,"[Table2].[ReturnDate]","[Table2].[ReturnDate].&amp;["&amp;$A46&amp;"]"),NA())</f>
        <v>2529609915.8900008</v>
      </c>
      <c r="R46" s="20">
        <f>IFERROR(GETPIVOTDATA("[Measures].[Sum of EndNAV]",'Results PT'!$B$8,"[Table2].[ReturnDate]","[Table2].[ReturnDate].&amp;["&amp;$A46&amp;"]"),NA())</f>
        <v>2507995972.6600003</v>
      </c>
      <c r="S46" s="20"/>
      <c r="T46" s="1">
        <f t="shared" si="45"/>
        <v>0</v>
      </c>
      <c r="U46" s="1">
        <f t="shared" si="46"/>
        <v>0</v>
      </c>
      <c r="V46">
        <f t="shared" si="11"/>
        <v>4</v>
      </c>
      <c r="W46" s="20">
        <f t="shared" si="37"/>
        <v>42810015.790000007</v>
      </c>
      <c r="X46" s="20">
        <f t="shared" si="12"/>
        <v>21196072.559999466</v>
      </c>
      <c r="Y46" s="20">
        <f t="shared" si="38"/>
        <v>2508204907.9950008</v>
      </c>
      <c r="Z46" s="3">
        <f t="shared" si="13"/>
        <v>8.4506941567796794E-3</v>
      </c>
      <c r="AA46" s="20"/>
      <c r="AC46" s="20">
        <f>IFERROR(GETPIVOTDATA("[Measures].[Distinct Count of LoanID]",'Count PT'!$B$3,"[Table2].[ReturnDate]","[Table2].[ReturnDate].&amp;["&amp;$A46&amp;"]"),NA())</f>
        <v>82</v>
      </c>
      <c r="AD46" s="20">
        <f>GETPIVOTDATA("[Measures].[Distinct Count of ManagerCode 2]",'Count PT'!$B$3,"[Table2].[ReturnDate]","[Table2].[ReturnDate].&amp;["&amp;$A46&amp;"]")</f>
        <v>6</v>
      </c>
      <c r="AE46" s="20" t="b">
        <f t="shared" si="14"/>
        <v>1</v>
      </c>
      <c r="AF46" s="20" t="b">
        <f t="shared" si="15"/>
        <v>1</v>
      </c>
      <c r="AG46" s="20" t="b">
        <f t="shared" si="16"/>
        <v>1</v>
      </c>
      <c r="AI46" s="7">
        <f t="shared" si="39"/>
        <v>5.8064103588896373E-3</v>
      </c>
      <c r="AJ46" s="7">
        <f t="shared" si="40"/>
        <v>7.9149397390620079E-4</v>
      </c>
      <c r="AK46" s="7">
        <f t="shared" si="41"/>
        <v>4.097637584249749E-4</v>
      </c>
      <c r="AL46" s="7">
        <f t="shared" si="17"/>
        <v>7.0076680912208129E-3</v>
      </c>
      <c r="AM46" s="7">
        <f t="shared" si="42"/>
        <v>-5.5062965374069532E-5</v>
      </c>
      <c r="AN46" s="7">
        <f t="shared" si="18"/>
        <v>6.9526051258467433E-3</v>
      </c>
      <c r="AO46" s="7">
        <f t="shared" si="19"/>
        <v>1.4980890309329361E-3</v>
      </c>
      <c r="AP46" s="7">
        <f t="shared" si="43"/>
        <v>8.4506941567796794E-3</v>
      </c>
      <c r="AQ46" s="7">
        <f t="shared" si="44"/>
        <v>6.5979043327958386E-3</v>
      </c>
      <c r="AS46" s="7">
        <f t="shared" si="20"/>
        <v>5.8064103588896373E-3</v>
      </c>
      <c r="AT46" s="7">
        <f t="shared" si="21"/>
        <v>7.9149397390620079E-4</v>
      </c>
      <c r="AU46" s="7">
        <f t="shared" si="22"/>
        <v>6.5979043327958377E-3</v>
      </c>
      <c r="AV46" s="7">
        <f t="shared" si="23"/>
        <v>4.097637584249749E-4</v>
      </c>
      <c r="AW46" s="7">
        <f t="shared" si="24"/>
        <v>7.0076680912208129E-3</v>
      </c>
      <c r="AX46" s="7">
        <f t="shared" si="25"/>
        <v>-5.5062965374069532E-5</v>
      </c>
      <c r="AY46" s="7">
        <f t="shared" si="26"/>
        <v>6.9526051258467433E-3</v>
      </c>
      <c r="AZ46" s="7">
        <f t="shared" si="27"/>
        <v>1.4980890309329361E-3</v>
      </c>
      <c r="BA46" s="7">
        <f t="shared" si="28"/>
        <v>8.4506941567796794E-3</v>
      </c>
      <c r="BB46" s="7">
        <f t="shared" si="29"/>
        <v>6.5979043327958386E-3</v>
      </c>
      <c r="BD46">
        <f t="shared" si="30"/>
        <v>1</v>
      </c>
      <c r="BE46">
        <f t="shared" si="34"/>
        <v>1</v>
      </c>
      <c r="BF46" s="7" cm="1">
        <f t="array" ref="BF46">IF(ISNA($BA46),NA(),IF($BE46=0,"***",PRODUCT(1+AS44:AS46)-1))</f>
        <v>1.7690103095814536E-2</v>
      </c>
      <c r="BG46" s="7" cm="1">
        <f t="array" ref="BG46">IF(ISNA($BA46),NA(),IF($BE46=0,"***",PRODUCT(1+AT44:AT46)-1))</f>
        <v>2.4063075179430182E-3</v>
      </c>
      <c r="BH46" s="7" cm="1">
        <f t="array" ref="BH46">IF(ISNA($BA46),NA(),IF($BE46=0,"***",PRODUCT(1+AU44:AU46)-1))</f>
        <v>2.0124693730362075E-2</v>
      </c>
      <c r="BI46" s="7" cm="1">
        <f t="array" ref="BI46">IF(ISNA($BA46),NA(),IF($BE46=0,"***",PRODUCT(1+AV44:AV46)-1))</f>
        <v>8.506048726935056E-4</v>
      </c>
      <c r="BJ46" s="7" cm="1">
        <f t="array" ref="BJ46">IF(ISNA($BA46),NA(),IF($BE46=0,"***",PRODUCT(1+AW44:AW46)-1))</f>
        <v>2.098673583173305E-2</v>
      </c>
      <c r="BK46" s="7" cm="1">
        <f t="array" ref="BK46">IF(ISNA($BA46),NA(),IF($BE46=0,"***",PRODUCT(1+AX44:AX46)-1))</f>
        <v>-5.6060561163473466E-5</v>
      </c>
      <c r="BL46" s="7" cm="1">
        <f t="array" ref="BL46">IF(ISNA($BA46),NA(),IF($BE46=0,"***",PRODUCT(1+AY44:AY46)-1))</f>
        <v>2.0929897115559593E-2</v>
      </c>
      <c r="BM46" s="7" cm="1">
        <f t="array" ref="BM46">IF(ISNA($BA46),NA(),IF($BE46=0,"***",PRODUCT(1+AZ44:AZ46)-1))</f>
        <v>1.1254045817503444E-2</v>
      </c>
      <c r="BN46" s="7" cm="1">
        <f t="array" ref="BN46">IF(ISNA($BA46),NA(),IF($BE46=0,"***",PRODUCT(1+BA44:BA46)-1))</f>
        <v>3.2341589855109376E-2</v>
      </c>
      <c r="BO46" s="7">
        <f t="shared" si="35"/>
        <v>1.5764692204633945E-4</v>
      </c>
      <c r="BP46" s="7">
        <f t="shared" si="36"/>
        <v>1.9991193919845229E-2</v>
      </c>
    </row>
    <row r="47" spans="1:68" x14ac:dyDescent="0.25">
      <c r="A47" t="str">
        <f t="shared" si="31"/>
        <v>20150131</v>
      </c>
      <c r="B47">
        <f t="shared" si="32"/>
        <v>42035</v>
      </c>
      <c r="C47">
        <v>2015</v>
      </c>
      <c r="D47">
        <v>1</v>
      </c>
      <c r="F47" s="20">
        <f>IFERROR(GETPIVOTDATA("[Measures].[Sum of CashInterest]",'Results PT'!$B$8,"[Table2].[ReturnDate]","[Table2].[ReturnDate].&amp;["&amp;$A47&amp;"]"),NA())</f>
        <v>14942644.040000001</v>
      </c>
      <c r="G47" s="20">
        <f>IFERROR(GETPIVOTDATA("[Measures].[Sum of AccrInterest]",'Results PT'!$B$8,"[Table2].[ReturnDate]","[Table2].[ReturnDate].&amp;["&amp;$A47&amp;"]"),NA())</f>
        <v>1923311.13</v>
      </c>
      <c r="H47" s="20">
        <f>IFERROR(GETPIVOTDATA("[Measures].[Sum of OtherIncome]",'Results PT'!$B$8,"[Table2].[ReturnDate]","[Table2].[ReturnDate].&amp;["&amp;$A47&amp;"]"),NA())</f>
        <v>78952.740000000005</v>
      </c>
      <c r="I47" s="20">
        <f>IFERROR(GETPIVOTDATA("[Measures].[Sum of Expenses]",'Results PT'!$B$8,"[Table2].[ReturnDate]","[Table2].[ReturnDate].&amp;["&amp;$A47&amp;"]"),NA())</f>
        <v>-161.46</v>
      </c>
      <c r="J47" s="20">
        <f>IFERROR(GETPIVOTDATA("[Measures].[Sum of PrincipalFunded]",'Results PT'!$B$8,"[Table2].[ReturnDate]","[Table2].[ReturnDate].&amp;["&amp;$A47&amp;"]"),NA())</f>
        <v>-17419229.009999998</v>
      </c>
      <c r="K47" s="20">
        <f>IFERROR(GETPIVOTDATA("[Measures].[Sum of PrincipalRepaid]",'Results PT'!$B$8,"[Table2].[ReturnDate]","[Table2].[ReturnDate].&amp;["&amp;$A47&amp;"]"),NA())</f>
        <v>66670697.010000005</v>
      </c>
      <c r="L47" s="20"/>
      <c r="M47" s="20">
        <f>IFERROR(GETPIVOTDATA("[Measures].[Sum of StartValue]",'Results PT'!$B$8,"[Table2].[ReturnDate]","[Table2].[ReturnDate].&amp;["&amp;$A47&amp;"]"),NA())</f>
        <v>2514476523.1600003</v>
      </c>
      <c r="N47" s="20">
        <f>IFERROR(GETPIVOTDATA("[Measures].[Sum of EndValue]",'Results PT'!$B$8,"[Table2].[ReturnDate]","[Table2].[ReturnDate].&amp;["&amp;$A47&amp;"]"),NA())</f>
        <v>2468319537.4700003</v>
      </c>
      <c r="O47" s="20">
        <f>IFERROR(GETPIVOTDATA("[Measures].[Sum of StartPrincipal]",'Results PT'!$B$8,"[Table2].[ReturnDate]","[Table2].[ReturnDate].&amp;["&amp;$A47&amp;"]"),NA())</f>
        <v>2497254586.3200006</v>
      </c>
      <c r="P47" s="20">
        <f>IFERROR(GETPIVOTDATA("[Measures].[Sum of EndPrincipal]",'Results PT'!$B$8,"[Table2].[ReturnDate]","[Table2].[ReturnDate].&amp;["&amp;$A47&amp;"]"),NA())</f>
        <v>2449926429.3900003</v>
      </c>
      <c r="Q47" s="20">
        <f>IFERROR(GETPIVOTDATA("[Measures].[Sum of StartNAV]",'Results PT'!$B$8,"[Table2].[ReturnDate]","[Table2].[ReturnDate].&amp;["&amp;$A47&amp;"]"),NA())</f>
        <v>2507995972.6600003</v>
      </c>
      <c r="R47" s="20">
        <f>IFERROR(GETPIVOTDATA("[Measures].[Sum of EndNAV]",'Results PT'!$B$8,"[Table2].[ReturnDate]","[Table2].[ReturnDate].&amp;["&amp;$A47&amp;"]"),NA())</f>
        <v>2461838986.9700003</v>
      </c>
      <c r="S47" s="20"/>
      <c r="T47" s="1">
        <f t="shared" si="45"/>
        <v>0</v>
      </c>
      <c r="U47" s="1">
        <f t="shared" si="46"/>
        <v>0</v>
      </c>
      <c r="V47">
        <f t="shared" si="11"/>
        <v>4</v>
      </c>
      <c r="W47" s="20">
        <f t="shared" si="37"/>
        <v>64272903.320000008</v>
      </c>
      <c r="X47" s="20">
        <f t="shared" si="12"/>
        <v>18115917.630000114</v>
      </c>
      <c r="Y47" s="20">
        <f t="shared" si="38"/>
        <v>2475859521.0000005</v>
      </c>
      <c r="Z47" s="3">
        <f t="shared" si="13"/>
        <v>7.3170216146524704E-3</v>
      </c>
      <c r="AA47" s="20"/>
      <c r="AC47" s="20">
        <f>IFERROR(GETPIVOTDATA("[Measures].[Distinct Count of LoanID]",'Count PT'!$B$3,"[Table2].[ReturnDate]","[Table2].[ReturnDate].&amp;["&amp;$A47&amp;"]"),NA())</f>
        <v>79</v>
      </c>
      <c r="AD47" s="20">
        <f>GETPIVOTDATA("[Measures].[Distinct Count of ManagerCode 2]",'Count PT'!$B$3,"[Table2].[ReturnDate]","[Table2].[ReturnDate].&amp;["&amp;$A47&amp;"]")</f>
        <v>6</v>
      </c>
      <c r="AE47" s="20" t="b">
        <f t="shared" si="14"/>
        <v>1</v>
      </c>
      <c r="AF47" s="20" t="b">
        <f t="shared" si="15"/>
        <v>1</v>
      </c>
      <c r="AG47" s="20" t="b">
        <f t="shared" si="16"/>
        <v>1</v>
      </c>
      <c r="AI47" s="7">
        <f t="shared" si="39"/>
        <v>6.0353359765600361E-3</v>
      </c>
      <c r="AJ47" s="7">
        <f t="shared" si="40"/>
        <v>7.7682562911452011E-4</v>
      </c>
      <c r="AK47" s="7">
        <f t="shared" si="41"/>
        <v>3.1889022511305881E-5</v>
      </c>
      <c r="AL47" s="7">
        <f t="shared" si="17"/>
        <v>6.8440506281858618E-3</v>
      </c>
      <c r="AM47" s="7">
        <f t="shared" si="42"/>
        <v>-6.52137161379763E-8</v>
      </c>
      <c r="AN47" s="7">
        <f t="shared" si="18"/>
        <v>6.8439854144697236E-3</v>
      </c>
      <c r="AO47" s="7">
        <f t="shared" si="19"/>
        <v>4.7303620018274671E-4</v>
      </c>
      <c r="AP47" s="7">
        <f t="shared" si="43"/>
        <v>7.3170216146524704E-3</v>
      </c>
      <c r="AQ47" s="7">
        <f t="shared" si="44"/>
        <v>6.8121616056745563E-3</v>
      </c>
      <c r="AS47" s="7">
        <f t="shared" si="20"/>
        <v>6.0353359765600361E-3</v>
      </c>
      <c r="AT47" s="7">
        <f t="shared" si="21"/>
        <v>7.7682562911452011E-4</v>
      </c>
      <c r="AU47" s="7">
        <f t="shared" si="22"/>
        <v>6.8121616056745563E-3</v>
      </c>
      <c r="AV47" s="7">
        <f t="shared" si="23"/>
        <v>3.1889022511305881E-5</v>
      </c>
      <c r="AW47" s="7">
        <f t="shared" si="24"/>
        <v>6.8440506281858618E-3</v>
      </c>
      <c r="AX47" s="7">
        <f t="shared" si="25"/>
        <v>-6.52137161379763E-8</v>
      </c>
      <c r="AY47" s="7">
        <f t="shared" si="26"/>
        <v>6.8439854144697236E-3</v>
      </c>
      <c r="AZ47" s="7">
        <f t="shared" si="27"/>
        <v>4.7303620018274671E-4</v>
      </c>
      <c r="BA47" s="7">
        <f t="shared" si="28"/>
        <v>7.3170216146524704E-3</v>
      </c>
      <c r="BB47" s="7">
        <f t="shared" si="29"/>
        <v>6.8121616056745563E-3</v>
      </c>
      <c r="BD47">
        <f t="shared" si="30"/>
        <v>1</v>
      </c>
      <c r="BE47">
        <f t="shared" si="34"/>
        <v>1</v>
      </c>
      <c r="BF47" s="7" cm="1">
        <f t="array" ref="BF47">IF(ISNA($BA47),NA(),IF($BE47=0,"***",PRODUCT(1+AS45:AS47)-1))</f>
        <v>1.7743690583163385E-2</v>
      </c>
      <c r="BG47" s="7" cm="1">
        <f t="array" ref="BG47">IF(ISNA($BA47),NA(),IF($BE47=0,"***",PRODUCT(1+AT45:AT47)-1))</f>
        <v>2.3754753740985457E-3</v>
      </c>
      <c r="BH47" s="7" cm="1">
        <f t="array" ref="BH47">IF(ISNA($BA47),NA(),IF($BE47=0,"***",PRODUCT(1+AU45:AU47)-1))</f>
        <v>2.0147175640041981E-2</v>
      </c>
      <c r="BI47" s="7" cm="1">
        <f t="array" ref="BI47">IF(ISNA($BA47),NA(),IF($BE47=0,"***",PRODUCT(1+AV45:AV47)-1))</f>
        <v>9.3637230907028801E-4</v>
      </c>
      <c r="BJ47" s="7" cm="1">
        <f t="array" ref="BJ47">IF(ISNA($BA47),NA(),IF($BE47=0,"***",PRODUCT(1+AW45:AW47)-1))</f>
        <v>2.1096140834752974E-2</v>
      </c>
      <c r="BK47" s="7" cm="1">
        <f t="array" ref="BK47">IF(ISNA($BA47),NA(),IF($BE47=0,"***",PRODUCT(1+AX45:AX47)-1))</f>
        <v>-5.6059101518068921E-5</v>
      </c>
      <c r="BL47" s="7" cm="1">
        <f t="array" ref="BL47">IF(ISNA($BA47),NA(),IF($BE47=0,"***",PRODUCT(1+AY45:AY47)-1))</f>
        <v>2.1039297515514477E-2</v>
      </c>
      <c r="BM47" s="7" cm="1">
        <f t="array" ref="BM47">IF(ISNA($BA47),NA(),IF($BE47=0,"***",PRODUCT(1+AZ45:AZ47)-1))</f>
        <v>3.3751338178287238E-3</v>
      </c>
      <c r="BN47" s="7" cm="1">
        <f t="array" ref="BN47">IF(ISNA($BA47),NA(),IF($BE47=0,"***",PRODUCT(1+BA45:BA47)-1))</f>
        <v>2.4461471287360759E-2</v>
      </c>
      <c r="BO47" s="7">
        <f t="shared" si="35"/>
        <v>4.7039954017558117E-5</v>
      </c>
      <c r="BP47" s="7">
        <f t="shared" si="36"/>
        <v>2.0013381953711658E-2</v>
      </c>
    </row>
    <row r="48" spans="1:68" x14ac:dyDescent="0.25">
      <c r="A48" t="str">
        <f t="shared" si="31"/>
        <v>20150228</v>
      </c>
      <c r="B48">
        <f t="shared" si="32"/>
        <v>42063</v>
      </c>
      <c r="C48">
        <v>2015</v>
      </c>
      <c r="D48">
        <v>2</v>
      </c>
      <c r="F48" s="20">
        <f>IFERROR(GETPIVOTDATA("[Measures].[Sum of CashInterest]",'Results PT'!$B$8,"[Table2].[ReturnDate]","[Table2].[ReturnDate].&amp;["&amp;$A48&amp;"]"),NA())</f>
        <v>15216581.980000002</v>
      </c>
      <c r="G48" s="20">
        <f>IFERROR(GETPIVOTDATA("[Measures].[Sum of AccrInterest]",'Results PT'!$B$8,"[Table2].[ReturnDate]","[Table2].[ReturnDate].&amp;["&amp;$A48&amp;"]"),NA())</f>
        <v>1683764.6800000002</v>
      </c>
      <c r="H48" s="20">
        <f>IFERROR(GETPIVOTDATA("[Measures].[Sum of OtherIncome]",'Results PT'!$B$8,"[Table2].[ReturnDate]","[Table2].[ReturnDate].&amp;["&amp;$A48&amp;"]"),NA())</f>
        <v>551810</v>
      </c>
      <c r="I48" s="20">
        <f>IFERROR(GETPIVOTDATA("[Measures].[Sum of Expenses]",'Results PT'!$B$8,"[Table2].[ReturnDate]","[Table2].[ReturnDate].&amp;["&amp;$A48&amp;"]"),NA())</f>
        <v>-1404.66</v>
      </c>
      <c r="J48" s="20">
        <f>IFERROR(GETPIVOTDATA("[Measures].[Sum of PrincipalFunded]",'Results PT'!$B$8,"[Table2].[ReturnDate]","[Table2].[ReturnDate].&amp;["&amp;$A48&amp;"]"),NA())</f>
        <v>-535654137.17000008</v>
      </c>
      <c r="K48" s="20">
        <f>IFERROR(GETPIVOTDATA("[Measures].[Sum of PrincipalRepaid]",'Results PT'!$B$8,"[Table2].[ReturnDate]","[Table2].[ReturnDate].&amp;["&amp;$A48&amp;"]"),NA())</f>
        <v>94319027.850000009</v>
      </c>
      <c r="L48" s="20"/>
      <c r="M48" s="20">
        <f>IFERROR(GETPIVOTDATA("[Measures].[Sum of StartValue]",'Results PT'!$B$8,"[Table2].[ReturnDate]","[Table2].[ReturnDate].&amp;["&amp;$A48&amp;"]"),NA())</f>
        <v>2468319537.4700003</v>
      </c>
      <c r="N48" s="20">
        <f>IFERROR(GETPIVOTDATA("[Measures].[Sum of EndValue]",'Results PT'!$B$8,"[Table2].[ReturnDate]","[Table2].[ReturnDate].&amp;["&amp;$A48&amp;"]"),NA())</f>
        <v>2910557395.29</v>
      </c>
      <c r="O48" s="20">
        <f>IFERROR(GETPIVOTDATA("[Measures].[Sum of StartPrincipal]",'Results PT'!$B$8,"[Table2].[ReturnDate]","[Table2].[ReturnDate].&amp;["&amp;$A48&amp;"]"),NA())</f>
        <v>2449926429.3900003</v>
      </c>
      <c r="P48" s="20">
        <f>IFERROR(GETPIVOTDATA("[Measures].[Sum of EndPrincipal]",'Results PT'!$B$8,"[Table2].[ReturnDate]","[Table2].[ReturnDate].&amp;["&amp;$A48&amp;"]"),NA())</f>
        <v>2892013882.52</v>
      </c>
      <c r="Q48" s="20">
        <f>IFERROR(GETPIVOTDATA("[Measures].[Sum of StartNAV]",'Results PT'!$B$8,"[Table2].[ReturnDate]","[Table2].[ReturnDate].&amp;["&amp;$A48&amp;"]"),NA())</f>
        <v>2461838986.9700003</v>
      </c>
      <c r="R48" s="20">
        <f>IFERROR(GETPIVOTDATA("[Measures].[Sum of EndNAV]",'Results PT'!$B$8,"[Table2].[ReturnDate]","[Table2].[ReturnDate].&amp;["&amp;$A48&amp;"]"),NA())</f>
        <v>2904076844.79</v>
      </c>
      <c r="S48" s="20"/>
      <c r="T48" s="1">
        <f t="shared" si="45"/>
        <v>0</v>
      </c>
      <c r="U48" s="1">
        <f t="shared" si="46"/>
        <v>0</v>
      </c>
      <c r="V48">
        <f t="shared" si="11"/>
        <v>4</v>
      </c>
      <c r="W48" s="20">
        <f t="shared" si="37"/>
        <v>-425568122.00000006</v>
      </c>
      <c r="X48" s="20">
        <f t="shared" si="12"/>
        <v>16669735.819999695</v>
      </c>
      <c r="Y48" s="20">
        <f t="shared" si="38"/>
        <v>2674623047.9700003</v>
      </c>
      <c r="Z48" s="3">
        <f t="shared" si="13"/>
        <v>6.2325552128371063E-3</v>
      </c>
      <c r="AA48" s="20"/>
      <c r="AC48" s="20">
        <f>IFERROR(GETPIVOTDATA("[Measures].[Distinct Count of LoanID]",'Count PT'!$B$3,"[Table2].[ReturnDate]","[Table2].[ReturnDate].&amp;["&amp;$A48&amp;"]"),NA())</f>
        <v>80</v>
      </c>
      <c r="AD48" s="20">
        <f>GETPIVOTDATA("[Measures].[Distinct Count of ManagerCode 2]",'Count PT'!$B$3,"[Table2].[ReturnDate]","[Table2].[ReturnDate].&amp;["&amp;$A48&amp;"]")</f>
        <v>6</v>
      </c>
      <c r="AE48" s="20" t="b">
        <f t="shared" si="14"/>
        <v>1</v>
      </c>
      <c r="AF48" s="20" t="b">
        <f t="shared" si="15"/>
        <v>1</v>
      </c>
      <c r="AG48" s="20" t="b">
        <f t="shared" si="16"/>
        <v>1</v>
      </c>
      <c r="AI48" s="7">
        <f t="shared" si="39"/>
        <v>5.689243570808666E-3</v>
      </c>
      <c r="AJ48" s="7">
        <f t="shared" si="40"/>
        <v>6.2953345192996561E-4</v>
      </c>
      <c r="AK48" s="7">
        <f t="shared" si="41"/>
        <v>2.0631318511175461E-4</v>
      </c>
      <c r="AL48" s="7">
        <f t="shared" si="17"/>
        <v>6.5250902078503861E-3</v>
      </c>
      <c r="AM48" s="7">
        <f t="shared" si="42"/>
        <v>-5.2518054873793015E-7</v>
      </c>
      <c r="AN48" s="7">
        <f t="shared" si="18"/>
        <v>6.5245650273016483E-3</v>
      </c>
      <c r="AO48" s="7">
        <f t="shared" si="19"/>
        <v>-2.9200981446454201E-4</v>
      </c>
      <c r="AP48" s="7">
        <f t="shared" si="43"/>
        <v>6.2325552128371063E-3</v>
      </c>
      <c r="AQ48" s="7">
        <f t="shared" si="44"/>
        <v>6.3187770227386324E-3</v>
      </c>
      <c r="AS48" s="7">
        <f t="shared" si="20"/>
        <v>5.689243570808666E-3</v>
      </c>
      <c r="AT48" s="7">
        <f t="shared" si="21"/>
        <v>6.2953345192996561E-4</v>
      </c>
      <c r="AU48" s="7">
        <f t="shared" si="22"/>
        <v>6.3187770227386315E-3</v>
      </c>
      <c r="AV48" s="7">
        <f t="shared" si="23"/>
        <v>2.0631318511175461E-4</v>
      </c>
      <c r="AW48" s="7">
        <f t="shared" si="24"/>
        <v>6.5250902078503861E-3</v>
      </c>
      <c r="AX48" s="7">
        <f t="shared" si="25"/>
        <v>-5.2518054873793015E-7</v>
      </c>
      <c r="AY48" s="7">
        <f t="shared" si="26"/>
        <v>6.5245650273016483E-3</v>
      </c>
      <c r="AZ48" s="7">
        <f t="shared" si="27"/>
        <v>-2.9200981446454201E-4</v>
      </c>
      <c r="BA48" s="7">
        <f t="shared" si="28"/>
        <v>6.2325552128371063E-3</v>
      </c>
      <c r="BB48" s="7">
        <f t="shared" si="29"/>
        <v>6.3187770227386324E-3</v>
      </c>
      <c r="BD48">
        <f t="shared" si="30"/>
        <v>1</v>
      </c>
      <c r="BE48">
        <f t="shared" si="34"/>
        <v>1</v>
      </c>
      <c r="BF48" s="7" cm="1">
        <f t="array" ref="BF48">IF(ISNA($BA48),NA(),IF($BE48=0,"***",PRODUCT(1+AS46:AS48)-1))</f>
        <v>1.7633603494586758E-2</v>
      </c>
      <c r="BG48" s="7" cm="1">
        <f t="array" ref="BG48">IF(ISNA($BA48),NA(),IF($BE48=0,"***",PRODUCT(1+AT46:AT48)-1))</f>
        <v>2.1994556044786506E-3</v>
      </c>
      <c r="BH48" s="7" cm="1">
        <f t="array" ref="BH48">IF(ISNA($BA48),NA(),IF($BE48=0,"***",PRODUCT(1+AU46:AU48)-1))</f>
        <v>1.985880817200103E-2</v>
      </c>
      <c r="BI48" s="7" cm="1">
        <f t="array" ref="BI48">IF(ISNA($BA48),NA(),IF($BE48=0,"***",PRODUCT(1+AV46:AV48)-1))</f>
        <v>6.4807015450174532E-4</v>
      </c>
      <c r="BJ48" s="7" cm="1">
        <f t="array" ref="BJ48">IF(ISNA($BA48),NA(),IF($BE48=0,"***",PRODUCT(1+AW46:AW48)-1))</f>
        <v>2.051546642541302E-2</v>
      </c>
      <c r="BK48" s="7" cm="1">
        <f t="array" ref="BK48">IF(ISNA($BA48),NA(),IF($BE48=0,"***",PRODUCT(1+AX46:AX48)-1))</f>
        <v>-5.5653327095672722E-5</v>
      </c>
      <c r="BL48" s="7" cm="1">
        <f t="array" ref="BL48">IF(ISNA($BA48),NA(),IF($BE48=0,"***",PRODUCT(1+AY46:AY48)-1))</f>
        <v>2.0459066309650442E-2</v>
      </c>
      <c r="BM48" s="7" cm="1">
        <f t="array" ref="BM48">IF(ISNA($BA48),NA(),IF($BE48=0,"***",PRODUCT(1+AZ46:AZ48)-1))</f>
        <v>1.6792482721479374E-3</v>
      </c>
      <c r="BN48" s="7" cm="1">
        <f t="array" ref="BN48">IF(ISNA($BA48),NA(),IF($BE48=0,"***",PRODUCT(1+BA46:BA48)-1))</f>
        <v>2.21607634384684E-2</v>
      </c>
      <c r="BO48" s="7">
        <f t="shared" si="35"/>
        <v>2.2448856670020945E-5</v>
      </c>
      <c r="BP48" s="7">
        <f t="shared" si="36"/>
        <v>1.9728842961209025E-2</v>
      </c>
    </row>
    <row r="49" spans="1:68" x14ac:dyDescent="0.25">
      <c r="A49" t="str">
        <f t="shared" si="31"/>
        <v>20150331</v>
      </c>
      <c r="B49">
        <f t="shared" si="32"/>
        <v>42094</v>
      </c>
      <c r="C49">
        <v>2015</v>
      </c>
      <c r="D49">
        <v>3</v>
      </c>
      <c r="F49" s="20">
        <f>IFERROR(GETPIVOTDATA("[Measures].[Sum of CashInterest]",'Results PT'!$B$8,"[Table2].[ReturnDate]","[Table2].[ReturnDate].&amp;["&amp;$A49&amp;"]"),NA())</f>
        <v>14756893.640000004</v>
      </c>
      <c r="G49" s="20">
        <f>IFERROR(GETPIVOTDATA("[Measures].[Sum of AccrInterest]",'Results PT'!$B$8,"[Table2].[ReturnDate]","[Table2].[ReturnDate].&amp;["&amp;$A49&amp;"]"),NA())</f>
        <v>1874668.8699999999</v>
      </c>
      <c r="H49" s="20">
        <f>IFERROR(GETPIVOTDATA("[Measures].[Sum of OtherIncome]",'Results PT'!$B$8,"[Table2].[ReturnDate]","[Table2].[ReturnDate].&amp;["&amp;$A49&amp;"]"),NA())</f>
        <v>6761</v>
      </c>
      <c r="I49" s="20">
        <f>IFERROR(GETPIVOTDATA("[Measures].[Sum of Expenses]",'Results PT'!$B$8,"[Table2].[ReturnDate]","[Table2].[ReturnDate].&amp;["&amp;$A49&amp;"]"),NA())</f>
        <v>-145.83000000000001</v>
      </c>
      <c r="J49" s="20">
        <f>IFERROR(GETPIVOTDATA("[Measures].[Sum of PrincipalFunded]",'Results PT'!$B$8,"[Table2].[ReturnDate]","[Table2].[ReturnDate].&amp;["&amp;$A49&amp;"]"),NA())</f>
        <v>-16841264.300000001</v>
      </c>
      <c r="K49" s="20">
        <f>IFERROR(GETPIVOTDATA("[Measures].[Sum of PrincipalRepaid]",'Results PT'!$B$8,"[Table2].[ReturnDate]","[Table2].[ReturnDate].&amp;["&amp;$A49&amp;"]"),NA())</f>
        <v>108492847.12000002</v>
      </c>
      <c r="L49" s="20"/>
      <c r="M49" s="20">
        <f>IFERROR(GETPIVOTDATA("[Measures].[Sum of StartValue]",'Results PT'!$B$8,"[Table2].[ReturnDate]","[Table2].[ReturnDate].&amp;["&amp;$A49&amp;"]"),NA())</f>
        <v>2910557395.29</v>
      </c>
      <c r="N49" s="20">
        <f>IFERROR(GETPIVOTDATA("[Measures].[Sum of EndValue]",'Results PT'!$B$8,"[Table2].[ReturnDate]","[Table2].[ReturnDate].&amp;["&amp;$A49&amp;"]"),NA())</f>
        <v>2805477608.1299992</v>
      </c>
      <c r="O49" s="20">
        <f>IFERROR(GETPIVOTDATA("[Measures].[Sum of StartPrincipal]",'Results PT'!$B$8,"[Table2].[ReturnDate]","[Table2].[ReturnDate].&amp;["&amp;$A49&amp;"]"),NA())</f>
        <v>2892013882.52</v>
      </c>
      <c r="P49" s="20">
        <f>IFERROR(GETPIVOTDATA("[Measures].[Sum of EndPrincipal]",'Results PT'!$B$8,"[Table2].[ReturnDate]","[Table2].[ReturnDate].&amp;["&amp;$A49&amp;"]"),NA())</f>
        <v>2802236968.5</v>
      </c>
      <c r="Q49" s="20">
        <f>IFERROR(GETPIVOTDATA("[Measures].[Sum of StartNAV]",'Results PT'!$B$8,"[Table2].[ReturnDate]","[Table2].[ReturnDate].&amp;["&amp;$A49&amp;"]"),NA())</f>
        <v>2904076844.79</v>
      </c>
      <c r="R49" s="20">
        <f>IFERROR(GETPIVOTDATA("[Measures].[Sum of EndNAV]",'Results PT'!$B$8,"[Table2].[ReturnDate]","[Table2].[ReturnDate].&amp;["&amp;$A49&amp;"]"),NA())</f>
        <v>2798997057.6299992</v>
      </c>
      <c r="S49" s="20"/>
      <c r="T49" s="1">
        <f t="shared" si="45"/>
        <v>0</v>
      </c>
      <c r="U49" s="1">
        <f t="shared" si="46"/>
        <v>0</v>
      </c>
      <c r="V49">
        <f t="shared" si="11"/>
        <v>4</v>
      </c>
      <c r="W49" s="20">
        <f t="shared" si="37"/>
        <v>106415091.63000003</v>
      </c>
      <c r="X49" s="20">
        <f t="shared" si="12"/>
        <v>1335304.4699993134</v>
      </c>
      <c r="Y49" s="20">
        <f t="shared" si="38"/>
        <v>2850869298.9749999</v>
      </c>
      <c r="Z49" s="3">
        <f t="shared" si="13"/>
        <v>4.6838501873074578E-4</v>
      </c>
      <c r="AA49" s="20"/>
      <c r="AC49" s="20">
        <f>IFERROR(GETPIVOTDATA("[Measures].[Distinct Count of LoanID]",'Count PT'!$B$3,"[Table2].[ReturnDate]","[Table2].[ReturnDate].&amp;["&amp;$A49&amp;"]"),NA())</f>
        <v>76</v>
      </c>
      <c r="AD49" s="20">
        <f>GETPIVOTDATA("[Measures].[Distinct Count of ManagerCode 2]",'Count PT'!$B$3,"[Table2].[ReturnDate]","[Table2].[ReturnDate].&amp;["&amp;$A49&amp;"]")</f>
        <v>6</v>
      </c>
      <c r="AE49" s="20" t="b">
        <f t="shared" si="14"/>
        <v>1</v>
      </c>
      <c r="AF49" s="20" t="b">
        <f t="shared" si="15"/>
        <v>1</v>
      </c>
      <c r="AG49" s="20" t="b">
        <f t="shared" si="16"/>
        <v>1</v>
      </c>
      <c r="AI49" s="7">
        <f t="shared" si="39"/>
        <v>5.1762785636316928E-3</v>
      </c>
      <c r="AJ49" s="7">
        <f t="shared" si="40"/>
        <v>6.575779782938549E-4</v>
      </c>
      <c r="AK49" s="7">
        <f t="shared" si="41"/>
        <v>2.3715573360135615E-6</v>
      </c>
      <c r="AL49" s="7">
        <f t="shared" si="17"/>
        <v>5.8362280992615614E-3</v>
      </c>
      <c r="AM49" s="7">
        <f t="shared" si="42"/>
        <v>-5.1152818563948776E-8</v>
      </c>
      <c r="AN49" s="7">
        <f t="shared" si="18"/>
        <v>5.8361769464429971E-3</v>
      </c>
      <c r="AO49" s="7">
        <f t="shared" si="19"/>
        <v>-5.367791927712251E-3</v>
      </c>
      <c r="AP49" s="7">
        <f t="shared" si="43"/>
        <v>4.6838501873074578E-4</v>
      </c>
      <c r="AQ49" s="7">
        <f t="shared" si="44"/>
        <v>5.833856541925548E-3</v>
      </c>
      <c r="AS49" s="7">
        <f t="shared" si="20"/>
        <v>5.1762785636316928E-3</v>
      </c>
      <c r="AT49" s="7">
        <f t="shared" si="21"/>
        <v>6.575779782938549E-4</v>
      </c>
      <c r="AU49" s="7">
        <f t="shared" si="22"/>
        <v>5.833856541925548E-3</v>
      </c>
      <c r="AV49" s="7">
        <f t="shared" si="23"/>
        <v>2.3715573360135615E-6</v>
      </c>
      <c r="AW49" s="7">
        <f t="shared" si="24"/>
        <v>5.8362280992615614E-3</v>
      </c>
      <c r="AX49" s="7">
        <f t="shared" si="25"/>
        <v>-5.1152818563948776E-8</v>
      </c>
      <c r="AY49" s="7">
        <f t="shared" si="26"/>
        <v>5.8361769464429971E-3</v>
      </c>
      <c r="AZ49" s="7">
        <f t="shared" si="27"/>
        <v>-5.367791927712251E-3</v>
      </c>
      <c r="BA49" s="7">
        <f t="shared" si="28"/>
        <v>4.6838501873074578E-4</v>
      </c>
      <c r="BB49" s="7">
        <f t="shared" si="29"/>
        <v>5.833856541925548E-3</v>
      </c>
      <c r="BD49">
        <f t="shared" si="30"/>
        <v>1</v>
      </c>
      <c r="BE49">
        <f t="shared" si="34"/>
        <v>1</v>
      </c>
      <c r="BF49" s="7" cm="1">
        <f t="array" ref="BF49">IF(ISNA($BA49),NA(),IF($BE49=0,"***",PRODUCT(1+AS47:AS49)-1))</f>
        <v>1.6996062032451853E-2</v>
      </c>
      <c r="BG49" s="7" cm="1">
        <f t="array" ref="BG49">IF(ISNA($BA49),NA(),IF($BE49=0,"***",PRODUCT(1+AT47:AT49)-1))</f>
        <v>2.0653512093997684E-3</v>
      </c>
      <c r="BH49" s="7" cm="1">
        <f t="array" ref="BH49">IF(ISNA($BA49),NA(),IF($BE49=0,"***",PRODUCT(1+AU47:AU49)-1))</f>
        <v>1.9084694828401139E-2</v>
      </c>
      <c r="BI49" s="7" cm="1">
        <f t="array" ref="BI49">IF(ISNA($BA49),NA(),IF($BE49=0,"***",PRODUCT(1+AV47:AV49)-1))</f>
        <v>2.4058090901091234E-4</v>
      </c>
      <c r="BJ49" s="7" cm="1">
        <f t="array" ref="BJ49">IF(ISNA($BA49),NA(),IF($BE49=0,"***",PRODUCT(1+AW47:AW49)-1))</f>
        <v>1.9328312972997308E-2</v>
      </c>
      <c r="BK49" s="7" cm="1">
        <f t="array" ref="BK49">IF(ISNA($BA49),NA(),IF($BE49=0,"***",PRODUCT(1+AX47:AX49)-1))</f>
        <v>-6.4154701895358102E-7</v>
      </c>
      <c r="BL49" s="7" cm="1">
        <f t="array" ref="BL49">IF(ISNA($BA49),NA(),IF($BE49=0,"***",PRODUCT(1+AY47:AY49)-1))</f>
        <v>1.9327663250800819E-2</v>
      </c>
      <c r="BM49" s="7" cm="1">
        <f t="array" ref="BM49">IF(ISNA($BA49),NA(),IF($BE49=0,"***",PRODUCT(1+AZ47:AZ49)-1))</f>
        <v>-5.1878746437193923E-3</v>
      </c>
      <c r="BN49" s="7" cm="1">
        <f t="array" ref="BN49">IF(ISNA($BA49),NA(),IF($BE49=0,"***",PRODUCT(1+BA47:BA49)-1))</f>
        <v>1.4069933366332554E-2</v>
      </c>
      <c r="BO49" s="7">
        <f t="shared" si="35"/>
        <v>-6.9855240748872838E-5</v>
      </c>
      <c r="BP49" s="7">
        <f t="shared" si="36"/>
        <v>1.8964795170338736E-2</v>
      </c>
    </row>
    <row r="50" spans="1:68" x14ac:dyDescent="0.25">
      <c r="A50" t="str">
        <f t="shared" si="31"/>
        <v>20150430</v>
      </c>
      <c r="B50">
        <f t="shared" si="32"/>
        <v>42124</v>
      </c>
      <c r="C50">
        <v>2015</v>
      </c>
      <c r="D50">
        <v>4</v>
      </c>
      <c r="F50" s="20">
        <f>IFERROR(GETPIVOTDATA("[Measures].[Sum of CashInterest]",'Results PT'!$B$8,"[Table2].[ReturnDate]","[Table2].[ReturnDate].&amp;["&amp;$A50&amp;"]"),NA())</f>
        <v>13026526.580000002</v>
      </c>
      <c r="G50" s="20">
        <f>IFERROR(GETPIVOTDATA("[Measures].[Sum of AccrInterest]",'Results PT'!$B$8,"[Table2].[ReturnDate]","[Table2].[ReturnDate].&amp;["&amp;$A50&amp;"]"),NA())</f>
        <v>1909840.9700000002</v>
      </c>
      <c r="H50" s="20">
        <f>IFERROR(GETPIVOTDATA("[Measures].[Sum of OtherIncome]",'Results PT'!$B$8,"[Table2].[ReturnDate]","[Table2].[ReturnDate].&amp;["&amp;$A50&amp;"]"),NA())</f>
        <v>208000</v>
      </c>
      <c r="I50" s="20">
        <f>IFERROR(GETPIVOTDATA("[Measures].[Sum of Expenses]",'Results PT'!$B$8,"[Table2].[ReturnDate]","[Table2].[ReturnDate].&amp;["&amp;$A50&amp;"]"),NA())</f>
        <v>0.01</v>
      </c>
      <c r="J50" s="20">
        <f>IFERROR(GETPIVOTDATA("[Measures].[Sum of PrincipalFunded]",'Results PT'!$B$8,"[Table2].[ReturnDate]","[Table2].[ReturnDate].&amp;["&amp;$A50&amp;"]"),NA())</f>
        <v>-37475420.659999996</v>
      </c>
      <c r="K50" s="20">
        <f>IFERROR(GETPIVOTDATA("[Measures].[Sum of PrincipalRepaid]",'Results PT'!$B$8,"[Table2].[ReturnDate]","[Table2].[ReturnDate].&amp;["&amp;$A50&amp;"]"),NA())</f>
        <v>45946859.359999999</v>
      </c>
      <c r="L50" s="20"/>
      <c r="M50" s="20">
        <f>IFERROR(GETPIVOTDATA("[Measures].[Sum of StartValue]",'Results PT'!$B$8,"[Table2].[ReturnDate]","[Table2].[ReturnDate].&amp;["&amp;$A50&amp;"]"),NA())</f>
        <v>2805477608.1299992</v>
      </c>
      <c r="N50" s="20">
        <f>IFERROR(GETPIVOTDATA("[Measures].[Sum of EndValue]",'Results PT'!$B$8,"[Table2].[ReturnDate]","[Table2].[ReturnDate].&amp;["&amp;$A50&amp;"]"),NA())</f>
        <v>2793247764.4100003</v>
      </c>
      <c r="O50" s="20">
        <f>IFERROR(GETPIVOTDATA("[Measures].[Sum of StartPrincipal]",'Results PT'!$B$8,"[Table2].[ReturnDate]","[Table2].[ReturnDate].&amp;["&amp;$A50&amp;"]"),NA())</f>
        <v>2802236968.5</v>
      </c>
      <c r="P50" s="20">
        <f>IFERROR(GETPIVOTDATA("[Measures].[Sum of EndPrincipal]",'Results PT'!$B$8,"[Table2].[ReturnDate]","[Table2].[ReturnDate].&amp;["&amp;$A50&amp;"]"),NA())</f>
        <v>2795675370.79</v>
      </c>
      <c r="Q50" s="20">
        <f>IFERROR(GETPIVOTDATA("[Measures].[Sum of StartNAV]",'Results PT'!$B$8,"[Table2].[ReturnDate]","[Table2].[ReturnDate].&amp;["&amp;$A50&amp;"]"),NA())</f>
        <v>2798997057.6299992</v>
      </c>
      <c r="R50" s="20">
        <f>IFERROR(GETPIVOTDATA("[Measures].[Sum of EndNAV]",'Results PT'!$B$8,"[Table2].[ReturnDate]","[Table2].[ReturnDate].&amp;["&amp;$A50&amp;"]"),NA())</f>
        <v>2786767213.9100003</v>
      </c>
      <c r="S50" s="20"/>
      <c r="T50" s="1">
        <f t="shared" si="45"/>
        <v>0</v>
      </c>
      <c r="U50" s="1">
        <f t="shared" si="46"/>
        <v>0</v>
      </c>
      <c r="V50">
        <f t="shared" si="11"/>
        <v>4</v>
      </c>
      <c r="W50" s="20">
        <f t="shared" si="37"/>
        <v>21705965.290000007</v>
      </c>
      <c r="X50" s="20">
        <f t="shared" si="12"/>
        <v>9476121.5700011253</v>
      </c>
      <c r="Y50" s="20">
        <f t="shared" si="38"/>
        <v>2788144074.9849992</v>
      </c>
      <c r="Z50" s="3">
        <f t="shared" si="13"/>
        <v>3.3987201934864535E-3</v>
      </c>
      <c r="AA50" s="20"/>
      <c r="AC50" s="20">
        <f>IFERROR(GETPIVOTDATA("[Measures].[Distinct Count of LoanID]",'Count PT'!$B$3,"[Table2].[ReturnDate]","[Table2].[ReturnDate].&amp;["&amp;$A50&amp;"]"),NA())</f>
        <v>74</v>
      </c>
      <c r="AD50" s="20">
        <f>GETPIVOTDATA("[Measures].[Distinct Count of ManagerCode 2]",'Count PT'!$B$3,"[Table2].[ReturnDate]","[Table2].[ReturnDate].&amp;["&amp;$A50&amp;"]")</f>
        <v>6</v>
      </c>
      <c r="AE50" s="20" t="b">
        <f t="shared" si="14"/>
        <v>1</v>
      </c>
      <c r="AF50" s="20" t="b">
        <f t="shared" si="15"/>
        <v>1</v>
      </c>
      <c r="AG50" s="20" t="b">
        <f t="shared" si="16"/>
        <v>1</v>
      </c>
      <c r="AI50" s="7">
        <f t="shared" si="39"/>
        <v>4.6721138612860558E-3</v>
      </c>
      <c r="AJ50" s="7">
        <f t="shared" si="40"/>
        <v>6.8498647079788207E-4</v>
      </c>
      <c r="AK50" s="7">
        <f t="shared" si="41"/>
        <v>7.4601596763294623E-5</v>
      </c>
      <c r="AL50" s="7">
        <f t="shared" si="17"/>
        <v>5.4317019288472324E-3</v>
      </c>
      <c r="AM50" s="7">
        <f t="shared" si="42"/>
        <v>3.5866152290045494E-12</v>
      </c>
      <c r="AN50" s="7">
        <f t="shared" si="18"/>
        <v>5.4317019324338477E-3</v>
      </c>
      <c r="AO50" s="7">
        <f t="shared" si="19"/>
        <v>-2.0329817389473943E-3</v>
      </c>
      <c r="AP50" s="7">
        <f t="shared" si="43"/>
        <v>3.3987201934864535E-3</v>
      </c>
      <c r="AQ50" s="7">
        <f t="shared" si="44"/>
        <v>5.3571003320839377E-3</v>
      </c>
      <c r="AS50" s="7">
        <f t="shared" si="20"/>
        <v>4.6721138612860558E-3</v>
      </c>
      <c r="AT50" s="7">
        <f t="shared" si="21"/>
        <v>6.8498647079788207E-4</v>
      </c>
      <c r="AU50" s="7">
        <f t="shared" si="22"/>
        <v>5.3571003320839377E-3</v>
      </c>
      <c r="AV50" s="7">
        <f t="shared" si="23"/>
        <v>7.4601596763294623E-5</v>
      </c>
      <c r="AW50" s="7">
        <f t="shared" si="24"/>
        <v>5.4317019288472324E-3</v>
      </c>
      <c r="AX50" s="7">
        <f t="shared" si="25"/>
        <v>3.5866152290045494E-12</v>
      </c>
      <c r="AY50" s="7">
        <f t="shared" si="26"/>
        <v>5.4317019324338477E-3</v>
      </c>
      <c r="AZ50" s="7">
        <f t="shared" si="27"/>
        <v>-2.0329817389473943E-3</v>
      </c>
      <c r="BA50" s="7">
        <f t="shared" si="28"/>
        <v>3.3987201934864535E-3</v>
      </c>
      <c r="BB50" s="7">
        <f t="shared" si="29"/>
        <v>5.3571003320839377E-3</v>
      </c>
      <c r="BD50">
        <f t="shared" si="30"/>
        <v>1</v>
      </c>
      <c r="BE50">
        <f t="shared" si="34"/>
        <v>1</v>
      </c>
      <c r="BF50" s="7" cm="1">
        <f t="array" ref="BF50">IF(ISNA($BA50),NA(),IF($BE50=0,"***",PRODUCT(1+AS48:AS50)-1))</f>
        <v>1.561798765143263E-2</v>
      </c>
      <c r="BG50" s="7" cm="1">
        <f t="array" ref="BG50">IF(ISNA($BA50),NA(),IF($BE50=0,"***",PRODUCT(1+AT48:AT50)-1))</f>
        <v>1.9733938058343892E-3</v>
      </c>
      <c r="BH50" s="7" cm="1">
        <f t="array" ref="BH50">IF(ISNA($BA50),NA(),IF($BE50=0,"***",PRODUCT(1+AU48:AU50)-1))</f>
        <v>1.7611897090649586E-2</v>
      </c>
      <c r="BI50" s="7" cm="1">
        <f t="array" ref="BI50">IF(ISNA($BA50),NA(),IF($BE50=0,"***",PRODUCT(1+AV48:AV50)-1))</f>
        <v>2.8330239674612123E-4</v>
      </c>
      <c r="BJ50" s="7" cm="1">
        <f t="array" ref="BJ50">IF(ISNA($BA50),NA(),IF($BE50=0,"***",PRODUCT(1+AW48:AW50)-1))</f>
        <v>1.789845199688278E-2</v>
      </c>
      <c r="BK50" s="7" cm="1">
        <f t="array" ref="BK50">IF(ISNA($BA50),NA(),IF($BE50=0,"***",PRODUCT(1+AX48:AX50)-1))</f>
        <v>-5.763297536987011E-7</v>
      </c>
      <c r="BL50" s="7" cm="1">
        <f t="array" ref="BL50">IF(ISNA($BA50),NA(),IF($BE50=0,"***",PRODUCT(1+AY48:AY50)-1))</f>
        <v>1.7897869119390508E-2</v>
      </c>
      <c r="BM50" s="7" cm="1">
        <f t="array" ref="BM50">IF(ISNA($BA50),NA(),IF($BE50=0,"***",PRODUCT(1+AZ48:AZ50)-1))</f>
        <v>-7.6797129462042868E-3</v>
      </c>
      <c r="BN50" s="7" cm="1">
        <f t="array" ref="BN50">IF(ISNA($BA50),NA(),IF($BE50=0,"***",PRODUCT(1+BA48:BA50)-1))</f>
        <v>1.0125364203089182E-2</v>
      </c>
      <c r="BO50" s="7">
        <f t="shared" si="35"/>
        <v>-9.2791970097039211E-5</v>
      </c>
      <c r="BP50" s="7">
        <f t="shared" si="36"/>
        <v>1.7509733896748116E-2</v>
      </c>
    </row>
    <row r="51" spans="1:68" x14ac:dyDescent="0.25">
      <c r="A51" t="str">
        <f t="shared" si="31"/>
        <v>20150531</v>
      </c>
      <c r="B51">
        <f t="shared" si="32"/>
        <v>42155</v>
      </c>
      <c r="C51">
        <v>2015</v>
      </c>
      <c r="D51">
        <v>5</v>
      </c>
      <c r="F51" s="20">
        <f>IFERROR(GETPIVOTDATA("[Measures].[Sum of CashInterest]",'Results PT'!$B$8,"[Table2].[ReturnDate]","[Table2].[ReturnDate].&amp;["&amp;$A51&amp;"]"),NA())</f>
        <v>15644620.880000005</v>
      </c>
      <c r="G51" s="20">
        <f>IFERROR(GETPIVOTDATA("[Measures].[Sum of AccrInterest]",'Results PT'!$B$8,"[Table2].[ReturnDate]","[Table2].[ReturnDate].&amp;["&amp;$A51&amp;"]"),NA())</f>
        <v>1852160.86</v>
      </c>
      <c r="H51" s="20">
        <f>IFERROR(GETPIVOTDATA("[Measures].[Sum of OtherIncome]",'Results PT'!$B$8,"[Table2].[ReturnDate]","[Table2].[ReturnDate].&amp;["&amp;$A51&amp;"]"),NA())</f>
        <v>723994</v>
      </c>
      <c r="I51" s="20">
        <f>IFERROR(GETPIVOTDATA("[Measures].[Sum of Expenses]",'Results PT'!$B$8,"[Table2].[ReturnDate]","[Table2].[ReturnDate].&amp;["&amp;$A51&amp;"]"),NA())</f>
        <v>0</v>
      </c>
      <c r="J51" s="20">
        <f>IFERROR(GETPIVOTDATA("[Measures].[Sum of PrincipalFunded]",'Results PT'!$B$8,"[Table2].[ReturnDate]","[Table2].[ReturnDate].&amp;["&amp;$A51&amp;"]"),NA())</f>
        <v>-89317814.780000001</v>
      </c>
      <c r="K51" s="20">
        <f>IFERROR(GETPIVOTDATA("[Measures].[Sum of PrincipalRepaid]",'Results PT'!$B$8,"[Table2].[ReturnDate]","[Table2].[ReturnDate].&amp;["&amp;$A51&amp;"]"),NA())</f>
        <v>35919591.509999998</v>
      </c>
      <c r="L51" s="20"/>
      <c r="M51" s="20">
        <f>IFERROR(GETPIVOTDATA("[Measures].[Sum of StartValue]",'Results PT'!$B$8,"[Table2].[ReturnDate]","[Table2].[ReturnDate].&amp;["&amp;$A51&amp;"]"),NA())</f>
        <v>2793247764.4100003</v>
      </c>
      <c r="N51" s="20">
        <f>IFERROR(GETPIVOTDATA("[Measures].[Sum of EndValue]",'Results PT'!$B$8,"[Table2].[ReturnDate]","[Table2].[ReturnDate].&amp;["&amp;$A51&amp;"]"),NA())</f>
        <v>2853670440.5999999</v>
      </c>
      <c r="O51" s="20">
        <f>IFERROR(GETPIVOTDATA("[Measures].[Sum of StartPrincipal]",'Results PT'!$B$8,"[Table2].[ReturnDate]","[Table2].[ReturnDate].&amp;["&amp;$A51&amp;"]"),NA())</f>
        <v>2795675370.79</v>
      </c>
      <c r="P51" s="20">
        <f>IFERROR(GETPIVOTDATA("[Measures].[Sum of EndPrincipal]",'Results PT'!$B$8,"[Table2].[ReturnDate]","[Table2].[ReturnDate].&amp;["&amp;$A51&amp;"]"),NA())</f>
        <v>2850925754.9700003</v>
      </c>
      <c r="Q51" s="20">
        <f>IFERROR(GETPIVOTDATA("[Measures].[Sum of StartNAV]",'Results PT'!$B$8,"[Table2].[ReturnDate]","[Table2].[ReturnDate].&amp;["&amp;$A51&amp;"]"),NA())</f>
        <v>2786767213.9100003</v>
      </c>
      <c r="R51" s="20">
        <f>IFERROR(GETPIVOTDATA("[Measures].[Sum of EndNAV]",'Results PT'!$B$8,"[Table2].[ReturnDate]","[Table2].[ReturnDate].&amp;["&amp;$A51&amp;"]"),NA())</f>
        <v>2847189890.0999999</v>
      </c>
      <c r="S51" s="20"/>
      <c r="T51" s="1">
        <f t="shared" si="45"/>
        <v>0</v>
      </c>
      <c r="U51" s="1">
        <f t="shared" si="46"/>
        <v>0</v>
      </c>
      <c r="V51">
        <f t="shared" si="11"/>
        <v>4</v>
      </c>
      <c r="W51" s="20">
        <f t="shared" si="37"/>
        <v>-37029608.389999993</v>
      </c>
      <c r="X51" s="20">
        <f t="shared" si="12"/>
        <v>23393067.799999714</v>
      </c>
      <c r="Y51" s="20">
        <f t="shared" si="38"/>
        <v>2805282018.1050005</v>
      </c>
      <c r="Z51" s="3">
        <f t="shared" si="13"/>
        <v>8.3389362099864726E-3</v>
      </c>
      <c r="AA51" s="20"/>
      <c r="AC51" s="20">
        <f>IFERROR(GETPIVOTDATA("[Measures].[Distinct Count of LoanID]",'Count PT'!$B$3,"[Table2].[ReturnDate]","[Table2].[ReturnDate].&amp;["&amp;$A51&amp;"]"),NA())</f>
        <v>77</v>
      </c>
      <c r="AD51" s="20">
        <f>GETPIVOTDATA("[Measures].[Distinct Count of ManagerCode 2]",'Count PT'!$B$3,"[Table2].[ReturnDate]","[Table2].[ReturnDate].&amp;["&amp;$A51&amp;"]")</f>
        <v>6</v>
      </c>
      <c r="AE51" s="20" t="b">
        <f t="shared" si="14"/>
        <v>1</v>
      </c>
      <c r="AF51" s="20" t="b">
        <f t="shared" si="15"/>
        <v>1</v>
      </c>
      <c r="AG51" s="20" t="b">
        <f t="shared" si="16"/>
        <v>1</v>
      </c>
      <c r="AI51" s="7">
        <f t="shared" si="39"/>
        <v>5.5768442456163893E-3</v>
      </c>
      <c r="AJ51" s="7">
        <f t="shared" si="40"/>
        <v>6.6024052057737698E-4</v>
      </c>
      <c r="AK51" s="7">
        <f t="shared" si="41"/>
        <v>2.5808242997581616E-4</v>
      </c>
      <c r="AL51" s="7">
        <f t="shared" si="17"/>
        <v>6.4951671961695819E-3</v>
      </c>
      <c r="AM51" s="7">
        <f t="shared" si="42"/>
        <v>0</v>
      </c>
      <c r="AN51" s="7">
        <f t="shared" si="18"/>
        <v>6.4951671961695819E-3</v>
      </c>
      <c r="AO51" s="7">
        <f t="shared" si="19"/>
        <v>1.8437690138168907E-3</v>
      </c>
      <c r="AP51" s="7">
        <f t="shared" si="43"/>
        <v>8.3389362099864726E-3</v>
      </c>
      <c r="AQ51" s="7">
        <f t="shared" si="44"/>
        <v>6.2370847661937668E-3</v>
      </c>
      <c r="AS51" s="7">
        <f t="shared" si="20"/>
        <v>5.5768442456163893E-3</v>
      </c>
      <c r="AT51" s="7">
        <f t="shared" si="21"/>
        <v>6.6024052057737698E-4</v>
      </c>
      <c r="AU51" s="7">
        <f t="shared" si="22"/>
        <v>6.2370847661937659E-3</v>
      </c>
      <c r="AV51" s="7">
        <f t="shared" si="23"/>
        <v>2.5808242997581616E-4</v>
      </c>
      <c r="AW51" s="7">
        <f t="shared" si="24"/>
        <v>6.4951671961695819E-3</v>
      </c>
      <c r="AX51" s="7">
        <f t="shared" si="25"/>
        <v>0</v>
      </c>
      <c r="AY51" s="7">
        <f t="shared" si="26"/>
        <v>6.4951671961695819E-3</v>
      </c>
      <c r="AZ51" s="7">
        <f t="shared" si="27"/>
        <v>1.8437690138168907E-3</v>
      </c>
      <c r="BA51" s="7">
        <f t="shared" si="28"/>
        <v>8.3389362099864726E-3</v>
      </c>
      <c r="BB51" s="7">
        <f t="shared" si="29"/>
        <v>6.2370847661937668E-3</v>
      </c>
      <c r="BD51">
        <f t="shared" si="30"/>
        <v>1</v>
      </c>
      <c r="BE51">
        <f t="shared" si="34"/>
        <v>1</v>
      </c>
      <c r="BF51" s="7" cm="1">
        <f t="array" ref="BF51">IF(ISNA($BA51),NA(),IF($BE51=0,"***",PRODUCT(1+AS49:AS51)-1))</f>
        <v>1.5504478655293807E-2</v>
      </c>
      <c r="BG51" s="7" cm="1">
        <f t="array" ref="BG51">IF(ISNA($BA51),NA(),IF($BE51=0,"***",PRODUCT(1+AT49:AT51)-1))</f>
        <v>2.004142114531815E-3</v>
      </c>
      <c r="BH51" s="7" cm="1">
        <f t="array" ref="BH51">IF(ISNA($BA51),NA(),IF($BE51=0,"***",PRODUCT(1+AU49:AU51)-1))</f>
        <v>1.752928806649301E-2</v>
      </c>
      <c r="BI51" s="7" cm="1">
        <f t="array" ref="BI51">IF(ISNA($BA51),NA(),IF($BE51=0,"***",PRODUCT(1+AV49:AV51)-1))</f>
        <v>3.3507562646151179E-4</v>
      </c>
      <c r="BJ51" s="7" cm="1">
        <f t="array" ref="BJ51">IF(ISNA($BA51),NA(),IF($BE51=0,"***",PRODUCT(1+AW49:AW51)-1))</f>
        <v>1.7868190866220823E-2</v>
      </c>
      <c r="BK51" s="7" cm="1">
        <f t="array" ref="BK51">IF(ISNA($BA51),NA(),IF($BE51=0,"***",PRODUCT(1+AX49:AX51)-1))</f>
        <v>-5.1149231850011745E-8</v>
      </c>
      <c r="BL51" s="7" cm="1">
        <f t="array" ref="BL51">IF(ISNA($BA51),NA(),IF($BE51=0,"***",PRODUCT(1+AY49:AY51)-1))</f>
        <v>1.7868139105135628E-2</v>
      </c>
      <c r="BM51" s="7" cm="1">
        <f t="array" ref="BM51">IF(ISNA($BA51),NA(),IF($BE51=0,"***",PRODUCT(1+AZ49:AZ51)-1))</f>
        <v>-5.5597172266840245E-3</v>
      </c>
      <c r="BN51" s="7" cm="1">
        <f t="array" ref="BN51">IF(ISNA($BA51),NA(),IF($BE51=0,"***",PRODUCT(1+BA49:BA51)-1))</f>
        <v>1.2239894150339881E-2</v>
      </c>
      <c r="BO51" s="7">
        <f t="shared" si="35"/>
        <v>-6.8527728111722475E-5</v>
      </c>
      <c r="BP51" s="7">
        <f t="shared" si="36"/>
        <v>1.742804164020325E-2</v>
      </c>
    </row>
    <row r="52" spans="1:68" x14ac:dyDescent="0.25">
      <c r="A52" t="str">
        <f t="shared" si="31"/>
        <v>20150630</v>
      </c>
      <c r="B52">
        <f t="shared" si="32"/>
        <v>42185</v>
      </c>
      <c r="C52">
        <v>2015</v>
      </c>
      <c r="D52">
        <v>6</v>
      </c>
      <c r="F52" s="20">
        <f>IFERROR(GETPIVOTDATA("[Measures].[Sum of CashInterest]",'Results PT'!$B$8,"[Table2].[ReturnDate]","[Table2].[ReturnDate].&amp;["&amp;$A52&amp;"]"),NA())</f>
        <v>17212920.960000001</v>
      </c>
      <c r="G52" s="20">
        <f>IFERROR(GETPIVOTDATA("[Measures].[Sum of AccrInterest]",'Results PT'!$B$8,"[Table2].[ReturnDate]","[Table2].[ReturnDate].&amp;["&amp;$A52&amp;"]"),NA())</f>
        <v>2162657.3400000003</v>
      </c>
      <c r="H52" s="20">
        <f>IFERROR(GETPIVOTDATA("[Measures].[Sum of OtherIncome]",'Results PT'!$B$8,"[Table2].[ReturnDate]","[Table2].[ReturnDate].&amp;["&amp;$A52&amp;"]"),NA())</f>
        <v>426699.5</v>
      </c>
      <c r="I52" s="20">
        <f>IFERROR(GETPIVOTDATA("[Measures].[Sum of Expenses]",'Results PT'!$B$8,"[Table2].[ReturnDate]","[Table2].[ReturnDate].&amp;["&amp;$A52&amp;"]"),NA())</f>
        <v>0</v>
      </c>
      <c r="J52" s="20">
        <f>IFERROR(GETPIVOTDATA("[Measures].[Sum of PrincipalFunded]",'Results PT'!$B$8,"[Table2].[ReturnDate]","[Table2].[ReturnDate].&amp;["&amp;$A52&amp;"]"),NA())</f>
        <v>845352.31999999844</v>
      </c>
      <c r="K52" s="20">
        <f>IFERROR(GETPIVOTDATA("[Measures].[Sum of PrincipalRepaid]",'Results PT'!$B$8,"[Table2].[ReturnDate]","[Table2].[ReturnDate].&amp;["&amp;$A52&amp;"]"),NA())</f>
        <v>728737.46</v>
      </c>
      <c r="L52" s="20"/>
      <c r="M52" s="20">
        <f>IFERROR(GETPIVOTDATA("[Measures].[Sum of StartValue]",'Results PT'!$B$8,"[Table2].[ReturnDate]","[Table2].[ReturnDate].&amp;["&amp;$A52&amp;"]"),NA())</f>
        <v>2853670440.5999999</v>
      </c>
      <c r="N52" s="20">
        <f>IFERROR(GETPIVOTDATA("[Measures].[Sum of EndValue]",'Results PT'!$B$8,"[Table2].[ReturnDate]","[Table2].[ReturnDate].&amp;["&amp;$A52&amp;"]"),NA())</f>
        <v>2848730296.8100004</v>
      </c>
      <c r="O52" s="20">
        <f>IFERROR(GETPIVOTDATA("[Measures].[Sum of StartPrincipal]",'Results PT'!$B$8,"[Table2].[ReturnDate]","[Table2].[ReturnDate].&amp;["&amp;$A52&amp;"]"),NA())</f>
        <v>2850925754.9700003</v>
      </c>
      <c r="P52" s="20">
        <f>IFERROR(GETPIVOTDATA("[Measures].[Sum of EndPrincipal]",'Results PT'!$B$8,"[Table2].[ReturnDate]","[Table2].[ReturnDate].&amp;["&amp;$A52&amp;"]"),NA())</f>
        <v>2851549224.4700003</v>
      </c>
      <c r="Q52" s="20">
        <f>IFERROR(GETPIVOTDATA("[Measures].[Sum of StartNAV]",'Results PT'!$B$8,"[Table2].[ReturnDate]","[Table2].[ReturnDate].&amp;["&amp;$A52&amp;"]"),NA())</f>
        <v>2847189890.0999999</v>
      </c>
      <c r="R52" s="20">
        <f>IFERROR(GETPIVOTDATA("[Measures].[Sum of EndNAV]",'Results PT'!$B$8,"[Table2].[ReturnDate]","[Table2].[ReturnDate].&amp;["&amp;$A52&amp;"]"),NA())</f>
        <v>2842214844.3100004</v>
      </c>
      <c r="S52" s="20"/>
      <c r="T52" s="1">
        <f t="shared" si="45"/>
        <v>0</v>
      </c>
      <c r="U52" s="1">
        <f t="shared" si="46"/>
        <v>0</v>
      </c>
      <c r="V52">
        <f t="shared" si="11"/>
        <v>4</v>
      </c>
      <c r="W52" s="20">
        <f t="shared" si="37"/>
        <v>19213710.240000002</v>
      </c>
      <c r="X52" s="20">
        <f t="shared" si="12"/>
        <v>14238664.450000286</v>
      </c>
      <c r="Y52" s="20">
        <f t="shared" si="38"/>
        <v>2837583034.98</v>
      </c>
      <c r="Z52" s="3">
        <f t="shared" si="13"/>
        <v>5.0178846837166278E-3</v>
      </c>
      <c r="AA52" s="20"/>
      <c r="AC52" s="20">
        <f>IFERROR(GETPIVOTDATA("[Measures].[Distinct Count of LoanID]",'Count PT'!$B$3,"[Table2].[ReturnDate]","[Table2].[ReturnDate].&amp;["&amp;$A52&amp;"]"),NA())</f>
        <v>77</v>
      </c>
      <c r="AD52" s="20">
        <f>GETPIVOTDATA("[Measures].[Distinct Count of ManagerCode 2]",'Count PT'!$B$3,"[Table2].[ReturnDate]","[Table2].[ReturnDate].&amp;["&amp;$A52&amp;"]")</f>
        <v>6</v>
      </c>
      <c r="AE52" s="20" t="b">
        <f t="shared" si="14"/>
        <v>1</v>
      </c>
      <c r="AF52" s="20" t="b">
        <f t="shared" si="15"/>
        <v>1</v>
      </c>
      <c r="AG52" s="20" t="b">
        <f t="shared" si="16"/>
        <v>1</v>
      </c>
      <c r="AI52" s="7">
        <f t="shared" si="39"/>
        <v>6.0660501376733535E-3</v>
      </c>
      <c r="AJ52" s="7">
        <f t="shared" si="40"/>
        <v>7.6214768461048518E-4</v>
      </c>
      <c r="AK52" s="7">
        <f t="shared" si="41"/>
        <v>1.5037427794707952E-4</v>
      </c>
      <c r="AL52" s="7">
        <f t="shared" si="17"/>
        <v>6.9785721002309179E-3</v>
      </c>
      <c r="AM52" s="7">
        <f t="shared" si="42"/>
        <v>0</v>
      </c>
      <c r="AN52" s="7">
        <f t="shared" si="18"/>
        <v>6.9785721002309179E-3</v>
      </c>
      <c r="AO52" s="7">
        <f t="shared" si="19"/>
        <v>-1.9606874165142901E-3</v>
      </c>
      <c r="AP52" s="7">
        <f t="shared" si="43"/>
        <v>5.0178846837166278E-3</v>
      </c>
      <c r="AQ52" s="7">
        <f t="shared" si="44"/>
        <v>6.8281978222838385E-3</v>
      </c>
      <c r="AS52" s="7">
        <f t="shared" si="20"/>
        <v>6.0660501376733535E-3</v>
      </c>
      <c r="AT52" s="7">
        <f t="shared" si="21"/>
        <v>7.6214768461048518E-4</v>
      </c>
      <c r="AU52" s="7">
        <f t="shared" si="22"/>
        <v>6.8281978222838385E-3</v>
      </c>
      <c r="AV52" s="7">
        <f t="shared" si="23"/>
        <v>1.5037427794707952E-4</v>
      </c>
      <c r="AW52" s="7">
        <f t="shared" si="24"/>
        <v>6.9785721002309179E-3</v>
      </c>
      <c r="AX52" s="7">
        <f t="shared" si="25"/>
        <v>0</v>
      </c>
      <c r="AY52" s="7">
        <f t="shared" si="26"/>
        <v>6.9785721002309179E-3</v>
      </c>
      <c r="AZ52" s="7">
        <f t="shared" si="27"/>
        <v>-1.9606874165142901E-3</v>
      </c>
      <c r="BA52" s="7">
        <f t="shared" si="28"/>
        <v>5.0178846837166278E-3</v>
      </c>
      <c r="BB52" s="7">
        <f t="shared" si="29"/>
        <v>6.8281978222838385E-3</v>
      </c>
      <c r="BD52">
        <f t="shared" si="30"/>
        <v>1</v>
      </c>
      <c r="BE52">
        <f t="shared" si="34"/>
        <v>1</v>
      </c>
      <c r="BF52" s="7" cm="1">
        <f t="array" ref="BF52">IF(ISNA($BA52),NA(),IF($BE52=0,"***",PRODUCT(1+AS50:AS52)-1))</f>
        <v>1.6403392644500192E-2</v>
      </c>
      <c r="BG52" s="7" cm="1">
        <f t="array" ref="BG52">IF(ISNA($BA52),NA(),IF($BE52=0,"***",PRODUCT(1+AT50:AT52)-1))</f>
        <v>2.1088525381323109E-3</v>
      </c>
      <c r="BH52" s="7" cm="1">
        <f t="array" ref="BH52">IF(ISNA($BA52),NA(),IF($BE52=0,"***",PRODUCT(1+AU50:AU52)-1))</f>
        <v>1.8535191147322383E-2</v>
      </c>
      <c r="BI52" s="7" cm="1">
        <f t="array" ref="BI52">IF(ISNA($BA52),NA(),IF($BE52=0,"***",PRODUCT(1+AV50:AV52)-1))</f>
        <v>4.8312758806301481E-4</v>
      </c>
      <c r="BJ52" s="7" cm="1">
        <f t="array" ref="BJ52">IF(ISNA($BA52),NA(),IF($BE52=0,"***",PRODUCT(1+AW50:AW52)-1))</f>
        <v>1.9024199756267235E-2</v>
      </c>
      <c r="BK52" s="7" cm="1">
        <f t="array" ref="BK52">IF(ISNA($BA52),NA(),IF($BE52=0,"***",PRODUCT(1+AX50:AX52)-1))</f>
        <v>3.5866865033540307E-12</v>
      </c>
      <c r="BL52" s="7" cm="1">
        <f t="array" ref="BL52">IF(ISNA($BA52),NA(),IF($BE52=0,"***",PRODUCT(1+AY50:AY52)-1))</f>
        <v>1.9024199759902549E-2</v>
      </c>
      <c r="BM52" s="7" cm="1">
        <f t="array" ref="BM52">IF(ISNA($BA52),NA(),IF($BE52=0,"***",PRODUCT(1+AZ50:AZ52)-1))</f>
        <v>-2.1532701540314392E-3</v>
      </c>
      <c r="BN52" s="7" cm="1">
        <f t="array" ref="BN52">IF(ISNA($BA52),NA(),IF($BE52=0,"***",PRODUCT(1+BA50:BA52)-1))</f>
        <v>1.6842923219805073E-2</v>
      </c>
      <c r="BO52" s="7">
        <f t="shared" si="35"/>
        <v>-2.8006386066037336E-5</v>
      </c>
      <c r="BP52" s="7">
        <f t="shared" si="36"/>
        <v>1.8422382920561545E-2</v>
      </c>
    </row>
    <row r="53" spans="1:68" x14ac:dyDescent="0.25">
      <c r="A53" t="str">
        <f t="shared" si="31"/>
        <v>20150731</v>
      </c>
      <c r="B53">
        <f t="shared" si="32"/>
        <v>42216</v>
      </c>
      <c r="C53">
        <v>2015</v>
      </c>
      <c r="D53">
        <v>7</v>
      </c>
      <c r="F53" s="20">
        <f>IFERROR(GETPIVOTDATA("[Measures].[Sum of CashInterest]",'Results PT'!$B$8,"[Table2].[ReturnDate]","[Table2].[ReturnDate].&amp;["&amp;$A53&amp;"]"),NA())</f>
        <v>15559046.34</v>
      </c>
      <c r="G53" s="20">
        <f>IFERROR(GETPIVOTDATA("[Measures].[Sum of AccrInterest]",'Results PT'!$B$8,"[Table2].[ReturnDate]","[Table2].[ReturnDate].&amp;["&amp;$A53&amp;"]"),NA())</f>
        <v>2362033.8099999996</v>
      </c>
      <c r="H53" s="20">
        <f>IFERROR(GETPIVOTDATA("[Measures].[Sum of OtherIncome]",'Results PT'!$B$8,"[Table2].[ReturnDate]","[Table2].[ReturnDate].&amp;["&amp;$A53&amp;"]"),NA())</f>
        <v>0</v>
      </c>
      <c r="I53" s="20">
        <f>IFERROR(GETPIVOTDATA("[Measures].[Sum of Expenses]",'Results PT'!$B$8,"[Table2].[ReturnDate]","[Table2].[ReturnDate].&amp;["&amp;$A53&amp;"]"),NA())</f>
        <v>0.03</v>
      </c>
      <c r="J53" s="20">
        <f>IFERROR(GETPIVOTDATA("[Measures].[Sum of PrincipalFunded]",'Results PT'!$B$8,"[Table2].[ReturnDate]","[Table2].[ReturnDate].&amp;["&amp;$A53&amp;"]"),NA())</f>
        <v>-9132665.2300000004</v>
      </c>
      <c r="K53" s="20">
        <f>IFERROR(GETPIVOTDATA("[Measures].[Sum of PrincipalRepaid]",'Results PT'!$B$8,"[Table2].[ReturnDate]","[Table2].[ReturnDate].&amp;["&amp;$A53&amp;"]"),NA())</f>
        <v>62803544.219999999</v>
      </c>
      <c r="L53" s="20"/>
      <c r="M53" s="20">
        <f>IFERROR(GETPIVOTDATA("[Measures].[Sum of StartValue]",'Results PT'!$B$8,"[Table2].[ReturnDate]","[Table2].[ReturnDate].&amp;["&amp;$A53&amp;"]"),NA())</f>
        <v>2848730296.8100004</v>
      </c>
      <c r="N53" s="20">
        <f>IFERROR(GETPIVOTDATA("[Measures].[Sum of EndValue]",'Results PT'!$B$8,"[Table2].[ReturnDate]","[Table2].[ReturnDate].&amp;["&amp;$A53&amp;"]"),NA())</f>
        <v>2796260107.9900007</v>
      </c>
      <c r="O53" s="20">
        <f>IFERROR(GETPIVOTDATA("[Measures].[Sum of StartPrincipal]",'Results PT'!$B$8,"[Table2].[ReturnDate]","[Table2].[ReturnDate].&amp;["&amp;$A53&amp;"]"),NA())</f>
        <v>2851549224.4700003</v>
      </c>
      <c r="P53" s="20">
        <f>IFERROR(GETPIVOTDATA("[Measures].[Sum of EndPrincipal]",'Results PT'!$B$8,"[Table2].[ReturnDate]","[Table2].[ReturnDate].&amp;["&amp;$A53&amp;"]"),NA())</f>
        <v>2800240379.2800016</v>
      </c>
      <c r="Q53" s="20">
        <f>IFERROR(GETPIVOTDATA("[Measures].[Sum of StartNAV]",'Results PT'!$B$8,"[Table2].[ReturnDate]","[Table2].[ReturnDate].&amp;["&amp;$A53&amp;"]"),NA())</f>
        <v>2842214844.3100004</v>
      </c>
      <c r="R53" s="20">
        <f>IFERROR(GETPIVOTDATA("[Measures].[Sum of EndNAV]",'Results PT'!$B$8,"[Table2].[ReturnDate]","[Table2].[ReturnDate].&amp;["&amp;$A53&amp;"]"),NA())</f>
        <v>2789744655.4900007</v>
      </c>
      <c r="S53" s="20"/>
      <c r="T53" s="1">
        <f t="shared" si="45"/>
        <v>0</v>
      </c>
      <c r="U53" s="1">
        <f t="shared" si="46"/>
        <v>0</v>
      </c>
      <c r="V53">
        <f t="shared" si="11"/>
        <v>4</v>
      </c>
      <c r="W53" s="20">
        <f t="shared" si="37"/>
        <v>69229925.359999999</v>
      </c>
      <c r="X53" s="20">
        <f t="shared" si="12"/>
        <v>16759736.540000439</v>
      </c>
      <c r="Y53" s="20">
        <f t="shared" si="38"/>
        <v>2807599881.6300006</v>
      </c>
      <c r="Z53" s="3">
        <f t="shared" si="13"/>
        <v>5.969417739920364E-3</v>
      </c>
      <c r="AA53" s="20"/>
      <c r="AC53" s="20">
        <f>IFERROR(GETPIVOTDATA("[Measures].[Distinct Count of LoanID]",'Count PT'!$B$3,"[Table2].[ReturnDate]","[Table2].[ReturnDate].&amp;["&amp;$A53&amp;"]"),NA())</f>
        <v>77</v>
      </c>
      <c r="AD53" s="20">
        <f>GETPIVOTDATA("[Measures].[Distinct Count of ManagerCode 2]",'Count PT'!$B$3,"[Table2].[ReturnDate]","[Table2].[ReturnDate].&amp;["&amp;$A53&amp;"]")</f>
        <v>6</v>
      </c>
      <c r="AE53" s="20" t="b">
        <f t="shared" si="14"/>
        <v>1</v>
      </c>
      <c r="AF53" s="20" t="b">
        <f t="shared" si="15"/>
        <v>1</v>
      </c>
      <c r="AG53" s="20" t="b">
        <f t="shared" si="16"/>
        <v>1</v>
      </c>
      <c r="AI53" s="7">
        <f t="shared" si="39"/>
        <v>5.5417605769975051E-3</v>
      </c>
      <c r="AJ53" s="7">
        <f t="shared" si="40"/>
        <v>8.4130001053735626E-4</v>
      </c>
      <c r="AK53" s="7">
        <f t="shared" si="41"/>
        <v>0</v>
      </c>
      <c r="AL53" s="7">
        <f t="shared" si="17"/>
        <v>6.3830605875348613E-3</v>
      </c>
      <c r="AM53" s="7">
        <f t="shared" si="42"/>
        <v>1.0685283254315776E-11</v>
      </c>
      <c r="AN53" s="7">
        <f t="shared" si="18"/>
        <v>6.3830605982201447E-3</v>
      </c>
      <c r="AO53" s="7">
        <f t="shared" si="19"/>
        <v>-4.1364285829978073E-4</v>
      </c>
      <c r="AP53" s="7">
        <f t="shared" si="43"/>
        <v>5.969417739920364E-3</v>
      </c>
      <c r="AQ53" s="7">
        <f t="shared" si="44"/>
        <v>6.3830605875348613E-3</v>
      </c>
      <c r="AS53" s="7">
        <f t="shared" si="20"/>
        <v>5.5417605769975051E-3</v>
      </c>
      <c r="AT53" s="7">
        <f t="shared" si="21"/>
        <v>8.4130001053735626E-4</v>
      </c>
      <c r="AU53" s="7">
        <f t="shared" si="22"/>
        <v>6.3830605875348613E-3</v>
      </c>
      <c r="AV53" s="7">
        <f t="shared" si="23"/>
        <v>0</v>
      </c>
      <c r="AW53" s="7">
        <f t="shared" si="24"/>
        <v>6.3830605875348613E-3</v>
      </c>
      <c r="AX53" s="7">
        <f t="shared" si="25"/>
        <v>1.0685283254315776E-11</v>
      </c>
      <c r="AY53" s="7">
        <f t="shared" si="26"/>
        <v>6.3830605982201447E-3</v>
      </c>
      <c r="AZ53" s="7">
        <f t="shared" si="27"/>
        <v>-4.1364285829978073E-4</v>
      </c>
      <c r="BA53" s="7">
        <f t="shared" si="28"/>
        <v>5.969417739920364E-3</v>
      </c>
      <c r="BB53" s="7">
        <f t="shared" si="29"/>
        <v>6.3830605875348613E-3</v>
      </c>
      <c r="BD53">
        <f t="shared" si="30"/>
        <v>1</v>
      </c>
      <c r="BE53">
        <f t="shared" si="34"/>
        <v>1</v>
      </c>
      <c r="BF53" s="7" cm="1">
        <f t="array" ref="BF53">IF(ISNA($BA53),NA(),IF($BE53=0,"***",PRODUCT(1+AS51:AS53)-1))</f>
        <v>1.7283193984714673E-2</v>
      </c>
      <c r="BG53" s="7" cm="1">
        <f t="array" ref="BG53">IF(ISNA($BA53),NA(),IF($BE53=0,"***",PRODUCT(1+AT51:AT53)-1))</f>
        <v>2.2653884950643022E-3</v>
      </c>
      <c r="BH53" s="7" cm="1">
        <f t="array" ref="BH53">IF(ISNA($BA53),NA(),IF($BE53=0,"***",PRODUCT(1+AU51:AU53)-1))</f>
        <v>1.9574599557080408E-2</v>
      </c>
      <c r="BI53" s="7" cm="1">
        <f t="array" ref="BI53">IF(ISNA($BA53),NA(),IF($BE53=0,"***",PRODUCT(1+AV51:AV53)-1))</f>
        <v>4.0849551688215691E-4</v>
      </c>
      <c r="BJ53" s="7" cm="1">
        <f t="array" ref="BJ53">IF(ISNA($BA53),NA(),IF($BE53=0,"***",PRODUCT(1+AW51:AW53)-1))</f>
        <v>1.9988419895726084E-2</v>
      </c>
      <c r="BK53" s="7" cm="1">
        <f t="array" ref="BK53">IF(ISNA($BA53),NA(),IF($BE53=0,"***",PRODUCT(1+AX51:AX53)-1))</f>
        <v>1.0685230478202357E-11</v>
      </c>
      <c r="BL53" s="7" cm="1">
        <f t="array" ref="BL53">IF(ISNA($BA53),NA(),IF($BE53=0,"***",PRODUCT(1+AY51:AY53)-1))</f>
        <v>1.9988419906556087E-2</v>
      </c>
      <c r="BM53" s="7" cm="1">
        <f t="array" ref="BM53">IF(ISNA($BA53),NA(),IF($BE53=0,"***",PRODUCT(1+AZ51:AZ53)-1))</f>
        <v>-5.3412645789774338E-4</v>
      </c>
      <c r="BN53" s="7" cm="1">
        <f t="array" ref="BN53">IF(ISNA($BA53),NA(),IF($BE53=0,"***",PRODUCT(1+BA51:BA53)-1))</f>
        <v>1.944806468074467E-2</v>
      </c>
      <c r="BO53" s="7">
        <f t="shared" si="35"/>
        <v>-6.2287679136741048E-6</v>
      </c>
      <c r="BP53" s="7">
        <f t="shared" si="36"/>
        <v>1.9448343176012465E-2</v>
      </c>
    </row>
    <row r="54" spans="1:68" x14ac:dyDescent="0.25">
      <c r="A54" t="str">
        <f t="shared" si="31"/>
        <v>20150831</v>
      </c>
      <c r="B54">
        <f t="shared" si="32"/>
        <v>42247</v>
      </c>
      <c r="C54">
        <v>2015</v>
      </c>
      <c r="D54">
        <v>8</v>
      </c>
      <c r="F54" s="20">
        <f>IFERROR(GETPIVOTDATA("[Measures].[Sum of CashInterest]",'Results PT'!$B$8,"[Table2].[ReturnDate]","[Table2].[ReturnDate].&amp;["&amp;$A54&amp;"]"),NA())</f>
        <v>12792759.079999998</v>
      </c>
      <c r="G54" s="20">
        <f>IFERROR(GETPIVOTDATA("[Measures].[Sum of AccrInterest]",'Results PT'!$B$8,"[Table2].[ReturnDate]","[Table2].[ReturnDate].&amp;["&amp;$A54&amp;"]"),NA())</f>
        <v>2389266.4700000002</v>
      </c>
      <c r="H54" s="20">
        <f>IFERROR(GETPIVOTDATA("[Measures].[Sum of OtherIncome]",'Results PT'!$B$8,"[Table2].[ReturnDate]","[Table2].[ReturnDate].&amp;["&amp;$A54&amp;"]"),NA())</f>
        <v>168300</v>
      </c>
      <c r="I54" s="20">
        <f>IFERROR(GETPIVOTDATA("[Measures].[Sum of Expenses]",'Results PT'!$B$8,"[Table2].[ReturnDate]","[Table2].[ReturnDate].&amp;["&amp;$A54&amp;"]"),NA())</f>
        <v>0.01</v>
      </c>
      <c r="J54" s="20">
        <f>IFERROR(GETPIVOTDATA("[Measures].[Sum of PrincipalFunded]",'Results PT'!$B$8,"[Table2].[ReturnDate]","[Table2].[ReturnDate].&amp;["&amp;$A54&amp;"]"),NA())</f>
        <v>-19953275.609999999</v>
      </c>
      <c r="K54" s="20">
        <f>IFERROR(GETPIVOTDATA("[Measures].[Sum of PrincipalRepaid]",'Results PT'!$B$8,"[Table2].[ReturnDate]","[Table2].[ReturnDate].&amp;["&amp;$A54&amp;"]"),NA())</f>
        <v>43566248.280000009</v>
      </c>
      <c r="L54" s="20"/>
      <c r="M54" s="20">
        <f>IFERROR(GETPIVOTDATA("[Measures].[Sum of StartValue]",'Results PT'!$B$8,"[Table2].[ReturnDate]","[Table2].[ReturnDate].&amp;["&amp;$A54&amp;"]"),NA())</f>
        <v>2796260107.9900007</v>
      </c>
      <c r="N54" s="20">
        <f>IFERROR(GETPIVOTDATA("[Measures].[Sum of EndValue]",'Results PT'!$B$8,"[Table2].[ReturnDate]","[Table2].[ReturnDate].&amp;["&amp;$A54&amp;"]"),NA())</f>
        <v>2770368219.6199999</v>
      </c>
      <c r="O54" s="20">
        <f>IFERROR(GETPIVOTDATA("[Measures].[Sum of StartPrincipal]",'Results PT'!$B$8,"[Table2].[ReturnDate]","[Table2].[ReturnDate].&amp;["&amp;$A54&amp;"]"),NA())</f>
        <v>2800240379.2800016</v>
      </c>
      <c r="P54" s="20">
        <f>IFERROR(GETPIVOTDATA("[Measures].[Sum of EndPrincipal]",'Results PT'!$B$8,"[Table2].[ReturnDate]","[Table2].[ReturnDate].&amp;["&amp;$A54&amp;"]"),NA())</f>
        <v>2779016672.8000002</v>
      </c>
      <c r="Q54" s="20">
        <f>IFERROR(GETPIVOTDATA("[Measures].[Sum of StartNAV]",'Results PT'!$B$8,"[Table2].[ReturnDate]","[Table2].[ReturnDate].&amp;["&amp;$A54&amp;"]"),NA())</f>
        <v>2789744655.4900007</v>
      </c>
      <c r="R54" s="20">
        <f>IFERROR(GETPIVOTDATA("[Measures].[Sum of EndNAV]",'Results PT'!$B$8,"[Table2].[ReturnDate]","[Table2].[ReturnDate].&amp;["&amp;$A54&amp;"]"),NA())</f>
        <v>2763852767.1199999</v>
      </c>
      <c r="S54" s="20"/>
      <c r="T54" s="1">
        <f t="shared" si="45"/>
        <v>0</v>
      </c>
      <c r="U54" s="1">
        <f t="shared" si="46"/>
        <v>0</v>
      </c>
      <c r="V54">
        <f t="shared" si="11"/>
        <v>4</v>
      </c>
      <c r="W54" s="20">
        <f t="shared" si="37"/>
        <v>36574031.760000005</v>
      </c>
      <c r="X54" s="20">
        <f t="shared" si="12"/>
        <v>10682143.38999939</v>
      </c>
      <c r="Y54" s="20">
        <f t="shared" si="38"/>
        <v>2771457639.6100006</v>
      </c>
      <c r="Z54" s="3">
        <f t="shared" si="13"/>
        <v>3.8543412092355055E-3</v>
      </c>
      <c r="AA54" s="20"/>
      <c r="AC54" s="20">
        <f>IFERROR(GETPIVOTDATA("[Measures].[Distinct Count of LoanID]",'Count PT'!$B$3,"[Table2].[ReturnDate]","[Table2].[ReturnDate].&amp;["&amp;$A54&amp;"]"),NA())</f>
        <v>75</v>
      </c>
      <c r="AD54" s="20">
        <f>GETPIVOTDATA("[Measures].[Distinct Count of ManagerCode 2]",'Count PT'!$B$3,"[Table2].[ReturnDate]","[Table2].[ReturnDate].&amp;["&amp;$A54&amp;"]")</f>
        <v>6</v>
      </c>
      <c r="AE54" s="20" t="b">
        <f t="shared" si="14"/>
        <v>1</v>
      </c>
      <c r="AF54" s="20" t="b">
        <f t="shared" si="15"/>
        <v>1</v>
      </c>
      <c r="AG54" s="20" t="b">
        <f t="shared" si="16"/>
        <v>1</v>
      </c>
      <c r="AI54" s="7">
        <f t="shared" si="39"/>
        <v>4.6158955840292747E-3</v>
      </c>
      <c r="AJ54" s="7">
        <f t="shared" si="40"/>
        <v>8.6209741612223154E-4</v>
      </c>
      <c r="AK54" s="7">
        <f t="shared" si="41"/>
        <v>6.0726167196148508E-5</v>
      </c>
      <c r="AL54" s="7">
        <f t="shared" si="17"/>
        <v>5.5387191673476541E-3</v>
      </c>
      <c r="AM54" s="7">
        <f t="shared" si="42"/>
        <v>3.6082095779054374E-12</v>
      </c>
      <c r="AN54" s="7">
        <f t="shared" si="18"/>
        <v>5.5387191709558633E-3</v>
      </c>
      <c r="AO54" s="7">
        <f t="shared" si="19"/>
        <v>-1.6843779617203578E-3</v>
      </c>
      <c r="AP54" s="7">
        <f t="shared" si="43"/>
        <v>3.8543412092355055E-3</v>
      </c>
      <c r="AQ54" s="7">
        <f t="shared" si="44"/>
        <v>5.477993000151506E-3</v>
      </c>
      <c r="AS54" s="7">
        <f t="shared" si="20"/>
        <v>4.6158955840292747E-3</v>
      </c>
      <c r="AT54" s="7">
        <f t="shared" si="21"/>
        <v>8.6209741612223154E-4</v>
      </c>
      <c r="AU54" s="7">
        <f t="shared" si="22"/>
        <v>5.477993000151506E-3</v>
      </c>
      <c r="AV54" s="7">
        <f t="shared" si="23"/>
        <v>6.0726167196148508E-5</v>
      </c>
      <c r="AW54" s="7">
        <f t="shared" si="24"/>
        <v>5.5387191673476541E-3</v>
      </c>
      <c r="AX54" s="7">
        <f t="shared" si="25"/>
        <v>3.6082095779054374E-12</v>
      </c>
      <c r="AY54" s="7">
        <f t="shared" si="26"/>
        <v>5.5387191709558633E-3</v>
      </c>
      <c r="AZ54" s="7">
        <f t="shared" si="27"/>
        <v>-1.6843779617203578E-3</v>
      </c>
      <c r="BA54" s="7">
        <f t="shared" si="28"/>
        <v>3.8543412092355055E-3</v>
      </c>
      <c r="BB54" s="7">
        <f t="shared" si="29"/>
        <v>5.477993000151506E-3</v>
      </c>
      <c r="BD54">
        <f t="shared" si="30"/>
        <v>1</v>
      </c>
      <c r="BE54">
        <f t="shared" si="34"/>
        <v>1</v>
      </c>
      <c r="BF54" s="7" cm="1">
        <f t="array" ref="BF54">IF(ISNA($BA54),NA(),IF($BE54=0,"***",PRODUCT(1+AS52:AS54)-1))</f>
        <v>1.6311058509132836E-2</v>
      </c>
      <c r="BG54" s="7" cm="1">
        <f t="array" ref="BG54">IF(ISNA($BA54),NA(),IF($BE54=0,"***",PRODUCT(1+AT52:AT54)-1))</f>
        <v>2.4675691870124083E-3</v>
      </c>
      <c r="BH54" s="7" cm="1">
        <f t="array" ref="BH54">IF(ISNA($BA54),NA(),IF($BE54=0,"***",PRODUCT(1+AU52:AU54)-1))</f>
        <v>1.880544614869728E-2</v>
      </c>
      <c r="BI54" s="7" cm="1">
        <f t="array" ref="BI54">IF(ISNA($BA54),NA(),IF($BE54=0,"***",PRODUCT(1+AV52:AV54)-1))</f>
        <v>2.1110957679693065E-4</v>
      </c>
      <c r="BJ54" s="7" cm="1">
        <f t="array" ref="BJ54">IF(ISNA($BA54),NA(),IF($BE54=0,"***",PRODUCT(1+AW52:AW54)-1))</f>
        <v>1.9019149555016934E-2</v>
      </c>
      <c r="BK54" s="7" cm="1">
        <f t="array" ref="BK54">IF(ISNA($BA54),NA(),IF($BE54=0,"***",PRODUCT(1+AX52:AX54)-1))</f>
        <v>1.4293455308234115E-11</v>
      </c>
      <c r="BL54" s="7" cm="1">
        <f t="array" ref="BL54">IF(ISNA($BA54),NA(),IF($BE54=0,"***",PRODUCT(1+AY52:AY54)-1))</f>
        <v>1.9019149569493354E-2</v>
      </c>
      <c r="BM54" s="7" cm="1">
        <f t="array" ref="BM54">IF(ISNA($BA54),NA(),IF($BE54=0,"***",PRODUCT(1+AZ52:AZ54)-1))</f>
        <v>-4.0538993086700614E-3</v>
      </c>
      <c r="BN54" s="7" cm="1">
        <f t="array" ref="BN54">IF(ISNA($BA54),NA(),IF($BE54=0,"***",PRODUCT(1+BA52:BA54)-1))</f>
        <v>1.4914061747587803E-2</v>
      </c>
      <c r="BO54" s="7">
        <f t="shared" si="35"/>
        <v>-5.1188513235489452E-5</v>
      </c>
      <c r="BP54" s="7">
        <f t="shared" si="36"/>
        <v>1.8689251409970208E-2</v>
      </c>
    </row>
    <row r="55" spans="1:68" x14ac:dyDescent="0.25">
      <c r="A55" t="str">
        <f t="shared" si="31"/>
        <v>20150930</v>
      </c>
      <c r="B55">
        <f t="shared" si="32"/>
        <v>42277</v>
      </c>
      <c r="C55">
        <v>2015</v>
      </c>
      <c r="D55">
        <v>9</v>
      </c>
      <c r="F55" s="20">
        <f>IFERROR(GETPIVOTDATA("[Measures].[Sum of CashInterest]",'Results PT'!$B$8,"[Table2].[ReturnDate]","[Table2].[ReturnDate].&amp;["&amp;$A55&amp;"]"),NA())</f>
        <v>17048492.630000003</v>
      </c>
      <c r="G55" s="20">
        <f>IFERROR(GETPIVOTDATA("[Measures].[Sum of AccrInterest]",'Results PT'!$B$8,"[Table2].[ReturnDate]","[Table2].[ReturnDate].&amp;["&amp;$A55&amp;"]"),NA())</f>
        <v>2339901.4700000002</v>
      </c>
      <c r="H55" s="20">
        <f>IFERROR(GETPIVOTDATA("[Measures].[Sum of OtherIncome]",'Results PT'!$B$8,"[Table2].[ReturnDate]","[Table2].[ReturnDate].&amp;["&amp;$A55&amp;"]"),NA())</f>
        <v>938750</v>
      </c>
      <c r="I55" s="20">
        <f>IFERROR(GETPIVOTDATA("[Measures].[Sum of Expenses]",'Results PT'!$B$8,"[Table2].[ReturnDate]","[Table2].[ReturnDate].&amp;["&amp;$A55&amp;"]"),NA())</f>
        <v>-0.02</v>
      </c>
      <c r="J55" s="20">
        <f>IFERROR(GETPIVOTDATA("[Measures].[Sum of PrincipalFunded]",'Results PT'!$B$8,"[Table2].[ReturnDate]","[Table2].[ReturnDate].&amp;["&amp;$A55&amp;"]"),NA())</f>
        <v>-99877106.999999985</v>
      </c>
      <c r="K55" s="20">
        <f>IFERROR(GETPIVOTDATA("[Measures].[Sum of PrincipalRepaid]",'Results PT'!$B$8,"[Table2].[ReturnDate]","[Table2].[ReturnDate].&amp;["&amp;$A55&amp;"]"),NA())</f>
        <v>3014733.96</v>
      </c>
      <c r="L55" s="20"/>
      <c r="M55" s="20">
        <f>IFERROR(GETPIVOTDATA("[Measures].[Sum of StartValue]",'Results PT'!$B$8,"[Table2].[ReturnDate]","[Table2].[ReturnDate].&amp;["&amp;$A55&amp;"]"),NA())</f>
        <v>2770368219.6199999</v>
      </c>
      <c r="N55" s="20">
        <f>IFERROR(GETPIVOTDATA("[Measures].[Sum of EndValue]",'Results PT'!$B$8,"[Table2].[ReturnDate]","[Table2].[ReturnDate].&amp;["&amp;$A55&amp;"]"),NA())</f>
        <v>2866564274.7600007</v>
      </c>
      <c r="O55" s="20">
        <f>IFERROR(GETPIVOTDATA("[Measures].[Sum of StartPrincipal]",'Results PT'!$B$8,"[Table2].[ReturnDate]","[Table2].[ReturnDate].&amp;["&amp;$A55&amp;"]"),NA())</f>
        <v>2779016672.8000002</v>
      </c>
      <c r="P55" s="20">
        <f>IFERROR(GETPIVOTDATA("[Measures].[Sum of EndPrincipal]",'Results PT'!$B$8,"[Table2].[ReturnDate]","[Table2].[ReturnDate].&amp;["&amp;$A55&amp;"]"),NA())</f>
        <v>2878218947.5300007</v>
      </c>
      <c r="Q55" s="20">
        <f>IFERROR(GETPIVOTDATA("[Measures].[Sum of StartNAV]",'Results PT'!$B$8,"[Table2].[ReturnDate]","[Table2].[ReturnDate].&amp;["&amp;$A55&amp;"]"),NA())</f>
        <v>2763852767.1199999</v>
      </c>
      <c r="R55" s="20">
        <f>IFERROR(GETPIVOTDATA("[Measures].[Sum of EndNAV]",'Results PT'!$B$8,"[Table2].[ReturnDate]","[Table2].[ReturnDate].&amp;["&amp;$A55&amp;"]"),NA())</f>
        <v>2860048822.2600007</v>
      </c>
      <c r="S55" s="20"/>
      <c r="T55" s="1">
        <f t="shared" si="45"/>
        <v>0</v>
      </c>
      <c r="U55" s="1">
        <f t="shared" si="46"/>
        <v>0</v>
      </c>
      <c r="V55">
        <f t="shared" si="11"/>
        <v>4</v>
      </c>
      <c r="W55" s="20">
        <f t="shared" si="37"/>
        <v>-78875130.429999992</v>
      </c>
      <c r="X55" s="20">
        <f t="shared" si="12"/>
        <v>17320924.710000992</v>
      </c>
      <c r="Y55" s="20">
        <f t="shared" si="38"/>
        <v>2803290332.335</v>
      </c>
      <c r="Z55" s="3">
        <f t="shared" si="13"/>
        <v>6.1787837350309452E-3</v>
      </c>
      <c r="AA55" s="20"/>
      <c r="AC55" s="20">
        <f>IFERROR(GETPIVOTDATA("[Measures].[Distinct Count of LoanID]",'Count PT'!$B$3,"[Table2].[ReturnDate]","[Table2].[ReturnDate].&amp;["&amp;$A55&amp;"]"),NA())</f>
        <v>76</v>
      </c>
      <c r="AD55" s="20">
        <f>GETPIVOTDATA("[Measures].[Distinct Count of ManagerCode 2]",'Count PT'!$B$3,"[Table2].[ReturnDate]","[Table2].[ReturnDate].&amp;["&amp;$A55&amp;"]")</f>
        <v>6</v>
      </c>
      <c r="AE55" s="20" t="b">
        <f t="shared" si="14"/>
        <v>1</v>
      </c>
      <c r="AF55" s="20" t="b">
        <f t="shared" si="15"/>
        <v>1</v>
      </c>
      <c r="AG55" s="20" t="b">
        <f t="shared" si="16"/>
        <v>1</v>
      </c>
      <c r="AI55" s="7">
        <f t="shared" si="39"/>
        <v>6.0816007651264097E-3</v>
      </c>
      <c r="AJ55" s="7">
        <f t="shared" si="40"/>
        <v>8.3469822694068926E-4</v>
      </c>
      <c r="AK55" s="7">
        <f t="shared" si="41"/>
        <v>3.3487434004670806E-4</v>
      </c>
      <c r="AL55" s="7">
        <f t="shared" si="17"/>
        <v>7.2511733321138075E-3</v>
      </c>
      <c r="AM55" s="7">
        <f t="shared" si="42"/>
        <v>-7.1344732899431812E-12</v>
      </c>
      <c r="AN55" s="7">
        <f t="shared" si="18"/>
        <v>7.2511733249793339E-3</v>
      </c>
      <c r="AO55" s="7">
        <f t="shared" si="19"/>
        <v>-1.0723895899483887E-3</v>
      </c>
      <c r="AP55" s="7">
        <f t="shared" si="43"/>
        <v>6.1787837350309452E-3</v>
      </c>
      <c r="AQ55" s="7">
        <f t="shared" si="44"/>
        <v>6.9162989920670982E-3</v>
      </c>
      <c r="AS55" s="7">
        <f t="shared" si="20"/>
        <v>6.0816007651264097E-3</v>
      </c>
      <c r="AT55" s="7">
        <f t="shared" si="21"/>
        <v>8.3469822694068926E-4</v>
      </c>
      <c r="AU55" s="7">
        <f t="shared" si="22"/>
        <v>6.916298992067099E-3</v>
      </c>
      <c r="AV55" s="7">
        <f t="shared" si="23"/>
        <v>3.3487434004670806E-4</v>
      </c>
      <c r="AW55" s="7">
        <f t="shared" si="24"/>
        <v>7.2511733321138075E-3</v>
      </c>
      <c r="AX55" s="7">
        <f t="shared" si="25"/>
        <v>-7.1344732899431812E-12</v>
      </c>
      <c r="AY55" s="7">
        <f t="shared" si="26"/>
        <v>7.2511733249793339E-3</v>
      </c>
      <c r="AZ55" s="7">
        <f t="shared" si="27"/>
        <v>-1.0723895899483887E-3</v>
      </c>
      <c r="BA55" s="7">
        <f t="shared" si="28"/>
        <v>6.1787837350309452E-3</v>
      </c>
      <c r="BB55" s="7">
        <f t="shared" si="29"/>
        <v>6.9162989920670982E-3</v>
      </c>
      <c r="BD55">
        <f t="shared" si="30"/>
        <v>1</v>
      </c>
      <c r="BE55">
        <f t="shared" si="34"/>
        <v>1</v>
      </c>
      <c r="BF55" s="7" cm="1">
        <f t="array" ref="BF55">IF(ISNA($BA55),NA(),IF($BE55=0,"***",PRODUCT(1+AS53:AS55)-1))</f>
        <v>1.6326767492300664E-2</v>
      </c>
      <c r="BG55" s="7" cm="1">
        <f t="array" ref="BG55">IF(ISNA($BA55),NA(),IF($BE55=0,"***",PRODUCT(1+AT53:AT55)-1))</f>
        <v>2.5402433643695321E-3</v>
      </c>
      <c r="BH55" s="7" cm="1">
        <f t="array" ref="BH55">IF(ISNA($BA55),NA(),IF($BE55=0,"***",PRODUCT(1+AU53:AU55)-1))</f>
        <v>1.8894595371753642E-2</v>
      </c>
      <c r="BI55" s="7" cm="1">
        <f t="array" ref="BI55">IF(ISNA($BA55),NA(),IF($BE55=0,"***",PRODUCT(1+AV53:AV55)-1))</f>
        <v>3.9562084287791954E-4</v>
      </c>
      <c r="BJ55" s="7" cm="1">
        <f t="array" ref="BJ55">IF(ISNA($BA55),NA(),IF($BE55=0,"***",PRODUCT(1+AW53:AW55)-1))</f>
        <v>1.9295010316285888E-2</v>
      </c>
      <c r="BK55" s="7" cm="1">
        <f t="array" ref="BK55">IF(ISNA($BA55),NA(),IF($BE55=0,"***",PRODUCT(1+AX53:AX55)-1))</f>
        <v>7.1589401073879344E-12</v>
      </c>
      <c r="BL55" s="7" cm="1">
        <f t="array" ref="BL55">IF(ISNA($BA55),NA(),IF($BE55=0,"***",PRODUCT(1+AY53:AY55)-1))</f>
        <v>1.9295010323546302E-2</v>
      </c>
      <c r="BM55" s="7" cm="1">
        <f t="array" ref="BM55">IF(ISNA($BA55),NA(),IF($BE55=0,"***",PRODUCT(1+AZ53:AZ55)-1))</f>
        <v>-3.1674645305341809E-3</v>
      </c>
      <c r="BN55" s="7" cm="1">
        <f t="array" ref="BN55">IF(ISNA($BA55),NA(),IF($BE55=0,"***",PRODUCT(1+BA53:BA55)-1))</f>
        <v>1.608639190151262E-2</v>
      </c>
      <c r="BO55" s="7">
        <f t="shared" si="35"/>
        <v>-4.1153891499501327E-5</v>
      </c>
      <c r="BP55" s="7">
        <f t="shared" si="36"/>
        <v>1.8777352579753465E-2</v>
      </c>
    </row>
    <row r="56" spans="1:68" x14ac:dyDescent="0.25">
      <c r="A56" t="str">
        <f t="shared" si="31"/>
        <v>20151031</v>
      </c>
      <c r="B56">
        <f t="shared" si="32"/>
        <v>42308</v>
      </c>
      <c r="C56">
        <v>2015</v>
      </c>
      <c r="D56">
        <v>10</v>
      </c>
      <c r="F56" s="20">
        <f>IFERROR(GETPIVOTDATA("[Measures].[Sum of CashInterest]",'Results PT'!$B$8,"[Table2].[ReturnDate]","[Table2].[ReturnDate].&amp;["&amp;$A56&amp;"]"),NA())</f>
        <v>14548162.49</v>
      </c>
      <c r="G56" s="20">
        <f>IFERROR(GETPIVOTDATA("[Measures].[Sum of AccrInterest]",'Results PT'!$B$8,"[Table2].[ReturnDate]","[Table2].[ReturnDate].&amp;["&amp;$A56&amp;"]"),NA())</f>
        <v>2362954.13</v>
      </c>
      <c r="H56" s="20">
        <f>IFERROR(GETPIVOTDATA("[Measures].[Sum of OtherIncome]",'Results PT'!$B$8,"[Table2].[ReturnDate]","[Table2].[ReturnDate].&amp;["&amp;$A56&amp;"]"),NA())</f>
        <v>693549.85999999987</v>
      </c>
      <c r="I56" s="20">
        <f>IFERROR(GETPIVOTDATA("[Measures].[Sum of Expenses]",'Results PT'!$B$8,"[Table2].[ReturnDate]","[Table2].[ReturnDate].&amp;["&amp;$A56&amp;"]"),NA())</f>
        <v>-0.01</v>
      </c>
      <c r="J56" s="20">
        <f>IFERROR(GETPIVOTDATA("[Measures].[Sum of PrincipalFunded]",'Results PT'!$B$8,"[Table2].[ReturnDate]","[Table2].[ReturnDate].&amp;["&amp;$A56&amp;"]"),NA())</f>
        <v>13005180.179999998</v>
      </c>
      <c r="K56" s="20">
        <f>IFERROR(GETPIVOTDATA("[Measures].[Sum of PrincipalRepaid]",'Results PT'!$B$8,"[Table2].[ReturnDate]","[Table2].[ReturnDate].&amp;["&amp;$A56&amp;"]"),NA())</f>
        <v>12686072.35</v>
      </c>
      <c r="L56" s="20"/>
      <c r="M56" s="20">
        <f>IFERROR(GETPIVOTDATA("[Measures].[Sum of StartValue]",'Results PT'!$B$8,"[Table2].[ReturnDate]","[Table2].[ReturnDate].&amp;["&amp;$A56&amp;"]"),NA())</f>
        <v>2866564274.7600007</v>
      </c>
      <c r="N56" s="20">
        <f>IFERROR(GETPIVOTDATA("[Measures].[Sum of EndValue]",'Results PT'!$B$8,"[Table2].[ReturnDate]","[Table2].[ReturnDate].&amp;["&amp;$A56&amp;"]"),NA())</f>
        <v>2844945856.6700001</v>
      </c>
      <c r="O56" s="20">
        <f>IFERROR(GETPIVOTDATA("[Measures].[Sum of StartPrincipal]",'Results PT'!$B$8,"[Table2].[ReturnDate]","[Table2].[ReturnDate].&amp;["&amp;$A56&amp;"]"),NA())</f>
        <v>2878218947.5300007</v>
      </c>
      <c r="P56" s="20">
        <f>IFERROR(GETPIVOTDATA("[Measures].[Sum of EndPrincipal]",'Results PT'!$B$8,"[Table2].[ReturnDate]","[Table2].[ReturnDate].&amp;["&amp;$A56&amp;"]"),NA())</f>
        <v>2854890649.2300005</v>
      </c>
      <c r="Q56" s="20">
        <f>IFERROR(GETPIVOTDATA("[Measures].[Sum of StartNAV]",'Results PT'!$B$8,"[Table2].[ReturnDate]","[Table2].[ReturnDate].&amp;["&amp;$A56&amp;"]"),NA())</f>
        <v>2860048822.2600007</v>
      </c>
      <c r="R56" s="20">
        <f>IFERROR(GETPIVOTDATA("[Measures].[Sum of EndNAV]",'Results PT'!$B$8,"[Table2].[ReturnDate]","[Table2].[ReturnDate].&amp;["&amp;$A56&amp;"]"),NA())</f>
        <v>2838430404.1700001</v>
      </c>
      <c r="S56" s="20"/>
      <c r="T56" s="1">
        <f t="shared" si="45"/>
        <v>0</v>
      </c>
      <c r="U56" s="1">
        <f t="shared" si="46"/>
        <v>0</v>
      </c>
      <c r="V56">
        <f t="shared" si="11"/>
        <v>4</v>
      </c>
      <c r="W56" s="20">
        <f t="shared" si="37"/>
        <v>40932964.869999997</v>
      </c>
      <c r="X56" s="20">
        <f t="shared" si="12"/>
        <v>19314546.779999256</v>
      </c>
      <c r="Y56" s="20">
        <f t="shared" si="38"/>
        <v>2839582339.8250008</v>
      </c>
      <c r="Z56" s="3">
        <f t="shared" si="13"/>
        <v>6.8018970639145415E-3</v>
      </c>
      <c r="AA56" s="20"/>
      <c r="AC56" s="20">
        <f>IFERROR(GETPIVOTDATA("[Measures].[Distinct Count of LoanID]",'Count PT'!$B$3,"[Table2].[ReturnDate]","[Table2].[ReturnDate].&amp;["&amp;$A56&amp;"]"),NA())</f>
        <v>77</v>
      </c>
      <c r="AD56" s="20">
        <f>GETPIVOTDATA("[Measures].[Distinct Count of ManagerCode 2]",'Count PT'!$B$3,"[Table2].[ReturnDate]","[Table2].[ReturnDate].&amp;["&amp;$A56&amp;"]")</f>
        <v>6</v>
      </c>
      <c r="AE56" s="20" t="b">
        <f t="shared" si="14"/>
        <v>1</v>
      </c>
      <c r="AF56" s="20" t="b">
        <f t="shared" si="15"/>
        <v>1</v>
      </c>
      <c r="AG56" s="20" t="b">
        <f t="shared" si="16"/>
        <v>1</v>
      </c>
      <c r="AI56" s="7">
        <f t="shared" si="39"/>
        <v>5.1233458829359323E-3</v>
      </c>
      <c r="AJ56" s="7">
        <f t="shared" si="40"/>
        <v>8.3214848073242533E-4</v>
      </c>
      <c r="AK56" s="7">
        <f t="shared" si="41"/>
        <v>2.4424361649000195E-4</v>
      </c>
      <c r="AL56" s="7">
        <f t="shared" si="17"/>
        <v>6.1997379801583602E-3</v>
      </c>
      <c r="AM56" s="7">
        <f t="shared" si="42"/>
        <v>-3.5216446657490784E-12</v>
      </c>
      <c r="AN56" s="7">
        <f t="shared" si="18"/>
        <v>6.1997379766367154E-3</v>
      </c>
      <c r="AO56" s="7">
        <f t="shared" si="19"/>
        <v>6.0215908727782614E-4</v>
      </c>
      <c r="AP56" s="7">
        <f t="shared" si="43"/>
        <v>6.8018970639145415E-3</v>
      </c>
      <c r="AQ56" s="7">
        <f t="shared" si="44"/>
        <v>5.955494363668358E-3</v>
      </c>
      <c r="AS56" s="7">
        <f t="shared" si="20"/>
        <v>5.1233458829359323E-3</v>
      </c>
      <c r="AT56" s="7">
        <f t="shared" si="21"/>
        <v>8.3214848073242533E-4</v>
      </c>
      <c r="AU56" s="7">
        <f t="shared" si="22"/>
        <v>5.955494363668358E-3</v>
      </c>
      <c r="AV56" s="7">
        <f t="shared" si="23"/>
        <v>2.4424361649000195E-4</v>
      </c>
      <c r="AW56" s="7">
        <f t="shared" si="24"/>
        <v>6.1997379801583602E-3</v>
      </c>
      <c r="AX56" s="7">
        <f t="shared" si="25"/>
        <v>-3.5216446657490784E-12</v>
      </c>
      <c r="AY56" s="7">
        <f t="shared" si="26"/>
        <v>6.1997379766367154E-3</v>
      </c>
      <c r="AZ56" s="7">
        <f t="shared" si="27"/>
        <v>6.0215908727782614E-4</v>
      </c>
      <c r="BA56" s="7">
        <f t="shared" si="28"/>
        <v>6.8018970639145415E-3</v>
      </c>
      <c r="BB56" s="7">
        <f t="shared" si="29"/>
        <v>5.955494363668358E-3</v>
      </c>
      <c r="BD56">
        <f t="shared" si="30"/>
        <v>1</v>
      </c>
      <c r="BE56">
        <f t="shared" si="34"/>
        <v>1</v>
      </c>
      <c r="BF56" s="7" cm="1">
        <f t="array" ref="BF56">IF(ISNA($BA56),NA(),IF($BE56=0,"***",PRODUCT(1+AS54:AS56)-1))</f>
        <v>1.5903865062825373E-2</v>
      </c>
      <c r="BG56" s="7" cm="1">
        <f t="array" ref="BG56">IF(ISNA($BA56),NA(),IF($BE56=0,"***",PRODUCT(1+AT54:AT56)-1))</f>
        <v>2.5310762997030611E-3</v>
      </c>
      <c r="BH56" s="7" cm="1">
        <f t="array" ref="BH56">IF(ISNA($BA56),NA(),IF($BE56=0,"***",PRODUCT(1+AU54:AU56)-1))</f>
        <v>1.8461713567874183E-2</v>
      </c>
      <c r="BI56" s="7" cm="1">
        <f t="array" ref="BI56">IF(ISNA($BA56),NA(),IF($BE56=0,"***",PRODUCT(1+AV54:AV56)-1))</f>
        <v>6.3996108723340939E-4</v>
      </c>
      <c r="BJ56" s="7" cm="1">
        <f t="array" ref="BJ56">IF(ISNA($BA56),NA(),IF($BE56=0,"***",PRODUCT(1+AW54:AW56)-1))</f>
        <v>1.9109335669827088E-2</v>
      </c>
      <c r="BK56" s="7" cm="1">
        <f t="array" ref="BK56">IF(ISNA($BA56),NA(),IF($BE56=0,"***",PRODUCT(1+AX54:AX56)-1))</f>
        <v>-7.0479178049254187E-12</v>
      </c>
      <c r="BL56" s="7" cm="1">
        <f t="array" ref="BL56">IF(ISNA($BA56),NA(),IF($BE56=0,"***",PRODUCT(1+AY54:AY56)-1))</f>
        <v>1.9109335662698568E-2</v>
      </c>
      <c r="BM56" s="7" cm="1">
        <f t="array" ref="BM56">IF(ISNA($BA56),NA(),IF($BE56=0,"***",PRODUCT(1+AZ54:AZ56)-1))</f>
        <v>-2.1544610799464348E-3</v>
      </c>
      <c r="BN56" s="7" cm="1">
        <f t="array" ref="BN56">IF(ISNA($BA56),NA(),IF($BE56=0,"***",PRODUCT(1+BA54:BA56)-1))</f>
        <v>1.6927243420190363E-2</v>
      </c>
      <c r="BO56" s="7">
        <f t="shared" si="35"/>
        <v>-2.7631162561769784E-5</v>
      </c>
      <c r="BP56" s="7">
        <f t="shared" si="36"/>
        <v>1.8349786355886962E-2</v>
      </c>
    </row>
    <row r="57" spans="1:68" x14ac:dyDescent="0.25">
      <c r="A57" t="str">
        <f t="shared" si="31"/>
        <v>20151130</v>
      </c>
      <c r="B57">
        <f t="shared" si="32"/>
        <v>42338</v>
      </c>
      <c r="C57">
        <v>2015</v>
      </c>
      <c r="D57">
        <v>11</v>
      </c>
      <c r="F57" s="20">
        <f>IFERROR(GETPIVOTDATA("[Measures].[Sum of CashInterest]",'Results PT'!$B$8,"[Table2].[ReturnDate]","[Table2].[ReturnDate].&amp;["&amp;$A57&amp;"]"),NA())</f>
        <v>12454081.1</v>
      </c>
      <c r="G57" s="20">
        <f>IFERROR(GETPIVOTDATA("[Measures].[Sum of AccrInterest]",'Results PT'!$B$8,"[Table2].[ReturnDate]","[Table2].[ReturnDate].&amp;["&amp;$A57&amp;"]"),NA())</f>
        <v>2400795.4</v>
      </c>
      <c r="H57" s="20">
        <f>IFERROR(GETPIVOTDATA("[Measures].[Sum of OtherIncome]",'Results PT'!$B$8,"[Table2].[ReturnDate]","[Table2].[ReturnDate].&amp;["&amp;$A57&amp;"]"),NA())</f>
        <v>1697956.28</v>
      </c>
      <c r="I57" s="20">
        <f>IFERROR(GETPIVOTDATA("[Measures].[Sum of Expenses]",'Results PT'!$B$8,"[Table2].[ReturnDate]","[Table2].[ReturnDate].&amp;["&amp;$A57&amp;"]"),NA())</f>
        <v>0</v>
      </c>
      <c r="J57" s="20">
        <f>IFERROR(GETPIVOTDATA("[Measures].[Sum of PrincipalFunded]",'Results PT'!$B$8,"[Table2].[ReturnDate]","[Table2].[ReturnDate].&amp;["&amp;$A57&amp;"]"),NA())</f>
        <v>-102078464.58</v>
      </c>
      <c r="K57" s="20">
        <f>IFERROR(GETPIVOTDATA("[Measures].[Sum of PrincipalRepaid]",'Results PT'!$B$8,"[Table2].[ReturnDate]","[Table2].[ReturnDate].&amp;["&amp;$A57&amp;"]"),NA())</f>
        <v>42394900.100000001</v>
      </c>
      <c r="L57" s="20"/>
      <c r="M57" s="20">
        <f>IFERROR(GETPIVOTDATA("[Measures].[Sum of StartValue]",'Results PT'!$B$8,"[Table2].[ReturnDate]","[Table2].[ReturnDate].&amp;["&amp;$A57&amp;"]"),NA())</f>
        <v>2844945856.6700001</v>
      </c>
      <c r="N57" s="20">
        <f>IFERROR(GETPIVOTDATA("[Measures].[Sum of EndValue]",'Results PT'!$B$8,"[Table2].[ReturnDate]","[Table2].[ReturnDate].&amp;["&amp;$A57&amp;"]"),NA())</f>
        <v>2906234595.0900006</v>
      </c>
      <c r="O57" s="20">
        <f>IFERROR(GETPIVOTDATA("[Measures].[Sum of StartPrincipal]",'Results PT'!$B$8,"[Table2].[ReturnDate]","[Table2].[ReturnDate].&amp;["&amp;$A57&amp;"]"),NA())</f>
        <v>2854890649.2300005</v>
      </c>
      <c r="P57" s="20">
        <f>IFERROR(GETPIVOTDATA("[Measures].[Sum of EndPrincipal]",'Results PT'!$B$8,"[Table2].[ReturnDate]","[Table2].[ReturnDate].&amp;["&amp;$A57&amp;"]"),NA())</f>
        <v>2916975009.0200005</v>
      </c>
      <c r="Q57" s="20">
        <f>IFERROR(GETPIVOTDATA("[Measures].[Sum of StartNAV]",'Results PT'!$B$8,"[Table2].[ReturnDate]","[Table2].[ReturnDate].&amp;["&amp;$A57&amp;"]"),NA())</f>
        <v>2838430404.1700001</v>
      </c>
      <c r="R57" s="20">
        <f>IFERROR(GETPIVOTDATA("[Measures].[Sum of EndNAV]",'Results PT'!$B$8,"[Table2].[ReturnDate]","[Table2].[ReturnDate].&amp;["&amp;$A57&amp;"]"),NA())</f>
        <v>2899719142.5900006</v>
      </c>
      <c r="S57" s="20"/>
      <c r="T57" s="1">
        <f t="shared" si="45"/>
        <v>0</v>
      </c>
      <c r="U57" s="1">
        <f t="shared" si="46"/>
        <v>0</v>
      </c>
      <c r="V57">
        <f t="shared" si="11"/>
        <v>4</v>
      </c>
      <c r="W57" s="20">
        <f t="shared" si="37"/>
        <v>-45531527.100000001</v>
      </c>
      <c r="X57" s="20">
        <f t="shared" si="12"/>
        <v>15757211.320000648</v>
      </c>
      <c r="Y57" s="20">
        <f t="shared" si="38"/>
        <v>2861196167.7200003</v>
      </c>
      <c r="Z57" s="3">
        <f t="shared" si="13"/>
        <v>5.5072111090366405E-3</v>
      </c>
      <c r="AA57" s="20"/>
      <c r="AC57" s="20">
        <f>IFERROR(GETPIVOTDATA("[Measures].[Distinct Count of LoanID]",'Count PT'!$B$3,"[Table2].[ReturnDate]","[Table2].[ReturnDate].&amp;["&amp;$A57&amp;"]"),NA())</f>
        <v>81</v>
      </c>
      <c r="AD57" s="20">
        <f>GETPIVOTDATA("[Measures].[Distinct Count of ManagerCode 2]",'Count PT'!$B$3,"[Table2].[ReturnDate]","[Table2].[ReturnDate].&amp;["&amp;$A57&amp;"]")</f>
        <v>6</v>
      </c>
      <c r="AE57" s="20" t="b">
        <f t="shared" si="14"/>
        <v>1</v>
      </c>
      <c r="AF57" s="20" t="b">
        <f t="shared" si="15"/>
        <v>1</v>
      </c>
      <c r="AG57" s="20" t="b">
        <f t="shared" si="16"/>
        <v>1</v>
      </c>
      <c r="AI57" s="7">
        <f t="shared" si="39"/>
        <v>4.352753313633953E-3</v>
      </c>
      <c r="AJ57" s="7">
        <f t="shared" si="40"/>
        <v>8.3908801049217135E-4</v>
      </c>
      <c r="AK57" s="7">
        <f t="shared" si="41"/>
        <v>5.9344280520026336E-4</v>
      </c>
      <c r="AL57" s="7">
        <f t="shared" si="17"/>
        <v>5.7852841293263881E-3</v>
      </c>
      <c r="AM57" s="7">
        <f t="shared" si="42"/>
        <v>0</v>
      </c>
      <c r="AN57" s="7">
        <f t="shared" si="18"/>
        <v>5.7852841293263881E-3</v>
      </c>
      <c r="AO57" s="7">
        <f t="shared" si="19"/>
        <v>-2.7807302028974752E-4</v>
      </c>
      <c r="AP57" s="7">
        <f t="shared" si="43"/>
        <v>5.5072111090366405E-3</v>
      </c>
      <c r="AQ57" s="7">
        <f t="shared" si="44"/>
        <v>5.1918413241261244E-3</v>
      </c>
      <c r="AS57" s="7">
        <f t="shared" si="20"/>
        <v>4.352753313633953E-3</v>
      </c>
      <c r="AT57" s="7">
        <f t="shared" si="21"/>
        <v>8.3908801049217135E-4</v>
      </c>
      <c r="AU57" s="7">
        <f t="shared" si="22"/>
        <v>5.1918413241261244E-3</v>
      </c>
      <c r="AV57" s="7">
        <f t="shared" si="23"/>
        <v>5.9344280520026336E-4</v>
      </c>
      <c r="AW57" s="7">
        <f t="shared" si="24"/>
        <v>5.7852841293263881E-3</v>
      </c>
      <c r="AX57" s="7">
        <f t="shared" si="25"/>
        <v>0</v>
      </c>
      <c r="AY57" s="7">
        <f t="shared" si="26"/>
        <v>5.7852841293263881E-3</v>
      </c>
      <c r="AZ57" s="7">
        <f t="shared" si="27"/>
        <v>-2.7807302028974752E-4</v>
      </c>
      <c r="BA57" s="7">
        <f t="shared" si="28"/>
        <v>5.5072111090366405E-3</v>
      </c>
      <c r="BB57" s="7">
        <f t="shared" si="29"/>
        <v>5.1918413241261244E-3</v>
      </c>
      <c r="BD57">
        <f t="shared" si="30"/>
        <v>1</v>
      </c>
      <c r="BE57">
        <f t="shared" si="34"/>
        <v>1</v>
      </c>
      <c r="BF57" s="7" cm="1">
        <f t="array" ref="BF57">IF(ISNA($BA57),NA(),IF($BE57=0,"***",PRODUCT(1+AS55:AS57)-1))</f>
        <v>1.5637766098304917E-2</v>
      </c>
      <c r="BG57" s="7" cm="1">
        <f t="array" ref="BG57">IF(ISNA($BA57),NA(),IF($BE57=0,"***",PRODUCT(1+AT55:AT57)-1))</f>
        <v>2.5080285249390322E-3</v>
      </c>
      <c r="BH57" s="7" cm="1">
        <f t="array" ref="BH57">IF(ISNA($BA57),NA(),IF($BE57=0,"***",PRODUCT(1+AU55:AU57)-1))</f>
        <v>1.8171866820024585E-2</v>
      </c>
      <c r="BI57" s="7" cm="1">
        <f t="array" ref="BI57">IF(ISNA($BA57),NA(),IF($BE57=0,"***",PRODUCT(1+AV55:AV57)-1))</f>
        <v>1.1729862745797348E-3</v>
      </c>
      <c r="BJ57" s="7" cm="1">
        <f t="array" ref="BJ57">IF(ISNA($BA57),NA(),IF($BE57=0,"***",PRODUCT(1+AW55:AW57)-1))</f>
        <v>1.9359228239662185E-2</v>
      </c>
      <c r="BK57" s="7" cm="1">
        <f t="array" ref="BK57">IF(ISNA($BA57),NA(),IF($BE57=0,"***",PRODUCT(1+AX55:AX57)-1))</f>
        <v>-1.0656142634957178E-11</v>
      </c>
      <c r="BL57" s="7" cm="1">
        <f t="array" ref="BL57">IF(ISNA($BA57),NA(),IF($BE57=0,"***",PRODUCT(1+AY55:AY57)-1))</f>
        <v>1.9359228228874148E-2</v>
      </c>
      <c r="BM57" s="7" cm="1">
        <f t="array" ref="BM57">IF(ISNA($BA57),NA(),IF($BE57=0,"***",PRODUCT(1+AZ55:AZ57)-1))</f>
        <v>-7.4881833411544196E-4</v>
      </c>
      <c r="BN57" s="7" cm="1">
        <f t="array" ref="BN57">IF(ISNA($BA57),NA(),IF($BE57=0,"***",PRODUCT(1+BA55:BA57)-1))</f>
        <v>1.8601638162471401E-2</v>
      </c>
      <c r="BO57" s="7">
        <f t="shared" si="35"/>
        <v>-8.7717322873048786E-6</v>
      </c>
      <c r="BP57" s="7">
        <f t="shared" si="36"/>
        <v>1.8063634679861579E-2</v>
      </c>
    </row>
    <row r="58" spans="1:68" x14ac:dyDescent="0.25">
      <c r="A58" t="str">
        <f t="shared" si="31"/>
        <v>20151231</v>
      </c>
      <c r="B58">
        <f t="shared" si="32"/>
        <v>42369</v>
      </c>
      <c r="C58">
        <v>2015</v>
      </c>
      <c r="D58">
        <v>12</v>
      </c>
      <c r="F58" s="20">
        <f>IFERROR(GETPIVOTDATA("[Measures].[Sum of CashInterest]",'Results PT'!$B$8,"[Table2].[ReturnDate]","[Table2].[ReturnDate].&amp;["&amp;$A58&amp;"]"),NA())</f>
        <v>12615991.060000001</v>
      </c>
      <c r="G58" s="20">
        <f>IFERROR(GETPIVOTDATA("[Measures].[Sum of AccrInterest]",'Results PT'!$B$8,"[Table2].[ReturnDate]","[Table2].[ReturnDate].&amp;["&amp;$A58&amp;"]"),NA())</f>
        <v>2566739.44</v>
      </c>
      <c r="H58" s="20">
        <f>IFERROR(GETPIVOTDATA("[Measures].[Sum of OtherIncome]",'Results PT'!$B$8,"[Table2].[ReturnDate]","[Table2].[ReturnDate].&amp;["&amp;$A58&amp;"]"),NA())</f>
        <v>-590441.1</v>
      </c>
      <c r="I58" s="20">
        <f>IFERROR(GETPIVOTDATA("[Measures].[Sum of Expenses]",'Results PT'!$B$8,"[Table2].[ReturnDate]","[Table2].[ReturnDate].&amp;["&amp;$A58&amp;"]"),NA())</f>
        <v>-0.01</v>
      </c>
      <c r="J58" s="20">
        <f>IFERROR(GETPIVOTDATA("[Measures].[Sum of PrincipalFunded]",'Results PT'!$B$8,"[Table2].[ReturnDate]","[Table2].[ReturnDate].&amp;["&amp;$A58&amp;"]"),NA())</f>
        <v>42369818.869999997</v>
      </c>
      <c r="K58" s="20">
        <f>IFERROR(GETPIVOTDATA("[Measures].[Sum of PrincipalRepaid]",'Results PT'!$B$8,"[Table2].[ReturnDate]","[Table2].[ReturnDate].&amp;["&amp;$A58&amp;"]"),NA())</f>
        <v>87937263.769999996</v>
      </c>
      <c r="L58" s="20"/>
      <c r="M58" s="20">
        <f>IFERROR(GETPIVOTDATA("[Measures].[Sum of StartValue]",'Results PT'!$B$8,"[Table2].[ReturnDate]","[Table2].[ReturnDate].&amp;["&amp;$A58&amp;"]"),NA())</f>
        <v>2906234595.0900006</v>
      </c>
      <c r="N58" s="20">
        <f>IFERROR(GETPIVOTDATA("[Measures].[Sum of EndValue]",'Results PT'!$B$8,"[Table2].[ReturnDate]","[Table2].[ReturnDate].&amp;["&amp;$A58&amp;"]"),NA())</f>
        <v>2750334684.2200003</v>
      </c>
      <c r="O58" s="20">
        <f>IFERROR(GETPIVOTDATA("[Measures].[Sum of StartPrincipal]",'Results PT'!$B$8,"[Table2].[ReturnDate]","[Table2].[ReturnDate].&amp;["&amp;$A58&amp;"]"),NA())</f>
        <v>2916975009.0200005</v>
      </c>
      <c r="P58" s="20">
        <f>IFERROR(GETPIVOTDATA("[Measures].[Sum of EndPrincipal]",'Results PT'!$B$8,"[Table2].[ReturnDate]","[Table2].[ReturnDate].&amp;["&amp;$A58&amp;"]"),NA())</f>
        <v>2789234665.8800006</v>
      </c>
      <c r="Q58" s="20">
        <f>IFERROR(GETPIVOTDATA("[Measures].[Sum of StartNAV]",'Results PT'!$B$8,"[Table2].[ReturnDate]","[Table2].[ReturnDate].&amp;["&amp;$A58&amp;"]"),NA())</f>
        <v>2899719142.5900006</v>
      </c>
      <c r="R58" s="20">
        <f>IFERROR(GETPIVOTDATA("[Measures].[Sum of EndNAV]",'Results PT'!$B$8,"[Table2].[ReturnDate]","[Table2].[ReturnDate].&amp;["&amp;$A58&amp;"]"),NA())</f>
        <v>2743819231.7200003</v>
      </c>
      <c r="S58" s="20"/>
      <c r="T58" s="1">
        <f t="shared" si="45"/>
        <v>0</v>
      </c>
      <c r="U58" s="1">
        <f t="shared" si="46"/>
        <v>0</v>
      </c>
      <c r="V58">
        <f t="shared" si="11"/>
        <v>4</v>
      </c>
      <c r="W58" s="20">
        <f t="shared" si="37"/>
        <v>142332632.59</v>
      </c>
      <c r="X58" s="20">
        <f t="shared" si="12"/>
        <v>-13567278.28000021</v>
      </c>
      <c r="Y58" s="20">
        <f t="shared" si="38"/>
        <v>2828552826.2950006</v>
      </c>
      <c r="Z58" s="3">
        <f t="shared" si="13"/>
        <v>-4.7965440680036381E-3</v>
      </c>
      <c r="AA58" s="20"/>
      <c r="AC58" s="20">
        <f>IFERROR(GETPIVOTDATA("[Measures].[Distinct Count of LoanID]",'Count PT'!$B$3,"[Table2].[ReturnDate]","[Table2].[ReturnDate].&amp;["&amp;$A58&amp;"]"),NA())</f>
        <v>79</v>
      </c>
      <c r="AD58" s="20">
        <f>GETPIVOTDATA("[Measures].[Distinct Count of ManagerCode 2]",'Count PT'!$B$3,"[Table2].[ReturnDate]","[Table2].[ReturnDate].&amp;["&amp;$A58&amp;"]")</f>
        <v>6</v>
      </c>
      <c r="AE58" s="20" t="b">
        <f t="shared" si="14"/>
        <v>1</v>
      </c>
      <c r="AF58" s="20" t="b">
        <f t="shared" si="15"/>
        <v>1</v>
      </c>
      <c r="AG58" s="20" t="b">
        <f t="shared" si="16"/>
        <v>1</v>
      </c>
      <c r="AI58" s="7">
        <f t="shared" si="39"/>
        <v>4.4602281925648687E-3</v>
      </c>
      <c r="AJ58" s="7">
        <f t="shared" si="40"/>
        <v>9.074391031833976E-4</v>
      </c>
      <c r="AK58" s="7">
        <f t="shared" si="41"/>
        <v>-2.0874317584281901E-4</v>
      </c>
      <c r="AL58" s="7">
        <f t="shared" si="17"/>
        <v>5.1589241199054472E-3</v>
      </c>
      <c r="AM58" s="7">
        <f t="shared" si="42"/>
        <v>-3.5353767859794825E-12</v>
      </c>
      <c r="AN58" s="7">
        <f t="shared" si="18"/>
        <v>5.1589241163700703E-3</v>
      </c>
      <c r="AO58" s="7">
        <f t="shared" si="19"/>
        <v>-9.9554681843737093E-3</v>
      </c>
      <c r="AP58" s="7">
        <f t="shared" si="43"/>
        <v>-4.7965440680036381E-3</v>
      </c>
      <c r="AQ58" s="7">
        <f t="shared" si="44"/>
        <v>5.3676672957482657E-3</v>
      </c>
      <c r="AS58" s="7">
        <f t="shared" si="20"/>
        <v>4.4602281925648687E-3</v>
      </c>
      <c r="AT58" s="7">
        <f t="shared" si="21"/>
        <v>9.074391031833976E-4</v>
      </c>
      <c r="AU58" s="7">
        <f t="shared" si="22"/>
        <v>5.3676672957482666E-3</v>
      </c>
      <c r="AV58" s="7">
        <f t="shared" si="23"/>
        <v>-2.0874317584281901E-4</v>
      </c>
      <c r="AW58" s="7">
        <f t="shared" si="24"/>
        <v>5.1589241199054472E-3</v>
      </c>
      <c r="AX58" s="7">
        <f t="shared" si="25"/>
        <v>-3.5353767859794825E-12</v>
      </c>
      <c r="AY58" s="7">
        <f t="shared" si="26"/>
        <v>5.1589241163700703E-3</v>
      </c>
      <c r="AZ58" s="7">
        <f t="shared" si="27"/>
        <v>-9.9554681843737093E-3</v>
      </c>
      <c r="BA58" s="7">
        <f t="shared" si="28"/>
        <v>-4.7965440680036381E-3</v>
      </c>
      <c r="BB58" s="7">
        <f t="shared" si="29"/>
        <v>5.3676672957482657E-3</v>
      </c>
      <c r="BD58">
        <f t="shared" si="30"/>
        <v>1</v>
      </c>
      <c r="BE58">
        <f t="shared" si="34"/>
        <v>1</v>
      </c>
      <c r="BF58" s="7" cm="1">
        <f t="array" ref="BF58">IF(ISNA($BA58),NA(),IF($BE58=0,"***",PRODUCT(1+AS56:AS58)-1))</f>
        <v>1.4000993080731661E-2</v>
      </c>
      <c r="BG58" s="7" cm="1">
        <f t="array" ref="BG58">IF(ISNA($BA58),NA(),IF($BE58=0,"***",PRODUCT(1+AT56:AT58)-1))</f>
        <v>2.5808910191795764E-3</v>
      </c>
      <c r="BH58" s="7" cm="1">
        <f t="array" ref="BH58">IF(ISNA($BA58),NA(),IF($BE58=0,"***",PRODUCT(1+AU56:AU58)-1))</f>
        <v>1.6605924122666593E-2</v>
      </c>
      <c r="BI58" s="7" cm="1">
        <f t="array" ref="BI58">IF(ISNA($BA58),NA(),IF($BE58=0,"***",PRODUCT(1+AV56:AV58)-1))</f>
        <v>6.2891329888414838E-4</v>
      </c>
      <c r="BJ58" s="7" cm="1">
        <f t="array" ref="BJ58">IF(ISNA($BA58),NA(),IF($BE58=0,"***",PRODUCT(1+AW56:AW58)-1))</f>
        <v>1.7241828331170161E-2</v>
      </c>
      <c r="BK58" s="7" cm="1">
        <f t="array" ref="BK58">IF(ISNA($BA58),NA(),IF($BE58=0,"***",PRODUCT(1+AX56:AX58)-1))</f>
        <v>-7.057021633727345E-12</v>
      </c>
      <c r="BL58" s="7" cm="1">
        <f t="array" ref="BL58">IF(ISNA($BA58),NA(),IF($BE58=0,"***",PRODUCT(1+AY56:AY58)-1))</f>
        <v>1.7241828324032094E-2</v>
      </c>
      <c r="BM58" s="7" cm="1">
        <f t="array" ref="BM58">IF(ISNA($BA58),NA(),IF($BE58=0,"***",PRODUCT(1+AZ56:AZ58)-1))</f>
        <v>-9.6347743231254279E-3</v>
      </c>
      <c r="BN58" s="7" cm="1">
        <f t="array" ref="BN58">IF(ISNA($BA58),NA(),IF($BE58=0,"***",PRODUCT(1+BA56:BA58)-1))</f>
        <v>7.4908027321698434E-3</v>
      </c>
      <c r="BO58" s="7">
        <f t="shared" si="35"/>
        <v>-1.1625126873682223E-4</v>
      </c>
      <c r="BP58" s="7">
        <f t="shared" si="36"/>
        <v>1.6515002983542748E-2</v>
      </c>
    </row>
    <row r="59" spans="1:68" x14ac:dyDescent="0.25">
      <c r="A59" t="str">
        <f t="shared" si="31"/>
        <v>20160131</v>
      </c>
      <c r="B59">
        <f t="shared" si="32"/>
        <v>42400</v>
      </c>
      <c r="C59">
        <v>2016</v>
      </c>
      <c r="D59">
        <v>1</v>
      </c>
      <c r="F59" s="20">
        <f>IFERROR(GETPIVOTDATA("[Measures].[Sum of CashInterest]",'Results PT'!$B$8,"[Table2].[ReturnDate]","[Table2].[ReturnDate].&amp;["&amp;$A59&amp;"]"),NA())</f>
        <v>31170476.720000014</v>
      </c>
      <c r="G59" s="20">
        <f>IFERROR(GETPIVOTDATA("[Measures].[Sum of AccrInterest]",'Results PT'!$B$8,"[Table2].[ReturnDate]","[Table2].[ReturnDate].&amp;["&amp;$A59&amp;"]"),NA())</f>
        <v>2610141.29</v>
      </c>
      <c r="H59" s="20">
        <f>IFERROR(GETPIVOTDATA("[Measures].[Sum of OtherIncome]",'Results PT'!$B$8,"[Table2].[ReturnDate]","[Table2].[ReturnDate].&amp;["&amp;$A59&amp;"]"),NA())</f>
        <v>641327.64</v>
      </c>
      <c r="I59" s="20">
        <f>IFERROR(GETPIVOTDATA("[Measures].[Sum of Expenses]",'Results PT'!$B$8,"[Table2].[ReturnDate]","[Table2].[ReturnDate].&amp;["&amp;$A59&amp;"]"),NA())</f>
        <v>0</v>
      </c>
      <c r="J59" s="20">
        <f>IFERROR(GETPIVOTDATA("[Measures].[Sum of PrincipalFunded]",'Results PT'!$B$8,"[Table2].[ReturnDate]","[Table2].[ReturnDate].&amp;["&amp;$A59&amp;"]"),NA())</f>
        <v>-74269904.039999992</v>
      </c>
      <c r="K59" s="20">
        <f>IFERROR(GETPIVOTDATA("[Measures].[Sum of PrincipalRepaid]",'Results PT'!$B$8,"[Table2].[ReturnDate]","[Table2].[ReturnDate].&amp;["&amp;$A59&amp;"]"),NA())</f>
        <v>363632.91000000003</v>
      </c>
      <c r="L59" s="20"/>
      <c r="M59" s="20">
        <f>IFERROR(GETPIVOTDATA("[Measures].[Sum of StartValue]",'Results PT'!$B$8,"[Table2].[ReturnDate]","[Table2].[ReturnDate].&amp;["&amp;$A59&amp;"]"),NA())</f>
        <v>2750334684.2200003</v>
      </c>
      <c r="N59" s="20">
        <f>IFERROR(GETPIVOTDATA("[Measures].[Sum of EndValue]",'Results PT'!$B$8,"[Table2].[ReturnDate]","[Table2].[ReturnDate].&amp;["&amp;$A59&amp;"]"),NA())</f>
        <v>2829428347.4200001</v>
      </c>
      <c r="O59" s="20">
        <f>IFERROR(GETPIVOTDATA("[Measures].[Sum of StartPrincipal]",'Results PT'!$B$8,"[Table2].[ReturnDate]","[Table2].[ReturnDate].&amp;["&amp;$A59&amp;"]"),NA())</f>
        <v>2789234665.8800006</v>
      </c>
      <c r="P59" s="20">
        <f>IFERROR(GETPIVOTDATA("[Measures].[Sum of EndPrincipal]",'Results PT'!$B$8,"[Table2].[ReturnDate]","[Table2].[ReturnDate].&amp;["&amp;$A59&amp;"]"),NA())</f>
        <v>2865655726.3599997</v>
      </c>
      <c r="Q59" s="20">
        <f>IFERROR(GETPIVOTDATA("[Measures].[Sum of StartNAV]",'Results PT'!$B$8,"[Table2].[ReturnDate]","[Table2].[ReturnDate].&amp;["&amp;$A59&amp;"]"),NA())</f>
        <v>2743819231.7200003</v>
      </c>
      <c r="R59" s="20">
        <f>IFERROR(GETPIVOTDATA("[Measures].[Sum of EndNAV]",'Results PT'!$B$8,"[Table2].[ReturnDate]","[Table2].[ReturnDate].&amp;["&amp;$A59&amp;"]"),NA())</f>
        <v>2822912894.9200001</v>
      </c>
      <c r="S59" s="20"/>
      <c r="T59" s="1">
        <f t="shared" si="45"/>
        <v>0</v>
      </c>
      <c r="U59" s="1">
        <f t="shared" si="46"/>
        <v>0</v>
      </c>
      <c r="V59">
        <f t="shared" si="11"/>
        <v>4</v>
      </c>
      <c r="W59" s="20">
        <f t="shared" si="37"/>
        <v>-42094466.769999981</v>
      </c>
      <c r="X59" s="20">
        <f t="shared" si="12"/>
        <v>36999196.429999828</v>
      </c>
      <c r="Y59" s="20">
        <f t="shared" si="38"/>
        <v>2764866465.1050005</v>
      </c>
      <c r="Z59" s="3">
        <f t="shared" si="13"/>
        <v>1.3381910807252935E-2</v>
      </c>
      <c r="AA59" s="20"/>
      <c r="AC59" s="20">
        <f>IFERROR(GETPIVOTDATA("[Measures].[Distinct Count of LoanID]",'Count PT'!$B$3,"[Table2].[ReturnDate]","[Table2].[ReturnDate].&amp;["&amp;$A59&amp;"]"),NA())</f>
        <v>79</v>
      </c>
      <c r="AD59" s="20">
        <f>GETPIVOTDATA("[Measures].[Distinct Count of ManagerCode 2]",'Count PT'!$B$3,"[Table2].[ReturnDate]","[Table2].[ReturnDate].&amp;["&amp;$A59&amp;"]")</f>
        <v>6</v>
      </c>
      <c r="AE59" s="20" t="b">
        <f t="shared" si="14"/>
        <v>1</v>
      </c>
      <c r="AF59" s="20" t="b">
        <f t="shared" si="15"/>
        <v>1</v>
      </c>
      <c r="AG59" s="20" t="b">
        <f t="shared" si="16"/>
        <v>1</v>
      </c>
      <c r="AI59" s="7">
        <f t="shared" si="39"/>
        <v>1.1273772933846286E-2</v>
      </c>
      <c r="AJ59" s="7">
        <f t="shared" si="40"/>
        <v>9.4403882536181559E-4</v>
      </c>
      <c r="AK59" s="7">
        <f t="shared" si="41"/>
        <v>2.3195609918023454E-4</v>
      </c>
      <c r="AL59" s="7">
        <f t="shared" si="17"/>
        <v>1.2449767858388337E-2</v>
      </c>
      <c r="AM59" s="7">
        <f t="shared" si="42"/>
        <v>0</v>
      </c>
      <c r="AN59" s="7">
        <f t="shared" si="18"/>
        <v>1.2449767858388337E-2</v>
      </c>
      <c r="AO59" s="7">
        <f t="shared" si="19"/>
        <v>9.3214294886459839E-4</v>
      </c>
      <c r="AP59" s="7">
        <f t="shared" si="43"/>
        <v>1.3381910807252935E-2</v>
      </c>
      <c r="AQ59" s="7">
        <f t="shared" si="44"/>
        <v>1.2217811759208103E-2</v>
      </c>
      <c r="AS59" s="7">
        <f t="shared" si="20"/>
        <v>1.1273772933846286E-2</v>
      </c>
      <c r="AT59" s="7">
        <f t="shared" si="21"/>
        <v>9.4403882536181559E-4</v>
      </c>
      <c r="AU59" s="7">
        <f t="shared" si="22"/>
        <v>1.2217811759208101E-2</v>
      </c>
      <c r="AV59" s="7">
        <f t="shared" si="23"/>
        <v>2.3195609918023454E-4</v>
      </c>
      <c r="AW59" s="7">
        <f t="shared" si="24"/>
        <v>1.2449767858388337E-2</v>
      </c>
      <c r="AX59" s="7">
        <f t="shared" si="25"/>
        <v>0</v>
      </c>
      <c r="AY59" s="7">
        <f t="shared" si="26"/>
        <v>1.2449767858388337E-2</v>
      </c>
      <c r="AZ59" s="7">
        <f t="shared" si="27"/>
        <v>9.3214294886459839E-4</v>
      </c>
      <c r="BA59" s="7">
        <f t="shared" si="28"/>
        <v>1.3381910807252935E-2</v>
      </c>
      <c r="BB59" s="7">
        <f t="shared" si="29"/>
        <v>1.2217811759208103E-2</v>
      </c>
      <c r="BD59">
        <f t="shared" si="30"/>
        <v>1</v>
      </c>
      <c r="BE59">
        <f t="shared" si="34"/>
        <v>1</v>
      </c>
      <c r="BF59" s="7" cm="1">
        <f t="array" ref="BF59">IF(ISNA($BA59),NA(),IF($BE59=0,"***",PRODUCT(1+AS57:AS59)-1))</f>
        <v>2.0205743137567289E-2</v>
      </c>
      <c r="BG59" s="7" cm="1">
        <f t="array" ref="BG59">IF(ISNA($BA59),NA(),IF($BE59=0,"***",PRODUCT(1+AT57:AT59)-1))</f>
        <v>2.6929768685253208E-3</v>
      </c>
      <c r="BH59" s="7" cm="1">
        <f t="array" ref="BH59">IF(ISNA($BA59),NA(),IF($BE59=0,"***",PRODUCT(1+AU57:AU59)-1))</f>
        <v>2.2934543031467358E-2</v>
      </c>
      <c r="BI59" s="7" cm="1">
        <f t="array" ref="BI59">IF(ISNA($BA59),NA(),IF($BE59=0,"***",PRODUCT(1+AV57:AV59)-1))</f>
        <v>6.1662105609316953E-4</v>
      </c>
      <c r="BJ59" s="7" cm="1">
        <f t="array" ref="BJ59">IF(ISNA($BA59),NA(),IF($BE59=0,"***",PRODUCT(1+AW57:AW59)-1))</f>
        <v>2.3560446375354704E-2</v>
      </c>
      <c r="BK59" s="7" cm="1">
        <f t="array" ref="BK59">IF(ISNA($BA59),NA(),IF($BE59=0,"***",PRODUCT(1+AX57:AX59)-1))</f>
        <v>-3.5353941996163485E-12</v>
      </c>
      <c r="BL59" s="7" cm="1">
        <f t="array" ref="BL59">IF(ISNA($BA59),NA(),IF($BE59=0,"***",PRODUCT(1+AY57:AY59)-1))</f>
        <v>2.3560446371754695E-2</v>
      </c>
      <c r="BM59" s="7" cm="1">
        <f t="array" ref="BM59">IF(ISNA($BA59),NA(),IF($BE59=0,"***",PRODUCT(1+AZ57:AZ59)-1))</f>
        <v>-9.3081664514729212E-3</v>
      </c>
      <c r="BN59" s="7" cm="1">
        <f t="array" ref="BN59">IF(ISNA($BA59),NA(),IF($BE59=0,"***",PRODUCT(1+BA57:BA59)-1))</f>
        <v>1.4075318859520625E-2</v>
      </c>
      <c r="BO59" s="7">
        <f t="shared" si="35"/>
        <v>-1.7696106076114937E-4</v>
      </c>
      <c r="BP59" s="7">
        <f t="shared" si="36"/>
        <v>2.2777320379082491E-2</v>
      </c>
    </row>
    <row r="60" spans="1:68" x14ac:dyDescent="0.25">
      <c r="A60" t="str">
        <f t="shared" si="31"/>
        <v>20160229</v>
      </c>
      <c r="B60">
        <f t="shared" si="32"/>
        <v>42429</v>
      </c>
      <c r="C60">
        <v>2016</v>
      </c>
      <c r="D60">
        <v>2</v>
      </c>
      <c r="F60" s="20">
        <f>IFERROR(GETPIVOTDATA("[Measures].[Sum of CashInterest]",'Results PT'!$B$8,"[Table2].[ReturnDate]","[Table2].[ReturnDate].&amp;["&amp;$A60&amp;"]"),NA())</f>
        <v>16463124.190000005</v>
      </c>
      <c r="G60" s="20">
        <f>IFERROR(GETPIVOTDATA("[Measures].[Sum of AccrInterest]",'Results PT'!$B$8,"[Table2].[ReturnDate]","[Table2].[ReturnDate].&amp;["&amp;$A60&amp;"]"),NA())</f>
        <v>2444534.63</v>
      </c>
      <c r="H60" s="20">
        <f>IFERROR(GETPIVOTDATA("[Measures].[Sum of OtherIncome]",'Results PT'!$B$8,"[Table2].[ReturnDate]","[Table2].[ReturnDate].&amp;["&amp;$A60&amp;"]"),NA())</f>
        <v>225500</v>
      </c>
      <c r="I60" s="20">
        <f>IFERROR(GETPIVOTDATA("[Measures].[Sum of Expenses]",'Results PT'!$B$8,"[Table2].[ReturnDate]","[Table2].[ReturnDate].&amp;["&amp;$A60&amp;"]"),NA())</f>
        <v>0</v>
      </c>
      <c r="J60" s="20">
        <f>IFERROR(GETPIVOTDATA("[Measures].[Sum of PrincipalFunded]",'Results PT'!$B$8,"[Table2].[ReturnDate]","[Table2].[ReturnDate].&amp;["&amp;$A60&amp;"]"),NA())</f>
        <v>-27432785.07</v>
      </c>
      <c r="K60" s="20">
        <f>IFERROR(GETPIVOTDATA("[Measures].[Sum of PrincipalRepaid]",'Results PT'!$B$8,"[Table2].[ReturnDate]","[Table2].[ReturnDate].&amp;["&amp;$A60&amp;"]"),NA())</f>
        <v>20166616.98</v>
      </c>
      <c r="L60" s="20"/>
      <c r="M60" s="20">
        <f>IFERROR(GETPIVOTDATA("[Measures].[Sum of StartValue]",'Results PT'!$B$8,"[Table2].[ReturnDate]","[Table2].[ReturnDate].&amp;["&amp;$A60&amp;"]"),NA())</f>
        <v>2829428347.4200001</v>
      </c>
      <c r="N60" s="20">
        <f>IFERROR(GETPIVOTDATA("[Measures].[Sum of EndValue]",'Results PT'!$B$8,"[Table2].[ReturnDate]","[Table2].[ReturnDate].&amp;["&amp;$A60&amp;"]"),NA())</f>
        <v>2836205988.0999999</v>
      </c>
      <c r="O60" s="20">
        <f>IFERROR(GETPIVOTDATA("[Measures].[Sum of StartPrincipal]",'Results PT'!$B$8,"[Table2].[ReturnDate]","[Table2].[ReturnDate].&amp;["&amp;$A60&amp;"]"),NA())</f>
        <v>2865655726.3599997</v>
      </c>
      <c r="P60" s="20">
        <f>IFERROR(GETPIVOTDATA("[Measures].[Sum of EndPrincipal]",'Results PT'!$B$8,"[Table2].[ReturnDate]","[Table2].[ReturnDate].&amp;["&amp;$A60&amp;"]"),NA())</f>
        <v>2875366429.1300001</v>
      </c>
      <c r="Q60" s="20">
        <f>IFERROR(GETPIVOTDATA("[Measures].[Sum of StartNAV]",'Results PT'!$B$8,"[Table2].[ReturnDate]","[Table2].[ReturnDate].&amp;["&amp;$A60&amp;"]"),NA())</f>
        <v>2822912894.9200001</v>
      </c>
      <c r="R60" s="20">
        <f>IFERROR(GETPIVOTDATA("[Measures].[Sum of EndNAV]",'Results PT'!$B$8,"[Table2].[ReturnDate]","[Table2].[ReturnDate].&amp;["&amp;$A60&amp;"]"),NA())</f>
        <v>2829690535.5999999</v>
      </c>
      <c r="S60" s="20"/>
      <c r="T60" s="1">
        <f t="shared" si="45"/>
        <v>0</v>
      </c>
      <c r="U60" s="1">
        <f t="shared" si="46"/>
        <v>0</v>
      </c>
      <c r="V60">
        <f t="shared" si="11"/>
        <v>4</v>
      </c>
      <c r="W60" s="20">
        <f t="shared" si="37"/>
        <v>9422456.1000000052</v>
      </c>
      <c r="X60" s="20">
        <f t="shared" si="12"/>
        <v>16200096.779999733</v>
      </c>
      <c r="Y60" s="20">
        <f t="shared" si="38"/>
        <v>2818201666.8699999</v>
      </c>
      <c r="Z60" s="3">
        <f t="shared" si="13"/>
        <v>5.748380951740819E-3</v>
      </c>
      <c r="AA60" s="20"/>
      <c r="AC60" s="20">
        <f>IFERROR(GETPIVOTDATA("[Measures].[Distinct Count of LoanID]",'Count PT'!$B$3,"[Table2].[ReturnDate]","[Table2].[ReturnDate].&amp;["&amp;$A60&amp;"]"),NA())</f>
        <v>82</v>
      </c>
      <c r="AD60" s="20">
        <f>GETPIVOTDATA("[Measures].[Distinct Count of ManagerCode 2]",'Count PT'!$B$3,"[Table2].[ReturnDate]","[Table2].[ReturnDate].&amp;["&amp;$A60&amp;"]")</f>
        <v>6</v>
      </c>
      <c r="AE60" s="20" t="b">
        <f t="shared" si="14"/>
        <v>1</v>
      </c>
      <c r="AF60" s="20" t="b">
        <f t="shared" si="15"/>
        <v>1</v>
      </c>
      <c r="AG60" s="20" t="b">
        <f t="shared" si="16"/>
        <v>1</v>
      </c>
      <c r="AI60" s="7">
        <f t="shared" si="39"/>
        <v>5.8417126011725646E-3</v>
      </c>
      <c r="AJ60" s="7">
        <f t="shared" si="40"/>
        <v>8.6740940463461984E-4</v>
      </c>
      <c r="AK60" s="7">
        <f t="shared" si="41"/>
        <v>8.0015565475996878E-5</v>
      </c>
      <c r="AL60" s="7">
        <f t="shared" si="17"/>
        <v>6.7891375712831811E-3</v>
      </c>
      <c r="AM60" s="7">
        <f t="shared" si="42"/>
        <v>0</v>
      </c>
      <c r="AN60" s="7">
        <f t="shared" si="18"/>
        <v>6.7891375712831811E-3</v>
      </c>
      <c r="AO60" s="7">
        <f t="shared" si="19"/>
        <v>-1.0407566195423622E-3</v>
      </c>
      <c r="AP60" s="7">
        <f t="shared" si="43"/>
        <v>5.748380951740819E-3</v>
      </c>
      <c r="AQ60" s="7">
        <f t="shared" si="44"/>
        <v>6.7091220058071842E-3</v>
      </c>
      <c r="AS60" s="7">
        <f t="shared" si="20"/>
        <v>5.8417126011725646E-3</v>
      </c>
      <c r="AT60" s="7">
        <f t="shared" si="21"/>
        <v>8.6740940463461984E-4</v>
      </c>
      <c r="AU60" s="7">
        <f t="shared" si="22"/>
        <v>6.7091220058071842E-3</v>
      </c>
      <c r="AV60" s="7">
        <f t="shared" si="23"/>
        <v>8.0015565475996878E-5</v>
      </c>
      <c r="AW60" s="7">
        <f t="shared" si="24"/>
        <v>6.7891375712831811E-3</v>
      </c>
      <c r="AX60" s="7">
        <f t="shared" si="25"/>
        <v>0</v>
      </c>
      <c r="AY60" s="7">
        <f t="shared" si="26"/>
        <v>6.7891375712831811E-3</v>
      </c>
      <c r="AZ60" s="7">
        <f t="shared" si="27"/>
        <v>-1.0407566195423622E-3</v>
      </c>
      <c r="BA60" s="7">
        <f t="shared" si="28"/>
        <v>5.748380951740819E-3</v>
      </c>
      <c r="BB60" s="7">
        <f t="shared" si="29"/>
        <v>6.7091220058071842E-3</v>
      </c>
      <c r="BD60">
        <f t="shared" si="30"/>
        <v>1</v>
      </c>
      <c r="BE60">
        <f t="shared" si="34"/>
        <v>1</v>
      </c>
      <c r="BF60" s="7" cm="1">
        <f t="array" ref="BF60">IF(ISNA($BA60),NA(),IF($BE60=0,"***",PRODUCT(1+AS58:AS60)-1))</f>
        <v>2.1718204582445999E-2</v>
      </c>
      <c r="BG60" s="7" cm="1">
        <f t="array" ref="BG60">IF(ISNA($BA60),NA(),IF($BE60=0,"***",PRODUCT(1+AT58:AT60)-1))</f>
        <v>2.7213507233654344E-3</v>
      </c>
      <c r="BH60" s="7" cm="1">
        <f t="array" ref="BH60">IF(ISNA($BA60),NA(),IF($BE60=0,"***",PRODUCT(1+AU58:AU60)-1))</f>
        <v>2.4478605325806368E-2</v>
      </c>
      <c r="BI60" s="7" cm="1">
        <f t="array" ref="BI60">IF(ISNA($BA60),NA(),IF($BE60=0,"***",PRODUCT(1+AV58:AV60)-1))</f>
        <v>1.0318192308145235E-4</v>
      </c>
      <c r="BJ60" s="7" cm="1">
        <f t="array" ref="BJ60">IF(ISNA($BA60),NA(),IF($BE60=0,"***",PRODUCT(1+AW58:AW60)-1))</f>
        <v>2.458204083826665E-2</v>
      </c>
      <c r="BK60" s="7" cm="1">
        <f t="array" ref="BK60">IF(ISNA($BA60),NA(),IF($BE60=0,"***",PRODUCT(1+AX58:AX60)-1))</f>
        <v>-3.5353941996163485E-12</v>
      </c>
      <c r="BL60" s="7" cm="1">
        <f t="array" ref="BL60">IF(ISNA($BA60),NA(),IF($BE60=0,"***",PRODUCT(1+AY58:AY60)-1))</f>
        <v>2.4582040834662866E-2</v>
      </c>
      <c r="BM60" s="7" cm="1">
        <f t="array" ref="BM60">IF(ISNA($BA60),NA(),IF($BE60=0,"***",PRODUCT(1+AZ58:AZ60)-1))</f>
        <v>-1.0063961030915447E-2</v>
      </c>
      <c r="BN60" s="7" cm="1">
        <f t="array" ref="BN60">IF(ISNA($BA60),NA(),IF($BE60=0,"***",PRODUCT(1+BA58:BA60)-1))</f>
        <v>1.4318543753820467E-2</v>
      </c>
      <c r="BO60" s="7">
        <f t="shared" si="35"/>
        <v>-1.9953604992695162E-4</v>
      </c>
      <c r="BP60" s="7">
        <f t="shared" si="36"/>
        <v>2.4294601060763553E-2</v>
      </c>
    </row>
    <row r="61" spans="1:68" x14ac:dyDescent="0.25">
      <c r="A61" t="str">
        <f t="shared" si="31"/>
        <v>20160331</v>
      </c>
      <c r="B61">
        <f t="shared" si="32"/>
        <v>42460</v>
      </c>
      <c r="C61">
        <v>2016</v>
      </c>
      <c r="D61">
        <v>3</v>
      </c>
      <c r="F61" s="20">
        <f>IFERROR(GETPIVOTDATA("[Measures].[Sum of CashInterest]",'Results PT'!$B$8,"[Table2].[ReturnDate]","[Table2].[ReturnDate].&amp;["&amp;$A61&amp;"]"),NA())</f>
        <v>19193563.839999996</v>
      </c>
      <c r="G61" s="20">
        <f>IFERROR(GETPIVOTDATA("[Measures].[Sum of AccrInterest]",'Results PT'!$B$8,"[Table2].[ReturnDate]","[Table2].[ReturnDate].&amp;["&amp;$A61&amp;"]"),NA())</f>
        <v>2519417.33</v>
      </c>
      <c r="H61" s="20">
        <f>IFERROR(GETPIVOTDATA("[Measures].[Sum of OtherIncome]",'Results PT'!$B$8,"[Table2].[ReturnDate]","[Table2].[ReturnDate].&amp;["&amp;$A61&amp;"]"),NA())</f>
        <v>-61250</v>
      </c>
      <c r="I61" s="20">
        <f>IFERROR(GETPIVOTDATA("[Measures].[Sum of Expenses]",'Results PT'!$B$8,"[Table2].[ReturnDate]","[Table2].[ReturnDate].&amp;["&amp;$A61&amp;"]"),NA())</f>
        <v>0</v>
      </c>
      <c r="J61" s="20">
        <f>IFERROR(GETPIVOTDATA("[Measures].[Sum of PrincipalFunded]",'Results PT'!$B$8,"[Table2].[ReturnDate]","[Table2].[ReturnDate].&amp;["&amp;$A61&amp;"]"),NA())</f>
        <v>2321164.7799999998</v>
      </c>
      <c r="K61" s="20">
        <f>IFERROR(GETPIVOTDATA("[Measures].[Sum of PrincipalRepaid]",'Results PT'!$B$8,"[Table2].[ReturnDate]","[Table2].[ReturnDate].&amp;["&amp;$A61&amp;"]"),NA())</f>
        <v>29402688.52</v>
      </c>
      <c r="L61" s="20"/>
      <c r="M61" s="20">
        <f>IFERROR(GETPIVOTDATA("[Measures].[Sum of StartValue]",'Results PT'!$B$8,"[Table2].[ReturnDate]","[Table2].[ReturnDate].&amp;["&amp;$A61&amp;"]"),NA())</f>
        <v>2836205988.0999999</v>
      </c>
      <c r="N61" s="20">
        <f>IFERROR(GETPIVOTDATA("[Measures].[Sum of EndValue]",'Results PT'!$B$8,"[Table2].[ReturnDate]","[Table2].[ReturnDate].&amp;["&amp;$A61&amp;"]"),NA())</f>
        <v>2813186276.2999997</v>
      </c>
      <c r="O61" s="20">
        <f>IFERROR(GETPIVOTDATA("[Measures].[Sum of StartPrincipal]",'Results PT'!$B$8,"[Table2].[ReturnDate]","[Table2].[ReturnDate].&amp;["&amp;$A61&amp;"]"),NA())</f>
        <v>2875366429.1300001</v>
      </c>
      <c r="P61" s="20">
        <f>IFERROR(GETPIVOTDATA("[Measures].[Sum of EndPrincipal]",'Results PT'!$B$8,"[Table2].[ReturnDate]","[Table2].[ReturnDate].&amp;["&amp;$A61&amp;"]"),NA())</f>
        <v>2846161993.1600003</v>
      </c>
      <c r="Q61" s="20">
        <f>IFERROR(GETPIVOTDATA("[Measures].[Sum of StartNAV]",'Results PT'!$B$8,"[Table2].[ReturnDate]","[Table2].[ReturnDate].&amp;["&amp;$A61&amp;"]"),NA())</f>
        <v>2829690535.5999999</v>
      </c>
      <c r="R61" s="20">
        <f>IFERROR(GETPIVOTDATA("[Measures].[Sum of EndNAV]",'Results PT'!$B$8,"[Table2].[ReturnDate]","[Table2].[ReturnDate].&amp;["&amp;$A61&amp;"]"),NA())</f>
        <v>2806670823.7999997</v>
      </c>
      <c r="S61" s="20"/>
      <c r="T61" s="1">
        <f t="shared" si="45"/>
        <v>0</v>
      </c>
      <c r="U61" s="1">
        <f t="shared" si="46"/>
        <v>0</v>
      </c>
      <c r="V61">
        <f t="shared" si="11"/>
        <v>4</v>
      </c>
      <c r="W61" s="20">
        <f t="shared" si="37"/>
        <v>50856167.140000001</v>
      </c>
      <c r="X61" s="20">
        <f t="shared" si="12"/>
        <v>27836455.339999676</v>
      </c>
      <c r="Y61" s="20">
        <f t="shared" si="38"/>
        <v>2804262452.0299997</v>
      </c>
      <c r="Z61" s="3">
        <f t="shared" si="13"/>
        <v>9.9264800695986651E-3</v>
      </c>
      <c r="AA61" s="20"/>
      <c r="AC61" s="20">
        <f>IFERROR(GETPIVOTDATA("[Measures].[Distinct Count of LoanID]",'Count PT'!$B$3,"[Table2].[ReturnDate]","[Table2].[ReturnDate].&amp;["&amp;$A61&amp;"]"),NA())</f>
        <v>82</v>
      </c>
      <c r="AD61" s="20">
        <f>GETPIVOTDATA("[Measures].[Distinct Count of ManagerCode 2]",'Count PT'!$B$3,"[Table2].[ReturnDate]","[Table2].[ReturnDate].&amp;["&amp;$A61&amp;"]")</f>
        <v>6</v>
      </c>
      <c r="AE61" s="20" t="b">
        <f t="shared" si="14"/>
        <v>1</v>
      </c>
      <c r="AF61" s="20" t="b">
        <f t="shared" si="15"/>
        <v>1</v>
      </c>
      <c r="AG61" s="20" t="b">
        <f t="shared" si="16"/>
        <v>1</v>
      </c>
      <c r="AI61" s="7">
        <f t="shared" si="39"/>
        <v>6.8444249310922432E-3</v>
      </c>
      <c r="AJ61" s="7">
        <f t="shared" si="40"/>
        <v>8.9842422850835491E-4</v>
      </c>
      <c r="AK61" s="7">
        <f t="shared" si="41"/>
        <v>-2.1841750209814081E-5</v>
      </c>
      <c r="AL61" s="7">
        <f t="shared" si="17"/>
        <v>7.7210074093907836E-3</v>
      </c>
      <c r="AM61" s="7">
        <f t="shared" si="42"/>
        <v>0</v>
      </c>
      <c r="AN61" s="7">
        <f t="shared" si="18"/>
        <v>7.7210074093907836E-3</v>
      </c>
      <c r="AO61" s="7">
        <f t="shared" si="19"/>
        <v>2.2054726602078814E-3</v>
      </c>
      <c r="AP61" s="7">
        <f t="shared" si="43"/>
        <v>9.9264800695986651E-3</v>
      </c>
      <c r="AQ61" s="7">
        <f t="shared" si="44"/>
        <v>7.7428491596005979E-3</v>
      </c>
      <c r="AS61" s="7">
        <f t="shared" si="20"/>
        <v>6.8444249310922432E-3</v>
      </c>
      <c r="AT61" s="7">
        <f t="shared" si="21"/>
        <v>8.9842422850835491E-4</v>
      </c>
      <c r="AU61" s="7">
        <f t="shared" si="22"/>
        <v>7.7428491596005979E-3</v>
      </c>
      <c r="AV61" s="7">
        <f t="shared" si="23"/>
        <v>-2.1841750209814081E-5</v>
      </c>
      <c r="AW61" s="7">
        <f t="shared" si="24"/>
        <v>7.7210074093907836E-3</v>
      </c>
      <c r="AX61" s="7">
        <f t="shared" si="25"/>
        <v>0</v>
      </c>
      <c r="AY61" s="7">
        <f t="shared" si="26"/>
        <v>7.7210074093907836E-3</v>
      </c>
      <c r="AZ61" s="7">
        <f t="shared" si="27"/>
        <v>2.2054726602078814E-3</v>
      </c>
      <c r="BA61" s="7">
        <f t="shared" si="28"/>
        <v>9.9264800695986651E-3</v>
      </c>
      <c r="BB61" s="7">
        <f t="shared" si="29"/>
        <v>7.7428491596005979E-3</v>
      </c>
      <c r="BD61">
        <f t="shared" si="30"/>
        <v>1</v>
      </c>
      <c r="BE61">
        <f t="shared" si="34"/>
        <v>1</v>
      </c>
      <c r="BF61" s="7" cm="1">
        <f t="array" ref="BF61">IF(ISNA($BA61),NA(),IF($BE61=0,"***",PRODUCT(1+AS59:AS61)-1))</f>
        <v>2.4143365024529961E-2</v>
      </c>
      <c r="BG61" s="7" cm="1">
        <f t="array" ref="BG61">IF(ISNA($BA61),NA(),IF($BE61=0,"***",PRODUCT(1+AT59:AT61)-1))</f>
        <v>2.7123195113298859E-3</v>
      </c>
      <c r="BH61" s="7" cm="1">
        <f t="array" ref="BH61">IF(ISNA($BA61),NA(),IF($BE61=0,"***",PRODUCT(1+AU59:AU61)-1))</f>
        <v>2.6898936795008987E-2</v>
      </c>
      <c r="BI61" s="7" cm="1">
        <f t="array" ref="BI61">IF(ISNA($BA61),NA(),IF($BE61=0,"***",PRODUCT(1+AV59:AV61)-1))</f>
        <v>2.9014166013219267E-4</v>
      </c>
      <c r="BJ61" s="7" cm="1">
        <f t="array" ref="BJ61">IF(ISNA($BA61),NA(),IF($BE61=0,"***",PRODUCT(1+AW59:AW61)-1))</f>
        <v>2.7193632361305342E-2</v>
      </c>
      <c r="BK61" s="7" cm="1">
        <f t="array" ref="BK61">IF(ISNA($BA61),NA(),IF($BE61=0,"***",PRODUCT(1+AX59:AX61)-1))</f>
        <v>0</v>
      </c>
      <c r="BL61" s="7" cm="1">
        <f t="array" ref="BL61">IF(ISNA($BA61),NA(),IF($BE61=0,"***",PRODUCT(1+AY59:AY61)-1))</f>
        <v>2.7193632361305342E-2</v>
      </c>
      <c r="BM61" s="7" cm="1">
        <f t="array" ref="BM61">IF(ISNA($BA61),NA(),IF($BE61=0,"***",PRODUCT(1+AZ59:AZ61)-1))</f>
        <v>2.0956471715005698E-3</v>
      </c>
      <c r="BN61" s="7" cm="1">
        <f t="array" ref="BN61">IF(ISNA($BA61),NA(),IF($BE61=0,"***",PRODUCT(1+BA59:BA61)-1))</f>
        <v>2.9324356197387047E-2</v>
      </c>
      <c r="BO61" s="7">
        <f t="shared" si="35"/>
        <v>3.507666458113512E-5</v>
      </c>
      <c r="BP61" s="7">
        <f t="shared" si="36"/>
        <v>2.6669782924615887E-2</v>
      </c>
    </row>
    <row r="62" spans="1:68" x14ac:dyDescent="0.25">
      <c r="A62" t="str">
        <f t="shared" si="31"/>
        <v>20160430</v>
      </c>
      <c r="B62">
        <f t="shared" si="32"/>
        <v>42490</v>
      </c>
      <c r="C62">
        <v>2016</v>
      </c>
      <c r="D62">
        <v>4</v>
      </c>
      <c r="F62" s="20">
        <f>IFERROR(GETPIVOTDATA("[Measures].[Sum of CashInterest]",'Results PT'!$B$8,"[Table2].[ReturnDate]","[Table2].[ReturnDate].&amp;["&amp;$A62&amp;"]"),NA())</f>
        <v>13649064.190000001</v>
      </c>
      <c r="G62" s="20">
        <f>IFERROR(GETPIVOTDATA("[Measures].[Sum of AccrInterest]",'Results PT'!$B$8,"[Table2].[ReturnDate]","[Table2].[ReturnDate].&amp;["&amp;$A62&amp;"]"),NA())</f>
        <v>2407493.7099999995</v>
      </c>
      <c r="H62" s="20">
        <f>IFERROR(GETPIVOTDATA("[Measures].[Sum of OtherIncome]",'Results PT'!$B$8,"[Table2].[ReturnDate]","[Table2].[ReturnDate].&amp;["&amp;$A62&amp;"]"),NA())</f>
        <v>1072475</v>
      </c>
      <c r="I62" s="20">
        <f>IFERROR(GETPIVOTDATA("[Measures].[Sum of Expenses]",'Results PT'!$B$8,"[Table2].[ReturnDate]","[Table2].[ReturnDate].&amp;["&amp;$A62&amp;"]"),NA())</f>
        <v>0</v>
      </c>
      <c r="J62" s="20">
        <f>IFERROR(GETPIVOTDATA("[Measures].[Sum of PrincipalFunded]",'Results PT'!$B$8,"[Table2].[ReturnDate]","[Table2].[ReturnDate].&amp;["&amp;$A62&amp;"]"),NA())</f>
        <v>-89619871.449999973</v>
      </c>
      <c r="K62" s="20">
        <f>IFERROR(GETPIVOTDATA("[Measures].[Sum of PrincipalRepaid]",'Results PT'!$B$8,"[Table2].[ReturnDate]","[Table2].[ReturnDate].&amp;["&amp;$A62&amp;"]"),NA())</f>
        <v>368642.76</v>
      </c>
      <c r="L62" s="20"/>
      <c r="M62" s="20">
        <f>IFERROR(GETPIVOTDATA("[Measures].[Sum of StartValue]",'Results PT'!$B$8,"[Table2].[ReturnDate]","[Table2].[ReturnDate].&amp;["&amp;$A62&amp;"]"),NA())</f>
        <v>2813186276.2999997</v>
      </c>
      <c r="N62" s="20">
        <f>IFERROR(GETPIVOTDATA("[Measures].[Sum of EndValue]",'Results PT'!$B$8,"[Table2].[ReturnDate]","[Table2].[ReturnDate].&amp;["&amp;$A62&amp;"]"),NA())</f>
        <v>2907947692.2199988</v>
      </c>
      <c r="O62" s="20">
        <f>IFERROR(GETPIVOTDATA("[Measures].[Sum of StartPrincipal]",'Results PT'!$B$8,"[Table2].[ReturnDate]","[Table2].[ReturnDate].&amp;["&amp;$A62&amp;"]"),NA())</f>
        <v>2846161993.1600003</v>
      </c>
      <c r="P62" s="20">
        <f>IFERROR(GETPIVOTDATA("[Measures].[Sum of EndPrincipal]",'Results PT'!$B$8,"[Table2].[ReturnDate]","[Table2].[ReturnDate].&amp;["&amp;$A62&amp;"]"),NA())</f>
        <v>2937820715.4299994</v>
      </c>
      <c r="Q62" s="20">
        <f>IFERROR(GETPIVOTDATA("[Measures].[Sum of StartNAV]",'Results PT'!$B$8,"[Table2].[ReturnDate]","[Table2].[ReturnDate].&amp;["&amp;$A62&amp;"]"),NA())</f>
        <v>2806670823.7999997</v>
      </c>
      <c r="R62" s="20">
        <f>IFERROR(GETPIVOTDATA("[Measures].[Sum of EndNAV]",'Results PT'!$B$8,"[Table2].[ReturnDate]","[Table2].[ReturnDate].&amp;["&amp;$A62&amp;"]"),NA())</f>
        <v>2901432239.7199988</v>
      </c>
      <c r="S62" s="20"/>
      <c r="T62" s="1">
        <f t="shared" si="45"/>
        <v>0</v>
      </c>
      <c r="U62" s="1">
        <f t="shared" si="46"/>
        <v>0</v>
      </c>
      <c r="V62">
        <f t="shared" si="11"/>
        <v>4</v>
      </c>
      <c r="W62" s="20">
        <f t="shared" si="37"/>
        <v>-74529689.49999997</v>
      </c>
      <c r="X62" s="20">
        <f t="shared" si="12"/>
        <v>20231726.419999123</v>
      </c>
      <c r="Y62" s="20">
        <f t="shared" si="38"/>
        <v>2843935668.5499997</v>
      </c>
      <c r="Z62" s="3">
        <f t="shared" si="13"/>
        <v>7.1139887739846124E-3</v>
      </c>
      <c r="AA62" s="20"/>
      <c r="AC62" s="20">
        <f>IFERROR(GETPIVOTDATA("[Measures].[Distinct Count of LoanID]",'Count PT'!$B$3,"[Table2].[ReturnDate]","[Table2].[ReturnDate].&amp;["&amp;$A62&amp;"]"),NA())</f>
        <v>85</v>
      </c>
      <c r="AD62" s="20">
        <f>GETPIVOTDATA("[Measures].[Distinct Count of ManagerCode 2]",'Count PT'!$B$3,"[Table2].[ReturnDate]","[Table2].[ReturnDate].&amp;["&amp;$A62&amp;"]")</f>
        <v>6</v>
      </c>
      <c r="AE62" s="20" t="b">
        <f t="shared" si="14"/>
        <v>1</v>
      </c>
      <c r="AF62" s="20" t="b">
        <f t="shared" si="15"/>
        <v>1</v>
      </c>
      <c r="AG62" s="20" t="b">
        <f t="shared" si="16"/>
        <v>1</v>
      </c>
      <c r="AI62" s="7">
        <f t="shared" si="39"/>
        <v>4.7993575737101928E-3</v>
      </c>
      <c r="AJ62" s="7">
        <f t="shared" si="40"/>
        <v>8.4653592436128374E-4</v>
      </c>
      <c r="AK62" s="7">
        <f t="shared" si="41"/>
        <v>3.7710944444351962E-4</v>
      </c>
      <c r="AL62" s="7">
        <f t="shared" si="17"/>
        <v>6.0230029425149961E-3</v>
      </c>
      <c r="AM62" s="7">
        <f t="shared" si="42"/>
        <v>0</v>
      </c>
      <c r="AN62" s="7">
        <f t="shared" si="18"/>
        <v>6.0230029425149961E-3</v>
      </c>
      <c r="AO62" s="7">
        <f t="shared" si="19"/>
        <v>1.0909858314696163E-3</v>
      </c>
      <c r="AP62" s="7">
        <f t="shared" si="43"/>
        <v>7.1139887739846124E-3</v>
      </c>
      <c r="AQ62" s="7">
        <f t="shared" si="44"/>
        <v>5.6458934980714763E-3</v>
      </c>
      <c r="AS62" s="7">
        <f t="shared" si="20"/>
        <v>4.7993575737101928E-3</v>
      </c>
      <c r="AT62" s="7">
        <f t="shared" si="21"/>
        <v>8.4653592436128374E-4</v>
      </c>
      <c r="AU62" s="7">
        <f t="shared" si="22"/>
        <v>5.6458934980714763E-3</v>
      </c>
      <c r="AV62" s="7">
        <f t="shared" si="23"/>
        <v>3.7710944444351962E-4</v>
      </c>
      <c r="AW62" s="7">
        <f t="shared" si="24"/>
        <v>6.0230029425149961E-3</v>
      </c>
      <c r="AX62" s="7">
        <f t="shared" si="25"/>
        <v>0</v>
      </c>
      <c r="AY62" s="7">
        <f t="shared" si="26"/>
        <v>6.0230029425149961E-3</v>
      </c>
      <c r="AZ62" s="7">
        <f t="shared" si="27"/>
        <v>1.0909858314696163E-3</v>
      </c>
      <c r="BA62" s="7">
        <f t="shared" si="28"/>
        <v>7.1139887739846124E-3</v>
      </c>
      <c r="BB62" s="7">
        <f t="shared" si="29"/>
        <v>5.6458934980714763E-3</v>
      </c>
      <c r="BD62">
        <f t="shared" si="30"/>
        <v>1</v>
      </c>
      <c r="BE62">
        <f t="shared" si="34"/>
        <v>1</v>
      </c>
      <c r="BF62" s="7" cm="1">
        <f t="array" ref="BF62">IF(ISNA($BA62),NA(),IF($BE62=0,"***",PRODUCT(1+AS60:AS62)-1))</f>
        <v>1.7586555473087184E-2</v>
      </c>
      <c r="BG62" s="7" cm="1">
        <f t="array" ref="BG62">IF(ISNA($BA62),NA(),IF($BE62=0,"***",PRODUCT(1+AT60:AT62)-1))</f>
        <v>2.6146443604431191E-3</v>
      </c>
      <c r="BH62" s="7" cm="1">
        <f t="array" ref="BH62">IF(ISNA($BA62),NA(),IF($BE62=0,"***",PRODUCT(1+AU60:AU62)-1))</f>
        <v>2.0231699964493366E-2</v>
      </c>
      <c r="BI62" s="7" cm="1">
        <f t="array" ref="BI62">IF(ISNA($BA62),NA(),IF($BE62=0,"***",PRODUCT(1+AV60:AV62)-1))</f>
        <v>4.3530344926590026E-4</v>
      </c>
      <c r="BJ62" s="7" cm="1">
        <f t="array" ref="BJ62">IF(ISNA($BA62),NA(),IF($BE62=0,"***",PRODUCT(1+AW60:AW62)-1))</f>
        <v>2.0673277270274903E-2</v>
      </c>
      <c r="BK62" s="7" cm="1">
        <f t="array" ref="BK62">IF(ISNA($BA62),NA(),IF($BE62=0,"***",PRODUCT(1+AX60:AX62)-1))</f>
        <v>0</v>
      </c>
      <c r="BL62" s="7" cm="1">
        <f t="array" ref="BL62">IF(ISNA($BA62),NA(),IF($BE62=0,"***",PRODUCT(1+AY60:AY62)-1))</f>
        <v>2.0673277270274903E-2</v>
      </c>
      <c r="BM62" s="7" cm="1">
        <f t="array" ref="BM62">IF(ISNA($BA62),NA(),IF($BE62=0,"***",PRODUCT(1+AZ60:AZ62)-1))</f>
        <v>2.2546746963572062E-3</v>
      </c>
      <c r="BN62" s="7" cm="1">
        <f t="array" ref="BN62">IF(ISNA($BA62),NA(),IF($BE62=0,"***",PRODUCT(1+BA60:BA62)-1))</f>
        <v>2.2957827702271283E-2</v>
      </c>
      <c r="BO62" s="7">
        <f t="shared" si="35"/>
        <v>2.9875735639173229E-5</v>
      </c>
      <c r="BP62" s="7">
        <f t="shared" si="36"/>
        <v>2.0097864663479258E-2</v>
      </c>
    </row>
    <row r="63" spans="1:68" x14ac:dyDescent="0.25">
      <c r="A63" t="str">
        <f t="shared" si="31"/>
        <v>20160531</v>
      </c>
      <c r="B63">
        <f t="shared" si="32"/>
        <v>42521</v>
      </c>
      <c r="C63">
        <v>2016</v>
      </c>
      <c r="D63">
        <v>5</v>
      </c>
      <c r="F63" s="20">
        <f>IFERROR(GETPIVOTDATA("[Measures].[Sum of CashInterest]",'Results PT'!$B$8,"[Table2].[ReturnDate]","[Table2].[ReturnDate].&amp;["&amp;$A63&amp;"]"),NA())</f>
        <v>16928868.220000003</v>
      </c>
      <c r="G63" s="20">
        <f>IFERROR(GETPIVOTDATA("[Measures].[Sum of AccrInterest]",'Results PT'!$B$8,"[Table2].[ReturnDate]","[Table2].[ReturnDate].&amp;["&amp;$A63&amp;"]"),NA())</f>
        <v>2622608.0100000002</v>
      </c>
      <c r="H63" s="20">
        <f>IFERROR(GETPIVOTDATA("[Measures].[Sum of OtherIncome]",'Results PT'!$B$8,"[Table2].[ReturnDate]","[Table2].[ReturnDate].&amp;["&amp;$A63&amp;"]"),NA())</f>
        <v>280500</v>
      </c>
      <c r="I63" s="20">
        <f>IFERROR(GETPIVOTDATA("[Measures].[Sum of Expenses]",'Results PT'!$B$8,"[Table2].[ReturnDate]","[Table2].[ReturnDate].&amp;["&amp;$A63&amp;"]"),NA())</f>
        <v>0</v>
      </c>
      <c r="J63" s="20">
        <f>IFERROR(GETPIVOTDATA("[Measures].[Sum of PrincipalFunded]",'Results PT'!$B$8,"[Table2].[ReturnDate]","[Table2].[ReturnDate].&amp;["&amp;$A63&amp;"]"),NA())</f>
        <v>-41838857.150000006</v>
      </c>
      <c r="K63" s="20">
        <f>IFERROR(GETPIVOTDATA("[Measures].[Sum of PrincipalRepaid]",'Results PT'!$B$8,"[Table2].[ReturnDate]","[Table2].[ReturnDate].&amp;["&amp;$A63&amp;"]"),NA())</f>
        <v>17356608.07</v>
      </c>
      <c r="L63" s="20"/>
      <c r="M63" s="20">
        <f>IFERROR(GETPIVOTDATA("[Measures].[Sum of StartValue]",'Results PT'!$B$8,"[Table2].[ReturnDate]","[Table2].[ReturnDate].&amp;["&amp;$A63&amp;"]"),NA())</f>
        <v>2907947692.2199988</v>
      </c>
      <c r="N63" s="20">
        <f>IFERROR(GETPIVOTDATA("[Measures].[Sum of EndValue]",'Results PT'!$B$8,"[Table2].[ReturnDate]","[Table2].[ReturnDate].&amp;["&amp;$A63&amp;"]"),NA())</f>
        <v>2935576871.96</v>
      </c>
      <c r="O63" s="20">
        <f>IFERROR(GETPIVOTDATA("[Measures].[Sum of StartPrincipal]",'Results PT'!$B$8,"[Table2].[ReturnDate]","[Table2].[ReturnDate].&amp;["&amp;$A63&amp;"]"),NA())</f>
        <v>2937820715.4299994</v>
      </c>
      <c r="P63" s="20">
        <f>IFERROR(GETPIVOTDATA("[Measures].[Sum of EndPrincipal]",'Results PT'!$B$8,"[Table2].[ReturnDate]","[Table2].[ReturnDate].&amp;["&amp;$A63&amp;"]"),NA())</f>
        <v>2964925572.5900002</v>
      </c>
      <c r="Q63" s="20">
        <f>IFERROR(GETPIVOTDATA("[Measures].[Sum of StartNAV]",'Results PT'!$B$8,"[Table2].[ReturnDate]","[Table2].[ReturnDate].&amp;["&amp;$A63&amp;"]"),NA())</f>
        <v>2901432239.7199988</v>
      </c>
      <c r="R63" s="20">
        <f>IFERROR(GETPIVOTDATA("[Measures].[Sum of EndNAV]",'Results PT'!$B$8,"[Table2].[ReturnDate]","[Table2].[ReturnDate].&amp;["&amp;$A63&amp;"]"),NA())</f>
        <v>2929061419.46</v>
      </c>
      <c r="S63" s="20"/>
      <c r="T63" s="1">
        <f t="shared" si="45"/>
        <v>0</v>
      </c>
      <c r="U63" s="1">
        <f t="shared" si="46"/>
        <v>0</v>
      </c>
      <c r="V63">
        <f t="shared" si="11"/>
        <v>4</v>
      </c>
      <c r="W63" s="20">
        <f t="shared" si="37"/>
        <v>-7272880.8600000031</v>
      </c>
      <c r="X63" s="20">
        <f t="shared" si="12"/>
        <v>20356298.880001068</v>
      </c>
      <c r="Y63" s="20">
        <f t="shared" si="38"/>
        <v>2905068680.1499987</v>
      </c>
      <c r="Z63" s="3">
        <f t="shared" si="13"/>
        <v>7.0071661365851091E-3</v>
      </c>
      <c r="AA63" s="20"/>
      <c r="AC63" s="20">
        <f>IFERROR(GETPIVOTDATA("[Measures].[Distinct Count of LoanID]",'Count PT'!$B$3,"[Table2].[ReturnDate]","[Table2].[ReturnDate].&amp;["&amp;$A63&amp;"]"),NA())</f>
        <v>87</v>
      </c>
      <c r="AD63" s="20">
        <f>GETPIVOTDATA("[Measures].[Distinct Count of ManagerCode 2]",'Count PT'!$B$3,"[Table2].[ReturnDate]","[Table2].[ReturnDate].&amp;["&amp;$A63&amp;"]")</f>
        <v>6</v>
      </c>
      <c r="AE63" s="20" t="b">
        <f t="shared" si="14"/>
        <v>1</v>
      </c>
      <c r="AF63" s="20" t="b">
        <f t="shared" si="15"/>
        <v>1</v>
      </c>
      <c r="AG63" s="20" t="b">
        <f t="shared" si="16"/>
        <v>1</v>
      </c>
      <c r="AI63" s="7">
        <f t="shared" si="39"/>
        <v>5.8273555925452015E-3</v>
      </c>
      <c r="AJ63" s="7">
        <f t="shared" si="40"/>
        <v>9.0276971003129124E-4</v>
      </c>
      <c r="AK63" s="7">
        <f t="shared" si="41"/>
        <v>9.655537644139856E-5</v>
      </c>
      <c r="AL63" s="7">
        <f t="shared" si="17"/>
        <v>6.8266806790178913E-3</v>
      </c>
      <c r="AM63" s="7">
        <f t="shared" si="42"/>
        <v>0</v>
      </c>
      <c r="AN63" s="7">
        <f t="shared" si="18"/>
        <v>6.8266806790178913E-3</v>
      </c>
      <c r="AO63" s="7">
        <f t="shared" si="19"/>
        <v>1.8048545756721782E-4</v>
      </c>
      <c r="AP63" s="7">
        <f t="shared" si="43"/>
        <v>7.0071661365851091E-3</v>
      </c>
      <c r="AQ63" s="7">
        <f t="shared" si="44"/>
        <v>6.7301253025764934E-3</v>
      </c>
      <c r="AS63" s="7">
        <f t="shared" si="20"/>
        <v>5.8273555925452015E-3</v>
      </c>
      <c r="AT63" s="7">
        <f t="shared" si="21"/>
        <v>9.0276971003129124E-4</v>
      </c>
      <c r="AU63" s="7">
        <f t="shared" si="22"/>
        <v>6.7301253025764925E-3</v>
      </c>
      <c r="AV63" s="7">
        <f t="shared" si="23"/>
        <v>9.655537644139856E-5</v>
      </c>
      <c r="AW63" s="7">
        <f t="shared" si="24"/>
        <v>6.8266806790178913E-3</v>
      </c>
      <c r="AX63" s="7">
        <f t="shared" si="25"/>
        <v>0</v>
      </c>
      <c r="AY63" s="7">
        <f t="shared" si="26"/>
        <v>6.8266806790178913E-3</v>
      </c>
      <c r="AZ63" s="7">
        <f t="shared" si="27"/>
        <v>1.8048545756721782E-4</v>
      </c>
      <c r="BA63" s="7">
        <f t="shared" si="28"/>
        <v>7.0071661365851091E-3</v>
      </c>
      <c r="BB63" s="7">
        <f t="shared" si="29"/>
        <v>6.7301253025764934E-3</v>
      </c>
      <c r="BD63">
        <f t="shared" si="30"/>
        <v>1</v>
      </c>
      <c r="BE63">
        <f t="shared" si="34"/>
        <v>1</v>
      </c>
      <c r="BF63" s="7" cm="1">
        <f t="array" ref="BF63">IF(ISNA($BA63),NA(),IF($BE63=0,"***",PRODUCT(1+AS61:AS63)-1))</f>
        <v>1.757203082296277E-2</v>
      </c>
      <c r="BG63" s="7" cm="1">
        <f t="array" ref="BG63">IF(ISNA($BA63),NA(),IF($BE63=0,"***",PRODUCT(1+AT61:AT63)-1))</f>
        <v>2.6500663950568271E-3</v>
      </c>
      <c r="BH63" s="7" cm="1">
        <f t="array" ref="BH63">IF(ISNA($BA63),NA(),IF($BE63=0,"***",PRODUCT(1+AU61:AU63)-1))</f>
        <v>2.025298538716358E-2</v>
      </c>
      <c r="BI63" s="7" cm="1">
        <f t="array" ref="BI63">IF(ISNA($BA63),NA(),IF($BE63=0,"***",PRODUCT(1+AV61:AV63)-1))</f>
        <v>4.5184913615559097E-4</v>
      </c>
      <c r="BJ63" s="7" cm="1">
        <f t="array" ref="BJ63">IF(ISNA($BA63),NA(),IF($BE63=0,"***",PRODUCT(1+AW61:AW63)-1))</f>
        <v>2.071133811676229E-2</v>
      </c>
      <c r="BK63" s="7" cm="1">
        <f t="array" ref="BK63">IF(ISNA($BA63),NA(),IF($BE63=0,"***",PRODUCT(1+AX61:AX63)-1))</f>
        <v>0</v>
      </c>
      <c r="BL63" s="7" cm="1">
        <f t="array" ref="BL63">IF(ISNA($BA63),NA(),IF($BE63=0,"***",PRODUCT(1+AY61:AY63)-1))</f>
        <v>2.071133811676229E-2</v>
      </c>
      <c r="BM63" s="7" cm="1">
        <f t="array" ref="BM63">IF(ISNA($BA63),NA(),IF($BE63=0,"***",PRODUCT(1+AZ61:AZ63)-1))</f>
        <v>3.4799454857610268E-3</v>
      </c>
      <c r="BN63" s="7" cm="1">
        <f t="array" ref="BN63">IF(ISNA($BA63),NA(),IF($BE63=0,"***",PRODUCT(1+BA61:BA63)-1))</f>
        <v>2.4238152068305485E-2</v>
      </c>
      <c r="BO63" s="7">
        <f t="shared" si="35"/>
        <v>4.68684657821683E-5</v>
      </c>
      <c r="BP63" s="7">
        <f t="shared" si="36"/>
        <v>2.0118867960248567E-2</v>
      </c>
    </row>
    <row r="64" spans="1:68" x14ac:dyDescent="0.25">
      <c r="A64" t="str">
        <f t="shared" si="31"/>
        <v>20160630</v>
      </c>
      <c r="B64">
        <f t="shared" si="32"/>
        <v>42551</v>
      </c>
      <c r="C64">
        <v>2016</v>
      </c>
      <c r="D64">
        <v>6</v>
      </c>
      <c r="F64" s="20">
        <f>IFERROR(GETPIVOTDATA("[Measures].[Sum of CashInterest]",'Results PT'!$B$8,"[Table2].[ReturnDate]","[Table2].[ReturnDate].&amp;["&amp;$A64&amp;"]"),NA())</f>
        <v>20141696.979999997</v>
      </c>
      <c r="G64" s="20">
        <f>IFERROR(GETPIVOTDATA("[Measures].[Sum of AccrInterest]",'Results PT'!$B$8,"[Table2].[ReturnDate]","[Table2].[ReturnDate].&amp;["&amp;$A64&amp;"]"),NA())</f>
        <v>2614136.65</v>
      </c>
      <c r="H64" s="20">
        <f>IFERROR(GETPIVOTDATA("[Measures].[Sum of OtherIncome]",'Results PT'!$B$8,"[Table2].[ReturnDate]","[Table2].[ReturnDate].&amp;["&amp;$A64&amp;"]"),NA())</f>
        <v>715000</v>
      </c>
      <c r="I64" s="20">
        <f>IFERROR(GETPIVOTDATA("[Measures].[Sum of Expenses]",'Results PT'!$B$8,"[Table2].[ReturnDate]","[Table2].[ReturnDate].&amp;["&amp;$A64&amp;"]"),NA())</f>
        <v>0</v>
      </c>
      <c r="J64" s="20">
        <f>IFERROR(GETPIVOTDATA("[Measures].[Sum of PrincipalFunded]",'Results PT'!$B$8,"[Table2].[ReturnDate]","[Table2].[ReturnDate].&amp;["&amp;$A64&amp;"]"),NA())</f>
        <v>-108530659.59</v>
      </c>
      <c r="K64" s="20">
        <f>IFERROR(GETPIVOTDATA("[Measures].[Sum of PrincipalRepaid]",'Results PT'!$B$8,"[Table2].[ReturnDate]","[Table2].[ReturnDate].&amp;["&amp;$A64&amp;"]"),NA())</f>
        <v>331728269.94999999</v>
      </c>
      <c r="L64" s="20"/>
      <c r="M64" s="20">
        <f>IFERROR(GETPIVOTDATA("[Measures].[Sum of StartValue]",'Results PT'!$B$8,"[Table2].[ReturnDate]","[Table2].[ReturnDate].&amp;["&amp;$A64&amp;"]"),NA())</f>
        <v>2935576871.96</v>
      </c>
      <c r="N64" s="20">
        <f>IFERROR(GETPIVOTDATA("[Measures].[Sum of EndValue]",'Results PT'!$B$8,"[Table2].[ReturnDate]","[Table2].[ReturnDate].&amp;["&amp;$A64&amp;"]"),NA())</f>
        <v>2719111267.3600001</v>
      </c>
      <c r="O64" s="20">
        <f>IFERROR(GETPIVOTDATA("[Measures].[Sum of StartPrincipal]",'Results PT'!$B$8,"[Table2].[ReturnDate]","[Table2].[ReturnDate].&amp;["&amp;$A64&amp;"]"),NA())</f>
        <v>2964925572.5900002</v>
      </c>
      <c r="P64" s="20">
        <f>IFERROR(GETPIVOTDATA("[Measures].[Sum of EndPrincipal]",'Results PT'!$B$8,"[Table2].[ReturnDate]","[Table2].[ReturnDate].&amp;["&amp;$A64&amp;"]"),NA())</f>
        <v>2744342098.8800006</v>
      </c>
      <c r="Q64" s="20">
        <f>IFERROR(GETPIVOTDATA("[Measures].[Sum of StartNAV]",'Results PT'!$B$8,"[Table2].[ReturnDate]","[Table2].[ReturnDate].&amp;["&amp;$A64&amp;"]"),NA())</f>
        <v>2929061419.46</v>
      </c>
      <c r="R64" s="20">
        <f>IFERROR(GETPIVOTDATA("[Measures].[Sum of EndNAV]",'Results PT'!$B$8,"[Table2].[ReturnDate]","[Table2].[ReturnDate].&amp;["&amp;$A64&amp;"]"),NA())</f>
        <v>2712595814.8600001</v>
      </c>
      <c r="S64" s="20"/>
      <c r="T64" s="1">
        <f t="shared" si="45"/>
        <v>0</v>
      </c>
      <c r="U64" s="1">
        <f t="shared" si="46"/>
        <v>0</v>
      </c>
      <c r="V64">
        <f t="shared" si="11"/>
        <v>4</v>
      </c>
      <c r="W64" s="20">
        <f t="shared" si="37"/>
        <v>244054307.33999997</v>
      </c>
      <c r="X64" s="20">
        <f t="shared" si="12"/>
        <v>27588702.740000248</v>
      </c>
      <c r="Y64" s="20">
        <f t="shared" si="38"/>
        <v>2807034265.79</v>
      </c>
      <c r="Z64" s="3">
        <f t="shared" si="13"/>
        <v>9.8284168014015315E-3</v>
      </c>
      <c r="AA64" s="20"/>
      <c r="AC64" s="20">
        <f>IFERROR(GETPIVOTDATA("[Measures].[Distinct Count of LoanID]",'Count PT'!$B$3,"[Table2].[ReturnDate]","[Table2].[ReturnDate].&amp;["&amp;$A64&amp;"]"),NA())</f>
        <v>90</v>
      </c>
      <c r="AD64" s="20">
        <f>GETPIVOTDATA("[Measures].[Distinct Count of ManagerCode 2]",'Count PT'!$B$3,"[Table2].[ReturnDate]","[Table2].[ReturnDate].&amp;["&amp;$A64&amp;"]")</f>
        <v>6</v>
      </c>
      <c r="AE64" s="20" t="b">
        <f t="shared" si="14"/>
        <v>1</v>
      </c>
      <c r="AF64" s="20" t="b">
        <f t="shared" si="15"/>
        <v>1</v>
      </c>
      <c r="AG64" s="20" t="b">
        <f t="shared" si="16"/>
        <v>1</v>
      </c>
      <c r="AI64" s="7">
        <f t="shared" si="39"/>
        <v>7.1754368037012196E-3</v>
      </c>
      <c r="AJ64" s="7">
        <f t="shared" si="40"/>
        <v>9.31280633748975E-4</v>
      </c>
      <c r="AK64" s="7">
        <f t="shared" si="41"/>
        <v>2.5471723260163815E-4</v>
      </c>
      <c r="AL64" s="7">
        <f t="shared" si="17"/>
        <v>8.3614346700518326E-3</v>
      </c>
      <c r="AM64" s="7">
        <f t="shared" si="42"/>
        <v>0</v>
      </c>
      <c r="AN64" s="7">
        <f t="shared" si="18"/>
        <v>8.3614346700518326E-3</v>
      </c>
      <c r="AO64" s="7">
        <f t="shared" si="19"/>
        <v>1.4669821313496988E-3</v>
      </c>
      <c r="AP64" s="7">
        <f t="shared" si="43"/>
        <v>9.8284168014015315E-3</v>
      </c>
      <c r="AQ64" s="7">
        <f t="shared" si="44"/>
        <v>8.1067174374501935E-3</v>
      </c>
      <c r="AS64" s="7">
        <f t="shared" si="20"/>
        <v>7.1754368037012196E-3</v>
      </c>
      <c r="AT64" s="7">
        <f t="shared" si="21"/>
        <v>9.31280633748975E-4</v>
      </c>
      <c r="AU64" s="7">
        <f t="shared" si="22"/>
        <v>8.1067174374501953E-3</v>
      </c>
      <c r="AV64" s="7">
        <f t="shared" si="23"/>
        <v>2.5471723260163815E-4</v>
      </c>
      <c r="AW64" s="7">
        <f t="shared" si="24"/>
        <v>8.3614346700518326E-3</v>
      </c>
      <c r="AX64" s="7">
        <f t="shared" si="25"/>
        <v>0</v>
      </c>
      <c r="AY64" s="7">
        <f t="shared" si="26"/>
        <v>8.3614346700518326E-3</v>
      </c>
      <c r="AZ64" s="7">
        <f t="shared" si="27"/>
        <v>1.4669821313496988E-3</v>
      </c>
      <c r="BA64" s="7">
        <f t="shared" si="28"/>
        <v>9.8284168014015315E-3</v>
      </c>
      <c r="BB64" s="7">
        <f t="shared" si="29"/>
        <v>8.1067174374501935E-3</v>
      </c>
      <c r="BD64">
        <f t="shared" si="30"/>
        <v>1</v>
      </c>
      <c r="BE64">
        <f t="shared" si="34"/>
        <v>1</v>
      </c>
      <c r="BF64" s="7" cm="1">
        <f t="array" ref="BF64">IF(ISNA($BA64),NA(),IF($BE64=0,"***",PRODUCT(1+AS62:AS64)-1))</f>
        <v>1.7906569521392246E-2</v>
      </c>
      <c r="BG64" s="7" cm="1">
        <f t="array" ref="BG64">IF(ISNA($BA64),NA(),IF($BE64=0,"***",PRODUCT(1+AT62:AT64)-1))</f>
        <v>2.6829803013019848E-3</v>
      </c>
      <c r="BH64" s="7" cm="1">
        <f t="array" ref="BH64">IF(ISNA($BA64),NA(),IF($BE64=0,"***",PRODUCT(1+AU62:AU64)-1))</f>
        <v>2.0621370731771504E-2</v>
      </c>
      <c r="BI64" s="7" cm="1">
        <f t="array" ref="BI64">IF(ISNA($BA64),NA(),IF($BE64=0,"***",PRODUCT(1+AV62:AV64)-1))</f>
        <v>7.2853912529824427E-4</v>
      </c>
      <c r="BJ64" s="7" cm="1">
        <f t="array" ref="BJ64">IF(ISNA($BA64),NA(),IF($BE64=0,"***",PRODUCT(1+AW62:AW64)-1))</f>
        <v>2.1360020997628792E-2</v>
      </c>
      <c r="BK64" s="7" cm="1">
        <f t="array" ref="BK64">IF(ISNA($BA64),NA(),IF($BE64=0,"***",PRODUCT(1+AX62:AX64)-1))</f>
        <v>0</v>
      </c>
      <c r="BL64" s="7" cm="1">
        <f t="array" ref="BL64">IF(ISNA($BA64),NA(),IF($BE64=0,"***",PRODUCT(1+AY62:AY64)-1))</f>
        <v>2.1360020997628792E-2</v>
      </c>
      <c r="BM64" s="7" cm="1">
        <f t="array" ref="BM64">IF(ISNA($BA64),NA(),IF($BE64=0,"***",PRODUCT(1+AZ62:AZ64)-1))</f>
        <v>2.7405158419844255E-3</v>
      </c>
      <c r="BN64" s="7" cm="1">
        <f t="array" ref="BN64">IF(ISNA($BA64),NA(),IF($BE64=0,"***",PRODUCT(1+BA62:BA64)-1))</f>
        <v>2.4138699145161091E-2</v>
      </c>
      <c r="BO64" s="7">
        <f t="shared" si="35"/>
        <v>3.8162305547873032E-5</v>
      </c>
      <c r="BP64" s="7">
        <f t="shared" si="36"/>
        <v>2.0482736238098164E-2</v>
      </c>
    </row>
    <row r="65" spans="1:68" x14ac:dyDescent="0.25">
      <c r="A65" t="str">
        <f t="shared" si="31"/>
        <v>20160731</v>
      </c>
      <c r="B65">
        <f t="shared" si="32"/>
        <v>42582</v>
      </c>
      <c r="C65">
        <v>2016</v>
      </c>
      <c r="D65">
        <v>7</v>
      </c>
      <c r="F65" s="20">
        <f>IFERROR(GETPIVOTDATA("[Measures].[Sum of CashInterest]",'Results PT'!$B$8,"[Table2].[ReturnDate]","[Table2].[ReturnDate].&amp;["&amp;$A65&amp;"]"),NA())</f>
        <v>12626826.400000002</v>
      </c>
      <c r="G65" s="20">
        <f>IFERROR(GETPIVOTDATA("[Measures].[Sum of AccrInterest]",'Results PT'!$B$8,"[Table2].[ReturnDate]","[Table2].[ReturnDate].&amp;["&amp;$A65&amp;"]"),NA())</f>
        <v>2356038.64</v>
      </c>
      <c r="H65" s="20">
        <f>IFERROR(GETPIVOTDATA("[Measures].[Sum of OtherIncome]",'Results PT'!$B$8,"[Table2].[ReturnDate]","[Table2].[ReturnDate].&amp;["&amp;$A65&amp;"]"),NA())</f>
        <v>40422</v>
      </c>
      <c r="I65" s="20">
        <f>IFERROR(GETPIVOTDATA("[Measures].[Sum of Expenses]",'Results PT'!$B$8,"[Table2].[ReturnDate]","[Table2].[ReturnDate].&amp;["&amp;$A65&amp;"]"),NA())</f>
        <v>-5000</v>
      </c>
      <c r="J65" s="20">
        <f>IFERROR(GETPIVOTDATA("[Measures].[Sum of PrincipalFunded]",'Results PT'!$B$8,"[Table2].[ReturnDate]","[Table2].[ReturnDate].&amp;["&amp;$A65&amp;"]"),NA())</f>
        <v>-12571091.52</v>
      </c>
      <c r="K65" s="20">
        <f>IFERROR(GETPIVOTDATA("[Measures].[Sum of PrincipalRepaid]",'Results PT'!$B$8,"[Table2].[ReturnDate]","[Table2].[ReturnDate].&amp;["&amp;$A65&amp;"]"),NA())</f>
        <v>9006669.3099999987</v>
      </c>
      <c r="L65" s="20"/>
      <c r="M65" s="20">
        <f>IFERROR(GETPIVOTDATA("[Measures].[Sum of StartValue]",'Results PT'!$B$8,"[Table2].[ReturnDate]","[Table2].[ReturnDate].&amp;["&amp;$A65&amp;"]"),NA())</f>
        <v>2719111267.3600001</v>
      </c>
      <c r="N65" s="20">
        <f>IFERROR(GETPIVOTDATA("[Measures].[Sum of EndValue]",'Results PT'!$B$8,"[Table2].[ReturnDate]","[Table2].[ReturnDate].&amp;["&amp;$A65&amp;"]"),NA())</f>
        <v>2729116347.0500002</v>
      </c>
      <c r="O65" s="20">
        <f>IFERROR(GETPIVOTDATA("[Measures].[Sum of StartPrincipal]",'Results PT'!$B$8,"[Table2].[ReturnDate]","[Table2].[ReturnDate].&amp;["&amp;$A65&amp;"]"),NA())</f>
        <v>2744342098.8800006</v>
      </c>
      <c r="P65" s="20">
        <f>IFERROR(GETPIVOTDATA("[Measures].[Sum of EndPrincipal]",'Results PT'!$B$8,"[Table2].[ReturnDate]","[Table2].[ReturnDate].&amp;["&amp;$A65&amp;"]"),NA())</f>
        <v>2750262559.7500005</v>
      </c>
      <c r="Q65" s="20">
        <f>IFERROR(GETPIVOTDATA("[Measures].[Sum of StartNAV]",'Results PT'!$B$8,"[Table2].[ReturnDate]","[Table2].[ReturnDate].&amp;["&amp;$A65&amp;"]"),NA())</f>
        <v>2712595814.8600001</v>
      </c>
      <c r="R65" s="20">
        <f>IFERROR(GETPIVOTDATA("[Measures].[Sum of EndNAV]",'Results PT'!$B$8,"[Table2].[ReturnDate]","[Table2].[ReturnDate].&amp;["&amp;$A65&amp;"]"),NA())</f>
        <v>2722600894.5500002</v>
      </c>
      <c r="S65" s="20"/>
      <c r="T65" s="1">
        <f t="shared" si="45"/>
        <v>0</v>
      </c>
      <c r="U65" s="1">
        <f t="shared" si="46"/>
        <v>0</v>
      </c>
      <c r="V65">
        <f t="shared" si="11"/>
        <v>4</v>
      </c>
      <c r="W65" s="20">
        <f t="shared" si="37"/>
        <v>9097826.1900000013</v>
      </c>
      <c r="X65" s="20">
        <f t="shared" si="12"/>
        <v>19102905.880000114</v>
      </c>
      <c r="Y65" s="20">
        <f t="shared" si="38"/>
        <v>2708046901.7650003</v>
      </c>
      <c r="Z65" s="3">
        <f t="shared" si="13"/>
        <v>7.0541266724551844E-3</v>
      </c>
      <c r="AA65" s="20"/>
      <c r="AC65" s="20">
        <f>IFERROR(GETPIVOTDATA("[Measures].[Distinct Count of LoanID]",'Count PT'!$B$3,"[Table2].[ReturnDate]","[Table2].[ReturnDate].&amp;["&amp;$A65&amp;"]"),NA())</f>
        <v>88</v>
      </c>
      <c r="AD65" s="20">
        <f>GETPIVOTDATA("[Measures].[Distinct Count of ManagerCode 2]",'Count PT'!$B$3,"[Table2].[ReturnDate]","[Table2].[ReturnDate].&amp;["&amp;$A65&amp;"]")</f>
        <v>6</v>
      </c>
      <c r="AE65" s="20" t="b">
        <f t="shared" si="14"/>
        <v>1</v>
      </c>
      <c r="AF65" s="20" t="b">
        <f t="shared" si="15"/>
        <v>1</v>
      </c>
      <c r="AG65" s="20" t="b">
        <f t="shared" si="16"/>
        <v>1</v>
      </c>
      <c r="AI65" s="7">
        <f t="shared" si="39"/>
        <v>4.6627059493579391E-3</v>
      </c>
      <c r="AJ65" s="7">
        <f t="shared" si="40"/>
        <v>8.7001397149525923E-4</v>
      </c>
      <c r="AK65" s="7">
        <f t="shared" si="41"/>
        <v>1.4926624783955736E-5</v>
      </c>
      <c r="AL65" s="7">
        <f t="shared" si="17"/>
        <v>5.5476465456371542E-3</v>
      </c>
      <c r="AM65" s="7">
        <f t="shared" si="42"/>
        <v>-1.8463491148329791E-6</v>
      </c>
      <c r="AN65" s="7">
        <f t="shared" si="18"/>
        <v>5.545800196522321E-3</v>
      </c>
      <c r="AO65" s="7">
        <f t="shared" si="19"/>
        <v>1.5083264759328634E-3</v>
      </c>
      <c r="AP65" s="7">
        <f t="shared" si="43"/>
        <v>7.0541266724551844E-3</v>
      </c>
      <c r="AQ65" s="7">
        <f t="shared" si="44"/>
        <v>5.5327199208531986E-3</v>
      </c>
      <c r="AS65" s="7">
        <f t="shared" si="20"/>
        <v>4.6627059493579391E-3</v>
      </c>
      <c r="AT65" s="7">
        <f t="shared" si="21"/>
        <v>8.7001397149525923E-4</v>
      </c>
      <c r="AU65" s="7">
        <f t="shared" si="22"/>
        <v>5.5327199208531986E-3</v>
      </c>
      <c r="AV65" s="7">
        <f t="shared" si="23"/>
        <v>1.4926624783955736E-5</v>
      </c>
      <c r="AW65" s="7">
        <f t="shared" si="24"/>
        <v>5.5476465456371542E-3</v>
      </c>
      <c r="AX65" s="7">
        <f t="shared" si="25"/>
        <v>-1.8463491148329791E-6</v>
      </c>
      <c r="AY65" s="7">
        <f t="shared" si="26"/>
        <v>5.545800196522321E-3</v>
      </c>
      <c r="AZ65" s="7">
        <f t="shared" si="27"/>
        <v>1.5083264759328634E-3</v>
      </c>
      <c r="BA65" s="7">
        <f t="shared" si="28"/>
        <v>7.0541266724551844E-3</v>
      </c>
      <c r="BB65" s="7">
        <f t="shared" si="29"/>
        <v>5.5327199208531986E-3</v>
      </c>
      <c r="BD65">
        <f t="shared" si="30"/>
        <v>1</v>
      </c>
      <c r="BE65">
        <f t="shared" si="34"/>
        <v>1</v>
      </c>
      <c r="BF65" s="7" cm="1">
        <f t="array" ref="BF65">IF(ISNA($BA65),NA(),IF($BE65=0,"***",PRODUCT(1+AS63:AS65)-1))</f>
        <v>1.7768135330411328E-2</v>
      </c>
      <c r="BG65" s="7" cm="1">
        <f t="array" ref="BG65">IF(ISNA($BA65),NA(),IF($BE65=0,"***",PRODUCT(1+AT63:AT65)-1))</f>
        <v>2.7065014280951427E-3</v>
      </c>
      <c r="BH65" s="7" cm="1">
        <f t="array" ref="BH65">IF(ISNA($BA65),NA(),IF($BE65=0,"***",PRODUCT(1+AU63:AU65)-1))</f>
        <v>2.0506511841323238E-2</v>
      </c>
      <c r="BI65" s="7" cm="1">
        <f t="array" ref="BI65">IF(ISNA($BA65),NA(),IF($BE65=0,"***",PRODUCT(1+AV63:AV65)-1))</f>
        <v>3.6622907182692899E-4</v>
      </c>
      <c r="BJ65" s="7" cm="1">
        <f t="array" ref="BJ65">IF(ISNA($BA65),NA(),IF($BE65=0,"***",PRODUCT(1+AW63:AW65)-1))</f>
        <v>2.0877417699218581E-2</v>
      </c>
      <c r="BK65" s="7" cm="1">
        <f t="array" ref="BK65">IF(ISNA($BA65),NA(),IF($BE65=0,"***",PRODUCT(1+AX63:AX65)-1))</f>
        <v>-1.8463491148201783E-6</v>
      </c>
      <c r="BL65" s="7" cm="1">
        <f t="array" ref="BL65">IF(ISNA($BA65),NA(),IF($BE65=0,"***",PRODUCT(1+AY63:AY65)-1))</f>
        <v>2.0875543202149016E-2</v>
      </c>
      <c r="BM65" s="7" cm="1">
        <f t="array" ref="BM65">IF(ISNA($BA65),NA(),IF($BE65=0,"***",PRODUCT(1+AZ63:AZ65)-1))</f>
        <v>3.1585441521317925E-3</v>
      </c>
      <c r="BN65" s="7" cm="1">
        <f t="array" ref="BN65">IF(ISNA($BA65),NA(),IF($BE65=0,"***",PRODUCT(1+BA63:BA65)-1))</f>
        <v>2.4077825107592599E-2</v>
      </c>
      <c r="BO65" s="7">
        <f t="shared" si="35"/>
        <v>4.3737753311789973E-5</v>
      </c>
      <c r="BP65" s="7">
        <f t="shared" si="36"/>
        <v>2.0369562660879886E-2</v>
      </c>
    </row>
    <row r="66" spans="1:68" x14ac:dyDescent="0.25">
      <c r="A66" t="str">
        <f t="shared" si="31"/>
        <v>20160831</v>
      </c>
      <c r="B66">
        <f t="shared" si="32"/>
        <v>42613</v>
      </c>
      <c r="C66">
        <v>2016</v>
      </c>
      <c r="D66">
        <v>8</v>
      </c>
      <c r="F66" s="20">
        <f>IFERROR(GETPIVOTDATA("[Measures].[Sum of CashInterest]",'Results PT'!$B$8,"[Table2].[ReturnDate]","[Table2].[ReturnDate].&amp;["&amp;$A66&amp;"]"),NA())</f>
        <v>24147216.019999996</v>
      </c>
      <c r="G66" s="20">
        <f>IFERROR(GETPIVOTDATA("[Measures].[Sum of AccrInterest]",'Results PT'!$B$8,"[Table2].[ReturnDate]","[Table2].[ReturnDate].&amp;["&amp;$A66&amp;"]"),NA())</f>
        <v>2317498.1999999997</v>
      </c>
      <c r="H66" s="20">
        <f>IFERROR(GETPIVOTDATA("[Measures].[Sum of OtherIncome]",'Results PT'!$B$8,"[Table2].[ReturnDate]","[Table2].[ReturnDate].&amp;["&amp;$A66&amp;"]"),NA())</f>
        <v>0</v>
      </c>
      <c r="I66" s="20">
        <f>IFERROR(GETPIVOTDATA("[Measures].[Sum of Expenses]",'Results PT'!$B$8,"[Table2].[ReturnDate]","[Table2].[ReturnDate].&amp;["&amp;$A66&amp;"]"),NA())</f>
        <v>-2260.42</v>
      </c>
      <c r="J66" s="20">
        <f>IFERROR(GETPIVOTDATA("[Measures].[Sum of PrincipalFunded]",'Results PT'!$B$8,"[Table2].[ReturnDate]","[Table2].[ReturnDate].&amp;["&amp;$A66&amp;"]"),NA())</f>
        <v>-32731465.450000003</v>
      </c>
      <c r="K66" s="20">
        <f>IFERROR(GETPIVOTDATA("[Measures].[Sum of PrincipalRepaid]",'Results PT'!$B$8,"[Table2].[ReturnDate]","[Table2].[ReturnDate].&amp;["&amp;$A66&amp;"]"),NA())</f>
        <v>102186696.23999999</v>
      </c>
      <c r="L66" s="20"/>
      <c r="M66" s="20">
        <f>IFERROR(GETPIVOTDATA("[Measures].[Sum of StartValue]",'Results PT'!$B$8,"[Table2].[ReturnDate]","[Table2].[ReturnDate].&amp;["&amp;$A66&amp;"]"),NA())</f>
        <v>2729116347.0500002</v>
      </c>
      <c r="N66" s="20">
        <f>IFERROR(GETPIVOTDATA("[Measures].[Sum of EndValue]",'Results PT'!$B$8,"[Table2].[ReturnDate]","[Table2].[ReturnDate].&amp;["&amp;$A66&amp;"]"),NA())</f>
        <v>2674253717.6300001</v>
      </c>
      <c r="O66" s="20">
        <f>IFERROR(GETPIVOTDATA("[Measures].[Sum of StartPrincipal]",'Results PT'!$B$8,"[Table2].[ReturnDate]","[Table2].[ReturnDate].&amp;["&amp;$A66&amp;"]"),NA())</f>
        <v>2750262559.7500005</v>
      </c>
      <c r="P66" s="20">
        <f>IFERROR(GETPIVOTDATA("[Measures].[Sum of EndPrincipal]",'Results PT'!$B$8,"[Table2].[ReturnDate]","[Table2].[ReturnDate].&amp;["&amp;$A66&amp;"]"),NA())</f>
        <v>2694362810.1100001</v>
      </c>
      <c r="Q66" s="20">
        <f>IFERROR(GETPIVOTDATA("[Measures].[Sum of StartNAV]",'Results PT'!$B$8,"[Table2].[ReturnDate]","[Table2].[ReturnDate].&amp;["&amp;$A66&amp;"]"),NA())</f>
        <v>2722600894.5500002</v>
      </c>
      <c r="R66" s="20">
        <f>IFERROR(GETPIVOTDATA("[Measures].[Sum of EndNAV]",'Results PT'!$B$8,"[Table2].[ReturnDate]","[Table2].[ReturnDate].&amp;["&amp;$A66&amp;"]"),NA())</f>
        <v>2656500282.1499996</v>
      </c>
      <c r="S66" s="20"/>
      <c r="T66" s="1">
        <f t="shared" si="45"/>
        <v>0</v>
      </c>
      <c r="U66" s="1">
        <f t="shared" si="46"/>
        <v>0</v>
      </c>
      <c r="V66">
        <f t="shared" si="11"/>
        <v>4</v>
      </c>
      <c r="W66" s="20">
        <f t="shared" si="37"/>
        <v>93600186.389999986</v>
      </c>
      <c r="X66" s="20">
        <f t="shared" si="12"/>
        <v>27499573.989999294</v>
      </c>
      <c r="Y66" s="20">
        <f t="shared" si="38"/>
        <v>2675800801.355</v>
      </c>
      <c r="Z66" s="3">
        <f t="shared" si="13"/>
        <v>1.0277137960372003E-2</v>
      </c>
      <c r="AA66" s="20"/>
      <c r="AC66" s="20">
        <f>IFERROR(GETPIVOTDATA("[Measures].[Distinct Count of LoanID]",'Count PT'!$B$3,"[Table2].[ReturnDate]","[Table2].[ReturnDate].&amp;["&amp;$A66&amp;"]"),NA())</f>
        <v>88</v>
      </c>
      <c r="AD66" s="20">
        <f>GETPIVOTDATA("[Measures].[Distinct Count of ManagerCode 2]",'Count PT'!$B$3,"[Table2].[ReturnDate]","[Table2].[ReturnDate].&amp;["&amp;$A66&amp;"]")</f>
        <v>6</v>
      </c>
      <c r="AE66" s="20" t="b">
        <f t="shared" si="14"/>
        <v>1</v>
      </c>
      <c r="AF66" s="20" t="b">
        <f t="shared" si="15"/>
        <v>1</v>
      </c>
      <c r="AG66" s="20" t="b">
        <f t="shared" si="16"/>
        <v>1</v>
      </c>
      <c r="AI66" s="7">
        <f t="shared" si="39"/>
        <v>9.0242950849600146E-3</v>
      </c>
      <c r="AJ66" s="7">
        <f t="shared" si="40"/>
        <v>8.6609518871002677E-4</v>
      </c>
      <c r="AK66" s="7">
        <f t="shared" si="41"/>
        <v>0</v>
      </c>
      <c r="AL66" s="7">
        <f t="shared" si="17"/>
        <v>9.8903902736700421E-3</v>
      </c>
      <c r="AM66" s="7">
        <f t="shared" si="42"/>
        <v>-8.4476392968241322E-7</v>
      </c>
      <c r="AN66" s="7">
        <f t="shared" si="18"/>
        <v>9.8895455097403589E-3</v>
      </c>
      <c r="AO66" s="7">
        <f t="shared" si="19"/>
        <v>3.8759245063164395E-4</v>
      </c>
      <c r="AP66" s="7">
        <f t="shared" si="43"/>
        <v>1.0277137960372003E-2</v>
      </c>
      <c r="AQ66" s="7">
        <f t="shared" si="44"/>
        <v>9.8903902736700421E-3</v>
      </c>
      <c r="AS66" s="7">
        <f t="shared" si="20"/>
        <v>9.0242950849600146E-3</v>
      </c>
      <c r="AT66" s="7">
        <f t="shared" si="21"/>
        <v>8.6609518871002677E-4</v>
      </c>
      <c r="AU66" s="7">
        <f t="shared" si="22"/>
        <v>9.8903902736700421E-3</v>
      </c>
      <c r="AV66" s="7">
        <f t="shared" si="23"/>
        <v>0</v>
      </c>
      <c r="AW66" s="7">
        <f t="shared" si="24"/>
        <v>9.8903902736700421E-3</v>
      </c>
      <c r="AX66" s="7">
        <f t="shared" si="25"/>
        <v>-8.4476392968241322E-7</v>
      </c>
      <c r="AY66" s="7">
        <f t="shared" si="26"/>
        <v>9.8895455097403589E-3</v>
      </c>
      <c r="AZ66" s="7">
        <f t="shared" si="27"/>
        <v>3.8759245063164395E-4</v>
      </c>
      <c r="BA66" s="7">
        <f t="shared" si="28"/>
        <v>1.0277137960372003E-2</v>
      </c>
      <c r="BB66" s="7">
        <f t="shared" si="29"/>
        <v>9.8903902736700421E-3</v>
      </c>
      <c r="BD66">
        <f t="shared" si="30"/>
        <v>1</v>
      </c>
      <c r="BE66">
        <f t="shared" si="34"/>
        <v>1</v>
      </c>
      <c r="BF66" s="7" cm="1">
        <f t="array" ref="BF66">IF(ISNA($BA66),NA(),IF($BE66=0,"***",PRODUCT(1+AS64:AS66)-1))</f>
        <v>2.1003027608760716E-2</v>
      </c>
      <c r="BG66" s="7" cm="1">
        <f t="array" ref="BG66">IF(ISNA($BA66),NA(),IF($BE66=0,"***",PRODUCT(1+AT64:AT66)-1))</f>
        <v>2.6697608154417907E-3</v>
      </c>
      <c r="BH66" s="7" cm="1">
        <f t="array" ref="BH66">IF(ISNA($BA66),NA(),IF($BE66=0,"***",PRODUCT(1+AU64:AU66)-1))</f>
        <v>2.3710022793352881E-2</v>
      </c>
      <c r="BI66" s="7" cm="1">
        <f t="array" ref="BI66">IF(ISNA($BA66),NA(),IF($BE66=0,"***",PRODUCT(1+AV64:AV66)-1))</f>
        <v>2.6964765945436397E-4</v>
      </c>
      <c r="BJ66" s="7" cm="1">
        <f t="array" ref="BJ66">IF(ISNA($BA66),NA(),IF($BE66=0,"***",PRODUCT(1+AW64:AW66)-1))</f>
        <v>2.3983882793548128E-2</v>
      </c>
      <c r="BK66" s="7" cm="1">
        <f t="array" ref="BK66">IF(ISNA($BA66),NA(),IF($BE66=0,"***",PRODUCT(1+AX64:AX66)-1))</f>
        <v>-2.6911114847649742E-6</v>
      </c>
      <c r="BL66" s="7" cm="1">
        <f t="array" ref="BL66">IF(ISNA($BA66),NA(),IF($BE66=0,"***",PRODUCT(1+AY64:AY66)-1))</f>
        <v>2.39811460410706E-2</v>
      </c>
      <c r="BM66" s="7" cm="1">
        <f t="array" ref="BM66">IF(ISNA($BA66),NA(),IF($BE66=0,"***",PRODUCT(1+AZ64:AZ66)-1))</f>
        <v>3.3662678106782806E-3</v>
      </c>
      <c r="BN66" s="7" cm="1">
        <f t="array" ref="BN66">IF(ISNA($BA66),NA(),IF($BE66=0,"***",PRODUCT(1+BA64:BA66)-1))</f>
        <v>2.740322908293269E-2</v>
      </c>
      <c r="BO66" s="7">
        <f t="shared" si="35"/>
        <v>5.5815231183808933E-5</v>
      </c>
      <c r="BP66" s="7">
        <f t="shared" si="36"/>
        <v>2.3529827631973435E-2</v>
      </c>
    </row>
    <row r="67" spans="1:68" x14ac:dyDescent="0.25">
      <c r="A67" t="str">
        <f t="shared" si="31"/>
        <v>20160930</v>
      </c>
      <c r="B67">
        <f t="shared" si="32"/>
        <v>42643</v>
      </c>
      <c r="C67">
        <v>2016</v>
      </c>
      <c r="D67">
        <v>9</v>
      </c>
      <c r="F67" s="20">
        <f>IFERROR(GETPIVOTDATA("[Measures].[Sum of CashInterest]",'Results PT'!$B$8,"[Table2].[ReturnDate]","[Table2].[ReturnDate].&amp;["&amp;$A67&amp;"]"),NA())</f>
        <v>16926672.600000001</v>
      </c>
      <c r="G67" s="20">
        <f>IFERROR(GETPIVOTDATA("[Measures].[Sum of AccrInterest]",'Results PT'!$B$8,"[Table2].[ReturnDate]","[Table2].[ReturnDate].&amp;["&amp;$A67&amp;"]"),NA())</f>
        <v>2239282.19</v>
      </c>
      <c r="H67" s="20">
        <f>IFERROR(GETPIVOTDATA("[Measures].[Sum of OtherIncome]",'Results PT'!$B$8,"[Table2].[ReturnDate]","[Table2].[ReturnDate].&amp;["&amp;$A67&amp;"]"),NA())</f>
        <v>655600</v>
      </c>
      <c r="I67" s="20">
        <f>IFERROR(GETPIVOTDATA("[Measures].[Sum of Expenses]",'Results PT'!$B$8,"[Table2].[ReturnDate]","[Table2].[ReturnDate].&amp;["&amp;$A67&amp;"]"),NA())</f>
        <v>-2260.42</v>
      </c>
      <c r="J67" s="20">
        <f>IFERROR(GETPIVOTDATA("[Measures].[Sum of PrincipalFunded]",'Results PT'!$B$8,"[Table2].[ReturnDate]","[Table2].[ReturnDate].&amp;["&amp;$A67&amp;"]"),NA())</f>
        <v>-148476273.22999999</v>
      </c>
      <c r="K67" s="20">
        <f>IFERROR(GETPIVOTDATA("[Measures].[Sum of PrincipalRepaid]",'Results PT'!$B$8,"[Table2].[ReturnDate]","[Table2].[ReturnDate].&amp;["&amp;$A67&amp;"]"),NA())</f>
        <v>128468314.11000001</v>
      </c>
      <c r="L67" s="20"/>
      <c r="M67" s="20">
        <f>IFERROR(GETPIVOTDATA("[Measures].[Sum of StartValue]",'Results PT'!$B$8,"[Table2].[ReturnDate]","[Table2].[ReturnDate].&amp;["&amp;$A67&amp;"]"),NA())</f>
        <v>2674253717.6300001</v>
      </c>
      <c r="N67" s="20">
        <f>IFERROR(GETPIVOTDATA("[Measures].[Sum of EndValue]",'Results PT'!$B$8,"[Table2].[ReturnDate]","[Table2].[ReturnDate].&amp;["&amp;$A67&amp;"]"),NA())</f>
        <v>2698050922.5300002</v>
      </c>
      <c r="O67" s="20">
        <f>IFERROR(GETPIVOTDATA("[Measures].[Sum of StartPrincipal]",'Results PT'!$B$8,"[Table2].[ReturnDate]","[Table2].[ReturnDate].&amp;["&amp;$A67&amp;"]"),NA())</f>
        <v>2694362810.1100001</v>
      </c>
      <c r="P67" s="20">
        <f>IFERROR(GETPIVOTDATA("[Measures].[Sum of EndPrincipal]",'Results PT'!$B$8,"[Table2].[ReturnDate]","[Table2].[ReturnDate].&amp;["&amp;$A67&amp;"]"),NA())</f>
        <v>2717798016.9100003</v>
      </c>
      <c r="Q67" s="20">
        <f>IFERROR(GETPIVOTDATA("[Measures].[Sum of StartNAV]",'Results PT'!$B$8,"[Table2].[ReturnDate]","[Table2].[ReturnDate].&amp;["&amp;$A67&amp;"]"),NA())</f>
        <v>2656500282.1499996</v>
      </c>
      <c r="R67" s="20">
        <f>IFERROR(GETPIVOTDATA("[Measures].[Sum of EndNAV]",'Results PT'!$B$8,"[Table2].[ReturnDate]","[Table2].[ReturnDate].&amp;["&amp;$A67&amp;"]"),NA())</f>
        <v>2679109521.54</v>
      </c>
      <c r="S67" s="20"/>
      <c r="T67" s="1">
        <f t="shared" si="45"/>
        <v>0</v>
      </c>
      <c r="U67" s="1">
        <f t="shared" si="46"/>
        <v>0</v>
      </c>
      <c r="V67">
        <f t="shared" si="11"/>
        <v>4</v>
      </c>
      <c r="W67" s="20">
        <f t="shared" si="37"/>
        <v>-2427946.9399999678</v>
      </c>
      <c r="X67" s="20">
        <f t="shared" si="12"/>
        <v>20181292.450000286</v>
      </c>
      <c r="Y67" s="20">
        <f t="shared" si="38"/>
        <v>2657714255.6199994</v>
      </c>
      <c r="Z67" s="3">
        <f t="shared" si="13"/>
        <v>7.5934771419933307E-3</v>
      </c>
      <c r="AA67" s="20"/>
      <c r="AC67" s="20">
        <f>IFERROR(GETPIVOTDATA("[Measures].[Distinct Count of LoanID]",'Count PT'!$B$3,"[Table2].[ReturnDate]","[Table2].[ReturnDate].&amp;["&amp;$A67&amp;"]"),NA())</f>
        <v>92</v>
      </c>
      <c r="AD67" s="20">
        <f>GETPIVOTDATA("[Measures].[Distinct Count of ManagerCode 2]",'Count PT'!$B$3,"[Table2].[ReturnDate]","[Table2].[ReturnDate].&amp;["&amp;$A67&amp;"]")</f>
        <v>6</v>
      </c>
      <c r="AE67" s="20" t="b">
        <f t="shared" si="14"/>
        <v>1</v>
      </c>
      <c r="AF67" s="20" t="b">
        <f t="shared" si="15"/>
        <v>1</v>
      </c>
      <c r="AG67" s="20" t="b">
        <f t="shared" si="16"/>
        <v>1</v>
      </c>
      <c r="AI67" s="7">
        <f t="shared" si="39"/>
        <v>6.3688835487889185E-3</v>
      </c>
      <c r="AJ67" s="7">
        <f t="shared" si="40"/>
        <v>8.4255942310758824E-4</v>
      </c>
      <c r="AK67" s="7">
        <f t="shared" si="41"/>
        <v>2.4667813652790889E-4</v>
      </c>
      <c r="AL67" s="7">
        <f t="shared" si="17"/>
        <v>7.458121108424416E-3</v>
      </c>
      <c r="AM67" s="7">
        <f t="shared" si="42"/>
        <v>-8.5051280257842568E-7</v>
      </c>
      <c r="AN67" s="7">
        <f t="shared" si="18"/>
        <v>7.4572705956218377E-3</v>
      </c>
      <c r="AO67" s="7">
        <f t="shared" si="19"/>
        <v>1.3620654637149301E-4</v>
      </c>
      <c r="AP67" s="7">
        <f t="shared" si="43"/>
        <v>7.5934771419933307E-3</v>
      </c>
      <c r="AQ67" s="7">
        <f t="shared" si="44"/>
        <v>7.2114429718965079E-3</v>
      </c>
      <c r="AS67" s="7">
        <f t="shared" si="20"/>
        <v>6.3688835487889185E-3</v>
      </c>
      <c r="AT67" s="7">
        <f t="shared" si="21"/>
        <v>8.4255942310758824E-4</v>
      </c>
      <c r="AU67" s="7">
        <f t="shared" si="22"/>
        <v>7.211442971896507E-3</v>
      </c>
      <c r="AV67" s="7">
        <f t="shared" si="23"/>
        <v>2.4667813652790889E-4</v>
      </c>
      <c r="AW67" s="7">
        <f t="shared" si="24"/>
        <v>7.458121108424416E-3</v>
      </c>
      <c r="AX67" s="7">
        <f t="shared" si="25"/>
        <v>-8.5051280257842568E-7</v>
      </c>
      <c r="AY67" s="7">
        <f t="shared" si="26"/>
        <v>7.4572705956218377E-3</v>
      </c>
      <c r="AZ67" s="7">
        <f t="shared" si="27"/>
        <v>1.3620654637149301E-4</v>
      </c>
      <c r="BA67" s="7">
        <f t="shared" si="28"/>
        <v>7.5934771419933307E-3</v>
      </c>
      <c r="BB67" s="7">
        <f t="shared" si="29"/>
        <v>7.2114429718965079E-3</v>
      </c>
      <c r="BD67">
        <f t="shared" si="30"/>
        <v>1</v>
      </c>
      <c r="BE67">
        <f t="shared" si="34"/>
        <v>1</v>
      </c>
      <c r="BF67" s="7" cm="1">
        <f t="array" ref="BF67">IF(ISNA($BA67),NA(),IF($BE67=0,"***",PRODUCT(1+AS65:AS67)-1))</f>
        <v>2.0185401120761393E-2</v>
      </c>
      <c r="BG67" s="7" cm="1">
        <f t="array" ref="BG67">IF(ISNA($BA67),NA(),IF($BE67=0,"***",PRODUCT(1+AT65:AT67)-1))</f>
        <v>2.5808855082414262E-3</v>
      </c>
      <c r="BH67" s="7" cm="1">
        <f t="array" ref="BH67">IF(ISNA($BA67),NA(),IF($BE67=0,"***",PRODUCT(1+AU65:AU67)-1))</f>
        <v>2.2800891420964087E-2</v>
      </c>
      <c r="BI67" s="7" cm="1">
        <f t="array" ref="BI67">IF(ISNA($BA67),NA(),IF($BE67=0,"***",PRODUCT(1+AV65:AV67)-1))</f>
        <v>2.6160844338396494E-4</v>
      </c>
      <c r="BJ67" s="7" cm="1">
        <f t="array" ref="BJ67">IF(ISNA($BA67),NA(),IF($BE67=0,"***",PRODUCT(1+AW65:AW67)-1))</f>
        <v>2.3066574280536489E-2</v>
      </c>
      <c r="BK67" s="7" cm="1">
        <f t="array" ref="BK67">IF(ISNA($BA67),NA(),IF($BE67=0,"***",PRODUCT(1+AX65:AX67)-1))</f>
        <v>-3.5416219985595632E-6</v>
      </c>
      <c r="BL67" s="7" cm="1">
        <f t="array" ref="BL67">IF(ISNA($BA67),NA(),IF($BE67=0,"***",PRODUCT(1+AY65:AY67)-1))</f>
        <v>2.3062976292296922E-2</v>
      </c>
      <c r="BM67" s="7" cm="1">
        <f t="array" ref="BM67">IF(ISNA($BA67),NA(),IF($BE67=0,"***",PRODUCT(1+AZ65:AZ67)-1))</f>
        <v>2.0329684050888197E-3</v>
      </c>
      <c r="BN67" s="7" cm="1">
        <f t="array" ref="BN67">IF(ISNA($BA67),NA(),IF($BE67=0,"***",PRODUCT(1+BA65:BA67)-1))</f>
        <v>2.512939306814288E-2</v>
      </c>
      <c r="BO67" s="7">
        <f t="shared" si="35"/>
        <v>3.344837075713869E-5</v>
      </c>
      <c r="BP67" s="7">
        <f t="shared" si="36"/>
        <v>2.2634553166419748E-2</v>
      </c>
    </row>
    <row r="68" spans="1:68" x14ac:dyDescent="0.25">
      <c r="A68" t="str">
        <f t="shared" si="31"/>
        <v>20161031</v>
      </c>
      <c r="B68">
        <f t="shared" si="32"/>
        <v>42674</v>
      </c>
      <c r="C68">
        <v>2016</v>
      </c>
      <c r="D68">
        <v>10</v>
      </c>
      <c r="F68" s="20">
        <f>IFERROR(GETPIVOTDATA("[Measures].[Sum of CashInterest]",'Results PT'!$B$8,"[Table2].[ReturnDate]","[Table2].[ReturnDate].&amp;["&amp;$A68&amp;"]"),NA())</f>
        <v>18142202.130000006</v>
      </c>
      <c r="G68" s="20">
        <f>IFERROR(GETPIVOTDATA("[Measures].[Sum of AccrInterest]",'Results PT'!$B$8,"[Table2].[ReturnDate]","[Table2].[ReturnDate].&amp;["&amp;$A68&amp;"]"),NA())</f>
        <v>2289334.9500000002</v>
      </c>
      <c r="H68" s="20">
        <f>IFERROR(GETPIVOTDATA("[Measures].[Sum of OtherIncome]",'Results PT'!$B$8,"[Table2].[ReturnDate]","[Table2].[ReturnDate].&amp;["&amp;$A68&amp;"]"),NA())</f>
        <v>1993308.0700000003</v>
      </c>
      <c r="I68" s="20">
        <f>IFERROR(GETPIVOTDATA("[Measures].[Sum of Expenses]",'Results PT'!$B$8,"[Table2].[ReturnDate]","[Table2].[ReturnDate].&amp;["&amp;$A68&amp;"]"),NA())</f>
        <v>-2187.5</v>
      </c>
      <c r="J68" s="20">
        <f>IFERROR(GETPIVOTDATA("[Measures].[Sum of PrincipalFunded]",'Results PT'!$B$8,"[Table2].[ReturnDate]","[Table2].[ReturnDate].&amp;["&amp;$A68&amp;"]"),NA())</f>
        <v>-49443677.479999997</v>
      </c>
      <c r="K68" s="20">
        <f>IFERROR(GETPIVOTDATA("[Measures].[Sum of PrincipalRepaid]",'Results PT'!$B$8,"[Table2].[ReturnDate]","[Table2].[ReturnDate].&amp;["&amp;$A68&amp;"]"),NA())</f>
        <v>57674724.780000009</v>
      </c>
      <c r="L68" s="20"/>
      <c r="M68" s="20">
        <f>IFERROR(GETPIVOTDATA("[Measures].[Sum of StartValue]",'Results PT'!$B$8,"[Table2].[ReturnDate]","[Table2].[ReturnDate].&amp;["&amp;$A68&amp;"]"),NA())</f>
        <v>2698050922.5300002</v>
      </c>
      <c r="N68" s="20">
        <f>IFERROR(GETPIVOTDATA("[Measures].[Sum of EndValue]",'Results PT'!$B$8,"[Table2].[ReturnDate]","[Table2].[ReturnDate].&amp;["&amp;$A68&amp;"]"),NA())</f>
        <v>2697326080.6500001</v>
      </c>
      <c r="O68" s="20">
        <f>IFERROR(GETPIVOTDATA("[Measures].[Sum of StartPrincipal]",'Results PT'!$B$8,"[Table2].[ReturnDate]","[Table2].[ReturnDate].&amp;["&amp;$A68&amp;"]"),NA())</f>
        <v>2717798016.9100003</v>
      </c>
      <c r="P68" s="20">
        <f>IFERROR(GETPIVOTDATA("[Measures].[Sum of EndPrincipal]",'Results PT'!$B$8,"[Table2].[ReturnDate]","[Table2].[ReturnDate].&amp;["&amp;$A68&amp;"]"),NA())</f>
        <v>2714327212.7200003</v>
      </c>
      <c r="Q68" s="20">
        <f>IFERROR(GETPIVOTDATA("[Measures].[Sum of StartNAV]",'Results PT'!$B$8,"[Table2].[ReturnDate]","[Table2].[ReturnDate].&amp;["&amp;$A68&amp;"]"),NA())</f>
        <v>2679109521.54</v>
      </c>
      <c r="R68" s="20">
        <f>IFERROR(GETPIVOTDATA("[Measures].[Sum of EndNAV]",'Results PT'!$B$8,"[Table2].[ReturnDate]","[Table2].[ReturnDate].&amp;["&amp;$A68&amp;"]"),NA())</f>
        <v>2675913771.5299997</v>
      </c>
      <c r="S68" s="20"/>
      <c r="T68" s="1">
        <f t="shared" si="45"/>
        <v>0</v>
      </c>
      <c r="U68" s="1">
        <f t="shared" si="46"/>
        <v>0</v>
      </c>
      <c r="V68">
        <f t="shared" si="11"/>
        <v>4</v>
      </c>
      <c r="W68" s="20">
        <f t="shared" si="37"/>
        <v>28364370.000000019</v>
      </c>
      <c r="X68" s="20">
        <f t="shared" si="12"/>
        <v>25168619.989999771</v>
      </c>
      <c r="Y68" s="20">
        <f t="shared" si="38"/>
        <v>2664927336.54</v>
      </c>
      <c r="Z68" s="3">
        <f t="shared" si="13"/>
        <v>9.4443925899598338E-3</v>
      </c>
      <c r="AA68" s="20"/>
      <c r="AC68" s="20">
        <f>IFERROR(GETPIVOTDATA("[Measures].[Distinct Count of LoanID]",'Count PT'!$B$3,"[Table2].[ReturnDate]","[Table2].[ReturnDate].&amp;["&amp;$A68&amp;"]"),NA())</f>
        <v>89</v>
      </c>
      <c r="AD68" s="20">
        <f>GETPIVOTDATA("[Measures].[Distinct Count of ManagerCode 2]",'Count PT'!$B$3,"[Table2].[ReturnDate]","[Table2].[ReturnDate].&amp;["&amp;$A68&amp;"]")</f>
        <v>6</v>
      </c>
      <c r="AE68" s="20" t="b">
        <f t="shared" si="14"/>
        <v>1</v>
      </c>
      <c r="AF68" s="20" t="b">
        <f t="shared" si="15"/>
        <v>1</v>
      </c>
      <c r="AG68" s="20" t="b">
        <f t="shared" si="16"/>
        <v>1</v>
      </c>
      <c r="AI68" s="7">
        <f t="shared" si="39"/>
        <v>6.8077661560389403E-3</v>
      </c>
      <c r="AJ68" s="7">
        <f t="shared" si="40"/>
        <v>8.5906092770707623E-4</v>
      </c>
      <c r="AK68" s="7">
        <f t="shared" si="41"/>
        <v>7.4797839425821099E-4</v>
      </c>
      <c r="AL68" s="7">
        <f t="shared" si="17"/>
        <v>8.4148054780042274E-3</v>
      </c>
      <c r="AM68" s="7">
        <f t="shared" si="42"/>
        <v>-8.2084789705378378E-7</v>
      </c>
      <c r="AN68" s="7">
        <f t="shared" si="18"/>
        <v>8.4139846301071741E-3</v>
      </c>
      <c r="AO68" s="7">
        <f t="shared" si="19"/>
        <v>1.0304079598526597E-3</v>
      </c>
      <c r="AP68" s="7">
        <f t="shared" si="43"/>
        <v>9.4443925899598338E-3</v>
      </c>
      <c r="AQ68" s="7">
        <f t="shared" si="44"/>
        <v>7.6668270837460164E-3</v>
      </c>
      <c r="AS68" s="7">
        <f t="shared" si="20"/>
        <v>6.8077661560389403E-3</v>
      </c>
      <c r="AT68" s="7">
        <f t="shared" si="21"/>
        <v>8.5906092770707623E-4</v>
      </c>
      <c r="AU68" s="7">
        <f t="shared" si="22"/>
        <v>7.6668270837460164E-3</v>
      </c>
      <c r="AV68" s="7">
        <f t="shared" si="23"/>
        <v>7.4797839425821099E-4</v>
      </c>
      <c r="AW68" s="7">
        <f t="shared" si="24"/>
        <v>8.4148054780042274E-3</v>
      </c>
      <c r="AX68" s="7">
        <f t="shared" si="25"/>
        <v>-8.2084789705378378E-7</v>
      </c>
      <c r="AY68" s="7">
        <f t="shared" si="26"/>
        <v>8.4139846301071741E-3</v>
      </c>
      <c r="AZ68" s="7">
        <f t="shared" si="27"/>
        <v>1.0304079598526597E-3</v>
      </c>
      <c r="BA68" s="7">
        <f t="shared" si="28"/>
        <v>9.4443925899598338E-3</v>
      </c>
      <c r="BB68" s="7">
        <f t="shared" si="29"/>
        <v>7.6668270837460164E-3</v>
      </c>
      <c r="BD68">
        <f t="shared" si="30"/>
        <v>1</v>
      </c>
      <c r="BE68">
        <f t="shared" si="34"/>
        <v>1</v>
      </c>
      <c r="BF68" s="7" cm="1">
        <f t="array" ref="BF68">IF(ISNA($BA68),NA(),IF($BE68=0,"***",PRODUCT(1+AS66:AS68)-1))</f>
        <v>2.2363603909042462E-2</v>
      </c>
      <c r="BG68" s="7" cm="1">
        <f t="array" ref="BG68">IF(ISNA($BA68),NA(),IF($BE68=0,"***",PRODUCT(1+AT66:AT68)-1))</f>
        <v>2.5699137414916251E-3</v>
      </c>
      <c r="BH68" s="7" cm="1">
        <f t="array" ref="BH68">IF(ISNA($BA68),NA(),IF($BE68=0,"***",PRODUCT(1+AU66:AU68)-1))</f>
        <v>2.4971647941713027E-2</v>
      </c>
      <c r="BI68" s="7" cm="1">
        <f t="array" ref="BI68">IF(ISNA($BA68),NA(),IF($BE68=0,"***",PRODUCT(1+AV66:AV68)-1))</f>
        <v>9.9484104070257651E-4</v>
      </c>
      <c r="BJ68" s="7" cm="1">
        <f t="array" ref="BJ68">IF(ISNA($BA68),NA(),IF($BE68=0,"***",PRODUCT(1+AW66:AW68)-1))</f>
        <v>2.5983685644608956E-2</v>
      </c>
      <c r="BK68" s="7" cm="1">
        <f t="array" ref="BK68">IF(ISNA($BA68),NA(),IF($BE68=0,"***",PRODUCT(1+AX66:AX68)-1))</f>
        <v>-2.5161225193359726E-6</v>
      </c>
      <c r="BL68" s="7" cm="1">
        <f t="array" ref="BL68">IF(ISNA($BA68),NA(),IF($BE68=0,"***",PRODUCT(1+AY66:AY68)-1))</f>
        <v>2.5981126119589915E-2</v>
      </c>
      <c r="BM68" s="7" cm="1">
        <f t="array" ref="BM68">IF(ISNA($BA68),NA(),IF($BE68=0,"***",PRODUCT(1+AZ66:AZ68)-1))</f>
        <v>1.5547995305387197E-3</v>
      </c>
      <c r="BN68" s="7" cm="1">
        <f t="array" ref="BN68">IF(ISNA($BA68),NA(),IF($BE68=0,"***",PRODUCT(1+BA66:BA68)-1))</f>
        <v>2.756256104232091E-2</v>
      </c>
      <c r="BO68" s="7">
        <f t="shared" si="35"/>
        <v>2.6635392192275731E-5</v>
      </c>
      <c r="BP68" s="7">
        <f t="shared" si="36"/>
        <v>2.4768660329312568E-2</v>
      </c>
    </row>
    <row r="69" spans="1:68" x14ac:dyDescent="0.25">
      <c r="A69" t="str">
        <f t="shared" si="31"/>
        <v>20161130</v>
      </c>
      <c r="B69">
        <f t="shared" si="32"/>
        <v>42704</v>
      </c>
      <c r="C69">
        <v>2016</v>
      </c>
      <c r="D69">
        <v>11</v>
      </c>
      <c r="F69" s="20">
        <f>IFERROR(GETPIVOTDATA("[Measures].[Sum of CashInterest]",'Results PT'!$B$8,"[Table2].[ReturnDate]","[Table2].[ReturnDate].&amp;["&amp;$A69&amp;"]"),NA())</f>
        <v>16077165.480000004</v>
      </c>
      <c r="G69" s="20">
        <f>IFERROR(GETPIVOTDATA("[Measures].[Sum of AccrInterest]",'Results PT'!$B$8,"[Table2].[ReturnDate]","[Table2].[ReturnDate].&amp;["&amp;$A69&amp;"]"),NA())</f>
        <v>2287627.8199999998</v>
      </c>
      <c r="H69" s="20">
        <f>IFERROR(GETPIVOTDATA("[Measures].[Sum of OtherIncome]",'Results PT'!$B$8,"[Table2].[ReturnDate]","[Table2].[ReturnDate].&amp;["&amp;$A69&amp;"]"),NA())</f>
        <v>-269725</v>
      </c>
      <c r="I69" s="20">
        <f>IFERROR(GETPIVOTDATA("[Measures].[Sum of Expenses]",'Results PT'!$B$8,"[Table2].[ReturnDate]","[Table2].[ReturnDate].&amp;["&amp;$A69&amp;"]"),NA())</f>
        <v>-2260.42</v>
      </c>
      <c r="J69" s="20">
        <f>IFERROR(GETPIVOTDATA("[Measures].[Sum of PrincipalFunded]",'Results PT'!$B$8,"[Table2].[ReturnDate]","[Table2].[ReturnDate].&amp;["&amp;$A69&amp;"]"),NA())</f>
        <v>18434890.080000002</v>
      </c>
      <c r="K69" s="20">
        <f>IFERROR(GETPIVOTDATA("[Measures].[Sum of PrincipalRepaid]",'Results PT'!$B$8,"[Table2].[ReturnDate]","[Table2].[ReturnDate].&amp;["&amp;$A69&amp;"]"),NA())</f>
        <v>2468026.31</v>
      </c>
      <c r="L69" s="20"/>
      <c r="M69" s="20">
        <f>IFERROR(GETPIVOTDATA("[Measures].[Sum of StartValue]",'Results PT'!$B$8,"[Table2].[ReturnDate]","[Table2].[ReturnDate].&amp;["&amp;$A69&amp;"]"),NA())</f>
        <v>2697326080.6500001</v>
      </c>
      <c r="N69" s="20">
        <f>IFERROR(GETPIVOTDATA("[Measures].[Sum of EndValue]",'Results PT'!$B$8,"[Table2].[ReturnDate]","[Table2].[ReturnDate].&amp;["&amp;$A69&amp;"]"),NA())</f>
        <v>2672429534</v>
      </c>
      <c r="O69" s="20">
        <f>IFERROR(GETPIVOTDATA("[Measures].[Sum of StartPrincipal]",'Results PT'!$B$8,"[Table2].[ReturnDate]","[Table2].[ReturnDate].&amp;["&amp;$A69&amp;"]"),NA())</f>
        <v>2714327212.7200003</v>
      </c>
      <c r="P69" s="20">
        <f>IFERROR(GETPIVOTDATA("[Measures].[Sum of EndPrincipal]",'Results PT'!$B$8,"[Table2].[ReturnDate]","[Table2].[ReturnDate].&amp;["&amp;$A69&amp;"]"),NA())</f>
        <v>2697822795.2600002</v>
      </c>
      <c r="Q69" s="20">
        <f>IFERROR(GETPIVOTDATA("[Measures].[Sum of StartNAV]",'Results PT'!$B$8,"[Table2].[ReturnDate]","[Table2].[ReturnDate].&amp;["&amp;$A69&amp;"]"),NA())</f>
        <v>2675913771.5299997</v>
      </c>
      <c r="R69" s="20">
        <f>IFERROR(GETPIVOTDATA("[Measures].[Sum of EndNAV]",'Results PT'!$B$8,"[Table2].[ReturnDate]","[Table2].[ReturnDate].&amp;["&amp;$A69&amp;"]"),NA())</f>
        <v>2648906353.6400003</v>
      </c>
      <c r="S69" s="20"/>
      <c r="T69" s="1">
        <f t="shared" si="45"/>
        <v>0</v>
      </c>
      <c r="U69" s="1">
        <f t="shared" si="46"/>
        <v>0</v>
      </c>
      <c r="V69">
        <f t="shared" si="11"/>
        <v>4</v>
      </c>
      <c r="W69" s="20">
        <f t="shared" si="37"/>
        <v>36708096.45000001</v>
      </c>
      <c r="X69" s="20">
        <f t="shared" si="12"/>
        <v>9700678.5600004196</v>
      </c>
      <c r="Y69" s="20">
        <f t="shared" si="38"/>
        <v>2657559723.3049998</v>
      </c>
      <c r="Z69" s="3">
        <f t="shared" si="13"/>
        <v>3.6502203412145493E-3</v>
      </c>
      <c r="AA69" s="20"/>
      <c r="AC69" s="20">
        <f>IFERROR(GETPIVOTDATA("[Measures].[Distinct Count of LoanID]",'Count PT'!$B$3,"[Table2].[ReturnDate]","[Table2].[ReturnDate].&amp;["&amp;$A69&amp;"]"),NA())</f>
        <v>88</v>
      </c>
      <c r="AD69" s="20">
        <f>GETPIVOTDATA("[Measures].[Distinct Count of ManagerCode 2]",'Count PT'!$B$3,"[Table2].[ReturnDate]","[Table2].[ReturnDate].&amp;["&amp;$A69&amp;"]")</f>
        <v>6</v>
      </c>
      <c r="AE69" s="20" t="b">
        <f t="shared" si="14"/>
        <v>1</v>
      </c>
      <c r="AF69" s="20" t="b">
        <f t="shared" si="15"/>
        <v>1</v>
      </c>
      <c r="AG69" s="20" t="b">
        <f t="shared" si="16"/>
        <v>1</v>
      </c>
      <c r="AI69" s="7">
        <f t="shared" si="39"/>
        <v>6.0495970566584621E-3</v>
      </c>
      <c r="AJ69" s="7">
        <f t="shared" si="40"/>
        <v>8.6080015434424756E-4</v>
      </c>
      <c r="AK69" s="7">
        <f t="shared" si="41"/>
        <v>-1.0149348578498324E-4</v>
      </c>
      <c r="AL69" s="7">
        <f t="shared" si="17"/>
        <v>6.808903725217726E-3</v>
      </c>
      <c r="AM69" s="7">
        <f t="shared" si="42"/>
        <v>-8.5056225836719561E-7</v>
      </c>
      <c r="AN69" s="7">
        <f t="shared" si="18"/>
        <v>6.8080531629593584E-3</v>
      </c>
      <c r="AO69" s="7">
        <f t="shared" si="19"/>
        <v>-3.1578328217448091E-3</v>
      </c>
      <c r="AP69" s="7">
        <f t="shared" si="43"/>
        <v>3.6502203412145493E-3</v>
      </c>
      <c r="AQ69" s="7">
        <f t="shared" si="44"/>
        <v>6.9103972110027096E-3</v>
      </c>
      <c r="AS69" s="7">
        <f t="shared" si="20"/>
        <v>6.0495970566584621E-3</v>
      </c>
      <c r="AT69" s="7">
        <f t="shared" si="21"/>
        <v>8.6080015434424756E-4</v>
      </c>
      <c r="AU69" s="7">
        <f t="shared" si="22"/>
        <v>6.9103972110027096E-3</v>
      </c>
      <c r="AV69" s="7">
        <f t="shared" si="23"/>
        <v>-1.0149348578498324E-4</v>
      </c>
      <c r="AW69" s="7">
        <f t="shared" si="24"/>
        <v>6.808903725217726E-3</v>
      </c>
      <c r="AX69" s="7">
        <f t="shared" si="25"/>
        <v>-8.5056225836719561E-7</v>
      </c>
      <c r="AY69" s="7">
        <f t="shared" si="26"/>
        <v>6.8080531629593584E-3</v>
      </c>
      <c r="AZ69" s="7">
        <f t="shared" si="27"/>
        <v>-3.1578328217448091E-3</v>
      </c>
      <c r="BA69" s="7">
        <f t="shared" si="28"/>
        <v>3.6502203412145493E-3</v>
      </c>
      <c r="BB69" s="7">
        <f t="shared" si="29"/>
        <v>6.9103972110027096E-3</v>
      </c>
      <c r="BD69">
        <f t="shared" si="30"/>
        <v>1</v>
      </c>
      <c r="BE69">
        <f t="shared" si="34"/>
        <v>1</v>
      </c>
      <c r="BF69" s="7" cm="1">
        <f t="array" ref="BF69">IF(ISNA($BA69),NA(),IF($BE69=0,"***",PRODUCT(1+AS67:AS69)-1))</f>
        <v>1.9349580350274564E-2</v>
      </c>
      <c r="BG69" s="7" cm="1">
        <f t="array" ref="BG69">IF(ISNA($BA69),NA(),IF($BE69=0,"***",PRODUCT(1+AT67:AT69)-1))</f>
        <v>2.5646096931546403E-3</v>
      </c>
      <c r="BH69" s="7" cm="1">
        <f t="array" ref="BH69">IF(ISNA($BA69),NA(),IF($BE69=0,"***",PRODUCT(1+AU67:AU69)-1))</f>
        <v>2.1947152976997897E-2</v>
      </c>
      <c r="BI69" s="7" cm="1">
        <f t="array" ref="BI69">IF(ISNA($BA69),NA(),IF($BE69=0,"***",PRODUCT(1+AV67:AV69)-1))</f>
        <v>8.932465850324256E-4</v>
      </c>
      <c r="BJ69" s="7" cm="1">
        <f t="array" ref="BJ69">IF(ISNA($BA69),NA(),IF($BE69=0,"***",PRODUCT(1+AW67:AW69)-1))</f>
        <v>2.2853093496496113E-2</v>
      </c>
      <c r="BK69" s="7" cm="1">
        <f t="array" ref="BK69">IF(ISNA($BA69),NA(),IF($BE69=0,"***",PRODUCT(1+AX67:AX69)-1))</f>
        <v>-2.521920838383096E-6</v>
      </c>
      <c r="BL69" s="7" cm="1">
        <f t="array" ref="BL69">IF(ISNA($BA69),NA(),IF($BE69=0,"***",PRODUCT(1+AY67:AY69)-1))</f>
        <v>2.2850533271949747E-2</v>
      </c>
      <c r="BM69" s="7" cm="1">
        <f t="array" ref="BM69">IF(ISNA($BA69),NA(),IF($BE69=0,"***",PRODUCT(1+AZ67:AZ69)-1))</f>
        <v>-1.9947623839855488E-3</v>
      </c>
      <c r="BN69" s="7" cm="1">
        <f t="array" ref="BN69">IF(ISNA($BA69),NA(),IF($BE69=0,"***",PRODUCT(1+BA67:BA69)-1))</f>
        <v>2.0822259609482474E-2</v>
      </c>
      <c r="BO69" s="7">
        <f t="shared" si="35"/>
        <v>-3.351127848172375E-5</v>
      </c>
      <c r="BP69" s="7">
        <f t="shared" si="36"/>
        <v>2.1788667266645235E-2</v>
      </c>
    </row>
    <row r="70" spans="1:68" x14ac:dyDescent="0.25">
      <c r="A70" t="str">
        <f t="shared" si="31"/>
        <v>20161231</v>
      </c>
      <c r="B70">
        <f t="shared" si="32"/>
        <v>42735</v>
      </c>
      <c r="C70">
        <v>2016</v>
      </c>
      <c r="D70">
        <v>12</v>
      </c>
      <c r="F70" s="20">
        <f>IFERROR(GETPIVOTDATA("[Measures].[Sum of CashInterest]",'Results PT'!$B$8,"[Table2].[ReturnDate]","[Table2].[ReturnDate].&amp;["&amp;$A70&amp;"]"),NA())</f>
        <v>13384634.749999998</v>
      </c>
      <c r="G70" s="20">
        <f>IFERROR(GETPIVOTDATA("[Measures].[Sum of AccrInterest]",'Results PT'!$B$8,"[Table2].[ReturnDate]","[Table2].[ReturnDate].&amp;["&amp;$A70&amp;"]"),NA())</f>
        <v>2349180.0200000005</v>
      </c>
      <c r="H70" s="20">
        <f>IFERROR(GETPIVOTDATA("[Measures].[Sum of OtherIncome]",'Results PT'!$B$8,"[Table2].[ReturnDate]","[Table2].[ReturnDate].&amp;["&amp;$A70&amp;"]"),NA())</f>
        <v>809300</v>
      </c>
      <c r="I70" s="20">
        <f>IFERROR(GETPIVOTDATA("[Measures].[Sum of Expenses]",'Results PT'!$B$8,"[Table2].[ReturnDate]","[Table2].[ReturnDate].&amp;["&amp;$A70&amp;"]"),NA())</f>
        <v>-2187.5</v>
      </c>
      <c r="J70" s="20">
        <f>IFERROR(GETPIVOTDATA("[Measures].[Sum of PrincipalFunded]",'Results PT'!$B$8,"[Table2].[ReturnDate]","[Table2].[ReturnDate].&amp;["&amp;$A70&amp;"]"),NA())</f>
        <v>-130730929.68000001</v>
      </c>
      <c r="K70" s="20">
        <f>IFERROR(GETPIVOTDATA("[Measures].[Sum of PrincipalRepaid]",'Results PT'!$B$8,"[Table2].[ReturnDate]","[Table2].[ReturnDate].&amp;["&amp;$A70&amp;"]"),NA())</f>
        <v>44524346.960000001</v>
      </c>
      <c r="L70" s="20"/>
      <c r="M70" s="20">
        <f>IFERROR(GETPIVOTDATA("[Measures].[Sum of StartValue]",'Results PT'!$B$8,"[Table2].[ReturnDate]","[Table2].[ReturnDate].&amp;["&amp;$A70&amp;"]"),NA())</f>
        <v>2672429534</v>
      </c>
      <c r="N70" s="20">
        <f>IFERROR(GETPIVOTDATA("[Measures].[Sum of EndValue]",'Results PT'!$B$8,"[Table2].[ReturnDate]","[Table2].[ReturnDate].&amp;["&amp;$A70&amp;"]"),NA())</f>
        <v>2770532150.2900004</v>
      </c>
      <c r="O70" s="20">
        <f>IFERROR(GETPIVOTDATA("[Measures].[Sum of StartPrincipal]",'Results PT'!$B$8,"[Table2].[ReturnDate]","[Table2].[ReturnDate].&amp;["&amp;$A70&amp;"]"),NA())</f>
        <v>2697822795.2600002</v>
      </c>
      <c r="P70" s="20">
        <f>IFERROR(GETPIVOTDATA("[Measures].[Sum of EndPrincipal]",'Results PT'!$B$8,"[Table2].[ReturnDate]","[Table2].[ReturnDate].&amp;["&amp;$A70&amp;"]"),NA())</f>
        <v>2792117932.1500001</v>
      </c>
      <c r="Q70" s="20">
        <f>IFERROR(GETPIVOTDATA("[Measures].[Sum of StartNAV]",'Results PT'!$B$8,"[Table2].[ReturnDate]","[Table2].[ReturnDate].&amp;["&amp;$A70&amp;"]"),NA())</f>
        <v>2648906353.6400003</v>
      </c>
      <c r="R70" s="20">
        <f>IFERROR(GETPIVOTDATA("[Measures].[Sum of EndNAV]",'Results PT'!$B$8,"[Table2].[ReturnDate]","[Table2].[ReturnDate].&amp;["&amp;$A70&amp;"]"),NA())</f>
        <v>2746219590.9400005</v>
      </c>
      <c r="S70" s="20"/>
      <c r="T70" s="1">
        <f t="shared" si="45"/>
        <v>0</v>
      </c>
      <c r="U70" s="1">
        <f t="shared" si="46"/>
        <v>0</v>
      </c>
      <c r="V70">
        <f t="shared" si="11"/>
        <v>4</v>
      </c>
      <c r="W70" s="20">
        <f t="shared" si="37"/>
        <v>-72014835.469999999</v>
      </c>
      <c r="X70" s="20">
        <f t="shared" si="12"/>
        <v>25298401.830000401</v>
      </c>
      <c r="Y70" s="20">
        <f t="shared" si="38"/>
        <v>2684913771.3750005</v>
      </c>
      <c r="Z70" s="3">
        <f t="shared" si="13"/>
        <v>9.4224261872829385E-3</v>
      </c>
      <c r="AA70" s="20"/>
      <c r="AC70" s="20">
        <f>IFERROR(GETPIVOTDATA("[Measures].[Distinct Count of LoanID]",'Count PT'!$B$3,"[Table2].[ReturnDate]","[Table2].[ReturnDate].&amp;["&amp;$A70&amp;"]"),NA())</f>
        <v>92</v>
      </c>
      <c r="AD70" s="20">
        <f>GETPIVOTDATA("[Measures].[Distinct Count of ManagerCode 2]",'Count PT'!$B$3,"[Table2].[ReturnDate]","[Table2].[ReturnDate].&amp;["&amp;$A70&amp;"]")</f>
        <v>6</v>
      </c>
      <c r="AE70" s="20" t="b">
        <f t="shared" si="14"/>
        <v>1</v>
      </c>
      <c r="AF70" s="20" t="b">
        <f t="shared" si="15"/>
        <v>1</v>
      </c>
      <c r="AG70" s="20" t="b">
        <f t="shared" si="16"/>
        <v>1</v>
      </c>
      <c r="AI70" s="7">
        <f t="shared" si="39"/>
        <v>4.9851264843956038E-3</v>
      </c>
      <c r="AJ70" s="7">
        <f t="shared" si="40"/>
        <v>8.7495548089685442E-4</v>
      </c>
      <c r="AK70" s="7">
        <f t="shared" si="41"/>
        <v>3.0142495026406026E-4</v>
      </c>
      <c r="AL70" s="7">
        <f t="shared" si="17"/>
        <v>6.1615069155565184E-3</v>
      </c>
      <c r="AM70" s="7">
        <f t="shared" si="42"/>
        <v>-8.147375246541849E-7</v>
      </c>
      <c r="AN70" s="7">
        <f t="shared" si="18"/>
        <v>6.1606921780318642E-3</v>
      </c>
      <c r="AO70" s="7">
        <f t="shared" si="19"/>
        <v>3.2617340092510744E-3</v>
      </c>
      <c r="AP70" s="7">
        <f t="shared" si="43"/>
        <v>9.4224261872829385E-3</v>
      </c>
      <c r="AQ70" s="7">
        <f t="shared" si="44"/>
        <v>5.8600819652924584E-3</v>
      </c>
      <c r="AS70" s="7">
        <f t="shared" si="20"/>
        <v>4.9851264843956038E-3</v>
      </c>
      <c r="AT70" s="7">
        <f t="shared" si="21"/>
        <v>8.7495548089685442E-4</v>
      </c>
      <c r="AU70" s="7">
        <f t="shared" si="22"/>
        <v>5.8600819652924584E-3</v>
      </c>
      <c r="AV70" s="7">
        <f t="shared" si="23"/>
        <v>3.0142495026406026E-4</v>
      </c>
      <c r="AW70" s="7">
        <f t="shared" si="24"/>
        <v>6.1615069155565184E-3</v>
      </c>
      <c r="AX70" s="7">
        <f t="shared" si="25"/>
        <v>-8.147375246541849E-7</v>
      </c>
      <c r="AY70" s="7">
        <f t="shared" si="26"/>
        <v>6.1606921780318642E-3</v>
      </c>
      <c r="AZ70" s="7">
        <f t="shared" si="27"/>
        <v>3.2617340092510744E-3</v>
      </c>
      <c r="BA70" s="7">
        <f t="shared" si="28"/>
        <v>9.4224261872829385E-3</v>
      </c>
      <c r="BB70" s="7">
        <f t="shared" si="29"/>
        <v>5.8600819652924584E-3</v>
      </c>
      <c r="BD70">
        <f t="shared" si="30"/>
        <v>1</v>
      </c>
      <c r="BE70">
        <f t="shared" si="34"/>
        <v>1</v>
      </c>
      <c r="BF70" s="7" cm="1">
        <f t="array" ref="BF70">IF(ISNA($BA70),NA(),IF($BE70=0,"***",PRODUCT(1+AS68:AS70)-1))</f>
        <v>1.7947974829720215E-2</v>
      </c>
      <c r="BG70" s="7" cm="1">
        <f t="array" ref="BG70">IF(ISNA($BA70),NA(),IF($BE70=0,"***",PRODUCT(1+AT68:AT70)-1))</f>
        <v>2.5970614916193124E-3</v>
      </c>
      <c r="BH70" s="7" cm="1">
        <f t="array" ref="BH70">IF(ISNA($BA70),NA(),IF($BE70=0,"***",PRODUCT(1+AU68:AU70)-1))</f>
        <v>2.0576021281682566E-2</v>
      </c>
      <c r="BI70" s="7" cm="1">
        <f t="array" ref="BI70">IF(ISNA($BA70),NA(),IF($BE70=0,"***",PRODUCT(1+AV68:AV70)-1))</f>
        <v>9.4802878760114062E-4</v>
      </c>
      <c r="BJ70" s="7" cm="1">
        <f t="array" ref="BJ70">IF(ISNA($BA70),NA(),IF($BE70=0,"***",PRODUCT(1+AW68:AW70)-1))</f>
        <v>2.1536665735918614E-2</v>
      </c>
      <c r="BK70" s="7" cm="1">
        <f t="array" ref="BK70">IF(ISNA($BA70),NA(),IF($BE70=0,"***",PRODUCT(1+AX68:AX70)-1))</f>
        <v>-2.4861456201508148E-6</v>
      </c>
      <c r="BL70" s="7" cm="1">
        <f t="array" ref="BL70">IF(ISNA($BA70),NA(),IF($BE70=0,"***",PRODUCT(1+AY68:AY70)-1))</f>
        <v>2.1534144016972734E-2</v>
      </c>
      <c r="BM70" s="7" cm="1">
        <f t="array" ref="BM70">IF(ISNA($BA70),NA(),IF($BE70=0,"***",PRODUCT(1+AZ68:AZ70)-1))</f>
        <v>1.1241055840465197E-3</v>
      </c>
      <c r="BN70" s="7" cm="1">
        <f t="array" ref="BN70">IF(ISNA($BA70),NA(),IF($BE70=0,"***",PRODUCT(1+BA68:BA70)-1))</f>
        <v>2.2675221085988406E-2</v>
      </c>
      <c r="BO70" s="7">
        <f t="shared" si="35"/>
        <v>1.6971484969152684E-5</v>
      </c>
      <c r="BP70" s="7">
        <f t="shared" si="36"/>
        <v>2.0437306260041185E-2</v>
      </c>
    </row>
    <row r="71" spans="1:68" x14ac:dyDescent="0.25">
      <c r="A71" t="str">
        <f t="shared" si="31"/>
        <v>20170131</v>
      </c>
      <c r="B71">
        <f t="shared" si="32"/>
        <v>42766</v>
      </c>
      <c r="C71">
        <v>2017</v>
      </c>
      <c r="D71">
        <v>1</v>
      </c>
      <c r="F71" s="20">
        <f>IFERROR(GETPIVOTDATA("[Measures].[Sum of CashInterest]",'Results PT'!$B$8,"[Table2].[ReturnDate]","[Table2].[ReturnDate].&amp;["&amp;$A71&amp;"]"),NA())</f>
        <v>12278753.479999997</v>
      </c>
      <c r="G71" s="20">
        <f>IFERROR(GETPIVOTDATA("[Measures].[Sum of AccrInterest]",'Results PT'!$B$8,"[Table2].[ReturnDate]","[Table2].[ReturnDate].&amp;["&amp;$A71&amp;"]"),NA())</f>
        <v>2616865.4200000004</v>
      </c>
      <c r="H71" s="20">
        <f>IFERROR(GETPIVOTDATA("[Measures].[Sum of OtherIncome]",'Results PT'!$B$8,"[Table2].[ReturnDate]","[Table2].[ReturnDate].&amp;["&amp;$A71&amp;"]"),NA())</f>
        <v>-236500</v>
      </c>
      <c r="I71" s="20">
        <f>IFERROR(GETPIVOTDATA("[Measures].[Sum of Expenses]",'Results PT'!$B$8,"[Table2].[ReturnDate]","[Table2].[ReturnDate].&amp;["&amp;$A71&amp;"]"),NA())</f>
        <v>-2260.42</v>
      </c>
      <c r="J71" s="20">
        <f>IFERROR(GETPIVOTDATA("[Measures].[Sum of PrincipalFunded]",'Results PT'!$B$8,"[Table2].[ReturnDate]","[Table2].[ReturnDate].&amp;["&amp;$A71&amp;"]"),NA())</f>
        <v>23179954.149999999</v>
      </c>
      <c r="K71" s="20">
        <f>IFERROR(GETPIVOTDATA("[Measures].[Sum of PrincipalRepaid]",'Results PT'!$B$8,"[Table2].[ReturnDate]","[Table2].[ReturnDate].&amp;["&amp;$A71&amp;"]"),NA())</f>
        <v>27846146.799999997</v>
      </c>
      <c r="L71" s="20"/>
      <c r="M71" s="20">
        <f>IFERROR(GETPIVOTDATA("[Measures].[Sum of StartValue]",'Results PT'!$B$8,"[Table2].[ReturnDate]","[Table2].[ReturnDate].&amp;["&amp;$A71&amp;"]"),NA())</f>
        <v>2073449874.5900002</v>
      </c>
      <c r="N71" s="20">
        <f>IFERROR(GETPIVOTDATA("[Measures].[Sum of EndValue]",'Results PT'!$B$8,"[Table2].[ReturnDate]","[Table2].[ReturnDate].&amp;["&amp;$A71&amp;"]"),NA())</f>
        <v>2052995491.9699998</v>
      </c>
      <c r="O71" s="20">
        <f>IFERROR(GETPIVOTDATA("[Measures].[Sum of StartPrincipal]",'Results PT'!$B$8,"[Table2].[ReturnDate]","[Table2].[ReturnDate].&amp;["&amp;$A71&amp;"]"),NA())</f>
        <v>2069619084.5500002</v>
      </c>
      <c r="P71" s="20">
        <f>IFERROR(GETPIVOTDATA("[Measures].[Sum of EndPrincipal]",'Results PT'!$B$8,"[Table2].[ReturnDate]","[Table2].[ReturnDate].&amp;["&amp;$A71&amp;"]"),NA())</f>
        <v>2049001671.1500001</v>
      </c>
      <c r="Q71" s="20">
        <f>IFERROR(GETPIVOTDATA("[Measures].[Sum of StartNAV]",'Results PT'!$B$8,"[Table2].[ReturnDate]","[Table2].[ReturnDate].&amp;["&amp;$A71&amp;"]"),NA())</f>
        <v>2049137315.24</v>
      </c>
      <c r="R71" s="20">
        <f>IFERROR(GETPIVOTDATA("[Measures].[Sum of EndNAV]",'Results PT'!$B$8,"[Table2].[ReturnDate]","[Table2].[ReturnDate].&amp;["&amp;$A71&amp;"]"),NA())</f>
        <v>2000942604</v>
      </c>
      <c r="S71" s="20"/>
      <c r="T71" s="1">
        <f t="shared" si="45"/>
        <v>-697082275.70000029</v>
      </c>
      <c r="U71" s="1">
        <f t="shared" si="46"/>
        <v>-722498847.5999999</v>
      </c>
      <c r="V71">
        <f t="shared" si="11"/>
        <v>4</v>
      </c>
      <c r="W71" s="20">
        <f t="shared" si="37"/>
        <v>63066094.00999999</v>
      </c>
      <c r="X71" s="20">
        <f t="shared" si="12"/>
        <v>14871382.769999981</v>
      </c>
      <c r="Y71" s="20">
        <f t="shared" si="38"/>
        <v>2017604268.2350001</v>
      </c>
      <c r="Z71" s="3">
        <f t="shared" si="13"/>
        <v>7.3708125047779877E-3</v>
      </c>
      <c r="AA71" s="20"/>
      <c r="AC71" s="20">
        <f>IFERROR(GETPIVOTDATA("[Measures].[Distinct Count of LoanID]",'Count PT'!$B$3,"[Table2].[ReturnDate]","[Table2].[ReturnDate].&amp;["&amp;$A71&amp;"]"),NA())</f>
        <v>88</v>
      </c>
      <c r="AD71" s="20">
        <f>GETPIVOTDATA("[Measures].[Distinct Count of ManagerCode 2]",'Count PT'!$B$3,"[Table2].[ReturnDate]","[Table2].[ReturnDate].&amp;["&amp;$A71&amp;"]")</f>
        <v>6</v>
      </c>
      <c r="AE71" s="20" t="b">
        <f t="shared" si="14"/>
        <v>1</v>
      </c>
      <c r="AF71" s="20" t="b">
        <f t="shared" si="15"/>
        <v>1</v>
      </c>
      <c r="AG71" s="20" t="b">
        <f t="shared" si="16"/>
        <v>1</v>
      </c>
      <c r="AI71" s="7">
        <f t="shared" si="39"/>
        <v>6.0858086361709812E-3</v>
      </c>
      <c r="AJ71" s="7">
        <f t="shared" si="40"/>
        <v>1.2970161994597849E-3</v>
      </c>
      <c r="AK71" s="7">
        <f t="shared" si="41"/>
        <v>-1.1721822942359761E-4</v>
      </c>
      <c r="AL71" s="7">
        <f t="shared" si="17"/>
        <v>7.2656066062071678E-3</v>
      </c>
      <c r="AM71" s="7">
        <f t="shared" si="42"/>
        <v>-1.1203485418760613E-6</v>
      </c>
      <c r="AN71" s="7">
        <f t="shared" si="18"/>
        <v>7.2644862576652916E-3</v>
      </c>
      <c r="AO71" s="7">
        <f t="shared" si="19"/>
        <v>1.0632624711269609E-4</v>
      </c>
      <c r="AP71" s="7">
        <f t="shared" si="43"/>
        <v>7.3708125047779877E-3</v>
      </c>
      <c r="AQ71" s="7">
        <f t="shared" si="44"/>
        <v>7.3828248356307656E-3</v>
      </c>
      <c r="AS71" s="7">
        <f t="shared" si="20"/>
        <v>6.0858086361709812E-3</v>
      </c>
      <c r="AT71" s="7">
        <f t="shared" si="21"/>
        <v>1.2970161994597849E-3</v>
      </c>
      <c r="AU71" s="7">
        <f t="shared" si="22"/>
        <v>7.3828248356307656E-3</v>
      </c>
      <c r="AV71" s="7">
        <f t="shared" si="23"/>
        <v>-1.1721822942359761E-4</v>
      </c>
      <c r="AW71" s="7">
        <f t="shared" si="24"/>
        <v>7.2656066062071678E-3</v>
      </c>
      <c r="AX71" s="7">
        <f t="shared" si="25"/>
        <v>-1.1203485418760613E-6</v>
      </c>
      <c r="AY71" s="7">
        <f t="shared" si="26"/>
        <v>7.2644862576652916E-3</v>
      </c>
      <c r="AZ71" s="7">
        <f t="shared" si="27"/>
        <v>1.0632624711269609E-4</v>
      </c>
      <c r="BA71" s="7">
        <f t="shared" si="28"/>
        <v>7.3708125047779877E-3</v>
      </c>
      <c r="BB71" s="7">
        <f t="shared" si="29"/>
        <v>7.3828248356307656E-3</v>
      </c>
      <c r="BD71">
        <f t="shared" si="30"/>
        <v>1</v>
      </c>
      <c r="BE71">
        <f t="shared" si="34"/>
        <v>1</v>
      </c>
      <c r="BF71" s="7" cm="1">
        <f t="array" ref="BF71">IF(ISNA($BA71),NA(),IF($BE71=0,"***",PRODUCT(1+AS69:AS71)-1))</f>
        <v>1.7218028935412466E-2</v>
      </c>
      <c r="BG71" s="7" cm="1">
        <f t="array" ref="BG71">IF(ISNA($BA71),NA(),IF($BE71=0,"***",PRODUCT(1+AT69:AT71)-1))</f>
        <v>3.0357772765541302E-3</v>
      </c>
      <c r="BH71" s="7" cm="1">
        <f t="array" ref="BH71">IF(ISNA($BA71),NA(),IF($BE71=0,"***",PRODUCT(1+AU69:AU71)-1))</f>
        <v>2.0288380687960128E-2</v>
      </c>
      <c r="BI71" s="7" cm="1">
        <f t="array" ref="BI71">IF(ISNA($BA71),NA(),IF($BE71=0,"***",PRODUCT(1+AV69:AV71)-1))</f>
        <v>8.2659210360214175E-5</v>
      </c>
      <c r="BJ71" s="7" cm="1">
        <f t="array" ref="BJ71">IF(ISNA($BA71),NA(),IF($BE71=0,"***",PRODUCT(1+AW69:AW71)-1))</f>
        <v>2.0372513070382681E-2</v>
      </c>
      <c r="BK71" s="7" cm="1">
        <f t="array" ref="BK71">IF(ISNA($BA71),NA(),IF($BE71=0,"***",PRODUCT(1+AX69:AX71)-1))</f>
        <v>-2.7856457661679102E-6</v>
      </c>
      <c r="BL71" s="7" cm="1">
        <f t="array" ref="BL71">IF(ISNA($BA71),NA(),IF($BE71=0,"***",PRODUCT(1+AY69:AY71)-1))</f>
        <v>2.0369689880240349E-2</v>
      </c>
      <c r="BM71" s="7" cm="1">
        <f t="array" ref="BM71">IF(ISNA($BA71),NA(),IF($BE71=0,"***",PRODUCT(1+AZ69:AZ71)-1))</f>
        <v>1.9993737617074459E-4</v>
      </c>
      <c r="BN71" s="7" cm="1">
        <f t="array" ref="BN71">IF(ISNA($BA71),NA(),IF($BE71=0,"***",PRODUCT(1+BA69:BA71)-1))</f>
        <v>2.0574462502732649E-2</v>
      </c>
      <c r="BO71" s="7">
        <f t="shared" si="35"/>
        <v>4.8352463215550756E-6</v>
      </c>
      <c r="BP71" s="7">
        <f t="shared" si="36"/>
        <v>2.0153304011925933E-2</v>
      </c>
    </row>
    <row r="72" spans="1:68" x14ac:dyDescent="0.25">
      <c r="A72" t="str">
        <f t="shared" si="31"/>
        <v>20170228</v>
      </c>
      <c r="B72">
        <f t="shared" si="32"/>
        <v>42794</v>
      </c>
      <c r="C72">
        <v>2017</v>
      </c>
      <c r="D72">
        <v>2</v>
      </c>
      <c r="F72" s="20">
        <f>IFERROR(GETPIVOTDATA("[Measures].[Sum of CashInterest]",'Results PT'!$B$8,"[Table2].[ReturnDate]","[Table2].[ReturnDate].&amp;["&amp;$A72&amp;"]"),NA())</f>
        <v>13351173.020000001</v>
      </c>
      <c r="G72" s="20">
        <f>IFERROR(GETPIVOTDATA("[Measures].[Sum of AccrInterest]",'Results PT'!$B$8,"[Table2].[ReturnDate]","[Table2].[ReturnDate].&amp;["&amp;$A72&amp;"]"),NA())</f>
        <v>2623065.3800000004</v>
      </c>
      <c r="H72" s="20">
        <f>IFERROR(GETPIVOTDATA("[Measures].[Sum of OtherIncome]",'Results PT'!$B$8,"[Table2].[ReturnDate]","[Table2].[ReturnDate].&amp;["&amp;$A72&amp;"]"),NA())</f>
        <v>2215000</v>
      </c>
      <c r="I72" s="20">
        <f>IFERROR(GETPIVOTDATA("[Measures].[Sum of Expenses]",'Results PT'!$B$8,"[Table2].[ReturnDate]","[Table2].[ReturnDate].&amp;["&amp;$A72&amp;"]"),NA())</f>
        <v>-2260.42</v>
      </c>
      <c r="J72" s="20">
        <f>IFERROR(GETPIVOTDATA("[Measures].[Sum of PrincipalFunded]",'Results PT'!$B$8,"[Table2].[ReturnDate]","[Table2].[ReturnDate].&amp;["&amp;$A72&amp;"]"),NA())</f>
        <v>-49988184.079999998</v>
      </c>
      <c r="K72" s="20">
        <f>IFERROR(GETPIVOTDATA("[Measures].[Sum of PrincipalRepaid]",'Results PT'!$B$8,"[Table2].[ReturnDate]","[Table2].[ReturnDate].&amp;["&amp;$A72&amp;"]"),NA())</f>
        <v>47800551.849999994</v>
      </c>
      <c r="L72" s="20"/>
      <c r="M72" s="20">
        <f>IFERROR(GETPIVOTDATA("[Measures].[Sum of StartValue]",'Results PT'!$B$8,"[Table2].[ReturnDate]","[Table2].[ReturnDate].&amp;["&amp;$A72&amp;"]"),NA())</f>
        <v>2052995491.9699998</v>
      </c>
      <c r="N72" s="20">
        <f>IFERROR(GETPIVOTDATA("[Measures].[Sum of EndValue]",'Results PT'!$B$8,"[Table2].[ReturnDate]","[Table2].[ReturnDate].&amp;["&amp;$A72&amp;"]"),NA())</f>
        <v>2059161242.7300003</v>
      </c>
      <c r="O72" s="20">
        <f>IFERROR(GETPIVOTDATA("[Measures].[Sum of StartPrincipal]",'Results PT'!$B$8,"[Table2].[ReturnDate]","[Table2].[ReturnDate].&amp;["&amp;$A72&amp;"]"),NA())</f>
        <v>2049001671.1500001</v>
      </c>
      <c r="P72" s="20">
        <f>IFERROR(GETPIVOTDATA("[Measures].[Sum of EndPrincipal]",'Results PT'!$B$8,"[Table2].[ReturnDate]","[Table2].[ReturnDate].&amp;["&amp;$A72&amp;"]"),NA())</f>
        <v>2054515879.0500007</v>
      </c>
      <c r="Q72" s="20">
        <f>IFERROR(GETPIVOTDATA("[Measures].[Sum of StartNAV]",'Results PT'!$B$8,"[Table2].[ReturnDate]","[Table2].[ReturnDate].&amp;["&amp;$A72&amp;"]"),NA())</f>
        <v>2000942604</v>
      </c>
      <c r="R72" s="20">
        <f>IFERROR(GETPIVOTDATA("[Measures].[Sum of EndNAV]",'Results PT'!$B$8,"[Table2].[ReturnDate]","[Table2].[ReturnDate].&amp;["&amp;$A72&amp;"]"),NA())</f>
        <v>2006404844.4400003</v>
      </c>
      <c r="S72" s="20"/>
      <c r="T72" s="1">
        <f t="shared" si="45"/>
        <v>0</v>
      </c>
      <c r="U72" s="1">
        <f t="shared" si="46"/>
        <v>0</v>
      </c>
      <c r="V72">
        <f t="shared" si="11"/>
        <v>4</v>
      </c>
      <c r="W72" s="20">
        <f t="shared" si="37"/>
        <v>13376280.369999997</v>
      </c>
      <c r="X72" s="20">
        <f t="shared" si="12"/>
        <v>18838520.810000181</v>
      </c>
      <c r="Y72" s="20">
        <f t="shared" si="38"/>
        <v>1994254463.8150001</v>
      </c>
      <c r="Z72" s="3">
        <f t="shared" si="13"/>
        <v>9.4463977149446474E-3</v>
      </c>
      <c r="AA72" s="20"/>
      <c r="AC72" s="20">
        <f>IFERROR(GETPIVOTDATA("[Measures].[Distinct Count of LoanID]",'Count PT'!$B$3,"[Table2].[ReturnDate]","[Table2].[ReturnDate].&amp;["&amp;$A72&amp;"]"),NA())</f>
        <v>90</v>
      </c>
      <c r="AD72" s="20">
        <f>GETPIVOTDATA("[Measures].[Distinct Count of ManagerCode 2]",'Count PT'!$B$3,"[Table2].[ReturnDate]","[Table2].[ReturnDate].&amp;["&amp;$A72&amp;"]")</f>
        <v>6</v>
      </c>
      <c r="AE72" s="20" t="b">
        <f t="shared" si="14"/>
        <v>1</v>
      </c>
      <c r="AF72" s="20" t="b">
        <f t="shared" si="15"/>
        <v>1</v>
      </c>
      <c r="AG72" s="20" t="b">
        <f t="shared" si="16"/>
        <v>1</v>
      </c>
      <c r="AI72" s="7">
        <f t="shared" si="39"/>
        <v>6.6948191729049788E-3</v>
      </c>
      <c r="AJ72" s="7">
        <f t="shared" si="40"/>
        <v>1.3153112742604008E-3</v>
      </c>
      <c r="AK72" s="7">
        <f t="shared" si="41"/>
        <v>1.1106907569672501E-3</v>
      </c>
      <c r="AL72" s="7">
        <f t="shared" si="17"/>
        <v>9.1208212041326304E-3</v>
      </c>
      <c r="AM72" s="7">
        <f t="shared" si="42"/>
        <v>-1.1334661854916081E-6</v>
      </c>
      <c r="AN72" s="7">
        <f t="shared" si="18"/>
        <v>9.1196877379471387E-3</v>
      </c>
      <c r="AO72" s="7">
        <f t="shared" si="19"/>
        <v>3.2670997699750862E-4</v>
      </c>
      <c r="AP72" s="7">
        <f t="shared" si="43"/>
        <v>9.4463977149446474E-3</v>
      </c>
      <c r="AQ72" s="7">
        <f t="shared" si="44"/>
        <v>8.0101304471653801E-3</v>
      </c>
      <c r="AS72" s="7">
        <f t="shared" si="20"/>
        <v>6.6948191729049788E-3</v>
      </c>
      <c r="AT72" s="7">
        <f t="shared" si="21"/>
        <v>1.3153112742604008E-3</v>
      </c>
      <c r="AU72" s="7">
        <f t="shared" si="22"/>
        <v>8.0101304471653801E-3</v>
      </c>
      <c r="AV72" s="7">
        <f t="shared" si="23"/>
        <v>1.1106907569672501E-3</v>
      </c>
      <c r="AW72" s="7">
        <f t="shared" si="24"/>
        <v>9.1208212041326304E-3</v>
      </c>
      <c r="AX72" s="7">
        <f t="shared" si="25"/>
        <v>-1.1334661854916081E-6</v>
      </c>
      <c r="AY72" s="7">
        <f t="shared" si="26"/>
        <v>9.1196877379471387E-3</v>
      </c>
      <c r="AZ72" s="7">
        <f t="shared" si="27"/>
        <v>3.2670997699750862E-4</v>
      </c>
      <c r="BA72" s="7">
        <f t="shared" si="28"/>
        <v>9.4463977149446474E-3</v>
      </c>
      <c r="BB72" s="7">
        <f t="shared" si="29"/>
        <v>8.0101304471653801E-3</v>
      </c>
      <c r="BD72">
        <f t="shared" si="30"/>
        <v>1</v>
      </c>
      <c r="BE72">
        <f t="shared" si="34"/>
        <v>1</v>
      </c>
      <c r="BF72" s="7" cm="1">
        <f t="array" ref="BF72">IF(ISNA($BA72),NA(),IF($BE72=0,"***",PRODUCT(1+AS70:AS72)-1))</f>
        <v>1.7870413838934285E-2</v>
      </c>
      <c r="BG72" s="7" cm="1">
        <f t="array" ref="BG72">IF(ISNA($BA72),NA(),IF($BE72=0,"***",PRODUCT(1+AT70:AT72)-1))</f>
        <v>3.4912760975447377E-3</v>
      </c>
      <c r="BH72" s="7" cm="1">
        <f t="array" ref="BH72">IF(ISNA($BA72),NA(),IF($BE72=0,"***",PRODUCT(1+AU70:AU72)-1))</f>
        <v>2.1402725167688486E-2</v>
      </c>
      <c r="BI72" s="7" cm="1">
        <f t="array" ref="BI72">IF(ISNA($BA72),NA(),IF($BE72=0,"***",PRODUCT(1+AV70:AV72)-1))</f>
        <v>1.2950667027675777E-3</v>
      </c>
      <c r="BJ72" s="7" cm="1">
        <f t="array" ref="BJ72">IF(ISNA($BA72),NA(),IF($BE72=0,"***",PRODUCT(1+AW70:AW72)-1))</f>
        <v>2.2715576425547113E-2</v>
      </c>
      <c r="BK72" s="7" cm="1">
        <f t="array" ref="BK72">IF(ISNA($BA72),NA(),IF($BE72=0,"***",PRODUCT(1+AX70:AX72)-1))</f>
        <v>-3.0685491457793646E-6</v>
      </c>
      <c r="BL72" s="7" cm="1">
        <f t="array" ref="BL72">IF(ISNA($BA72),NA(),IF($BE72=0,"***",PRODUCT(1+AY70:AY72)-1))</f>
        <v>2.2712462017378643E-2</v>
      </c>
      <c r="BM72" s="7" cm="1">
        <f t="array" ref="BM72">IF(ISNA($BA72),NA(),IF($BE72=0,"***",PRODUCT(1+AZ70:AZ72)-1))</f>
        <v>3.69621753349203E-3</v>
      </c>
      <c r="BN72" s="7" cm="1">
        <f t="array" ref="BN72">IF(ISNA($BA72),NA(),IF($BE72=0,"***",PRODUCT(1+BA70:BA72)-1))</f>
        <v>2.6468379016549415E-2</v>
      </c>
      <c r="BO72" s="7">
        <f t="shared" si="35"/>
        <v>5.9699465678741959E-5</v>
      </c>
      <c r="BP72" s="7">
        <f t="shared" si="36"/>
        <v>2.1253037248088604E-2</v>
      </c>
    </row>
    <row r="73" spans="1:68" x14ac:dyDescent="0.25">
      <c r="A73" t="str">
        <f t="shared" si="31"/>
        <v>20170331</v>
      </c>
      <c r="B73">
        <f t="shared" si="32"/>
        <v>42825</v>
      </c>
      <c r="C73">
        <v>2017</v>
      </c>
      <c r="D73">
        <v>3</v>
      </c>
      <c r="F73" s="20">
        <f>IFERROR(GETPIVOTDATA("[Measures].[Sum of CashInterest]",'Results PT'!$B$8,"[Table2].[ReturnDate]","[Table2].[ReturnDate].&amp;["&amp;$A73&amp;"]"),NA())</f>
        <v>12636185.42</v>
      </c>
      <c r="G73" s="20">
        <f>IFERROR(GETPIVOTDATA("[Measures].[Sum of AccrInterest]",'Results PT'!$B$8,"[Table2].[ReturnDate]","[Table2].[ReturnDate].&amp;["&amp;$A73&amp;"]"),NA())</f>
        <v>2752671.29</v>
      </c>
      <c r="H73" s="20">
        <f>IFERROR(GETPIVOTDATA("[Measures].[Sum of OtherIncome]",'Results PT'!$B$8,"[Table2].[ReturnDate]","[Table2].[ReturnDate].&amp;["&amp;$A73&amp;"]"),NA())</f>
        <v>57960.179999999986</v>
      </c>
      <c r="I73" s="20">
        <f>IFERROR(GETPIVOTDATA("[Measures].[Sum of Expenses]",'Results PT'!$B$8,"[Table2].[ReturnDate]","[Table2].[ReturnDate].&amp;["&amp;$A73&amp;"]"),NA())</f>
        <v>-2041.67</v>
      </c>
      <c r="J73" s="20">
        <f>IFERROR(GETPIVOTDATA("[Measures].[Sum of PrincipalFunded]",'Results PT'!$B$8,"[Table2].[ReturnDate]","[Table2].[ReturnDate].&amp;["&amp;$A73&amp;"]"),NA())</f>
        <v>-16502319.799999999</v>
      </c>
      <c r="K73" s="20">
        <f>IFERROR(GETPIVOTDATA("[Measures].[Sum of PrincipalRepaid]",'Results PT'!$B$8,"[Table2].[ReturnDate]","[Table2].[ReturnDate].&amp;["&amp;$A73&amp;"]"),NA())</f>
        <v>11665880.500000002</v>
      </c>
      <c r="L73" s="20"/>
      <c r="M73" s="20">
        <f>IFERROR(GETPIVOTDATA("[Measures].[Sum of StartValue]",'Results PT'!$B$8,"[Table2].[ReturnDate]","[Table2].[ReturnDate].&amp;["&amp;$A73&amp;"]"),NA())</f>
        <v>2059161242.7300003</v>
      </c>
      <c r="N73" s="20">
        <f>IFERROR(GETPIVOTDATA("[Measures].[Sum of EndValue]",'Results PT'!$B$8,"[Table2].[ReturnDate]","[Table2].[ReturnDate].&amp;["&amp;$A73&amp;"]"),NA())</f>
        <v>2068539953.9100001</v>
      </c>
      <c r="O73" s="20">
        <f>IFERROR(GETPIVOTDATA("[Measures].[Sum of StartPrincipal]",'Results PT'!$B$8,"[Table2].[ReturnDate]","[Table2].[ReturnDate].&amp;["&amp;$A73&amp;"]"),NA())</f>
        <v>2054529803.7000008</v>
      </c>
      <c r="P73" s="20">
        <f>IFERROR(GETPIVOTDATA("[Measures].[Sum of EndPrincipal]",'Results PT'!$B$8,"[Table2].[ReturnDate]","[Table2].[ReturnDate].&amp;["&amp;$A73&amp;"]"),NA())</f>
        <v>2064317885.26</v>
      </c>
      <c r="Q73" s="20">
        <f>IFERROR(GETPIVOTDATA("[Measures].[Sum of StartNAV]",'Results PT'!$B$8,"[Table2].[ReturnDate]","[Table2].[ReturnDate].&amp;["&amp;$A73&amp;"]"),NA())</f>
        <v>2006404844.4400003</v>
      </c>
      <c r="R73" s="20">
        <f>IFERROR(GETPIVOTDATA("[Measures].[Sum of EndNAV]",'Results PT'!$B$8,"[Table2].[ReturnDate]","[Table2].[ReturnDate].&amp;["&amp;$A73&amp;"]"),NA())</f>
        <v>2013584584.6800001</v>
      </c>
      <c r="S73" s="20"/>
      <c r="T73" s="1">
        <f t="shared" si="45"/>
        <v>0</v>
      </c>
      <c r="U73" s="1">
        <f t="shared" si="46"/>
        <v>13924.650000095367</v>
      </c>
      <c r="V73">
        <f t="shared" si="11"/>
        <v>4</v>
      </c>
      <c r="W73" s="20">
        <f t="shared" si="37"/>
        <v>7855664.6300000027</v>
      </c>
      <c r="X73" s="20">
        <f t="shared" si="12"/>
        <v>15035404.869999886</v>
      </c>
      <c r="Y73" s="20">
        <f t="shared" si="38"/>
        <v>2002477012.1250002</v>
      </c>
      <c r="Z73" s="3">
        <f t="shared" si="13"/>
        <v>7.5084032320773195E-3</v>
      </c>
      <c r="AA73" s="20"/>
      <c r="AC73" s="20">
        <f>IFERROR(GETPIVOTDATA("[Measures].[Distinct Count of LoanID]",'Count PT'!$B$3,"[Table2].[ReturnDate]","[Table2].[ReturnDate].&amp;["&amp;$A73&amp;"]"),NA())</f>
        <v>92</v>
      </c>
      <c r="AD73" s="20">
        <f>GETPIVOTDATA("[Measures].[Distinct Count of ManagerCode 2]",'Count PT'!$B$3,"[Table2].[ReturnDate]","[Table2].[ReturnDate].&amp;["&amp;$A73&amp;"]")</f>
        <v>6</v>
      </c>
      <c r="AE73" s="20" t="b">
        <f t="shared" si="14"/>
        <v>1</v>
      </c>
      <c r="AF73" s="20" t="b">
        <f t="shared" si="15"/>
        <v>1</v>
      </c>
      <c r="AG73" s="20" t="b">
        <f t="shared" si="16"/>
        <v>1</v>
      </c>
      <c r="AI73" s="7">
        <f t="shared" si="39"/>
        <v>6.3102773931924738E-3</v>
      </c>
      <c r="AJ73" s="7">
        <f t="shared" si="40"/>
        <v>1.3746331535056697E-3</v>
      </c>
      <c r="AK73" s="7">
        <f t="shared" si="41"/>
        <v>2.8944242380337473E-5</v>
      </c>
      <c r="AL73" s="7">
        <f t="shared" si="17"/>
        <v>7.7138547890784805E-3</v>
      </c>
      <c r="AM73" s="7">
        <f t="shared" si="42"/>
        <v>-1.0195722535827809E-6</v>
      </c>
      <c r="AN73" s="7">
        <f t="shared" si="18"/>
        <v>7.7128352168248978E-3</v>
      </c>
      <c r="AO73" s="7">
        <f t="shared" si="19"/>
        <v>-2.0443198474757833E-4</v>
      </c>
      <c r="AP73" s="7">
        <f t="shared" si="43"/>
        <v>7.5084032320773195E-3</v>
      </c>
      <c r="AQ73" s="7">
        <f t="shared" si="44"/>
        <v>7.6849105466981439E-3</v>
      </c>
      <c r="AS73" s="7">
        <f t="shared" si="20"/>
        <v>6.3102773931924738E-3</v>
      </c>
      <c r="AT73" s="7">
        <f t="shared" si="21"/>
        <v>1.3746331535056697E-3</v>
      </c>
      <c r="AU73" s="7">
        <f t="shared" si="22"/>
        <v>7.684910546698143E-3</v>
      </c>
      <c r="AV73" s="7">
        <f t="shared" si="23"/>
        <v>2.8944242380337473E-5</v>
      </c>
      <c r="AW73" s="7">
        <f t="shared" si="24"/>
        <v>7.7138547890784805E-3</v>
      </c>
      <c r="AX73" s="7">
        <f t="shared" si="25"/>
        <v>-1.0195722535827809E-6</v>
      </c>
      <c r="AY73" s="7">
        <f t="shared" si="26"/>
        <v>7.7128352168248978E-3</v>
      </c>
      <c r="AZ73" s="7">
        <f t="shared" si="27"/>
        <v>-2.0443198474757833E-4</v>
      </c>
      <c r="BA73" s="7">
        <f t="shared" si="28"/>
        <v>7.5084032320773195E-3</v>
      </c>
      <c r="BB73" s="7">
        <f t="shared" si="29"/>
        <v>7.6849105466981439E-3</v>
      </c>
      <c r="BD73">
        <f t="shared" si="30"/>
        <v>1</v>
      </c>
      <c r="BE73">
        <f t="shared" si="34"/>
        <v>1</v>
      </c>
      <c r="BF73" s="7" cm="1">
        <f t="array" ref="BF73">IF(ISNA($BA73),NA(),IF($BE73=0,"***",PRODUCT(1+AS71:AS73)-1))</f>
        <v>1.9212554999425313E-2</v>
      </c>
      <c r="BG73" s="7" cm="1">
        <f t="array" ref="BG73">IF(ISNA($BA73),NA(),IF($BE73=0,"***",PRODUCT(1+AT71:AT73)-1))</f>
        <v>3.9922599443058537E-3</v>
      </c>
      <c r="BH73" s="7" cm="1">
        <f t="array" ref="BH73">IF(ISNA($BA73),NA(),IF($BE73=0,"***",PRODUCT(1+AU71:AU73)-1))</f>
        <v>2.3255751169446004E-2</v>
      </c>
      <c r="BI73" s="7" cm="1">
        <f t="array" ref="BI73">IF(ISNA($BA73),NA(),IF($BE73=0,"***",PRODUCT(1+AV71:AV73)-1))</f>
        <v>1.0223153282615804E-3</v>
      </c>
      <c r="BJ73" s="7" cm="1">
        <f t="array" ref="BJ73">IF(ISNA($BA73),NA(),IF($BE73=0,"***",PRODUCT(1+AW71:AW73)-1))</f>
        <v>2.4293464606887971E-2</v>
      </c>
      <c r="BK73" s="7" cm="1">
        <f t="array" ref="BK73">IF(ISNA($BA73),NA(),IF($BE73=0,"***",PRODUCT(1+AX71:AX73)-1))</f>
        <v>-3.2733834131049022E-6</v>
      </c>
      <c r="BL73" s="7" cm="1">
        <f t="array" ref="BL73">IF(ISNA($BA73),NA(),IF($BE73=0,"***",PRODUCT(1+AY71:AY73)-1))</f>
        <v>2.4290138467022881E-2</v>
      </c>
      <c r="BM73" s="7" cm="1">
        <f t="array" ref="BM73">IF(ISNA($BA73),NA(),IF($BE73=0,"***",PRODUCT(1+AZ71:AZ73)-1))</f>
        <v>2.2855044365188704E-4</v>
      </c>
      <c r="BN73" s="7" cm="1">
        <f t="array" ref="BN73">IF(ISNA($BA73),NA(),IF($BE73=0,"***",PRODUCT(1+BA71:BA73)-1))</f>
        <v>2.4522034266065917E-2</v>
      </c>
      <c r="BO73" s="7">
        <f t="shared" si="35"/>
        <v>3.3453553911488854E-6</v>
      </c>
      <c r="BP73" s="7">
        <f t="shared" si="36"/>
        <v>2.3077865829494289E-2</v>
      </c>
    </row>
    <row r="74" spans="1:68" x14ac:dyDescent="0.25">
      <c r="A74" t="str">
        <f t="shared" si="31"/>
        <v>20170430</v>
      </c>
      <c r="B74">
        <f t="shared" si="32"/>
        <v>42855</v>
      </c>
      <c r="C74">
        <v>2017</v>
      </c>
      <c r="D74">
        <v>4</v>
      </c>
      <c r="F74" s="20">
        <f>IFERROR(GETPIVOTDATA("[Measures].[Sum of CashInterest]",'Results PT'!$B$8,"[Table2].[ReturnDate]","[Table2].[ReturnDate].&amp;["&amp;$A74&amp;"]"),NA())</f>
        <v>12255286.580000002</v>
      </c>
      <c r="G74" s="20">
        <f>IFERROR(GETPIVOTDATA("[Measures].[Sum of AccrInterest]",'Results PT'!$B$8,"[Table2].[ReturnDate]","[Table2].[ReturnDate].&amp;["&amp;$A74&amp;"]"),NA())</f>
        <v>2772638.95</v>
      </c>
      <c r="H74" s="20">
        <f>IFERROR(GETPIVOTDATA("[Measures].[Sum of OtherIncome]",'Results PT'!$B$8,"[Table2].[ReturnDate]","[Table2].[ReturnDate].&amp;["&amp;$A74&amp;"]"),NA())</f>
        <v>240000</v>
      </c>
      <c r="I74" s="20">
        <f>IFERROR(GETPIVOTDATA("[Measures].[Sum of Expenses]",'Results PT'!$B$8,"[Table2].[ReturnDate]","[Table2].[ReturnDate].&amp;["&amp;$A74&amp;"]"),NA())</f>
        <v>-2260.42</v>
      </c>
      <c r="J74" s="20">
        <f>IFERROR(GETPIVOTDATA("[Measures].[Sum of PrincipalFunded]",'Results PT'!$B$8,"[Table2].[ReturnDate]","[Table2].[ReturnDate].&amp;["&amp;$A74&amp;"]"),NA())</f>
        <v>-55361137.170000002</v>
      </c>
      <c r="K74" s="20">
        <f>IFERROR(GETPIVOTDATA("[Measures].[Sum of PrincipalRepaid]",'Results PT'!$B$8,"[Table2].[ReturnDate]","[Table2].[ReturnDate].&amp;["&amp;$A74&amp;"]"),NA())</f>
        <v>33300917</v>
      </c>
      <c r="L74" s="20"/>
      <c r="M74" s="20">
        <f>IFERROR(GETPIVOTDATA("[Measures].[Sum of StartValue]",'Results PT'!$B$8,"[Table2].[ReturnDate]","[Table2].[ReturnDate].&amp;["&amp;$A74&amp;"]"),NA())</f>
        <v>2068539953.9100001</v>
      </c>
      <c r="N74" s="20">
        <f>IFERROR(GETPIVOTDATA("[Measures].[Sum of EndValue]",'Results PT'!$B$8,"[Table2].[ReturnDate]","[Table2].[ReturnDate].&amp;["&amp;$A74&amp;"]"),NA())</f>
        <v>2108528801.6300001</v>
      </c>
      <c r="O74" s="20">
        <f>IFERROR(GETPIVOTDATA("[Measures].[Sum of StartPrincipal]",'Results PT'!$B$8,"[Table2].[ReturnDate]","[Table2].[ReturnDate].&amp;["&amp;$A74&amp;"]"),NA())</f>
        <v>2064317885.26</v>
      </c>
      <c r="P74" s="20">
        <f>IFERROR(GETPIVOTDATA("[Measures].[Sum of EndPrincipal]",'Results PT'!$B$8,"[Table2].[ReturnDate]","[Table2].[ReturnDate].&amp;["&amp;$A74&amp;"]"),NA())</f>
        <v>2101795470.8600004</v>
      </c>
      <c r="Q74" s="20">
        <f>IFERROR(GETPIVOTDATA("[Measures].[Sum of StartNAV]",'Results PT'!$B$8,"[Table2].[ReturnDate]","[Table2].[ReturnDate].&amp;["&amp;$A74&amp;"]"),NA())</f>
        <v>2013584584.6800001</v>
      </c>
      <c r="R74" s="20">
        <f>IFERROR(GETPIVOTDATA("[Measures].[Sum of EndNAV]",'Results PT'!$B$8,"[Table2].[ReturnDate]","[Table2].[ReturnDate].&amp;["&amp;$A74&amp;"]"),NA())</f>
        <v>2040928705.9000001</v>
      </c>
      <c r="S74" s="20"/>
      <c r="T74" s="1">
        <f t="shared" si="45"/>
        <v>0</v>
      </c>
      <c r="U74" s="1">
        <f t="shared" si="46"/>
        <v>0</v>
      </c>
      <c r="V74">
        <f t="shared" si="11"/>
        <v>4</v>
      </c>
      <c r="W74" s="20">
        <f t="shared" si="37"/>
        <v>-9567194.0099999979</v>
      </c>
      <c r="X74" s="20">
        <f t="shared" si="12"/>
        <v>17776927.210000038</v>
      </c>
      <c r="Y74" s="20">
        <f t="shared" si="38"/>
        <v>2018368181.6850002</v>
      </c>
      <c r="Z74" s="3">
        <f t="shared" si="13"/>
        <v>8.8075740448698876E-3</v>
      </c>
      <c r="AA74" s="20"/>
      <c r="AC74" s="20">
        <f>IFERROR(GETPIVOTDATA("[Measures].[Distinct Count of LoanID]",'Count PT'!$B$3,"[Table2].[ReturnDate]","[Table2].[ReturnDate].&amp;["&amp;$A74&amp;"]"),NA())</f>
        <v>94</v>
      </c>
      <c r="AD74" s="20">
        <f>GETPIVOTDATA("[Measures].[Distinct Count of ManagerCode 2]",'Count PT'!$B$3,"[Table2].[ReturnDate]","[Table2].[ReturnDate].&amp;["&amp;$A74&amp;"]")</f>
        <v>6</v>
      </c>
      <c r="AE74" s="20" t="b">
        <f t="shared" si="14"/>
        <v>1</v>
      </c>
      <c r="AF74" s="20" t="b">
        <f t="shared" si="15"/>
        <v>1</v>
      </c>
      <c r="AG74" s="20" t="b">
        <f t="shared" si="16"/>
        <v>1</v>
      </c>
      <c r="AI74" s="7">
        <f t="shared" si="39"/>
        <v>6.0718786053042539E-3</v>
      </c>
      <c r="AJ74" s="7">
        <f t="shared" si="40"/>
        <v>1.3737032594743491E-3</v>
      </c>
      <c r="AK74" s="7">
        <f t="shared" si="41"/>
        <v>1.189079386891841E-4</v>
      </c>
      <c r="AL74" s="7">
        <f t="shared" si="17"/>
        <v>7.5644898034677869E-3</v>
      </c>
      <c r="AM74" s="7">
        <f t="shared" si="42"/>
        <v>-1.1199245115491896E-6</v>
      </c>
      <c r="AN74" s="7">
        <f t="shared" si="18"/>
        <v>7.563369878956238E-3</v>
      </c>
      <c r="AO74" s="7">
        <f t="shared" si="19"/>
        <v>1.2442041659136496E-3</v>
      </c>
      <c r="AP74" s="7">
        <f t="shared" si="43"/>
        <v>8.8075740448698876E-3</v>
      </c>
      <c r="AQ74" s="7">
        <f t="shared" si="44"/>
        <v>7.4455818647786026E-3</v>
      </c>
      <c r="AS74" s="7">
        <f t="shared" si="20"/>
        <v>6.0718786053042539E-3</v>
      </c>
      <c r="AT74" s="7">
        <f t="shared" si="21"/>
        <v>1.3737032594743491E-3</v>
      </c>
      <c r="AU74" s="7">
        <f t="shared" si="22"/>
        <v>7.4455818647786026E-3</v>
      </c>
      <c r="AV74" s="7">
        <f t="shared" si="23"/>
        <v>1.189079386891841E-4</v>
      </c>
      <c r="AW74" s="7">
        <f t="shared" si="24"/>
        <v>7.5644898034677869E-3</v>
      </c>
      <c r="AX74" s="7">
        <f t="shared" si="25"/>
        <v>-1.1199245115491896E-6</v>
      </c>
      <c r="AY74" s="7">
        <f t="shared" si="26"/>
        <v>7.563369878956238E-3</v>
      </c>
      <c r="AZ74" s="7">
        <f t="shared" si="27"/>
        <v>1.2442041659136496E-3</v>
      </c>
      <c r="BA74" s="7">
        <f t="shared" si="28"/>
        <v>8.8075740448698876E-3</v>
      </c>
      <c r="BB74" s="7">
        <f t="shared" si="29"/>
        <v>7.4455818647786026E-3</v>
      </c>
      <c r="BD74">
        <f t="shared" si="30"/>
        <v>1</v>
      </c>
      <c r="BE74">
        <f t="shared" si="34"/>
        <v>1</v>
      </c>
      <c r="BF74" s="7" cm="1">
        <f t="array" ref="BF74">IF(ISNA($BA74),NA(),IF($BE74=0,"***",PRODUCT(1+AS72:AS74)-1))</f>
        <v>1.919844321867159E-2</v>
      </c>
      <c r="BG74" s="7" cm="1">
        <f t="array" ref="BG74">IF(ISNA($BA74),NA(),IF($BE74=0,"***",PRODUCT(1+AT72:AT74)-1))</f>
        <v>4.069153426905725E-3</v>
      </c>
      <c r="BH74" s="7" cm="1">
        <f t="array" ref="BH74">IF(ISNA($BA74),NA(),IF($BE74=0,"***",PRODUCT(1+AU72:AU74)-1))</f>
        <v>2.3319497035881875E-2</v>
      </c>
      <c r="BI74" s="7" cm="1">
        <f t="array" ref="BI74">IF(ISNA($BA74),NA(),IF($BE74=0,"***",PRODUCT(1+AV72:AV74)-1))</f>
        <v>1.2587106016106464E-3</v>
      </c>
      <c r="BJ74" s="7" cm="1">
        <f t="array" ref="BJ74">IF(ISNA($BA74),NA(),IF($BE74=0,"***",PRODUCT(1+AW72:AW74)-1))</f>
        <v>2.4597400434366534E-2</v>
      </c>
      <c r="BK74" s="7" cm="1">
        <f t="array" ref="BK74">IF(ISNA($BA74),NA(),IF($BE74=0,"***",PRODUCT(1+AX72:AX74)-1))</f>
        <v>-3.272959383737728E-6</v>
      </c>
      <c r="BL74" s="7" cm="1">
        <f t="array" ref="BL74">IF(ISNA($BA74),NA(),IF($BE74=0,"***",PRODUCT(1+AY72:AY74)-1))</f>
        <v>2.4594074076800476E-2</v>
      </c>
      <c r="BM74" s="7" cm="1">
        <f t="array" ref="BM74">IF(ISNA($BA74),NA(),IF($BE74=0,"***",PRODUCT(1+AZ72:AZ74)-1))</f>
        <v>1.3665674238814152E-3</v>
      </c>
      <c r="BN74" s="7" cm="1">
        <f t="array" ref="BN74">IF(ISNA($BA74),NA(),IF($BE74=0,"***",PRODUCT(1+BA72:BA74)-1))</f>
        <v>2.5983257717785646E-2</v>
      </c>
      <c r="BO74" s="7">
        <f t="shared" si="35"/>
        <v>2.2616217103754721E-5</v>
      </c>
      <c r="BP74" s="7">
        <f t="shared" si="36"/>
        <v>2.3140622858642126E-2</v>
      </c>
    </row>
    <row r="75" spans="1:68" x14ac:dyDescent="0.25">
      <c r="A75" t="str">
        <f t="shared" si="31"/>
        <v>20170531</v>
      </c>
      <c r="B75">
        <f t="shared" si="32"/>
        <v>42886</v>
      </c>
      <c r="C75">
        <v>2017</v>
      </c>
      <c r="D75">
        <v>5</v>
      </c>
      <c r="F75" s="20">
        <f>IFERROR(GETPIVOTDATA("[Measures].[Sum of CashInterest]",'Results PT'!$B$8,"[Table2].[ReturnDate]","[Table2].[ReturnDate].&amp;["&amp;$A75&amp;"]"),NA())</f>
        <v>12683506.109999999</v>
      </c>
      <c r="G75" s="20">
        <f>IFERROR(GETPIVOTDATA("[Measures].[Sum of AccrInterest]",'Results PT'!$B$8,"[Table2].[ReturnDate]","[Table2].[ReturnDate].&amp;["&amp;$A75&amp;"]"),NA())</f>
        <v>2877536.08</v>
      </c>
      <c r="H75" s="20">
        <f>IFERROR(GETPIVOTDATA("[Measures].[Sum of OtherIncome]",'Results PT'!$B$8,"[Table2].[ReturnDate]","[Table2].[ReturnDate].&amp;["&amp;$A75&amp;"]"),NA())</f>
        <v>1324850.04</v>
      </c>
      <c r="I75" s="20">
        <f>IFERROR(GETPIVOTDATA("[Measures].[Sum of Expenses]",'Results PT'!$B$8,"[Table2].[ReturnDate]","[Table2].[ReturnDate].&amp;["&amp;$A75&amp;"]"),NA())</f>
        <v>-2187.5</v>
      </c>
      <c r="J75" s="20">
        <f>IFERROR(GETPIVOTDATA("[Measures].[Sum of PrincipalFunded]",'Results PT'!$B$8,"[Table2].[ReturnDate]","[Table2].[ReturnDate].&amp;["&amp;$A75&amp;"]"),NA())</f>
        <v>-97069735.459999993</v>
      </c>
      <c r="K75" s="20">
        <f>IFERROR(GETPIVOTDATA("[Measures].[Sum of PrincipalRepaid]",'Results PT'!$B$8,"[Table2].[ReturnDate]","[Table2].[ReturnDate].&amp;["&amp;$A75&amp;"]"),NA())</f>
        <v>105865215.14</v>
      </c>
      <c r="L75" s="20"/>
      <c r="M75" s="20">
        <f>IFERROR(GETPIVOTDATA("[Measures].[Sum of StartValue]",'Results PT'!$B$8,"[Table2].[ReturnDate]","[Table2].[ReturnDate].&amp;["&amp;$A75&amp;"]"),NA())</f>
        <v>2108528801.6300001</v>
      </c>
      <c r="N75" s="20">
        <f>IFERROR(GETPIVOTDATA("[Measures].[Sum of EndValue]",'Results PT'!$B$8,"[Table2].[ReturnDate]","[Table2].[ReturnDate].&amp;["&amp;$A75&amp;"]"),NA())</f>
        <v>2141709758.2199998</v>
      </c>
      <c r="O75" s="20">
        <f>IFERROR(GETPIVOTDATA("[Measures].[Sum of StartPrincipal]",'Results PT'!$B$8,"[Table2].[ReturnDate]","[Table2].[ReturnDate].&amp;["&amp;$A75&amp;"]"),NA())</f>
        <v>2101795470.8600004</v>
      </c>
      <c r="P75" s="20">
        <f>IFERROR(GETPIVOTDATA("[Measures].[Sum of EndPrincipal]",'Results PT'!$B$8,"[Table2].[ReturnDate]","[Table2].[ReturnDate].&amp;["&amp;$A75&amp;"]"),NA())</f>
        <v>2133868717.0800002</v>
      </c>
      <c r="Q75" s="20">
        <f>IFERROR(GETPIVOTDATA("[Measures].[Sum of StartNAV]",'Results PT'!$B$8,"[Table2].[ReturnDate]","[Table2].[ReturnDate].&amp;["&amp;$A75&amp;"]"),NA())</f>
        <v>2040928705.9000001</v>
      </c>
      <c r="R75" s="20">
        <f>IFERROR(GETPIVOTDATA("[Measures].[Sum of EndNAV]",'Results PT'!$B$8,"[Table2].[ReturnDate]","[Table2].[ReturnDate].&amp;["&amp;$A75&amp;"]"),NA())</f>
        <v>2036118472.6799998</v>
      </c>
      <c r="S75" s="20"/>
      <c r="T75" s="1">
        <f t="shared" si="45"/>
        <v>0</v>
      </c>
      <c r="U75" s="1">
        <f t="shared" si="46"/>
        <v>0</v>
      </c>
      <c r="V75">
        <f t="shared" si="11"/>
        <v>4</v>
      </c>
      <c r="W75" s="20">
        <f t="shared" ref="W75:W106" si="47">SUM(F75,H75:K75)</f>
        <v>22801648.329999998</v>
      </c>
      <c r="X75" s="20">
        <f t="shared" si="12"/>
        <v>17991415.109999657</v>
      </c>
      <c r="Y75" s="20">
        <f t="shared" ref="Y75:Y106" si="48">CHOOSE(V75,1,Q75,-J75,Q75-0.5*W75)</f>
        <v>2029527881.7350001</v>
      </c>
      <c r="Z75" s="3">
        <f t="shared" si="13"/>
        <v>8.8648277621193265E-3</v>
      </c>
      <c r="AA75" s="20"/>
      <c r="AC75" s="20">
        <f>IFERROR(GETPIVOTDATA("[Measures].[Distinct Count of LoanID]",'Count PT'!$B$3,"[Table2].[ReturnDate]","[Table2].[ReturnDate].&amp;["&amp;$A75&amp;"]"),NA())</f>
        <v>96</v>
      </c>
      <c r="AD75" s="20">
        <f>GETPIVOTDATA("[Measures].[Distinct Count of ManagerCode 2]",'Count PT'!$B$3,"[Table2].[ReturnDate]","[Table2].[ReturnDate].&amp;["&amp;$A75&amp;"]")</f>
        <v>6</v>
      </c>
      <c r="AE75" s="20" t="b">
        <f t="shared" si="14"/>
        <v>1</v>
      </c>
      <c r="AF75" s="20" t="b">
        <f t="shared" si="15"/>
        <v>1</v>
      </c>
      <c r="AG75" s="20" t="b">
        <f t="shared" si="16"/>
        <v>1</v>
      </c>
      <c r="AI75" s="7">
        <f t="shared" ref="AI75:AI106" si="49">F75/Y75</f>
        <v>6.2494860130510449E-3</v>
      </c>
      <c r="AJ75" s="7">
        <f t="shared" ref="AJ75:AJ106" si="50">G75/Y75</f>
        <v>1.4178352048753603E-3</v>
      </c>
      <c r="AK75" s="7">
        <f t="shared" ref="AK75:AK106" si="51">H75/Y75</f>
        <v>6.5278730680330146E-4</v>
      </c>
      <c r="AL75" s="7">
        <f t="shared" si="17"/>
        <v>8.3201085247297073E-3</v>
      </c>
      <c r="AM75" s="7">
        <f t="shared" ref="AM75:AM106" si="52">I75/Y75</f>
        <v>-1.0778368800383037E-6</v>
      </c>
      <c r="AN75" s="7">
        <f t="shared" si="18"/>
        <v>8.3190306878496694E-3</v>
      </c>
      <c r="AO75" s="7">
        <f t="shared" si="19"/>
        <v>5.4579707426965704E-4</v>
      </c>
      <c r="AP75" s="7">
        <f t="shared" ref="AP75:AP106" si="53">Z75</f>
        <v>8.8648277621193265E-3</v>
      </c>
      <c r="AQ75" s="7">
        <f t="shared" ref="AQ75:AQ106" si="54">(F75+G75)/Y75</f>
        <v>7.6673212179264056E-3</v>
      </c>
      <c r="AS75" s="7">
        <f t="shared" si="20"/>
        <v>6.2494860130510449E-3</v>
      </c>
      <c r="AT75" s="7">
        <f t="shared" si="21"/>
        <v>1.4178352048753603E-3</v>
      </c>
      <c r="AU75" s="7">
        <f t="shared" si="22"/>
        <v>7.6673212179264056E-3</v>
      </c>
      <c r="AV75" s="7">
        <f t="shared" si="23"/>
        <v>6.5278730680330146E-4</v>
      </c>
      <c r="AW75" s="7">
        <f t="shared" si="24"/>
        <v>8.3201085247297073E-3</v>
      </c>
      <c r="AX75" s="7">
        <f t="shared" si="25"/>
        <v>-1.0778368800383037E-6</v>
      </c>
      <c r="AY75" s="7">
        <f t="shared" si="26"/>
        <v>8.3190306878496694E-3</v>
      </c>
      <c r="AZ75" s="7">
        <f t="shared" si="27"/>
        <v>5.4579707426965704E-4</v>
      </c>
      <c r="BA75" s="7">
        <f t="shared" si="28"/>
        <v>8.8648277621193265E-3</v>
      </c>
      <c r="BB75" s="7">
        <f t="shared" si="29"/>
        <v>7.6673212179264056E-3</v>
      </c>
      <c r="BD75">
        <f t="shared" si="30"/>
        <v>1</v>
      </c>
      <c r="BE75">
        <f t="shared" si="34"/>
        <v>1</v>
      </c>
      <c r="BF75" s="7" cm="1">
        <f t="array" ref="BF75">IF(ISNA($BA75),NA(),IF($BE75=0,"***",PRODUCT(1+AS73:AS75)-1))</f>
        <v>1.8747578811114884E-2</v>
      </c>
      <c r="BG75" s="7" cm="1">
        <f t="array" ref="BG75">IF(ISNA($BA75),NA(),IF($BE75=0,"***",PRODUCT(1+AT73:AT75)-1))</f>
        <v>4.171959321372043E-3</v>
      </c>
      <c r="BH75" s="7" cm="1">
        <f t="array" ref="BH75">IF(ISNA($BA75),NA(),IF($BE75=0,"***",PRODUCT(1+AU73:AU75)-1))</f>
        <v>2.2971481319126408E-2</v>
      </c>
      <c r="BI75" s="7" cm="1">
        <f t="array" ref="BI75">IF(ISNA($BA75),NA(),IF($BE75=0,"***",PRODUCT(1+AV73:AV75)-1))</f>
        <v>8.007394478470875E-4</v>
      </c>
      <c r="BJ75" s="7" cm="1">
        <f t="array" ref="BJ75">IF(ISNA($BA75),NA(),IF($BE75=0,"***",PRODUCT(1+AW73:AW75)-1))</f>
        <v>2.3784407468041557E-2</v>
      </c>
      <c r="BK75" s="7" cm="1">
        <f t="array" ref="BK75">IF(ISNA($BA75),NA(),IF($BE75=0,"***",PRODUCT(1+AX73:AX75)-1))</f>
        <v>-3.2173301973692503E-6</v>
      </c>
      <c r="BL75" s="7" cm="1">
        <f t="array" ref="BL75">IF(ISNA($BA75),NA(),IF($BE75=0,"***",PRODUCT(1+AY73:AY75)-1))</f>
        <v>2.3781139319044575E-2</v>
      </c>
      <c r="BM75" s="7" cm="1">
        <f t="array" ref="BM75">IF(ISNA($BA75),NA(),IF($BE75=0,"***",PRODUCT(1+AZ73:AZ75)-1))</f>
        <v>1.5858822660970162E-3</v>
      </c>
      <c r="BN75" s="7" cm="1">
        <f t="array" ref="BN75">IF(ISNA($BA75),NA(),IF($BE75=0,"***",PRODUCT(1+BA73:BA75)-1))</f>
        <v>2.5392160423128862E-2</v>
      </c>
      <c r="BO75" s="7">
        <f t="shared" si="35"/>
        <v>2.513883798727079E-5</v>
      </c>
      <c r="BP75" s="7">
        <f t="shared" si="36"/>
        <v>2.2797813629403155E-2</v>
      </c>
    </row>
    <row r="76" spans="1:68" x14ac:dyDescent="0.25">
      <c r="A76" t="str">
        <f t="shared" si="31"/>
        <v>20170630</v>
      </c>
      <c r="B76">
        <f t="shared" si="32"/>
        <v>42916</v>
      </c>
      <c r="C76">
        <v>2017</v>
      </c>
      <c r="D76">
        <v>6</v>
      </c>
      <c r="F76" s="20">
        <f>IFERROR(GETPIVOTDATA("[Measures].[Sum of CashInterest]",'Results PT'!$B$8,"[Table2].[ReturnDate]","[Table2].[ReturnDate].&amp;["&amp;$A76&amp;"]"),NA())</f>
        <v>13768990.110000003</v>
      </c>
      <c r="G76" s="20">
        <f>IFERROR(GETPIVOTDATA("[Measures].[Sum of AccrInterest]",'Results PT'!$B$8,"[Table2].[ReturnDate]","[Table2].[ReturnDate].&amp;["&amp;$A76&amp;"]"),NA())</f>
        <v>2835765.45</v>
      </c>
      <c r="H76" s="20">
        <f>IFERROR(GETPIVOTDATA("[Measures].[Sum of OtherIncome]",'Results PT'!$B$8,"[Table2].[ReturnDate]","[Table2].[ReturnDate].&amp;["&amp;$A76&amp;"]"),NA())</f>
        <v>943519.5</v>
      </c>
      <c r="I76" s="20">
        <f>IFERROR(GETPIVOTDATA("[Measures].[Sum of Expenses]",'Results PT'!$B$8,"[Table2].[ReturnDate]","[Table2].[ReturnDate].&amp;["&amp;$A76&amp;"]"),NA())</f>
        <v>-2260.42</v>
      </c>
      <c r="J76" s="20">
        <f>IFERROR(GETPIVOTDATA("[Measures].[Sum of PrincipalFunded]",'Results PT'!$B$8,"[Table2].[ReturnDate]","[Table2].[ReturnDate].&amp;["&amp;$A76&amp;"]"),NA())</f>
        <v>-192097741.74000001</v>
      </c>
      <c r="K76" s="20">
        <f>IFERROR(GETPIVOTDATA("[Measures].[Sum of PrincipalRepaid]",'Results PT'!$B$8,"[Table2].[ReturnDate]","[Table2].[ReturnDate].&amp;["&amp;$A76&amp;"]"),NA())</f>
        <v>120087519.66</v>
      </c>
      <c r="L76" s="20"/>
      <c r="M76" s="20">
        <f>IFERROR(GETPIVOTDATA("[Measures].[Sum of StartValue]",'Results PT'!$B$8,"[Table2].[ReturnDate]","[Table2].[ReturnDate].&amp;["&amp;$A76&amp;"]"),NA())</f>
        <v>2141709758.2199998</v>
      </c>
      <c r="N76" s="20">
        <f>IFERROR(GETPIVOTDATA("[Measures].[Sum of EndValue]",'Results PT'!$B$8,"[Table2].[ReturnDate]","[Table2].[ReturnDate].&amp;["&amp;$A76&amp;"]"),NA())</f>
        <v>2258388427.9900002</v>
      </c>
      <c r="O76" s="20">
        <f>IFERROR(GETPIVOTDATA("[Measures].[Sum of StartPrincipal]",'Results PT'!$B$8,"[Table2].[ReturnDate]","[Table2].[ReturnDate].&amp;["&amp;$A76&amp;"]"),NA())</f>
        <v>2133868717.0800002</v>
      </c>
      <c r="P76" s="20">
        <f>IFERROR(GETPIVOTDATA("[Measures].[Sum of EndPrincipal]",'Results PT'!$B$8,"[Table2].[ReturnDate]","[Table2].[ReturnDate].&amp;["&amp;$A76&amp;"]"),NA())</f>
        <v>2249987682.3799996</v>
      </c>
      <c r="Q76" s="20">
        <f>IFERROR(GETPIVOTDATA("[Measures].[Sum of StartNAV]",'Results PT'!$B$8,"[Table2].[ReturnDate]","[Table2].[ReturnDate].&amp;["&amp;$A76&amp;"]"),NA())</f>
        <v>2036118472.6799998</v>
      </c>
      <c r="R76" s="20">
        <f>IFERROR(GETPIVOTDATA("[Measures].[Sum of EndNAV]",'Results PT'!$B$8,"[Table2].[ReturnDate]","[Table2].[ReturnDate].&amp;["&amp;$A76&amp;"]"),NA())</f>
        <v>2111553650.1999998</v>
      </c>
      <c r="S76" s="20"/>
      <c r="T76" s="1">
        <f t="shared" ref="T76:T112" si="55">M76-N75</f>
        <v>0</v>
      </c>
      <c r="U76" s="1">
        <f t="shared" ref="U76:U112" si="56">O76-P75</f>
        <v>0</v>
      </c>
      <c r="V76">
        <f t="shared" ref="V76:V115" si="57">1*(Q76&gt;0)+2*(R76&gt;0)+1</f>
        <v>4</v>
      </c>
      <c r="W76" s="20">
        <f t="shared" si="47"/>
        <v>-57299972.890000015</v>
      </c>
      <c r="X76" s="20">
        <f t="shared" ref="X76:X112" si="58">CHOOSE(V76,0,W76-Q76,W76+R76,W76+R76-Q76)</f>
        <v>18135204.629999876</v>
      </c>
      <c r="Y76" s="20">
        <f t="shared" si="48"/>
        <v>2064768459.1249998</v>
      </c>
      <c r="Z76" s="3">
        <f t="shared" ref="Z76:Z112" si="59">X76/Y76</f>
        <v>8.7831662430978581E-3</v>
      </c>
      <c r="AA76" s="20"/>
      <c r="AC76" s="20">
        <f>IFERROR(GETPIVOTDATA("[Measures].[Distinct Count of LoanID]",'Count PT'!$B$3,"[Table2].[ReturnDate]","[Table2].[ReturnDate].&amp;["&amp;$A76&amp;"]"),NA())</f>
        <v>99</v>
      </c>
      <c r="AD76" s="20">
        <f>GETPIVOTDATA("[Measures].[Distinct Count of ManagerCode 2]",'Count PT'!$B$3,"[Table2].[ReturnDate]","[Table2].[ReturnDate].&amp;["&amp;$A76&amp;"]")</f>
        <v>6</v>
      </c>
      <c r="AE76" s="20" t="b">
        <f t="shared" ref="AE76:AE112" si="60">AC76&gt;=$AE$4</f>
        <v>1</v>
      </c>
      <c r="AF76" s="20" t="b">
        <f t="shared" ref="AF76:AF112" si="61">AD76&gt;=$AF$4</f>
        <v>1</v>
      </c>
      <c r="AG76" s="20" t="b">
        <f t="shared" ref="AG76:AG112" si="62">IF(AD76=1,FALSE,IF(AF76,TRUE,IF(AE76,TRUE,FALSE)))</f>
        <v>1</v>
      </c>
      <c r="AI76" s="7">
        <f t="shared" si="49"/>
        <v>6.6685395396997573E-3</v>
      </c>
      <c r="AJ76" s="7">
        <f t="shared" si="50"/>
        <v>1.3734060288782843E-3</v>
      </c>
      <c r="AK76" s="7">
        <f t="shared" si="51"/>
        <v>4.5696140689781815E-4</v>
      </c>
      <c r="AL76" s="7">
        <f t="shared" ref="AL76:AL112" si="63">SUM(AI76:AK76)</f>
        <v>8.4989069754758603E-3</v>
      </c>
      <c r="AM76" s="7">
        <f t="shared" si="52"/>
        <v>-1.0947571336681077E-6</v>
      </c>
      <c r="AN76" s="7">
        <f t="shared" ref="AN76:AN112" si="64">AL76+AM76</f>
        <v>8.497812218342192E-3</v>
      </c>
      <c r="AO76" s="7">
        <f t="shared" ref="AO76:AO112" si="65">AP76-AN76</f>
        <v>2.8535402475566608E-4</v>
      </c>
      <c r="AP76" s="7">
        <f t="shared" si="53"/>
        <v>8.7831662430978581E-3</v>
      </c>
      <c r="AQ76" s="7">
        <f t="shared" si="54"/>
        <v>8.0419455685780405E-3</v>
      </c>
      <c r="AS76" s="7">
        <f t="shared" ref="AS76:AS112" si="66">IFERROR(IF(NOT($AG76),"***",AI76),NA())</f>
        <v>6.6685395396997573E-3</v>
      </c>
      <c r="AT76" s="7">
        <f t="shared" ref="AT76:AT112" si="67">IFERROR(IF(NOT($AG76),"***",AJ76),NA())</f>
        <v>1.3734060288782843E-3</v>
      </c>
      <c r="AU76" s="7">
        <f t="shared" ref="AU76:AU112" si="68">IF(AND(ISNUMBER(AS76),ISNUMBER(AT76)),AS76+AT76,AS76)</f>
        <v>8.0419455685780423E-3</v>
      </c>
      <c r="AV76" s="7">
        <f t="shared" ref="AV76:AV112" si="69">IFERROR(IF(NOT($AG76),"***",AK76),NA())</f>
        <v>4.5696140689781815E-4</v>
      </c>
      <c r="AW76" s="7">
        <f t="shared" ref="AW76:AW112" si="70">IFERROR(IF(NOT($AG76),"***",AL76),NA())</f>
        <v>8.4989069754758603E-3</v>
      </c>
      <c r="AX76" s="7">
        <f t="shared" ref="AX76:AX112" si="71">IFERROR(IF(NOT($AG76),"***",AM76),NA())</f>
        <v>-1.0947571336681077E-6</v>
      </c>
      <c r="AY76" s="7">
        <f t="shared" ref="AY76:AY112" si="72">IFERROR(IF(NOT($AG76),"***",AN76),NA())</f>
        <v>8.497812218342192E-3</v>
      </c>
      <c r="AZ76" s="7">
        <f t="shared" ref="AZ76:AZ112" si="73">IFERROR(IF(NOT($AG76),"***",AO76),NA())</f>
        <v>2.8535402475566608E-4</v>
      </c>
      <c r="BA76" s="7">
        <f t="shared" ref="BA76:BA112" si="74">IFERROR(IF(NOT($AG76),"***",AP76),NA())</f>
        <v>8.7831662430978581E-3</v>
      </c>
      <c r="BB76" s="7">
        <f t="shared" ref="BB76:BB112" si="75">IFERROR(IF(NOT($AG76),"***",AQ76),NA())</f>
        <v>8.0419455685780405E-3</v>
      </c>
      <c r="BD76">
        <f t="shared" ref="BD76:BD106" si="76">IF(ISNUMBER(BA76),1,0)</f>
        <v>1</v>
      </c>
      <c r="BE76">
        <f t="shared" si="34"/>
        <v>1</v>
      </c>
      <c r="BF76" s="7" cm="1">
        <f t="array" ref="BF76">IF(ISNA($BA76),NA(),IF($BE76=0,"***",PRODUCT(1+AS74:AS76)-1))</f>
        <v>1.9110268830816679E-2</v>
      </c>
      <c r="BG76" s="7" cm="1">
        <f t="array" ref="BG76">IF(ISNA($BA76),NA(),IF($BE76=0,"***",PRODUCT(1+AT74:AT76)-1))</f>
        <v>4.1707287687891004E-3</v>
      </c>
      <c r="BH76" s="7" cm="1">
        <f t="array" ref="BH76">IF(ISNA($BA76),NA(),IF($BE76=0,"***",PRODUCT(1+AU74:AU76)-1))</f>
        <v>2.3333932558986081E-2</v>
      </c>
      <c r="BI76" s="7" cm="1">
        <f t="array" ref="BI76">IF(ISNA($BA76),NA(),IF($BE76=0,"***",PRODUCT(1+AV74:AV76)-1))</f>
        <v>1.2290869443987162E-3</v>
      </c>
      <c r="BJ76" s="7" cm="1">
        <f t="array" ref="BJ76">IF(ISNA($BA76),NA(),IF($BE76=0,"***",PRODUCT(1+AW74:AW76)-1))</f>
        <v>2.4581979302211288E-2</v>
      </c>
      <c r="BK76" s="7" cm="1">
        <f t="array" ref="BK76">IF(ISNA($BA76),NA(),IF($BE76=0,"***",PRODUCT(1+AX74:AX76)-1))</f>
        <v>-3.2925149121565411E-6</v>
      </c>
      <c r="BL76" s="7" cm="1">
        <f t="array" ref="BL76">IF(ISNA($BA76),NA(),IF($BE76=0,"***",PRODUCT(1+AY74:AY76)-1))</f>
        <v>2.4578633030414965E-2</v>
      </c>
      <c r="BM76" s="7" cm="1">
        <f t="array" ref="BM76">IF(ISNA($BA76),NA(),IF($BE76=0,"***",PRODUCT(1+AZ74:AZ76)-1))</f>
        <v>2.0765453257700628E-3</v>
      </c>
      <c r="BN76" s="7" cm="1">
        <f t="array" ref="BN76">IF(ISNA($BA76),NA(),IF($BE76=0,"***",PRODUCT(1+BA74:BA76)-1))</f>
        <v>2.6689551088759478E-2</v>
      </c>
      <c r="BO76" s="7">
        <f t="shared" si="35"/>
        <v>3.4372732574450282E-5</v>
      </c>
      <c r="BP76" s="7">
        <f t="shared" si="36"/>
        <v>2.3154848651283047E-2</v>
      </c>
    </row>
    <row r="77" spans="1:68" x14ac:dyDescent="0.25">
      <c r="A77" t="str">
        <f t="shared" ref="A77:A109" si="77">TEXT(C77*10000+D77*100+DAY(B77),"0")</f>
        <v>20170731</v>
      </c>
      <c r="B77">
        <f t="shared" ref="B77:B109" si="78">EOMONTH(DATE(C77,D77,1),0)</f>
        <v>42947</v>
      </c>
      <c r="C77">
        <v>2017</v>
      </c>
      <c r="D77">
        <v>7</v>
      </c>
      <c r="F77" s="20">
        <f>IFERROR(GETPIVOTDATA("[Measures].[Sum of CashInterest]",'Results PT'!$B$8,"[Table2].[ReturnDate]","[Table2].[ReturnDate].&amp;["&amp;$A77&amp;"]"),NA())</f>
        <v>12982473.739999996</v>
      </c>
      <c r="G77" s="20">
        <f>IFERROR(GETPIVOTDATA("[Measures].[Sum of AccrInterest]",'Results PT'!$B$8,"[Table2].[ReturnDate]","[Table2].[ReturnDate].&amp;["&amp;$A77&amp;"]"),NA())</f>
        <v>2899088.6000000006</v>
      </c>
      <c r="H77" s="20">
        <f>IFERROR(GETPIVOTDATA("[Measures].[Sum of OtherIncome]",'Results PT'!$B$8,"[Table2].[ReturnDate]","[Table2].[ReturnDate].&amp;["&amp;$A77&amp;"]"),NA())</f>
        <v>1201045.8900000001</v>
      </c>
      <c r="I77" s="20">
        <f>IFERROR(GETPIVOTDATA("[Measures].[Sum of Expenses]",'Results PT'!$B$8,"[Table2].[ReturnDate]","[Table2].[ReturnDate].&amp;["&amp;$A77&amp;"]"),NA())</f>
        <v>-2187.5</v>
      </c>
      <c r="J77" s="20">
        <f>IFERROR(GETPIVOTDATA("[Measures].[Sum of PrincipalFunded]",'Results PT'!$B$8,"[Table2].[ReturnDate]","[Table2].[ReturnDate].&amp;["&amp;$A77&amp;"]"),NA())</f>
        <v>-111422311.54000001</v>
      </c>
      <c r="K77" s="20">
        <f>IFERROR(GETPIVOTDATA("[Measures].[Sum of PrincipalRepaid]",'Results PT'!$B$8,"[Table2].[ReturnDate]","[Table2].[ReturnDate].&amp;["&amp;$A77&amp;"]"),NA())</f>
        <v>46720963.589999996</v>
      </c>
      <c r="L77" s="20"/>
      <c r="M77" s="20">
        <f>IFERROR(GETPIVOTDATA("[Measures].[Sum of StartValue]",'Results PT'!$B$8,"[Table2].[ReturnDate]","[Table2].[ReturnDate].&amp;["&amp;$A77&amp;"]"),NA())</f>
        <v>2258388427.9900002</v>
      </c>
      <c r="N77" s="20">
        <f>IFERROR(GETPIVOTDATA("[Measures].[Sum of EndValue]",'Results PT'!$B$8,"[Table2].[ReturnDate]","[Table2].[ReturnDate].&amp;["&amp;$A77&amp;"]"),NA())</f>
        <v>2357210615.8200002</v>
      </c>
      <c r="O77" s="20">
        <f>IFERROR(GETPIVOTDATA("[Measures].[Sum of StartPrincipal]",'Results PT'!$B$8,"[Table2].[ReturnDate]","[Table2].[ReturnDate].&amp;["&amp;$A77&amp;"]"),NA())</f>
        <v>2249987682.3799996</v>
      </c>
      <c r="P77" s="20">
        <f>IFERROR(GETPIVOTDATA("[Measures].[Sum of EndPrincipal]",'Results PT'!$B$8,"[Table2].[ReturnDate]","[Table2].[ReturnDate].&amp;["&amp;$A77&amp;"]"),NA())</f>
        <v>2349095863.3400002</v>
      </c>
      <c r="Q77" s="20">
        <f>IFERROR(GETPIVOTDATA("[Measures].[Sum of StartNAV]",'Results PT'!$B$8,"[Table2].[ReturnDate]","[Table2].[ReturnDate].&amp;["&amp;$A77&amp;"]"),NA())</f>
        <v>2111553650.1999998</v>
      </c>
      <c r="R77" s="20">
        <f>IFERROR(GETPIVOTDATA("[Measures].[Sum of EndNAV]",'Results PT'!$B$8,"[Table2].[ReturnDate]","[Table2].[ReturnDate].&amp;["&amp;$A77&amp;"]"),NA())</f>
        <v>2178868093.6799998</v>
      </c>
      <c r="S77" s="20"/>
      <c r="T77" s="1">
        <f t="shared" si="55"/>
        <v>0</v>
      </c>
      <c r="U77" s="1">
        <f t="shared" si="56"/>
        <v>0</v>
      </c>
      <c r="V77">
        <f t="shared" si="57"/>
        <v>4</v>
      </c>
      <c r="W77" s="20">
        <f t="shared" si="47"/>
        <v>-50520015.820000015</v>
      </c>
      <c r="X77" s="20">
        <f t="shared" si="58"/>
        <v>16794427.660000086</v>
      </c>
      <c r="Y77" s="20">
        <f t="shared" si="48"/>
        <v>2136813658.1099999</v>
      </c>
      <c r="Z77" s="3">
        <f t="shared" si="59"/>
        <v>7.8595658522955473E-3</v>
      </c>
      <c r="AA77" s="20"/>
      <c r="AC77" s="20">
        <f>IFERROR(GETPIVOTDATA("[Measures].[Distinct Count of LoanID]",'Count PT'!$B$3,"[Table2].[ReturnDate]","[Table2].[ReturnDate].&amp;["&amp;$A77&amp;"]"),NA())</f>
        <v>99</v>
      </c>
      <c r="AD77" s="20">
        <f>GETPIVOTDATA("[Measures].[Distinct Count of ManagerCode 2]",'Count PT'!$B$3,"[Table2].[ReturnDate]","[Table2].[ReturnDate].&amp;["&amp;$A77&amp;"]")</f>
        <v>7</v>
      </c>
      <c r="AE77" s="20" t="b">
        <f t="shared" si="60"/>
        <v>1</v>
      </c>
      <c r="AF77" s="20" t="b">
        <f t="shared" si="61"/>
        <v>1</v>
      </c>
      <c r="AG77" s="20" t="b">
        <f t="shared" si="62"/>
        <v>1</v>
      </c>
      <c r="AI77" s="7">
        <f t="shared" si="49"/>
        <v>6.0756227810163498E-3</v>
      </c>
      <c r="AJ77" s="7">
        <f t="shared" si="50"/>
        <v>1.3567344017092389E-3</v>
      </c>
      <c r="AK77" s="7">
        <f t="shared" si="51"/>
        <v>5.6207329330827975E-4</v>
      </c>
      <c r="AL77" s="7">
        <f t="shared" si="63"/>
        <v>7.9944304760338689E-3</v>
      </c>
      <c r="AM77" s="7">
        <f t="shared" si="52"/>
        <v>-1.0237205250432703E-6</v>
      </c>
      <c r="AN77" s="7">
        <f t="shared" si="64"/>
        <v>7.9934067555088254E-3</v>
      </c>
      <c r="AO77" s="7">
        <f t="shared" si="65"/>
        <v>-1.3384090321327813E-4</v>
      </c>
      <c r="AP77" s="7">
        <f t="shared" si="53"/>
        <v>7.8595658522955473E-3</v>
      </c>
      <c r="AQ77" s="7">
        <f t="shared" si="54"/>
        <v>7.4323571827255878E-3</v>
      </c>
      <c r="AS77" s="7">
        <f t="shared" si="66"/>
        <v>6.0756227810163498E-3</v>
      </c>
      <c r="AT77" s="7">
        <f t="shared" si="67"/>
        <v>1.3567344017092389E-3</v>
      </c>
      <c r="AU77" s="7">
        <f t="shared" si="68"/>
        <v>7.4323571827255887E-3</v>
      </c>
      <c r="AV77" s="7">
        <f t="shared" si="69"/>
        <v>5.6207329330827975E-4</v>
      </c>
      <c r="AW77" s="7">
        <f t="shared" si="70"/>
        <v>7.9944304760338689E-3</v>
      </c>
      <c r="AX77" s="7">
        <f t="shared" si="71"/>
        <v>-1.0237205250432703E-6</v>
      </c>
      <c r="AY77" s="7">
        <f t="shared" si="72"/>
        <v>7.9934067555088254E-3</v>
      </c>
      <c r="AZ77" s="7">
        <f t="shared" si="73"/>
        <v>-1.3384090321327813E-4</v>
      </c>
      <c r="BA77" s="7">
        <f t="shared" si="74"/>
        <v>7.8595658522955473E-3</v>
      </c>
      <c r="BB77" s="7">
        <f t="shared" si="75"/>
        <v>7.4323571827255878E-3</v>
      </c>
      <c r="BD77">
        <f t="shared" si="76"/>
        <v>1</v>
      </c>
      <c r="BE77">
        <f t="shared" si="34"/>
        <v>1</v>
      </c>
      <c r="BF77" s="7" cm="1">
        <f t="array" ref="BF77">IF(ISNA($BA77),NA(),IF($BE77=0,"***",PRODUCT(1+AS75:AS77)-1))</f>
        <v>1.9114061529924786E-2</v>
      </c>
      <c r="BG77" s="7" cm="1">
        <f t="array" ref="BG77">IF(ISNA($BA77),NA(),IF($BE77=0,"***",PRODUCT(1+AT75:AT77)-1))</f>
        <v>4.1537125138055853E-3</v>
      </c>
      <c r="BH77" s="7" cm="1">
        <f t="array" ref="BH77">IF(ISNA($BA77),NA(),IF($BE77=0,"***",PRODUCT(1+AU75:AU77)-1))</f>
        <v>2.3320499311438203E-2</v>
      </c>
      <c r="BI77" s="7" cm="1">
        <f t="array" ref="BI77">IF(ISNA($BA77),NA(),IF($BE77=0,"***",PRODUCT(1+AV75:AV77)-1))</f>
        <v>1.6727442333954734E-3</v>
      </c>
      <c r="BJ77" s="7" cm="1">
        <f t="array" ref="BJ77">IF(ISNA($BA77),NA(),IF($BE77=0,"***",PRODUCT(1+AW75:AW77)-1))</f>
        <v>2.5019181555504533E-2</v>
      </c>
      <c r="BK77" s="7" cm="1">
        <f t="array" ref="BK77">IF(ISNA($BA77),NA(),IF($BE77=0,"***",PRODUCT(1+AX75:AX77)-1))</f>
        <v>-3.1963111346566819E-6</v>
      </c>
      <c r="BL77" s="7" cm="1">
        <f t="array" ref="BL77">IF(ISNA($BA77),NA(),IF($BE77=0,"***",PRODUCT(1+AY75:AY77)-1))</f>
        <v>2.5015932170402211E-2</v>
      </c>
      <c r="BM77" s="7" cm="1">
        <f t="array" ref="BM77">IF(ISNA($BA77),NA(),IF($BE77=0,"***",PRODUCT(1+AZ75:AZ77)-1))</f>
        <v>6.9735467834508569E-4</v>
      </c>
      <c r="BN77" s="7" cm="1">
        <f t="array" ref="BN77">IF(ISNA($BA77),NA(),IF($BE77=0,"***",PRODUCT(1+BA75:BA77)-1))</f>
        <v>2.5724738640177325E-2</v>
      </c>
      <c r="BO77" s="7">
        <f t="shared" si="35"/>
        <v>1.145179143002828E-5</v>
      </c>
      <c r="BP77" s="7">
        <f t="shared" si="36"/>
        <v>2.3141623969230033E-2</v>
      </c>
    </row>
    <row r="78" spans="1:68" x14ac:dyDescent="0.25">
      <c r="A78" t="str">
        <f t="shared" si="77"/>
        <v>20170831</v>
      </c>
      <c r="B78">
        <f t="shared" si="78"/>
        <v>42978</v>
      </c>
      <c r="C78">
        <v>2017</v>
      </c>
      <c r="D78">
        <v>8</v>
      </c>
      <c r="F78" s="20">
        <f>IFERROR(GETPIVOTDATA("[Measures].[Sum of CashInterest]",'Results PT'!$B$8,"[Table2].[ReturnDate]","[Table2].[ReturnDate].&amp;["&amp;$A78&amp;"]"),NA())</f>
        <v>21325312.020000003</v>
      </c>
      <c r="G78" s="20">
        <f>IFERROR(GETPIVOTDATA("[Measures].[Sum of AccrInterest]",'Results PT'!$B$8,"[Table2].[ReturnDate]","[Table2].[ReturnDate].&amp;["&amp;$A78&amp;"]"),NA())</f>
        <v>1139989.0899999999</v>
      </c>
      <c r="H78" s="20">
        <f>IFERROR(GETPIVOTDATA("[Measures].[Sum of OtherIncome]",'Results PT'!$B$8,"[Table2].[ReturnDate]","[Table2].[ReturnDate].&amp;["&amp;$A78&amp;"]"),NA())</f>
        <v>1966522.38</v>
      </c>
      <c r="I78" s="20">
        <f>IFERROR(GETPIVOTDATA("[Measures].[Sum of Expenses]",'Results PT'!$B$8,"[Table2].[ReturnDate]","[Table2].[ReturnDate].&amp;["&amp;$A78&amp;"]"),NA())</f>
        <v>-2260.42</v>
      </c>
      <c r="J78" s="20">
        <f>IFERROR(GETPIVOTDATA("[Measures].[Sum of PrincipalFunded]",'Results PT'!$B$8,"[Table2].[ReturnDate]","[Table2].[ReturnDate].&amp;["&amp;$A78&amp;"]"),NA())</f>
        <v>-372066392.84000003</v>
      </c>
      <c r="K78" s="20">
        <f>IFERROR(GETPIVOTDATA("[Measures].[Sum of PrincipalRepaid]",'Results PT'!$B$8,"[Table2].[ReturnDate]","[Table2].[ReturnDate].&amp;["&amp;$A78&amp;"]"),NA())</f>
        <v>316384920.36000001</v>
      </c>
      <c r="L78" s="20"/>
      <c r="M78" s="20">
        <f>IFERROR(GETPIVOTDATA("[Measures].[Sum of StartValue]",'Results PT'!$B$8,"[Table2].[ReturnDate]","[Table2].[ReturnDate].&amp;["&amp;$A78&amp;"]"),NA())</f>
        <v>2357210615.8200002</v>
      </c>
      <c r="N78" s="20">
        <f>IFERROR(GETPIVOTDATA("[Measures].[Sum of EndValue]",'Results PT'!$B$8,"[Table2].[ReturnDate]","[Table2].[ReturnDate].&amp;["&amp;$A78&amp;"]"),NA())</f>
        <v>2397864084.2400007</v>
      </c>
      <c r="O78" s="20">
        <f>IFERROR(GETPIVOTDATA("[Measures].[Sum of StartPrincipal]",'Results PT'!$B$8,"[Table2].[ReturnDate]","[Table2].[ReturnDate].&amp;["&amp;$A78&amp;"]"),NA())</f>
        <v>2349095863.3400002</v>
      </c>
      <c r="P78" s="20">
        <f>IFERROR(GETPIVOTDATA("[Measures].[Sum of EndPrincipal]",'Results PT'!$B$8,"[Table2].[ReturnDate]","[Table2].[ReturnDate].&amp;["&amp;$A78&amp;"]"),NA())</f>
        <v>2399632374.5</v>
      </c>
      <c r="Q78" s="20">
        <f>IFERROR(GETPIVOTDATA("[Measures].[Sum of StartNAV]",'Results PT'!$B$8,"[Table2].[ReturnDate]","[Table2].[ReturnDate].&amp;["&amp;$A78&amp;"]"),NA())</f>
        <v>2178868093.6799998</v>
      </c>
      <c r="R78" s="20">
        <f>IFERROR(GETPIVOTDATA("[Measures].[Sum of EndNAV]",'Results PT'!$B$8,"[Table2].[ReturnDate]","[Table2].[ReturnDate].&amp;["&amp;$A78&amp;"]"),NA())</f>
        <v>2225806512.5100002</v>
      </c>
      <c r="S78" s="20"/>
      <c r="T78" s="1">
        <f t="shared" si="55"/>
        <v>0</v>
      </c>
      <c r="U78" s="1">
        <f t="shared" si="56"/>
        <v>0</v>
      </c>
      <c r="V78">
        <f t="shared" si="57"/>
        <v>4</v>
      </c>
      <c r="W78" s="20">
        <f t="shared" si="47"/>
        <v>-32391898.5</v>
      </c>
      <c r="X78" s="20">
        <f t="shared" si="58"/>
        <v>14546520.330000401</v>
      </c>
      <c r="Y78" s="20">
        <f t="shared" si="48"/>
        <v>2195064042.9299998</v>
      </c>
      <c r="Z78" s="3">
        <f t="shared" si="59"/>
        <v>6.6269229714972311E-3</v>
      </c>
      <c r="AA78" s="20"/>
      <c r="AC78" s="20">
        <f>IFERROR(GETPIVOTDATA("[Measures].[Distinct Count of LoanID]",'Count PT'!$B$3,"[Table2].[ReturnDate]","[Table2].[ReturnDate].&amp;["&amp;$A78&amp;"]"),NA())</f>
        <v>103</v>
      </c>
      <c r="AD78" s="20">
        <f>GETPIVOTDATA("[Measures].[Distinct Count of ManagerCode 2]",'Count PT'!$B$3,"[Table2].[ReturnDate]","[Table2].[ReturnDate].&amp;["&amp;$A78&amp;"]")</f>
        <v>7</v>
      </c>
      <c r="AE78" s="20" t="b">
        <f t="shared" si="60"/>
        <v>1</v>
      </c>
      <c r="AF78" s="20" t="b">
        <f t="shared" si="61"/>
        <v>1</v>
      </c>
      <c r="AG78" s="20" t="b">
        <f t="shared" si="62"/>
        <v>1</v>
      </c>
      <c r="AI78" s="7">
        <f t="shared" si="49"/>
        <v>9.7151206538533159E-3</v>
      </c>
      <c r="AJ78" s="7">
        <f t="shared" si="50"/>
        <v>5.1934206369593102E-4</v>
      </c>
      <c r="AK78" s="7">
        <f t="shared" si="51"/>
        <v>8.958838291456227E-4</v>
      </c>
      <c r="AL78" s="7">
        <f t="shared" si="63"/>
        <v>1.1130346546694869E-2</v>
      </c>
      <c r="AM78" s="7">
        <f t="shared" si="52"/>
        <v>-1.0297740547846441E-6</v>
      </c>
      <c r="AN78" s="7">
        <f t="shared" si="64"/>
        <v>1.1129316772640084E-2</v>
      </c>
      <c r="AO78" s="7">
        <f t="shared" si="65"/>
        <v>-4.5023938011428529E-3</v>
      </c>
      <c r="AP78" s="7">
        <f t="shared" si="53"/>
        <v>6.6269229714972311E-3</v>
      </c>
      <c r="AQ78" s="7">
        <f t="shared" si="54"/>
        <v>1.0234462717549247E-2</v>
      </c>
      <c r="AS78" s="7">
        <f t="shared" si="66"/>
        <v>9.7151206538533159E-3</v>
      </c>
      <c r="AT78" s="7">
        <f t="shared" si="67"/>
        <v>5.1934206369593102E-4</v>
      </c>
      <c r="AU78" s="7">
        <f t="shared" si="68"/>
        <v>1.0234462717549247E-2</v>
      </c>
      <c r="AV78" s="7">
        <f t="shared" si="69"/>
        <v>8.958838291456227E-4</v>
      </c>
      <c r="AW78" s="7">
        <f t="shared" si="70"/>
        <v>1.1130346546694869E-2</v>
      </c>
      <c r="AX78" s="7">
        <f t="shared" si="71"/>
        <v>-1.0297740547846441E-6</v>
      </c>
      <c r="AY78" s="7">
        <f t="shared" si="72"/>
        <v>1.1129316772640084E-2</v>
      </c>
      <c r="AZ78" s="7">
        <f t="shared" si="73"/>
        <v>-4.5023938011428529E-3</v>
      </c>
      <c r="BA78" s="7">
        <f t="shared" si="74"/>
        <v>6.6269229714972311E-3</v>
      </c>
      <c r="BB78" s="7">
        <f t="shared" si="75"/>
        <v>1.0234462717549247E-2</v>
      </c>
      <c r="BD78">
        <f t="shared" si="76"/>
        <v>1</v>
      </c>
      <c r="BE78">
        <f t="shared" ref="BE78:BE94" si="79">IF(SUM(BD76:BD78)=3,1,0)</f>
        <v>1</v>
      </c>
      <c r="BF78" s="7" cm="1">
        <f t="array" ref="BF78">IF(ISNA($BA78),NA(),IF($BE78=0,"***",PRODUCT(1+AS76:AS78)-1))</f>
        <v>2.262400319316038E-2</v>
      </c>
      <c r="BG78" s="7" cm="1">
        <f t="array" ref="BG78">IF(ISNA($BA78),NA(),IF($BE78=0,"***",PRODUCT(1+AT76:AT78)-1))</f>
        <v>3.2527646859703552E-3</v>
      </c>
      <c r="BH78" s="7" cm="1">
        <f t="array" ref="BH78">IF(ISNA($BA78),NA(),IF($BE78=0,"***",PRODUCT(1+AU76:AU78)-1))</f>
        <v>2.5927518975449981E-2</v>
      </c>
      <c r="BI78" s="7" cm="1">
        <f t="array" ref="BI78">IF(ISNA($BA78),NA(),IF($BE78=0,"***",PRODUCT(1+AV76:AV78)-1))</f>
        <v>1.9160885419677864E-3</v>
      </c>
      <c r="BJ78" s="7" cm="1">
        <f t="array" ref="BJ78">IF(ISNA($BA78),NA(),IF($BE78=0,"***",PRODUCT(1+AW76:AW78)-1))</f>
        <v>2.7875960720075144E-2</v>
      </c>
      <c r="BK78" s="7" cm="1">
        <f t="array" ref="BK78">IF(ISNA($BA78),NA(),IF($BE78=0,"***",PRODUCT(1+AX76:AX78)-1))</f>
        <v>-3.1482484110778586E-6</v>
      </c>
      <c r="BL78" s="7" cm="1">
        <f t="array" ref="BL78">IF(ISNA($BA78),NA(),IF($BE78=0,"***",PRODUCT(1+AY76:AY78)-1))</f>
        <v>2.7872754191208271E-2</v>
      </c>
      <c r="BM78" s="7" cm="1">
        <f t="array" ref="BM78">IF(ISNA($BA78),NA(),IF($BE78=0,"***",PRODUCT(1+AZ76:AZ78)-1))</f>
        <v>-4.3516008714244991E-3</v>
      </c>
      <c r="BN78" s="7" cm="1">
        <f t="array" ref="BN78">IF(ISNA($BA78),NA(),IF($BE78=0,"***",PRODUCT(1+BA76:BA78)-1))</f>
        <v>2.3449434512909484E-2</v>
      </c>
      <c r="BO78" s="7">
        <f t="shared" ref="BO78:BO106" si="80">BN78-BM78-BL78</f>
        <v>-7.1718806874287999E-5</v>
      </c>
      <c r="BP78" s="7">
        <f t="shared" ref="BP78:BP109" si="81">SUM(BB76:BB78)</f>
        <v>2.5708765468852875E-2</v>
      </c>
    </row>
    <row r="79" spans="1:68" x14ac:dyDescent="0.25">
      <c r="A79" t="str">
        <f t="shared" si="77"/>
        <v>20170930</v>
      </c>
      <c r="B79">
        <f t="shared" si="78"/>
        <v>43008</v>
      </c>
      <c r="C79">
        <v>2017</v>
      </c>
      <c r="D79">
        <v>9</v>
      </c>
      <c r="F79" s="20">
        <f>IFERROR(GETPIVOTDATA("[Measures].[Sum of CashInterest]",'Results PT'!$B$8,"[Table2].[ReturnDate]","[Table2].[ReturnDate].&amp;["&amp;$A79&amp;"]"),NA())</f>
        <v>14635642.939999999</v>
      </c>
      <c r="G79" s="20">
        <f>IFERROR(GETPIVOTDATA("[Measures].[Sum of AccrInterest]",'Results PT'!$B$8,"[Table2].[ReturnDate]","[Table2].[ReturnDate].&amp;["&amp;$A79&amp;"]"),NA())</f>
        <v>1544685.2600000002</v>
      </c>
      <c r="H79" s="20">
        <f>IFERROR(GETPIVOTDATA("[Measures].[Sum of OtherIncome]",'Results PT'!$B$8,"[Table2].[ReturnDate]","[Table2].[ReturnDate].&amp;["&amp;$A79&amp;"]"),NA())</f>
        <v>2863952.6500000004</v>
      </c>
      <c r="I79" s="20">
        <f>IFERROR(GETPIVOTDATA("[Measures].[Sum of Expenses]",'Results PT'!$B$8,"[Table2].[ReturnDate]","[Table2].[ReturnDate].&amp;["&amp;$A79&amp;"]"),NA())</f>
        <v>-2260.42</v>
      </c>
      <c r="J79" s="20">
        <f>IFERROR(GETPIVOTDATA("[Measures].[Sum of PrincipalFunded]",'Results PT'!$B$8,"[Table2].[ReturnDate]","[Table2].[ReturnDate].&amp;["&amp;$A79&amp;"]"),NA())</f>
        <v>-232159433.21000001</v>
      </c>
      <c r="K79" s="20">
        <f>IFERROR(GETPIVOTDATA("[Measures].[Sum of PrincipalRepaid]",'Results PT'!$B$8,"[Table2].[ReturnDate]","[Table2].[ReturnDate].&amp;["&amp;$A79&amp;"]"),NA())</f>
        <v>122209422.09000002</v>
      </c>
      <c r="L79" s="20"/>
      <c r="M79" s="20">
        <f>IFERROR(GETPIVOTDATA("[Measures].[Sum of StartValue]",'Results PT'!$B$8,"[Table2].[ReturnDate]","[Table2].[ReturnDate].&amp;["&amp;$A79&amp;"]"),NA())</f>
        <v>2397864084.2400007</v>
      </c>
      <c r="N79" s="20">
        <f>IFERROR(GETPIVOTDATA("[Measures].[Sum of EndValue]",'Results PT'!$B$8,"[Table2].[ReturnDate]","[Table2].[ReturnDate].&amp;["&amp;$A79&amp;"]"),NA())</f>
        <v>2590789085.3199992</v>
      </c>
      <c r="O79" s="20">
        <f>IFERROR(GETPIVOTDATA("[Measures].[Sum of StartPrincipal]",'Results PT'!$B$8,"[Table2].[ReturnDate]","[Table2].[ReturnDate].&amp;["&amp;$A79&amp;"]"),NA())</f>
        <v>2399632374.5</v>
      </c>
      <c r="P79" s="20">
        <f>IFERROR(GETPIVOTDATA("[Measures].[Sum of EndPrincipal]",'Results PT'!$B$8,"[Table2].[ReturnDate]","[Table2].[ReturnDate].&amp;["&amp;$A79&amp;"]"),NA())</f>
        <v>2595143185.2199993</v>
      </c>
      <c r="Q79" s="20">
        <f>IFERROR(GETPIVOTDATA("[Measures].[Sum of StartNAV]",'Results PT'!$B$8,"[Table2].[ReturnDate]","[Table2].[ReturnDate].&amp;["&amp;$A79&amp;"]"),NA())</f>
        <v>2225806512.5100002</v>
      </c>
      <c r="R79" s="20">
        <f>IFERROR(GETPIVOTDATA("[Measures].[Sum of EndNAV]",'Results PT'!$B$8,"[Table2].[ReturnDate]","[Table2].[ReturnDate].&amp;["&amp;$A79&amp;"]"),NA())</f>
        <v>2334715399.2299995</v>
      </c>
      <c r="S79" s="20"/>
      <c r="T79" s="1">
        <f t="shared" si="55"/>
        <v>0</v>
      </c>
      <c r="U79" s="1">
        <f t="shared" si="56"/>
        <v>0</v>
      </c>
      <c r="V79">
        <f t="shared" si="57"/>
        <v>4</v>
      </c>
      <c r="W79" s="20">
        <f t="shared" si="47"/>
        <v>-92452675.950000003</v>
      </c>
      <c r="X79" s="20">
        <f t="shared" si="58"/>
        <v>16456210.769999504</v>
      </c>
      <c r="Y79" s="20">
        <f t="shared" si="48"/>
        <v>2272032850.4850001</v>
      </c>
      <c r="Z79" s="3">
        <f t="shared" si="59"/>
        <v>7.2429457903686011E-3</v>
      </c>
      <c r="AA79" s="20"/>
      <c r="AC79" s="20">
        <f>IFERROR(GETPIVOTDATA("[Measures].[Distinct Count of LoanID]",'Count PT'!$B$3,"[Table2].[ReturnDate]","[Table2].[ReturnDate].&amp;["&amp;$A79&amp;"]"),NA())</f>
        <v>102</v>
      </c>
      <c r="AD79" s="20">
        <f>GETPIVOTDATA("[Measures].[Distinct Count of ManagerCode 2]",'Count PT'!$B$3,"[Table2].[ReturnDate]","[Table2].[ReturnDate].&amp;["&amp;$A79&amp;"]")</f>
        <v>7</v>
      </c>
      <c r="AE79" s="20" t="b">
        <f t="shared" si="60"/>
        <v>1</v>
      </c>
      <c r="AF79" s="20" t="b">
        <f t="shared" si="61"/>
        <v>1</v>
      </c>
      <c r="AG79" s="20" t="b">
        <f t="shared" si="62"/>
        <v>1</v>
      </c>
      <c r="AI79" s="7">
        <f t="shared" si="49"/>
        <v>6.4416511129563106E-3</v>
      </c>
      <c r="AJ79" s="7">
        <f t="shared" si="50"/>
        <v>6.7986924558342701E-4</v>
      </c>
      <c r="AK79" s="7">
        <f t="shared" si="51"/>
        <v>1.2605243138930169E-3</v>
      </c>
      <c r="AL79" s="7">
        <f t="shared" si="63"/>
        <v>8.3820446724327553E-3</v>
      </c>
      <c r="AM79" s="7">
        <f t="shared" si="52"/>
        <v>-9.9488878407611011E-7</v>
      </c>
      <c r="AN79" s="7">
        <f t="shared" si="64"/>
        <v>8.3810497836486787E-3</v>
      </c>
      <c r="AO79" s="7">
        <f t="shared" si="65"/>
        <v>-1.1381039932800777E-3</v>
      </c>
      <c r="AP79" s="7">
        <f t="shared" si="53"/>
        <v>7.2429457903686011E-3</v>
      </c>
      <c r="AQ79" s="7">
        <f t="shared" si="54"/>
        <v>7.1215203585397371E-3</v>
      </c>
      <c r="AS79" s="7">
        <f t="shared" si="66"/>
        <v>6.4416511129563106E-3</v>
      </c>
      <c r="AT79" s="7">
        <f t="shared" si="67"/>
        <v>6.7986924558342701E-4</v>
      </c>
      <c r="AU79" s="7">
        <f t="shared" si="68"/>
        <v>7.1215203585397379E-3</v>
      </c>
      <c r="AV79" s="7">
        <f t="shared" si="69"/>
        <v>1.2605243138930169E-3</v>
      </c>
      <c r="AW79" s="7">
        <f t="shared" si="70"/>
        <v>8.3820446724327553E-3</v>
      </c>
      <c r="AX79" s="7">
        <f t="shared" si="71"/>
        <v>-9.9488878407611011E-7</v>
      </c>
      <c r="AY79" s="7">
        <f t="shared" si="72"/>
        <v>8.3810497836486787E-3</v>
      </c>
      <c r="AZ79" s="7">
        <f t="shared" si="73"/>
        <v>-1.1381039932800777E-3</v>
      </c>
      <c r="BA79" s="7">
        <f t="shared" si="74"/>
        <v>7.2429457903686011E-3</v>
      </c>
      <c r="BB79" s="7">
        <f t="shared" si="75"/>
        <v>7.1215203585397371E-3</v>
      </c>
      <c r="BD79">
        <f t="shared" si="76"/>
        <v>1</v>
      </c>
      <c r="BE79">
        <f t="shared" si="79"/>
        <v>1</v>
      </c>
      <c r="BF79" s="7" cm="1">
        <f t="array" ref="BF79">IF(ISNA($BA79),NA(),IF($BE79=0,"***",PRODUCT(1+AS77:AS79)-1))</f>
        <v>2.2393518637299881E-2</v>
      </c>
      <c r="BG79" s="7" cm="1">
        <f t="array" ref="BG79">IF(ISNA($BA79),NA(),IF($BE79=0,"***",PRODUCT(1+AT77:AT79)-1))</f>
        <v>2.5579262859658503E-3</v>
      </c>
      <c r="BH79" s="7" cm="1">
        <f t="array" ref="BH79">IF(ISNA($BA79),NA(),IF($BE79=0,"***",PRODUCT(1+AU77:AU79)-1))</f>
        <v>2.4990762765762176E-2</v>
      </c>
      <c r="BI79" s="7" cm="1">
        <f t="array" ref="BI79">IF(ISNA($BA79),NA(),IF($BE79=0,"***",PRODUCT(1+AV77:AV79)-1))</f>
        <v>2.7208234138624832E-3</v>
      </c>
      <c r="BJ79" s="7" cm="1">
        <f t="array" ref="BJ79">IF(ISNA($BA79),NA(),IF($BE79=0,"***",PRODUCT(1+AW77:AW79)-1))</f>
        <v>2.7756853053044761E-2</v>
      </c>
      <c r="BK79" s="7" cm="1">
        <f t="array" ref="BK79">IF(ISNA($BA79),NA(),IF($BE79=0,"***",PRODUCT(1+AX77:AX79)-1))</f>
        <v>-3.0483802666569915E-6</v>
      </c>
      <c r="BL79" s="7" cm="1">
        <f t="array" ref="BL79">IF(ISNA($BA79),NA(),IF($BE79=0,"***",PRODUCT(1+AY77:AY79)-1))</f>
        <v>2.7753748553436708E-2</v>
      </c>
      <c r="BM79" s="7" cm="1">
        <f t="array" ref="BM79">IF(ISNA($BA79),NA(),IF($BE79=0,"***",PRODUCT(1+AZ77:AZ79)-1))</f>
        <v>-5.7684602617787961E-3</v>
      </c>
      <c r="BN79" s="7" cm="1">
        <f t="array" ref="BN79">IF(ISNA($BA79),NA(),IF($BE79=0,"***",PRODUCT(1+BA77:BA79)-1))</f>
        <v>2.1886821451827743E-2</v>
      </c>
      <c r="BO79" s="7">
        <f t="shared" si="80"/>
        <v>-9.8466839830169128E-5</v>
      </c>
      <c r="BP79" s="7">
        <f t="shared" si="81"/>
        <v>2.4788340258814573E-2</v>
      </c>
    </row>
    <row r="80" spans="1:68" x14ac:dyDescent="0.25">
      <c r="A80" t="str">
        <f t="shared" si="77"/>
        <v>20171031</v>
      </c>
      <c r="B80">
        <f t="shared" si="78"/>
        <v>43039</v>
      </c>
      <c r="C80">
        <v>2017</v>
      </c>
      <c r="D80">
        <v>10</v>
      </c>
      <c r="F80" s="20">
        <f>IFERROR(GETPIVOTDATA("[Measures].[Sum of CashInterest]",'Results PT'!$B$8,"[Table2].[ReturnDate]","[Table2].[ReturnDate].&amp;["&amp;$A80&amp;"]"),NA())</f>
        <v>14806363.09</v>
      </c>
      <c r="G80" s="20">
        <f>IFERROR(GETPIVOTDATA("[Measures].[Sum of AccrInterest]",'Results PT'!$B$8,"[Table2].[ReturnDate]","[Table2].[ReturnDate].&amp;["&amp;$A80&amp;"]"),NA())</f>
        <v>1556730.23</v>
      </c>
      <c r="H80" s="20">
        <f>IFERROR(GETPIVOTDATA("[Measures].[Sum of OtherIncome]",'Results PT'!$B$8,"[Table2].[ReturnDate]","[Table2].[ReturnDate].&amp;["&amp;$A80&amp;"]"),NA())</f>
        <v>1770195.8599999999</v>
      </c>
      <c r="I80" s="20">
        <f>IFERROR(GETPIVOTDATA("[Measures].[Sum of Expenses]",'Results PT'!$B$8,"[Table2].[ReturnDate]","[Table2].[ReturnDate].&amp;["&amp;$A80&amp;"]"),NA())</f>
        <v>-11323.2</v>
      </c>
      <c r="J80" s="20">
        <f>IFERROR(GETPIVOTDATA("[Measures].[Sum of PrincipalFunded]",'Results PT'!$B$8,"[Table2].[ReturnDate]","[Table2].[ReturnDate].&amp;["&amp;$A80&amp;"]"),NA())</f>
        <v>-163134925.44999999</v>
      </c>
      <c r="K80" s="20">
        <f>IFERROR(GETPIVOTDATA("[Measures].[Sum of PrincipalRepaid]",'Results PT'!$B$8,"[Table2].[ReturnDate]","[Table2].[ReturnDate].&amp;["&amp;$A80&amp;"]"),NA())</f>
        <v>101325352.64</v>
      </c>
      <c r="L80" s="20"/>
      <c r="M80" s="20">
        <f>IFERROR(GETPIVOTDATA("[Measures].[Sum of StartValue]",'Results PT'!$B$8,"[Table2].[ReturnDate]","[Table2].[ReturnDate].&amp;["&amp;$A80&amp;"]"),NA())</f>
        <v>2569576974.8699994</v>
      </c>
      <c r="N80" s="20">
        <f>IFERROR(GETPIVOTDATA("[Measures].[Sum of EndValue]",'Results PT'!$B$8,"[Table2].[ReturnDate]","[Table2].[ReturnDate].&amp;["&amp;$A80&amp;"]"),NA())</f>
        <v>2732699977.9499998</v>
      </c>
      <c r="O80" s="20">
        <f>IFERROR(GETPIVOTDATA("[Measures].[Sum of StartPrincipal]",'Results PT'!$B$8,"[Table2].[ReturnDate]","[Table2].[ReturnDate].&amp;["&amp;$A80&amp;"]"),NA())</f>
        <v>2575143185.2199993</v>
      </c>
      <c r="P80" s="20">
        <f>IFERROR(GETPIVOTDATA("[Measures].[Sum of EndPrincipal]",'Results PT'!$B$8,"[Table2].[ReturnDate]","[Table2].[ReturnDate].&amp;["&amp;$A80&amp;"]"),NA())</f>
        <v>2738157960.8599997</v>
      </c>
      <c r="Q80" s="20">
        <f>IFERROR(GETPIVOTDATA("[Measures].[Sum of StartNAV]",'Results PT'!$B$8,"[Table2].[ReturnDate]","[Table2].[ReturnDate].&amp;["&amp;$A80&amp;"]"),NA())</f>
        <v>2313503288.7799993</v>
      </c>
      <c r="R80" s="20">
        <f>IFERROR(GETPIVOTDATA("[Measures].[Sum of EndNAV]",'Results PT'!$B$8,"[Table2].[ReturnDate]","[Table2].[ReturnDate].&amp;["&amp;$A80&amp;"]"),NA())</f>
        <v>2377026291.8600001</v>
      </c>
      <c r="S80" s="20"/>
      <c r="T80" s="1">
        <f t="shared" si="55"/>
        <v>-21212110.449999809</v>
      </c>
      <c r="U80" s="1">
        <f t="shared" si="56"/>
        <v>-20000000</v>
      </c>
      <c r="V80">
        <f t="shared" si="57"/>
        <v>4</v>
      </c>
      <c r="W80" s="20">
        <f t="shared" si="47"/>
        <v>-45244337.059999987</v>
      </c>
      <c r="X80" s="20">
        <f t="shared" si="58"/>
        <v>18278666.020000935</v>
      </c>
      <c r="Y80" s="20">
        <f t="shared" si="48"/>
        <v>2336125457.3099995</v>
      </c>
      <c r="Z80" s="3">
        <f t="shared" si="59"/>
        <v>7.8243511977513589E-3</v>
      </c>
      <c r="AA80" s="20"/>
      <c r="AC80" s="20">
        <f>IFERROR(GETPIVOTDATA("[Measures].[Distinct Count of LoanID]",'Count PT'!$B$3,"[Table2].[ReturnDate]","[Table2].[ReturnDate].&amp;["&amp;$A80&amp;"]"),NA())</f>
        <v>104</v>
      </c>
      <c r="AD80" s="20">
        <f>GETPIVOTDATA("[Measures].[Distinct Count of ManagerCode 2]",'Count PT'!$B$3,"[Table2].[ReturnDate]","[Table2].[ReturnDate].&amp;["&amp;$A80&amp;"]")</f>
        <v>7</v>
      </c>
      <c r="AE80" s="20" t="b">
        <f t="shared" si="60"/>
        <v>1</v>
      </c>
      <c r="AF80" s="20" t="b">
        <f t="shared" si="61"/>
        <v>1</v>
      </c>
      <c r="AG80" s="20" t="b">
        <f t="shared" si="62"/>
        <v>1</v>
      </c>
      <c r="AI80" s="7">
        <f t="shared" si="49"/>
        <v>6.3379999749881679E-3</v>
      </c>
      <c r="AJ80" s="7">
        <f t="shared" si="50"/>
        <v>6.6637270063078845E-4</v>
      </c>
      <c r="AK80" s="7">
        <f t="shared" si="51"/>
        <v>7.5774862795183271E-4</v>
      </c>
      <c r="AL80" s="7">
        <f t="shared" si="63"/>
        <v>7.7621213035707895E-3</v>
      </c>
      <c r="AM80" s="7">
        <f t="shared" si="52"/>
        <v>-4.8469999607976672E-6</v>
      </c>
      <c r="AN80" s="7">
        <f t="shared" si="64"/>
        <v>7.7572743036099919E-3</v>
      </c>
      <c r="AO80" s="7">
        <f t="shared" si="65"/>
        <v>6.7076894141366965E-5</v>
      </c>
      <c r="AP80" s="7">
        <f t="shared" si="53"/>
        <v>7.8243511977513589E-3</v>
      </c>
      <c r="AQ80" s="7">
        <f t="shared" si="54"/>
        <v>7.0043726756189566E-3</v>
      </c>
      <c r="AS80" s="7">
        <f t="shared" si="66"/>
        <v>6.3379999749881679E-3</v>
      </c>
      <c r="AT80" s="7">
        <f t="shared" si="67"/>
        <v>6.6637270063078845E-4</v>
      </c>
      <c r="AU80" s="7">
        <f t="shared" si="68"/>
        <v>7.0043726756189566E-3</v>
      </c>
      <c r="AV80" s="7">
        <f t="shared" si="69"/>
        <v>7.5774862795183271E-4</v>
      </c>
      <c r="AW80" s="7">
        <f t="shared" si="70"/>
        <v>7.7621213035707895E-3</v>
      </c>
      <c r="AX80" s="7">
        <f t="shared" si="71"/>
        <v>-4.8469999607976672E-6</v>
      </c>
      <c r="AY80" s="7">
        <f t="shared" si="72"/>
        <v>7.7572743036099919E-3</v>
      </c>
      <c r="AZ80" s="7">
        <f t="shared" si="73"/>
        <v>6.7076894141366965E-5</v>
      </c>
      <c r="BA80" s="7">
        <f t="shared" si="74"/>
        <v>7.8243511977513589E-3</v>
      </c>
      <c r="BB80" s="7">
        <f t="shared" si="75"/>
        <v>7.0043726756189566E-3</v>
      </c>
      <c r="BD80">
        <f t="shared" si="76"/>
        <v>1</v>
      </c>
      <c r="BE80">
        <f t="shared" si="79"/>
        <v>1</v>
      </c>
      <c r="BF80" s="7" cm="1">
        <f t="array" ref="BF80">IF(ISNA($BA80),NA(),IF($BE80=0,"***",PRODUCT(1+AS78:AS80)-1))</f>
        <v>2.26601514196485E-2</v>
      </c>
      <c r="BG80" s="7" cm="1">
        <f t="array" ref="BG80">IF(ISNA($BA80),NA(),IF($BE80=0,"***",PRODUCT(1+AT78:AT80)-1))</f>
        <v>1.866736451572093E-3</v>
      </c>
      <c r="BH80" s="7" cm="1">
        <f t="array" ref="BH80">IF(ISNA($BA80),NA(),IF($BE80=0,"***",PRODUCT(1+AU78:AU80)-1))</f>
        <v>2.4555318973170648E-2</v>
      </c>
      <c r="BI80" s="7" cm="1">
        <f t="array" ref="BI80">IF(ISNA($BA80),NA(),IF($BE80=0,"***",PRODUCT(1+AV78:AV80)-1))</f>
        <v>2.9169209253638861E-3</v>
      </c>
      <c r="BJ80" s="7" cm="1">
        <f t="array" ref="BJ80">IF(ISNA($BA80),NA(),IF($BE80=0,"***",PRODUCT(1+AW78:AW80)-1))</f>
        <v>2.7519989299826353E-2</v>
      </c>
      <c r="BK80" s="7" cm="1">
        <f t="array" ref="BK80">IF(ISNA($BA80),NA(),IF($BE80=0,"***",PRODUCT(1+AX78:AX80)-1))</f>
        <v>-6.8716519616707217E-6</v>
      </c>
      <c r="BL80" s="7" cm="1">
        <f t="array" ref="BL80">IF(ISNA($BA80),NA(),IF($BE80=0,"***",PRODUCT(1+AY78:AY80)-1))</f>
        <v>2.7512987045506643E-2</v>
      </c>
      <c r="BM80" s="7" cm="1">
        <f t="array" ref="BM80">IF(ISNA($BA80),NA(),IF($BE80=0,"***",PRODUCT(1+AZ78:AZ80)-1))</f>
        <v>-5.5686747112756452E-3</v>
      </c>
      <c r="BN80" s="7" cm="1">
        <f t="array" ref="BN80">IF(ISNA($BA80),NA(),IF($BE80=0,"***",PRODUCT(1+BA78:BA80)-1))</f>
        <v>2.1851116684397986E-2</v>
      </c>
      <c r="BO80" s="7">
        <f t="shared" si="80"/>
        <v>-9.3195649833011096E-5</v>
      </c>
      <c r="BP80" s="7">
        <f t="shared" si="81"/>
        <v>2.4360355751707939E-2</v>
      </c>
    </row>
    <row r="81" spans="1:68" x14ac:dyDescent="0.25">
      <c r="A81" t="str">
        <f t="shared" si="77"/>
        <v>20171130</v>
      </c>
      <c r="B81">
        <f t="shared" si="78"/>
        <v>43069</v>
      </c>
      <c r="C81">
        <v>2017</v>
      </c>
      <c r="D81">
        <v>11</v>
      </c>
      <c r="F81" s="20">
        <f>IFERROR(GETPIVOTDATA("[Measures].[Sum of CashInterest]",'Results PT'!$B$8,"[Table2].[ReturnDate]","[Table2].[ReturnDate].&amp;["&amp;$A81&amp;"]"),NA())</f>
        <v>16484661.869999997</v>
      </c>
      <c r="G81" s="20">
        <f>IFERROR(GETPIVOTDATA("[Measures].[Sum of AccrInterest]",'Results PT'!$B$8,"[Table2].[ReturnDate]","[Table2].[ReturnDate].&amp;["&amp;$A81&amp;"]"),NA())</f>
        <v>1259399.5999999996</v>
      </c>
      <c r="H81" s="20">
        <f>IFERROR(GETPIVOTDATA("[Measures].[Sum of OtherIncome]",'Results PT'!$B$8,"[Table2].[ReturnDate]","[Table2].[ReturnDate].&amp;["&amp;$A81&amp;"]"),NA())</f>
        <v>4748846.58</v>
      </c>
      <c r="I81" s="20">
        <f>IFERROR(GETPIVOTDATA("[Measures].[Sum of Expenses]",'Results PT'!$B$8,"[Table2].[ReturnDate]","[Table2].[ReturnDate].&amp;["&amp;$A81&amp;"]"),NA())</f>
        <v>-5796.94</v>
      </c>
      <c r="J81" s="20">
        <f>IFERROR(GETPIVOTDATA("[Measures].[Sum of PrincipalFunded]",'Results PT'!$B$8,"[Table2].[ReturnDate]","[Table2].[ReturnDate].&amp;["&amp;$A81&amp;"]"),NA())</f>
        <v>-250879150.34000003</v>
      </c>
      <c r="K81" s="20">
        <f>IFERROR(GETPIVOTDATA("[Measures].[Sum of PrincipalRepaid]",'Results PT'!$B$8,"[Table2].[ReturnDate]","[Table2].[ReturnDate].&amp;["&amp;$A81&amp;"]"),NA())</f>
        <v>108051989.94</v>
      </c>
      <c r="L81" s="20"/>
      <c r="M81" s="20">
        <f>IFERROR(GETPIVOTDATA("[Measures].[Sum of StartValue]",'Results PT'!$B$8,"[Table2].[ReturnDate]","[Table2].[ReturnDate].&amp;["&amp;$A81&amp;"]"),NA())</f>
        <v>2732588062.2899995</v>
      </c>
      <c r="N81" s="20">
        <f>IFERROR(GETPIVOTDATA("[Measures].[Sum of EndValue]",'Results PT'!$B$8,"[Table2].[ReturnDate]","[Table2].[ReturnDate].&amp;["&amp;$A81&amp;"]"),NA())</f>
        <v>2955621808.2600007</v>
      </c>
      <c r="O81" s="20">
        <f>IFERROR(GETPIVOTDATA("[Measures].[Sum of StartPrincipal]",'Results PT'!$B$8,"[Table2].[ReturnDate]","[Table2].[ReturnDate].&amp;["&amp;$A81&amp;"]"),NA())</f>
        <v>2738157960.8599997</v>
      </c>
      <c r="P81" s="20">
        <f>IFERROR(GETPIVOTDATA("[Measures].[Sum of EndPrincipal]",'Results PT'!$B$8,"[Table2].[ReturnDate]","[Table2].[ReturnDate].&amp;["&amp;$A81&amp;"]"),NA())</f>
        <v>2961725332.210001</v>
      </c>
      <c r="Q81" s="20">
        <f>IFERROR(GETPIVOTDATA("[Measures].[Sum of StartNAV]",'Results PT'!$B$8,"[Table2].[ReturnDate]","[Table2].[ReturnDate].&amp;["&amp;$A81&amp;"]"),NA())</f>
        <v>2376914376.1999998</v>
      </c>
      <c r="R81" s="20">
        <f>IFERROR(GETPIVOTDATA("[Measures].[Sum of EndNAV]",'Results PT'!$B$8,"[Table2].[ReturnDate]","[Table2].[ReturnDate].&amp;["&amp;$A81&amp;"]"),NA())</f>
        <v>2520463122.1700006</v>
      </c>
      <c r="S81" s="20"/>
      <c r="T81" s="1">
        <f t="shared" si="55"/>
        <v>-111915.66000032425</v>
      </c>
      <c r="U81" s="1">
        <f t="shared" si="56"/>
        <v>0</v>
      </c>
      <c r="V81">
        <f t="shared" si="57"/>
        <v>4</v>
      </c>
      <c r="W81" s="20">
        <f t="shared" si="47"/>
        <v>-121599448.89000005</v>
      </c>
      <c r="X81" s="20">
        <f t="shared" si="58"/>
        <v>21949297.080000877</v>
      </c>
      <c r="Y81" s="20">
        <f t="shared" si="48"/>
        <v>2437714100.645</v>
      </c>
      <c r="Z81" s="3">
        <f t="shared" si="59"/>
        <v>9.0040489465902773E-3</v>
      </c>
      <c r="AA81" s="20"/>
      <c r="AC81" s="20">
        <f>IFERROR(GETPIVOTDATA("[Measures].[Distinct Count of LoanID]",'Count PT'!$B$3,"[Table2].[ReturnDate]","[Table2].[ReturnDate].&amp;["&amp;$A81&amp;"]"),NA())</f>
        <v>110</v>
      </c>
      <c r="AD81" s="20">
        <f>GETPIVOTDATA("[Measures].[Distinct Count of ManagerCode 2]",'Count PT'!$B$3,"[Table2].[ReturnDate]","[Table2].[ReturnDate].&amp;["&amp;$A81&amp;"]")</f>
        <v>7</v>
      </c>
      <c r="AE81" s="20" t="b">
        <f t="shared" si="60"/>
        <v>1</v>
      </c>
      <c r="AF81" s="20" t="b">
        <f t="shared" si="61"/>
        <v>1</v>
      </c>
      <c r="AG81" s="20" t="b">
        <f t="shared" si="62"/>
        <v>1</v>
      </c>
      <c r="AI81" s="7">
        <f t="shared" si="49"/>
        <v>6.7623442247137537E-3</v>
      </c>
      <c r="AJ81" s="7">
        <f t="shared" si="50"/>
        <v>5.1663138005673937E-4</v>
      </c>
      <c r="AK81" s="7">
        <f t="shared" si="51"/>
        <v>1.9480736394573476E-3</v>
      </c>
      <c r="AL81" s="7">
        <f t="shared" si="63"/>
        <v>9.2270492442278404E-3</v>
      </c>
      <c r="AM81" s="7">
        <f t="shared" si="52"/>
        <v>-2.3780229184653669E-6</v>
      </c>
      <c r="AN81" s="7">
        <f t="shared" si="64"/>
        <v>9.2246712213093756E-3</v>
      </c>
      <c r="AO81" s="7">
        <f t="shared" si="65"/>
        <v>-2.2062227471909834E-4</v>
      </c>
      <c r="AP81" s="7">
        <f t="shared" si="53"/>
        <v>9.0040489465902773E-3</v>
      </c>
      <c r="AQ81" s="7">
        <f t="shared" si="54"/>
        <v>7.2789756047704933E-3</v>
      </c>
      <c r="AS81" s="7">
        <f t="shared" si="66"/>
        <v>6.7623442247137537E-3</v>
      </c>
      <c r="AT81" s="7">
        <f t="shared" si="67"/>
        <v>5.1663138005673937E-4</v>
      </c>
      <c r="AU81" s="7">
        <f t="shared" si="68"/>
        <v>7.2789756047704933E-3</v>
      </c>
      <c r="AV81" s="7">
        <f t="shared" si="69"/>
        <v>1.9480736394573476E-3</v>
      </c>
      <c r="AW81" s="7">
        <f t="shared" si="70"/>
        <v>9.2270492442278404E-3</v>
      </c>
      <c r="AX81" s="7">
        <f t="shared" si="71"/>
        <v>-2.3780229184653669E-6</v>
      </c>
      <c r="AY81" s="7">
        <f t="shared" si="72"/>
        <v>9.2246712213093756E-3</v>
      </c>
      <c r="AZ81" s="7">
        <f t="shared" si="73"/>
        <v>-2.2062227471909834E-4</v>
      </c>
      <c r="BA81" s="7">
        <f t="shared" si="74"/>
        <v>9.0040489465902773E-3</v>
      </c>
      <c r="BB81" s="7">
        <f t="shared" si="75"/>
        <v>7.2789756047704933E-3</v>
      </c>
      <c r="BD81">
        <f t="shared" si="76"/>
        <v>1</v>
      </c>
      <c r="BE81">
        <f t="shared" si="79"/>
        <v>1</v>
      </c>
      <c r="BF81" s="7" cm="1">
        <f t="array" ref="BF81">IF(ISNA($BA81),NA(),IF($BE81=0,"***",PRODUCT(1+AS79:AS81)-1))</f>
        <v>1.966951898445557E-2</v>
      </c>
      <c r="BG81" s="7" cm="1">
        <f t="array" ref="BG81">IF(ISNA($BA81),NA(),IF($BE81=0,"***",PRODUCT(1+AT79:AT81)-1))</f>
        <v>1.8640221174688332E-3</v>
      </c>
      <c r="BH81" s="7" cm="1">
        <f t="array" ref="BH81">IF(ISNA($BA81),NA(),IF($BE81=0,"***",PRODUCT(1+AU79:AU81)-1))</f>
        <v>2.1557935540607476E-2</v>
      </c>
      <c r="BI81" s="7" cm="1">
        <f t="array" ref="BI81">IF(ISNA($BA81),NA(),IF($BE81=0,"***",PRODUCT(1+AV79:AV81)-1))</f>
        <v>3.971235346909685E-3</v>
      </c>
      <c r="BJ81" s="7" cm="1">
        <f t="array" ref="BJ81">IF(ISNA($BA81),NA(),IF($BE81=0,"***",PRODUCT(1+AW79:AW81)-1))</f>
        <v>2.5585841016625643E-2</v>
      </c>
      <c r="BK81" s="7" cm="1">
        <f t="array" ref="BK81">IF(ISNA($BA81),NA(),IF($BE81=0,"***",PRODUCT(1+AX79:AX81)-1))</f>
        <v>-8.2198929489685213E-6</v>
      </c>
      <c r="BL81" s="7" cm="1">
        <f t="array" ref="BL81">IF(ISNA($BA81),NA(),IF($BE81=0,"***",PRODUCT(1+AY79:AY81)-1))</f>
        <v>2.5577479878176712E-2</v>
      </c>
      <c r="BM81" s="7" cm="1">
        <f t="array" ref="BM81">IF(ISNA($BA81),NA(),IF($BE81=0,"***",PRODUCT(1+AZ79:AZ81)-1))</f>
        <v>-1.2914894050616299E-3</v>
      </c>
      <c r="BN81" s="7" cm="1">
        <f t="array" ref="BN81">IF(ISNA($BA81),NA(),IF($BE81=0,"***",PRODUCT(1+BA79:BA81)-1))</f>
        <v>2.4264194237477721E-2</v>
      </c>
      <c r="BO81" s="7">
        <f t="shared" si="80"/>
        <v>-2.1796235637361328E-5</v>
      </c>
      <c r="BP81" s="7">
        <f t="shared" si="81"/>
        <v>2.1404868638929188E-2</v>
      </c>
    </row>
    <row r="82" spans="1:68" x14ac:dyDescent="0.25">
      <c r="A82" t="str">
        <f t="shared" si="77"/>
        <v>20171231</v>
      </c>
      <c r="B82">
        <f t="shared" si="78"/>
        <v>43100</v>
      </c>
      <c r="C82">
        <v>2017</v>
      </c>
      <c r="D82">
        <v>12</v>
      </c>
      <c r="F82" s="20">
        <f>IFERROR(GETPIVOTDATA("[Measures].[Sum of CashInterest]",'Results PT'!$B$8,"[Table2].[ReturnDate]","[Table2].[ReturnDate].&amp;["&amp;$A82&amp;"]"),NA())</f>
        <v>17352530.619999997</v>
      </c>
      <c r="G82" s="20">
        <f>IFERROR(GETPIVOTDATA("[Measures].[Sum of AccrInterest]",'Results PT'!$B$8,"[Table2].[ReturnDate]","[Table2].[ReturnDate].&amp;["&amp;$A82&amp;"]"),NA())</f>
        <v>1387189.25</v>
      </c>
      <c r="H82" s="20">
        <f>IFERROR(GETPIVOTDATA("[Measures].[Sum of OtherIncome]",'Results PT'!$B$8,"[Table2].[ReturnDate]","[Table2].[ReturnDate].&amp;["&amp;$A82&amp;"]"),NA())</f>
        <v>2634051.0300000003</v>
      </c>
      <c r="I82" s="20">
        <f>IFERROR(GETPIVOTDATA("[Measures].[Sum of Expenses]",'Results PT'!$B$8,"[Table2].[ReturnDate]","[Table2].[ReturnDate].&amp;["&amp;$A82&amp;"]"),NA())</f>
        <v>-5506.95</v>
      </c>
      <c r="J82" s="20">
        <f>IFERROR(GETPIVOTDATA("[Measures].[Sum of PrincipalFunded]",'Results PT'!$B$8,"[Table2].[ReturnDate]","[Table2].[ReturnDate].&amp;["&amp;$A82&amp;"]"),NA())</f>
        <v>-364689390.89999998</v>
      </c>
      <c r="K82" s="20">
        <f>IFERROR(GETPIVOTDATA("[Measures].[Sum of PrincipalRepaid]",'Results PT'!$B$8,"[Table2].[ReturnDate]","[Table2].[ReturnDate].&amp;["&amp;$A82&amp;"]"),NA())</f>
        <v>145191454.94</v>
      </c>
      <c r="L82" s="20"/>
      <c r="M82" s="20">
        <f>IFERROR(GETPIVOTDATA("[Measures].[Sum of StartValue]",'Results PT'!$B$8,"[Table2].[ReturnDate]","[Table2].[ReturnDate].&amp;["&amp;$A82&amp;"]"),NA())</f>
        <v>2955621808.2600007</v>
      </c>
      <c r="N82" s="20">
        <f>IFERROR(GETPIVOTDATA("[Measures].[Sum of EndValue]",'Results PT'!$B$8,"[Table2].[ReturnDate]","[Table2].[ReturnDate].&amp;["&amp;$A82&amp;"]"),NA())</f>
        <v>3315181408.749999</v>
      </c>
      <c r="O82" s="20">
        <f>IFERROR(GETPIVOTDATA("[Measures].[Sum of StartPrincipal]",'Results PT'!$B$8,"[Table2].[ReturnDate]","[Table2].[ReturnDate].&amp;["&amp;$A82&amp;"]"),NA())</f>
        <v>2961725332.210001</v>
      </c>
      <c r="P82" s="20">
        <f>IFERROR(GETPIVOTDATA("[Measures].[Sum of EndPrincipal]",'Results PT'!$B$8,"[Table2].[ReturnDate]","[Table2].[ReturnDate].&amp;["&amp;$A82&amp;"]"),NA())</f>
        <v>3324054459.3500004</v>
      </c>
      <c r="Q82" s="20">
        <f>IFERROR(GETPIVOTDATA("[Measures].[Sum of StartNAV]",'Results PT'!$B$8,"[Table2].[ReturnDate]","[Table2].[ReturnDate].&amp;["&amp;$A82&amp;"]"),NA())</f>
        <v>2520463122.1700006</v>
      </c>
      <c r="R82" s="20">
        <f>IFERROR(GETPIVOTDATA("[Measures].[Sum of EndNAV]",'Results PT'!$B$8,"[Table2].[ReturnDate]","[Table2].[ReturnDate].&amp;["&amp;$A82&amp;"]"),NA())</f>
        <v>2738573890.3199997</v>
      </c>
      <c r="S82" s="20"/>
      <c r="T82" s="1">
        <f t="shared" si="55"/>
        <v>0</v>
      </c>
      <c r="U82" s="1">
        <f t="shared" si="56"/>
        <v>0</v>
      </c>
      <c r="V82">
        <f t="shared" si="57"/>
        <v>4</v>
      </c>
      <c r="W82" s="20">
        <f t="shared" si="47"/>
        <v>-199516861.25999999</v>
      </c>
      <c r="X82" s="20">
        <f t="shared" si="58"/>
        <v>18593906.889998913</v>
      </c>
      <c r="Y82" s="20">
        <f t="shared" si="48"/>
        <v>2620221552.8000007</v>
      </c>
      <c r="Z82" s="3">
        <f t="shared" si="59"/>
        <v>7.0963109474957327E-3</v>
      </c>
      <c r="AA82" s="20"/>
      <c r="AC82" s="20">
        <f>IFERROR(GETPIVOTDATA("[Measures].[Distinct Count of LoanID]",'Count PT'!$B$3,"[Table2].[ReturnDate]","[Table2].[ReturnDate].&amp;["&amp;$A82&amp;"]"),NA())</f>
        <v>116</v>
      </c>
      <c r="AD82" s="20">
        <f>GETPIVOTDATA("[Measures].[Distinct Count of ManagerCode 2]",'Count PT'!$B$3,"[Table2].[ReturnDate]","[Table2].[ReturnDate].&amp;["&amp;$A82&amp;"]")</f>
        <v>7</v>
      </c>
      <c r="AE82" s="20" t="b">
        <f t="shared" si="60"/>
        <v>1</v>
      </c>
      <c r="AF82" s="20" t="b">
        <f t="shared" si="61"/>
        <v>1</v>
      </c>
      <c r="AG82" s="20" t="b">
        <f t="shared" si="62"/>
        <v>1</v>
      </c>
      <c r="AI82" s="7">
        <f t="shared" si="49"/>
        <v>6.6225432736620581E-3</v>
      </c>
      <c r="AJ82" s="7">
        <f t="shared" si="50"/>
        <v>5.2941677718726984E-4</v>
      </c>
      <c r="AK82" s="7">
        <f t="shared" si="51"/>
        <v>1.0052779800949355E-3</v>
      </c>
      <c r="AL82" s="7">
        <f t="shared" si="63"/>
        <v>8.1572380309442635E-3</v>
      </c>
      <c r="AM82" s="7">
        <f t="shared" si="52"/>
        <v>-2.1017115877530304E-6</v>
      </c>
      <c r="AN82" s="7">
        <f t="shared" si="64"/>
        <v>8.1551363193565103E-3</v>
      </c>
      <c r="AO82" s="7">
        <f t="shared" si="65"/>
        <v>-1.0588253718607776E-3</v>
      </c>
      <c r="AP82" s="7">
        <f t="shared" si="53"/>
        <v>7.0963109474957327E-3</v>
      </c>
      <c r="AQ82" s="7">
        <f t="shared" si="54"/>
        <v>7.151960050849328E-3</v>
      </c>
      <c r="AS82" s="7">
        <f t="shared" si="66"/>
        <v>6.6225432736620581E-3</v>
      </c>
      <c r="AT82" s="7">
        <f t="shared" si="67"/>
        <v>5.2941677718726984E-4</v>
      </c>
      <c r="AU82" s="7">
        <f t="shared" si="68"/>
        <v>7.151960050849328E-3</v>
      </c>
      <c r="AV82" s="7">
        <f t="shared" si="69"/>
        <v>1.0052779800949355E-3</v>
      </c>
      <c r="AW82" s="7">
        <f t="shared" si="70"/>
        <v>8.1572380309442635E-3</v>
      </c>
      <c r="AX82" s="7">
        <f t="shared" si="71"/>
        <v>-2.1017115877530304E-6</v>
      </c>
      <c r="AY82" s="7">
        <f t="shared" si="72"/>
        <v>8.1551363193565103E-3</v>
      </c>
      <c r="AZ82" s="7">
        <f t="shared" si="73"/>
        <v>-1.0588253718607776E-3</v>
      </c>
      <c r="BA82" s="7">
        <f t="shared" si="74"/>
        <v>7.0963109474957327E-3</v>
      </c>
      <c r="BB82" s="7">
        <f t="shared" si="75"/>
        <v>7.151960050849328E-3</v>
      </c>
      <c r="BD82">
        <f t="shared" si="76"/>
        <v>1</v>
      </c>
      <c r="BE82">
        <f t="shared" si="79"/>
        <v>1</v>
      </c>
      <c r="BF82" s="7" cm="1">
        <f t="array" ref="BF82">IF(ISNA($BA82),NA(),IF($BE82=0,"***",PRODUCT(1+AS80:AS82)-1))</f>
        <v>1.9852788647719777E-2</v>
      </c>
      <c r="BG82" s="7" cm="1">
        <f t="array" ref="BG82">IF(ISNA($BA82),NA(),IF($BE82=0,"***",PRODUCT(1+AT80:AT82)-1))</f>
        <v>1.7133916113922787E-3</v>
      </c>
      <c r="BH82" s="7" cm="1">
        <f t="array" ref="BH82">IF(ISNA($BA82),NA(),IF($BE82=0,"***",PRODUCT(1+AU80:AU82)-1))</f>
        <v>2.1588811565601107E-2</v>
      </c>
      <c r="BI82" s="7" cm="1">
        <f t="array" ref="BI82">IF(ISNA($BA82),NA(),IF($BE82=0,"***",PRODUCT(1+AV80:AV82)-1))</f>
        <v>3.7152979851160506E-3</v>
      </c>
      <c r="BJ82" s="7" cm="1">
        <f t="array" ref="BJ82">IF(ISNA($BA82),NA(),IF($BE82=0,"***",PRODUCT(1+AW80:AW82)-1))</f>
        <v>2.535719899578126E-2</v>
      </c>
      <c r="BK82" s="7" cm="1">
        <f t="array" ref="BK82">IF(ISNA($BA82),NA(),IF($BE82=0,"***",PRODUCT(1+AX80:AX82)-1))</f>
        <v>-9.3267077559966438E-6</v>
      </c>
      <c r="BL82" s="7" cm="1">
        <f t="array" ref="BL82">IF(ISNA($BA82),NA(),IF($BE82=0,"***",PRODUCT(1+AY80:AY82)-1))</f>
        <v>2.5347713797756244E-2</v>
      </c>
      <c r="BM82" s="7" cm="1">
        <f t="array" ref="BM82">IF(ISNA($BA82),NA(),IF($BE82=0,"***",PRODUCT(1+AZ80:AZ82)-1))</f>
        <v>-1.2122229576816412E-3</v>
      </c>
      <c r="BN82" s="7" cm="1">
        <f t="array" ref="BN82">IF(ISNA($BA82),NA(),IF($BE82=0,"***",PRODUCT(1+BA80:BA82)-1))</f>
        <v>2.41150814342459E-2</v>
      </c>
      <c r="BO82" s="7">
        <f t="shared" si="80"/>
        <v>-2.0409405828702987E-5</v>
      </c>
      <c r="BP82" s="7">
        <f t="shared" si="81"/>
        <v>2.1435308331238776E-2</v>
      </c>
    </row>
    <row r="83" spans="1:68" x14ac:dyDescent="0.25">
      <c r="A83" t="str">
        <f t="shared" si="77"/>
        <v>20180131</v>
      </c>
      <c r="B83">
        <f t="shared" si="78"/>
        <v>43131</v>
      </c>
      <c r="C83">
        <v>2018</v>
      </c>
      <c r="D83">
        <v>1</v>
      </c>
      <c r="F83" s="20">
        <f>IFERROR(GETPIVOTDATA("[Measures].[Sum of CashInterest]",'Results PT'!$B$8,"[Table2].[ReturnDate]","[Table2].[ReturnDate].&amp;["&amp;$A83&amp;"]"),NA())</f>
        <v>18098015.749999996</v>
      </c>
      <c r="G83" s="20">
        <f>IFERROR(GETPIVOTDATA("[Measures].[Sum of AccrInterest]",'Results PT'!$B$8,"[Table2].[ReturnDate]","[Table2].[ReturnDate].&amp;["&amp;$A83&amp;"]"),NA())</f>
        <v>1586831.63</v>
      </c>
      <c r="H83" s="20">
        <f>IFERROR(GETPIVOTDATA("[Measures].[Sum of OtherIncome]",'Results PT'!$B$8,"[Table2].[ReturnDate]","[Table2].[ReturnDate].&amp;["&amp;$A83&amp;"]"),NA())</f>
        <v>1733315</v>
      </c>
      <c r="I83" s="20">
        <f>IFERROR(GETPIVOTDATA("[Measures].[Sum of Expenses]",'Results PT'!$B$8,"[Table2].[ReturnDate]","[Table2].[ReturnDate].&amp;["&amp;$A83&amp;"]"),NA())</f>
        <v>-106350.19</v>
      </c>
      <c r="J83" s="20">
        <f>IFERROR(GETPIVOTDATA("[Measures].[Sum of PrincipalFunded]",'Results PT'!$B$8,"[Table2].[ReturnDate]","[Table2].[ReturnDate].&amp;["&amp;$A83&amp;"]"),NA())</f>
        <v>-153618562.66999996</v>
      </c>
      <c r="K83" s="20">
        <f>IFERROR(GETPIVOTDATA("[Measures].[Sum of PrincipalRepaid]",'Results PT'!$B$8,"[Table2].[ReturnDate]","[Table2].[ReturnDate].&amp;["&amp;$A83&amp;"]"),NA())</f>
        <v>94943311.75999999</v>
      </c>
      <c r="L83" s="20"/>
      <c r="M83" s="20">
        <f>IFERROR(GETPIVOTDATA("[Measures].[Sum of StartValue]",'Results PT'!$B$8,"[Table2].[ReturnDate]","[Table2].[ReturnDate].&amp;["&amp;$A83&amp;"]"),NA())</f>
        <v>3320479770.2799993</v>
      </c>
      <c r="N83" s="20">
        <f>IFERROR(GETPIVOTDATA("[Measures].[Sum of EndValue]",'Results PT'!$B$8,"[Table2].[ReturnDate]","[Table2].[ReturnDate].&amp;["&amp;$A83&amp;"]"),NA())</f>
        <v>3456214832.1899996</v>
      </c>
      <c r="O83" s="20">
        <f>IFERROR(GETPIVOTDATA("[Measures].[Sum of StartPrincipal]",'Results PT'!$B$8,"[Table2].[ReturnDate]","[Table2].[ReturnDate].&amp;["&amp;$A83&amp;"]"),NA())</f>
        <v>3329052370.3600001</v>
      </c>
      <c r="P83" s="20">
        <f>IFERROR(GETPIVOTDATA("[Measures].[Sum of EndPrincipal]",'Results PT'!$B$8,"[Table2].[ReturnDate]","[Table2].[ReturnDate].&amp;["&amp;$A83&amp;"]"),NA())</f>
        <v>3465059802.6099997</v>
      </c>
      <c r="Q83" s="20">
        <f>IFERROR(GETPIVOTDATA("[Measures].[Sum of StartNAV]",'Results PT'!$B$8,"[Table2].[ReturnDate]","[Table2].[ReturnDate].&amp;["&amp;$A83&amp;"]"),NA())</f>
        <v>2743872251.8499994</v>
      </c>
      <c r="R83" s="20">
        <f>IFERROR(GETPIVOTDATA("[Measures].[Sum of EndNAV]",'Results PT'!$B$8,"[Table2].[ReturnDate]","[Table2].[ReturnDate].&amp;["&amp;$A83&amp;"]"),NA())</f>
        <v>2803858246.0999999</v>
      </c>
      <c r="S83" s="20"/>
      <c r="T83" s="1">
        <f t="shared" si="55"/>
        <v>5298361.5300002098</v>
      </c>
      <c r="U83" s="1">
        <f t="shared" si="56"/>
        <v>4997911.009999752</v>
      </c>
      <c r="V83">
        <f t="shared" si="57"/>
        <v>4</v>
      </c>
      <c r="W83" s="20">
        <f t="shared" si="47"/>
        <v>-38950270.349999964</v>
      </c>
      <c r="X83" s="20">
        <f t="shared" si="58"/>
        <v>21035723.900000572</v>
      </c>
      <c r="Y83" s="20">
        <f t="shared" si="48"/>
        <v>2763347387.0249996</v>
      </c>
      <c r="Z83" s="3">
        <f t="shared" si="59"/>
        <v>7.6124066046750222E-3</v>
      </c>
      <c r="AA83" s="20"/>
      <c r="AC83" s="20">
        <f>IFERROR(GETPIVOTDATA("[Measures].[Distinct Count of LoanID]",'Count PT'!$B$3,"[Table2].[ReturnDate]","[Table2].[ReturnDate].&amp;["&amp;$A83&amp;"]"),NA())</f>
        <v>121</v>
      </c>
      <c r="AD83" s="20">
        <f>GETPIVOTDATA("[Measures].[Distinct Count of ManagerCode 2]",'Count PT'!$B$3,"[Table2].[ReturnDate]","[Table2].[ReturnDate].&amp;["&amp;$A83&amp;"]")</f>
        <v>7</v>
      </c>
      <c r="AE83" s="20" t="b">
        <f t="shared" si="60"/>
        <v>1</v>
      </c>
      <c r="AF83" s="20" t="b">
        <f t="shared" si="61"/>
        <v>1</v>
      </c>
      <c r="AG83" s="20" t="b">
        <f t="shared" si="62"/>
        <v>1</v>
      </c>
      <c r="AI83" s="7">
        <f t="shared" si="49"/>
        <v>6.5493089413865523E-3</v>
      </c>
      <c r="AJ83" s="7">
        <f t="shared" si="50"/>
        <v>5.7424254274030006E-4</v>
      </c>
      <c r="AK83" s="7">
        <f t="shared" si="51"/>
        <v>6.2725193659638823E-4</v>
      </c>
      <c r="AL83" s="7">
        <f t="shared" si="63"/>
        <v>7.7508034207232398E-3</v>
      </c>
      <c r="AM83" s="7">
        <f t="shared" si="52"/>
        <v>-3.8486000891294333E-5</v>
      </c>
      <c r="AN83" s="7">
        <f t="shared" si="64"/>
        <v>7.712317419831945E-3</v>
      </c>
      <c r="AO83" s="7">
        <f t="shared" si="65"/>
        <v>-9.9910815156922794E-5</v>
      </c>
      <c r="AP83" s="7">
        <f t="shared" si="53"/>
        <v>7.6124066046750222E-3</v>
      </c>
      <c r="AQ83" s="7">
        <f t="shared" si="54"/>
        <v>7.123551484126852E-3</v>
      </c>
      <c r="AS83" s="7">
        <f t="shared" si="66"/>
        <v>6.5493089413865523E-3</v>
      </c>
      <c r="AT83" s="7">
        <f t="shared" si="67"/>
        <v>5.7424254274030006E-4</v>
      </c>
      <c r="AU83" s="7">
        <f t="shared" si="68"/>
        <v>7.123551484126852E-3</v>
      </c>
      <c r="AV83" s="7">
        <f t="shared" si="69"/>
        <v>6.2725193659638823E-4</v>
      </c>
      <c r="AW83" s="7">
        <f t="shared" si="70"/>
        <v>7.7508034207232398E-3</v>
      </c>
      <c r="AX83" s="7">
        <f t="shared" si="71"/>
        <v>-3.8486000891294333E-5</v>
      </c>
      <c r="AY83" s="7">
        <f t="shared" si="72"/>
        <v>7.712317419831945E-3</v>
      </c>
      <c r="AZ83" s="7">
        <f t="shared" si="73"/>
        <v>-9.9910815156922794E-5</v>
      </c>
      <c r="BA83" s="7">
        <f t="shared" si="74"/>
        <v>7.6124066046750222E-3</v>
      </c>
      <c r="BB83" s="7">
        <f t="shared" si="75"/>
        <v>7.123551484126852E-3</v>
      </c>
      <c r="BD83">
        <f t="shared" si="76"/>
        <v>1</v>
      </c>
      <c r="BE83">
        <f t="shared" si="79"/>
        <v>1</v>
      </c>
      <c r="BF83" s="7" cm="1">
        <f t="array" ref="BF83">IF(ISNA($BA83),NA(),IF($BE83=0,"***",PRODUCT(1+AS81:AS83)-1))</f>
        <v>2.0066935424104093E-2</v>
      </c>
      <c r="BG83" s="7" cm="1">
        <f t="array" ref="BG83">IF(ISNA($BA83),NA(),IF($BE83=0,"***",PRODUCT(1+AT81:AT83)-1))</f>
        <v>1.6211650557211854E-3</v>
      </c>
      <c r="BH83" s="7" cm="1">
        <f t="array" ref="BH83">IF(ISNA($BA83),NA(),IF($BE83=0,"***",PRODUCT(1+AU81:AU83)-1))</f>
        <v>2.1709716440148741E-2</v>
      </c>
      <c r="BI83" s="7" cm="1">
        <f t="array" ref="BI83">IF(ISNA($BA83),NA(),IF($BE83=0,"***",PRODUCT(1+AV81:AV83)-1))</f>
        <v>3.5844156355868684E-3</v>
      </c>
      <c r="BJ83" s="7" cm="1">
        <f t="array" ref="BJ83">IF(ISNA($BA83),NA(),IF($BE83=0,"***",PRODUCT(1+AW81:AW83)-1))</f>
        <v>2.5345683507741024E-2</v>
      </c>
      <c r="BK83" s="7" cm="1">
        <f t="array" ref="BK83">IF(ISNA($BA83),NA(),IF($BE83=0,"***",PRODUCT(1+AX81:AX83)-1))</f>
        <v>-4.2965557992769021E-5</v>
      </c>
      <c r="BL83" s="7" cm="1">
        <f t="array" ref="BL83">IF(ISNA($BA83),NA(),IF($BE83=0,"***",PRODUCT(1+AY81:AY83)-1))</f>
        <v>2.530197218995367E-2</v>
      </c>
      <c r="BM83" s="7" cm="1">
        <f t="array" ref="BM83">IF(ISNA($BA83),NA(),IF($BE83=0,"***",PRODUCT(1+AZ81:AZ83)-1))</f>
        <v>-1.3789970539566099E-3</v>
      </c>
      <c r="BN83" s="7" cm="1">
        <f t="array" ref="BN83">IF(ISNA($BA83),NA(),IF($BE83=0,"***",PRODUCT(1+BA81:BA83)-1))</f>
        <v>2.3899710914630834E-2</v>
      </c>
      <c r="BO83" s="7">
        <f t="shared" si="80"/>
        <v>-2.3264221366225968E-5</v>
      </c>
      <c r="BP83" s="7">
        <f t="shared" si="81"/>
        <v>2.1554487139746673E-2</v>
      </c>
    </row>
    <row r="84" spans="1:68" x14ac:dyDescent="0.25">
      <c r="A84" t="str">
        <f t="shared" si="77"/>
        <v>20180228</v>
      </c>
      <c r="B84">
        <f t="shared" si="78"/>
        <v>43159</v>
      </c>
      <c r="C84">
        <v>2018</v>
      </c>
      <c r="D84">
        <v>2</v>
      </c>
      <c r="F84" s="20">
        <f>IFERROR(GETPIVOTDATA("[Measures].[Sum of CashInterest]",'Results PT'!$B$8,"[Table2].[ReturnDate]","[Table2].[ReturnDate].&amp;["&amp;$A84&amp;"]"),NA())</f>
        <v>20549257.990000002</v>
      </c>
      <c r="G84" s="20">
        <f>IFERROR(GETPIVOTDATA("[Measures].[Sum of AccrInterest]",'Results PT'!$B$8,"[Table2].[ReturnDate]","[Table2].[ReturnDate].&amp;["&amp;$A84&amp;"]"),NA())</f>
        <v>1407340.52</v>
      </c>
      <c r="H84" s="20">
        <f>IFERROR(GETPIVOTDATA("[Measures].[Sum of OtherIncome]",'Results PT'!$B$8,"[Table2].[ReturnDate]","[Table2].[ReturnDate].&amp;["&amp;$A84&amp;"]"),NA())</f>
        <v>1351676.1</v>
      </c>
      <c r="I84" s="20">
        <f>IFERROR(GETPIVOTDATA("[Measures].[Sum of Expenses]",'Results PT'!$B$8,"[Table2].[ReturnDate]","[Table2].[ReturnDate].&amp;["&amp;$A84&amp;"]"),NA())</f>
        <v>-5688.19</v>
      </c>
      <c r="J84" s="20">
        <f>IFERROR(GETPIVOTDATA("[Measures].[Sum of PrincipalFunded]",'Results PT'!$B$8,"[Table2].[ReturnDate]","[Table2].[ReturnDate].&amp;["&amp;$A84&amp;"]"),NA())</f>
        <v>-108676368.68000001</v>
      </c>
      <c r="K84" s="20">
        <f>IFERROR(GETPIVOTDATA("[Measures].[Sum of PrincipalRepaid]",'Results PT'!$B$8,"[Table2].[ReturnDate]","[Table2].[ReturnDate].&amp;["&amp;$A84&amp;"]"),NA())</f>
        <v>64432343.160000004</v>
      </c>
      <c r="L84" s="20"/>
      <c r="M84" s="20">
        <f>IFERROR(GETPIVOTDATA("[Measures].[Sum of StartValue]",'Results PT'!$B$8,"[Table2].[ReturnDate]","[Table2].[ReturnDate].&amp;["&amp;$A84&amp;"]"),NA())</f>
        <v>3456214832.1899996</v>
      </c>
      <c r="N84" s="20">
        <f>IFERROR(GETPIVOTDATA("[Measures].[Sum of EndValue]",'Results PT'!$B$8,"[Table2].[ReturnDate]","[Table2].[ReturnDate].&amp;["&amp;$A84&amp;"]"),NA())</f>
        <v>3508744578.5600004</v>
      </c>
      <c r="O84" s="20">
        <f>IFERROR(GETPIVOTDATA("[Measures].[Sum of StartPrincipal]",'Results PT'!$B$8,"[Table2].[ReturnDate]","[Table2].[ReturnDate].&amp;["&amp;$A84&amp;"]"),NA())</f>
        <v>3465059802.6099997</v>
      </c>
      <c r="P84" s="20">
        <f>IFERROR(GETPIVOTDATA("[Measures].[Sum of EndPrincipal]",'Results PT'!$B$8,"[Table2].[ReturnDate]","[Table2].[ReturnDate].&amp;["&amp;$A84&amp;"]"),NA())</f>
        <v>3519381878.9100008</v>
      </c>
      <c r="Q84" s="20">
        <f>IFERROR(GETPIVOTDATA("[Measures].[Sum of StartNAV]",'Results PT'!$B$8,"[Table2].[ReturnDate]","[Table2].[ReturnDate].&amp;["&amp;$A84&amp;"]"),NA())</f>
        <v>2803858246.0999999</v>
      </c>
      <c r="R84" s="20">
        <f>IFERROR(GETPIVOTDATA("[Measures].[Sum of EndNAV]",'Results PT'!$B$8,"[Table2].[ReturnDate]","[Table2].[ReturnDate].&amp;["&amp;$A84&amp;"]"),NA())</f>
        <v>2847707756.2999997</v>
      </c>
      <c r="S84" s="20"/>
      <c r="T84" s="1">
        <f t="shared" si="55"/>
        <v>0</v>
      </c>
      <c r="U84" s="1">
        <f t="shared" si="56"/>
        <v>0</v>
      </c>
      <c r="V84">
        <f t="shared" si="57"/>
        <v>4</v>
      </c>
      <c r="W84" s="20">
        <f t="shared" si="47"/>
        <v>-22348779.619999997</v>
      </c>
      <c r="X84" s="20">
        <f t="shared" si="58"/>
        <v>21500730.579999924</v>
      </c>
      <c r="Y84" s="20">
        <f t="shared" si="48"/>
        <v>2815032635.9099998</v>
      </c>
      <c r="Z84" s="3">
        <f t="shared" si="59"/>
        <v>7.6378263987868485E-3</v>
      </c>
      <c r="AA84" s="20"/>
      <c r="AC84" s="20">
        <f>IFERROR(GETPIVOTDATA("[Measures].[Distinct Count of LoanID]",'Count PT'!$B$3,"[Table2].[ReturnDate]","[Table2].[ReturnDate].&amp;["&amp;$A84&amp;"]"),NA())</f>
        <v>125</v>
      </c>
      <c r="AD84" s="20">
        <f>GETPIVOTDATA("[Measures].[Distinct Count of ManagerCode 2]",'Count PT'!$B$3,"[Table2].[ReturnDate]","[Table2].[ReturnDate].&amp;["&amp;$A84&amp;"]")</f>
        <v>7</v>
      </c>
      <c r="AE84" s="20" t="b">
        <f t="shared" si="60"/>
        <v>1</v>
      </c>
      <c r="AF84" s="20" t="b">
        <f t="shared" si="61"/>
        <v>1</v>
      </c>
      <c r="AG84" s="20" t="b">
        <f t="shared" si="62"/>
        <v>1</v>
      </c>
      <c r="AI84" s="7">
        <f t="shared" si="49"/>
        <v>7.2998293973089799E-3</v>
      </c>
      <c r="AJ84" s="7">
        <f t="shared" si="50"/>
        <v>4.9993755029595138E-4</v>
      </c>
      <c r="AK84" s="7">
        <f t="shared" si="51"/>
        <v>4.8016356285086241E-4</v>
      </c>
      <c r="AL84" s="7">
        <f t="shared" si="63"/>
        <v>8.2799305104557935E-3</v>
      </c>
      <c r="AM84" s="7">
        <f t="shared" si="52"/>
        <v>-2.0206479766658943E-6</v>
      </c>
      <c r="AN84" s="7">
        <f t="shared" si="64"/>
        <v>8.277909862479128E-3</v>
      </c>
      <c r="AO84" s="7">
        <f t="shared" si="65"/>
        <v>-6.4008346369227951E-4</v>
      </c>
      <c r="AP84" s="7">
        <f t="shared" si="53"/>
        <v>7.6378263987868485E-3</v>
      </c>
      <c r="AQ84" s="7">
        <f t="shared" si="54"/>
        <v>7.7997669476049308E-3</v>
      </c>
      <c r="AS84" s="7">
        <f t="shared" si="66"/>
        <v>7.2998293973089799E-3</v>
      </c>
      <c r="AT84" s="7">
        <f t="shared" si="67"/>
        <v>4.9993755029595138E-4</v>
      </c>
      <c r="AU84" s="7">
        <f t="shared" si="68"/>
        <v>7.7997669476049317E-3</v>
      </c>
      <c r="AV84" s="7">
        <f t="shared" si="69"/>
        <v>4.8016356285086241E-4</v>
      </c>
      <c r="AW84" s="7">
        <f t="shared" si="70"/>
        <v>8.2799305104557935E-3</v>
      </c>
      <c r="AX84" s="7">
        <f t="shared" si="71"/>
        <v>-2.0206479766658943E-6</v>
      </c>
      <c r="AY84" s="7">
        <f t="shared" si="72"/>
        <v>8.277909862479128E-3</v>
      </c>
      <c r="AZ84" s="7">
        <f t="shared" si="73"/>
        <v>-6.4008346369227951E-4</v>
      </c>
      <c r="BA84" s="7">
        <f t="shared" si="74"/>
        <v>7.6378263987868485E-3</v>
      </c>
      <c r="BB84" s="7">
        <f t="shared" si="75"/>
        <v>7.7997669476049308E-3</v>
      </c>
      <c r="BD84">
        <f t="shared" si="76"/>
        <v>1</v>
      </c>
      <c r="BE84">
        <f t="shared" si="79"/>
        <v>1</v>
      </c>
      <c r="BF84" s="7" cm="1">
        <f t="array" ref="BF84">IF(ISNA($BA84),NA(),IF($BE84=0,"***",PRODUCT(1+AS82:AS84)-1))</f>
        <v>2.0611523584349145E-2</v>
      </c>
      <c r="BG84" s="7" cm="1">
        <f t="array" ref="BG84">IF(ISNA($BA84),NA(),IF($BE84=0,"***",PRODUCT(1+AT82:AT84)-1))</f>
        <v>1.604452796584388E-3</v>
      </c>
      <c r="BH84" s="7" cm="1">
        <f t="array" ref="BH84">IF(ISNA($BA84),NA(),IF($BE84=0,"***",PRODUCT(1+AU82:AU84)-1))</f>
        <v>2.2237968878747072E-2</v>
      </c>
      <c r="BI84" s="7" cm="1">
        <f t="array" ref="BI84">IF(ISNA($BA84),NA(),IF($BE84=0,"***",PRODUCT(1+AV82:AV84)-1))</f>
        <v>2.1141082262563504E-3</v>
      </c>
      <c r="BJ84" s="7" cm="1">
        <f t="array" ref="BJ84">IF(ISNA($BA84),NA(),IF($BE84=0,"***",PRODUCT(1+AW82:AW84)-1))</f>
        <v>2.4383438088169784E-2</v>
      </c>
      <c r="BK84" s="7" cm="1">
        <f t="array" ref="BK84">IF(ISNA($BA84),NA(),IF($BE84=0,"***",PRODUCT(1+AX82:AX84)-1))</f>
        <v>-4.2608197555971117E-5</v>
      </c>
      <c r="BL84" s="7" cm="1">
        <f t="array" ref="BL84">IF(ISNA($BA84),NA(),IF($BE84=0,"***",PRODUCT(1+AY82:AY84)-1))</f>
        <v>2.4340128592504673E-2</v>
      </c>
      <c r="BM84" s="7" cm="1">
        <f t="array" ref="BM84">IF(ISNA($BA84),NA(),IF($BE84=0,"***",PRODUCT(1+AZ82:AZ84)-1))</f>
        <v>-1.7979722424450451E-3</v>
      </c>
      <c r="BN84" s="7" cm="1">
        <f t="array" ref="BN84">IF(ISNA($BA84),NA(),IF($BE84=0,"***",PRODUCT(1+BA82:BA84)-1))</f>
        <v>2.2513319181910463E-2</v>
      </c>
      <c r="BO84" s="7">
        <f t="shared" si="80"/>
        <v>-2.8837168149165038E-5</v>
      </c>
      <c r="BP84" s="7">
        <f t="shared" si="81"/>
        <v>2.2075278482581111E-2</v>
      </c>
    </row>
    <row r="85" spans="1:68" x14ac:dyDescent="0.25">
      <c r="A85" t="str">
        <f t="shared" si="77"/>
        <v>20180331</v>
      </c>
      <c r="B85">
        <f t="shared" si="78"/>
        <v>43190</v>
      </c>
      <c r="C85">
        <v>2018</v>
      </c>
      <c r="D85">
        <v>3</v>
      </c>
      <c r="F85" s="20">
        <f>IFERROR(GETPIVOTDATA("[Measures].[Sum of CashInterest]",'Results PT'!$B$8,"[Table2].[ReturnDate]","[Table2].[ReturnDate].&amp;["&amp;$A85&amp;"]"),NA())</f>
        <v>19348521.159999996</v>
      </c>
      <c r="G85" s="20">
        <f>IFERROR(GETPIVOTDATA("[Measures].[Sum of AccrInterest]",'Results PT'!$B$8,"[Table2].[ReturnDate]","[Table2].[ReturnDate].&amp;["&amp;$A85&amp;"]"),NA())</f>
        <v>1618841.7500000002</v>
      </c>
      <c r="H85" s="20">
        <f>IFERROR(GETPIVOTDATA("[Measures].[Sum of OtherIncome]",'Results PT'!$B$8,"[Table2].[ReturnDate]","[Table2].[ReturnDate].&amp;["&amp;$A85&amp;"]"),NA())</f>
        <v>1473925</v>
      </c>
      <c r="I85" s="20">
        <f>IFERROR(GETPIVOTDATA("[Measures].[Sum of Expenses]",'Results PT'!$B$8,"[Table2].[ReturnDate]","[Table2].[ReturnDate].&amp;["&amp;$A85&amp;"]"),NA())</f>
        <v>-5144.4399999999996</v>
      </c>
      <c r="J85" s="20">
        <f>IFERROR(GETPIVOTDATA("[Measures].[Sum of PrincipalFunded]",'Results PT'!$B$8,"[Table2].[ReturnDate]","[Table2].[ReturnDate].&amp;["&amp;$A85&amp;"]"),NA())</f>
        <v>-298802025.84999996</v>
      </c>
      <c r="K85" s="20">
        <f>IFERROR(GETPIVOTDATA("[Measures].[Sum of PrincipalRepaid]",'Results PT'!$B$8,"[Table2].[ReturnDate]","[Table2].[ReturnDate].&amp;["&amp;$A85&amp;"]"),NA())</f>
        <v>125986108.14000002</v>
      </c>
      <c r="L85" s="20"/>
      <c r="M85" s="20">
        <f>IFERROR(GETPIVOTDATA("[Measures].[Sum of StartValue]",'Results PT'!$B$8,"[Table2].[ReturnDate]","[Table2].[ReturnDate].&amp;["&amp;$A85&amp;"]"),NA())</f>
        <v>3508744578.5600004</v>
      </c>
      <c r="N85" s="20">
        <f>IFERROR(GETPIVOTDATA("[Measures].[Sum of EndValue]",'Results PT'!$B$8,"[Table2].[ReturnDate]","[Table2].[ReturnDate].&amp;["&amp;$A85&amp;"]"),NA())</f>
        <v>3783419906.3900003</v>
      </c>
      <c r="O85" s="20">
        <f>IFERROR(GETPIVOTDATA("[Measures].[Sum of StartPrincipal]",'Results PT'!$B$8,"[Table2].[ReturnDate]","[Table2].[ReturnDate].&amp;["&amp;$A85&amp;"]"),NA())</f>
        <v>3519381878.9100008</v>
      </c>
      <c r="P85" s="20">
        <f>IFERROR(GETPIVOTDATA("[Measures].[Sum of EndPrincipal]",'Results PT'!$B$8,"[Table2].[ReturnDate]","[Table2].[ReturnDate].&amp;["&amp;$A85&amp;"]"),NA())</f>
        <v>3794109860.750001</v>
      </c>
      <c r="Q85" s="20">
        <f>IFERROR(GETPIVOTDATA("[Measures].[Sum of StartNAV]",'Results PT'!$B$8,"[Table2].[ReturnDate]","[Table2].[ReturnDate].&amp;["&amp;$A85&amp;"]"),NA())</f>
        <v>2847707756.2999997</v>
      </c>
      <c r="R85" s="20">
        <f>IFERROR(GETPIVOTDATA("[Measures].[Sum of EndNAV]",'Results PT'!$B$8,"[Table2].[ReturnDate]","[Table2].[ReturnDate].&amp;["&amp;$A85&amp;"]"),NA())</f>
        <v>3022032195.3599997</v>
      </c>
      <c r="S85" s="20"/>
      <c r="T85" s="1">
        <f t="shared" si="55"/>
        <v>0</v>
      </c>
      <c r="U85" s="1">
        <f t="shared" si="56"/>
        <v>0</v>
      </c>
      <c r="V85">
        <f t="shared" si="57"/>
        <v>4</v>
      </c>
      <c r="W85" s="20">
        <f t="shared" si="47"/>
        <v>-151998615.98999998</v>
      </c>
      <c r="X85" s="20">
        <f t="shared" si="58"/>
        <v>22325823.070000172</v>
      </c>
      <c r="Y85" s="20">
        <f t="shared" si="48"/>
        <v>2923707064.2949996</v>
      </c>
      <c r="Z85" s="3">
        <f t="shared" si="59"/>
        <v>7.636135419532411E-3</v>
      </c>
      <c r="AA85" s="20"/>
      <c r="AC85" s="20">
        <f>IFERROR(GETPIVOTDATA("[Measures].[Distinct Count of LoanID]",'Count PT'!$B$3,"[Table2].[ReturnDate]","[Table2].[ReturnDate].&amp;["&amp;$A85&amp;"]"),NA())</f>
        <v>130</v>
      </c>
      <c r="AD85" s="20">
        <f>GETPIVOTDATA("[Measures].[Distinct Count of ManagerCode 2]",'Count PT'!$B$3,"[Table2].[ReturnDate]","[Table2].[ReturnDate].&amp;["&amp;$A85&amp;"]")</f>
        <v>7</v>
      </c>
      <c r="AE85" s="20" t="b">
        <f t="shared" si="60"/>
        <v>1</v>
      </c>
      <c r="AF85" s="20" t="b">
        <f t="shared" si="61"/>
        <v>1</v>
      </c>
      <c r="AG85" s="20" t="b">
        <f t="shared" si="62"/>
        <v>1</v>
      </c>
      <c r="AI85" s="7">
        <f t="shared" si="49"/>
        <v>6.6178042924644204E-3</v>
      </c>
      <c r="AJ85" s="7">
        <f t="shared" si="50"/>
        <v>5.5369492031868636E-4</v>
      </c>
      <c r="AK85" s="7">
        <f t="shared" si="51"/>
        <v>5.0412882261698512E-4</v>
      </c>
      <c r="AL85" s="7">
        <f t="shared" si="63"/>
        <v>7.675628035400092E-3</v>
      </c>
      <c r="AM85" s="7">
        <f t="shared" si="52"/>
        <v>-1.7595606833615838E-6</v>
      </c>
      <c r="AN85" s="7">
        <f t="shared" si="64"/>
        <v>7.6738684747167307E-3</v>
      </c>
      <c r="AO85" s="7">
        <f t="shared" si="65"/>
        <v>-3.7733055184319651E-5</v>
      </c>
      <c r="AP85" s="7">
        <f t="shared" si="53"/>
        <v>7.636135419532411E-3</v>
      </c>
      <c r="AQ85" s="7">
        <f t="shared" si="54"/>
        <v>7.1714992127831067E-3</v>
      </c>
      <c r="AS85" s="7">
        <f t="shared" si="66"/>
        <v>6.6178042924644204E-3</v>
      </c>
      <c r="AT85" s="7">
        <f t="shared" si="67"/>
        <v>5.5369492031868636E-4</v>
      </c>
      <c r="AU85" s="7">
        <f t="shared" si="68"/>
        <v>7.1714992127831067E-3</v>
      </c>
      <c r="AV85" s="7">
        <f t="shared" si="69"/>
        <v>5.0412882261698512E-4</v>
      </c>
      <c r="AW85" s="7">
        <f t="shared" si="70"/>
        <v>7.675628035400092E-3</v>
      </c>
      <c r="AX85" s="7">
        <f t="shared" si="71"/>
        <v>-1.7595606833615838E-6</v>
      </c>
      <c r="AY85" s="7">
        <f t="shared" si="72"/>
        <v>7.6738684747167307E-3</v>
      </c>
      <c r="AZ85" s="7">
        <f t="shared" si="73"/>
        <v>-3.7733055184319651E-5</v>
      </c>
      <c r="BA85" s="7">
        <f t="shared" si="74"/>
        <v>7.636135419532411E-3</v>
      </c>
      <c r="BB85" s="7">
        <f t="shared" si="75"/>
        <v>7.1714992127831067E-3</v>
      </c>
      <c r="BD85">
        <f t="shared" si="76"/>
        <v>1</v>
      </c>
      <c r="BE85">
        <f t="shared" si="79"/>
        <v>1</v>
      </c>
      <c r="BF85" s="7" cm="1">
        <f t="array" ref="BF85">IF(ISNA($BA85),NA(),IF($BE85=0,"***",PRODUCT(1+AS83:AS85)-1))</f>
        <v>2.0606718745780128E-2</v>
      </c>
      <c r="BG85" s="7" cm="1">
        <f t="array" ref="BG85">IF(ISNA($BA85),NA(),IF($BE85=0,"***",PRODUCT(1+AT83:AT85)-1))</f>
        <v>1.6287570257838002E-3</v>
      </c>
      <c r="BH85" s="7" cm="1">
        <f t="array" ref="BH85">IF(ISNA($BA85),NA(),IF($BE85=0,"***",PRODUCT(1+AU83:AU85)-1))</f>
        <v>2.2257800715451914E-2</v>
      </c>
      <c r="BI85" s="7" cm="1">
        <f t="array" ref="BI85">IF(ISNA($BA85),NA(),IF($BE85=0,"***",PRODUCT(1+AV83:AV85)-1))</f>
        <v>1.6124039374962873E-3</v>
      </c>
      <c r="BJ85" s="7" cm="1">
        <f t="array" ref="BJ85">IF(ISNA($BA85),NA(),IF($BE85=0,"***",PRODUCT(1+AW83:AW85)-1))</f>
        <v>2.3894076623070637E-2</v>
      </c>
      <c r="BK85" s="7" cm="1">
        <f t="array" ref="BK85">IF(ISNA($BA85),NA(),IF($BE85=0,"***",PRODUCT(1+AX83:AX85)-1))</f>
        <v>-4.2266060510942616E-5</v>
      </c>
      <c r="BL85" s="7" cm="1">
        <f t="array" ref="BL85">IF(ISNA($BA85),NA(),IF($BE85=0,"***",PRODUCT(1+AY83:AY85)-1))</f>
        <v>2.3851134440606714E-2</v>
      </c>
      <c r="BM85" s="7" cm="1">
        <f t="array" ref="BM85">IF(ISNA($BA85),NA(),IF($BE85=0,"***",PRODUCT(1+AZ83:AZ85)-1))</f>
        <v>-7.7763546294096209E-4</v>
      </c>
      <c r="BN85" s="7" cm="1">
        <f t="array" ref="BN85">IF(ISNA($BA85),NA(),IF($BE85=0,"***",PRODUCT(1+BA83:BA85)-1))</f>
        <v>2.3061407489531005E-2</v>
      </c>
      <c r="BO85" s="7">
        <f t="shared" si="80"/>
        <v>-1.2091488134746697E-5</v>
      </c>
      <c r="BP85" s="7">
        <f t="shared" si="81"/>
        <v>2.2094817644514889E-2</v>
      </c>
    </row>
    <row r="86" spans="1:68" x14ac:dyDescent="0.25">
      <c r="A86" t="str">
        <f t="shared" si="77"/>
        <v>20180430</v>
      </c>
      <c r="B86">
        <f t="shared" si="78"/>
        <v>43220</v>
      </c>
      <c r="C86">
        <v>2018</v>
      </c>
      <c r="D86">
        <v>4</v>
      </c>
      <c r="F86" s="20">
        <f>IFERROR(GETPIVOTDATA("[Measures].[Sum of CashInterest]",'Results PT'!$B$8,"[Table2].[ReturnDate]","[Table2].[ReturnDate].&amp;["&amp;$A86&amp;"]"),NA())</f>
        <v>20302067.760000002</v>
      </c>
      <c r="G86" s="20">
        <f>IFERROR(GETPIVOTDATA("[Measures].[Sum of AccrInterest]",'Results PT'!$B$8,"[Table2].[ReturnDate]","[Table2].[ReturnDate].&amp;["&amp;$A86&amp;"]"),NA())</f>
        <v>1804333.8</v>
      </c>
      <c r="H86" s="20">
        <f>IFERROR(GETPIVOTDATA("[Measures].[Sum of OtherIncome]",'Results PT'!$B$8,"[Table2].[ReturnDate]","[Table2].[ReturnDate].&amp;["&amp;$A86&amp;"]"),NA())</f>
        <v>705600</v>
      </c>
      <c r="I86" s="20">
        <f>IFERROR(GETPIVOTDATA("[Measures].[Sum of Expenses]",'Results PT'!$B$8,"[Table2].[ReturnDate]","[Table2].[ReturnDate].&amp;["&amp;$A86&amp;"]"),NA())</f>
        <v>-5688.19</v>
      </c>
      <c r="J86" s="20">
        <f>IFERROR(GETPIVOTDATA("[Measures].[Sum of PrincipalFunded]",'Results PT'!$B$8,"[Table2].[ReturnDate]","[Table2].[ReturnDate].&amp;["&amp;$A86&amp;"]"),NA())</f>
        <v>-93407436.539999992</v>
      </c>
      <c r="K86" s="20">
        <f>IFERROR(GETPIVOTDATA("[Measures].[Sum of PrincipalRepaid]",'Results PT'!$B$8,"[Table2].[ReturnDate]","[Table2].[ReturnDate].&amp;["&amp;$A86&amp;"]"),NA())</f>
        <v>57917128.049999997</v>
      </c>
      <c r="L86" s="20"/>
      <c r="M86" s="20">
        <f>IFERROR(GETPIVOTDATA("[Measures].[Sum of StartValue]",'Results PT'!$B$8,"[Table2].[ReturnDate]","[Table2].[ReturnDate].&amp;["&amp;$A86&amp;"]"),NA())</f>
        <v>3783419906.3900003</v>
      </c>
      <c r="N86" s="20">
        <f>IFERROR(GETPIVOTDATA("[Measures].[Sum of EndValue]",'Results PT'!$B$8,"[Table2].[ReturnDate]","[Table2].[ReturnDate].&amp;["&amp;$A86&amp;"]"),NA())</f>
        <v>3839645203.4299998</v>
      </c>
      <c r="O86" s="20">
        <f>IFERROR(GETPIVOTDATA("[Measures].[Sum of StartPrincipal]",'Results PT'!$B$8,"[Table2].[ReturnDate]","[Table2].[ReturnDate].&amp;["&amp;$A86&amp;"]"),NA())</f>
        <v>3794109860.750001</v>
      </c>
      <c r="P86" s="20">
        <f>IFERROR(GETPIVOTDATA("[Measures].[Sum of EndPrincipal]",'Results PT'!$B$8,"[Table2].[ReturnDate]","[Table2].[ReturnDate].&amp;["&amp;$A86&amp;"]"),NA())</f>
        <v>3853651951.5400004</v>
      </c>
      <c r="Q86" s="20">
        <f>IFERROR(GETPIVOTDATA("[Measures].[Sum of StartNAV]",'Results PT'!$B$8,"[Table2].[ReturnDate]","[Table2].[ReturnDate].&amp;["&amp;$A86&amp;"]"),NA())</f>
        <v>3022032195.3599997</v>
      </c>
      <c r="R86" s="20">
        <f>IFERROR(GETPIVOTDATA("[Measures].[Sum of EndNAV]",'Results PT'!$B$8,"[Table2].[ReturnDate]","[Table2].[ReturnDate].&amp;["&amp;$A86&amp;"]"),NA())</f>
        <v>3055991195.0099993</v>
      </c>
      <c r="S86" s="20"/>
      <c r="T86" s="1">
        <f t="shared" si="55"/>
        <v>0</v>
      </c>
      <c r="U86" s="1">
        <f t="shared" si="56"/>
        <v>0</v>
      </c>
      <c r="V86">
        <f t="shared" si="57"/>
        <v>4</v>
      </c>
      <c r="W86" s="20">
        <f t="shared" si="47"/>
        <v>-14488328.920000002</v>
      </c>
      <c r="X86" s="20">
        <f t="shared" si="58"/>
        <v>19470670.729999542</v>
      </c>
      <c r="Y86" s="20">
        <f t="shared" si="48"/>
        <v>3029276359.8199997</v>
      </c>
      <c r="Z86" s="3">
        <f t="shared" si="59"/>
        <v>6.4274989856509803E-3</v>
      </c>
      <c r="AA86" s="20"/>
      <c r="AC86" s="20">
        <f>IFERROR(GETPIVOTDATA("[Measures].[Distinct Count of LoanID]",'Count PT'!$B$3,"[Table2].[ReturnDate]","[Table2].[ReturnDate].&amp;["&amp;$A86&amp;"]"),NA())</f>
        <v>131</v>
      </c>
      <c r="AD86" s="20">
        <f>GETPIVOTDATA("[Measures].[Distinct Count of ManagerCode 2]",'Count PT'!$B$3,"[Table2].[ReturnDate]","[Table2].[ReturnDate].&amp;["&amp;$A86&amp;"]")</f>
        <v>7</v>
      </c>
      <c r="AE86" s="20" t="b">
        <f t="shared" si="60"/>
        <v>1</v>
      </c>
      <c r="AF86" s="20" t="b">
        <f t="shared" si="61"/>
        <v>1</v>
      </c>
      <c r="AG86" s="20" t="b">
        <f t="shared" si="62"/>
        <v>1</v>
      </c>
      <c r="AI86" s="7">
        <f t="shared" si="49"/>
        <v>6.7019529909137622E-3</v>
      </c>
      <c r="AJ86" s="7">
        <f t="shared" si="50"/>
        <v>5.9563195485644435E-4</v>
      </c>
      <c r="AK86" s="7">
        <f t="shared" si="51"/>
        <v>2.329269159324661E-4</v>
      </c>
      <c r="AL86" s="7">
        <f t="shared" si="63"/>
        <v>7.530511861702672E-3</v>
      </c>
      <c r="AM86" s="7">
        <f t="shared" si="52"/>
        <v>-1.8777388802974691E-6</v>
      </c>
      <c r="AN86" s="7">
        <f t="shared" si="64"/>
        <v>7.5286341228223749E-3</v>
      </c>
      <c r="AO86" s="7">
        <f t="shared" si="65"/>
        <v>-1.1011351371713945E-3</v>
      </c>
      <c r="AP86" s="7">
        <f t="shared" si="53"/>
        <v>6.4274989856509803E-3</v>
      </c>
      <c r="AQ86" s="7">
        <f t="shared" si="54"/>
        <v>7.2975849457702071E-3</v>
      </c>
      <c r="AS86" s="7">
        <f t="shared" si="66"/>
        <v>6.7019529909137622E-3</v>
      </c>
      <c r="AT86" s="7">
        <f t="shared" si="67"/>
        <v>5.9563195485644435E-4</v>
      </c>
      <c r="AU86" s="7">
        <f t="shared" si="68"/>
        <v>7.2975849457702063E-3</v>
      </c>
      <c r="AV86" s="7">
        <f t="shared" si="69"/>
        <v>2.329269159324661E-4</v>
      </c>
      <c r="AW86" s="7">
        <f t="shared" si="70"/>
        <v>7.530511861702672E-3</v>
      </c>
      <c r="AX86" s="7">
        <f t="shared" si="71"/>
        <v>-1.8777388802974691E-6</v>
      </c>
      <c r="AY86" s="7">
        <f t="shared" si="72"/>
        <v>7.5286341228223749E-3</v>
      </c>
      <c r="AZ86" s="7">
        <f t="shared" si="73"/>
        <v>-1.1011351371713945E-3</v>
      </c>
      <c r="BA86" s="7">
        <f t="shared" si="74"/>
        <v>6.4274989856509803E-3</v>
      </c>
      <c r="BB86" s="7">
        <f t="shared" si="75"/>
        <v>7.2975849457702071E-3</v>
      </c>
      <c r="BD86">
        <f t="shared" si="76"/>
        <v>1</v>
      </c>
      <c r="BE86">
        <f t="shared" si="79"/>
        <v>1</v>
      </c>
      <c r="BF86" s="7" cm="1">
        <f t="array" ref="BF86">IF(ISNA($BA86),NA(),IF($BE86=0,"***",PRODUCT(1+AS84:AS86)-1))</f>
        <v>2.0761494613330989E-2</v>
      </c>
      <c r="BG86" s="7" cm="1">
        <f t="array" ref="BG86">IF(ISNA($BA86),NA(),IF($BE86=0,"***",PRODUCT(1+AT84:AT86)-1))</f>
        <v>1.6501689803998243E-3</v>
      </c>
      <c r="BH86" s="7" cm="1">
        <f t="array" ref="BH86">IF(ISNA($BA86),NA(),IF($BE86=0,"***",PRODUCT(1+AU84:AU86)-1))</f>
        <v>2.2434449413109903E-2</v>
      </c>
      <c r="BI86" s="7" cm="1">
        <f t="array" ref="BI86">IF(ISNA($BA86),NA(),IF($BE86=0,"***",PRODUCT(1+AV84:AV86)-1))</f>
        <v>1.2176906902650053E-3</v>
      </c>
      <c r="BJ86" s="7" cm="1">
        <f t="array" ref="BJ86">IF(ISNA($BA86),NA(),IF($BE86=0,"***",PRODUCT(1+AW84:AW86)-1))</f>
        <v>2.3670256188846661E-2</v>
      </c>
      <c r="BK86" s="7" cm="1">
        <f t="array" ref="BK86">IF(ISNA($BA86),NA(),IF($BE86=0,"***",PRODUCT(1+AX84:AX86)-1))</f>
        <v>-5.6579368866715996E-6</v>
      </c>
      <c r="BL86" s="7" cm="1">
        <f t="array" ref="BL86">IF(ISNA($BA86),NA(),IF($BE86=0,"***",PRODUCT(1+AY84:AY86)-1))</f>
        <v>2.3664509400136424E-2</v>
      </c>
      <c r="BM86" s="7" cm="1">
        <f t="array" ref="BM86">IF(ISNA($BA86),NA(),IF($BE86=0,"***",PRODUCT(1+AZ84:AZ86)-1))</f>
        <v>-1.7781811627526345E-3</v>
      </c>
      <c r="BN86" s="7" cm="1">
        <f t="array" ref="BN86">IF(ISNA($BA86),NA(),IF($BE86=0,"***",PRODUCT(1+BA84:BA86)-1))</f>
        <v>2.1858332528843727E-2</v>
      </c>
      <c r="BO86" s="7">
        <f t="shared" si="80"/>
        <v>-2.7995708540062836E-5</v>
      </c>
      <c r="BP86" s="7">
        <f t="shared" si="81"/>
        <v>2.2268851106158245E-2</v>
      </c>
    </row>
    <row r="87" spans="1:68" x14ac:dyDescent="0.25">
      <c r="A87" t="str">
        <f t="shared" si="77"/>
        <v>20180531</v>
      </c>
      <c r="B87">
        <f t="shared" si="78"/>
        <v>43251</v>
      </c>
      <c r="C87">
        <v>2018</v>
      </c>
      <c r="D87">
        <v>5</v>
      </c>
      <c r="F87" s="20">
        <f>IFERROR(GETPIVOTDATA("[Measures].[Sum of CashInterest]",'Results PT'!$B$8,"[Table2].[ReturnDate]","[Table2].[ReturnDate].&amp;["&amp;$A87&amp;"]"),NA())</f>
        <v>22856933.009999994</v>
      </c>
      <c r="G87" s="20">
        <f>IFERROR(GETPIVOTDATA("[Measures].[Sum of AccrInterest]",'Results PT'!$B$8,"[Table2].[ReturnDate]","[Table2].[ReturnDate].&amp;["&amp;$A87&amp;"]"),NA())</f>
        <v>-141158.88000000006</v>
      </c>
      <c r="H87" s="20">
        <f>IFERROR(GETPIVOTDATA("[Measures].[Sum of OtherIncome]",'Results PT'!$B$8,"[Table2].[ReturnDate]","[Table2].[ReturnDate].&amp;["&amp;$A87&amp;"]"),NA())</f>
        <v>5062716.37</v>
      </c>
      <c r="I87" s="20">
        <f>IFERROR(GETPIVOTDATA("[Measures].[Sum of Expenses]",'Results PT'!$B$8,"[Table2].[ReturnDate]","[Table2].[ReturnDate].&amp;["&amp;$A87&amp;"]"),NA())</f>
        <v>-56716.95</v>
      </c>
      <c r="J87" s="20">
        <f>IFERROR(GETPIVOTDATA("[Measures].[Sum of PrincipalFunded]",'Results PT'!$B$8,"[Table2].[ReturnDate]","[Table2].[ReturnDate].&amp;["&amp;$A87&amp;"]"),NA())</f>
        <v>-405678662.09000003</v>
      </c>
      <c r="K87" s="20">
        <f>IFERROR(GETPIVOTDATA("[Measures].[Sum of PrincipalRepaid]",'Results PT'!$B$8,"[Table2].[ReturnDate]","[Table2].[ReturnDate].&amp;["&amp;$A87&amp;"]"),NA())</f>
        <v>273466179.32000005</v>
      </c>
      <c r="L87" s="20"/>
      <c r="M87" s="20">
        <f>IFERROR(GETPIVOTDATA("[Measures].[Sum of StartValue]",'Results PT'!$B$8,"[Table2].[ReturnDate]","[Table2].[ReturnDate].&amp;["&amp;$A87&amp;"]"),NA())</f>
        <v>3839645203.4299998</v>
      </c>
      <c r="N87" s="20">
        <f>IFERROR(GETPIVOTDATA("[Measures].[Sum of EndValue]",'Results PT'!$B$8,"[Table2].[ReturnDate]","[Table2].[ReturnDate].&amp;["&amp;$A87&amp;"]"),NA())</f>
        <v>4156822622.0300007</v>
      </c>
      <c r="O87" s="20">
        <f>IFERROR(GETPIVOTDATA("[Measures].[Sum of StartPrincipal]",'Results PT'!$B$8,"[Table2].[ReturnDate]","[Table2].[ReturnDate].&amp;["&amp;$A87&amp;"]"),NA())</f>
        <v>3853651951.5400004</v>
      </c>
      <c r="P87" s="20">
        <f>IFERROR(GETPIVOTDATA("[Measures].[Sum of EndPrincipal]",'Results PT'!$B$8,"[Table2].[ReturnDate]","[Table2].[ReturnDate].&amp;["&amp;$A87&amp;"]"),NA())</f>
        <v>4167450336.3200002</v>
      </c>
      <c r="Q87" s="20">
        <f>IFERROR(GETPIVOTDATA("[Measures].[Sum of StartNAV]",'Results PT'!$B$8,"[Table2].[ReturnDate]","[Table2].[ReturnDate].&amp;["&amp;$A87&amp;"]"),NA())</f>
        <v>3055991195.0099993</v>
      </c>
      <c r="R87" s="20">
        <f>IFERROR(GETPIVOTDATA("[Measures].[Sum of EndNAV]",'Results PT'!$B$8,"[Table2].[ReturnDate]","[Table2].[ReturnDate].&amp;["&amp;$A87&amp;"]"),NA())</f>
        <v>3191420020.7199998</v>
      </c>
      <c r="S87" s="20"/>
      <c r="T87" s="1">
        <f t="shared" si="55"/>
        <v>0</v>
      </c>
      <c r="U87" s="1">
        <f t="shared" si="56"/>
        <v>0</v>
      </c>
      <c r="V87">
        <f t="shared" si="57"/>
        <v>4</v>
      </c>
      <c r="W87" s="20">
        <f t="shared" si="47"/>
        <v>-104349550.33999997</v>
      </c>
      <c r="X87" s="20">
        <f t="shared" si="58"/>
        <v>31079275.370000362</v>
      </c>
      <c r="Y87" s="20">
        <f t="shared" si="48"/>
        <v>3108165970.1799994</v>
      </c>
      <c r="Z87" s="3">
        <f t="shared" si="59"/>
        <v>9.9992328814411755E-3</v>
      </c>
      <c r="AA87" s="20"/>
      <c r="AC87" s="20">
        <f>IFERROR(GETPIVOTDATA("[Measures].[Distinct Count of LoanID]",'Count PT'!$B$3,"[Table2].[ReturnDate]","[Table2].[ReturnDate].&amp;["&amp;$A87&amp;"]"),NA())</f>
        <v>133</v>
      </c>
      <c r="AD87" s="20">
        <f>GETPIVOTDATA("[Measures].[Distinct Count of ManagerCode 2]",'Count PT'!$B$3,"[Table2].[ReturnDate]","[Table2].[ReturnDate].&amp;["&amp;$A87&amp;"]")</f>
        <v>7</v>
      </c>
      <c r="AE87" s="20" t="b">
        <f t="shared" si="60"/>
        <v>1</v>
      </c>
      <c r="AF87" s="20" t="b">
        <f t="shared" si="61"/>
        <v>1</v>
      </c>
      <c r="AG87" s="20" t="b">
        <f t="shared" si="62"/>
        <v>1</v>
      </c>
      <c r="AI87" s="7">
        <f t="shared" si="49"/>
        <v>7.3538328484679697E-3</v>
      </c>
      <c r="AJ87" s="7">
        <f t="shared" si="50"/>
        <v>-4.5415489827213219E-5</v>
      </c>
      <c r="AK87" s="7">
        <f t="shared" si="51"/>
        <v>1.6288436391660285E-3</v>
      </c>
      <c r="AL87" s="7">
        <f t="shared" si="63"/>
        <v>8.9372609978067841E-3</v>
      </c>
      <c r="AM87" s="7">
        <f t="shared" si="52"/>
        <v>-1.8247722465321058E-5</v>
      </c>
      <c r="AN87" s="7">
        <f t="shared" si="64"/>
        <v>8.9190132753414631E-3</v>
      </c>
      <c r="AO87" s="7">
        <f t="shared" si="65"/>
        <v>1.0802196060997124E-3</v>
      </c>
      <c r="AP87" s="7">
        <f t="shared" si="53"/>
        <v>9.9992328814411755E-3</v>
      </c>
      <c r="AQ87" s="7">
        <f t="shared" si="54"/>
        <v>7.3084173586407562E-3</v>
      </c>
      <c r="AS87" s="7">
        <f t="shared" si="66"/>
        <v>7.3538328484679697E-3</v>
      </c>
      <c r="AT87" s="7">
        <f t="shared" si="67"/>
        <v>-4.5415489827213219E-5</v>
      </c>
      <c r="AU87" s="7">
        <f t="shared" si="68"/>
        <v>7.3084173586407562E-3</v>
      </c>
      <c r="AV87" s="7">
        <f t="shared" si="69"/>
        <v>1.6288436391660285E-3</v>
      </c>
      <c r="AW87" s="7">
        <f t="shared" si="70"/>
        <v>8.9372609978067841E-3</v>
      </c>
      <c r="AX87" s="7">
        <f t="shared" si="71"/>
        <v>-1.8247722465321058E-5</v>
      </c>
      <c r="AY87" s="7">
        <f t="shared" si="72"/>
        <v>8.9190132753414631E-3</v>
      </c>
      <c r="AZ87" s="7">
        <f t="shared" si="73"/>
        <v>1.0802196060997124E-3</v>
      </c>
      <c r="BA87" s="7">
        <f t="shared" si="74"/>
        <v>9.9992328814411755E-3</v>
      </c>
      <c r="BB87" s="7">
        <f t="shared" si="75"/>
        <v>7.3084173586407562E-3</v>
      </c>
      <c r="BD87">
        <f t="shared" si="76"/>
        <v>1</v>
      </c>
      <c r="BE87">
        <f t="shared" si="79"/>
        <v>1</v>
      </c>
      <c r="BF87" s="7" cm="1">
        <f t="array" ref="BF87">IF(ISNA($BA87),NA(),IF($BE87=0,"***",PRODUCT(1+AS85:AS87)-1))</f>
        <v>2.0816219772524347E-2</v>
      </c>
      <c r="BG87" s="7" cm="1">
        <f t="array" ref="BG87">IF(ISNA($BA87),NA(),IF($BE87=0,"***",PRODUCT(1+AT85:AT87)-1))</f>
        <v>1.1041889715146525E-3</v>
      </c>
      <c r="BH87" s="7" cm="1">
        <f t="array" ref="BH87">IF(ISNA($BA87),NA(),IF($BE87=0,"***",PRODUCT(1+AU85:AU87)-1))</f>
        <v>2.1935964730995572E-2</v>
      </c>
      <c r="BI87" s="7" cm="1">
        <f t="array" ref="BI87">IF(ISNA($BA87),NA(),IF($BE87=0,"***",PRODUCT(1+AV85:AV87)-1))</f>
        <v>2.3672175427060793E-3</v>
      </c>
      <c r="BJ87" s="7" cm="1">
        <f t="array" ref="BJ87">IF(ISNA($BA87),NA(),IF($BE87=0,"***",PRODUCT(1+AW85:AW87)-1))</f>
        <v>2.433762013017482E-2</v>
      </c>
      <c r="BK87" s="7" cm="1">
        <f t="array" ref="BK87">IF(ISNA($BA87),NA(),IF($BE87=0,"***",PRODUCT(1+AX85:AX87)-1))</f>
        <v>-2.1884952352557718E-5</v>
      </c>
      <c r="BL87" s="7" cm="1">
        <f t="array" ref="BL87">IF(ISNA($BA87),NA(),IF($BE87=0,"***",PRODUCT(1+AY85:AY87)-1))</f>
        <v>2.4315396228244968E-2</v>
      </c>
      <c r="BM87" s="7" cm="1">
        <f t="array" ref="BM87">IF(ISNA($BA87),NA(),IF($BE87=0,"***",PRODUCT(1+AZ85:AZ87)-1))</f>
        <v>-5.9837219930969354E-5</v>
      </c>
      <c r="BN87" s="7" cm="1">
        <f t="array" ref="BN87">IF(ISNA($BA87),NA(),IF($BE87=0,"***",PRODUCT(1+BA85:BA87)-1))</f>
        <v>2.4253064869740104E-2</v>
      </c>
      <c r="BO87" s="7">
        <f t="shared" si="80"/>
        <v>-2.4941385738941335E-6</v>
      </c>
      <c r="BP87" s="7">
        <f t="shared" si="81"/>
        <v>2.177750151719407E-2</v>
      </c>
    </row>
    <row r="88" spans="1:68" x14ac:dyDescent="0.25">
      <c r="A88" t="str">
        <f t="shared" si="77"/>
        <v>20180630</v>
      </c>
      <c r="B88">
        <f t="shared" si="78"/>
        <v>43281</v>
      </c>
      <c r="C88">
        <v>2018</v>
      </c>
      <c r="D88">
        <v>6</v>
      </c>
      <c r="F88" s="20">
        <f>IFERROR(GETPIVOTDATA("[Measures].[Sum of CashInterest]",'Results PT'!$B$8,"[Table2].[ReturnDate]","[Table2].[ReturnDate].&amp;["&amp;$A88&amp;"]"),NA())</f>
        <v>22959323.730000004</v>
      </c>
      <c r="G88" s="20">
        <f>IFERROR(GETPIVOTDATA("[Measures].[Sum of AccrInterest]",'Results PT'!$B$8,"[Table2].[ReturnDate]","[Table2].[ReturnDate].&amp;["&amp;$A88&amp;"]"),NA())</f>
        <v>1428661.1500000004</v>
      </c>
      <c r="H88" s="20">
        <f>IFERROR(GETPIVOTDATA("[Measures].[Sum of OtherIncome]",'Results PT'!$B$8,"[Table2].[ReturnDate]","[Table2].[ReturnDate].&amp;["&amp;$A88&amp;"]"),NA())</f>
        <v>5073208.46</v>
      </c>
      <c r="I88" s="20">
        <f>IFERROR(GETPIVOTDATA("[Measures].[Sum of Expenses]",'Results PT'!$B$8,"[Table2].[ReturnDate]","[Table2].[ReturnDate].&amp;["&amp;$A88&amp;"]"),NA())</f>
        <v>-5688.19</v>
      </c>
      <c r="J88" s="20">
        <f>IFERROR(GETPIVOTDATA("[Measures].[Sum of PrincipalFunded]",'Results PT'!$B$8,"[Table2].[ReturnDate]","[Table2].[ReturnDate].&amp;["&amp;$A88&amp;"]"),NA())</f>
        <v>-427601014.62</v>
      </c>
      <c r="K88" s="20">
        <f>IFERROR(GETPIVOTDATA("[Measures].[Sum of PrincipalRepaid]",'Results PT'!$B$8,"[Table2].[ReturnDate]","[Table2].[ReturnDate].&amp;["&amp;$A88&amp;"]"),NA())</f>
        <v>132045004.38999999</v>
      </c>
      <c r="L88" s="20"/>
      <c r="M88" s="20">
        <f>IFERROR(GETPIVOTDATA("[Measures].[Sum of StartValue]",'Results PT'!$B$8,"[Table2].[ReturnDate]","[Table2].[ReturnDate].&amp;["&amp;$A88&amp;"]"),NA())</f>
        <v>4156822622.0300007</v>
      </c>
      <c r="N88" s="20">
        <f>IFERROR(GETPIVOTDATA("[Measures].[Sum of EndValue]",'Results PT'!$B$8,"[Table2].[ReturnDate]","[Table2].[ReturnDate].&amp;["&amp;$A88&amp;"]"),NA())</f>
        <v>4453763464.8899994</v>
      </c>
      <c r="O88" s="20">
        <f>IFERROR(GETPIVOTDATA("[Measures].[Sum of StartPrincipal]",'Results PT'!$B$8,"[Table2].[ReturnDate]","[Table2].[ReturnDate].&amp;["&amp;$A88&amp;"]"),NA())</f>
        <v>4167450335.8200002</v>
      </c>
      <c r="P88" s="20">
        <f>IFERROR(GETPIVOTDATA("[Measures].[Sum of EndPrincipal]",'Results PT'!$B$8,"[Table2].[ReturnDate]","[Table2].[ReturnDate].&amp;["&amp;$A88&amp;"]"),NA())</f>
        <v>4464796795.25</v>
      </c>
      <c r="Q88" s="20">
        <f>IFERROR(GETPIVOTDATA("[Measures].[Sum of StartNAV]",'Results PT'!$B$8,"[Table2].[ReturnDate]","[Table2].[ReturnDate].&amp;["&amp;$A88&amp;"]"),NA())</f>
        <v>3191420020.7199998</v>
      </c>
      <c r="R88" s="20">
        <f>IFERROR(GETPIVOTDATA("[Measures].[Sum of EndNAV]",'Results PT'!$B$8,"[Table2].[ReturnDate]","[Table2].[ReturnDate].&amp;["&amp;$A88&amp;"]"),NA())</f>
        <v>3487969502.6299992</v>
      </c>
      <c r="S88" s="20"/>
      <c r="T88" s="1">
        <f t="shared" si="55"/>
        <v>0</v>
      </c>
      <c r="U88" s="1">
        <f t="shared" si="56"/>
        <v>-0.5</v>
      </c>
      <c r="V88">
        <f t="shared" si="57"/>
        <v>4</v>
      </c>
      <c r="W88" s="20">
        <f t="shared" si="47"/>
        <v>-267529166.23000002</v>
      </c>
      <c r="X88" s="20">
        <f t="shared" si="58"/>
        <v>29020315.679999352</v>
      </c>
      <c r="Y88" s="20">
        <f t="shared" si="48"/>
        <v>3325184603.835</v>
      </c>
      <c r="Z88" s="3">
        <f t="shared" si="59"/>
        <v>8.7274299437479826E-3</v>
      </c>
      <c r="AA88" s="20"/>
      <c r="AC88" s="20">
        <f>IFERROR(GETPIVOTDATA("[Measures].[Distinct Count of LoanID]",'Count PT'!$B$3,"[Table2].[ReturnDate]","[Table2].[ReturnDate].&amp;["&amp;$A88&amp;"]"),NA())</f>
        <v>136</v>
      </c>
      <c r="AD88" s="20">
        <f>GETPIVOTDATA("[Measures].[Distinct Count of ManagerCode 2]",'Count PT'!$B$3,"[Table2].[ReturnDate]","[Table2].[ReturnDate].&amp;["&amp;$A88&amp;"]")</f>
        <v>7</v>
      </c>
      <c r="AE88" s="20" t="b">
        <f t="shared" si="60"/>
        <v>1</v>
      </c>
      <c r="AF88" s="20" t="b">
        <f t="shared" si="61"/>
        <v>1</v>
      </c>
      <c r="AG88" s="20" t="b">
        <f t="shared" si="62"/>
        <v>1</v>
      </c>
      <c r="AI88" s="7">
        <f t="shared" si="49"/>
        <v>6.9046764211287909E-3</v>
      </c>
      <c r="AJ88" s="7">
        <f t="shared" si="50"/>
        <v>4.2964867224282757E-4</v>
      </c>
      <c r="AK88" s="7">
        <f t="shared" si="51"/>
        <v>1.5256922740917813E-3</v>
      </c>
      <c r="AL88" s="7">
        <f t="shared" si="63"/>
        <v>8.8600173674633995E-3</v>
      </c>
      <c r="AM88" s="7">
        <f t="shared" si="52"/>
        <v>-1.7106388600018475E-6</v>
      </c>
      <c r="AN88" s="7">
        <f t="shared" si="64"/>
        <v>8.8583067286033979E-3</v>
      </c>
      <c r="AO88" s="7">
        <f t="shared" si="65"/>
        <v>-1.3087678485541529E-4</v>
      </c>
      <c r="AP88" s="7">
        <f t="shared" si="53"/>
        <v>8.7274299437479826E-3</v>
      </c>
      <c r="AQ88" s="7">
        <f t="shared" si="54"/>
        <v>7.3343250933716178E-3</v>
      </c>
      <c r="AS88" s="7">
        <f t="shared" si="66"/>
        <v>6.9046764211287909E-3</v>
      </c>
      <c r="AT88" s="7">
        <f t="shared" si="67"/>
        <v>4.2964867224282757E-4</v>
      </c>
      <c r="AU88" s="7">
        <f t="shared" si="68"/>
        <v>7.3343250933716186E-3</v>
      </c>
      <c r="AV88" s="7">
        <f t="shared" si="69"/>
        <v>1.5256922740917813E-3</v>
      </c>
      <c r="AW88" s="7">
        <f t="shared" si="70"/>
        <v>8.8600173674633995E-3</v>
      </c>
      <c r="AX88" s="7">
        <f t="shared" si="71"/>
        <v>-1.7106388600018475E-6</v>
      </c>
      <c r="AY88" s="7">
        <f t="shared" si="72"/>
        <v>8.8583067286033979E-3</v>
      </c>
      <c r="AZ88" s="7">
        <f t="shared" si="73"/>
        <v>-1.3087678485541529E-4</v>
      </c>
      <c r="BA88" s="7">
        <f t="shared" si="74"/>
        <v>8.7274299437479826E-3</v>
      </c>
      <c r="BB88" s="7">
        <f t="shared" si="75"/>
        <v>7.3343250933716178E-3</v>
      </c>
      <c r="BD88">
        <f t="shared" si="76"/>
        <v>1</v>
      </c>
      <c r="BE88">
        <f t="shared" si="79"/>
        <v>1</v>
      </c>
      <c r="BF88" s="7" cm="1">
        <f t="array" ref="BF88">IF(ISNA($BA88),NA(),IF($BE88=0,"***",PRODUCT(1+AS86:AS88)-1))</f>
        <v>2.1107138252897339E-2</v>
      </c>
      <c r="BG88" s="7" cm="1">
        <f t="array" ref="BG88">IF(ISNA($BA88),NA(),IF($BE88=0,"***",PRODUCT(1+AT86:AT88)-1))</f>
        <v>9.8007447450632057E-4</v>
      </c>
      <c r="BH88" s="7" cm="1">
        <f t="array" ref="BH88">IF(ISNA($BA88),NA(),IF($BE88=0,"***",PRODUCT(1+AU86:AU88)-1))</f>
        <v>2.2101177530893468E-2</v>
      </c>
      <c r="BI88" s="7" cm="1">
        <f t="array" ref="BI88">IF(ISNA($BA88),NA(),IF($BE88=0,"***",PRODUCT(1+AV86:AV88)-1))</f>
        <v>3.3906832985177715E-3</v>
      </c>
      <c r="BJ88" s="7" cm="1">
        <f t="array" ref="BJ88">IF(ISNA($BA88),NA(),IF($BE88=0,"***",PRODUCT(1+AW86:AW88)-1))</f>
        <v>2.5541593428684006E-2</v>
      </c>
      <c r="BK88" s="7" cm="1">
        <f t="array" ref="BK88">IF(ISNA($BA88),NA(),IF($BE88=0,"***",PRODUCT(1+AX86:AX88)-1))</f>
        <v>-2.1836031513733367E-5</v>
      </c>
      <c r="BL88" s="7" cm="1">
        <f t="array" ref="BL88">IF(ISNA($BA88),NA(),IF($BE88=0,"***",PRODUCT(1+AY86:AY88)-1))</f>
        <v>2.5519395237541875E-2</v>
      </c>
      <c r="BM88" s="7" cm="1">
        <f t="array" ref="BM88">IF(ISNA($BA88),NA(),IF($BE88=0,"***",PRODUCT(1+AZ86:AZ88)-1))</f>
        <v>-1.5297889066012704E-4</v>
      </c>
      <c r="BN88" s="7" cm="1">
        <f t="array" ref="BN88">IF(ISNA($BA88),NA(),IF($BE88=0,"***",PRODUCT(1+BA86:BA88)-1))</f>
        <v>2.5362355934057002E-2</v>
      </c>
      <c r="BO88" s="7">
        <f t="shared" si="80"/>
        <v>-4.0604128247467841E-6</v>
      </c>
      <c r="BP88" s="7">
        <f t="shared" si="81"/>
        <v>2.194032739778258E-2</v>
      </c>
    </row>
    <row r="89" spans="1:68" x14ac:dyDescent="0.25">
      <c r="A89" t="str">
        <f t="shared" si="77"/>
        <v>20180731</v>
      </c>
      <c r="B89">
        <f t="shared" si="78"/>
        <v>43312</v>
      </c>
      <c r="C89">
        <v>2018</v>
      </c>
      <c r="D89">
        <v>7</v>
      </c>
      <c r="F89" s="20">
        <f>IFERROR(GETPIVOTDATA("[Measures].[Sum of CashInterest]",'Results PT'!$B$8,"[Table2].[ReturnDate]","[Table2].[ReturnDate].&amp;["&amp;$A89&amp;"]"),NA())</f>
        <v>21912099.160000008</v>
      </c>
      <c r="G89" s="20">
        <f>IFERROR(GETPIVOTDATA("[Measures].[Sum of AccrInterest]",'Results PT'!$B$8,"[Table2].[ReturnDate]","[Table2].[ReturnDate].&amp;["&amp;$A89&amp;"]"),NA())</f>
        <v>2480044.0599999996</v>
      </c>
      <c r="H89" s="20">
        <f>IFERROR(GETPIVOTDATA("[Measures].[Sum of OtherIncome]",'Results PT'!$B$8,"[Table2].[ReturnDate]","[Table2].[ReturnDate].&amp;["&amp;$A89&amp;"]"),NA())</f>
        <v>-513452</v>
      </c>
      <c r="I89" s="20">
        <f>IFERROR(GETPIVOTDATA("[Measures].[Sum of Expenses]",'Results PT'!$B$8,"[Table2].[ReturnDate]","[Table2].[ReturnDate].&amp;["&amp;$A89&amp;"]"),NA())</f>
        <v>-14446.95</v>
      </c>
      <c r="J89" s="20">
        <f>IFERROR(GETPIVOTDATA("[Measures].[Sum of PrincipalFunded]",'Results PT'!$B$8,"[Table2].[ReturnDate]","[Table2].[ReturnDate].&amp;["&amp;$A89&amp;"]"),NA())</f>
        <v>39871489.629999995</v>
      </c>
      <c r="K89" s="20">
        <f>IFERROR(GETPIVOTDATA("[Measures].[Sum of PrincipalRepaid]",'Results PT'!$B$8,"[Table2].[ReturnDate]","[Table2].[ReturnDate].&amp;["&amp;$A89&amp;"]"),NA())</f>
        <v>61862289.700000003</v>
      </c>
      <c r="L89" s="20"/>
      <c r="M89" s="20">
        <f>IFERROR(GETPIVOTDATA("[Measures].[Sum of StartValue]",'Results PT'!$B$8,"[Table2].[ReturnDate]","[Table2].[ReturnDate].&amp;["&amp;$A89&amp;"]"),NA())</f>
        <v>4453763464.8899994</v>
      </c>
      <c r="N89" s="20">
        <f>IFERROR(GETPIVOTDATA("[Measures].[Sum of EndValue]",'Results PT'!$B$8,"[Table2].[ReturnDate]","[Table2].[ReturnDate].&amp;["&amp;$A89&amp;"]"),NA())</f>
        <v>4356792994.4099998</v>
      </c>
      <c r="O89" s="20">
        <f>IFERROR(GETPIVOTDATA("[Measures].[Sum of StartPrincipal]",'Results PT'!$B$8,"[Table2].[ReturnDate]","[Table2].[ReturnDate].&amp;["&amp;$A89&amp;"]"),NA())</f>
        <v>4464796795.25</v>
      </c>
      <c r="P89" s="20">
        <f>IFERROR(GETPIVOTDATA("[Measures].[Sum of EndPrincipal]",'Results PT'!$B$8,"[Table2].[ReturnDate]","[Table2].[ReturnDate].&amp;["&amp;$A89&amp;"]"),NA())</f>
        <v>4368431557.04</v>
      </c>
      <c r="Q89" s="20">
        <f>IFERROR(GETPIVOTDATA("[Measures].[Sum of StartNAV]",'Results PT'!$B$8,"[Table2].[ReturnDate]","[Table2].[ReturnDate].&amp;["&amp;$A89&amp;"]"),NA())</f>
        <v>3487969502.6299992</v>
      </c>
      <c r="R89" s="20">
        <f>IFERROR(GETPIVOTDATA("[Measures].[Sum of EndNAV]",'Results PT'!$B$8,"[Table2].[ReturnDate]","[Table2].[ReturnDate].&amp;["&amp;$A89&amp;"]"),NA())</f>
        <v>3388110535.0699987</v>
      </c>
      <c r="S89" s="20"/>
      <c r="T89" s="1">
        <f t="shared" si="55"/>
        <v>0</v>
      </c>
      <c r="U89" s="1">
        <f t="shared" si="56"/>
        <v>0</v>
      </c>
      <c r="V89">
        <f t="shared" si="57"/>
        <v>4</v>
      </c>
      <c r="W89" s="20">
        <f t="shared" si="47"/>
        <v>123117979.54000001</v>
      </c>
      <c r="X89" s="20">
        <f t="shared" si="58"/>
        <v>23259011.979999542</v>
      </c>
      <c r="Y89" s="20">
        <f t="shared" si="48"/>
        <v>3426410512.8599992</v>
      </c>
      <c r="Z89" s="3">
        <f t="shared" si="59"/>
        <v>6.788156845977401E-3</v>
      </c>
      <c r="AA89" s="20"/>
      <c r="AC89" s="20">
        <f>IFERROR(GETPIVOTDATA("[Measures].[Distinct Count of LoanID]",'Count PT'!$B$3,"[Table2].[ReturnDate]","[Table2].[ReturnDate].&amp;["&amp;$A89&amp;"]"),NA())</f>
        <v>135</v>
      </c>
      <c r="AD89" s="20">
        <f>GETPIVOTDATA("[Measures].[Distinct Count of ManagerCode 2]",'Count PT'!$B$3,"[Table2].[ReturnDate]","[Table2].[ReturnDate].&amp;["&amp;$A89&amp;"]")</f>
        <v>7</v>
      </c>
      <c r="AE89" s="20" t="b">
        <f t="shared" si="60"/>
        <v>1</v>
      </c>
      <c r="AF89" s="20" t="b">
        <f t="shared" si="61"/>
        <v>1</v>
      </c>
      <c r="AG89" s="20" t="b">
        <f t="shared" si="62"/>
        <v>1</v>
      </c>
      <c r="AI89" s="7">
        <f t="shared" si="49"/>
        <v>6.3950595171709717E-3</v>
      </c>
      <c r="AJ89" s="7">
        <f t="shared" si="50"/>
        <v>7.2380237297658924E-4</v>
      </c>
      <c r="AK89" s="7">
        <f t="shared" si="51"/>
        <v>-1.4985127966217493E-4</v>
      </c>
      <c r="AL89" s="7">
        <f t="shared" si="63"/>
        <v>6.9690106104853856E-3</v>
      </c>
      <c r="AM89" s="7">
        <f t="shared" si="52"/>
        <v>-4.2163511773553483E-6</v>
      </c>
      <c r="AN89" s="7">
        <f t="shared" si="64"/>
        <v>6.9647942593080306E-3</v>
      </c>
      <c r="AO89" s="7">
        <f t="shared" si="65"/>
        <v>-1.7663741333062959E-4</v>
      </c>
      <c r="AP89" s="7">
        <f t="shared" si="53"/>
        <v>6.788156845977401E-3</v>
      </c>
      <c r="AQ89" s="7">
        <f t="shared" si="54"/>
        <v>7.1188618901475605E-3</v>
      </c>
      <c r="AS89" s="7">
        <f t="shared" si="66"/>
        <v>6.3950595171709717E-3</v>
      </c>
      <c r="AT89" s="7">
        <f t="shared" si="67"/>
        <v>7.2380237297658924E-4</v>
      </c>
      <c r="AU89" s="7">
        <f t="shared" si="68"/>
        <v>7.1188618901475605E-3</v>
      </c>
      <c r="AV89" s="7">
        <f t="shared" si="69"/>
        <v>-1.4985127966217493E-4</v>
      </c>
      <c r="AW89" s="7">
        <f t="shared" si="70"/>
        <v>6.9690106104853856E-3</v>
      </c>
      <c r="AX89" s="7">
        <f t="shared" si="71"/>
        <v>-4.2163511773553483E-6</v>
      </c>
      <c r="AY89" s="7">
        <f t="shared" si="72"/>
        <v>6.9647942593080306E-3</v>
      </c>
      <c r="AZ89" s="7">
        <f t="shared" si="73"/>
        <v>-1.7663741333062959E-4</v>
      </c>
      <c r="BA89" s="7">
        <f t="shared" si="74"/>
        <v>6.788156845977401E-3</v>
      </c>
      <c r="BB89" s="7">
        <f t="shared" si="75"/>
        <v>7.1188618901475605E-3</v>
      </c>
      <c r="BC89" s="7"/>
      <c r="BD89">
        <f t="shared" si="76"/>
        <v>1</v>
      </c>
      <c r="BE89">
        <f t="shared" si="79"/>
        <v>1</v>
      </c>
      <c r="BF89" s="7" cm="1">
        <f t="array" ref="BF89">IF(ISNA($BA89),NA(),IF($BE89=0,"***",PRODUCT(1+AS87:AS89)-1))</f>
        <v>2.079585335294154E-2</v>
      </c>
      <c r="BG89" s="7" cm="1">
        <f t="array" ref="BG89">IF(ISNA($BA89),NA(),IF($BE89=0,"***",PRODUCT(1+AT87:AT89)-1))</f>
        <v>1.1082941374531696E-3</v>
      </c>
      <c r="BH89" s="7" cm="1">
        <f t="array" ref="BH89">IF(ISNA($BA89),NA(),IF($BE89=0,"***",PRODUCT(1+AU87:AU89)-1))</f>
        <v>2.1919827899628652E-2</v>
      </c>
      <c r="BI89" s="7" cm="1">
        <f t="array" ref="BI89">IF(ISNA($BA89),NA(),IF($BE89=0,"***",PRODUCT(1+AV87:AV89)-1))</f>
        <v>3.0066966641109083E-3</v>
      </c>
      <c r="BJ89" s="7" cm="1">
        <f t="array" ref="BJ89">IF(ISNA($BA89),NA(),IF($BE89=0,"***",PRODUCT(1+AW87:AW89)-1))</f>
        <v>2.4970054521320062E-2</v>
      </c>
      <c r="BK89" s="7" cm="1">
        <f t="array" ref="BK89">IF(ISNA($BA89),NA(),IF($BE89=0,"***",PRODUCT(1+AX87:AX89)-1))</f>
        <v>-2.4174597135995235E-5</v>
      </c>
      <c r="BL89" s="7" cm="1">
        <f t="array" ref="BL89">IF(ISNA($BA89),NA(),IF($BE89=0,"***",PRODUCT(1+AY87:AY89)-1))</f>
        <v>2.4945487264846467E-2</v>
      </c>
      <c r="BM89" s="7" cm="1">
        <f t="array" ref="BM89">IF(ISNA($BA89),NA(),IF($BE89=0,"***",PRODUCT(1+AZ87:AZ89)-1))</f>
        <v>7.7239636775638942E-4</v>
      </c>
      <c r="BN89" s="7" cm="1">
        <f t="array" ref="BN89">IF(ISNA($BA89),NA(),IF($BE89=0,"***",PRODUCT(1+BA87:BA89)-1))</f>
        <v>2.5729799186276381E-2</v>
      </c>
      <c r="BO89" s="7">
        <f t="shared" si="80"/>
        <v>1.1915553673524926E-5</v>
      </c>
      <c r="BP89" s="7">
        <f t="shared" si="81"/>
        <v>2.1761604342159936E-2</v>
      </c>
    </row>
    <row r="90" spans="1:68" x14ac:dyDescent="0.25">
      <c r="A90" t="str">
        <f t="shared" si="77"/>
        <v>20180831</v>
      </c>
      <c r="B90">
        <f t="shared" si="78"/>
        <v>43343</v>
      </c>
      <c r="C90">
        <v>2018</v>
      </c>
      <c r="D90">
        <v>8</v>
      </c>
      <c r="F90" s="20">
        <f>IFERROR(GETPIVOTDATA("[Measures].[Sum of CashInterest]",'Results PT'!$B$8,"[Table2].[ReturnDate]","[Table2].[ReturnDate].&amp;["&amp;$A90&amp;"]"),NA())</f>
        <v>24457414.560000002</v>
      </c>
      <c r="G90" s="20">
        <f>IFERROR(GETPIVOTDATA("[Measures].[Sum of AccrInterest]",'Results PT'!$B$8,"[Table2].[ReturnDate]","[Table2].[ReturnDate].&amp;["&amp;$A90&amp;"]"),NA())</f>
        <v>1573674.21</v>
      </c>
      <c r="H90" s="20">
        <f>IFERROR(GETPIVOTDATA("[Measures].[Sum of OtherIncome]",'Results PT'!$B$8,"[Table2].[ReturnDate]","[Table2].[ReturnDate].&amp;["&amp;$A90&amp;"]"),NA())</f>
        <v>4533009.09</v>
      </c>
      <c r="I90" s="20">
        <f>IFERROR(GETPIVOTDATA("[Measures].[Sum of Expenses]",'Results PT'!$B$8,"[Table2].[ReturnDate]","[Table2].[ReturnDate].&amp;["&amp;$A90&amp;"]"),NA())</f>
        <v>-14230.41</v>
      </c>
      <c r="J90" s="20">
        <f>IFERROR(GETPIVOTDATA("[Measures].[Sum of PrincipalFunded]",'Results PT'!$B$8,"[Table2].[ReturnDate]","[Table2].[ReturnDate].&amp;["&amp;$A90&amp;"]"),NA())</f>
        <v>-499108819.29000002</v>
      </c>
      <c r="K90" s="20">
        <f>IFERROR(GETPIVOTDATA("[Measures].[Sum of PrincipalRepaid]",'Results PT'!$B$8,"[Table2].[ReturnDate]","[Table2].[ReturnDate].&amp;["&amp;$A90&amp;"]"),NA())</f>
        <v>318694305.25999999</v>
      </c>
      <c r="L90" s="20"/>
      <c r="M90" s="20">
        <f>IFERROR(GETPIVOTDATA("[Measures].[Sum of StartValue]",'Results PT'!$B$8,"[Table2].[ReturnDate]","[Table2].[ReturnDate].&amp;["&amp;$A90&amp;"]"),NA())</f>
        <v>4356792994.4099998</v>
      </c>
      <c r="N90" s="20">
        <f>IFERROR(GETPIVOTDATA("[Measures].[Sum of EndValue]",'Results PT'!$B$8,"[Table2].[ReturnDate]","[Table2].[ReturnDate].&amp;["&amp;$A90&amp;"]"),NA())</f>
        <v>4709094085.7199993</v>
      </c>
      <c r="O90" s="20">
        <f>IFERROR(GETPIVOTDATA("[Measures].[Sum of StartPrincipal]",'Results PT'!$B$8,"[Table2].[ReturnDate]","[Table2].[ReturnDate].&amp;["&amp;$A90&amp;"]"),NA())</f>
        <v>4368431557.04</v>
      </c>
      <c r="P90" s="20">
        <f>IFERROR(GETPIVOTDATA("[Measures].[Sum of EndPrincipal]",'Results PT'!$B$8,"[Table2].[ReturnDate]","[Table2].[ReturnDate].&amp;["&amp;$A90&amp;"]"),NA())</f>
        <v>4719849187.5499992</v>
      </c>
      <c r="Q90" s="20">
        <f>IFERROR(GETPIVOTDATA("[Measures].[Sum of StartNAV]",'Results PT'!$B$8,"[Table2].[ReturnDate]","[Table2].[ReturnDate].&amp;["&amp;$A90&amp;"]"),NA())</f>
        <v>3388110535.0699987</v>
      </c>
      <c r="R90" s="20">
        <f>IFERROR(GETPIVOTDATA("[Measures].[Sum of EndNAV]",'Results PT'!$B$8,"[Table2].[ReturnDate]","[Table2].[ReturnDate].&amp;["&amp;$A90&amp;"]"),NA())</f>
        <v>3570723448.329999</v>
      </c>
      <c r="S90" s="20"/>
      <c r="T90" s="1">
        <f t="shared" si="55"/>
        <v>0</v>
      </c>
      <c r="U90" s="1">
        <f t="shared" si="56"/>
        <v>0</v>
      </c>
      <c r="V90">
        <f t="shared" si="57"/>
        <v>4</v>
      </c>
      <c r="W90" s="20">
        <f t="shared" si="47"/>
        <v>-151438320.79000002</v>
      </c>
      <c r="X90" s="20">
        <f t="shared" si="58"/>
        <v>31174592.470000267</v>
      </c>
      <c r="Y90" s="20">
        <f t="shared" si="48"/>
        <v>3463829695.4649987</v>
      </c>
      <c r="Z90" s="3">
        <f t="shared" si="59"/>
        <v>9.0000361480864488E-3</v>
      </c>
      <c r="AA90" s="20"/>
      <c r="AC90" s="20">
        <f>IFERROR(GETPIVOTDATA("[Measures].[Distinct Count of LoanID]",'Count PT'!$B$3,"[Table2].[ReturnDate]","[Table2].[ReturnDate].&amp;["&amp;$A90&amp;"]"),NA())</f>
        <v>142</v>
      </c>
      <c r="AD90" s="20">
        <f>GETPIVOTDATA("[Measures].[Distinct Count of ManagerCode 2]",'Count PT'!$B$3,"[Table2].[ReturnDate]","[Table2].[ReturnDate].&amp;["&amp;$A90&amp;"]")</f>
        <v>7</v>
      </c>
      <c r="AE90" s="20" t="b">
        <f t="shared" si="60"/>
        <v>1</v>
      </c>
      <c r="AF90" s="20" t="b">
        <f t="shared" si="61"/>
        <v>1</v>
      </c>
      <c r="AG90" s="20" t="b">
        <f t="shared" si="62"/>
        <v>1</v>
      </c>
      <c r="AI90" s="7">
        <f t="shared" si="49"/>
        <v>7.060801687802592E-3</v>
      </c>
      <c r="AJ90" s="7">
        <f t="shared" si="50"/>
        <v>4.5431627659417694E-4</v>
      </c>
      <c r="AK90" s="7">
        <f t="shared" si="51"/>
        <v>1.3086697351012433E-3</v>
      </c>
      <c r="AL90" s="7">
        <f t="shared" si="63"/>
        <v>8.8237876994980129E-3</v>
      </c>
      <c r="AM90" s="7">
        <f t="shared" si="52"/>
        <v>-4.1082880081059094E-6</v>
      </c>
      <c r="AN90" s="7">
        <f t="shared" si="64"/>
        <v>8.8196794114899068E-3</v>
      </c>
      <c r="AO90" s="7">
        <f t="shared" si="65"/>
        <v>1.8035673659654201E-4</v>
      </c>
      <c r="AP90" s="7">
        <f t="shared" si="53"/>
        <v>9.0000361480864488E-3</v>
      </c>
      <c r="AQ90" s="7">
        <f t="shared" si="54"/>
        <v>7.5151179643967699E-3</v>
      </c>
      <c r="AS90" s="7">
        <f t="shared" si="66"/>
        <v>7.060801687802592E-3</v>
      </c>
      <c r="AT90" s="7">
        <f t="shared" si="67"/>
        <v>4.5431627659417694E-4</v>
      </c>
      <c r="AU90" s="7">
        <f t="shared" si="68"/>
        <v>7.515117964396769E-3</v>
      </c>
      <c r="AV90" s="7">
        <f t="shared" si="69"/>
        <v>1.3086697351012433E-3</v>
      </c>
      <c r="AW90" s="7">
        <f t="shared" si="70"/>
        <v>8.8237876994980129E-3</v>
      </c>
      <c r="AX90" s="7">
        <f t="shared" si="71"/>
        <v>-4.1082880081059094E-6</v>
      </c>
      <c r="AY90" s="7">
        <f t="shared" si="72"/>
        <v>8.8196794114899068E-3</v>
      </c>
      <c r="AZ90" s="7">
        <f t="shared" si="73"/>
        <v>1.8035673659654201E-4</v>
      </c>
      <c r="BA90" s="7">
        <f t="shared" si="74"/>
        <v>9.0000361480864488E-3</v>
      </c>
      <c r="BB90" s="7">
        <f t="shared" si="75"/>
        <v>7.5151179643967699E-3</v>
      </c>
      <c r="BC90" s="7"/>
      <c r="BD90">
        <f t="shared" si="76"/>
        <v>1</v>
      </c>
      <c r="BE90">
        <f t="shared" si="79"/>
        <v>1</v>
      </c>
      <c r="BF90" s="7" cm="1">
        <f t="array" ref="BF90">IF(ISNA($BA90),NA(),IF($BE90=0,"***",PRODUCT(1+AS88:AS90)-1))</f>
        <v>2.0498912016187365E-2</v>
      </c>
      <c r="BG90" s="7" cm="1">
        <f t="array" ref="BG90">IF(ISNA($BA90),NA(),IF($BE90=0,"***",PRODUCT(1+AT88:AT90)-1))</f>
        <v>1.6086024754098371E-3</v>
      </c>
      <c r="BH90" s="7" cm="1">
        <f t="array" ref="BH90">IF(ISNA($BA90),NA(),IF($BE90=0,"***",PRODUCT(1+AU88:AU90)-1))</f>
        <v>2.2129526780151121E-2</v>
      </c>
      <c r="BI90" s="7" cm="1">
        <f t="array" ref="BI90">IF(ISNA($BA90),NA(),IF($BE90=0,"***",PRODUCT(1+AV88:AV90)-1))</f>
        <v>2.6860823248637811E-3</v>
      </c>
      <c r="BJ90" s="7" cm="1">
        <f t="array" ref="BJ90">IF(ISNA($BA90),NA(),IF($BE90=0,"***",PRODUCT(1+AW88:AW90)-1))</f>
        <v>2.4854778044525627E-2</v>
      </c>
      <c r="BK90" s="7" cm="1">
        <f t="array" ref="BK90">IF(ISNA($BA90),NA(),IF($BE90=0,"***",PRODUCT(1+AX88:AX90)-1))</f>
        <v>-1.0035246483020011E-5</v>
      </c>
      <c r="BL90" s="7" cm="1">
        <f t="array" ref="BL90">IF(ISNA($BA90),NA(),IF($BE90=0,"***",PRODUCT(1+AY88:AY90)-1))</f>
        <v>2.4844575502705579E-2</v>
      </c>
      <c r="BM90" s="7" cm="1">
        <f t="array" ref="BM90">IF(ISNA($BA90),NA(),IF($BE90=0,"***",PRODUCT(1+AZ88:AZ90)-1))</f>
        <v>-1.2718980194059704E-4</v>
      </c>
      <c r="BN90" s="7" cm="1">
        <f t="array" ref="BN90">IF(ISNA($BA90),NA(),IF($BE90=0,"***",PRODUCT(1+BA88:BA90)-1))</f>
        <v>2.4715040133709953E-2</v>
      </c>
      <c r="BO90" s="7">
        <f t="shared" si="80"/>
        <v>-2.3455670550287522E-6</v>
      </c>
      <c r="BP90" s="7">
        <f t="shared" si="81"/>
        <v>2.1968304947915948E-2</v>
      </c>
    </row>
    <row r="91" spans="1:68" x14ac:dyDescent="0.25">
      <c r="A91" t="str">
        <f t="shared" si="77"/>
        <v>20180930</v>
      </c>
      <c r="B91">
        <f t="shared" si="78"/>
        <v>43373</v>
      </c>
      <c r="C91">
        <v>2018</v>
      </c>
      <c r="D91">
        <v>9</v>
      </c>
      <c r="F91" s="20">
        <f>IFERROR(GETPIVOTDATA("[Measures].[Sum of CashInterest]",'Results PT'!$B$8,"[Table2].[ReturnDate]","[Table2].[ReturnDate].&amp;["&amp;$A91&amp;"]"),NA())</f>
        <v>24486015.980000008</v>
      </c>
      <c r="G91" s="20">
        <f>IFERROR(GETPIVOTDATA("[Measures].[Sum of AccrInterest]",'Results PT'!$B$8,"[Table2].[ReturnDate]","[Table2].[ReturnDate].&amp;["&amp;$A91&amp;"]"),NA())</f>
        <v>1230577.1800000002</v>
      </c>
      <c r="H91" s="20">
        <f>IFERROR(GETPIVOTDATA("[Measures].[Sum of OtherIncome]",'Results PT'!$B$8,"[Table2].[ReturnDate]","[Table2].[ReturnDate].&amp;["&amp;$A91&amp;"]"),NA())</f>
        <v>14286591.290000001</v>
      </c>
      <c r="I91" s="20">
        <f>IFERROR(GETPIVOTDATA("[Measures].[Sum of Expenses]",'Results PT'!$B$8,"[Table2].[ReturnDate]","[Table2].[ReturnDate].&amp;["&amp;$A91&amp;"]"),NA())</f>
        <v>-14544.78</v>
      </c>
      <c r="J91" s="20">
        <f>IFERROR(GETPIVOTDATA("[Measures].[Sum of PrincipalFunded]",'Results PT'!$B$8,"[Table2].[ReturnDate]","[Table2].[ReturnDate].&amp;["&amp;$A91&amp;"]"),NA())</f>
        <v>-290429265.08999997</v>
      </c>
      <c r="K91" s="20">
        <f>IFERROR(GETPIVOTDATA("[Measures].[Sum of PrincipalRepaid]",'Results PT'!$B$8,"[Table2].[ReturnDate]","[Table2].[ReturnDate].&amp;["&amp;$A91&amp;"]"),NA())</f>
        <v>197165627.72000003</v>
      </c>
      <c r="L91" s="20"/>
      <c r="M91" s="20">
        <f>IFERROR(GETPIVOTDATA("[Measures].[Sum of StartValue]",'Results PT'!$B$8,"[Table2].[ReturnDate]","[Table2].[ReturnDate].&amp;["&amp;$A91&amp;"]"),NA())</f>
        <v>4709094085.7199993</v>
      </c>
      <c r="N91" s="20">
        <f>IFERROR(GETPIVOTDATA("[Measures].[Sum of EndValue]",'Results PT'!$B$8,"[Table2].[ReturnDate]","[Table2].[ReturnDate].&amp;["&amp;$A91&amp;"]"),NA())</f>
        <v>4908438862.5299997</v>
      </c>
      <c r="O91" s="20">
        <f>IFERROR(GETPIVOTDATA("[Measures].[Sum of StartPrincipal]",'Results PT'!$B$8,"[Table2].[ReturnDate]","[Table2].[ReturnDate].&amp;["&amp;$A91&amp;"]"),NA())</f>
        <v>4719849187.5499992</v>
      </c>
      <c r="P91" s="20">
        <f>IFERROR(GETPIVOTDATA("[Measures].[Sum of EndPrincipal]",'Results PT'!$B$8,"[Table2].[ReturnDate]","[Table2].[ReturnDate].&amp;["&amp;$A91&amp;"]"),NA())</f>
        <v>4917443402.0900002</v>
      </c>
      <c r="Q91" s="20">
        <f>IFERROR(GETPIVOTDATA("[Measures].[Sum of StartNAV]",'Results PT'!$B$8,"[Table2].[ReturnDate]","[Table2].[ReturnDate].&amp;["&amp;$A91&amp;"]"),NA())</f>
        <v>3570723448.329999</v>
      </c>
      <c r="R91" s="20">
        <f>IFERROR(GETPIVOTDATA("[Measures].[Sum of EndNAV]",'Results PT'!$B$8,"[Table2].[ReturnDate]","[Table2].[ReturnDate].&amp;["&amp;$A91&amp;"]"),NA())</f>
        <v>3666968225.1399984</v>
      </c>
      <c r="S91" s="20"/>
      <c r="T91" s="1">
        <f t="shared" si="55"/>
        <v>0</v>
      </c>
      <c r="U91" s="1">
        <f t="shared" si="56"/>
        <v>0</v>
      </c>
      <c r="V91">
        <f t="shared" si="57"/>
        <v>4</v>
      </c>
      <c r="W91" s="20">
        <f t="shared" si="47"/>
        <v>-54505574.879999936</v>
      </c>
      <c r="X91" s="20">
        <f t="shared" si="58"/>
        <v>41739201.929999352</v>
      </c>
      <c r="Y91" s="20">
        <f t="shared" si="48"/>
        <v>3597976235.769999</v>
      </c>
      <c r="Z91" s="3">
        <f t="shared" si="59"/>
        <v>1.1600744194761694E-2</v>
      </c>
      <c r="AA91" s="20"/>
      <c r="AC91" s="20">
        <f>IFERROR(GETPIVOTDATA("[Measures].[Distinct Count of LoanID]",'Count PT'!$B$3,"[Table2].[ReturnDate]","[Table2].[ReturnDate].&amp;["&amp;$A91&amp;"]"),NA())</f>
        <v>144</v>
      </c>
      <c r="AD91" s="20">
        <f>GETPIVOTDATA("[Measures].[Distinct Count of ManagerCode 2]",'Count PT'!$B$3,"[Table2].[ReturnDate]","[Table2].[ReturnDate].&amp;["&amp;$A91&amp;"]")</f>
        <v>7</v>
      </c>
      <c r="AE91" s="20" t="b">
        <f t="shared" si="60"/>
        <v>1</v>
      </c>
      <c r="AF91" s="20" t="b">
        <f t="shared" si="61"/>
        <v>1</v>
      </c>
      <c r="AG91" s="20" t="b">
        <f t="shared" si="62"/>
        <v>1</v>
      </c>
      <c r="AI91" s="7">
        <f t="shared" si="49"/>
        <v>6.8054968614209817E-3</v>
      </c>
      <c r="AJ91" s="7">
        <f t="shared" si="50"/>
        <v>3.4201926287504947E-4</v>
      </c>
      <c r="AK91" s="7">
        <f t="shared" si="51"/>
        <v>3.9707297530114294E-3</v>
      </c>
      <c r="AL91" s="7">
        <f t="shared" si="63"/>
        <v>1.1118245877307462E-2</v>
      </c>
      <c r="AM91" s="7">
        <f t="shared" si="52"/>
        <v>-4.0424891791669346E-6</v>
      </c>
      <c r="AN91" s="7">
        <f t="shared" si="64"/>
        <v>1.1114203388128295E-2</v>
      </c>
      <c r="AO91" s="7">
        <f t="shared" si="65"/>
        <v>4.8654080663339955E-4</v>
      </c>
      <c r="AP91" s="7">
        <f t="shared" si="53"/>
        <v>1.1600744194761694E-2</v>
      </c>
      <c r="AQ91" s="7">
        <f t="shared" si="54"/>
        <v>7.1475161242960314E-3</v>
      </c>
      <c r="AS91" s="7">
        <f t="shared" si="66"/>
        <v>6.8054968614209817E-3</v>
      </c>
      <c r="AT91" s="7">
        <f t="shared" si="67"/>
        <v>3.4201926287504947E-4</v>
      </c>
      <c r="AU91" s="7">
        <f t="shared" si="68"/>
        <v>7.1475161242960314E-3</v>
      </c>
      <c r="AV91" s="7">
        <f t="shared" si="69"/>
        <v>3.9707297530114294E-3</v>
      </c>
      <c r="AW91" s="7">
        <f t="shared" si="70"/>
        <v>1.1118245877307462E-2</v>
      </c>
      <c r="AX91" s="7">
        <f t="shared" si="71"/>
        <v>-4.0424891791669346E-6</v>
      </c>
      <c r="AY91" s="7">
        <f t="shared" si="72"/>
        <v>1.1114203388128295E-2</v>
      </c>
      <c r="AZ91" s="7">
        <f t="shared" si="73"/>
        <v>4.8654080663339955E-4</v>
      </c>
      <c r="BA91" s="7">
        <f t="shared" si="74"/>
        <v>1.1600744194761694E-2</v>
      </c>
      <c r="BB91" s="7">
        <f t="shared" si="75"/>
        <v>7.1475161242960314E-3</v>
      </c>
      <c r="BC91" s="7"/>
      <c r="BD91">
        <f t="shared" si="76"/>
        <v>1</v>
      </c>
      <c r="BE91">
        <f t="shared" si="79"/>
        <v>1</v>
      </c>
      <c r="BF91" s="7" cm="1">
        <f t="array" ref="BF91">IF(ISNA($BA91),NA(),IF($BE91=0,"***",PRODUCT(1+AS89:AS91)-1))</f>
        <v>2.039839343171157E-2</v>
      </c>
      <c r="BG91" s="7" cm="1">
        <f t="array" ref="BG91">IF(ISNA($BA91),NA(),IF($BE91=0,"***",PRODUCT(1+AT89:AT91)-1))</f>
        <v>1.5208697993849274E-3</v>
      </c>
      <c r="BH91" s="7" cm="1">
        <f t="array" ref="BH91">IF(ISNA($BA91),NA(),IF($BE91=0,"***",PRODUCT(1+AU89:AU91)-1))</f>
        <v>2.1939974058276412E-2</v>
      </c>
      <c r="BI91" s="7" cm="1">
        <f t="array" ref="BI91">IF(ISNA($BA91),NA(),IF($BE91=0,"***",PRODUCT(1+AV89:AV91)-1))</f>
        <v>5.1339526788520828E-3</v>
      </c>
      <c r="BJ91" s="7" cm="1">
        <f t="array" ref="BJ91">IF(ISNA($BA91),NA(),IF($BE91=0,"***",PRODUCT(1+AW89:AW91)-1))</f>
        <v>2.7148809167167443E-2</v>
      </c>
      <c r="BK91" s="7" cm="1">
        <f t="array" ref="BK91">IF(ISNA($BA91),NA(),IF($BE91=0,"***",PRODUCT(1+AX89:AX91)-1))</f>
        <v>-1.2367077390385006E-5</v>
      </c>
      <c r="BL91" s="7" cm="1">
        <f t="array" ref="BL91">IF(ISNA($BA91),NA(),IF($BE91=0,"***",PRODUCT(1+AY89:AY91)-1))</f>
        <v>2.7136218877190199E-2</v>
      </c>
      <c r="BM91" s="7" cm="1">
        <f t="array" ref="BM91">IF(ISNA($BA91),NA(),IF($BE91=0,"***",PRODUCT(1+AZ89:AZ91)-1))</f>
        <v>4.9023006625437127E-4</v>
      </c>
      <c r="BN91" s="7" cm="1">
        <f t="array" ref="BN91">IF(ISNA($BA91),NA(),IF($BE91=0,"***",PRODUCT(1+BA89:BA91)-1))</f>
        <v>2.7633894365926448E-2</v>
      </c>
      <c r="BO91" s="7">
        <f t="shared" si="80"/>
        <v>7.4454224818776282E-6</v>
      </c>
      <c r="BP91" s="7">
        <f t="shared" si="81"/>
        <v>2.1781495978840361E-2</v>
      </c>
    </row>
    <row r="92" spans="1:68" x14ac:dyDescent="0.25">
      <c r="A92" t="str">
        <f t="shared" si="77"/>
        <v>20181031</v>
      </c>
      <c r="B92">
        <f t="shared" si="78"/>
        <v>43404</v>
      </c>
      <c r="C92">
        <v>2018</v>
      </c>
      <c r="D92">
        <v>10</v>
      </c>
      <c r="F92" s="20">
        <f>IFERROR(GETPIVOTDATA("[Measures].[Sum of CashInterest]",'Results PT'!$B$8,"[Table2].[ReturnDate]","[Table2].[ReturnDate].&amp;["&amp;$A92&amp;"]"),NA())</f>
        <v>26805715.190000001</v>
      </c>
      <c r="G92" s="20">
        <f>IFERROR(GETPIVOTDATA("[Measures].[Sum of AccrInterest]",'Results PT'!$B$8,"[Table2].[ReturnDate]","[Table2].[ReturnDate].&amp;["&amp;$A92&amp;"]"),NA())</f>
        <v>2251728.4599999995</v>
      </c>
      <c r="H92" s="20">
        <f>IFERROR(GETPIVOTDATA("[Measures].[Sum of OtherIncome]",'Results PT'!$B$8,"[Table2].[ReturnDate]","[Table2].[ReturnDate].&amp;["&amp;$A92&amp;"]"),NA())</f>
        <v>1794764.95</v>
      </c>
      <c r="I92" s="20">
        <f>IFERROR(GETPIVOTDATA("[Measures].[Sum of Expenses]",'Results PT'!$B$8,"[Table2].[ReturnDate]","[Table2].[ReturnDate].&amp;["&amp;$A92&amp;"]"),NA())</f>
        <v>-13478.34</v>
      </c>
      <c r="J92" s="20">
        <f>IFERROR(GETPIVOTDATA("[Measures].[Sum of PrincipalFunded]",'Results PT'!$B$8,"[Table2].[ReturnDate]","[Table2].[ReturnDate].&amp;["&amp;$A92&amp;"]"),NA())</f>
        <v>-183357595.18000001</v>
      </c>
      <c r="K92" s="20">
        <f>IFERROR(GETPIVOTDATA("[Measures].[Sum of PrincipalRepaid]",'Results PT'!$B$8,"[Table2].[ReturnDate]","[Table2].[ReturnDate].&amp;["&amp;$A92&amp;"]"),NA())</f>
        <v>146807250.05000001</v>
      </c>
      <c r="L92" s="20"/>
      <c r="M92" s="20">
        <f>IFERROR(GETPIVOTDATA("[Measures].[Sum of StartValue]",'Results PT'!$B$8,"[Table2].[ReturnDate]","[Table2].[ReturnDate].&amp;["&amp;$A92&amp;"]"),NA())</f>
        <v>4890824103.7399998</v>
      </c>
      <c r="N92" s="20">
        <f>IFERROR(GETPIVOTDATA("[Measures].[Sum of EndValue]",'Results PT'!$B$8,"[Table2].[ReturnDate]","[Table2].[ReturnDate].&amp;["&amp;$A92&amp;"]"),NA())</f>
        <v>4991203709.3699999</v>
      </c>
      <c r="O92" s="20">
        <f>IFERROR(GETPIVOTDATA("[Measures].[Sum of StartPrincipal]",'Results PT'!$B$8,"[Table2].[ReturnDate]","[Table2].[ReturnDate].&amp;["&amp;$A92&amp;"]"),NA())</f>
        <v>4899121915.170001</v>
      </c>
      <c r="P92" s="20">
        <f>IFERROR(GETPIVOTDATA("[Measures].[Sum of EndPrincipal]",'Results PT'!$B$8,"[Table2].[ReturnDate]","[Table2].[ReturnDate].&amp;["&amp;$A92&amp;"]"),NA())</f>
        <v>5006823988.8200006</v>
      </c>
      <c r="Q92" s="20">
        <f>IFERROR(GETPIVOTDATA("[Measures].[Sum of StartNAV]",'Results PT'!$B$8,"[Table2].[ReturnDate]","[Table2].[ReturnDate].&amp;["&amp;$A92&amp;"]"),NA())</f>
        <v>3716974376.9599991</v>
      </c>
      <c r="R92" s="20">
        <f>IFERROR(GETPIVOTDATA("[Measures].[Sum of EndNAV]",'Results PT'!$B$8,"[Table2].[ReturnDate]","[Table2].[ReturnDate].&amp;["&amp;$A92&amp;"]"),NA())</f>
        <v>3748453982.5899997</v>
      </c>
      <c r="S92" s="20"/>
      <c r="T92" s="1">
        <f t="shared" si="55"/>
        <v>-17614758.789999962</v>
      </c>
      <c r="U92" s="1">
        <f t="shared" si="56"/>
        <v>-18321486.919999123</v>
      </c>
      <c r="V92">
        <f t="shared" si="57"/>
        <v>4</v>
      </c>
      <c r="W92" s="20">
        <f t="shared" si="47"/>
        <v>-7963343.3299999833</v>
      </c>
      <c r="X92" s="20">
        <f t="shared" si="58"/>
        <v>23516262.300000668</v>
      </c>
      <c r="Y92" s="20">
        <f t="shared" si="48"/>
        <v>3720956048.624999</v>
      </c>
      <c r="Z92" s="3">
        <f t="shared" si="59"/>
        <v>6.3199516448711095E-3</v>
      </c>
      <c r="AC92" s="20">
        <f>IFERROR(GETPIVOTDATA("[Measures].[Distinct Count of LoanID]",'Count PT'!$B$3,"[Table2].[ReturnDate]","[Table2].[ReturnDate].&amp;["&amp;$A92&amp;"]"),NA())</f>
        <v>149</v>
      </c>
      <c r="AD92" s="20">
        <f>GETPIVOTDATA("[Measures].[Distinct Count of ManagerCode 2]",'Count PT'!$B$3,"[Table2].[ReturnDate]","[Table2].[ReturnDate].&amp;["&amp;$A92&amp;"]")</f>
        <v>7</v>
      </c>
      <c r="AE92" s="20" t="b">
        <f t="shared" si="60"/>
        <v>1</v>
      </c>
      <c r="AF92" s="20" t="b">
        <f t="shared" si="61"/>
        <v>1</v>
      </c>
      <c r="AG92" s="20" t="b">
        <f t="shared" si="62"/>
        <v>1</v>
      </c>
      <c r="AI92" s="7">
        <f t="shared" si="49"/>
        <v>7.2039859755681579E-3</v>
      </c>
      <c r="AJ92" s="7">
        <f t="shared" si="50"/>
        <v>6.051478250682585E-4</v>
      </c>
      <c r="AK92" s="7">
        <f t="shared" si="51"/>
        <v>4.8233973380664292E-4</v>
      </c>
      <c r="AL92" s="7">
        <f t="shared" si="63"/>
        <v>8.2914735344430598E-3</v>
      </c>
      <c r="AM92" s="7">
        <f t="shared" si="52"/>
        <v>-3.6222787433838776E-6</v>
      </c>
      <c r="AN92" s="7">
        <f t="shared" si="64"/>
        <v>8.2878512556996756E-3</v>
      </c>
      <c r="AO92" s="7">
        <f t="shared" si="65"/>
        <v>-1.9678996108285661E-3</v>
      </c>
      <c r="AP92" s="7">
        <f t="shared" si="53"/>
        <v>6.3199516448711095E-3</v>
      </c>
      <c r="AQ92" s="7">
        <f t="shared" si="54"/>
        <v>7.8091338006364168E-3</v>
      </c>
      <c r="AS92" s="7">
        <f t="shared" si="66"/>
        <v>7.2039859755681579E-3</v>
      </c>
      <c r="AT92" s="7">
        <f t="shared" si="67"/>
        <v>6.051478250682585E-4</v>
      </c>
      <c r="AU92" s="7">
        <f t="shared" si="68"/>
        <v>7.8091338006364168E-3</v>
      </c>
      <c r="AV92" s="7">
        <f t="shared" si="69"/>
        <v>4.8233973380664292E-4</v>
      </c>
      <c r="AW92" s="7">
        <f t="shared" si="70"/>
        <v>8.2914735344430598E-3</v>
      </c>
      <c r="AX92" s="7">
        <f t="shared" si="71"/>
        <v>-3.6222787433838776E-6</v>
      </c>
      <c r="AY92" s="7">
        <f t="shared" si="72"/>
        <v>8.2878512556996756E-3</v>
      </c>
      <c r="AZ92" s="7">
        <f t="shared" si="73"/>
        <v>-1.9678996108285661E-3</v>
      </c>
      <c r="BA92" s="7">
        <f t="shared" si="74"/>
        <v>6.3199516448711095E-3</v>
      </c>
      <c r="BB92" s="7">
        <f t="shared" si="75"/>
        <v>7.8091338006364168E-3</v>
      </c>
      <c r="BC92" s="7"/>
      <c r="BD92">
        <f t="shared" si="76"/>
        <v>1</v>
      </c>
      <c r="BE92">
        <f t="shared" si="79"/>
        <v>1</v>
      </c>
      <c r="BF92" s="7" cm="1">
        <f t="array" ref="BF92">IF(ISNA($BA92),NA(),IF($BE92=0,"***",PRODUCT(1+AS90:AS92)-1))</f>
        <v>2.1218575576632981E-2</v>
      </c>
      <c r="BG92" s="7" cm="1">
        <f t="array" ref="BG92">IF(ISNA($BA92),NA(),IF($BE92=0,"***",PRODUCT(1+AT90:AT92)-1))</f>
        <v>1.4021207442060923E-3</v>
      </c>
      <c r="BH92" s="7" cm="1">
        <f t="array" ref="BH92">IF(ISNA($BA92),NA(),IF($BE92=0,"***",PRODUCT(1+AU90:AU92)-1))</f>
        <v>2.2640404250770407E-2</v>
      </c>
      <c r="BI92" s="7" cm="1">
        <f t="array" ref="BI92">IF(ISNA($BA92),NA(),IF($BE92=0,"***",PRODUCT(1+AV90:AV92)-1))</f>
        <v>5.7694845663347483E-3</v>
      </c>
      <c r="BJ92" s="7" cm="1">
        <f t="array" ref="BJ92">IF(ISNA($BA92),NA(),IF($BE92=0,"***",PRODUCT(1+AW90:AW92)-1))</f>
        <v>2.8497774431438527E-2</v>
      </c>
      <c r="BK92" s="7" cm="1">
        <f t="array" ref="BK92">IF(ISNA($BA92),NA(),IF($BE92=0,"***",PRODUCT(1+AX90:AX92)-1))</f>
        <v>-1.1773009798710099E-5</v>
      </c>
      <c r="BL92" s="7" cm="1">
        <f t="array" ref="BL92">IF(ISNA($BA92),NA(),IF($BE92=0,"***",PRODUCT(1+AY90:AY92)-1))</f>
        <v>2.8485779227641617E-2</v>
      </c>
      <c r="BM92" s="7" cm="1">
        <f t="array" ref="BM92">IF(ISNA($BA92),NA(),IF($BE92=0,"***",PRODUCT(1+AZ90:AZ92)-1))</f>
        <v>-1.3022268767871603E-3</v>
      </c>
      <c r="BN92" s="7" cm="1">
        <f t="array" ref="BN92">IF(ISNA($BA92),NA(),IF($BE92=0,"***",PRODUCT(1+BA90:BA92)-1))</f>
        <v>2.7155994888361512E-2</v>
      </c>
      <c r="BO92" s="7">
        <f t="shared" si="80"/>
        <v>-2.7557462492944218E-5</v>
      </c>
      <c r="BP92" s="7">
        <f t="shared" si="81"/>
        <v>2.2471767889329218E-2</v>
      </c>
    </row>
    <row r="93" spans="1:68" x14ac:dyDescent="0.25">
      <c r="A93" t="str">
        <f t="shared" si="77"/>
        <v>20181130</v>
      </c>
      <c r="B93">
        <f t="shared" si="78"/>
        <v>43434</v>
      </c>
      <c r="C93">
        <v>2018</v>
      </c>
      <c r="D93">
        <v>11</v>
      </c>
      <c r="F93" s="20">
        <f>IFERROR(GETPIVOTDATA("[Measures].[Sum of CashInterest]",'Results PT'!$B$8,"[Table2].[ReturnDate]","[Table2].[ReturnDate].&amp;["&amp;$A93&amp;"]"),NA())</f>
        <v>27188294.889999997</v>
      </c>
      <c r="G93" s="20">
        <f>IFERROR(GETPIVOTDATA("[Measures].[Sum of AccrInterest]",'Results PT'!$B$8,"[Table2].[ReturnDate]","[Table2].[ReturnDate].&amp;["&amp;$A93&amp;"]"),NA())</f>
        <v>1396966.5800000005</v>
      </c>
      <c r="H93" s="20">
        <f>IFERROR(GETPIVOTDATA("[Measures].[Sum of OtherIncome]",'Results PT'!$B$8,"[Table2].[ReturnDate]","[Table2].[ReturnDate].&amp;["&amp;$A93&amp;"]"),NA())</f>
        <v>1783812.45</v>
      </c>
      <c r="I93" s="20">
        <f>IFERROR(GETPIVOTDATA("[Measures].[Sum of Expenses]",'Results PT'!$B$8,"[Table2].[ReturnDate]","[Table2].[ReturnDate].&amp;["&amp;$A93&amp;"]"),NA())</f>
        <v>-14246.88</v>
      </c>
      <c r="J93" s="20">
        <f>IFERROR(GETPIVOTDATA("[Measures].[Sum of PrincipalFunded]",'Results PT'!$B$8,"[Table2].[ReturnDate]","[Table2].[ReturnDate].&amp;["&amp;$A93&amp;"]"),NA())</f>
        <v>-654584080.16999996</v>
      </c>
      <c r="K93" s="20">
        <f>IFERROR(GETPIVOTDATA("[Measures].[Sum of PrincipalRepaid]",'Results PT'!$B$8,"[Table2].[ReturnDate]","[Table2].[ReturnDate].&amp;["&amp;$A93&amp;"]"),NA())</f>
        <v>311593193.19999999</v>
      </c>
      <c r="L93" s="20"/>
      <c r="M93" s="20">
        <f>IFERROR(GETPIVOTDATA("[Measures].[Sum of StartValue]",'Results PT'!$B$8,"[Table2].[ReturnDate]","[Table2].[ReturnDate].&amp;["&amp;$A93&amp;"]"),NA())</f>
        <v>4991203709.3699999</v>
      </c>
      <c r="N93" s="20">
        <f>IFERROR(GETPIVOTDATA("[Measures].[Sum of EndValue]",'Results PT'!$B$8,"[Table2].[ReturnDate]","[Table2].[ReturnDate].&amp;["&amp;$A93&amp;"]"),NA())</f>
        <v>5527063507.9899998</v>
      </c>
      <c r="O93" s="20">
        <f>IFERROR(GETPIVOTDATA("[Measures].[Sum of StartPrincipal]",'Results PT'!$B$8,"[Table2].[ReturnDate]","[Table2].[ReturnDate].&amp;["&amp;$A93&amp;"]"),NA())</f>
        <v>5006823988.8200006</v>
      </c>
      <c r="P93" s="20">
        <f>IFERROR(GETPIVOTDATA("[Measures].[Sum of EndPrincipal]",'Results PT'!$B$8,"[Table2].[ReturnDate]","[Table2].[ReturnDate].&amp;["&amp;$A93&amp;"]"),NA())</f>
        <v>5541222092.2799997</v>
      </c>
      <c r="Q93" s="20">
        <f>IFERROR(GETPIVOTDATA("[Measures].[Sum of StartNAV]",'Results PT'!$B$8,"[Table2].[ReturnDate]","[Table2].[ReturnDate].&amp;["&amp;$A93&amp;"]"),NA())</f>
        <v>3748453982.5899997</v>
      </c>
      <c r="R93" s="20">
        <f>IFERROR(GETPIVOTDATA("[Measures].[Sum of EndNAV]",'Results PT'!$B$8,"[Table2].[ReturnDate]","[Table2].[ReturnDate].&amp;["&amp;$A93&amp;"]"),NA())</f>
        <v>4094303531.2099986</v>
      </c>
      <c r="S93" s="20"/>
      <c r="T93" s="1">
        <f t="shared" si="55"/>
        <v>0</v>
      </c>
      <c r="U93" s="1">
        <f t="shared" si="56"/>
        <v>0</v>
      </c>
      <c r="V93">
        <f t="shared" si="57"/>
        <v>4</v>
      </c>
      <c r="W93" s="20">
        <f t="shared" si="47"/>
        <v>-314033026.50999993</v>
      </c>
      <c r="X93" s="20">
        <f t="shared" si="58"/>
        <v>31816522.10999918</v>
      </c>
      <c r="Y93" s="20">
        <f t="shared" si="48"/>
        <v>3905470495.8449998</v>
      </c>
      <c r="Z93" s="3">
        <f t="shared" si="59"/>
        <v>8.1466553501936666E-3</v>
      </c>
      <c r="AC93" s="20">
        <f>IFERROR(GETPIVOTDATA("[Measures].[Distinct Count of LoanID]",'Count PT'!$B$3,"[Table2].[ReturnDate]","[Table2].[ReturnDate].&amp;["&amp;$A93&amp;"]"),NA())</f>
        <v>158</v>
      </c>
      <c r="AD93" s="20">
        <f>GETPIVOTDATA("[Measures].[Distinct Count of ManagerCode 2]",'Count PT'!$B$3,"[Table2].[ReturnDate]","[Table2].[ReturnDate].&amp;["&amp;$A93&amp;"]")</f>
        <v>7</v>
      </c>
      <c r="AE93" s="20" t="b">
        <f t="shared" si="60"/>
        <v>1</v>
      </c>
      <c r="AF93" s="20" t="b">
        <f t="shared" si="61"/>
        <v>1</v>
      </c>
      <c r="AG93" s="20" t="b">
        <f t="shared" si="62"/>
        <v>1</v>
      </c>
      <c r="AI93" s="7">
        <f t="shared" si="49"/>
        <v>6.9615926989911757E-3</v>
      </c>
      <c r="AJ93" s="7">
        <f t="shared" si="50"/>
        <v>3.5769482357790762E-4</v>
      </c>
      <c r="AK93" s="7">
        <f t="shared" si="51"/>
        <v>4.5674713248961538E-4</v>
      </c>
      <c r="AL93" s="7">
        <f t="shared" si="63"/>
        <v>7.7760346550586985E-3</v>
      </c>
      <c r="AM93" s="7">
        <f t="shared" si="52"/>
        <v>-3.6479292354550228E-6</v>
      </c>
      <c r="AN93" s="7">
        <f t="shared" si="64"/>
        <v>7.7723867258232436E-3</v>
      </c>
      <c r="AO93" s="7">
        <f t="shared" si="65"/>
        <v>3.7426862437042307E-4</v>
      </c>
      <c r="AP93" s="7">
        <f t="shared" si="53"/>
        <v>8.1466553501936666E-3</v>
      </c>
      <c r="AQ93" s="7">
        <f t="shared" si="54"/>
        <v>7.3192875225690833E-3</v>
      </c>
      <c r="AS93" s="7">
        <f t="shared" si="66"/>
        <v>6.9615926989911757E-3</v>
      </c>
      <c r="AT93" s="7">
        <f t="shared" si="67"/>
        <v>3.5769482357790762E-4</v>
      </c>
      <c r="AU93" s="7">
        <f t="shared" si="68"/>
        <v>7.3192875225690833E-3</v>
      </c>
      <c r="AV93" s="7">
        <f t="shared" si="69"/>
        <v>4.5674713248961538E-4</v>
      </c>
      <c r="AW93" s="7">
        <f t="shared" si="70"/>
        <v>7.7760346550586985E-3</v>
      </c>
      <c r="AX93" s="7">
        <f t="shared" si="71"/>
        <v>-3.6479292354550228E-6</v>
      </c>
      <c r="AY93" s="7">
        <f t="shared" si="72"/>
        <v>7.7723867258232436E-3</v>
      </c>
      <c r="AZ93" s="7">
        <f t="shared" si="73"/>
        <v>3.7426862437042307E-4</v>
      </c>
      <c r="BA93" s="7">
        <f t="shared" si="74"/>
        <v>8.1466553501936666E-3</v>
      </c>
      <c r="BB93" s="7">
        <f t="shared" si="75"/>
        <v>7.3192875225690833E-3</v>
      </c>
      <c r="BC93" s="7"/>
      <c r="BD93">
        <f t="shared" si="76"/>
        <v>1</v>
      </c>
      <c r="BE93">
        <f t="shared" si="79"/>
        <v>1</v>
      </c>
      <c r="BF93" s="7" cm="1">
        <f t="array" ref="BF93">IF(ISNA($BA93),NA(),IF($BE93=0,"***",PRODUCT(1+AS91:AS93)-1))</f>
        <v>2.1117971857305573E-2</v>
      </c>
      <c r="BG93" s="7" cm="1">
        <f t="array" ref="BG93">IF(ISNA($BA93),NA(),IF($BE93=0,"***",PRODUCT(1+AT91:AT93)-1))</f>
        <v>1.3054077545315845E-3</v>
      </c>
      <c r="BH93" s="7" cm="1">
        <f t="array" ref="BH93">IF(ISNA($BA93),NA(),IF($BE93=0,"***",PRODUCT(1+AU91:AU93)-1))</f>
        <v>2.2441633911125303E-2</v>
      </c>
      <c r="BI93" s="7" cm="1">
        <f t="array" ref="BI93">IF(ISNA($BA93),NA(),IF($BE93=0,"***",PRODUCT(1+AV91:AV93)-1))</f>
        <v>4.9137666615393094E-3</v>
      </c>
      <c r="BJ93" s="7" cm="1">
        <f t="array" ref="BJ93">IF(ISNA($BA93),NA(),IF($BE93=0,"***",PRODUCT(1+AW91:AW93)-1))</f>
        <v>2.7429588205559519E-2</v>
      </c>
      <c r="BK93" s="7" cm="1">
        <f t="array" ref="BK93">IF(ISNA($BA93),NA(),IF($BE93=0,"***",PRODUCT(1+AX91:AX93)-1))</f>
        <v>-1.131265455445174E-5</v>
      </c>
      <c r="BL93" s="7" cm="1">
        <f t="array" ref="BL93">IF(ISNA($BA93),NA(),IF($BE93=0,"***",PRODUCT(1+AY91:AY93)-1))</f>
        <v>2.741807044293032E-2</v>
      </c>
      <c r="BM93" s="7" cm="1">
        <f t="array" ref="BM93">IF(ISNA($BA93),NA(),IF($BE93=0,"***",PRODUCT(1+AZ91:AZ93)-1))</f>
        <v>-1.10860242775912E-3</v>
      </c>
      <c r="BN93" s="7" cm="1">
        <f t="array" ref="BN93">IF(ISNA($BA93),NA(),IF($BE93=0,"***",PRODUCT(1+BA91:BA93)-1))</f>
        <v>2.6287258346166409E-2</v>
      </c>
      <c r="BO93" s="7">
        <f t="shared" si="80"/>
        <v>-2.2209669004791266E-5</v>
      </c>
      <c r="BP93" s="7">
        <f t="shared" si="81"/>
        <v>2.2275937447501531E-2</v>
      </c>
    </row>
    <row r="94" spans="1:68" x14ac:dyDescent="0.25">
      <c r="A94" t="str">
        <f t="shared" si="77"/>
        <v>20181231</v>
      </c>
      <c r="B94">
        <f t="shared" si="78"/>
        <v>43465</v>
      </c>
      <c r="C94">
        <v>2018</v>
      </c>
      <c r="D94">
        <v>12</v>
      </c>
      <c r="F94" s="20">
        <f>IFERROR(GETPIVOTDATA("[Measures].[Sum of CashInterest]",'Results PT'!$B$8,"[Table2].[ReturnDate]","[Table2].[ReturnDate].&amp;["&amp;$A94&amp;"]"),NA())</f>
        <v>27638412.590000007</v>
      </c>
      <c r="G94" s="20">
        <f>IFERROR(GETPIVOTDATA("[Measures].[Sum of AccrInterest]",'Results PT'!$B$8,"[Table2].[ReturnDate]","[Table2].[ReturnDate].&amp;["&amp;$A94&amp;"]"),NA())</f>
        <v>1239916.9000000006</v>
      </c>
      <c r="H94" s="20">
        <f>IFERROR(GETPIVOTDATA("[Measures].[Sum of OtherIncome]",'Results PT'!$B$8,"[Table2].[ReturnDate]","[Table2].[ReturnDate].&amp;["&amp;$A94&amp;"]"),NA())</f>
        <v>3070454.27</v>
      </c>
      <c r="I94" s="20">
        <f>IFERROR(GETPIVOTDATA("[Measures].[Sum of Expenses]",'Results PT'!$B$8,"[Table2].[ReturnDate]","[Table2].[ReturnDate].&amp;["&amp;$A94&amp;"]"),NA())</f>
        <v>-13937.330000000002</v>
      </c>
      <c r="J94" s="20">
        <f>IFERROR(GETPIVOTDATA("[Measures].[Sum of PrincipalFunded]",'Results PT'!$B$8,"[Table2].[ReturnDate]","[Table2].[ReturnDate].&amp;["&amp;$A94&amp;"]"),NA())</f>
        <v>-445731237.38999999</v>
      </c>
      <c r="K94" s="20">
        <f>IFERROR(GETPIVOTDATA("[Measures].[Sum of PrincipalRepaid]",'Results PT'!$B$8,"[Table2].[ReturnDate]","[Table2].[ReturnDate].&amp;["&amp;$A94&amp;"]"),NA())</f>
        <v>331493325.41000003</v>
      </c>
      <c r="L94" s="20"/>
      <c r="M94" s="20">
        <f>IFERROR(GETPIVOTDATA("[Measures].[Sum of StartValue]",'Results PT'!$B$8,"[Table2].[ReturnDate]","[Table2].[ReturnDate].&amp;["&amp;$A94&amp;"]"),NA())</f>
        <v>5629563507.9899998</v>
      </c>
      <c r="N94" s="20">
        <f>IFERROR(GETPIVOTDATA("[Measures].[Sum of EndValue]",'Results PT'!$B$8,"[Table2].[ReturnDate]","[Table2].[ReturnDate].&amp;["&amp;$A94&amp;"]"),NA())</f>
        <v>5933101881.5800028</v>
      </c>
      <c r="O94" s="20">
        <f>IFERROR(GETPIVOTDATA("[Measures].[Sum of StartPrincipal]",'Results PT'!$B$8,"[Table2].[ReturnDate]","[Table2].[ReturnDate].&amp;["&amp;$A94&amp;"]"),NA())</f>
        <v>5643722092.2799997</v>
      </c>
      <c r="P94" s="20">
        <f>IFERROR(GETPIVOTDATA("[Measures].[Sum of EndPrincipal]",'Results PT'!$B$8,"[Table2].[ReturnDate]","[Table2].[ReturnDate].&amp;["&amp;$A94&amp;"]"),NA())</f>
        <v>5941697463.2200012</v>
      </c>
      <c r="Q94" s="20">
        <f>IFERROR(GETPIVOTDATA("[Measures].[Sum of StartNAV]",'Results PT'!$B$8,"[Table2].[ReturnDate]","[Table2].[ReturnDate].&amp;["&amp;$A94&amp;"]"),NA())</f>
        <v>4196803531.2099986</v>
      </c>
      <c r="R94" s="20">
        <f>IFERROR(GETPIVOTDATA("[Measures].[Sum of EndNAV]",'Results PT'!$B$8,"[Table2].[ReturnDate]","[Table2].[ReturnDate].&amp;["&amp;$A94&amp;"]"),NA())</f>
        <v>4317844362.8000002</v>
      </c>
      <c r="S94" s="20"/>
      <c r="T94" s="1">
        <f t="shared" si="55"/>
        <v>102500000</v>
      </c>
      <c r="U94" s="1">
        <f t="shared" si="56"/>
        <v>102500000</v>
      </c>
      <c r="V94">
        <f t="shared" si="57"/>
        <v>4</v>
      </c>
      <c r="W94" s="20">
        <f t="shared" si="47"/>
        <v>-83542982.449999928</v>
      </c>
      <c r="X94" s="20">
        <f t="shared" si="58"/>
        <v>37497849.140001774</v>
      </c>
      <c r="Y94" s="20">
        <f t="shared" si="48"/>
        <v>4238575022.4349985</v>
      </c>
      <c r="Z94" s="3">
        <f t="shared" si="59"/>
        <v>8.8468055753463618E-3</v>
      </c>
      <c r="AC94" s="20">
        <f>IFERROR(GETPIVOTDATA("[Measures].[Distinct Count of LoanID]",'Count PT'!$B$3,"[Table2].[ReturnDate]","[Table2].[ReturnDate].&amp;["&amp;$A94&amp;"]"),NA())</f>
        <v>169</v>
      </c>
      <c r="AD94" s="20">
        <f>GETPIVOTDATA("[Measures].[Distinct Count of ManagerCode 2]",'Count PT'!$B$3,"[Table2].[ReturnDate]","[Table2].[ReturnDate].&amp;["&amp;$A94&amp;"]")</f>
        <v>8</v>
      </c>
      <c r="AE94" s="20" t="b">
        <f t="shared" si="60"/>
        <v>1</v>
      </c>
      <c r="AF94" s="20" t="b">
        <f t="shared" si="61"/>
        <v>1</v>
      </c>
      <c r="AG94" s="20" t="b">
        <f t="shared" si="62"/>
        <v>1</v>
      </c>
      <c r="AI94" s="7">
        <f t="shared" si="49"/>
        <v>6.5206850046792726E-3</v>
      </c>
      <c r="AJ94" s="7">
        <f t="shared" si="50"/>
        <v>2.9253154502092234E-4</v>
      </c>
      <c r="AK94" s="7">
        <f t="shared" si="51"/>
        <v>7.2440720141743996E-4</v>
      </c>
      <c r="AL94" s="7">
        <f t="shared" si="63"/>
        <v>7.5376237511176345E-3</v>
      </c>
      <c r="AM94" s="7">
        <f t="shared" si="52"/>
        <v>-3.2882112328386281E-6</v>
      </c>
      <c r="AN94" s="7">
        <f t="shared" si="64"/>
        <v>7.5343355398847962E-3</v>
      </c>
      <c r="AO94" s="7">
        <f t="shared" si="65"/>
        <v>1.3124700354615656E-3</v>
      </c>
      <c r="AP94" s="7">
        <f t="shared" si="53"/>
        <v>8.8468055753463618E-3</v>
      </c>
      <c r="AQ94" s="7">
        <f t="shared" si="54"/>
        <v>6.8132165497001955E-3</v>
      </c>
      <c r="AS94" s="7">
        <f t="shared" si="66"/>
        <v>6.5206850046792726E-3</v>
      </c>
      <c r="AT94" s="7">
        <f t="shared" si="67"/>
        <v>2.9253154502092234E-4</v>
      </c>
      <c r="AU94" s="7">
        <f t="shared" si="68"/>
        <v>6.8132165497001946E-3</v>
      </c>
      <c r="AV94" s="7">
        <f t="shared" si="69"/>
        <v>7.2440720141743996E-4</v>
      </c>
      <c r="AW94" s="7">
        <f t="shared" si="70"/>
        <v>7.5376237511176345E-3</v>
      </c>
      <c r="AX94" s="7">
        <f t="shared" si="71"/>
        <v>-3.2882112328386281E-6</v>
      </c>
      <c r="AY94" s="7">
        <f t="shared" si="72"/>
        <v>7.5343355398847962E-3</v>
      </c>
      <c r="AZ94" s="7">
        <f t="shared" si="73"/>
        <v>1.3124700354615656E-3</v>
      </c>
      <c r="BA94" s="7">
        <f t="shared" si="74"/>
        <v>8.8468055753463618E-3</v>
      </c>
      <c r="BB94" s="7">
        <f t="shared" si="75"/>
        <v>6.8132165497001955E-3</v>
      </c>
      <c r="BC94" s="7"/>
      <c r="BD94">
        <f t="shared" si="76"/>
        <v>1</v>
      </c>
      <c r="BE94">
        <f t="shared" si="79"/>
        <v>1</v>
      </c>
      <c r="BF94" s="7" cm="1">
        <f t="array" ref="BF94">IF(ISNA($BA94),NA(),IF($BE94=0,"***",PRODUCT(1+AS92:AS94)-1))</f>
        <v>2.0829111192139038E-2</v>
      </c>
      <c r="BG94" s="7" cm="1">
        <f t="array" ref="BG94">IF(ISNA($BA94),NA(),IF($BE94=0,"***",PRODUCT(1+AT92:AT94)-1))</f>
        <v>1.2558723770799141E-3</v>
      </c>
      <c r="BH94" s="7" cm="1">
        <f t="array" ref="BH94">IF(ISNA($BA94),NA(),IF($BE94=0,"***",PRODUCT(1+AU92:AU94)-1))</f>
        <v>2.2102257804057057E-2</v>
      </c>
      <c r="BI94" s="7" cm="1">
        <f t="array" ref="BI94">IF(ISNA($BA94),NA(),IF($BE94=0,"***",PRODUCT(1+AV92:AV94)-1))</f>
        <v>1.6643948158852062E-3</v>
      </c>
      <c r="BJ94" s="7" cm="1">
        <f t="array" ref="BJ94">IF(ISNA($BA94),NA(),IF($BE94=0,"***",PRODUCT(1+AW92:AW94)-1))</f>
        <v>2.3791203544189843E-2</v>
      </c>
      <c r="BK94" s="7" cm="1">
        <f t="array" ref="BK94">IF(ISNA($BA94),NA(),IF($BE94=0,"***",PRODUCT(1+AX92:AX94)-1))</f>
        <v>-1.0558382091963026E-5</v>
      </c>
      <c r="BL94" s="7" cm="1">
        <f t="array" ref="BL94">IF(ISNA($BA94),NA(),IF($BE94=0,"***",PRODUCT(1+AY92:AY94)-1))</f>
        <v>2.3780478462955612E-2</v>
      </c>
      <c r="BM94" s="7" cm="1">
        <f t="array" ref="BM94">IF(ISNA($BA94),NA(),IF($BE94=0,"***",PRODUCT(1+AZ92:AZ94)-1))</f>
        <v>-2.8399003365853215E-4</v>
      </c>
      <c r="BN94" s="7" cm="1">
        <f t="array" ref="BN94">IF(ISNA($BA94),NA(),IF($BE94=0,"***",PRODUCT(1+BA92:BA94)-1))</f>
        <v>2.3493337788483171E-2</v>
      </c>
      <c r="BO94" s="7">
        <f t="shared" si="80"/>
        <v>-3.1506408139092557E-6</v>
      </c>
      <c r="BP94" s="7">
        <f t="shared" si="81"/>
        <v>2.1941637872905696E-2</v>
      </c>
    </row>
    <row r="95" spans="1:68" x14ac:dyDescent="0.25">
      <c r="A95" t="str">
        <f t="shared" si="77"/>
        <v>20190131</v>
      </c>
      <c r="B95">
        <f t="shared" si="78"/>
        <v>43496</v>
      </c>
      <c r="C95">
        <v>2019</v>
      </c>
      <c r="D95">
        <v>1</v>
      </c>
      <c r="F95" s="20">
        <f>IFERROR(GETPIVOTDATA("[Measures].[Sum of CashInterest]",'Results PT'!$B$8,"[Table2].[ReturnDate]","[Table2].[ReturnDate].&amp;["&amp;$A95&amp;"]"),NA())</f>
        <v>30660590.860000014</v>
      </c>
      <c r="G95" s="20">
        <f>IFERROR(GETPIVOTDATA("[Measures].[Sum of AccrInterest]",'Results PT'!$B$8,"[Table2].[ReturnDate]","[Table2].[ReturnDate].&amp;["&amp;$A95&amp;"]"),NA())</f>
        <v>2200961.6999999997</v>
      </c>
      <c r="H95" s="20">
        <f>IFERROR(GETPIVOTDATA("[Measures].[Sum of OtherIncome]",'Results PT'!$B$8,"[Table2].[ReturnDate]","[Table2].[ReturnDate].&amp;["&amp;$A95&amp;"]"),NA())</f>
        <v>494778.69999999995</v>
      </c>
      <c r="I95" s="20">
        <f>IFERROR(GETPIVOTDATA("[Measures].[Sum of Expenses]",'Results PT'!$B$8,"[Table2].[ReturnDate]","[Table2].[ReturnDate].&amp;["&amp;$A95&amp;"]"),NA())</f>
        <v>-14472.58</v>
      </c>
      <c r="J95" s="20">
        <f>IFERROR(GETPIVOTDATA("[Measures].[Sum of PrincipalFunded]",'Results PT'!$B$8,"[Table2].[ReturnDate]","[Table2].[ReturnDate].&amp;["&amp;$A95&amp;"]"),NA())</f>
        <v>-374092794.37999988</v>
      </c>
      <c r="K95" s="20">
        <f>IFERROR(GETPIVOTDATA("[Measures].[Sum of PrincipalRepaid]",'Results PT'!$B$8,"[Table2].[ReturnDate]","[Table2].[ReturnDate].&amp;["&amp;$A95&amp;"]"),NA())</f>
        <v>291942130.68000001</v>
      </c>
      <c r="L95" s="20"/>
      <c r="M95" s="20">
        <f>IFERROR(GETPIVOTDATA("[Measures].[Sum of StartValue]",'Results PT'!$B$8,"[Table2].[ReturnDate]","[Table2].[ReturnDate].&amp;["&amp;$A95&amp;"]"),NA())</f>
        <v>6772125322.6100016</v>
      </c>
      <c r="N95" s="20">
        <f>IFERROR(GETPIVOTDATA("[Measures].[Sum of EndValue]",'Results PT'!$B$8,"[Table2].[ReturnDate]","[Table2].[ReturnDate].&amp;["&amp;$A95&amp;"]"),NA())</f>
        <v>6969054540.1600008</v>
      </c>
      <c r="O95" s="20">
        <f>IFERROR(GETPIVOTDATA("[Measures].[Sum of StartPrincipal]",'Results PT'!$B$8,"[Table2].[ReturnDate]","[Table2].[ReturnDate].&amp;["&amp;$A95&amp;"]"),NA())</f>
        <v>6780720904.250001</v>
      </c>
      <c r="P95" s="20">
        <f>IFERROR(GETPIVOTDATA("[Measures].[Sum of EndPrincipal]",'Results PT'!$B$8,"[Table2].[ReturnDate]","[Table2].[ReturnDate].&amp;["&amp;$A95&amp;"]"),NA())</f>
        <v>6979126621.7300014</v>
      </c>
      <c r="Q95" s="20">
        <f>IFERROR(GETPIVOTDATA("[Measures].[Sum of StartNAV]",'Results PT'!$B$8,"[Table2].[ReturnDate]","[Table2].[ReturnDate].&amp;["&amp;$A95&amp;"]"),NA())</f>
        <v>5156867803.8300018</v>
      </c>
      <c r="R95" s="20">
        <f>IFERROR(GETPIVOTDATA("[Measures].[Sum of EndNAV]",'Results PT'!$B$8,"[Table2].[ReturnDate]","[Table2].[ReturnDate].&amp;["&amp;$A95&amp;"]"),NA())</f>
        <v>5239742929.380002</v>
      </c>
      <c r="S95" s="20"/>
      <c r="T95" s="1">
        <f t="shared" si="55"/>
        <v>839023441.02999878</v>
      </c>
      <c r="U95" s="1">
        <f t="shared" si="56"/>
        <v>839023441.02999973</v>
      </c>
      <c r="V95">
        <f t="shared" si="57"/>
        <v>4</v>
      </c>
      <c r="W95" s="20">
        <f t="shared" si="47"/>
        <v>-51009766.71999985</v>
      </c>
      <c r="X95" s="20">
        <f t="shared" si="58"/>
        <v>31865358.829999924</v>
      </c>
      <c r="Y95" s="20">
        <f t="shared" si="48"/>
        <v>5182372687.1900015</v>
      </c>
      <c r="Z95" s="3">
        <f t="shared" si="59"/>
        <v>6.1487972311921922E-3</v>
      </c>
      <c r="AC95" s="20">
        <f>IFERROR(GETPIVOTDATA("[Measures].[Distinct Count of LoanID]",'Count PT'!$B$3,"[Table2].[ReturnDate]","[Table2].[ReturnDate].&amp;["&amp;$A95&amp;"]"),NA())</f>
        <v>182</v>
      </c>
      <c r="AD95" s="20">
        <f>GETPIVOTDATA("[Measures].[Distinct Count of ManagerCode 2]",'Count PT'!$B$3,"[Table2].[ReturnDate]","[Table2].[ReturnDate].&amp;["&amp;$A95&amp;"]")</f>
        <v>8</v>
      </c>
      <c r="AE95" s="20" t="b">
        <f t="shared" si="60"/>
        <v>1</v>
      </c>
      <c r="AF95" s="20" t="b">
        <f t="shared" si="61"/>
        <v>1</v>
      </c>
      <c r="AG95" s="20" t="b">
        <f t="shared" si="62"/>
        <v>1</v>
      </c>
      <c r="AI95" s="7">
        <f t="shared" si="49"/>
        <v>5.9163230262825562E-3</v>
      </c>
      <c r="AJ95" s="7">
        <f t="shared" si="50"/>
        <v>4.247015475055327E-4</v>
      </c>
      <c r="AK95" s="7">
        <f t="shared" si="51"/>
        <v>9.5473392182506277E-5</v>
      </c>
      <c r="AL95" s="7">
        <f t="shared" si="63"/>
        <v>6.4364979659705954E-3</v>
      </c>
      <c r="AM95" s="7">
        <f t="shared" si="52"/>
        <v>-2.7926551935899766E-6</v>
      </c>
      <c r="AN95" s="7">
        <f t="shared" si="64"/>
        <v>6.4337053107770053E-3</v>
      </c>
      <c r="AO95" s="7">
        <f t="shared" si="65"/>
        <v>-2.8490807958481308E-4</v>
      </c>
      <c r="AP95" s="7">
        <f t="shared" si="53"/>
        <v>6.1487972311921922E-3</v>
      </c>
      <c r="AQ95" s="7">
        <f t="shared" si="54"/>
        <v>6.3410245737880889E-3</v>
      </c>
      <c r="AS95" s="7">
        <f t="shared" si="66"/>
        <v>5.9163230262825562E-3</v>
      </c>
      <c r="AT95" s="7">
        <f t="shared" si="67"/>
        <v>4.247015475055327E-4</v>
      </c>
      <c r="AU95" s="7">
        <f t="shared" si="68"/>
        <v>6.3410245737880889E-3</v>
      </c>
      <c r="AV95" s="7">
        <f t="shared" si="69"/>
        <v>9.5473392182506277E-5</v>
      </c>
      <c r="AW95" s="7">
        <f t="shared" si="70"/>
        <v>6.4364979659705954E-3</v>
      </c>
      <c r="AX95" s="7">
        <f t="shared" si="71"/>
        <v>-2.7926551935899766E-6</v>
      </c>
      <c r="AY95" s="7">
        <f t="shared" si="72"/>
        <v>6.4337053107770053E-3</v>
      </c>
      <c r="AZ95" s="7">
        <f t="shared" si="73"/>
        <v>-2.8490807958481308E-4</v>
      </c>
      <c r="BA95" s="7">
        <f t="shared" si="74"/>
        <v>6.1487972311921922E-3</v>
      </c>
      <c r="BB95" s="7">
        <f t="shared" si="75"/>
        <v>6.3410245737880889E-3</v>
      </c>
      <c r="BC95" s="7"/>
      <c r="BD95">
        <f t="shared" si="76"/>
        <v>1</v>
      </c>
      <c r="BE95">
        <f t="shared" ref="BE95:BE106" si="82">IF(SUM(BD93:BD95)=3,1,0)</f>
        <v>1</v>
      </c>
      <c r="BF95" s="7" cm="1">
        <f t="array" ref="BF95">IF(ISNA($BA95),NA(),IF($BE95=0,"***",PRODUCT(1+AS93:AS95)-1))</f>
        <v>1.9524029160755685E-2</v>
      </c>
      <c r="BG95" s="7" cm="1">
        <f t="array" ref="BG95">IF(ISNA($BA95),NA(),IF($BE95=0,"***",PRODUCT(1+AT93:AT95)-1))</f>
        <v>1.0753087497084035E-3</v>
      </c>
      <c r="BH95" s="7" cm="1">
        <f t="array" ref="BH95">IF(ISNA($BA95),NA(),IF($BE95=0,"***",PRODUCT(1+AU93:AU95)-1))</f>
        <v>2.0613327306070905E-2</v>
      </c>
      <c r="BI95" s="7" cm="1">
        <f t="array" ref="BI95">IF(ISNA($BA95),NA(),IF($BE95=0,"***",PRODUCT(1+AV93:AV95)-1))</f>
        <v>1.2770713974019632E-3</v>
      </c>
      <c r="BJ95" s="7" cm="1">
        <f t="array" ref="BJ95">IF(ISNA($BA95),NA(),IF($BE95=0,"***",PRODUCT(1+AW93:AW95)-1))</f>
        <v>2.1907712788154399E-2</v>
      </c>
      <c r="BK95" s="7" cm="1">
        <f t="array" ref="BK95">IF(ISNA($BA95),NA(),IF($BE95=0,"***",PRODUCT(1+AX93:AX95)-1))</f>
        <v>-9.7287642965016019E-6</v>
      </c>
      <c r="BL95" s="7" cm="1">
        <f t="array" ref="BL95">IF(ISNA($BA95),NA(),IF($BE95=0,"***",PRODUCT(1+AY93:AY95)-1))</f>
        <v>2.1897843042654852E-2</v>
      </c>
      <c r="BM95" s="7" cm="1">
        <f t="array" ref="BM95">IF(ISNA($BA95),NA(),IF($BE95=0,"***",PRODUCT(1+AZ93:AZ95)-1))</f>
        <v>1.4018410911780244E-3</v>
      </c>
      <c r="BN95" s="7" cm="1">
        <f t="array" ref="BN95">IF(ISNA($BA95),NA(),IF($BE95=0,"***",PRODUCT(1+BA93:BA95)-1))</f>
        <v>2.3319262533543439E-2</v>
      </c>
      <c r="BO95" s="7">
        <f t="shared" si="80"/>
        <v>1.9578399710562522E-5</v>
      </c>
      <c r="BP95" s="7">
        <f t="shared" si="81"/>
        <v>2.0473528646057365E-2</v>
      </c>
    </row>
    <row r="96" spans="1:68" x14ac:dyDescent="0.25">
      <c r="A96" t="str">
        <f t="shared" si="77"/>
        <v>20190228</v>
      </c>
      <c r="B96">
        <f t="shared" si="78"/>
        <v>43524</v>
      </c>
      <c r="C96">
        <v>2019</v>
      </c>
      <c r="D96">
        <v>2</v>
      </c>
      <c r="F96" s="20">
        <f>IFERROR(GETPIVOTDATA("[Measures].[Sum of CashInterest]",'Results PT'!$B$8,"[Table2].[ReturnDate]","[Table2].[ReturnDate].&amp;["&amp;$A96&amp;"]"),NA())</f>
        <v>33323388.770000014</v>
      </c>
      <c r="G96" s="20">
        <f>IFERROR(GETPIVOTDATA("[Measures].[Sum of AccrInterest]",'Results PT'!$B$8,"[Table2].[ReturnDate]","[Table2].[ReturnDate].&amp;["&amp;$A96&amp;"]"),NA())</f>
        <v>1186095.4799999997</v>
      </c>
      <c r="H96" s="20">
        <f>IFERROR(GETPIVOTDATA("[Measures].[Sum of OtherIncome]",'Results PT'!$B$8,"[Table2].[ReturnDate]","[Table2].[ReturnDate].&amp;["&amp;$A96&amp;"]"),NA())</f>
        <v>4537493.96</v>
      </c>
      <c r="I96" s="20">
        <f>IFERROR(GETPIVOTDATA("[Measures].[Sum of Expenses]",'Results PT'!$B$8,"[Table2].[ReturnDate]","[Table2].[ReturnDate].&amp;["&amp;$A96&amp;"]"),NA())</f>
        <v>-14647.320000000002</v>
      </c>
      <c r="J96" s="20">
        <f>IFERROR(GETPIVOTDATA("[Measures].[Sum of PrincipalFunded]",'Results PT'!$B$8,"[Table2].[ReturnDate]","[Table2].[ReturnDate].&amp;["&amp;$A96&amp;"]"),NA())</f>
        <v>-420990343.80000001</v>
      </c>
      <c r="K96" s="20">
        <f>IFERROR(GETPIVOTDATA("[Measures].[Sum of PrincipalRepaid]",'Results PT'!$B$8,"[Table2].[ReturnDate]","[Table2].[ReturnDate].&amp;["&amp;$A96&amp;"]"),NA())</f>
        <v>272582381.37</v>
      </c>
      <c r="L96" s="20"/>
      <c r="M96" s="20">
        <f>IFERROR(GETPIVOTDATA("[Measures].[Sum of StartValue]",'Results PT'!$B$8,"[Table2].[ReturnDate]","[Table2].[ReturnDate].&amp;["&amp;$A96&amp;"]"),NA())</f>
        <v>6969048695.5200005</v>
      </c>
      <c r="N96" s="20">
        <f>IFERROR(GETPIVOTDATA("[Measures].[Sum of EndValue]",'Results PT'!$B$8,"[Table2].[ReturnDate]","[Table2].[ReturnDate].&amp;["&amp;$A96&amp;"]"),NA())</f>
        <v>7345646209.29</v>
      </c>
      <c r="O96" s="20">
        <f>IFERROR(GETPIVOTDATA("[Measures].[Sum of StartPrincipal]",'Results PT'!$B$8,"[Table2].[ReturnDate]","[Table2].[ReturnDate].&amp;["&amp;$A96&amp;"]"),NA())</f>
        <v>6979120777.0900021</v>
      </c>
      <c r="P96" s="20">
        <f>IFERROR(GETPIVOTDATA("[Measures].[Sum of EndPrincipal]",'Results PT'!$B$8,"[Table2].[ReturnDate]","[Table2].[ReturnDate].&amp;["&amp;$A96&amp;"]"),NA())</f>
        <v>7353746130.6600018</v>
      </c>
      <c r="Q96" s="20">
        <f>IFERROR(GETPIVOTDATA("[Measures].[Sum of StartNAV]",'Results PT'!$B$8,"[Table2].[ReturnDate]","[Table2].[ReturnDate].&amp;["&amp;$A96&amp;"]"),NA())</f>
        <v>5239737084.7400026</v>
      </c>
      <c r="R96" s="20">
        <f>IFERROR(GETPIVOTDATA("[Measures].[Sum of EndNAV]",'Results PT'!$B$8,"[Table2].[ReturnDate]","[Table2].[ReturnDate].&amp;["&amp;$A96&amp;"]"),NA())</f>
        <v>5391309147.460001</v>
      </c>
      <c r="S96" s="20"/>
      <c r="T96" s="1">
        <f t="shared" si="55"/>
        <v>-5844.6400003433228</v>
      </c>
      <c r="U96" s="1">
        <f t="shared" si="56"/>
        <v>-5844.6399993896484</v>
      </c>
      <c r="V96">
        <f t="shared" si="57"/>
        <v>4</v>
      </c>
      <c r="W96" s="20">
        <f t="shared" si="47"/>
        <v>-110561727.01999998</v>
      </c>
      <c r="X96" s="20">
        <f t="shared" si="58"/>
        <v>41010335.699997902</v>
      </c>
      <c r="Y96" s="20">
        <f t="shared" si="48"/>
        <v>5295017948.2500029</v>
      </c>
      <c r="Z96" s="3">
        <f t="shared" si="59"/>
        <v>7.7450796391637855E-3</v>
      </c>
      <c r="AC96" s="20">
        <f>IFERROR(GETPIVOTDATA("[Measures].[Distinct Count of LoanID]",'Count PT'!$B$3,"[Table2].[ReturnDate]","[Table2].[ReturnDate].&amp;["&amp;$A96&amp;"]"),NA())</f>
        <v>188</v>
      </c>
      <c r="AD96" s="20">
        <f>GETPIVOTDATA("[Measures].[Distinct Count of ManagerCode 2]",'Count PT'!$B$3,"[Table2].[ReturnDate]","[Table2].[ReturnDate].&amp;["&amp;$A96&amp;"]")</f>
        <v>8</v>
      </c>
      <c r="AE96" s="20" t="b">
        <f t="shared" si="60"/>
        <v>1</v>
      </c>
      <c r="AF96" s="20" t="b">
        <f t="shared" si="61"/>
        <v>1</v>
      </c>
      <c r="AG96" s="20" t="b">
        <f t="shared" si="62"/>
        <v>1</v>
      </c>
      <c r="AI96" s="7">
        <f t="shared" si="49"/>
        <v>6.2933476516379618E-3</v>
      </c>
      <c r="AJ96" s="7">
        <f t="shared" si="50"/>
        <v>2.2400216422155904E-4</v>
      </c>
      <c r="AK96" s="7">
        <f t="shared" si="51"/>
        <v>8.569364644929365E-4</v>
      </c>
      <c r="AL96" s="7">
        <f t="shared" si="63"/>
        <v>7.3742862803524573E-3</v>
      </c>
      <c r="AM96" s="7">
        <f t="shared" si="52"/>
        <v>-2.7662455808749288E-6</v>
      </c>
      <c r="AN96" s="7">
        <f t="shared" si="64"/>
        <v>7.3715200347715826E-3</v>
      </c>
      <c r="AO96" s="7">
        <f t="shared" si="65"/>
        <v>3.7355960439220282E-4</v>
      </c>
      <c r="AP96" s="7">
        <f t="shared" si="53"/>
        <v>7.7450796391637855E-3</v>
      </c>
      <c r="AQ96" s="7">
        <f t="shared" si="54"/>
        <v>6.517349815859521E-3</v>
      </c>
      <c r="AS96" s="7">
        <f t="shared" si="66"/>
        <v>6.2933476516379618E-3</v>
      </c>
      <c r="AT96" s="7">
        <f t="shared" si="67"/>
        <v>2.2400216422155904E-4</v>
      </c>
      <c r="AU96" s="7">
        <f t="shared" si="68"/>
        <v>6.517349815859521E-3</v>
      </c>
      <c r="AV96" s="7">
        <f t="shared" si="69"/>
        <v>8.569364644929365E-4</v>
      </c>
      <c r="AW96" s="7">
        <f t="shared" si="70"/>
        <v>7.3742862803524573E-3</v>
      </c>
      <c r="AX96" s="7">
        <f t="shared" si="71"/>
        <v>-2.7662455808749288E-6</v>
      </c>
      <c r="AY96" s="7">
        <f t="shared" si="72"/>
        <v>7.3715200347715826E-3</v>
      </c>
      <c r="AZ96" s="7">
        <f t="shared" si="73"/>
        <v>3.7355960439220282E-4</v>
      </c>
      <c r="BA96" s="7">
        <f t="shared" si="74"/>
        <v>7.7450796391637855E-3</v>
      </c>
      <c r="BB96" s="7">
        <f t="shared" si="75"/>
        <v>6.517349815859521E-3</v>
      </c>
      <c r="BC96" s="7"/>
      <c r="BD96">
        <f t="shared" si="76"/>
        <v>1</v>
      </c>
      <c r="BE96">
        <f t="shared" si="82"/>
        <v>1</v>
      </c>
      <c r="BF96" s="7" cm="1">
        <f t="array" ref="BF96">IF(ISNA($BA96),NA(),IF($BE96=0,"***",PRODUCT(1+AS94:AS96)-1))</f>
        <v>1.884744736450461E-2</v>
      </c>
      <c r="BG96" s="7" cm="1">
        <f t="array" ref="BG96">IF(ISNA($BA96),NA(),IF($BE96=0,"***",PRODUCT(1+AT94:AT96)-1))</f>
        <v>9.4152018494253475E-4</v>
      </c>
      <c r="BH96" s="7" cm="1">
        <f t="array" ref="BH96">IF(ISNA($BA96),NA(),IF($BE96=0,"***",PRODUCT(1+AU94:AU96)-1))</f>
        <v>1.9800806071468058E-2</v>
      </c>
      <c r="BI96" s="7" cm="1">
        <f t="array" ref="BI96">IF(ISNA($BA96),NA(),IF($BE96=0,"***",PRODUCT(1+AV94:AV96)-1))</f>
        <v>1.6775888645501613E-3</v>
      </c>
      <c r="BJ96" s="7" cm="1">
        <f t="array" ref="BJ96">IF(ISNA($BA96),NA(),IF($BE96=0,"***",PRODUCT(1+AW94:AW96)-1))</f>
        <v>2.1500330841576654E-2</v>
      </c>
      <c r="BK96" s="7" cm="1">
        <f t="array" ref="BK96">IF(ISNA($BA96),NA(),IF($BE96=0,"***",PRODUCT(1+AX94:AX96)-1))</f>
        <v>-8.8470860032385801E-6</v>
      </c>
      <c r="BL96" s="7" cm="1">
        <f t="array" ref="BL96">IF(ISNA($BA96),NA(),IF($BE96=0,"***",PRODUCT(1+AY94:AY96)-1))</f>
        <v>2.1491357597797078E-2</v>
      </c>
      <c r="BM96" s="7" cm="1">
        <f t="array" ref="BM96">IF(ISNA($BA96),NA(),IF($BE96=0,"***",PRODUCT(1+AZ94:AZ96)-1))</f>
        <v>1.4011313429027616E-3</v>
      </c>
      <c r="BN96" s="7" cm="1">
        <f t="array" ref="BN96">IF(ISNA($BA96),NA(),IF($BE96=0,"***",PRODUCT(1+BA94:BA96)-1))</f>
        <v>2.2911643108054713E-2</v>
      </c>
      <c r="BO96" s="7">
        <f t="shared" si="80"/>
        <v>1.9154167354873408E-5</v>
      </c>
      <c r="BP96" s="7">
        <f t="shared" si="81"/>
        <v>1.9671590939347804E-2</v>
      </c>
    </row>
    <row r="97" spans="1:68" x14ac:dyDescent="0.25">
      <c r="A97" t="str">
        <f t="shared" si="77"/>
        <v>20190331</v>
      </c>
      <c r="B97">
        <f t="shared" si="78"/>
        <v>43555</v>
      </c>
      <c r="C97">
        <v>2019</v>
      </c>
      <c r="D97">
        <v>3</v>
      </c>
      <c r="F97" s="20">
        <f>IFERROR(GETPIVOTDATA("[Measures].[Sum of CashInterest]",'Results PT'!$B$8,"[Table2].[ReturnDate]","[Table2].[ReturnDate].&amp;["&amp;$A97&amp;"]"),NA())</f>
        <v>31824221.840000004</v>
      </c>
      <c r="G97" s="20">
        <f>IFERROR(GETPIVOTDATA("[Measures].[Sum of AccrInterest]",'Results PT'!$B$8,"[Table2].[ReturnDate]","[Table2].[ReturnDate].&amp;["&amp;$A97&amp;"]"),NA())</f>
        <v>1611201.1900000004</v>
      </c>
      <c r="H97" s="20">
        <f>IFERROR(GETPIVOTDATA("[Measures].[Sum of OtherIncome]",'Results PT'!$B$8,"[Table2].[ReturnDate]","[Table2].[ReturnDate].&amp;["&amp;$A97&amp;"]"),NA())</f>
        <v>941491.68</v>
      </c>
      <c r="I97" s="20">
        <f>IFERROR(GETPIVOTDATA("[Measures].[Sum of Expenses]",'Results PT'!$B$8,"[Table2].[ReturnDate]","[Table2].[ReturnDate].&amp;["&amp;$A97&amp;"]"),NA())</f>
        <v>-13402.330000000002</v>
      </c>
      <c r="J97" s="20">
        <f>IFERROR(GETPIVOTDATA("[Measures].[Sum of PrincipalFunded]",'Results PT'!$B$8,"[Table2].[ReturnDate]","[Table2].[ReturnDate].&amp;["&amp;$A97&amp;"]"),NA())</f>
        <v>-272827013.30000007</v>
      </c>
      <c r="K97" s="20">
        <f>IFERROR(GETPIVOTDATA("[Measures].[Sum of PrincipalRepaid]",'Results PT'!$B$8,"[Table2].[ReturnDate]","[Table2].[ReturnDate].&amp;["&amp;$A97&amp;"]"),NA())</f>
        <v>74629798.340000004</v>
      </c>
      <c r="L97" s="20"/>
      <c r="M97" s="20">
        <f>IFERROR(GETPIVOTDATA("[Measures].[Sum of StartValue]",'Results PT'!$B$8,"[Table2].[ReturnDate]","[Table2].[ReturnDate].&amp;["&amp;$A97&amp;"]"),NA())</f>
        <v>7345646209.29</v>
      </c>
      <c r="N97" s="20">
        <f>IFERROR(GETPIVOTDATA("[Measures].[Sum of EndValue]",'Results PT'!$B$8,"[Table2].[ReturnDate]","[Table2].[ReturnDate].&amp;["&amp;$A97&amp;"]"),NA())</f>
        <v>7533237140.5700006</v>
      </c>
      <c r="O97" s="20">
        <f>IFERROR(GETPIVOTDATA("[Measures].[Sum of StartPrincipal]",'Results PT'!$B$8,"[Table2].[ReturnDate]","[Table2].[ReturnDate].&amp;["&amp;$A97&amp;"]"),NA())</f>
        <v>7353746130.6600018</v>
      </c>
      <c r="P97" s="20">
        <f>IFERROR(GETPIVOTDATA("[Measures].[Sum of EndPrincipal]",'Results PT'!$B$8,"[Table2].[ReturnDate]","[Table2].[ReturnDate].&amp;["&amp;$A97&amp;"]"),NA())</f>
        <v>7583528625.3200006</v>
      </c>
      <c r="Q97" s="20">
        <f>IFERROR(GETPIVOTDATA("[Measures].[Sum of StartNAV]",'Results PT'!$B$8,"[Table2].[ReturnDate]","[Table2].[ReturnDate].&amp;["&amp;$A97&amp;"]"),NA())</f>
        <v>5391309147.460001</v>
      </c>
      <c r="R97" s="20">
        <f>IFERROR(GETPIVOTDATA("[Measures].[Sum of EndNAV]",'Results PT'!$B$8,"[Table2].[ReturnDate]","[Table2].[ReturnDate].&amp;["&amp;$A97&amp;"]"),NA())</f>
        <v>5548926000.2900009</v>
      </c>
      <c r="S97" s="20"/>
      <c r="T97" s="1">
        <f t="shared" si="55"/>
        <v>0</v>
      </c>
      <c r="U97" s="1">
        <f t="shared" si="56"/>
        <v>0</v>
      </c>
      <c r="V97">
        <f t="shared" si="57"/>
        <v>4</v>
      </c>
      <c r="W97" s="20">
        <f t="shared" si="47"/>
        <v>-165444903.77000007</v>
      </c>
      <c r="X97" s="20">
        <f t="shared" si="58"/>
        <v>-7828050.9400005341</v>
      </c>
      <c r="Y97" s="20">
        <f t="shared" si="48"/>
        <v>5474031599.3450012</v>
      </c>
      <c r="Z97" s="3">
        <f t="shared" si="59"/>
        <v>-1.4300339334791573E-3</v>
      </c>
      <c r="AC97" s="20">
        <f>IFERROR(GETPIVOTDATA("[Measures].[Distinct Count of LoanID]",'Count PT'!$B$3,"[Table2].[ReturnDate]","[Table2].[ReturnDate].&amp;["&amp;$A97&amp;"]"),NA())</f>
        <v>189</v>
      </c>
      <c r="AD97" s="20">
        <f>GETPIVOTDATA("[Measures].[Distinct Count of ManagerCode 2]",'Count PT'!$B$3,"[Table2].[ReturnDate]","[Table2].[ReturnDate].&amp;["&amp;$A97&amp;"]")</f>
        <v>8</v>
      </c>
      <c r="AE97" s="20" t="b">
        <f t="shared" si="60"/>
        <v>1</v>
      </c>
      <c r="AF97" s="20" t="b">
        <f t="shared" si="61"/>
        <v>1</v>
      </c>
      <c r="AG97" s="20" t="b">
        <f t="shared" si="62"/>
        <v>1</v>
      </c>
      <c r="AI97" s="7">
        <f t="shared" si="49"/>
        <v>5.8136715622554959E-3</v>
      </c>
      <c r="AJ97" s="7">
        <f t="shared" si="50"/>
        <v>2.9433538348459473E-4</v>
      </c>
      <c r="AK97" s="7">
        <f t="shared" si="51"/>
        <v>1.719923721508394E-4</v>
      </c>
      <c r="AL97" s="7">
        <f t="shared" si="63"/>
        <v>6.2799993178909302E-3</v>
      </c>
      <c r="AM97" s="7">
        <f t="shared" si="52"/>
        <v>-2.448347211149396E-6</v>
      </c>
      <c r="AN97" s="7">
        <f t="shared" si="64"/>
        <v>6.2775509706797811E-3</v>
      </c>
      <c r="AO97" s="7">
        <f t="shared" si="65"/>
        <v>-7.7075849041589387E-3</v>
      </c>
      <c r="AP97" s="7">
        <f t="shared" si="53"/>
        <v>-1.4300339334791573E-3</v>
      </c>
      <c r="AQ97" s="7">
        <f t="shared" si="54"/>
        <v>6.1080069457400904E-3</v>
      </c>
      <c r="AS97" s="7">
        <f t="shared" si="66"/>
        <v>5.8136715622554959E-3</v>
      </c>
      <c r="AT97" s="7">
        <f t="shared" si="67"/>
        <v>2.9433538348459473E-4</v>
      </c>
      <c r="AU97" s="7">
        <f t="shared" si="68"/>
        <v>6.1080069457400904E-3</v>
      </c>
      <c r="AV97" s="7">
        <f t="shared" si="69"/>
        <v>1.719923721508394E-4</v>
      </c>
      <c r="AW97" s="7">
        <f t="shared" si="70"/>
        <v>6.2799993178909302E-3</v>
      </c>
      <c r="AX97" s="7">
        <f t="shared" si="71"/>
        <v>-2.448347211149396E-6</v>
      </c>
      <c r="AY97" s="7">
        <f t="shared" si="72"/>
        <v>6.2775509706797811E-3</v>
      </c>
      <c r="AZ97" s="7">
        <f t="shared" si="73"/>
        <v>-7.7075849041589387E-3</v>
      </c>
      <c r="BA97" s="7">
        <f t="shared" si="74"/>
        <v>-1.4300339334791573E-3</v>
      </c>
      <c r="BB97" s="7">
        <f t="shared" si="75"/>
        <v>6.1080069457400904E-3</v>
      </c>
      <c r="BC97" s="7"/>
      <c r="BD97">
        <f t="shared" si="76"/>
        <v>1</v>
      </c>
      <c r="BE97">
        <f t="shared" si="82"/>
        <v>1</v>
      </c>
      <c r="BF97" s="7" cm="1">
        <f t="array" ref="BF97">IF(ISNA($BA97),NA(),IF($BE97=0,"***",PRODUCT(1+AS95:AS97)-1))</f>
        <v>1.8131775196214672E-2</v>
      </c>
      <c r="BG97" s="7" cm="1">
        <f t="array" ref="BG97">IF(ISNA($BA97),NA(),IF($BE97=0,"***",PRODUCT(1+AT95:AT97)-1))</f>
        <v>9.4332519373452328E-4</v>
      </c>
      <c r="BH97" s="7" cm="1">
        <f t="array" ref="BH97">IF(ISNA($BA97),NA(),IF($BE97=0,"***",PRODUCT(1+AU95:AU97)-1))</f>
        <v>1.9086499474428642E-2</v>
      </c>
      <c r="BI97" s="7" cm="1">
        <f t="array" ref="BI97">IF(ISNA($BA97),NA(),IF($BE97=0,"***",PRODUCT(1+AV95:AV97)-1))</f>
        <v>1.1246478647595204E-3</v>
      </c>
      <c r="BJ97" s="7" cm="1">
        <f t="array" ref="BJ97">IF(ISNA($BA97),NA(),IF($BE97=0,"***",PRODUCT(1+AW95:AW97)-1))</f>
        <v>2.0225277936025909E-2</v>
      </c>
      <c r="BK97" s="7" cm="1">
        <f t="array" ref="BK97">IF(ISNA($BA97),NA(),IF($BE97=0,"***",PRODUCT(1+AX95:AX97)-1))</f>
        <v>-8.0072266502861922E-6</v>
      </c>
      <c r="BL97" s="7" cm="1">
        <f t="array" ref="BL97">IF(ISNA($BA97),NA(),IF($BE97=0,"***",PRODUCT(1+AY95:AY97)-1))</f>
        <v>2.0217163229902857E-2</v>
      </c>
      <c r="BM97" s="7" cm="1">
        <f t="array" ref="BM97">IF(ISNA($BA97),NA(),IF($BE97=0,"***",PRODUCT(1+AZ95:AZ97)-1))</f>
        <v>-7.6197222783360719E-3</v>
      </c>
      <c r="BN97" s="7" cm="1">
        <f t="array" ref="BN97">IF(ISNA($BA97),NA(),IF($BE97=0,"***",PRODUCT(1+BA95:BA97)-1))</f>
        <v>1.2491529043327843E-2</v>
      </c>
      <c r="BO97" s="7">
        <f t="shared" si="80"/>
        <v>-1.0591190823894259E-4</v>
      </c>
      <c r="BP97" s="7">
        <f t="shared" si="81"/>
        <v>1.8966381335387701E-2</v>
      </c>
    </row>
    <row r="98" spans="1:68" x14ac:dyDescent="0.25">
      <c r="A98" t="str">
        <f t="shared" si="77"/>
        <v>20190430</v>
      </c>
      <c r="B98">
        <f t="shared" si="78"/>
        <v>43585</v>
      </c>
      <c r="C98">
        <v>2019</v>
      </c>
      <c r="D98">
        <v>4</v>
      </c>
      <c r="F98" s="20">
        <f>IFERROR(GETPIVOTDATA("[Measures].[Sum of CashInterest]",'Results PT'!$B$8,"[Table2].[ReturnDate]","[Table2].[ReturnDate].&amp;["&amp;$A98&amp;"]"),NA())</f>
        <v>34498872.380000018</v>
      </c>
      <c r="G98" s="20">
        <f>IFERROR(GETPIVOTDATA("[Measures].[Sum of AccrInterest]",'Results PT'!$B$8,"[Table2].[ReturnDate]","[Table2].[ReturnDate].&amp;["&amp;$A98&amp;"]"),NA())</f>
        <v>2399846.2899999996</v>
      </c>
      <c r="H98" s="20">
        <f>IFERROR(GETPIVOTDATA("[Measures].[Sum of OtherIncome]",'Results PT'!$B$8,"[Table2].[ReturnDate]","[Table2].[ReturnDate].&amp;["&amp;$A98&amp;"]"),NA())</f>
        <v>1898220.14</v>
      </c>
      <c r="I98" s="20">
        <f>IFERROR(GETPIVOTDATA("[Measures].[Sum of Expenses]",'Results PT'!$B$8,"[Table2].[ReturnDate]","[Table2].[ReturnDate].&amp;["&amp;$A98&amp;"]"),NA())</f>
        <v>-15684.39</v>
      </c>
      <c r="J98" s="20">
        <f>IFERROR(GETPIVOTDATA("[Measures].[Sum of PrincipalFunded]",'Results PT'!$B$8,"[Table2].[ReturnDate]","[Table2].[ReturnDate].&amp;["&amp;$A98&amp;"]"),NA())</f>
        <v>-158899295.11000001</v>
      </c>
      <c r="K98" s="20">
        <f>IFERROR(GETPIVOTDATA("[Measures].[Sum of PrincipalRepaid]",'Results PT'!$B$8,"[Table2].[ReturnDate]","[Table2].[ReturnDate].&amp;["&amp;$A98&amp;"]"),NA())</f>
        <v>198146225.30000004</v>
      </c>
      <c r="L98" s="20"/>
      <c r="M98" s="20">
        <f>IFERROR(GETPIVOTDATA("[Measures].[Sum of StartValue]",'Results PT'!$B$8,"[Table2].[ReturnDate]","[Table2].[ReturnDate].&amp;["&amp;$A98&amp;"]"),NA())</f>
        <v>7657268401.8800001</v>
      </c>
      <c r="N98" s="20">
        <f>IFERROR(GETPIVOTDATA("[Measures].[Sum of EndValue]",'Results PT'!$B$8,"[Table2].[ReturnDate]","[Table2].[ReturnDate].&amp;["&amp;$A98&amp;"]"),NA())</f>
        <v>7689389331.3700008</v>
      </c>
      <c r="O98" s="20">
        <f>IFERROR(GETPIVOTDATA("[Measures].[Sum of StartPrincipal]",'Results PT'!$B$8,"[Table2].[ReturnDate]","[Table2].[ReturnDate].&amp;["&amp;$A98&amp;"]"),NA())</f>
        <v>7796859660.5099993</v>
      </c>
      <c r="P98" s="20">
        <f>IFERROR(GETPIVOTDATA("[Measures].[Sum of EndPrincipal]",'Results PT'!$B$8,"[Table2].[ReturnDate]","[Table2].[ReturnDate].&amp;["&amp;$A98&amp;"]"),NA())</f>
        <v>7830780800.4299994</v>
      </c>
      <c r="Q98" s="20">
        <f>IFERROR(GETPIVOTDATA("[Measures].[Sum of StartNAV]",'Results PT'!$B$8,"[Table2].[ReturnDate]","[Table2].[ReturnDate].&amp;["&amp;$A98&amp;"]"),NA())</f>
        <v>5672957261.6000004</v>
      </c>
      <c r="R98" s="20">
        <f>IFERROR(GETPIVOTDATA("[Measures].[Sum of EndNAV]",'Results PT'!$B$8,"[Table2].[ReturnDate]","[Table2].[ReturnDate].&amp;["&amp;$A98&amp;"]"),NA())</f>
        <v>5634578191.0900002</v>
      </c>
      <c r="S98" s="20"/>
      <c r="T98" s="1">
        <f t="shared" si="55"/>
        <v>124031261.30999947</v>
      </c>
      <c r="U98" s="1">
        <f t="shared" si="56"/>
        <v>213331035.18999863</v>
      </c>
      <c r="V98">
        <f t="shared" si="57"/>
        <v>4</v>
      </c>
      <c r="W98" s="20">
        <f t="shared" si="47"/>
        <v>75628338.320000052</v>
      </c>
      <c r="X98" s="20">
        <f t="shared" si="58"/>
        <v>37249267.809999466</v>
      </c>
      <c r="Y98" s="20">
        <f t="shared" si="48"/>
        <v>5635143092.4400005</v>
      </c>
      <c r="Z98" s="3">
        <f t="shared" si="59"/>
        <v>6.6101724834587367E-3</v>
      </c>
      <c r="AC98" s="20">
        <f>IFERROR(GETPIVOTDATA("[Measures].[Distinct Count of LoanID]",'Count PT'!$B$3,"[Table2].[ReturnDate]","[Table2].[ReturnDate].&amp;["&amp;$A98&amp;"]"),NA())</f>
        <v>203</v>
      </c>
      <c r="AD98" s="20">
        <f>GETPIVOTDATA("[Measures].[Distinct Count of ManagerCode 2]",'Count PT'!$B$3,"[Table2].[ReturnDate]","[Table2].[ReturnDate].&amp;["&amp;$A98&amp;"]")</f>
        <v>9</v>
      </c>
      <c r="AE98" s="20" t="b">
        <f t="shared" si="60"/>
        <v>1</v>
      </c>
      <c r="AF98" s="20" t="b">
        <f t="shared" si="61"/>
        <v>1</v>
      </c>
      <c r="AG98" s="20" t="b">
        <f t="shared" si="62"/>
        <v>1</v>
      </c>
      <c r="AI98" s="7">
        <f t="shared" si="49"/>
        <v>6.1220934081129266E-3</v>
      </c>
      <c r="AJ98" s="7">
        <f t="shared" si="50"/>
        <v>4.2587140213344132E-4</v>
      </c>
      <c r="AK98" s="7">
        <f t="shared" si="51"/>
        <v>3.3685393766604E-4</v>
      </c>
      <c r="AL98" s="7">
        <f t="shared" si="63"/>
        <v>6.8848187479124082E-3</v>
      </c>
      <c r="AM98" s="7">
        <f t="shared" si="52"/>
        <v>-2.7833170769065076E-6</v>
      </c>
      <c r="AN98" s="7">
        <f t="shared" si="64"/>
        <v>6.8820354308355017E-3</v>
      </c>
      <c r="AO98" s="7">
        <f t="shared" si="65"/>
        <v>-2.7186294737676503E-4</v>
      </c>
      <c r="AP98" s="7">
        <f t="shared" si="53"/>
        <v>6.6101724834587367E-3</v>
      </c>
      <c r="AQ98" s="7">
        <f t="shared" si="54"/>
        <v>6.5479648102463673E-3</v>
      </c>
      <c r="AS98" s="7">
        <f t="shared" si="66"/>
        <v>6.1220934081129266E-3</v>
      </c>
      <c r="AT98" s="7">
        <f t="shared" si="67"/>
        <v>4.2587140213344132E-4</v>
      </c>
      <c r="AU98" s="7">
        <f t="shared" si="68"/>
        <v>6.5479648102463681E-3</v>
      </c>
      <c r="AV98" s="7">
        <f t="shared" si="69"/>
        <v>3.3685393766604E-4</v>
      </c>
      <c r="AW98" s="7">
        <f t="shared" si="70"/>
        <v>6.8848187479124082E-3</v>
      </c>
      <c r="AX98" s="7">
        <f t="shared" si="71"/>
        <v>-2.7833170769065076E-6</v>
      </c>
      <c r="AY98" s="7">
        <f t="shared" si="72"/>
        <v>6.8820354308355017E-3</v>
      </c>
      <c r="AZ98" s="7">
        <f t="shared" si="73"/>
        <v>-2.7186294737676503E-4</v>
      </c>
      <c r="BA98" s="7">
        <f t="shared" si="74"/>
        <v>6.6101724834587367E-3</v>
      </c>
      <c r="BB98" s="7">
        <f t="shared" si="75"/>
        <v>6.5479648102463673E-3</v>
      </c>
      <c r="BC98" s="7"/>
      <c r="BD98">
        <f t="shared" si="76"/>
        <v>1</v>
      </c>
      <c r="BE98">
        <f t="shared" si="82"/>
        <v>1</v>
      </c>
      <c r="BF98" s="7" cm="1">
        <f t="array" ref="BF98">IF(ISNA($BA98),NA(),IF($BE98=0,"***",PRODUCT(1+AS96:AS98)-1))</f>
        <v>1.8340044372626263E-2</v>
      </c>
      <c r="BG98" s="7" cm="1">
        <f t="array" ref="BG98">IF(ISNA($BA98),NA(),IF($BE98=0,"***",PRODUCT(1+AT96:AT98)-1))</f>
        <v>9.4449565481902198E-4</v>
      </c>
      <c r="BH98" s="7" cm="1">
        <f t="array" ref="BH98">IF(ISNA($BA98),NA(),IF($BE98=0,"***",PRODUCT(1+AU96:AU98)-1))</f>
        <v>1.9296060643081425E-2</v>
      </c>
      <c r="BI98" s="7" cm="1">
        <f t="array" ref="BI98">IF(ISNA($BA98),NA(),IF($BE98=0,"***",PRODUCT(1+AV96:AV98)-1))</f>
        <v>1.3662768092232991E-3</v>
      </c>
      <c r="BJ98" s="7" cm="1">
        <f t="array" ref="BJ98">IF(ISNA($BA98),NA(),IF($BE98=0,"***",PRODUCT(1+AW96:AW98)-1))</f>
        <v>2.0679740979929528E-2</v>
      </c>
      <c r="BK98" s="7" cm="1">
        <f t="array" ref="BK98">IF(ISNA($BA98),NA(),IF($BE98=0,"***",PRODUCT(1+AX96:AX98)-1))</f>
        <v>-7.997888582411683E-6</v>
      </c>
      <c r="BL98" s="7" cm="1">
        <f t="array" ref="BL98">IF(ISNA($BA98),NA(),IF($BE98=0,"***",PRODUCT(1+AY96:AY98)-1))</f>
        <v>2.0671633386121879E-2</v>
      </c>
      <c r="BM98" s="7" cm="1">
        <f t="array" ref="BM98">IF(ISNA($BA98),NA(),IF($BE98=0,"***",PRODUCT(1+AZ96:AZ98)-1))</f>
        <v>-7.6067728570178295E-3</v>
      </c>
      <c r="BN98" s="7" cm="1">
        <f t="array" ref="BN98">IF(ISNA($BA98),NA(),IF($BE98=0,"***",PRODUCT(1+BA96:BA98)-1))</f>
        <v>1.2955812791333399E-2</v>
      </c>
      <c r="BO98" s="7">
        <f t="shared" si="80"/>
        <v>-1.0904773777065113E-4</v>
      </c>
      <c r="BP98" s="7">
        <f t="shared" si="81"/>
        <v>1.9173321571845977E-2</v>
      </c>
    </row>
    <row r="99" spans="1:68" x14ac:dyDescent="0.25">
      <c r="A99" t="str">
        <f t="shared" si="77"/>
        <v>20190531</v>
      </c>
      <c r="B99">
        <f t="shared" si="78"/>
        <v>43616</v>
      </c>
      <c r="C99">
        <v>2019</v>
      </c>
      <c r="D99">
        <v>5</v>
      </c>
      <c r="F99" s="20">
        <f>IFERROR(GETPIVOTDATA("[Measures].[Sum of CashInterest]",'Results PT'!$B$8,"[Table2].[ReturnDate]","[Table2].[ReturnDate].&amp;["&amp;$A99&amp;"]"),NA())</f>
        <v>35387985.420000002</v>
      </c>
      <c r="G99" s="20">
        <f>IFERROR(GETPIVOTDATA("[Measures].[Sum of AccrInterest]",'Results PT'!$B$8,"[Table2].[ReturnDate]","[Table2].[ReturnDate].&amp;["&amp;$A99&amp;"]"),NA())</f>
        <v>1337229.6700000002</v>
      </c>
      <c r="H99" s="20">
        <f>IFERROR(GETPIVOTDATA("[Measures].[Sum of OtherIncome]",'Results PT'!$B$8,"[Table2].[ReturnDate]","[Table2].[ReturnDate].&amp;["&amp;$A99&amp;"]"),NA())</f>
        <v>1116545.32</v>
      </c>
      <c r="I99" s="20">
        <f>IFERROR(GETPIVOTDATA("[Measures].[Sum of Expenses]",'Results PT'!$B$8,"[Table2].[ReturnDate]","[Table2].[ReturnDate].&amp;["&amp;$A99&amp;"]"),NA())</f>
        <v>-13825.010000000002</v>
      </c>
      <c r="J99" s="20">
        <f>IFERROR(GETPIVOTDATA("[Measures].[Sum of PrincipalFunded]",'Results PT'!$B$8,"[Table2].[ReturnDate]","[Table2].[ReturnDate].&amp;["&amp;$A99&amp;"]"),NA())</f>
        <v>-216805966.74999997</v>
      </c>
      <c r="K99" s="20">
        <f>IFERROR(GETPIVOTDATA("[Measures].[Sum of PrincipalRepaid]",'Results PT'!$B$8,"[Table2].[ReturnDate]","[Table2].[ReturnDate].&amp;["&amp;$A99&amp;"]"),NA())</f>
        <v>87955209.99000001</v>
      </c>
      <c r="L99" s="20"/>
      <c r="M99" s="20">
        <f>IFERROR(GETPIVOTDATA("[Measures].[Sum of StartValue]",'Results PT'!$B$8,"[Table2].[ReturnDate]","[Table2].[ReturnDate].&amp;["&amp;$A99&amp;"]"),NA())</f>
        <v>7689381852.7500019</v>
      </c>
      <c r="N99" s="20">
        <f>IFERROR(GETPIVOTDATA("[Measures].[Sum of EndValue]",'Results PT'!$B$8,"[Table2].[ReturnDate]","[Table2].[ReturnDate].&amp;["&amp;$A99&amp;"]"),NA())</f>
        <v>7893068856.3800011</v>
      </c>
      <c r="O99" s="20">
        <f>IFERROR(GETPIVOTDATA("[Measures].[Sum of StartPrincipal]",'Results PT'!$B$8,"[Table2].[ReturnDate]","[Table2].[ReturnDate].&amp;["&amp;$A99&amp;"]"),NA())</f>
        <v>7830773321.8100004</v>
      </c>
      <c r="P99" s="20">
        <f>IFERROR(GETPIVOTDATA("[Measures].[Sum of EndPrincipal]",'Results PT'!$B$8,"[Table2].[ReturnDate]","[Table2].[ReturnDate].&amp;["&amp;$A99&amp;"]"),NA())</f>
        <v>8034612528.7100048</v>
      </c>
      <c r="Q99" s="20">
        <f>IFERROR(GETPIVOTDATA("[Measures].[Sum of StartNAV]",'Results PT'!$B$8,"[Table2].[ReturnDate]","[Table2].[ReturnDate].&amp;["&amp;$A99&amp;"]"),NA())</f>
        <v>5634570712.4700003</v>
      </c>
      <c r="R99" s="20">
        <f>IFERROR(GETPIVOTDATA("[Measures].[Sum of EndNAV]",'Results PT'!$B$8,"[Table2].[ReturnDate]","[Table2].[ReturnDate].&amp;["&amp;$A99&amp;"]"),NA())</f>
        <v>5764771402.8199997</v>
      </c>
      <c r="S99" s="20"/>
      <c r="T99" s="1">
        <f t="shared" si="55"/>
        <v>-7478.6199989318848</v>
      </c>
      <c r="U99" s="1">
        <f t="shared" si="56"/>
        <v>-7478.6199989318848</v>
      </c>
      <c r="V99">
        <f t="shared" si="57"/>
        <v>4</v>
      </c>
      <c r="W99" s="20">
        <f t="shared" si="47"/>
        <v>-92360051.029999971</v>
      </c>
      <c r="X99" s="20">
        <f t="shared" si="58"/>
        <v>37840639.319999695</v>
      </c>
      <c r="Y99" s="20">
        <f t="shared" si="48"/>
        <v>5680750737.9850006</v>
      </c>
      <c r="Z99" s="3">
        <f t="shared" si="59"/>
        <v>6.6612039614718276E-3</v>
      </c>
      <c r="AC99" s="20">
        <f>IFERROR(GETPIVOTDATA("[Measures].[Distinct Count of LoanID]",'Count PT'!$B$3,"[Table2].[ReturnDate]","[Table2].[ReturnDate].&amp;["&amp;$A99&amp;"]"),NA())</f>
        <v>203</v>
      </c>
      <c r="AD99" s="20">
        <f>GETPIVOTDATA("[Measures].[Distinct Count of ManagerCode 2]",'Count PT'!$B$3,"[Table2].[ReturnDate]","[Table2].[ReturnDate].&amp;["&amp;$A99&amp;"]")</f>
        <v>9</v>
      </c>
      <c r="AE99" s="20" t="b">
        <f t="shared" si="60"/>
        <v>1</v>
      </c>
      <c r="AF99" s="20" t="b">
        <f t="shared" si="61"/>
        <v>1</v>
      </c>
      <c r="AG99" s="20" t="b">
        <f t="shared" si="62"/>
        <v>1</v>
      </c>
      <c r="AI99" s="7">
        <f t="shared" si="49"/>
        <v>6.2294557624882427E-3</v>
      </c>
      <c r="AJ99" s="7">
        <f t="shared" si="50"/>
        <v>2.353966459148539E-4</v>
      </c>
      <c r="AK99" s="7">
        <f t="shared" si="51"/>
        <v>1.9654890198474823E-4</v>
      </c>
      <c r="AL99" s="7">
        <f t="shared" si="63"/>
        <v>6.6614013103878456E-3</v>
      </c>
      <c r="AM99" s="7">
        <f t="shared" si="52"/>
        <v>-2.4336589717900251E-6</v>
      </c>
      <c r="AN99" s="7">
        <f t="shared" si="64"/>
        <v>6.6589676514160557E-3</v>
      </c>
      <c r="AO99" s="7">
        <f t="shared" si="65"/>
        <v>2.236310055771934E-6</v>
      </c>
      <c r="AP99" s="7">
        <f t="shared" si="53"/>
        <v>6.6612039614718276E-3</v>
      </c>
      <c r="AQ99" s="7">
        <f t="shared" si="54"/>
        <v>6.464852408403097E-3</v>
      </c>
      <c r="AS99" s="7">
        <f t="shared" si="66"/>
        <v>6.2294557624882427E-3</v>
      </c>
      <c r="AT99" s="7">
        <f t="shared" si="67"/>
        <v>2.353966459148539E-4</v>
      </c>
      <c r="AU99" s="7">
        <f t="shared" si="68"/>
        <v>6.464852408403097E-3</v>
      </c>
      <c r="AV99" s="7">
        <f t="shared" si="69"/>
        <v>1.9654890198474823E-4</v>
      </c>
      <c r="AW99" s="7">
        <f t="shared" si="70"/>
        <v>6.6614013103878456E-3</v>
      </c>
      <c r="AX99" s="7">
        <f t="shared" si="71"/>
        <v>-2.4336589717900251E-6</v>
      </c>
      <c r="AY99" s="7">
        <f t="shared" si="72"/>
        <v>6.6589676514160557E-3</v>
      </c>
      <c r="AZ99" s="7">
        <f t="shared" si="73"/>
        <v>2.236310055771934E-6</v>
      </c>
      <c r="BA99" s="7">
        <f t="shared" si="74"/>
        <v>6.6612039614718276E-3</v>
      </c>
      <c r="BB99" s="7">
        <f t="shared" si="75"/>
        <v>6.464852408403097E-3</v>
      </c>
      <c r="BC99" s="7"/>
      <c r="BD99">
        <f t="shared" si="76"/>
        <v>1</v>
      </c>
      <c r="BE99">
        <f t="shared" si="82"/>
        <v>1</v>
      </c>
      <c r="BF99" s="7" cm="1">
        <f t="array" ref="BF99">IF(ISNA($BA99),NA(),IF($BE99=0,"***",PRODUCT(1+AS97:AS99)-1))</f>
        <v>1.8275387610874327E-2</v>
      </c>
      <c r="BG99" s="7" cm="1">
        <f t="array" ref="BG99">IF(ISNA($BA99),NA(),IF($BE99=0,"***",PRODUCT(1+AT97:AT99)-1))</f>
        <v>9.5589834432363574E-4</v>
      </c>
      <c r="BH99" s="7" cm="1">
        <f t="array" ref="BH99">IF(ISNA($BA99),NA(),IF($BE99=0,"***",PRODUCT(1+AU97:AU99)-1))</f>
        <v>1.9242896730284453E-2</v>
      </c>
      <c r="BI99" s="7" cm="1">
        <f t="array" ref="BI99">IF(ISNA($BA99),NA(),IF($BE99=0,"***",PRODUCT(1+AV97:AV99)-1))</f>
        <v>7.0555317268028439E-4</v>
      </c>
      <c r="BJ99" s="7" cm="1">
        <f t="array" ref="BJ99">IF(ISNA($BA99),NA(),IF($BE99=0,"***",PRODUCT(1+AW97:AW99)-1))</f>
        <v>1.9957440186270325E-2</v>
      </c>
      <c r="BK99" s="7" cm="1">
        <f t="array" ref="BK99">IF(ISNA($BA99),NA(),IF($BE99=0,"***",PRODUCT(1+AX97:AX99)-1))</f>
        <v>-7.6653037133223023E-6</v>
      </c>
      <c r="BL99" s="7" cm="1">
        <f t="array" ref="BL99">IF(ISNA($BA99),NA(),IF($BE99=0,"***",PRODUCT(1+AY97:AY99)-1))</f>
        <v>1.9949673324190176E-2</v>
      </c>
      <c r="BM99" s="7" cm="1">
        <f t="array" ref="BM99">IF(ISNA($BA99),NA(),IF($BE99=0,"***",PRODUCT(1+AZ97:AZ99)-1))</f>
        <v>-7.9751339745641747E-3</v>
      </c>
      <c r="BN99" s="7" cm="1">
        <f t="array" ref="BN99">IF(ISNA($BA99),NA(),IF($BE99=0,"***",PRODUCT(1+BA97:BA99)-1))</f>
        <v>1.1866332733088347E-2</v>
      </c>
      <c r="BO99" s="7">
        <f t="shared" si="80"/>
        <v>-1.0820661653765384E-4</v>
      </c>
      <c r="BP99" s="7">
        <f t="shared" si="81"/>
        <v>1.9120824164389556E-2</v>
      </c>
    </row>
    <row r="100" spans="1:68" x14ac:dyDescent="0.25">
      <c r="A100" t="str">
        <f t="shared" si="77"/>
        <v>20190630</v>
      </c>
      <c r="B100">
        <f t="shared" si="78"/>
        <v>43646</v>
      </c>
      <c r="C100">
        <v>2019</v>
      </c>
      <c r="D100">
        <v>6</v>
      </c>
      <c r="F100" s="20">
        <f>IFERROR(GETPIVOTDATA("[Measures].[Sum of CashInterest]",'Results PT'!$B$8,"[Table2].[ReturnDate]","[Table2].[ReturnDate].&amp;["&amp;$A100&amp;"]"),NA())</f>
        <v>34395332.610000007</v>
      </c>
      <c r="G100" s="20">
        <f>IFERROR(GETPIVOTDATA("[Measures].[Sum of AccrInterest]",'Results PT'!$B$8,"[Table2].[ReturnDate]","[Table2].[ReturnDate].&amp;["&amp;$A100&amp;"]"),NA())</f>
        <v>1605332.1100000003</v>
      </c>
      <c r="H100" s="20">
        <f>IFERROR(GETPIVOTDATA("[Measures].[Sum of OtherIncome]",'Results PT'!$B$8,"[Table2].[ReturnDate]","[Table2].[ReturnDate].&amp;["&amp;$A100&amp;"]"),NA())</f>
        <v>3079514.82</v>
      </c>
      <c r="I100" s="20">
        <f>IFERROR(GETPIVOTDATA("[Measures].[Sum of Expenses]",'Results PT'!$B$8,"[Table2].[ReturnDate]","[Table2].[ReturnDate].&amp;["&amp;$A100&amp;"]"),NA())</f>
        <v>-15097.82</v>
      </c>
      <c r="J100" s="20">
        <f>IFERROR(GETPIVOTDATA("[Measures].[Sum of PrincipalFunded]",'Results PT'!$B$8,"[Table2].[ReturnDate]","[Table2].[ReturnDate].&amp;["&amp;$A100&amp;"]"),NA())</f>
        <v>-326333189.88</v>
      </c>
      <c r="K100" s="20">
        <f>IFERROR(GETPIVOTDATA("[Measures].[Sum of PrincipalRepaid]",'Results PT'!$B$8,"[Table2].[ReturnDate]","[Table2].[ReturnDate].&amp;["&amp;$A100&amp;"]"),NA())</f>
        <v>234159248.13000003</v>
      </c>
      <c r="L100" s="20"/>
      <c r="M100" s="20">
        <f>IFERROR(GETPIVOTDATA("[Measures].[Sum of StartValue]",'Results PT'!$B$8,"[Table2].[ReturnDate]","[Table2].[ReturnDate].&amp;["&amp;$A100&amp;"]"),NA())</f>
        <v>7893068856.3800011</v>
      </c>
      <c r="N100" s="20">
        <f>IFERROR(GETPIVOTDATA("[Measures].[Sum of EndValue]",'Results PT'!$B$8,"[Table2].[ReturnDate]","[Table2].[ReturnDate].&amp;["&amp;$A100&amp;"]"),NA())</f>
        <v>8140251334.8499975</v>
      </c>
      <c r="O100" s="20">
        <f>IFERROR(GETPIVOTDATA("[Measures].[Sum of StartPrincipal]",'Results PT'!$B$8,"[Table2].[ReturnDate]","[Table2].[ReturnDate].&amp;["&amp;$A100&amp;"]"),NA())</f>
        <v>8034612528.7100048</v>
      </c>
      <c r="P100" s="20">
        <f>IFERROR(GETPIVOTDATA("[Measures].[Sum of EndPrincipal]",'Results PT'!$B$8,"[Table2].[ReturnDate]","[Table2].[ReturnDate].&amp;["&amp;$A100&amp;"]"),NA())</f>
        <v>8282688362.6499996</v>
      </c>
      <c r="Q100" s="20">
        <f>IFERROR(GETPIVOTDATA("[Measures].[Sum of StartNAV]",'Results PT'!$B$8,"[Table2].[ReturnDate]","[Table2].[ReturnDate].&amp;["&amp;$A100&amp;"]"),NA())</f>
        <v>5764771402.8199997</v>
      </c>
      <c r="R100" s="20">
        <f>IFERROR(GETPIVOTDATA("[Measures].[Sum of EndNAV]",'Results PT'!$B$8,"[Table2].[ReturnDate]","[Table2].[ReturnDate].&amp;["&amp;$A100&amp;"]"),NA())</f>
        <v>5858268968.9899988</v>
      </c>
      <c r="S100" s="20"/>
      <c r="T100" s="1">
        <f t="shared" si="55"/>
        <v>0</v>
      </c>
      <c r="U100" s="1">
        <f t="shared" si="56"/>
        <v>0</v>
      </c>
      <c r="V100">
        <f t="shared" si="57"/>
        <v>4</v>
      </c>
      <c r="W100" s="20">
        <f t="shared" si="47"/>
        <v>-54714192.139999956</v>
      </c>
      <c r="X100" s="20">
        <f t="shared" si="58"/>
        <v>38783374.029998779</v>
      </c>
      <c r="Y100" s="20">
        <f t="shared" si="48"/>
        <v>5792128498.8899994</v>
      </c>
      <c r="Z100" s="3">
        <f t="shared" si="59"/>
        <v>6.6958759698496342E-3</v>
      </c>
      <c r="AC100" s="20">
        <f>IFERROR(GETPIVOTDATA("[Measures].[Distinct Count of LoanID]",'Count PT'!$B$3,"[Table2].[ReturnDate]","[Table2].[ReturnDate].&amp;["&amp;$A100&amp;"]"),NA())</f>
        <v>206</v>
      </c>
      <c r="AD100" s="20">
        <f>GETPIVOTDATA("[Measures].[Distinct Count of ManagerCode 2]",'Count PT'!$B$3,"[Table2].[ReturnDate]","[Table2].[ReturnDate].&amp;["&amp;$A100&amp;"]")</f>
        <v>9</v>
      </c>
      <c r="AE100" s="20" t="b">
        <f t="shared" si="60"/>
        <v>1</v>
      </c>
      <c r="AF100" s="20" t="b">
        <f t="shared" si="61"/>
        <v>1</v>
      </c>
      <c r="AG100" s="20" t="b">
        <f t="shared" si="62"/>
        <v>1</v>
      </c>
      <c r="AI100" s="7">
        <f t="shared" si="49"/>
        <v>5.9382889410329051E-3</v>
      </c>
      <c r="AJ100" s="7">
        <f t="shared" si="50"/>
        <v>2.7715754412348508E-4</v>
      </c>
      <c r="AK100" s="7">
        <f t="shared" si="51"/>
        <v>5.316723930745246E-4</v>
      </c>
      <c r="AL100" s="7">
        <f t="shared" si="63"/>
        <v>6.7471188782309149E-3</v>
      </c>
      <c r="AM100" s="7">
        <f t="shared" si="52"/>
        <v>-2.6066099885203408E-6</v>
      </c>
      <c r="AN100" s="7">
        <f t="shared" si="64"/>
        <v>6.7445122682423947E-3</v>
      </c>
      <c r="AO100" s="7">
        <f t="shared" si="65"/>
        <v>-4.8636298392760492E-5</v>
      </c>
      <c r="AP100" s="7">
        <f t="shared" si="53"/>
        <v>6.6958759698496342E-3</v>
      </c>
      <c r="AQ100" s="7">
        <f t="shared" si="54"/>
        <v>6.2154464851563902E-3</v>
      </c>
      <c r="AS100" s="7">
        <f t="shared" si="66"/>
        <v>5.9382889410329051E-3</v>
      </c>
      <c r="AT100" s="7">
        <f t="shared" si="67"/>
        <v>2.7715754412348508E-4</v>
      </c>
      <c r="AU100" s="7">
        <f t="shared" si="68"/>
        <v>6.2154464851563902E-3</v>
      </c>
      <c r="AV100" s="7">
        <f t="shared" si="69"/>
        <v>5.316723930745246E-4</v>
      </c>
      <c r="AW100" s="7">
        <f t="shared" si="70"/>
        <v>6.7471188782309149E-3</v>
      </c>
      <c r="AX100" s="7">
        <f t="shared" si="71"/>
        <v>-2.6066099885203408E-6</v>
      </c>
      <c r="AY100" s="7">
        <f t="shared" si="72"/>
        <v>6.7445122682423947E-3</v>
      </c>
      <c r="AZ100" s="7">
        <f t="shared" si="73"/>
        <v>-4.8636298392760492E-5</v>
      </c>
      <c r="BA100" s="7">
        <f t="shared" si="74"/>
        <v>6.6958759698496342E-3</v>
      </c>
      <c r="BB100" s="7">
        <f t="shared" si="75"/>
        <v>6.2154464851563902E-3</v>
      </c>
      <c r="BC100" s="7"/>
      <c r="BD100">
        <f t="shared" si="76"/>
        <v>1</v>
      </c>
      <c r="BE100">
        <f t="shared" si="82"/>
        <v>1</v>
      </c>
      <c r="BF100" s="7" cm="1">
        <f t="array" ref="BF100">IF(ISNA($BA100),NA(),IF($BE100=0,"***",PRODUCT(1+AS98:AS100)-1))</f>
        <v>1.8401548959904757E-2</v>
      </c>
      <c r="BG100" s="7" cm="1">
        <f t="array" ref="BG100">IF(ISNA($BA100),NA(),IF($BE100=0,"***",PRODUCT(1+AT98:AT100)-1))</f>
        <v>9.3870914408400452E-4</v>
      </c>
      <c r="BH100" s="7" cm="1">
        <f t="array" ref="BH100">IF(ISNA($BA100),NA(),IF($BE100=0,"***",PRODUCT(1+AU98:AU100)-1))</f>
        <v>1.9351738908879534E-2</v>
      </c>
      <c r="BI100" s="7" cm="1">
        <f t="array" ref="BI100">IF(ISNA($BA100),NA(),IF($BE100=0,"***",PRODUCT(1+AV98:AV100)-1))</f>
        <v>1.065425071762327E-3</v>
      </c>
      <c r="BJ100" s="7" cm="1">
        <f t="array" ref="BJ100">IF(ISNA($BA100),NA(),IF($BE100=0,"***",PRODUCT(1+AW98:AW100)-1))</f>
        <v>2.0430908874258025E-2</v>
      </c>
      <c r="BK100" s="7" cm="1">
        <f t="array" ref="BK100">IF(ISNA($BA100),NA(),IF($BE100=0,"***",PRODUCT(1+AX98:AX100)-1))</f>
        <v>-7.8235656649772167E-6</v>
      </c>
      <c r="BL100" s="7" cm="1">
        <f t="array" ref="BL100">IF(ISNA($BA100),NA(),IF($BE100=0,"***",PRODUCT(1+AY98:AY100)-1))</f>
        <v>2.0422979145674924E-2</v>
      </c>
      <c r="BM100" s="7" cm="1">
        <f t="array" ref="BM100">IF(ISNA($BA100),NA(),IF($BE100=0,"***",PRODUCT(1+AZ98:AZ100)-1))</f>
        <v>-3.1825043001254549E-4</v>
      </c>
      <c r="BN100" s="7" cm="1">
        <f t="array" ref="BN100">IF(ISNA($BA100),NA(),IF($BE100=0,"***",PRODUCT(1+BA98:BA100)-1))</f>
        <v>2.0100442443387045E-2</v>
      </c>
      <c r="BO100" s="7">
        <f t="shared" si="80"/>
        <v>-4.2862722753334026E-6</v>
      </c>
      <c r="BP100" s="7">
        <f t="shared" si="81"/>
        <v>1.9228263703805856E-2</v>
      </c>
    </row>
    <row r="101" spans="1:68" x14ac:dyDescent="0.25">
      <c r="A101" t="str">
        <f t="shared" si="77"/>
        <v>20190731</v>
      </c>
      <c r="B101">
        <f t="shared" si="78"/>
        <v>43677</v>
      </c>
      <c r="C101">
        <v>2019</v>
      </c>
      <c r="D101">
        <v>7</v>
      </c>
      <c r="F101" s="20">
        <f>IFERROR(GETPIVOTDATA("[Measures].[Sum of CashInterest]",'Results PT'!$B$8,"[Table2].[ReturnDate]","[Table2].[ReturnDate].&amp;["&amp;$A101&amp;"]"),NA())</f>
        <v>28995107.280000024</v>
      </c>
      <c r="G101" s="20">
        <f>IFERROR(GETPIVOTDATA("[Measures].[Sum of AccrInterest]",'Results PT'!$B$8,"[Table2].[ReturnDate]","[Table2].[ReturnDate].&amp;["&amp;$A101&amp;"]"),NA())</f>
        <v>3004884.88</v>
      </c>
      <c r="H101" s="20">
        <f>IFERROR(GETPIVOTDATA("[Measures].[Sum of OtherIncome]",'Results PT'!$B$8,"[Table2].[ReturnDate]","[Table2].[ReturnDate].&amp;["&amp;$A101&amp;"]"),NA())</f>
        <v>542702.32000000007</v>
      </c>
      <c r="I101" s="20">
        <f>IFERROR(GETPIVOTDATA("[Measures].[Sum of Expenses]",'Results PT'!$B$8,"[Table2].[ReturnDate]","[Table2].[ReturnDate].&amp;["&amp;$A101&amp;"]"),NA())</f>
        <v>-19114.73</v>
      </c>
      <c r="J101" s="20">
        <f>IFERROR(GETPIVOTDATA("[Measures].[Sum of PrincipalFunded]",'Results PT'!$B$8,"[Table2].[ReturnDate]","[Table2].[ReturnDate].&amp;["&amp;$A101&amp;"]"),NA())</f>
        <v>-216404362.68000001</v>
      </c>
      <c r="K101" s="20">
        <f>IFERROR(GETPIVOTDATA("[Measures].[Sum of PrincipalRepaid]",'Results PT'!$B$8,"[Table2].[ReturnDate]","[Table2].[ReturnDate].&amp;["&amp;$A101&amp;"]"),NA())</f>
        <v>175837220.38</v>
      </c>
      <c r="L101" s="20"/>
      <c r="M101" s="20">
        <f>IFERROR(GETPIVOTDATA("[Measures].[Sum of StartValue]",'Results PT'!$B$8,"[Table2].[ReturnDate]","[Table2].[ReturnDate].&amp;["&amp;$A101&amp;"]"),NA())</f>
        <v>7442973105.8499975</v>
      </c>
      <c r="N101" s="20">
        <f>IFERROR(GETPIVOTDATA("[Measures].[Sum of EndValue]",'Results PT'!$B$8,"[Table2].[ReturnDate]","[Table2].[ReturnDate].&amp;["&amp;$A101&amp;"]"),NA())</f>
        <v>7573645520.4799976</v>
      </c>
      <c r="O101" s="20">
        <f>IFERROR(GETPIVOTDATA("[Measures].[Sum of StartPrincipal]",'Results PT'!$B$8,"[Table2].[ReturnDate]","[Table2].[ReturnDate].&amp;["&amp;$A101&amp;"]"),NA())</f>
        <v>7630499882.1700001</v>
      </c>
      <c r="P101" s="20">
        <f>IFERROR(GETPIVOTDATA("[Measures].[Sum of EndPrincipal]",'Results PT'!$B$8,"[Table2].[ReturnDate]","[Table2].[ReturnDate].&amp;["&amp;$A101&amp;"]"),NA())</f>
        <v>7762847888.1699991</v>
      </c>
      <c r="Q101" s="20">
        <f>IFERROR(GETPIVOTDATA("[Measures].[Sum of StartNAV]",'Results PT'!$B$8,"[Table2].[ReturnDate]","[Table2].[ReturnDate].&amp;["&amp;$A101&amp;"]"),NA())</f>
        <v>5160990739.9899998</v>
      </c>
      <c r="R101" s="20">
        <f>IFERROR(GETPIVOTDATA("[Measures].[Sum of EndNAV]",'Results PT'!$B$8,"[Table2].[ReturnDate]","[Table2].[ReturnDate].&amp;["&amp;$A101&amp;"]"),NA())</f>
        <v>5203817628.0699978</v>
      </c>
      <c r="S101" s="20"/>
      <c r="T101" s="1">
        <f t="shared" si="55"/>
        <v>-697278229</v>
      </c>
      <c r="U101" s="1">
        <f t="shared" si="56"/>
        <v>-652188480.47999954</v>
      </c>
      <c r="V101">
        <f t="shared" si="57"/>
        <v>4</v>
      </c>
      <c r="W101" s="20">
        <f t="shared" si="47"/>
        <v>-11048447.429999977</v>
      </c>
      <c r="X101" s="20">
        <f t="shared" si="58"/>
        <v>31778440.649997711</v>
      </c>
      <c r="Y101" s="20">
        <f t="shared" si="48"/>
        <v>5166514963.7049999</v>
      </c>
      <c r="Z101" s="3">
        <f t="shared" si="59"/>
        <v>6.150846532574218E-3</v>
      </c>
      <c r="AC101" s="20">
        <f>IFERROR(GETPIVOTDATA("[Measures].[Distinct Count of LoanID]",'Count PT'!$B$3,"[Table2].[ReturnDate]","[Table2].[ReturnDate].&amp;["&amp;$A101&amp;"]"),NA())</f>
        <v>160</v>
      </c>
      <c r="AD101" s="20">
        <f>GETPIVOTDATA("[Measures].[Distinct Count of ManagerCode 2]",'Count PT'!$B$3,"[Table2].[ReturnDate]","[Table2].[ReturnDate].&amp;["&amp;$A101&amp;"]")</f>
        <v>8</v>
      </c>
      <c r="AE101" s="20" t="b">
        <f t="shared" si="60"/>
        <v>1</v>
      </c>
      <c r="AF101" s="20" t="b">
        <f t="shared" si="61"/>
        <v>1</v>
      </c>
      <c r="AG101" s="20" t="b">
        <f t="shared" si="62"/>
        <v>1</v>
      </c>
      <c r="AI101" s="7">
        <f t="shared" si="49"/>
        <v>5.6121210300738422E-3</v>
      </c>
      <c r="AJ101" s="7">
        <f t="shared" si="50"/>
        <v>5.8160769902138119E-4</v>
      </c>
      <c r="AK101" s="7">
        <f t="shared" si="51"/>
        <v>1.0504224294568163E-4</v>
      </c>
      <c r="AL101" s="7">
        <f t="shared" si="63"/>
        <v>6.2987709720409048E-3</v>
      </c>
      <c r="AM101" s="7">
        <f t="shared" si="52"/>
        <v>-3.6997337923690994E-6</v>
      </c>
      <c r="AN101" s="7">
        <f t="shared" si="64"/>
        <v>6.2950712382485357E-3</v>
      </c>
      <c r="AO101" s="7">
        <f t="shared" si="65"/>
        <v>-1.4422470567431768E-4</v>
      </c>
      <c r="AP101" s="7">
        <f t="shared" si="53"/>
        <v>6.150846532574218E-3</v>
      </c>
      <c r="AQ101" s="7">
        <f t="shared" si="54"/>
        <v>6.1937287290952233E-3</v>
      </c>
      <c r="AS101" s="7">
        <f t="shared" si="66"/>
        <v>5.6121210300738422E-3</v>
      </c>
      <c r="AT101" s="7">
        <f t="shared" si="67"/>
        <v>5.8160769902138119E-4</v>
      </c>
      <c r="AU101" s="7">
        <f t="shared" si="68"/>
        <v>6.1937287290952233E-3</v>
      </c>
      <c r="AV101" s="7">
        <f t="shared" si="69"/>
        <v>1.0504224294568163E-4</v>
      </c>
      <c r="AW101" s="7">
        <f t="shared" si="70"/>
        <v>6.2987709720409048E-3</v>
      </c>
      <c r="AX101" s="7">
        <f t="shared" si="71"/>
        <v>-3.6997337923690994E-6</v>
      </c>
      <c r="AY101" s="7">
        <f t="shared" si="72"/>
        <v>6.2950712382485357E-3</v>
      </c>
      <c r="AZ101" s="7">
        <f t="shared" si="73"/>
        <v>-1.4422470567431768E-4</v>
      </c>
      <c r="BA101" s="7">
        <f t="shared" si="74"/>
        <v>6.150846532574218E-3</v>
      </c>
      <c r="BB101" s="7">
        <f t="shared" si="75"/>
        <v>6.1937287290952233E-3</v>
      </c>
      <c r="BC101" s="7"/>
      <c r="BD101">
        <f t="shared" si="76"/>
        <v>1</v>
      </c>
      <c r="BE101">
        <f t="shared" si="82"/>
        <v>1</v>
      </c>
      <c r="BF101" s="7" cm="1">
        <f t="array" ref="BF101">IF(ISNA($BA101),NA(),IF($BE101=0,"***",PRODUCT(1+AS99:AS101)-1))</f>
        <v>1.7885352503108409E-2</v>
      </c>
      <c r="BG101" s="7" cm="1">
        <f t="array" ref="BG101">IF(ISNA($BA101),NA(),IF($BE101=0,"***",PRODUCT(1+AT99:AT101)-1))</f>
        <v>1.0945252744243295E-3</v>
      </c>
      <c r="BH101" s="7" cm="1">
        <f t="array" ref="BH101">IF(ISNA($BA101),NA(),IF($BE101=0,"***",PRODUCT(1+AU99:AU101)-1))</f>
        <v>1.8992996774446214E-2</v>
      </c>
      <c r="BI101" s="7" cm="1">
        <f t="array" ref="BI101">IF(ISNA($BA101),NA(),IF($BE101=0,"***",PRODUCT(1+AV99:AV101)-1))</f>
        <v>8.3344454260525502E-4</v>
      </c>
      <c r="BJ101" s="7" cm="1">
        <f t="array" ref="BJ101">IF(ISNA($BA101),NA(),IF($BE101=0,"***",PRODUCT(1+AW99:AW101)-1))</f>
        <v>1.9836976724878719E-2</v>
      </c>
      <c r="BK101" s="7" cm="1">
        <f t="array" ref="BK101">IF(ISNA($BA101),NA(),IF($BE101=0,"***",PRODUCT(1+AX99:AX101)-1))</f>
        <v>-8.7399777614072249E-6</v>
      </c>
      <c r="BL101" s="7" cm="1">
        <f t="array" ref="BL101">IF(ISNA($BA101),NA(),IF($BE101=0,"***",PRODUCT(1+AY99:AY101)-1))</f>
        <v>1.9828121228883333E-2</v>
      </c>
      <c r="BM101" s="7" cm="1">
        <f t="array" ref="BM101">IF(ISNA($BA101),NA(),IF($BE101=0,"***",PRODUCT(1+AZ99:AZ101)-1))</f>
        <v>-1.9061811073683987E-4</v>
      </c>
      <c r="BN101" s="7" cm="1">
        <f t="array" ref="BN101">IF(ISNA($BA101),NA(),IF($BE101=0,"***",PRODUCT(1+BA99:BA101)-1))</f>
        <v>1.9634960751932384E-2</v>
      </c>
      <c r="BO101" s="7">
        <f t="shared" si="80"/>
        <v>-2.5423662141088599E-6</v>
      </c>
      <c r="BP101" s="7">
        <f t="shared" si="81"/>
        <v>1.8874027622654711E-2</v>
      </c>
    </row>
    <row r="102" spans="1:68" x14ac:dyDescent="0.25">
      <c r="A102" t="str">
        <f t="shared" si="77"/>
        <v>20190831</v>
      </c>
      <c r="B102">
        <f t="shared" si="78"/>
        <v>43708</v>
      </c>
      <c r="C102">
        <v>2019</v>
      </c>
      <c r="D102">
        <v>8</v>
      </c>
      <c r="F102" s="20">
        <f>IFERROR(GETPIVOTDATA("[Measures].[Sum of CashInterest]",'Results PT'!$B$8,"[Table2].[ReturnDate]","[Table2].[ReturnDate].&amp;["&amp;$A102&amp;"]"),NA())</f>
        <v>28120599.920000002</v>
      </c>
      <c r="G102" s="20">
        <f>IFERROR(GETPIVOTDATA("[Measures].[Sum of AccrInterest]",'Results PT'!$B$8,"[Table2].[ReturnDate]","[Table2].[ReturnDate].&amp;["&amp;$A102&amp;"]"),NA())</f>
        <v>2478063.7400000007</v>
      </c>
      <c r="H102" s="20">
        <f>IFERROR(GETPIVOTDATA("[Measures].[Sum of OtherIncome]",'Results PT'!$B$8,"[Table2].[ReturnDate]","[Table2].[ReturnDate].&amp;["&amp;$A102&amp;"]"),NA())</f>
        <v>1843780</v>
      </c>
      <c r="I102" s="20">
        <f>IFERROR(GETPIVOTDATA("[Measures].[Sum of Expenses]",'Results PT'!$B$8,"[Table2].[ReturnDate]","[Table2].[ReturnDate].&amp;["&amp;$A102&amp;"]"),NA())</f>
        <v>-54778.469999999994</v>
      </c>
      <c r="J102" s="20">
        <f>IFERROR(GETPIVOTDATA("[Measures].[Sum of PrincipalFunded]",'Results PT'!$B$8,"[Table2].[ReturnDate]","[Table2].[ReturnDate].&amp;["&amp;$A102&amp;"]"),NA())</f>
        <v>-330747114.11000001</v>
      </c>
      <c r="K102" s="20">
        <f>IFERROR(GETPIVOTDATA("[Measures].[Sum of PrincipalRepaid]",'Results PT'!$B$8,"[Table2].[ReturnDate]","[Table2].[ReturnDate].&amp;["&amp;$A102&amp;"]"),NA())</f>
        <v>145895531.52000001</v>
      </c>
      <c r="L102" s="20"/>
      <c r="M102" s="20">
        <f>IFERROR(GETPIVOTDATA("[Measures].[Sum of StartValue]",'Results PT'!$B$8,"[Table2].[ReturnDate]","[Table2].[ReturnDate].&amp;["&amp;$A102&amp;"]"),NA())</f>
        <v>7573645520.4799976</v>
      </c>
      <c r="N102" s="20">
        <f>IFERROR(GETPIVOTDATA("[Measures].[Sum of EndValue]",'Results PT'!$B$8,"[Table2].[ReturnDate]","[Table2].[ReturnDate].&amp;["&amp;$A102&amp;"]"),NA())</f>
        <v>7737443095.71</v>
      </c>
      <c r="O102" s="20">
        <f>IFERROR(GETPIVOTDATA("[Measures].[Sum of StartPrincipal]",'Results PT'!$B$8,"[Table2].[ReturnDate]","[Table2].[ReturnDate].&amp;["&amp;$A102&amp;"]"),NA())</f>
        <v>7762847888.1699991</v>
      </c>
      <c r="P102" s="20">
        <f>IFERROR(GETPIVOTDATA("[Measures].[Sum of EndPrincipal]",'Results PT'!$B$8,"[Table2].[ReturnDate]","[Table2].[ReturnDate].&amp;["&amp;$A102&amp;"]"),NA())</f>
        <v>7924070692.0500002</v>
      </c>
      <c r="Q102" s="20">
        <f>IFERROR(GETPIVOTDATA("[Measures].[Sum of StartNAV]",'Results PT'!$B$8,"[Table2].[ReturnDate]","[Table2].[ReturnDate].&amp;["&amp;$A102&amp;"]"),NA())</f>
        <v>5203817628.0699978</v>
      </c>
      <c r="R102" s="20">
        <f>IFERROR(GETPIVOTDATA("[Measures].[Sum of EndNAV]",'Results PT'!$B$8,"[Table2].[ReturnDate]","[Table2].[ReturnDate].&amp;["&amp;$A102&amp;"]"),NA())</f>
        <v>5394358751.7299995</v>
      </c>
      <c r="S102" s="20"/>
      <c r="T102" s="1">
        <f t="shared" si="55"/>
        <v>0</v>
      </c>
      <c r="U102" s="1">
        <f t="shared" si="56"/>
        <v>0</v>
      </c>
      <c r="V102">
        <f t="shared" si="57"/>
        <v>4</v>
      </c>
      <c r="W102" s="20">
        <f t="shared" si="47"/>
        <v>-154941981.14000002</v>
      </c>
      <c r="X102" s="20">
        <f t="shared" si="58"/>
        <v>35599142.520001411</v>
      </c>
      <c r="Y102" s="20">
        <f t="shared" si="48"/>
        <v>5281288618.6399975</v>
      </c>
      <c r="Z102" s="3">
        <f t="shared" si="59"/>
        <v>6.7406167491691959E-3</v>
      </c>
      <c r="AC102" s="20">
        <f>IFERROR(GETPIVOTDATA("[Measures].[Distinct Count of LoanID]",'Count PT'!$B$3,"[Table2].[ReturnDate]","[Table2].[ReturnDate].&amp;["&amp;$A102&amp;"]"),NA())</f>
        <v>158</v>
      </c>
      <c r="AD102" s="20">
        <f>GETPIVOTDATA("[Measures].[Distinct Count of ManagerCode 2]",'Count PT'!$B$3,"[Table2].[ReturnDate]","[Table2].[ReturnDate].&amp;["&amp;$A102&amp;"]")</f>
        <v>8</v>
      </c>
      <c r="AE102" s="20" t="b">
        <f t="shared" si="60"/>
        <v>1</v>
      </c>
      <c r="AF102" s="20" t="b">
        <f t="shared" si="61"/>
        <v>1</v>
      </c>
      <c r="AG102" s="20" t="b">
        <f t="shared" si="62"/>
        <v>1</v>
      </c>
      <c r="AI102" s="7">
        <f t="shared" si="49"/>
        <v>5.324571700313821E-3</v>
      </c>
      <c r="AJ102" s="7">
        <f t="shared" si="50"/>
        <v>4.6921573860853212E-4</v>
      </c>
      <c r="AK102" s="7">
        <f t="shared" si="51"/>
        <v>3.4911555363448363E-4</v>
      </c>
      <c r="AL102" s="7">
        <f t="shared" si="63"/>
        <v>6.1429029925568366E-3</v>
      </c>
      <c r="AM102" s="7">
        <f t="shared" si="52"/>
        <v>-1.0372178828981739E-5</v>
      </c>
      <c r="AN102" s="7">
        <f t="shared" si="64"/>
        <v>6.1325308137278548E-3</v>
      </c>
      <c r="AO102" s="7">
        <f t="shared" si="65"/>
        <v>6.080859354413411E-4</v>
      </c>
      <c r="AP102" s="7">
        <f t="shared" si="53"/>
        <v>6.7406167491691959E-3</v>
      </c>
      <c r="AQ102" s="7">
        <f t="shared" si="54"/>
        <v>5.7937874389223532E-3</v>
      </c>
      <c r="AS102" s="7">
        <f t="shared" si="66"/>
        <v>5.324571700313821E-3</v>
      </c>
      <c r="AT102" s="7">
        <f t="shared" si="67"/>
        <v>4.6921573860853212E-4</v>
      </c>
      <c r="AU102" s="7">
        <f t="shared" si="68"/>
        <v>5.7937874389223532E-3</v>
      </c>
      <c r="AV102" s="7">
        <f t="shared" si="69"/>
        <v>3.4911555363448363E-4</v>
      </c>
      <c r="AW102" s="7">
        <f t="shared" si="70"/>
        <v>6.1429029925568366E-3</v>
      </c>
      <c r="AX102" s="7">
        <f t="shared" si="71"/>
        <v>-1.0372178828981739E-5</v>
      </c>
      <c r="AY102" s="7">
        <f t="shared" si="72"/>
        <v>6.1325308137278548E-3</v>
      </c>
      <c r="AZ102" s="7">
        <f t="shared" si="73"/>
        <v>6.080859354413411E-4</v>
      </c>
      <c r="BA102" s="7">
        <f t="shared" si="74"/>
        <v>6.7406167491691959E-3</v>
      </c>
      <c r="BB102" s="7">
        <f t="shared" si="75"/>
        <v>5.7937874389223532E-3</v>
      </c>
      <c r="BC102" s="7"/>
      <c r="BD102">
        <f t="shared" si="76"/>
        <v>1</v>
      </c>
      <c r="BE102">
        <f t="shared" si="82"/>
        <v>1</v>
      </c>
      <c r="BF102" s="7" cm="1">
        <f t="array" ref="BF102">IF(ISNA($BA102),NA(),IF($BE102=0,"***",PRODUCT(1+AS100:AS102)-1))</f>
        <v>1.69699865025148E-2</v>
      </c>
      <c r="BG102" s="7" cm="1">
        <f t="array" ref="BG102">IF(ISNA($BA102),NA(),IF($BE102=0,"***",PRODUCT(1+AT100:AT102)-1))</f>
        <v>1.3285452005189491E-3</v>
      </c>
      <c r="BH102" s="7" cm="1">
        <f t="array" ref="BH102">IF(ISNA($BA102),NA(),IF($BE102=0,"***",PRODUCT(1+AU100:AU102)-1))</f>
        <v>1.8313578608332381E-2</v>
      </c>
      <c r="BI102" s="7" cm="1">
        <f t="array" ref="BI102">IF(ISNA($BA102),NA(),IF($BE102=0,"***",PRODUCT(1+AV100:AV102)-1))</f>
        <v>9.8610834419554649E-4</v>
      </c>
      <c r="BJ102" s="7" cm="1">
        <f t="array" ref="BJ102">IF(ISNA($BA102),NA(),IF($BE102=0,"***",PRODUCT(1+AW100:AW102)-1))</f>
        <v>1.9311692099675648E-2</v>
      </c>
      <c r="BK102" s="7" cm="1">
        <f t="array" ref="BK102">IF(ISNA($BA102),NA(),IF($BE102=0,"***",PRODUCT(1+AX100:AX102)-1))</f>
        <v>-1.6678447555595888E-5</v>
      </c>
      <c r="BL102" s="7" cm="1">
        <f t="array" ref="BL102">IF(ISNA($BA102),NA(),IF($BE102=0,"***",PRODUCT(1+AY100:AY102)-1))</f>
        <v>1.9294797523062845E-2</v>
      </c>
      <c r="BM102" s="7" cm="1">
        <f t="array" ref="BM102">IF(ISNA($BA102),NA(),IF($BE102=0,"***",PRODUCT(1+AZ100:AZ102)-1))</f>
        <v>4.1511467413135605E-4</v>
      </c>
      <c r="BN102" s="7" cm="1">
        <f t="array" ref="BN102">IF(ISNA($BA102),NA(),IF($BE102=0,"***",PRODUCT(1+BA100:BA102)-1))</f>
        <v>1.9715397004316682E-2</v>
      </c>
      <c r="BO102" s="7">
        <f t="shared" si="80"/>
        <v>5.4848071224800066E-6</v>
      </c>
      <c r="BP102" s="7">
        <f t="shared" si="81"/>
        <v>1.8202962653173969E-2</v>
      </c>
    </row>
    <row r="103" spans="1:68" x14ac:dyDescent="0.25">
      <c r="A103" t="str">
        <f t="shared" si="77"/>
        <v>20190930</v>
      </c>
      <c r="B103">
        <f t="shared" si="78"/>
        <v>43738</v>
      </c>
      <c r="C103">
        <v>2019</v>
      </c>
      <c r="D103">
        <v>9</v>
      </c>
      <c r="F103" s="20">
        <f>IFERROR(GETPIVOTDATA("[Measures].[Sum of CashInterest]",'Results PT'!$B$8,"[Table2].[ReturnDate]","[Table2].[ReturnDate].&amp;["&amp;$A103&amp;"]"),NA())</f>
        <v>29492194.010000017</v>
      </c>
      <c r="G103" s="20">
        <f>IFERROR(GETPIVOTDATA("[Measures].[Sum of AccrInterest]",'Results PT'!$B$8,"[Table2].[ReturnDate]","[Table2].[ReturnDate].&amp;["&amp;$A103&amp;"]"),NA())</f>
        <v>1876437.46</v>
      </c>
      <c r="H103" s="20">
        <f>IFERROR(GETPIVOTDATA("[Measures].[Sum of OtherIncome]",'Results PT'!$B$8,"[Table2].[ReturnDate]","[Table2].[ReturnDate].&amp;["&amp;$A103&amp;"]"),NA())</f>
        <v>1898975</v>
      </c>
      <c r="I103" s="20">
        <f>IFERROR(GETPIVOTDATA("[Measures].[Sum of Expenses]",'Results PT'!$B$8,"[Table2].[ReturnDate]","[Table2].[ReturnDate].&amp;["&amp;$A103&amp;"]"),NA())</f>
        <v>-24340.069999999996</v>
      </c>
      <c r="J103" s="20">
        <f>IFERROR(GETPIVOTDATA("[Measures].[Sum of PrincipalFunded]",'Results PT'!$B$8,"[Table2].[ReturnDate]","[Table2].[ReturnDate].&amp;["&amp;$A103&amp;"]"),NA())</f>
        <v>-383903260.11999995</v>
      </c>
      <c r="K103" s="20">
        <f>IFERROR(GETPIVOTDATA("[Measures].[Sum of PrincipalRepaid]",'Results PT'!$B$8,"[Table2].[ReturnDate]","[Table2].[ReturnDate].&amp;["&amp;$A103&amp;"]"),NA())</f>
        <v>267801734.34</v>
      </c>
      <c r="L103" s="20"/>
      <c r="M103" s="20">
        <f>IFERROR(GETPIVOTDATA("[Measures].[Sum of StartValue]",'Results PT'!$B$8,"[Table2].[ReturnDate]","[Table2].[ReturnDate].&amp;["&amp;$A103&amp;"]"),NA())</f>
        <v>7737443095.71</v>
      </c>
      <c r="N103" s="20">
        <f>IFERROR(GETPIVOTDATA("[Measures].[Sum of EndValue]",'Results PT'!$B$8,"[Table2].[ReturnDate]","[Table2].[ReturnDate].&amp;["&amp;$A103&amp;"]"),NA())</f>
        <v>8047845781.8999996</v>
      </c>
      <c r="O103" s="20">
        <f>IFERROR(GETPIVOTDATA("[Measures].[Sum of StartPrincipal]",'Results PT'!$B$8,"[Table2].[ReturnDate]","[Table2].[ReturnDate].&amp;["&amp;$A103&amp;"]"),NA())</f>
        <v>7924070692.0500002</v>
      </c>
      <c r="P103" s="20">
        <f>IFERROR(GETPIVOTDATA("[Measures].[Sum of EndPrincipal]",'Results PT'!$B$8,"[Table2].[ReturnDate]","[Table2].[ReturnDate].&amp;["&amp;$A103&amp;"]"),NA())</f>
        <v>8236124773.920001</v>
      </c>
      <c r="Q103" s="20">
        <f>IFERROR(GETPIVOTDATA("[Measures].[Sum of StartNAV]",'Results PT'!$B$8,"[Table2].[ReturnDate]","[Table2].[ReturnDate].&amp;["&amp;$A103&amp;"]"),NA())</f>
        <v>5394358751.7299995</v>
      </c>
      <c r="R103" s="20">
        <f>IFERROR(GETPIVOTDATA("[Measures].[Sum of EndNAV]",'Results PT'!$B$8,"[Table2].[ReturnDate]","[Table2].[ReturnDate].&amp;["&amp;$A103&amp;"]"),NA())</f>
        <v>5511324414.4100008</v>
      </c>
      <c r="S103" s="20"/>
      <c r="T103" s="1">
        <f t="shared" si="55"/>
        <v>0</v>
      </c>
      <c r="U103" s="1">
        <f t="shared" si="56"/>
        <v>0</v>
      </c>
      <c r="V103">
        <f t="shared" si="57"/>
        <v>4</v>
      </c>
      <c r="W103" s="20">
        <f t="shared" si="47"/>
        <v>-84734696.839999944</v>
      </c>
      <c r="X103" s="20">
        <f t="shared" si="58"/>
        <v>32230965.840001106</v>
      </c>
      <c r="Y103" s="20">
        <f t="shared" si="48"/>
        <v>5436726100.1499996</v>
      </c>
      <c r="Z103" s="3">
        <f t="shared" si="59"/>
        <v>5.9283777122985564E-3</v>
      </c>
      <c r="AC103" s="20">
        <f>IFERROR(GETPIVOTDATA("[Measures].[Distinct Count of LoanID]",'Count PT'!$B$3,"[Table2].[ReturnDate]","[Table2].[ReturnDate].&amp;["&amp;$A103&amp;"]"),NA())</f>
        <v>162</v>
      </c>
      <c r="AD103" s="20">
        <f>GETPIVOTDATA("[Measures].[Distinct Count of ManagerCode 2]",'Count PT'!$B$3,"[Table2].[ReturnDate]","[Table2].[ReturnDate].&amp;["&amp;$A103&amp;"]")</f>
        <v>8</v>
      </c>
      <c r="AE103" s="20" t="b">
        <f t="shared" si="60"/>
        <v>1</v>
      </c>
      <c r="AF103" s="20" t="b">
        <f t="shared" si="61"/>
        <v>1</v>
      </c>
      <c r="AG103" s="20" t="b">
        <f t="shared" si="62"/>
        <v>1</v>
      </c>
      <c r="AI103" s="7">
        <f t="shared" si="49"/>
        <v>5.4246238391862933E-3</v>
      </c>
      <c r="AJ103" s="7">
        <f t="shared" si="50"/>
        <v>3.4514106935573397E-4</v>
      </c>
      <c r="AK103" s="7">
        <f t="shared" si="51"/>
        <v>3.4928649430170984E-4</v>
      </c>
      <c r="AL103" s="7">
        <f t="shared" si="63"/>
        <v>6.119051402843737E-3</v>
      </c>
      <c r="AM103" s="7">
        <f t="shared" si="52"/>
        <v>-4.4769719039788397E-6</v>
      </c>
      <c r="AN103" s="7">
        <f t="shared" si="64"/>
        <v>6.1145744309397581E-3</v>
      </c>
      <c r="AO103" s="7">
        <f t="shared" si="65"/>
        <v>-1.8619671864120169E-4</v>
      </c>
      <c r="AP103" s="7">
        <f t="shared" si="53"/>
        <v>5.9283777122985564E-3</v>
      </c>
      <c r="AQ103" s="7">
        <f t="shared" si="54"/>
        <v>5.7697649085420273E-3</v>
      </c>
      <c r="AS103" s="7">
        <f t="shared" si="66"/>
        <v>5.4246238391862933E-3</v>
      </c>
      <c r="AT103" s="7">
        <f t="shared" si="67"/>
        <v>3.4514106935573397E-4</v>
      </c>
      <c r="AU103" s="7">
        <f t="shared" si="68"/>
        <v>5.7697649085420273E-3</v>
      </c>
      <c r="AV103" s="7">
        <f t="shared" si="69"/>
        <v>3.4928649430170984E-4</v>
      </c>
      <c r="AW103" s="7">
        <f t="shared" si="70"/>
        <v>6.119051402843737E-3</v>
      </c>
      <c r="AX103" s="7">
        <f t="shared" si="71"/>
        <v>-4.4769719039788397E-6</v>
      </c>
      <c r="AY103" s="7">
        <f t="shared" si="72"/>
        <v>6.1145744309397581E-3</v>
      </c>
      <c r="AZ103" s="7">
        <f t="shared" si="73"/>
        <v>-1.8619671864120169E-4</v>
      </c>
      <c r="BA103" s="7">
        <f t="shared" si="74"/>
        <v>5.9283777122985564E-3</v>
      </c>
      <c r="BB103" s="7">
        <f t="shared" si="75"/>
        <v>5.7697649085420273E-3</v>
      </c>
      <c r="BC103" s="7"/>
      <c r="BD103">
        <f t="shared" si="76"/>
        <v>1</v>
      </c>
      <c r="BE103">
        <f t="shared" si="82"/>
        <v>1</v>
      </c>
      <c r="BF103" s="7" cm="1">
        <f t="array" ref="BF103">IF(ISNA($BA103),NA(),IF($BE103=0,"***",PRODUCT(1+AS101:AS103)-1))</f>
        <v>1.6450688253869972E-2</v>
      </c>
      <c r="BG103" s="7" cm="1">
        <f t="array" ref="BG103">IF(ISNA($BA103),NA(),IF($BE103=0,"***",PRODUCT(1+AT101:AT103)-1))</f>
        <v>1.3966001829857078E-3</v>
      </c>
      <c r="BH103" s="7" cm="1">
        <f t="array" ref="BH103">IF(ISNA($BA103),NA(),IF($BE103=0,"***",PRODUCT(1+AU101:AU103)-1))</f>
        <v>1.786253842326313E-2</v>
      </c>
      <c r="BI103" s="7" cm="1">
        <f t="array" ref="BI103">IF(ISNA($BA103),NA(),IF($BE103=0,"***",PRODUCT(1+AV101:AV103)-1))</f>
        <v>8.0363960675655655E-4</v>
      </c>
      <c r="BJ103" s="7" cm="1">
        <f t="array" ref="BJ103">IF(ISNA($BA103),NA(),IF($BE103=0,"***",PRODUCT(1+AW101:AW103)-1))</f>
        <v>1.8675786111881143E-2</v>
      </c>
      <c r="BK103" s="7" cm="1">
        <f t="array" ref="BK103">IF(ISNA($BA103),NA(),IF($BE103=0,"***",PRODUCT(1+AX101:AX103)-1))</f>
        <v>-1.854878315155073E-5</v>
      </c>
      <c r="BL103" s="7" cm="1">
        <f t="array" ref="BL103">IF(ISNA($BA103),NA(),IF($BE103=0,"***",PRODUCT(1+AY101:AY103)-1))</f>
        <v>1.8657006750427918E-2</v>
      </c>
      <c r="BM103" s="7" cm="1">
        <f t="array" ref="BM103">IF(ISNA($BA103),NA(),IF($BE103=0,"***",PRODUCT(1+AZ101:AZ103)-1))</f>
        <v>2.7749045700153907E-4</v>
      </c>
      <c r="BN103" s="7" cm="1">
        <f t="array" ref="BN103">IF(ISNA($BA103),NA(),IF($BE103=0,"***",PRODUCT(1+BA101:BA103)-1))</f>
        <v>1.8937972750298515E-2</v>
      </c>
      <c r="BO103" s="7">
        <f t="shared" si="80"/>
        <v>3.4755428690580459E-6</v>
      </c>
      <c r="BP103" s="7">
        <f t="shared" si="81"/>
        <v>1.7757281076559602E-2</v>
      </c>
    </row>
    <row r="104" spans="1:68" x14ac:dyDescent="0.25">
      <c r="A104" t="str">
        <f t="shared" si="77"/>
        <v>20191031</v>
      </c>
      <c r="B104">
        <f t="shared" si="78"/>
        <v>43769</v>
      </c>
      <c r="C104">
        <v>2019</v>
      </c>
      <c r="D104">
        <v>10</v>
      </c>
      <c r="F104" s="20">
        <f>IFERROR(GETPIVOTDATA("[Measures].[Sum of CashInterest]",'Results PT'!$B$8,"[Table2].[ReturnDate]","[Table2].[ReturnDate].&amp;["&amp;$A104&amp;"]"),NA())</f>
        <v>26324626.889999993</v>
      </c>
      <c r="G104" s="20">
        <f>IFERROR(GETPIVOTDATA("[Measures].[Sum of AccrInterest]",'Results PT'!$B$8,"[Table2].[ReturnDate]","[Table2].[ReturnDate].&amp;["&amp;$A104&amp;"]"),NA())</f>
        <v>3630541.0900000003</v>
      </c>
      <c r="H104" s="20">
        <f>IFERROR(GETPIVOTDATA("[Measures].[Sum of OtherIncome]",'Results PT'!$B$8,"[Table2].[ReturnDate]","[Table2].[ReturnDate].&amp;["&amp;$A104&amp;"]"),NA())</f>
        <v>1850694.21</v>
      </c>
      <c r="I104" s="20">
        <f>IFERROR(GETPIVOTDATA("[Measures].[Sum of Expenses]",'Results PT'!$B$8,"[Table2].[ReturnDate]","[Table2].[ReturnDate].&amp;["&amp;$A104&amp;"]"),NA())</f>
        <v>-41032.43</v>
      </c>
      <c r="J104" s="20">
        <f>IFERROR(GETPIVOTDATA("[Measures].[Sum of PrincipalFunded]",'Results PT'!$B$8,"[Table2].[ReturnDate]","[Table2].[ReturnDate].&amp;["&amp;$A104&amp;"]"),NA())</f>
        <v>-204614996.60999998</v>
      </c>
      <c r="K104" s="20">
        <f>IFERROR(GETPIVOTDATA("[Measures].[Sum of PrincipalRepaid]",'Results PT'!$B$8,"[Table2].[ReturnDate]","[Table2].[ReturnDate].&amp;["&amp;$A104&amp;"]"),NA())</f>
        <v>60062715.880000003</v>
      </c>
      <c r="L104" s="20"/>
      <c r="M104" s="20">
        <f>IFERROR(GETPIVOTDATA("[Measures].[Sum of StartValue]",'Results PT'!$B$8,"[Table2].[ReturnDate]","[Table2].[ReturnDate].&amp;["&amp;$A104&amp;"]"),NA())</f>
        <v>7847695728.6500015</v>
      </c>
      <c r="N104" s="20">
        <f>IFERROR(GETPIVOTDATA("[Measures].[Sum of EndValue]",'Results PT'!$B$8,"[Table2].[ReturnDate]","[Table2].[ReturnDate].&amp;["&amp;$A104&amp;"]"),NA())</f>
        <v>7995688745.2800007</v>
      </c>
      <c r="O104" s="20">
        <f>IFERROR(GETPIVOTDATA("[Measures].[Sum of StartPrincipal]",'Results PT'!$B$8,"[Table2].[ReturnDate]","[Table2].[ReturnDate].&amp;["&amp;$A104&amp;"]"),NA())</f>
        <v>7903193689.3700018</v>
      </c>
      <c r="P104" s="20">
        <f>IFERROR(GETPIVOTDATA("[Measures].[Sum of EndPrincipal]",'Results PT'!$B$8,"[Table2].[ReturnDate]","[Table2].[ReturnDate].&amp;["&amp;$A104&amp;"]"),NA())</f>
        <v>8051599809.579999</v>
      </c>
      <c r="Q104" s="20">
        <f>IFERROR(GETPIVOTDATA("[Measures].[Sum of StartNAV]",'Results PT'!$B$8,"[Table2].[ReturnDate]","[Table2].[ReturnDate].&amp;["&amp;$A104&amp;"]"),NA())</f>
        <v>5311174361.1599989</v>
      </c>
      <c r="R104" s="20">
        <f>IFERROR(GETPIVOTDATA("[Measures].[Sum of EndNAV]",'Results PT'!$B$8,"[Table2].[ReturnDate]","[Table2].[ReturnDate].&amp;["&amp;$A104&amp;"]"),NA())</f>
        <v>5459309574.3299999</v>
      </c>
      <c r="S104" s="20"/>
      <c r="T104" s="1">
        <f t="shared" si="55"/>
        <v>-200150053.24999809</v>
      </c>
      <c r="U104" s="1">
        <f t="shared" si="56"/>
        <v>-332931084.54999924</v>
      </c>
      <c r="V104">
        <f t="shared" si="57"/>
        <v>4</v>
      </c>
      <c r="W104" s="20">
        <f t="shared" si="47"/>
        <v>-116417992.06</v>
      </c>
      <c r="X104" s="20">
        <f t="shared" si="58"/>
        <v>31717221.11000061</v>
      </c>
      <c r="Y104" s="20">
        <f t="shared" si="48"/>
        <v>5369383357.1899986</v>
      </c>
      <c r="Z104" s="3">
        <f t="shared" si="59"/>
        <v>5.9070509591253014E-3</v>
      </c>
      <c r="AC104" s="20">
        <f>IFERROR(GETPIVOTDATA("[Measures].[Distinct Count of LoanID]",'Count PT'!$B$3,"[Table2].[ReturnDate]","[Table2].[ReturnDate].&amp;["&amp;$A104&amp;"]"),NA())</f>
        <v>145</v>
      </c>
      <c r="AD104" s="20">
        <f>GETPIVOTDATA("[Measures].[Distinct Count of ManagerCode 2]",'Count PT'!$B$3,"[Table2].[ReturnDate]","[Table2].[ReturnDate].&amp;["&amp;$A104&amp;"]")</f>
        <v>7</v>
      </c>
      <c r="AE104" s="20" t="b">
        <f t="shared" si="60"/>
        <v>1</v>
      </c>
      <c r="AF104" s="20" t="b">
        <f t="shared" si="61"/>
        <v>1</v>
      </c>
      <c r="AG104" s="20" t="b">
        <f t="shared" si="62"/>
        <v>1</v>
      </c>
      <c r="AI104" s="7">
        <f t="shared" si="49"/>
        <v>4.9027281419102599E-3</v>
      </c>
      <c r="AJ104" s="7">
        <f t="shared" si="50"/>
        <v>6.761560589892393E-4</v>
      </c>
      <c r="AK104" s="7">
        <f t="shared" si="51"/>
        <v>3.4467537273563908E-4</v>
      </c>
      <c r="AL104" s="7">
        <f t="shared" si="63"/>
        <v>5.9235595736351386E-3</v>
      </c>
      <c r="AM104" s="7">
        <f t="shared" si="52"/>
        <v>-7.6419259476145544E-6</v>
      </c>
      <c r="AN104" s="7">
        <f t="shared" si="64"/>
        <v>5.915917647687524E-3</v>
      </c>
      <c r="AO104" s="7">
        <f t="shared" si="65"/>
        <v>-8.8666885622225994E-6</v>
      </c>
      <c r="AP104" s="7">
        <f t="shared" si="53"/>
        <v>5.9070509591253014E-3</v>
      </c>
      <c r="AQ104" s="7">
        <f t="shared" si="54"/>
        <v>5.5788842008994985E-3</v>
      </c>
      <c r="AS104" s="7">
        <f t="shared" si="66"/>
        <v>4.9027281419102599E-3</v>
      </c>
      <c r="AT104" s="7">
        <f t="shared" si="67"/>
        <v>6.761560589892393E-4</v>
      </c>
      <c r="AU104" s="7">
        <f t="shared" si="68"/>
        <v>5.5788842008994994E-3</v>
      </c>
      <c r="AV104" s="7">
        <f t="shared" si="69"/>
        <v>3.4467537273563908E-4</v>
      </c>
      <c r="AW104" s="7">
        <f t="shared" si="70"/>
        <v>5.9235595736351386E-3</v>
      </c>
      <c r="AX104" s="7">
        <f t="shared" si="71"/>
        <v>-7.6419259476145544E-6</v>
      </c>
      <c r="AY104" s="7">
        <f t="shared" si="72"/>
        <v>5.915917647687524E-3</v>
      </c>
      <c r="AZ104" s="7">
        <f t="shared" si="73"/>
        <v>-8.8666885622225994E-6</v>
      </c>
      <c r="BA104" s="7">
        <f t="shared" si="74"/>
        <v>5.9070509591253014E-3</v>
      </c>
      <c r="BB104" s="7">
        <f t="shared" si="75"/>
        <v>5.5788842008994985E-3</v>
      </c>
      <c r="BC104" s="7"/>
      <c r="BD104">
        <f t="shared" si="76"/>
        <v>1</v>
      </c>
      <c r="BE104">
        <f t="shared" si="82"/>
        <v>1</v>
      </c>
      <c r="BF104" s="7" cm="1">
        <f t="array" ref="BF104">IF(ISNA($BA104),NA(),IF($BE104=0,"***",PRODUCT(1+AS102:AS104)-1))</f>
        <v>1.5733649472875699E-2</v>
      </c>
      <c r="BG104" s="7" cm="1">
        <f t="array" ref="BG104">IF(ISNA($BA104),NA(),IF($BE104=0,"***",PRODUCT(1+AT102:AT104)-1))</f>
        <v>1.4912255543657604E-3</v>
      </c>
      <c r="BH104" s="7" cm="1">
        <f t="array" ref="BH104">IF(ISNA($BA104),NA(),IF($BE104=0,"***",PRODUCT(1+AU102:AU104)-1))</f>
        <v>1.7240563554670629E-2</v>
      </c>
      <c r="BI104" s="7" cm="1">
        <f t="array" ref="BI104">IF(ISNA($BA104),NA(),IF($BE104=0,"***",PRODUCT(1+AV102:AV104)-1))</f>
        <v>1.0434401260361881E-3</v>
      </c>
      <c r="BJ104" s="7" cm="1">
        <f t="array" ref="BJ104">IF(ISNA($BA104),NA(),IF($BE104=0,"***",PRODUCT(1+AW102:AW104)-1))</f>
        <v>1.8295959784695892E-2</v>
      </c>
      <c r="BK104" s="7" cm="1">
        <f t="array" ref="BK104">IF(ISNA($BA104),NA(),IF($BE104=0,"***",PRODUCT(1+AX102:AX104)-1))</f>
        <v>-2.249091676875814E-5</v>
      </c>
      <c r="BL104" s="7" cm="1">
        <f t="array" ref="BL104">IF(ISNA($BA104),NA(),IF($BE104=0,"***",PRODUCT(1+AY102:AY104)-1))</f>
        <v>1.8273195408507803E-2</v>
      </c>
      <c r="BM104" s="7" cm="1">
        <f t="array" ref="BM104">IF(ISNA($BA104),NA(),IF($BE104=0,"***",PRODUCT(1+AZ102:AZ104)-1))</f>
        <v>4.1290556487583174E-4</v>
      </c>
      <c r="BN104" s="7" cm="1">
        <f t="array" ref="BN104">IF(ISNA($BA104),NA(),IF($BE104=0,"***",PRODUCT(1+BA102:BA104)-1))</f>
        <v>1.8691078789783822E-2</v>
      </c>
      <c r="BO104" s="7">
        <f t="shared" si="80"/>
        <v>4.9778164001867964E-6</v>
      </c>
      <c r="BP104" s="7">
        <f t="shared" si="81"/>
        <v>1.7142436548363879E-2</v>
      </c>
    </row>
    <row r="105" spans="1:68" x14ac:dyDescent="0.25">
      <c r="A105" t="str">
        <f t="shared" si="77"/>
        <v>20191130</v>
      </c>
      <c r="B105">
        <f t="shared" si="78"/>
        <v>43799</v>
      </c>
      <c r="C105">
        <v>2019</v>
      </c>
      <c r="D105">
        <v>11</v>
      </c>
      <c r="F105" s="20">
        <f>IFERROR(GETPIVOTDATA("[Measures].[Sum of CashInterest]",'Results PT'!$B$8,"[Table2].[ReturnDate]","[Table2].[ReturnDate].&amp;["&amp;$A105&amp;"]"),NA())</f>
        <v>30087454.059999995</v>
      </c>
      <c r="G105" s="20">
        <f>IFERROR(GETPIVOTDATA("[Measures].[Sum of AccrInterest]",'Results PT'!$B$8,"[Table2].[ReturnDate]","[Table2].[ReturnDate].&amp;["&amp;$A105&amp;"]"),NA())</f>
        <v>2239662.35</v>
      </c>
      <c r="H105" s="20">
        <f>IFERROR(GETPIVOTDATA("[Measures].[Sum of OtherIncome]",'Results PT'!$B$8,"[Table2].[ReturnDate]","[Table2].[ReturnDate].&amp;["&amp;$A105&amp;"]"),NA())</f>
        <v>2715910</v>
      </c>
      <c r="I105" s="20">
        <f>IFERROR(GETPIVOTDATA("[Measures].[Sum of Expenses]",'Results PT'!$B$8,"[Table2].[ReturnDate]","[Table2].[ReturnDate].&amp;["&amp;$A105&amp;"]"),NA())</f>
        <v>-32842.83</v>
      </c>
      <c r="J105" s="20">
        <f>IFERROR(GETPIVOTDATA("[Measures].[Sum of PrincipalFunded]",'Results PT'!$B$8,"[Table2].[ReturnDate]","[Table2].[ReturnDate].&amp;["&amp;$A105&amp;"]"),NA())</f>
        <v>-373924855.53000003</v>
      </c>
      <c r="K105" s="20">
        <f>IFERROR(GETPIVOTDATA("[Measures].[Sum of PrincipalRepaid]",'Results PT'!$B$8,"[Table2].[ReturnDate]","[Table2].[ReturnDate].&amp;["&amp;$A105&amp;"]"),NA())</f>
        <v>265979901.13999999</v>
      </c>
      <c r="L105" s="20"/>
      <c r="M105" s="20">
        <f>IFERROR(GETPIVOTDATA("[Measures].[Sum of StartValue]",'Results PT'!$B$8,"[Table2].[ReturnDate]","[Table2].[ReturnDate].&amp;["&amp;$A105&amp;"]"),NA())</f>
        <v>7995688745.2800007</v>
      </c>
      <c r="N105" s="20">
        <f>IFERROR(GETPIVOTDATA("[Measures].[Sum of EndValue]",'Results PT'!$B$8,"[Table2].[ReturnDate]","[Table2].[ReturnDate].&amp;["&amp;$A105&amp;"]"),NA())</f>
        <v>8320051542.7899981</v>
      </c>
      <c r="O105" s="20">
        <f>IFERROR(GETPIVOTDATA("[Measures].[Sum of StartPrincipal]",'Results PT'!$B$8,"[Table2].[ReturnDate]","[Table2].[ReturnDate].&amp;["&amp;$A105&amp;"]"),NA())</f>
        <v>8051599809.579999</v>
      </c>
      <c r="P105" s="20">
        <f>IFERROR(GETPIVOTDATA("[Measures].[Sum of EndPrincipal]",'Results PT'!$B$8,"[Table2].[ReturnDate]","[Table2].[ReturnDate].&amp;["&amp;$A105&amp;"]"),NA())</f>
        <v>8377307683.3399982</v>
      </c>
      <c r="Q105" s="20">
        <f>IFERROR(GETPIVOTDATA("[Measures].[Sum of StartNAV]",'Results PT'!$B$8,"[Table2].[ReturnDate]","[Table2].[ReturnDate].&amp;["&amp;$A105&amp;"]"),NA())</f>
        <v>5459309574.3299999</v>
      </c>
      <c r="R105" s="20">
        <f>IFERROR(GETPIVOTDATA("[Measures].[Sum of EndNAV]",'Results PT'!$B$8,"[Table2].[ReturnDate]","[Table2].[ReturnDate].&amp;["&amp;$A105&amp;"]"),NA())</f>
        <v>5568149114.9299974</v>
      </c>
      <c r="S105" s="20"/>
      <c r="T105" s="1">
        <f t="shared" si="55"/>
        <v>0</v>
      </c>
      <c r="U105" s="1">
        <f t="shared" si="56"/>
        <v>0</v>
      </c>
      <c r="V105">
        <f t="shared" si="57"/>
        <v>4</v>
      </c>
      <c r="W105" s="20">
        <f t="shared" si="47"/>
        <v>-75174433.160000026</v>
      </c>
      <c r="X105" s="20">
        <f t="shared" si="58"/>
        <v>33665107.439997673</v>
      </c>
      <c r="Y105" s="20">
        <f t="shared" si="48"/>
        <v>5496896790.9099998</v>
      </c>
      <c r="Z105" s="3">
        <f t="shared" si="59"/>
        <v>6.1243841244515134E-3</v>
      </c>
      <c r="AC105" s="20">
        <f>IFERROR(GETPIVOTDATA("[Measures].[Distinct Count of LoanID]",'Count PT'!$B$3,"[Table2].[ReturnDate]","[Table2].[ReturnDate].&amp;["&amp;$A105&amp;"]"),NA())</f>
        <v>151</v>
      </c>
      <c r="AD105" s="20">
        <f>GETPIVOTDATA("[Measures].[Distinct Count of ManagerCode 2]",'Count PT'!$B$3,"[Table2].[ReturnDate]","[Table2].[ReturnDate].&amp;["&amp;$A105&amp;"]")</f>
        <v>7</v>
      </c>
      <c r="AE105" s="20" t="b">
        <f t="shared" si="60"/>
        <v>1</v>
      </c>
      <c r="AF105" s="20" t="b">
        <f t="shared" si="61"/>
        <v>1</v>
      </c>
      <c r="AG105" s="20" t="b">
        <f t="shared" si="62"/>
        <v>1</v>
      </c>
      <c r="AI105" s="7">
        <f t="shared" si="49"/>
        <v>5.4735344694399985E-3</v>
      </c>
      <c r="AJ105" s="7">
        <f t="shared" si="50"/>
        <v>4.0744122278294197E-4</v>
      </c>
      <c r="AK105" s="7">
        <f t="shared" si="51"/>
        <v>4.9408058824957247E-4</v>
      </c>
      <c r="AL105" s="7">
        <f t="shared" si="63"/>
        <v>6.3750562804725129E-3</v>
      </c>
      <c r="AM105" s="7">
        <f t="shared" si="52"/>
        <v>-5.9747947340599315E-6</v>
      </c>
      <c r="AN105" s="7">
        <f t="shared" si="64"/>
        <v>6.3690814857384533E-3</v>
      </c>
      <c r="AO105" s="7">
        <f t="shared" si="65"/>
        <v>-2.4469736128693992E-4</v>
      </c>
      <c r="AP105" s="7">
        <f t="shared" si="53"/>
        <v>6.1243841244515134E-3</v>
      </c>
      <c r="AQ105" s="7">
        <f t="shared" si="54"/>
        <v>5.8809756922229405E-3</v>
      </c>
      <c r="AS105" s="7">
        <f t="shared" si="66"/>
        <v>5.4735344694399985E-3</v>
      </c>
      <c r="AT105" s="7">
        <f t="shared" si="67"/>
        <v>4.0744122278294197E-4</v>
      </c>
      <c r="AU105" s="7">
        <f t="shared" si="68"/>
        <v>5.8809756922229405E-3</v>
      </c>
      <c r="AV105" s="7">
        <f t="shared" si="69"/>
        <v>4.9408058824957247E-4</v>
      </c>
      <c r="AW105" s="7">
        <f t="shared" si="70"/>
        <v>6.3750562804725129E-3</v>
      </c>
      <c r="AX105" s="7">
        <f t="shared" si="71"/>
        <v>-5.9747947340599315E-6</v>
      </c>
      <c r="AY105" s="7">
        <f t="shared" si="72"/>
        <v>6.3690814857384533E-3</v>
      </c>
      <c r="AZ105" s="7">
        <f t="shared" si="73"/>
        <v>-2.4469736128693992E-4</v>
      </c>
      <c r="BA105" s="7">
        <f t="shared" si="74"/>
        <v>6.1243841244515134E-3</v>
      </c>
      <c r="BB105" s="7">
        <f t="shared" si="75"/>
        <v>5.8809756922229405E-3</v>
      </c>
      <c r="BC105" s="7"/>
      <c r="BD105">
        <f t="shared" si="76"/>
        <v>1</v>
      </c>
      <c r="BE105">
        <f t="shared" si="82"/>
        <v>1</v>
      </c>
      <c r="BF105" s="7" cm="1">
        <f t="array" ref="BF105">IF(ISNA($BA105),NA(),IF($BE105=0,"***",PRODUCT(1+AS103:AS105)-1))</f>
        <v>1.588415459468373E-2</v>
      </c>
      <c r="BG105" s="7" cm="1">
        <f t="array" ref="BG105">IF(ISNA($BA105),NA(),IF($BE105=0,"***",PRODUCT(1+AT103:AT105)-1))</f>
        <v>1.4293879339883908E-3</v>
      </c>
      <c r="BH105" s="7" cm="1">
        <f t="array" ref="BH105">IF(ISNA($BA105),NA(),IF($BE105=0,"***",PRODUCT(1+AU103:AU105)-1))</f>
        <v>1.7328744083353831E-2</v>
      </c>
      <c r="BI105" s="7" cm="1">
        <f t="array" ref="BI105">IF(ISNA($BA105),NA(),IF($BE105=0,"***",PRODUCT(1+AV103:AV105)-1))</f>
        <v>1.1885057783098674E-3</v>
      </c>
      <c r="BJ105" s="7" cm="1">
        <f t="array" ref="BJ105">IF(ISNA($BA105),NA(),IF($BE105=0,"***",PRODUCT(1+AW103:AW105)-1))</f>
        <v>1.8530917219104159E-2</v>
      </c>
      <c r="BK105" s="7" cm="1">
        <f t="array" ref="BK105">IF(ISNA($BA105),NA(),IF($BE105=0,"***",PRODUCT(1+AX103:AX105)-1))</f>
        <v>-1.8093585965273107E-5</v>
      </c>
      <c r="BL105" s="7" cm="1">
        <f t="array" ref="BL105">IF(ISNA($BA105),NA(),IF($BE105=0,"***",PRODUCT(1+AY103:AY105)-1))</f>
        <v>1.8512600458326922E-2</v>
      </c>
      <c r="BM105" s="7" cm="1">
        <f t="array" ref="BM105">IF(ISNA($BA105),NA(),IF($BE105=0,"***",PRODUCT(1+AZ103:AZ105)-1))</f>
        <v>-4.3971138644505192E-4</v>
      </c>
      <c r="BN105" s="7" cm="1">
        <f t="array" ref="BN105">IF(ISNA($BA105),NA(),IF($BE105=0,"***",PRODUCT(1+BA103:BA105)-1))</f>
        <v>1.8067531207799803E-2</v>
      </c>
      <c r="BO105" s="7">
        <f t="shared" si="80"/>
        <v>-5.3578640820672874E-6</v>
      </c>
      <c r="BP105" s="7">
        <f t="shared" si="81"/>
        <v>1.7229624801664466E-2</v>
      </c>
    </row>
    <row r="106" spans="1:68" x14ac:dyDescent="0.25">
      <c r="A106" t="str">
        <f t="shared" si="77"/>
        <v>20191231</v>
      </c>
      <c r="B106">
        <f t="shared" si="78"/>
        <v>43830</v>
      </c>
      <c r="C106">
        <v>2019</v>
      </c>
      <c r="D106">
        <v>12</v>
      </c>
      <c r="F106" s="20">
        <f>IFERROR(GETPIVOTDATA("[Measures].[Sum of CashInterest]",'Results PT'!$B$8,"[Table2].[ReturnDate]","[Table2].[ReturnDate].&amp;["&amp;$A106&amp;"]"),NA())</f>
        <v>29906392.22000001</v>
      </c>
      <c r="G106" s="20">
        <f>IFERROR(GETPIVOTDATA("[Measures].[Sum of AccrInterest]",'Results PT'!$B$8,"[Table2].[ReturnDate]","[Table2].[ReturnDate].&amp;["&amp;$A106&amp;"]"),NA())</f>
        <v>1970047.2699999996</v>
      </c>
      <c r="H106" s="20">
        <f>IFERROR(GETPIVOTDATA("[Measures].[Sum of OtherIncome]",'Results PT'!$B$8,"[Table2].[ReturnDate]","[Table2].[ReturnDate].&amp;["&amp;$A106&amp;"]"),NA())</f>
        <v>5627999.5599999996</v>
      </c>
      <c r="I106" s="20">
        <f>IFERROR(GETPIVOTDATA("[Measures].[Sum of Expenses]",'Results PT'!$B$8,"[Table2].[ReturnDate]","[Table2].[ReturnDate].&amp;["&amp;$A106&amp;"]"),NA())</f>
        <v>-32514.62</v>
      </c>
      <c r="J106" s="20">
        <f>IFERROR(GETPIVOTDATA("[Measures].[Sum of PrincipalFunded]",'Results PT'!$B$8,"[Table2].[ReturnDate]","[Table2].[ReturnDate].&amp;["&amp;$A106&amp;"]"),NA())</f>
        <v>-771368233.82999992</v>
      </c>
      <c r="K106" s="20">
        <f>IFERROR(GETPIVOTDATA("[Measures].[Sum of PrincipalRepaid]",'Results PT'!$B$8,"[Table2].[ReturnDate]","[Table2].[ReturnDate].&amp;["&amp;$A106&amp;"]"),NA())</f>
        <v>322758869.10000002</v>
      </c>
      <c r="L106" s="20"/>
      <c r="M106" s="20">
        <f>IFERROR(GETPIVOTDATA("[Measures].[Sum of StartValue]",'Results PT'!$B$8,"[Table2].[ReturnDate]","[Table2].[ReturnDate].&amp;["&amp;$A106&amp;"]"),NA())</f>
        <v>8320051542.7899981</v>
      </c>
      <c r="N106" s="20">
        <f>IFERROR(GETPIVOTDATA("[Measures].[Sum of EndValue]",'Results PT'!$B$8,"[Table2].[ReturnDate]","[Table2].[ReturnDate].&amp;["&amp;$A106&amp;"]"),NA())</f>
        <v>9032847979.7900028</v>
      </c>
      <c r="O106" s="20">
        <f>IFERROR(GETPIVOTDATA("[Measures].[Sum of StartPrincipal]",'Results PT'!$B$8,"[Table2].[ReturnDate]","[Table2].[ReturnDate].&amp;["&amp;$A106&amp;"]"),NA())</f>
        <v>8377307683.3399982</v>
      </c>
      <c r="P106" s="20">
        <f>IFERROR(GETPIVOTDATA("[Measures].[Sum of EndPrincipal]",'Results PT'!$B$8,"[Table2].[ReturnDate]","[Table2].[ReturnDate].&amp;["&amp;$A106&amp;"]"),NA())</f>
        <v>9110873609.2700024</v>
      </c>
      <c r="Q106" s="20">
        <f>IFERROR(GETPIVOTDATA("[Measures].[Sum of StartNAV]",'Results PT'!$B$8,"[Table2].[ReturnDate]","[Table2].[ReturnDate].&amp;["&amp;$A106&amp;"]"),NA())</f>
        <v>5568149114.9299974</v>
      </c>
      <c r="R106" s="20">
        <f>IFERROR(GETPIVOTDATA("[Measures].[Sum of EndNAV]",'Results PT'!$B$8,"[Table2].[ReturnDate]","[Table2].[ReturnDate].&amp;["&amp;$A106&amp;"]"),NA())</f>
        <v>5998331649.6100016</v>
      </c>
      <c r="S106" s="20"/>
      <c r="T106" s="1">
        <f t="shared" si="55"/>
        <v>0</v>
      </c>
      <c r="U106" s="1">
        <f t="shared" si="56"/>
        <v>0</v>
      </c>
      <c r="V106">
        <f t="shared" si="57"/>
        <v>4</v>
      </c>
      <c r="W106" s="20">
        <f t="shared" si="47"/>
        <v>-413107487.56999993</v>
      </c>
      <c r="X106" s="20">
        <f t="shared" si="58"/>
        <v>17075047.110004425</v>
      </c>
      <c r="Y106" s="20">
        <f t="shared" si="48"/>
        <v>5774702858.7149973</v>
      </c>
      <c r="Z106" s="3">
        <f t="shared" si="59"/>
        <v>2.956870254239196E-3</v>
      </c>
      <c r="AC106" s="20">
        <f>IFERROR(GETPIVOTDATA("[Measures].[Distinct Count of LoanID]",'Count PT'!$B$3,"[Table2].[ReturnDate]","[Table2].[ReturnDate].&amp;["&amp;$A106&amp;"]"),NA())</f>
        <v>159</v>
      </c>
      <c r="AD106" s="20">
        <f>GETPIVOTDATA("[Measures].[Distinct Count of ManagerCode 2]",'Count PT'!$B$3,"[Table2].[ReturnDate]","[Table2].[ReturnDate].&amp;["&amp;$A106&amp;"]")</f>
        <v>7</v>
      </c>
      <c r="AE106" s="20" t="b">
        <f t="shared" si="60"/>
        <v>1</v>
      </c>
      <c r="AF106" s="20" t="b">
        <f t="shared" si="61"/>
        <v>1</v>
      </c>
      <c r="AG106" s="20" t="b">
        <f t="shared" si="62"/>
        <v>1</v>
      </c>
      <c r="AI106" s="7">
        <f t="shared" si="49"/>
        <v>5.1788625236130091E-3</v>
      </c>
      <c r="AJ106" s="7">
        <f t="shared" si="50"/>
        <v>3.4115127967612518E-4</v>
      </c>
      <c r="AK106" s="7">
        <f t="shared" si="51"/>
        <v>9.74595524253928E-4</v>
      </c>
      <c r="AL106" s="7">
        <f t="shared" si="63"/>
        <v>6.4946093275430623E-3</v>
      </c>
      <c r="AM106" s="7">
        <f t="shared" si="52"/>
        <v>-5.6305269371444754E-6</v>
      </c>
      <c r="AN106" s="7">
        <f t="shared" si="64"/>
        <v>6.4889788006059178E-3</v>
      </c>
      <c r="AO106" s="7">
        <f t="shared" si="65"/>
        <v>-3.5321085463667218E-3</v>
      </c>
      <c r="AP106" s="7">
        <f t="shared" si="53"/>
        <v>2.956870254239196E-3</v>
      </c>
      <c r="AQ106" s="7">
        <f t="shared" si="54"/>
        <v>5.5200138032891347E-3</v>
      </c>
      <c r="AS106" s="7">
        <f t="shared" si="66"/>
        <v>5.1788625236130091E-3</v>
      </c>
      <c r="AT106" s="7">
        <f t="shared" si="67"/>
        <v>3.4115127967612518E-4</v>
      </c>
      <c r="AU106" s="7">
        <f t="shared" si="68"/>
        <v>5.5200138032891338E-3</v>
      </c>
      <c r="AV106" s="7">
        <f t="shared" si="69"/>
        <v>9.74595524253928E-4</v>
      </c>
      <c r="AW106" s="7">
        <f t="shared" si="70"/>
        <v>6.4946093275430623E-3</v>
      </c>
      <c r="AX106" s="7">
        <f t="shared" si="71"/>
        <v>-5.6305269371444754E-6</v>
      </c>
      <c r="AY106" s="7">
        <f t="shared" si="72"/>
        <v>6.4889788006059178E-3</v>
      </c>
      <c r="AZ106" s="7">
        <f t="shared" si="73"/>
        <v>-3.5321085463667218E-3</v>
      </c>
      <c r="BA106" s="7">
        <f t="shared" si="74"/>
        <v>2.956870254239196E-3</v>
      </c>
      <c r="BB106" s="7">
        <f t="shared" si="75"/>
        <v>5.5200138032891347E-3</v>
      </c>
      <c r="BC106" s="7"/>
      <c r="BD106">
        <f t="shared" si="76"/>
        <v>1</v>
      </c>
      <c r="BE106">
        <f t="shared" si="82"/>
        <v>1</v>
      </c>
      <c r="BF106" s="7" cm="1">
        <f t="array" ref="BF106">IF(ISNA($BA106),NA(),IF($BE106=0,"***",PRODUCT(1+AS104:AS106)-1))</f>
        <v>1.5635836600093711E-2</v>
      </c>
      <c r="BG106" s="7" cm="1">
        <f t="array" ref="BG106">IF(ISNA($BA106),NA(),IF($BE106=0,"***",PRODUCT(1+AT104:AT106)-1))</f>
        <v>1.4253938198842686E-3</v>
      </c>
      <c r="BH106" s="7" cm="1">
        <f t="array" ref="BH106">IF(ISNA($BA106),NA(),IF($BE106=0,"***",PRODUCT(1+AU104:AU106)-1))</f>
        <v>1.707612267127212E-2</v>
      </c>
      <c r="BI106" s="7" cm="1">
        <f t="array" ref="BI106">IF(ISNA($BA106),NA(),IF($BE106=0,"***",PRODUCT(1+AV104:AV106)-1))</f>
        <v>1.8143393964267229E-3</v>
      </c>
      <c r="BJ106" s="7" cm="1">
        <f t="array" ref="BJ106">IF(ISNA($BA106),NA(),IF($BE106=0,"***",PRODUCT(1+AW104:AW106)-1))</f>
        <v>1.8911108168654156E-2</v>
      </c>
      <c r="BK106" s="7" cm="1">
        <f t="array" ref="BK106">IF(ISNA($BA106),NA(),IF($BE106=0,"***",PRODUCT(1+AX104:AX106)-1))</f>
        <v>-1.9247125290888789E-5</v>
      </c>
      <c r="BL106" s="7" cm="1">
        <f t="array" ref="BL106">IF(ISNA($BA106),NA(),IF($BE106=0,"***",PRODUCT(1+AY104:AY106)-1))</f>
        <v>1.8891618492518081E-2</v>
      </c>
      <c r="BM106" s="7" cm="1">
        <f t="array" ref="BM106">IF(ISNA($BA106),NA(),IF($BE106=0,"***",PRODUCT(1+AZ104:AZ106)-1))</f>
        <v>-3.7847748184766106E-3</v>
      </c>
      <c r="BN106" s="7" cm="1">
        <f t="array" ref="BN106">IF(ISNA($BA106),NA(),IF($BE106=0,"***",PRODUCT(1+BA104:BA106)-1))</f>
        <v>1.5060164750287486E-2</v>
      </c>
      <c r="BO106" s="7">
        <f t="shared" si="80"/>
        <v>-4.6678923753984414E-5</v>
      </c>
      <c r="BP106" s="7">
        <f t="shared" si="81"/>
        <v>1.6979873696411574E-2</v>
      </c>
    </row>
    <row r="107" spans="1:68" x14ac:dyDescent="0.25">
      <c r="A107" t="str">
        <f t="shared" si="77"/>
        <v>20200131</v>
      </c>
      <c r="B107">
        <f t="shared" si="78"/>
        <v>43861</v>
      </c>
      <c r="C107">
        <v>2020</v>
      </c>
      <c r="D107">
        <v>1</v>
      </c>
      <c r="F107" s="20">
        <f>IFERROR(GETPIVOTDATA("[Measures].[Sum of CashInterest]",'Results PT'!$B$8,"[Table2].[ReturnDate]","[Table2].[ReturnDate].&amp;["&amp;$A107&amp;"]"),NA())</f>
        <v>32963423.379999995</v>
      </c>
      <c r="G107" s="20">
        <f>IFERROR(GETPIVOTDATA("[Measures].[Sum of AccrInterest]",'Results PT'!$B$8,"[Table2].[ReturnDate]","[Table2].[ReturnDate].&amp;["&amp;$A107&amp;"]"),NA())</f>
        <v>3741392.7399999998</v>
      </c>
      <c r="H107" s="20">
        <f>IFERROR(GETPIVOTDATA("[Measures].[Sum of OtherIncome]",'Results PT'!$B$8,"[Table2].[ReturnDate]","[Table2].[ReturnDate].&amp;["&amp;$A107&amp;"]"),NA())</f>
        <v>315000</v>
      </c>
      <c r="I107" s="20">
        <f>IFERROR(GETPIVOTDATA("[Measures].[Sum of Expenses]",'Results PT'!$B$8,"[Table2].[ReturnDate]","[Table2].[ReturnDate].&amp;["&amp;$A107&amp;"]"),NA())</f>
        <v>-31876.320000000003</v>
      </c>
      <c r="J107" s="20">
        <f>IFERROR(GETPIVOTDATA("[Measures].[Sum of PrincipalFunded]",'Results PT'!$B$8,"[Table2].[ReturnDate]","[Table2].[ReturnDate].&amp;["&amp;$A107&amp;"]"),NA())</f>
        <v>-96911506.410000011</v>
      </c>
      <c r="K107" s="20">
        <f>IFERROR(GETPIVOTDATA("[Measures].[Sum of PrincipalRepaid]",'Results PT'!$B$8,"[Table2].[ReturnDate]","[Table2].[ReturnDate].&amp;["&amp;$A107&amp;"]"),NA())</f>
        <v>19154710.530000005</v>
      </c>
      <c r="L107" s="20"/>
      <c r="M107" s="20">
        <f>IFERROR(GETPIVOTDATA("[Measures].[Sum of StartValue]",'Results PT'!$B$8,"[Table2].[ReturnDate]","[Table2].[ReturnDate].&amp;["&amp;$A107&amp;"]"),NA())</f>
        <v>9497668827.0300026</v>
      </c>
      <c r="N107" s="20">
        <f>IFERROR(GETPIVOTDATA("[Measures].[Sum of EndValue]",'Results PT'!$B$8,"[Table2].[ReturnDate]","[Table2].[ReturnDate].&amp;["&amp;$A107&amp;"]"),NA())</f>
        <v>9503721829.2200012</v>
      </c>
      <c r="O107" s="20">
        <f>IFERROR(GETPIVOTDATA("[Measures].[Sum of StartPrincipal]",'Results PT'!$B$8,"[Table2].[ReturnDate]","[Table2].[ReturnDate].&amp;["&amp;$A107&amp;"]"),NA())</f>
        <v>9575694456.5100021</v>
      </c>
      <c r="P107" s="20">
        <f>IFERROR(GETPIVOTDATA("[Measures].[Sum of EndPrincipal]",'Results PT'!$B$8,"[Table2].[ReturnDate]","[Table2].[ReturnDate].&amp;["&amp;$A107&amp;"]"),NA())</f>
        <v>9584345795.2300014</v>
      </c>
      <c r="Q107" s="20">
        <f>IFERROR(GETPIVOTDATA("[Measures].[Sum of StartNAV]",'Results PT'!$B$8,"[Table2].[ReturnDate]","[Table2].[ReturnDate].&amp;["&amp;$A107&amp;"]"),NA())</f>
        <v>6463152496.8500013</v>
      </c>
      <c r="R107" s="20">
        <f>IFERROR(GETPIVOTDATA("[Measures].[Sum of EndNAV]",'Results PT'!$B$8,"[Table2].[ReturnDate]","[Table2].[ReturnDate].&amp;["&amp;$A107&amp;"]"),NA())</f>
        <v>6542441050.8999987</v>
      </c>
      <c r="S107" s="20"/>
      <c r="T107" s="1">
        <f t="shared" si="55"/>
        <v>464820847.23999977</v>
      </c>
      <c r="U107" s="1">
        <f t="shared" si="56"/>
        <v>464820847.23999977</v>
      </c>
      <c r="V107">
        <f t="shared" si="57"/>
        <v>4</v>
      </c>
      <c r="W107" s="20">
        <f t="shared" ref="W107:W112" si="83">SUM(F107,H107:K107)</f>
        <v>-44510248.820000008</v>
      </c>
      <c r="X107" s="20">
        <f t="shared" si="58"/>
        <v>34778305.229997635</v>
      </c>
      <c r="Y107" s="20">
        <f t="shared" ref="Y107:Y112" si="84">CHOOSE(V107,1,Q107,-J107,Q107-0.5*W107)</f>
        <v>6485407621.2600012</v>
      </c>
      <c r="Z107" s="3">
        <f t="shared" si="59"/>
        <v>5.3625473156058649E-3</v>
      </c>
      <c r="AC107" s="20">
        <f>IFERROR(GETPIVOTDATA("[Measures].[Distinct Count of LoanID]",'Count PT'!$B$3,"[Table2].[ReturnDate]","[Table2].[ReturnDate].&amp;["&amp;$A107&amp;"]"),NA())</f>
        <v>167</v>
      </c>
      <c r="AD107" s="20">
        <f>GETPIVOTDATA("[Measures].[Distinct Count of ManagerCode 2]",'Count PT'!$B$3,"[Table2].[ReturnDate]","[Table2].[ReturnDate].&amp;["&amp;$A107&amp;"]")</f>
        <v>8</v>
      </c>
      <c r="AE107" s="20" t="b">
        <f t="shared" si="60"/>
        <v>1</v>
      </c>
      <c r="AF107" s="20" t="b">
        <f t="shared" si="61"/>
        <v>1</v>
      </c>
      <c r="AG107" s="20" t="b">
        <f t="shared" si="62"/>
        <v>1</v>
      </c>
      <c r="AI107" s="7">
        <f t="shared" ref="AI107:AI112" si="85">F107/Y107</f>
        <v>5.082706485856286E-3</v>
      </c>
      <c r="AJ107" s="7">
        <f t="shared" ref="AJ107:AJ112" si="86">G107/Y107</f>
        <v>5.7689399934326914E-4</v>
      </c>
      <c r="AK107" s="7">
        <f t="shared" ref="AK107:AK112" si="87">H107/Y107</f>
        <v>4.8570578504177509E-5</v>
      </c>
      <c r="AL107" s="7">
        <f t="shared" si="63"/>
        <v>5.7081710637037321E-3</v>
      </c>
      <c r="AM107" s="7">
        <f t="shared" ref="AM107:AM112" si="88">I107/Y107</f>
        <v>-4.9150835015374085E-6</v>
      </c>
      <c r="AN107" s="7">
        <f t="shared" si="64"/>
        <v>5.7032559802021945E-3</v>
      </c>
      <c r="AO107" s="7">
        <f t="shared" si="65"/>
        <v>-3.4070866459632969E-4</v>
      </c>
      <c r="AP107" s="7">
        <f t="shared" ref="AP107:AP112" si="89">Z107</f>
        <v>5.3625473156058649E-3</v>
      </c>
      <c r="AQ107" s="7">
        <f t="shared" ref="AQ107:AQ112" si="90">(F107+G107)/Y107</f>
        <v>5.6596004851995558E-3</v>
      </c>
      <c r="AS107" s="7">
        <f t="shared" si="66"/>
        <v>5.082706485856286E-3</v>
      </c>
      <c r="AT107" s="7">
        <f t="shared" si="67"/>
        <v>5.7689399934326914E-4</v>
      </c>
      <c r="AU107" s="7">
        <f t="shared" si="68"/>
        <v>5.6596004851995549E-3</v>
      </c>
      <c r="AV107" s="7">
        <f t="shared" si="69"/>
        <v>4.8570578504177509E-5</v>
      </c>
      <c r="AW107" s="7">
        <f t="shared" si="70"/>
        <v>5.7081710637037321E-3</v>
      </c>
      <c r="AX107" s="7">
        <f t="shared" si="71"/>
        <v>-4.9150835015374085E-6</v>
      </c>
      <c r="AY107" s="7">
        <f t="shared" si="72"/>
        <v>5.7032559802021945E-3</v>
      </c>
      <c r="AZ107" s="7">
        <f t="shared" si="73"/>
        <v>-3.4070866459632969E-4</v>
      </c>
      <c r="BA107" s="7">
        <f t="shared" si="74"/>
        <v>5.3625473156058649E-3</v>
      </c>
      <c r="BB107" s="7">
        <f t="shared" si="75"/>
        <v>5.6596004851995558E-3</v>
      </c>
      <c r="BC107" s="7"/>
      <c r="BD107">
        <f t="shared" ref="BD107:BD109" si="91">IF(ISNUMBER(BA107),1,0)</f>
        <v>1</v>
      </c>
      <c r="BE107">
        <f t="shared" ref="BE107:BE109" si="92">IF(SUM(BD105:BD107)=3,1,0)</f>
        <v>1</v>
      </c>
      <c r="BF107" s="7" cm="1">
        <f t="array" ref="BF107">IF(ISNA($BA107),NA(),IF($BE107=0,"***",PRODUCT(1+AS105:AS107)-1))</f>
        <v>1.5817737246598629E-2</v>
      </c>
      <c r="BG107" s="7" cm="1">
        <f t="array" ref="BG107">IF(ISNA($BA107),NA(),IF($BE107=0,"***",PRODUCT(1+AT105:AT107)-1))</f>
        <v>1.3260574396072311E-3</v>
      </c>
      <c r="BH107" s="7" cm="1">
        <f t="array" ref="BH107">IF(ISNA($BA107),NA(),IF($BE107=0,"***",PRODUCT(1+AU105:AU107)-1))</f>
        <v>1.7157761821379847E-2</v>
      </c>
      <c r="BI107" s="7" cm="1">
        <f t="array" ref="BI107">IF(ISNA($BA107),NA(),IF($BE107=0,"***",PRODUCT(1+AV105:AV107)-1))</f>
        <v>1.5177995775743636E-3</v>
      </c>
      <c r="BJ107" s="7" cm="1">
        <f t="array" ref="BJ107">IF(ISNA($BA107),NA(),IF($BE107=0,"***",PRODUCT(1+AW105:AW107)-1))</f>
        <v>1.8692938762785882E-2</v>
      </c>
      <c r="BK107" s="7" cm="1">
        <f t="array" ref="BK107">IF(ISNA($BA107),NA(),IF($BE107=0,"***",PRODUCT(1+AX105:AX107)-1))</f>
        <v>-1.6520314490620081E-5</v>
      </c>
      <c r="BL107" s="7" cm="1">
        <f t="array" ref="BL107">IF(ISNA($BA107),NA(),IF($BE107=0,"***",PRODUCT(1+AY105:AY107)-1))</f>
        <v>1.8676213619432724E-2</v>
      </c>
      <c r="BM107" s="7" cm="1">
        <f t="array" ref="BM107">IF(ISNA($BA107),NA(),IF($BE107=0,"***",PRODUCT(1+AZ105:AZ107)-1))</f>
        <v>-4.1153637785854569E-3</v>
      </c>
      <c r="BN107" s="7" cm="1">
        <f t="array" ref="BN107">IF(ISNA($BA107),NA(),IF($BE107=0,"***",PRODUCT(1+BA105:BA107)-1))</f>
        <v>1.4510706470249435E-2</v>
      </c>
      <c r="BO107" s="7">
        <f t="shared" ref="BO107:BO109" si="93">BN107-BM107-BL107</f>
        <v>-5.0143370597832693E-5</v>
      </c>
      <c r="BP107" s="7">
        <f t="shared" si="81"/>
        <v>1.7060589980711631E-2</v>
      </c>
    </row>
    <row r="108" spans="1:68" x14ac:dyDescent="0.25">
      <c r="A108" t="str">
        <f t="shared" si="77"/>
        <v>20200229</v>
      </c>
      <c r="B108">
        <f t="shared" si="78"/>
        <v>43890</v>
      </c>
      <c r="C108">
        <v>2020</v>
      </c>
      <c r="D108">
        <v>2</v>
      </c>
      <c r="F108" s="20">
        <f>IFERROR(GETPIVOTDATA("[Measures].[Sum of CashInterest]",'Results PT'!$B$8,"[Table2].[ReturnDate]","[Table2].[ReturnDate].&amp;["&amp;$A108&amp;"]"),NA())</f>
        <v>33227414.779999983</v>
      </c>
      <c r="G108" s="20">
        <f>IFERROR(GETPIVOTDATA("[Measures].[Sum of AccrInterest]",'Results PT'!$B$8,"[Table2].[ReturnDate]","[Table2].[ReturnDate].&amp;["&amp;$A108&amp;"]"),NA())</f>
        <v>1755448.2899999998</v>
      </c>
      <c r="H108" s="20">
        <f>IFERROR(GETPIVOTDATA("[Measures].[Sum of OtherIncome]",'Results PT'!$B$8,"[Table2].[ReturnDate]","[Table2].[ReturnDate].&amp;["&amp;$A108&amp;"]"),NA())</f>
        <v>8366004.1200000001</v>
      </c>
      <c r="I108" s="20">
        <f>IFERROR(GETPIVOTDATA("[Measures].[Sum of Expenses]",'Results PT'!$B$8,"[Table2].[ReturnDate]","[Table2].[ReturnDate].&amp;["&amp;$A108&amp;"]"),NA())</f>
        <v>-38702.550000000003</v>
      </c>
      <c r="J108" s="20">
        <f>IFERROR(GETPIVOTDATA("[Measures].[Sum of PrincipalFunded]",'Results PT'!$B$8,"[Table2].[ReturnDate]","[Table2].[ReturnDate].&amp;["&amp;$A108&amp;"]"),NA())</f>
        <v>-114952403.58999999</v>
      </c>
      <c r="K108" s="20">
        <f>IFERROR(GETPIVOTDATA("[Measures].[Sum of PrincipalRepaid]",'Results PT'!$B$8,"[Table2].[ReturnDate]","[Table2].[ReturnDate].&amp;["&amp;$A108&amp;"]"),NA())</f>
        <v>115249946.3</v>
      </c>
      <c r="L108" s="20"/>
      <c r="M108" s="20">
        <f>IFERROR(GETPIVOTDATA("[Measures].[Sum of StartValue]",'Results PT'!$B$8,"[Table2].[ReturnDate]","[Table2].[ReturnDate].&amp;["&amp;$A108&amp;"]"),NA())</f>
        <v>9503721829.2200012</v>
      </c>
      <c r="N108" s="20">
        <f>IFERROR(GETPIVOTDATA("[Measures].[Sum of EndValue]",'Results PT'!$B$8,"[Table2].[ReturnDate]","[Table2].[ReturnDate].&amp;["&amp;$A108&amp;"]"),NA())</f>
        <v>9341034763.7000008</v>
      </c>
      <c r="O108" s="20">
        <f>IFERROR(GETPIVOTDATA("[Measures].[Sum of StartPrincipal]",'Results PT'!$B$8,"[Table2].[ReturnDate]","[Table2].[ReturnDate].&amp;["&amp;$A108&amp;"]"),NA())</f>
        <v>9584345795.2300014</v>
      </c>
      <c r="P108" s="20">
        <f>IFERROR(GETPIVOTDATA("[Measures].[Sum of EndPrincipal]",'Results PT'!$B$8,"[Table2].[ReturnDate]","[Table2].[ReturnDate].&amp;["&amp;$A108&amp;"]"),NA())</f>
        <v>9426130403.9100018</v>
      </c>
      <c r="Q108" s="20">
        <f>IFERROR(GETPIVOTDATA("[Measures].[Sum of StartNAV]",'Results PT'!$B$8,"[Table2].[ReturnDate]","[Table2].[ReturnDate].&amp;["&amp;$A108&amp;"]"),NA())</f>
        <v>6542441050.8999987</v>
      </c>
      <c r="R108" s="20">
        <f>IFERROR(GETPIVOTDATA("[Measures].[Sum of EndNAV]",'Results PT'!$B$8,"[Table2].[ReturnDate]","[Table2].[ReturnDate].&amp;["&amp;$A108&amp;"]"),NA())</f>
        <v>6539819813.7999992</v>
      </c>
      <c r="S108" s="20"/>
      <c r="T108" s="1">
        <f t="shared" si="55"/>
        <v>0</v>
      </c>
      <c r="U108" s="1">
        <f t="shared" si="56"/>
        <v>0</v>
      </c>
      <c r="V108">
        <f t="shared" si="57"/>
        <v>4</v>
      </c>
      <c r="W108" s="20">
        <f t="shared" si="83"/>
        <v>41852259.059999987</v>
      </c>
      <c r="X108" s="20">
        <f t="shared" si="58"/>
        <v>39231021.960000992</v>
      </c>
      <c r="Y108" s="20">
        <f t="shared" si="84"/>
        <v>6521514921.3699989</v>
      </c>
      <c r="Z108" s="3">
        <f t="shared" si="59"/>
        <v>6.0156301768852791E-3</v>
      </c>
      <c r="AC108" s="20">
        <f>IFERROR(GETPIVOTDATA("[Measures].[Distinct Count of LoanID]",'Count PT'!$B$3,"[Table2].[ReturnDate]","[Table2].[ReturnDate].&amp;["&amp;$A108&amp;"]"),NA())</f>
        <v>168</v>
      </c>
      <c r="AD108" s="20">
        <f>GETPIVOTDATA("[Measures].[Distinct Count of ManagerCode 2]",'Count PT'!$B$3,"[Table2].[ReturnDate]","[Table2].[ReturnDate].&amp;["&amp;$A108&amp;"]")</f>
        <v>8</v>
      </c>
      <c r="AE108" s="20" t="b">
        <f t="shared" si="60"/>
        <v>1</v>
      </c>
      <c r="AF108" s="20" t="b">
        <f t="shared" si="61"/>
        <v>1</v>
      </c>
      <c r="AG108" s="20" t="b">
        <f t="shared" si="62"/>
        <v>1</v>
      </c>
      <c r="AI108" s="7">
        <f t="shared" si="85"/>
        <v>5.095045427423445E-3</v>
      </c>
      <c r="AJ108" s="7">
        <f t="shared" si="86"/>
        <v>2.6917799179568941E-4</v>
      </c>
      <c r="AK108" s="7">
        <f t="shared" si="87"/>
        <v>1.282831400505716E-3</v>
      </c>
      <c r="AL108" s="7">
        <f t="shared" si="63"/>
        <v>6.6470548197248508E-3</v>
      </c>
      <c r="AM108" s="7">
        <f t="shared" si="88"/>
        <v>-5.9345950238000245E-6</v>
      </c>
      <c r="AN108" s="7">
        <f t="shared" si="64"/>
        <v>6.6411202247010507E-3</v>
      </c>
      <c r="AO108" s="7">
        <f t="shared" si="65"/>
        <v>-6.2549004781577155E-4</v>
      </c>
      <c r="AP108" s="7">
        <f t="shared" si="89"/>
        <v>6.0156301768852791E-3</v>
      </c>
      <c r="AQ108" s="7">
        <f t="shared" si="90"/>
        <v>5.3642234192191355E-3</v>
      </c>
      <c r="AS108" s="7">
        <f t="shared" si="66"/>
        <v>5.095045427423445E-3</v>
      </c>
      <c r="AT108" s="7">
        <f t="shared" si="67"/>
        <v>2.6917799179568941E-4</v>
      </c>
      <c r="AU108" s="7">
        <f t="shared" si="68"/>
        <v>5.3642234192191347E-3</v>
      </c>
      <c r="AV108" s="7">
        <f t="shared" si="69"/>
        <v>1.282831400505716E-3</v>
      </c>
      <c r="AW108" s="7">
        <f t="shared" si="70"/>
        <v>6.6470548197248508E-3</v>
      </c>
      <c r="AX108" s="7">
        <f t="shared" si="71"/>
        <v>-5.9345950238000245E-6</v>
      </c>
      <c r="AY108" s="7">
        <f t="shared" si="72"/>
        <v>6.6411202247010507E-3</v>
      </c>
      <c r="AZ108" s="7">
        <f t="shared" si="73"/>
        <v>-6.2549004781577155E-4</v>
      </c>
      <c r="BA108" s="7">
        <f t="shared" si="74"/>
        <v>6.0156301768852791E-3</v>
      </c>
      <c r="BB108" s="7">
        <f t="shared" si="75"/>
        <v>5.3642234192191355E-3</v>
      </c>
      <c r="BC108" s="7"/>
      <c r="BD108">
        <f t="shared" si="91"/>
        <v>1</v>
      </c>
      <c r="BE108">
        <f t="shared" si="92"/>
        <v>1</v>
      </c>
      <c r="BF108" s="7" cm="1">
        <f t="array" ref="BF108">IF(ISNA($BA108),NA(),IF($BE108=0,"***",PRODUCT(1+AS106:AS108)-1))</f>
        <v>1.5435354350327835E-2</v>
      </c>
      <c r="BG108" s="7" cm="1">
        <f t="array" ref="BG108">IF(ISNA($BA108),NA(),IF($BE108=0,"***",PRODUCT(1+AT106:AT108)-1))</f>
        <v>1.1876672495019225E-3</v>
      </c>
      <c r="BH108" s="7" cm="1">
        <f t="array" ref="BH108">IF(ISNA($BA108),NA(),IF($BE108=0,"***",PRODUCT(1+AU106:AU108)-1))</f>
        <v>1.6635216313385826E-2</v>
      </c>
      <c r="BI108" s="7" cm="1">
        <f t="array" ref="BI108">IF(ISNA($BA108),NA(),IF($BE108=0,"***",PRODUCT(1+AV106:AV108)-1))</f>
        <v>2.3073574502618932E-3</v>
      </c>
      <c r="BJ108" s="7" cm="1">
        <f t="array" ref="BJ108">IF(ISNA($BA108),NA(),IF($BE108=0,"***",PRODUCT(1+AW106:AW108)-1))</f>
        <v>1.8968266524101995E-2</v>
      </c>
      <c r="BK108" s="7" cm="1">
        <f t="array" ref="BK108">IF(ISNA($BA108),NA(),IF($BE108=0,"***",PRODUCT(1+AX106:AX108)-1))</f>
        <v>-1.6480115204275947E-5</v>
      </c>
      <c r="BL108" s="7" cm="1">
        <f t="array" ref="BL108">IF(ISNA($BA108),NA(),IF($BE108=0,"***",PRODUCT(1+AY106:AY108)-1))</f>
        <v>1.8951579186263334E-2</v>
      </c>
      <c r="BM108" s="7" cm="1">
        <f t="array" ref="BM108">IF(ISNA($BA108),NA(),IF($BE108=0,"***",PRODUCT(1+AZ106:AZ108)-1))</f>
        <v>-4.4946821828976136E-3</v>
      </c>
      <c r="BN108" s="7" cm="1">
        <f t="array" ref="BN108">IF(ISNA($BA108),NA(),IF($BE108=0,"***",PRODUCT(1+BA106:BA108)-1))</f>
        <v>1.4401046028739595E-2</v>
      </c>
      <c r="BO108" s="7">
        <f t="shared" si="93"/>
        <v>-5.5850974626125982E-5</v>
      </c>
      <c r="BP108" s="7">
        <f t="shared" si="81"/>
        <v>1.6543837707707825E-2</v>
      </c>
    </row>
    <row r="109" spans="1:68" x14ac:dyDescent="0.25">
      <c r="A109" t="str">
        <f t="shared" si="77"/>
        <v>20200331</v>
      </c>
      <c r="B109">
        <f t="shared" si="78"/>
        <v>43921</v>
      </c>
      <c r="C109">
        <v>2020</v>
      </c>
      <c r="D109">
        <v>3</v>
      </c>
      <c r="F109" s="20">
        <f>IFERROR(GETPIVOTDATA("[Measures].[Sum of CashInterest]",'Results PT'!$B$8,"[Table2].[ReturnDate]","[Table2].[ReturnDate].&amp;["&amp;$A109&amp;"]"),NA())</f>
        <v>32670767.040000007</v>
      </c>
      <c r="G109" s="20">
        <f>IFERROR(GETPIVOTDATA("[Measures].[Sum of AccrInterest]",'Results PT'!$B$8,"[Table2].[ReturnDate]","[Table2].[ReturnDate].&amp;["&amp;$A109&amp;"]"),NA())</f>
        <v>2158999.1400000006</v>
      </c>
      <c r="H109" s="20">
        <f>IFERROR(GETPIVOTDATA("[Measures].[Sum of OtherIncome]",'Results PT'!$B$8,"[Table2].[ReturnDate]","[Table2].[ReturnDate].&amp;["&amp;$A109&amp;"]"),NA())</f>
        <v>0</v>
      </c>
      <c r="I109" s="20">
        <f>IFERROR(GETPIVOTDATA("[Measures].[Sum of Expenses]",'Results PT'!$B$8,"[Table2].[ReturnDate]","[Table2].[ReturnDate].&amp;["&amp;$A109&amp;"]"),NA())</f>
        <v>-37460.03</v>
      </c>
      <c r="J109" s="20">
        <f>IFERROR(GETPIVOTDATA("[Measures].[Sum of PrincipalFunded]",'Results PT'!$B$8,"[Table2].[ReturnDate]","[Table2].[ReturnDate].&amp;["&amp;$A109&amp;"]"),NA())</f>
        <v>-41197390.140000001</v>
      </c>
      <c r="K109" s="20">
        <f>IFERROR(GETPIVOTDATA("[Measures].[Sum of PrincipalRepaid]",'Results PT'!$B$8,"[Table2].[ReturnDate]","[Table2].[ReturnDate].&amp;["&amp;$A109&amp;"]"),NA())</f>
        <v>140562582.36000001</v>
      </c>
      <c r="L109" s="20"/>
      <c r="M109" s="20">
        <f>IFERROR(GETPIVOTDATA("[Measures].[Sum of StartValue]",'Results PT'!$B$8,"[Table2].[ReturnDate]","[Table2].[ReturnDate].&amp;["&amp;$A109&amp;"]"),NA())</f>
        <v>9341034763.7000008</v>
      </c>
      <c r="N109" s="20">
        <f>IFERROR(GETPIVOTDATA("[Measures].[Sum of EndValue]",'Results PT'!$B$8,"[Table2].[ReturnDate]","[Table2].[ReturnDate].&amp;["&amp;$A109&amp;"]"),NA())</f>
        <v>9223759738.3500004</v>
      </c>
      <c r="O109" s="20">
        <f>IFERROR(GETPIVOTDATA("[Measures].[Sum of StartPrincipal]",'Results PT'!$B$8,"[Table2].[ReturnDate]","[Table2].[ReturnDate].&amp;["&amp;$A109&amp;"]"),NA())</f>
        <v>9426130403.9100018</v>
      </c>
      <c r="P109" s="20">
        <f>IFERROR(GETPIVOTDATA("[Measures].[Sum of EndPrincipal]",'Results PT'!$B$8,"[Table2].[ReturnDate]","[Table2].[ReturnDate].&amp;["&amp;$A109&amp;"]"),NA())</f>
        <v>9343093926.1600018</v>
      </c>
      <c r="Q109" s="20">
        <f>IFERROR(GETPIVOTDATA("[Measures].[Sum of StartNAV]",'Results PT'!$B$8,"[Table2].[ReturnDate]","[Table2].[ReturnDate].&amp;["&amp;$A109&amp;"]"),NA())</f>
        <v>6539819813.7999992</v>
      </c>
      <c r="R109" s="20">
        <f>IFERROR(GETPIVOTDATA("[Measures].[Sum of EndNAV]",'Results PT'!$B$8,"[Table2].[ReturnDate]","[Table2].[ReturnDate].&amp;["&amp;$A109&amp;"]"),NA())</f>
        <v>6376782092.7400007</v>
      </c>
      <c r="S109" s="20"/>
      <c r="T109" s="1">
        <f t="shared" si="55"/>
        <v>0</v>
      </c>
      <c r="U109" s="1">
        <f t="shared" si="56"/>
        <v>0</v>
      </c>
      <c r="V109">
        <f t="shared" si="57"/>
        <v>4</v>
      </c>
      <c r="W109" s="20">
        <f t="shared" si="83"/>
        <v>131998499.23000002</v>
      </c>
      <c r="X109" s="20">
        <f t="shared" si="58"/>
        <v>-31039221.829998016</v>
      </c>
      <c r="Y109" s="20">
        <f t="shared" si="84"/>
        <v>6473820564.1849995</v>
      </c>
      <c r="Z109" s="3">
        <f t="shared" si="59"/>
        <v>-4.794575555849623E-3</v>
      </c>
      <c r="AC109" s="20">
        <f>IFERROR(GETPIVOTDATA("[Measures].[Distinct Count of LoanID]",'Count PT'!$B$3,"[Table2].[ReturnDate]","[Table2].[ReturnDate].&amp;["&amp;$A109&amp;"]"),NA())</f>
        <v>164</v>
      </c>
      <c r="AD109" s="20">
        <f>GETPIVOTDATA("[Measures].[Distinct Count of ManagerCode 2]",'Count PT'!$B$3,"[Table2].[ReturnDate]","[Table2].[ReturnDate].&amp;["&amp;$A109&amp;"]")</f>
        <v>8</v>
      </c>
      <c r="AE109" s="20" t="b">
        <f t="shared" si="60"/>
        <v>1</v>
      </c>
      <c r="AF109" s="20" t="b">
        <f t="shared" si="61"/>
        <v>1</v>
      </c>
      <c r="AG109" s="20" t="b">
        <f t="shared" si="62"/>
        <v>1</v>
      </c>
      <c r="AI109" s="7">
        <f t="shared" si="85"/>
        <v>5.0465975564327348E-3</v>
      </c>
      <c r="AJ109" s="7">
        <f t="shared" si="86"/>
        <v>3.334969078296968E-4</v>
      </c>
      <c r="AK109" s="7">
        <f t="shared" si="87"/>
        <v>0</v>
      </c>
      <c r="AL109" s="7">
        <f t="shared" si="63"/>
        <v>5.3800944642624316E-3</v>
      </c>
      <c r="AM109" s="7">
        <f t="shared" si="88"/>
        <v>-5.7863868219084485E-6</v>
      </c>
      <c r="AN109" s="7">
        <f t="shared" si="64"/>
        <v>5.3743080774405231E-3</v>
      </c>
      <c r="AO109" s="7">
        <f t="shared" si="65"/>
        <v>-1.0168883633290146E-2</v>
      </c>
      <c r="AP109" s="7">
        <f t="shared" si="89"/>
        <v>-4.794575555849623E-3</v>
      </c>
      <c r="AQ109" s="7">
        <f t="shared" si="90"/>
        <v>5.3800944642624316E-3</v>
      </c>
      <c r="AS109" s="7">
        <f t="shared" si="66"/>
        <v>5.0465975564327348E-3</v>
      </c>
      <c r="AT109" s="7">
        <f t="shared" si="67"/>
        <v>3.334969078296968E-4</v>
      </c>
      <c r="AU109" s="7">
        <f t="shared" si="68"/>
        <v>5.3800944642624316E-3</v>
      </c>
      <c r="AV109" s="7">
        <f t="shared" si="69"/>
        <v>0</v>
      </c>
      <c r="AW109" s="7">
        <f t="shared" si="70"/>
        <v>5.3800944642624316E-3</v>
      </c>
      <c r="AX109" s="7">
        <f t="shared" si="71"/>
        <v>-5.7863868219084485E-6</v>
      </c>
      <c r="AY109" s="7">
        <f t="shared" si="72"/>
        <v>5.3743080774405231E-3</v>
      </c>
      <c r="AZ109" s="7">
        <f t="shared" si="73"/>
        <v>-1.0168883633290146E-2</v>
      </c>
      <c r="BA109" s="7">
        <f t="shared" si="74"/>
        <v>-4.794575555849623E-3</v>
      </c>
      <c r="BB109" s="7">
        <f t="shared" si="75"/>
        <v>5.3800944642624316E-3</v>
      </c>
      <c r="BC109" s="7"/>
      <c r="BD109">
        <f t="shared" si="91"/>
        <v>1</v>
      </c>
      <c r="BE109">
        <f t="shared" si="92"/>
        <v>1</v>
      </c>
      <c r="BF109" s="7" cm="1">
        <f t="array" ref="BF109">IF(ISNA($BA109),NA(),IF($BE109=0,"***",PRODUCT(1+AS107:AS109)-1))</f>
        <v>1.5301739797908942E-2</v>
      </c>
      <c r="BG109" s="7" cm="1">
        <f t="array" ref="BG109">IF(ISNA($BA109),NA(),IF($BE109=0,"***",PRODUCT(1+AT107:AT109)-1))</f>
        <v>1.1800064003175681E-3</v>
      </c>
      <c r="BH109" s="7" cm="1">
        <f t="array" ref="BH109">IF(ISNA($BA109),NA(),IF($BE109=0,"***",PRODUCT(1+AU107:AU109)-1))</f>
        <v>1.6493750280342834E-2</v>
      </c>
      <c r="BI109" s="7" cm="1">
        <f t="array" ref="BI109">IF(ISNA($BA109),NA(),IF($BE109=0,"***",PRODUCT(1+AV107:AV109)-1))</f>
        <v>1.3314642868733628E-3</v>
      </c>
      <c r="BJ109" s="7" cm="1">
        <f t="array" ref="BJ109">IF(ISNA($BA109),NA(),IF($BE109=0,"***",PRODUCT(1+AW107:AW109)-1))</f>
        <v>1.7839939290425821E-2</v>
      </c>
      <c r="BK109" s="7" cm="1">
        <f t="array" ref="BK109">IF(ISNA($BA109),NA(),IF($BE109=0,"***",PRODUCT(1+AX107:AX109)-1))</f>
        <v>-1.6635973398071435E-5</v>
      </c>
      <c r="BL109" s="7" cm="1">
        <f t="array" ref="BL109">IF(ISNA($BA109),NA(),IF($BE109=0,"***",PRODUCT(1+AY107:AY109)-1))</f>
        <v>1.7823106329068583E-2</v>
      </c>
      <c r="BM109" s="7" cm="1">
        <f t="array" ref="BM109">IF(ISNA($BA109),NA(),IF($BE109=0,"***",PRODUCT(1+AZ107:AZ109)-1))</f>
        <v>-1.1125046240639813E-2</v>
      </c>
      <c r="BN109" s="7" cm="1">
        <f t="array" ref="BN109">IF(ISNA($BA109),NA(),IF($BE109=0,"***",PRODUCT(1+BA107:BA109)-1))</f>
        <v>6.5611528377231831E-3</v>
      </c>
      <c r="BO109" s="7">
        <f t="shared" si="93"/>
        <v>-1.3690725070558685E-4</v>
      </c>
      <c r="BP109" s="7">
        <f t="shared" si="81"/>
        <v>1.6403918368681124E-2</v>
      </c>
    </row>
    <row r="110" spans="1:68" x14ac:dyDescent="0.25">
      <c r="A110" t="str">
        <f t="shared" ref="A110:A112" si="94">TEXT(C110*10000+D110*100+DAY(B110),"0")</f>
        <v>20200430</v>
      </c>
      <c r="B110">
        <f t="shared" ref="B110:B112" si="95">EOMONTH(DATE(C110,D110,1),0)</f>
        <v>43951</v>
      </c>
      <c r="C110">
        <v>2020</v>
      </c>
      <c r="D110">
        <v>4</v>
      </c>
      <c r="F110" s="20">
        <f>IFERROR(GETPIVOTDATA("[Measures].[Sum of CashInterest]",'Results PT'!$B$8,"[Table2].[ReturnDate]","[Table2].[ReturnDate].&amp;["&amp;$A110&amp;"]"),NA())</f>
        <v>33117523.280000005</v>
      </c>
      <c r="G110" s="20">
        <f>IFERROR(GETPIVOTDATA("[Measures].[Sum of AccrInterest]",'Results PT'!$B$8,"[Table2].[ReturnDate]","[Table2].[ReturnDate].&amp;["&amp;$A110&amp;"]"),NA())</f>
        <v>3260334.6199999992</v>
      </c>
      <c r="H110" s="20">
        <f>IFERROR(GETPIVOTDATA("[Measures].[Sum of OtherIncome]",'Results PT'!$B$8,"[Table2].[ReturnDate]","[Table2].[ReturnDate].&amp;["&amp;$A110&amp;"]"),NA())</f>
        <v>1593095.5</v>
      </c>
      <c r="I110" s="20">
        <f>IFERROR(GETPIVOTDATA("[Measures].[Sum of Expenses]",'Results PT'!$B$8,"[Table2].[ReturnDate]","[Table2].[ReturnDate].&amp;["&amp;$A110&amp;"]"),NA())</f>
        <v>-45139.790000000008</v>
      </c>
      <c r="J110" s="20">
        <f>IFERROR(GETPIVOTDATA("[Measures].[Sum of PrincipalFunded]",'Results PT'!$B$8,"[Table2].[ReturnDate]","[Table2].[ReturnDate].&amp;["&amp;$A110&amp;"]"),NA())</f>
        <v>-286819159.96000004</v>
      </c>
      <c r="K110" s="20">
        <f>IFERROR(GETPIVOTDATA("[Measures].[Sum of PrincipalRepaid]",'Results PT'!$B$8,"[Table2].[ReturnDate]","[Table2].[ReturnDate].&amp;["&amp;$A110&amp;"]"),NA())</f>
        <v>79829607.280000001</v>
      </c>
      <c r="L110" s="20"/>
      <c r="M110" s="20">
        <f>IFERROR(GETPIVOTDATA("[Measures].[Sum of StartValue]",'Results PT'!$B$8,"[Table2].[ReturnDate]","[Table2].[ReturnDate].&amp;["&amp;$A110&amp;"]"),NA())</f>
        <v>9223759738.3500004</v>
      </c>
      <c r="N110" s="20">
        <f>IFERROR(GETPIVOTDATA("[Measures].[Sum of EndValue]",'Results PT'!$B$8,"[Table2].[ReturnDate]","[Table2].[ReturnDate].&amp;["&amp;$A110&amp;"]"),NA())</f>
        <v>9473462213.8800011</v>
      </c>
      <c r="O110" s="20">
        <f>IFERROR(GETPIVOTDATA("[Measures].[Sum of StartPrincipal]",'Results PT'!$B$8,"[Table2].[ReturnDate]","[Table2].[ReturnDate].&amp;["&amp;$A110&amp;"]"),NA())</f>
        <v>9343093926.1600018</v>
      </c>
      <c r="P110" s="20">
        <f>IFERROR(GETPIVOTDATA("[Measures].[Sum of EndPrincipal]",'Results PT'!$B$8,"[Table2].[ReturnDate]","[Table2].[ReturnDate].&amp;["&amp;$A110&amp;"]"),NA())</f>
        <v>9595315897.6599979</v>
      </c>
      <c r="Q110" s="20">
        <f>IFERROR(GETPIVOTDATA("[Measures].[Sum of StartNAV]",'Results PT'!$B$8,"[Table2].[ReturnDate]","[Table2].[ReturnDate].&amp;["&amp;$A110&amp;"]"),NA())</f>
        <v>6376782092.7400007</v>
      </c>
      <c r="R110" s="20">
        <f>IFERROR(GETPIVOTDATA("[Measures].[Sum of EndNAV]",'Results PT'!$B$8,"[Table2].[ReturnDate]","[Table2].[ReturnDate].&amp;["&amp;$A110&amp;"]"),NA())</f>
        <v>6587212943.1599979</v>
      </c>
      <c r="S110" s="20"/>
      <c r="T110" s="1">
        <f t="shared" si="55"/>
        <v>0</v>
      </c>
      <c r="U110" s="1">
        <f t="shared" si="56"/>
        <v>0</v>
      </c>
      <c r="V110">
        <f t="shared" si="57"/>
        <v>4</v>
      </c>
      <c r="W110" s="20">
        <f t="shared" si="83"/>
        <v>-172324073.69000003</v>
      </c>
      <c r="X110" s="20">
        <f t="shared" si="58"/>
        <v>38106776.729997635</v>
      </c>
      <c r="Y110" s="20">
        <f t="shared" si="84"/>
        <v>6462944129.585001</v>
      </c>
      <c r="Z110" s="3">
        <f t="shared" si="59"/>
        <v>5.8961946700975968E-3</v>
      </c>
      <c r="AC110" s="20">
        <f>IFERROR(GETPIVOTDATA("[Measures].[Distinct Count of LoanID]",'Count PT'!$B$3,"[Table2].[ReturnDate]","[Table2].[ReturnDate].&amp;["&amp;$A110&amp;"]"),NA())</f>
        <v>165</v>
      </c>
      <c r="AD110" s="20">
        <f>GETPIVOTDATA("[Measures].[Distinct Count of ManagerCode 2]",'Count PT'!$B$3,"[Table2].[ReturnDate]","[Table2].[ReturnDate].&amp;["&amp;$A110&amp;"]")</f>
        <v>8</v>
      </c>
      <c r="AE110" s="20" t="b">
        <f t="shared" si="60"/>
        <v>1</v>
      </c>
      <c r="AF110" s="20" t="b">
        <f t="shared" si="61"/>
        <v>1</v>
      </c>
      <c r="AG110" s="20" t="b">
        <f t="shared" si="62"/>
        <v>1</v>
      </c>
      <c r="AI110" s="7">
        <f t="shared" si="85"/>
        <v>5.1242162420064973E-3</v>
      </c>
      <c r="AJ110" s="7">
        <f t="shared" si="86"/>
        <v>5.0446585250139733E-4</v>
      </c>
      <c r="AK110" s="7">
        <f t="shared" si="87"/>
        <v>2.4649687016593412E-4</v>
      </c>
      <c r="AL110" s="7">
        <f t="shared" si="63"/>
        <v>5.8751789646738287E-3</v>
      </c>
      <c r="AM110" s="7">
        <f t="shared" si="88"/>
        <v>-6.98440046748455E-6</v>
      </c>
      <c r="AN110" s="7">
        <f t="shared" si="64"/>
        <v>5.8681945642063442E-3</v>
      </c>
      <c r="AO110" s="7">
        <f t="shared" si="65"/>
        <v>2.8000105891252611E-5</v>
      </c>
      <c r="AP110" s="7">
        <f t="shared" si="89"/>
        <v>5.8961946700975968E-3</v>
      </c>
      <c r="AQ110" s="7">
        <f t="shared" si="90"/>
        <v>5.6286820945078949E-3</v>
      </c>
      <c r="AS110" s="7">
        <f t="shared" si="66"/>
        <v>5.1242162420064973E-3</v>
      </c>
      <c r="AT110" s="7">
        <f t="shared" si="67"/>
        <v>5.0446585250139733E-4</v>
      </c>
      <c r="AU110" s="7">
        <f t="shared" si="68"/>
        <v>5.6286820945078949E-3</v>
      </c>
      <c r="AV110" s="7">
        <f t="shared" si="69"/>
        <v>2.4649687016593412E-4</v>
      </c>
      <c r="AW110" s="7">
        <f t="shared" si="70"/>
        <v>5.8751789646738287E-3</v>
      </c>
      <c r="AX110" s="7">
        <f t="shared" si="71"/>
        <v>-6.98440046748455E-6</v>
      </c>
      <c r="AY110" s="7">
        <f t="shared" si="72"/>
        <v>5.8681945642063442E-3</v>
      </c>
      <c r="AZ110" s="7">
        <f t="shared" si="73"/>
        <v>2.8000105891252611E-5</v>
      </c>
      <c r="BA110" s="7">
        <f t="shared" si="74"/>
        <v>5.8961946700975968E-3</v>
      </c>
      <c r="BB110" s="7">
        <f t="shared" si="75"/>
        <v>5.6286820945078949E-3</v>
      </c>
      <c r="BC110" s="7"/>
      <c r="BD110">
        <f t="shared" ref="BD110:BD112" si="96">IF(ISNUMBER(BA110),1,0)</f>
        <v>1</v>
      </c>
      <c r="BE110">
        <f t="shared" ref="BE110:BE112" si="97">IF(SUM(BD108:BD110)=3,1,0)</f>
        <v>1</v>
      </c>
      <c r="BF110" s="7" cm="1">
        <f t="array" ref="BF110">IF(ISNA($BA110),NA(),IF($BE110=0,"***",PRODUCT(1+AS108:AS110)-1))</f>
        <v>1.5343671598512021E-2</v>
      </c>
      <c r="BG110" s="7" cm="1">
        <f t="array" ref="BG110">IF(ISNA($BA110),NA(),IF($BE110=0,"***",PRODUCT(1+AT108:AT110)-1))</f>
        <v>1.1075345963473815E-3</v>
      </c>
      <c r="BH110" s="7" cm="1">
        <f t="array" ref="BH110">IF(ISNA($BA110),NA(),IF($BE110=0,"***",PRODUCT(1+AU108:AU110)-1))</f>
        <v>1.6462498800327463E-2</v>
      </c>
      <c r="BI110" s="7" cm="1">
        <f t="array" ref="BI110">IF(ISNA($BA110),NA(),IF($BE110=0,"***",PRODUCT(1+AV108:AV110)-1))</f>
        <v>1.5296444845969148E-3</v>
      </c>
      <c r="BJ110" s="7" cm="1">
        <f t="array" ref="BJ110">IF(ISNA($BA110),NA(),IF($BE110=0,"***",PRODUCT(1+AW108:AW110)-1))</f>
        <v>1.8008961792852718E-2</v>
      </c>
      <c r="BK110" s="7" cm="1">
        <f t="array" ref="BK110">IF(ISNA($BA110),NA(),IF($BE110=0,"***",PRODUCT(1+AX108:AX110)-1))</f>
        <v>-1.8705266109697583E-5</v>
      </c>
      <c r="BL110" s="7" cm="1">
        <f t="array" ref="BL110">IF(ISNA($BA110),NA(),IF($BE110=0,"***",PRODUCT(1+AY108:AY110)-1))</f>
        <v>1.7990032607696271E-2</v>
      </c>
      <c r="BM110" s="7" cm="1">
        <f t="array" ref="BM110">IF(ISNA($BA110),NA(),IF($BE110=0,"***",PRODUCT(1+AZ108:AZ110)-1))</f>
        <v>-1.0760315105215024E-2</v>
      </c>
      <c r="BN110" s="7" cm="1">
        <f t="array" ref="BN110">IF(ISNA($BA110),NA(),IF($BE110=0,"***",PRODUCT(1+BA108:BA110)-1))</f>
        <v>7.0954364131161629E-3</v>
      </c>
      <c r="BO110" s="7">
        <f t="shared" ref="BO110:BO112" si="98">BN110-BM110-BL110</f>
        <v>-1.3428108936508476E-4</v>
      </c>
      <c r="BP110" s="7">
        <f t="shared" ref="BP110:BP112" si="99">SUM(BB108:BB110)</f>
        <v>1.6372999977989463E-2</v>
      </c>
    </row>
    <row r="111" spans="1:68" x14ac:dyDescent="0.25">
      <c r="A111" t="str">
        <f t="shared" si="94"/>
        <v>20200531</v>
      </c>
      <c r="B111">
        <f t="shared" si="95"/>
        <v>43982</v>
      </c>
      <c r="C111">
        <v>2020</v>
      </c>
      <c r="D111">
        <v>5</v>
      </c>
      <c r="F111" s="20">
        <f>IFERROR(GETPIVOTDATA("[Measures].[Sum of CashInterest]",'Results PT'!$B$8,"[Table2].[ReturnDate]","[Table2].[ReturnDate].&amp;["&amp;$A111&amp;"]"),NA())</f>
        <v>33783023.139999993</v>
      </c>
      <c r="G111" s="20">
        <f>IFERROR(GETPIVOTDATA("[Measures].[Sum of AccrInterest]",'Results PT'!$B$8,"[Table2].[ReturnDate]","[Table2].[ReturnDate].&amp;["&amp;$A111&amp;"]"),NA())</f>
        <v>2798263.9700000011</v>
      </c>
      <c r="H111" s="20">
        <f>IFERROR(GETPIVOTDATA("[Measures].[Sum of OtherIncome]",'Results PT'!$B$8,"[Table2].[ReturnDate]","[Table2].[ReturnDate].&amp;["&amp;$A111&amp;"]"),NA())</f>
        <v>0</v>
      </c>
      <c r="I111" s="20">
        <f>IFERROR(GETPIVOTDATA("[Measures].[Sum of Expenses]",'Results PT'!$B$8,"[Table2].[ReturnDate]","[Table2].[ReturnDate].&amp;["&amp;$A111&amp;"]"),NA())</f>
        <v>-36317.449999999997</v>
      </c>
      <c r="J111" s="20">
        <f>IFERROR(GETPIVOTDATA("[Measures].[Sum of PrincipalFunded]",'Results PT'!$B$8,"[Table2].[ReturnDate]","[Table2].[ReturnDate].&amp;["&amp;$A111&amp;"]"),NA())</f>
        <v>-25625503.080000002</v>
      </c>
      <c r="K111" s="20">
        <f>IFERROR(GETPIVOTDATA("[Measures].[Sum of PrincipalRepaid]",'Results PT'!$B$8,"[Table2].[ReturnDate]","[Table2].[ReturnDate].&amp;["&amp;$A111&amp;"]"),NA())</f>
        <v>74350.789999999994</v>
      </c>
      <c r="L111" s="20"/>
      <c r="M111" s="20">
        <f>IFERROR(GETPIVOTDATA("[Measures].[Sum of StartValue]",'Results PT'!$B$8,"[Table2].[ReturnDate]","[Table2].[ReturnDate].&amp;["&amp;$A111&amp;"]"),NA())</f>
        <v>9473462213.8800011</v>
      </c>
      <c r="N111" s="20">
        <f>IFERROR(GETPIVOTDATA("[Measures].[Sum of EndValue]",'Results PT'!$B$8,"[Table2].[ReturnDate]","[Table2].[ReturnDate].&amp;["&amp;$A111&amp;"]"),NA())</f>
        <v>9506634590.7799969</v>
      </c>
      <c r="O111" s="20">
        <f>IFERROR(GETPIVOTDATA("[Measures].[Sum of StartPrincipal]",'Results PT'!$B$8,"[Table2].[ReturnDate]","[Table2].[ReturnDate].&amp;["&amp;$A111&amp;"]"),NA())</f>
        <v>9595315897.6599979</v>
      </c>
      <c r="P111" s="20">
        <f>IFERROR(GETPIVOTDATA("[Measures].[Sum of EndPrincipal]",'Results PT'!$B$8,"[Table2].[ReturnDate]","[Table2].[ReturnDate].&amp;["&amp;$A111&amp;"]"),NA())</f>
        <v>9623564018.329998</v>
      </c>
      <c r="Q111" s="20">
        <f>IFERROR(GETPIVOTDATA("[Measures].[Sum of StartNAV]",'Results PT'!$B$8,"[Table2].[ReturnDate]","[Table2].[ReturnDate].&amp;["&amp;$A111&amp;"]"),NA())</f>
        <v>6587212943.1599979</v>
      </c>
      <c r="R111" s="20">
        <f>IFERROR(GETPIVOTDATA("[Measures].[Sum of EndNAV]",'Results PT'!$B$8,"[Table2].[ReturnDate]","[Table2].[ReturnDate].&amp;["&amp;$A111&amp;"]"),NA())</f>
        <v>6621007127.4299984</v>
      </c>
      <c r="S111" s="20"/>
      <c r="T111" s="1">
        <f t="shared" si="55"/>
        <v>0</v>
      </c>
      <c r="U111" s="1">
        <f t="shared" si="56"/>
        <v>0</v>
      </c>
      <c r="V111">
        <f t="shared" si="57"/>
        <v>4</v>
      </c>
      <c r="W111" s="20">
        <f t="shared" si="83"/>
        <v>8195553.3999999883</v>
      </c>
      <c r="X111" s="20">
        <f t="shared" si="58"/>
        <v>41989737.670000076</v>
      </c>
      <c r="Y111" s="20">
        <f t="shared" si="84"/>
        <v>6583115166.4599981</v>
      </c>
      <c r="Z111" s="3">
        <f t="shared" si="59"/>
        <v>6.3783993760175434E-3</v>
      </c>
      <c r="AC111" s="20">
        <f>IFERROR(GETPIVOTDATA("[Measures].[Distinct Count of LoanID]",'Count PT'!$B$3,"[Table2].[ReturnDate]","[Table2].[ReturnDate].&amp;["&amp;$A111&amp;"]"),NA())</f>
        <v>163</v>
      </c>
      <c r="AD111" s="20">
        <f>GETPIVOTDATA("[Measures].[Distinct Count of ManagerCode 2]",'Count PT'!$B$3,"[Table2].[ReturnDate]","[Table2].[ReturnDate].&amp;["&amp;$A111&amp;"]")</f>
        <v>8</v>
      </c>
      <c r="AE111" s="20" t="b">
        <f t="shared" si="60"/>
        <v>1</v>
      </c>
      <c r="AF111" s="20" t="b">
        <f t="shared" si="61"/>
        <v>1</v>
      </c>
      <c r="AG111" s="20" t="b">
        <f t="shared" si="62"/>
        <v>1</v>
      </c>
      <c r="AI111" s="7">
        <f t="shared" si="85"/>
        <v>5.1317685147177008E-3</v>
      </c>
      <c r="AJ111" s="7">
        <f t="shared" si="86"/>
        <v>4.2506684134233953E-4</v>
      </c>
      <c r="AK111" s="7">
        <f t="shared" si="87"/>
        <v>0</v>
      </c>
      <c r="AL111" s="7">
        <f t="shared" si="63"/>
        <v>5.5568353560600404E-3</v>
      </c>
      <c r="AM111" s="7">
        <f t="shared" si="88"/>
        <v>-5.5167575048712584E-6</v>
      </c>
      <c r="AN111" s="7">
        <f t="shared" si="64"/>
        <v>5.5513185985551694E-3</v>
      </c>
      <c r="AO111" s="7">
        <f t="shared" si="65"/>
        <v>8.27080777462374E-4</v>
      </c>
      <c r="AP111" s="7">
        <f t="shared" si="89"/>
        <v>6.3783993760175434E-3</v>
      </c>
      <c r="AQ111" s="7">
        <f t="shared" si="90"/>
        <v>5.5568353560600395E-3</v>
      </c>
      <c r="AS111" s="7">
        <f t="shared" si="66"/>
        <v>5.1317685147177008E-3</v>
      </c>
      <c r="AT111" s="7">
        <f t="shared" si="67"/>
        <v>4.2506684134233953E-4</v>
      </c>
      <c r="AU111" s="7">
        <f t="shared" si="68"/>
        <v>5.5568353560600404E-3</v>
      </c>
      <c r="AV111" s="7">
        <f t="shared" si="69"/>
        <v>0</v>
      </c>
      <c r="AW111" s="7">
        <f t="shared" si="70"/>
        <v>5.5568353560600404E-3</v>
      </c>
      <c r="AX111" s="7">
        <f t="shared" si="71"/>
        <v>-5.5167575048712584E-6</v>
      </c>
      <c r="AY111" s="7">
        <f t="shared" si="72"/>
        <v>5.5513185985551694E-3</v>
      </c>
      <c r="AZ111" s="7">
        <f t="shared" si="73"/>
        <v>8.27080777462374E-4</v>
      </c>
      <c r="BA111" s="7">
        <f t="shared" si="74"/>
        <v>6.3783993760175434E-3</v>
      </c>
      <c r="BB111" s="7">
        <f t="shared" si="75"/>
        <v>5.5568353560600395E-3</v>
      </c>
      <c r="BC111" s="7"/>
      <c r="BD111">
        <f t="shared" si="96"/>
        <v>1</v>
      </c>
      <c r="BE111">
        <f t="shared" si="97"/>
        <v>1</v>
      </c>
      <c r="BF111" s="7" cm="1">
        <f t="array" ref="BF111">IF(ISNA($BA111),NA(),IF($BE111=0,"***",PRODUCT(1+AS109:AS111)-1))</f>
        <v>1.5380769139142991E-2</v>
      </c>
      <c r="BG111" s="7" cm="1">
        <f t="array" ref="BG111">IF(ISNA($BA111),NA(),IF($BE111=0,"***",PRODUCT(1+AT109:AT111)-1))</f>
        <v>1.2635541011711826E-3</v>
      </c>
      <c r="BH111" s="7" cm="1">
        <f t="array" ref="BH111">IF(ISNA($BA111),NA(),IF($BE111=0,"***",PRODUCT(1+AU109:AU111)-1))</f>
        <v>1.6657236991780566E-2</v>
      </c>
      <c r="BI111" s="7" cm="1">
        <f t="array" ref="BI111">IF(ISNA($BA111),NA(),IF($BE111=0,"***",PRODUCT(1+AV109:AV111)-1))</f>
        <v>2.4649687016586874E-4</v>
      </c>
      <c r="BJ111" s="7" cm="1">
        <f t="array" ref="BJ111">IF(ISNA($BA111),NA(),IF($BE111=0,"***",PRODUCT(1+AW109:AW111)-1))</f>
        <v>1.6906437150260301E-2</v>
      </c>
      <c r="BK111" s="7" cm="1">
        <f t="array" ref="BK111">IF(ISNA($BA111),NA(),IF($BE111=0,"***",PRODUCT(1+AX109:AX111)-1))</f>
        <v>-1.8287433926733598E-5</v>
      </c>
      <c r="BL111" s="7" cm="1">
        <f t="array" ref="BL111">IF(ISNA($BA111),NA(),IF($BE111=0,"***",PRODUCT(1+AY109:AY111)-1))</f>
        <v>1.6887944514286879E-2</v>
      </c>
      <c r="BM111" s="7" cm="1">
        <f t="array" ref="BM111">IF(ISNA($BA111),NA(),IF($BE111=0,"***",PRODUCT(1+AZ109:AZ111)-1))</f>
        <v>-9.3224750450815463E-3</v>
      </c>
      <c r="BN111" s="7" cm="1">
        <f t="array" ref="BN111">IF(ISNA($BA111),NA(),IF($BE111=0,"***",PRODUCT(1+BA109:BA111)-1))</f>
        <v>7.4585949903374082E-3</v>
      </c>
      <c r="BO111" s="7">
        <f t="shared" si="98"/>
        <v>-1.0687447886792434E-4</v>
      </c>
      <c r="BP111" s="7">
        <f t="shared" si="99"/>
        <v>1.6565611914830365E-2</v>
      </c>
    </row>
    <row r="112" spans="1:68" x14ac:dyDescent="0.25">
      <c r="A112" t="str">
        <f t="shared" si="94"/>
        <v>20200630</v>
      </c>
      <c r="B112">
        <f t="shared" si="95"/>
        <v>44012</v>
      </c>
      <c r="C112">
        <v>2020</v>
      </c>
      <c r="D112">
        <v>6</v>
      </c>
      <c r="F112" s="20">
        <f>IFERROR(GETPIVOTDATA("[Measures].[Sum of CashInterest]",'Results PT'!$B$8,"[Table2].[ReturnDate]","[Table2].[ReturnDate].&amp;["&amp;$A112&amp;"]"),NA())</f>
        <v>33558554.230000012</v>
      </c>
      <c r="G112" s="20">
        <f>IFERROR(GETPIVOTDATA("[Measures].[Sum of AccrInterest]",'Results PT'!$B$8,"[Table2].[ReturnDate]","[Table2].[ReturnDate].&amp;["&amp;$A112&amp;"]"),NA())</f>
        <v>2761552.8299999996</v>
      </c>
      <c r="H112" s="20">
        <f>IFERROR(GETPIVOTDATA("[Measures].[Sum of OtherIncome]",'Results PT'!$B$8,"[Table2].[ReturnDate]","[Table2].[ReturnDate].&amp;["&amp;$A112&amp;"]"),NA())</f>
        <v>0</v>
      </c>
      <c r="I112" s="20">
        <f>IFERROR(GETPIVOTDATA("[Measures].[Sum of Expenses]",'Results PT'!$B$8,"[Table2].[ReturnDate]","[Table2].[ReturnDate].&amp;["&amp;$A112&amp;"]"),NA())</f>
        <v>-41370.340000000004</v>
      </c>
      <c r="J112" s="20">
        <f>IFERROR(GETPIVOTDATA("[Measures].[Sum of PrincipalFunded]",'Results PT'!$B$8,"[Table2].[ReturnDate]","[Table2].[ReturnDate].&amp;["&amp;$A112&amp;"]"),NA())</f>
        <v>-32115075.34</v>
      </c>
      <c r="K112" s="20">
        <f>IFERROR(GETPIVOTDATA("[Measures].[Sum of PrincipalRepaid]",'Results PT'!$B$8,"[Table2].[ReturnDate]","[Table2].[ReturnDate].&amp;["&amp;$A112&amp;"]"),NA())</f>
        <v>-49069265.890000008</v>
      </c>
      <c r="L112" s="20"/>
      <c r="M112" s="20">
        <f>IFERROR(GETPIVOTDATA("[Measures].[Sum of StartValue]",'Results PT'!$B$8,"[Table2].[ReturnDate]","[Table2].[ReturnDate].&amp;["&amp;$A112&amp;"]"),NA())</f>
        <v>9506634590.7799969</v>
      </c>
      <c r="N112" s="20">
        <f>IFERROR(GETPIVOTDATA("[Measures].[Sum of EndValue]",'Results PT'!$B$8,"[Table2].[ReturnDate]","[Table2].[ReturnDate].&amp;["&amp;$A112&amp;"]"),NA())</f>
        <v>9506830421.9199982</v>
      </c>
      <c r="O112" s="20">
        <f>IFERROR(GETPIVOTDATA("[Measures].[Sum of StartPrincipal]",'Results PT'!$B$8,"[Table2].[ReturnDate]","[Table2].[ReturnDate].&amp;["&amp;$A112&amp;"]"),NA())</f>
        <v>9623564018.329998</v>
      </c>
      <c r="P112" s="20">
        <f>IFERROR(GETPIVOTDATA("[Measures].[Sum of EndPrincipal]",'Results PT'!$B$8,"[Table2].[ReturnDate]","[Table2].[ReturnDate].&amp;["&amp;$A112&amp;"]"),NA())</f>
        <v>9586331115.0000019</v>
      </c>
      <c r="Q112" s="20">
        <f>IFERROR(GETPIVOTDATA("[Measures].[Sum of StartNAV]",'Results PT'!$B$8,"[Table2].[ReturnDate]","[Table2].[ReturnDate].&amp;["&amp;$A112&amp;"]"),NA())</f>
        <v>6621007127.4299984</v>
      </c>
      <c r="R112" s="20">
        <f>IFERROR(GETPIVOTDATA("[Measures].[Sum of EndNAV]",'Results PT'!$B$8,"[Table2].[ReturnDate]","[Table2].[ReturnDate].&amp;["&amp;$A112&amp;"]"),NA())</f>
        <v>6700524746.4800034</v>
      </c>
      <c r="S112" s="20"/>
      <c r="T112" s="1">
        <f t="shared" si="55"/>
        <v>0</v>
      </c>
      <c r="U112" s="1">
        <f t="shared" si="56"/>
        <v>0</v>
      </c>
      <c r="V112">
        <f t="shared" si="57"/>
        <v>4</v>
      </c>
      <c r="W112" s="20">
        <f t="shared" si="83"/>
        <v>-47667157.339999996</v>
      </c>
      <c r="X112" s="20">
        <f t="shared" si="58"/>
        <v>31850461.710004807</v>
      </c>
      <c r="Y112" s="20">
        <f t="shared" si="84"/>
        <v>6644840706.0999985</v>
      </c>
      <c r="Z112" s="3">
        <f t="shared" si="59"/>
        <v>4.7932618882445014E-3</v>
      </c>
      <c r="AC112" s="20">
        <f>IFERROR(GETPIVOTDATA("[Measures].[Distinct Count of LoanID]",'Count PT'!$B$3,"[Table2].[ReturnDate]","[Table2].[ReturnDate].&amp;["&amp;$A112&amp;"]"),NA())</f>
        <v>163</v>
      </c>
      <c r="AD112" s="20">
        <f>GETPIVOTDATA("[Measures].[Distinct Count of ManagerCode 2]",'Count PT'!$B$3,"[Table2].[ReturnDate]","[Table2].[ReturnDate].&amp;["&amp;$A112&amp;"]")</f>
        <v>8</v>
      </c>
      <c r="AE112" s="20" t="b">
        <f t="shared" si="60"/>
        <v>1</v>
      </c>
      <c r="AF112" s="20" t="b">
        <f t="shared" si="61"/>
        <v>1</v>
      </c>
      <c r="AG112" s="20" t="b">
        <f t="shared" si="62"/>
        <v>1</v>
      </c>
      <c r="AI112" s="7">
        <f t="shared" si="85"/>
        <v>5.0503173385620945E-3</v>
      </c>
      <c r="AJ112" s="7">
        <f t="shared" si="86"/>
        <v>4.1559353371178328E-4</v>
      </c>
      <c r="AK112" s="7">
        <f t="shared" si="87"/>
        <v>0</v>
      </c>
      <c r="AL112" s="7">
        <f t="shared" si="63"/>
        <v>5.4659108722738782E-3</v>
      </c>
      <c r="AM112" s="7">
        <f t="shared" si="88"/>
        <v>-6.2259340486554957E-6</v>
      </c>
      <c r="AN112" s="7">
        <f t="shared" si="64"/>
        <v>5.4596849382252226E-3</v>
      </c>
      <c r="AO112" s="7">
        <f t="shared" si="65"/>
        <v>-6.6642304998072114E-4</v>
      </c>
      <c r="AP112" s="7">
        <f t="shared" si="89"/>
        <v>4.7932618882445014E-3</v>
      </c>
      <c r="AQ112" s="7">
        <f t="shared" si="90"/>
        <v>5.4659108722738773E-3</v>
      </c>
      <c r="AS112" s="7">
        <f t="shared" si="66"/>
        <v>5.0503173385620945E-3</v>
      </c>
      <c r="AT112" s="7">
        <f t="shared" si="67"/>
        <v>4.1559353371178328E-4</v>
      </c>
      <c r="AU112" s="7">
        <f t="shared" si="68"/>
        <v>5.4659108722738782E-3</v>
      </c>
      <c r="AV112" s="7">
        <f t="shared" si="69"/>
        <v>0</v>
      </c>
      <c r="AW112" s="7">
        <f t="shared" si="70"/>
        <v>5.4659108722738782E-3</v>
      </c>
      <c r="AX112" s="7">
        <f t="shared" si="71"/>
        <v>-6.2259340486554957E-6</v>
      </c>
      <c r="AY112" s="7">
        <f t="shared" si="72"/>
        <v>5.4596849382252226E-3</v>
      </c>
      <c r="AZ112" s="7">
        <f t="shared" si="73"/>
        <v>-6.6642304998072114E-4</v>
      </c>
      <c r="BA112" s="7">
        <f t="shared" si="74"/>
        <v>4.7932618882445014E-3</v>
      </c>
      <c r="BB112" s="7">
        <f t="shared" si="75"/>
        <v>5.4659108722738773E-3</v>
      </c>
      <c r="BC112" s="7"/>
      <c r="BD112">
        <f t="shared" si="96"/>
        <v>1</v>
      </c>
      <c r="BE112">
        <f t="shared" si="97"/>
        <v>1</v>
      </c>
      <c r="BF112" s="7" cm="1">
        <f t="array" ref="BF112">IF(ISNA($BA112),NA(),IF($BE112=0,"***",PRODUCT(1+AS110:AS112)-1))</f>
        <v>1.5384527169117757E-2</v>
      </c>
      <c r="BG112" s="7" cm="1">
        <f t="array" ref="BG112">IF(ISNA($BA112),NA(),IF($BE112=0,"***",PRODUCT(1+AT110:AT112)-1))</f>
        <v>1.3457270561552104E-3</v>
      </c>
      <c r="BH112" s="7" cm="1">
        <f t="array" ref="BH112">IF(ISNA($BA112),NA(),IF($BE112=0,"***",PRODUCT(1+AU110:AU112)-1))</f>
        <v>1.6744015984857752E-2</v>
      </c>
      <c r="BI112" s="7" cm="1">
        <f t="array" ref="BI112">IF(ISNA($BA112),NA(),IF($BE112=0,"***",PRODUCT(1+AV110:AV112)-1))</f>
        <v>2.4649687016586874E-4</v>
      </c>
      <c r="BJ112" s="7" cm="1">
        <f t="array" ref="BJ112">IF(ISNA($BA112),NA(),IF($BE112=0,"***",PRODUCT(1+AW110:AW112)-1))</f>
        <v>1.6993237414360207E-2</v>
      </c>
      <c r="BK112" s="7" cm="1">
        <f t="array" ref="BK112">IF(ISNA($BA112),NA(),IF($BE112=0,"***",PRODUCT(1+AX110:AX112)-1))</f>
        <v>-1.8726975658522882E-5</v>
      </c>
      <c r="BL112" s="7" cm="1">
        <f t="array" ref="BL112">IF(ISNA($BA112),NA(),IF($BE112=0,"***",PRODUCT(1+AY110:AY112)-1))</f>
        <v>1.6974299118512226E-2</v>
      </c>
      <c r="BM112" s="7" cm="1">
        <f t="array" ref="BM112">IF(ISNA($BA112),NA(),IF($BE112=0,"***",PRODUCT(1+AZ110:AZ112)-1))</f>
        <v>1.8811113067873642E-4</v>
      </c>
      <c r="BN112" s="7" cm="1">
        <f t="array" ref="BN112">IF(ISNA($BA112),NA(),IF($BE112=0,"***",PRODUCT(1+BA110:BA112)-1))</f>
        <v>1.7164479828955415E-2</v>
      </c>
      <c r="BO112" s="7">
        <f t="shared" si="98"/>
        <v>2.0695797644521008E-6</v>
      </c>
      <c r="BP112" s="7">
        <f t="shared" si="99"/>
        <v>1.6651428322841812E-2</v>
      </c>
    </row>
    <row r="113" spans="1:68" x14ac:dyDescent="0.25">
      <c r="A113" t="str">
        <f t="shared" ref="A113:A115" si="100">TEXT(C113*10000+D113*100+DAY(B113),"0")</f>
        <v>20200731</v>
      </c>
      <c r="B113">
        <f t="shared" ref="B113:B115" si="101">EOMONTH(DATE(C113,D113,1),0)</f>
        <v>44043</v>
      </c>
      <c r="C113">
        <v>2020</v>
      </c>
      <c r="D113">
        <v>7</v>
      </c>
      <c r="F113" s="20">
        <f>IFERROR(GETPIVOTDATA("[Measures].[Sum of CashInterest]",'Results PT'!$B$8,"[Table2].[ReturnDate]","[Table2].[ReturnDate].&amp;["&amp;$A113&amp;"]"),NA())</f>
        <v>34297383.480000012</v>
      </c>
      <c r="G113" s="20">
        <f>IFERROR(GETPIVOTDATA("[Measures].[Sum of AccrInterest]",'Results PT'!$B$8,"[Table2].[ReturnDate]","[Table2].[ReturnDate].&amp;["&amp;$A113&amp;"]"),NA())</f>
        <v>3351351.8899999978</v>
      </c>
      <c r="H113" s="20">
        <f>IFERROR(GETPIVOTDATA("[Measures].[Sum of OtherIncome]",'Results PT'!$B$8,"[Table2].[ReturnDate]","[Table2].[ReturnDate].&amp;["&amp;$A113&amp;"]"),NA())</f>
        <v>0</v>
      </c>
      <c r="I113" s="20">
        <f>IFERROR(GETPIVOTDATA("[Measures].[Sum of Expenses]",'Results PT'!$B$8,"[Table2].[ReturnDate]","[Table2].[ReturnDate].&amp;["&amp;$A113&amp;"]"),NA())</f>
        <v>-40240.799999999996</v>
      </c>
      <c r="J113" s="20">
        <f>IFERROR(GETPIVOTDATA("[Measures].[Sum of PrincipalFunded]",'Results PT'!$B$8,"[Table2].[ReturnDate]","[Table2].[ReturnDate].&amp;["&amp;$A113&amp;"]"),NA())</f>
        <v>-40206834.780000001</v>
      </c>
      <c r="K113" s="20">
        <f>IFERROR(GETPIVOTDATA("[Measures].[Sum of PrincipalRepaid]",'Results PT'!$B$8,"[Table2].[ReturnDate]","[Table2].[ReturnDate].&amp;["&amp;$A113&amp;"]"),NA())</f>
        <v>-95901.740000001751</v>
      </c>
      <c r="L113" s="20"/>
      <c r="M113" s="20">
        <f>IFERROR(GETPIVOTDATA("[Measures].[Sum of StartValue]",'Results PT'!$B$8,"[Table2].[ReturnDate]","[Table2].[ReturnDate].&amp;["&amp;$A113&amp;"]"),NA())</f>
        <v>9506830421.9199982</v>
      </c>
      <c r="N113" s="20">
        <f>IFERROR(GETPIVOTDATA("[Measures].[Sum of EndValue]",'Results PT'!$B$8,"[Table2].[ReturnDate]","[Table2].[ReturnDate].&amp;["&amp;$A113&amp;"]"),NA())</f>
        <v>9553843890.5699997</v>
      </c>
      <c r="O113" s="20">
        <f>IFERROR(GETPIVOTDATA("[Measures].[Sum of StartPrincipal]",'Results PT'!$B$8,"[Table2].[ReturnDate]","[Table2].[ReturnDate].&amp;["&amp;$A113&amp;"]"),NA())</f>
        <v>9586331115.0000019</v>
      </c>
      <c r="P113" s="20">
        <f>IFERROR(GETPIVOTDATA("[Measures].[Sum of EndPrincipal]",'Results PT'!$B$8,"[Table2].[ReturnDate]","[Table2].[ReturnDate].&amp;["&amp;$A113&amp;"]"),NA())</f>
        <v>9629811914.9400024</v>
      </c>
      <c r="Q113" s="20">
        <f>IFERROR(GETPIVOTDATA("[Measures].[Sum of StartNAV]",'Results PT'!$B$8,"[Table2].[ReturnDate]","[Table2].[ReturnDate].&amp;["&amp;$A113&amp;"]"),NA())</f>
        <v>6700524746.4800034</v>
      </c>
      <c r="R113" s="20">
        <f>IFERROR(GETPIVOTDATA("[Measures].[Sum of EndNAV]",'Results PT'!$B$8,"[Table2].[ReturnDate]","[Table2].[ReturnDate].&amp;["&amp;$A113&amp;"]"),NA())</f>
        <v>6747934996.6999998</v>
      </c>
      <c r="S113" s="20"/>
      <c r="T113" s="1">
        <f t="shared" ref="T113:T115" si="102">M113-N112</f>
        <v>0</v>
      </c>
      <c r="U113" s="1">
        <f t="shared" ref="U113:U115" si="103">O113-P112</f>
        <v>0</v>
      </c>
      <c r="V113">
        <f t="shared" si="57"/>
        <v>4</v>
      </c>
      <c r="W113" s="20">
        <f t="shared" ref="W113:W115" si="104">SUM(F113,H113:K113)</f>
        <v>-6045593.8399999887</v>
      </c>
      <c r="X113" s="20">
        <f t="shared" ref="X113:X115" si="105">CHOOSE(V113,0,W113-Q113,W113+R113,W113+R113-Q113)</f>
        <v>41364656.3799963</v>
      </c>
      <c r="Y113" s="20">
        <f t="shared" ref="Y113:Y115" si="106">CHOOSE(V113,1,Q113,-J113,Q113-0.5*W113)</f>
        <v>6703547543.4000034</v>
      </c>
      <c r="Z113" s="3">
        <f t="shared" ref="Z113:Z115" si="107">X113/Y113</f>
        <v>6.1705620959937833E-3</v>
      </c>
      <c r="AC113" s="20">
        <f>IFERROR(GETPIVOTDATA("[Measures].[Distinct Count of LoanID]",'Count PT'!$B$3,"[Table2].[ReturnDate]","[Table2].[ReturnDate].&amp;["&amp;$A113&amp;"]"),NA())</f>
        <v>163</v>
      </c>
      <c r="AD113" s="20">
        <f>GETPIVOTDATA("[Measures].[Distinct Count of ManagerCode 2]",'Count PT'!$B$3,"[Table2].[ReturnDate]","[Table2].[ReturnDate].&amp;["&amp;$A113&amp;"]")</f>
        <v>8</v>
      </c>
      <c r="AE113" s="20" t="b">
        <f t="shared" ref="AE113:AE115" si="108">AC113&gt;=$AE$4</f>
        <v>1</v>
      </c>
      <c r="AF113" s="20" t="b">
        <f t="shared" ref="AF113:AF115" si="109">AD113&gt;=$AF$4</f>
        <v>1</v>
      </c>
      <c r="AG113" s="20" t="b">
        <f t="shared" ref="AG113:AG115" si="110">IF(AD113=1,FALSE,IF(AF113,TRUE,IF(AE113,TRUE,FALSE)))</f>
        <v>1</v>
      </c>
      <c r="AI113" s="7">
        <f t="shared" ref="AI113:AI115" si="111">F113/Y113</f>
        <v>5.1163034584229359E-3</v>
      </c>
      <c r="AJ113" s="7">
        <f t="shared" ref="AJ113:AJ115" si="112">G113/Y113</f>
        <v>4.999370659046911E-4</v>
      </c>
      <c r="AK113" s="7">
        <f t="shared" ref="AK113:AK115" si="113">H113/Y113</f>
        <v>0</v>
      </c>
      <c r="AL113" s="7">
        <f t="shared" ref="AL113:AL115" si="114">SUM(AI113:AK113)</f>
        <v>5.6162405243276271E-3</v>
      </c>
      <c r="AM113" s="7">
        <f t="shared" ref="AM113:AM115" si="115">I113/Y113</f>
        <v>-6.0029111063170106E-6</v>
      </c>
      <c r="AN113" s="7">
        <f t="shared" ref="AN113:AN115" si="116">AL113+AM113</f>
        <v>5.6102376132213102E-3</v>
      </c>
      <c r="AO113" s="7">
        <f t="shared" ref="AO113:AO115" si="117">AP113-AN113</f>
        <v>5.6032448277247311E-4</v>
      </c>
      <c r="AP113" s="7">
        <f t="shared" ref="AP113:AP115" si="118">Z113</f>
        <v>6.1705620959937833E-3</v>
      </c>
      <c r="AQ113" s="7">
        <f t="shared" ref="AQ113:AQ115" si="119">(F113+G113)/Y113</f>
        <v>5.6162405243276271E-3</v>
      </c>
      <c r="AS113" s="7">
        <f t="shared" ref="AS113:AS115" si="120">IFERROR(IF(NOT($AG113),"***",AI113),NA())</f>
        <v>5.1163034584229359E-3</v>
      </c>
      <c r="AT113" s="7">
        <f t="shared" ref="AT113:AT115" si="121">IFERROR(IF(NOT($AG113),"***",AJ113),NA())</f>
        <v>4.999370659046911E-4</v>
      </c>
      <c r="AU113" s="7">
        <f t="shared" ref="AU113:AU115" si="122">IF(AND(ISNUMBER(AS113),ISNUMBER(AT113)),AS113+AT113,AS113)</f>
        <v>5.6162405243276271E-3</v>
      </c>
      <c r="AV113" s="7">
        <f t="shared" ref="AV113:AV115" si="123">IFERROR(IF(NOT($AG113),"***",AK113),NA())</f>
        <v>0</v>
      </c>
      <c r="AW113" s="7">
        <f t="shared" ref="AW113:AW115" si="124">IFERROR(IF(NOT($AG113),"***",AL113),NA())</f>
        <v>5.6162405243276271E-3</v>
      </c>
      <c r="AX113" s="7">
        <f t="shared" ref="AX113:AX115" si="125">IFERROR(IF(NOT($AG113),"***",AM113),NA())</f>
        <v>-6.0029111063170106E-6</v>
      </c>
      <c r="AY113" s="7">
        <f t="shared" ref="AY113:AY115" si="126">IFERROR(IF(NOT($AG113),"***",AN113),NA())</f>
        <v>5.6102376132213102E-3</v>
      </c>
      <c r="AZ113" s="7">
        <f t="shared" ref="AZ113:AZ115" si="127">IFERROR(IF(NOT($AG113),"***",AO113),NA())</f>
        <v>5.6032448277247311E-4</v>
      </c>
      <c r="BA113" s="7">
        <f t="shared" ref="BA113:BA115" si="128">IFERROR(IF(NOT($AG113),"***",AP113),NA())</f>
        <v>6.1705620959937833E-3</v>
      </c>
      <c r="BB113" s="7">
        <f t="shared" ref="BB113:BB115" si="129">IFERROR(IF(NOT($AG113),"***",AQ113),NA())</f>
        <v>5.6162405243276271E-3</v>
      </c>
      <c r="BC113" s="7"/>
      <c r="BD113">
        <f t="shared" ref="BD113:BD115" si="130">IF(ISNUMBER(BA113),1,0)</f>
        <v>1</v>
      </c>
      <c r="BE113">
        <f t="shared" ref="BE113:BE115" si="131">IF(SUM(BD111:BD113)=3,1,0)</f>
        <v>1</v>
      </c>
      <c r="BF113" s="7" cm="1">
        <f t="array" ref="BF113">IF(ISNA($BA113),NA(),IF($BE113=0,"***",PRODUCT(1+AS111:AS113)-1))</f>
        <v>1.5376533611816345E-2</v>
      </c>
      <c r="BG113" s="7" cm="1">
        <f t="array" ref="BG113">IF(ISNA($BA113),NA(),IF($BE113=0,"***",PRODUCT(1+AT111:AT113)-1))</f>
        <v>1.3411944615870919E-3</v>
      </c>
      <c r="BH113" s="7" cm="1">
        <f t="array" ref="BH113">IF(ISNA($BA113),NA(),IF($BE113=0,"***",PRODUCT(1+AU111:AU113)-1))</f>
        <v>1.6731436896516794E-2</v>
      </c>
      <c r="BI113" s="7" cm="1">
        <f t="array" ref="BI113">IF(ISNA($BA113),NA(),IF($BE113=0,"***",PRODUCT(1+AV111:AV113)-1))</f>
        <v>0</v>
      </c>
      <c r="BJ113" s="7" cm="1">
        <f t="array" ref="BJ113">IF(ISNA($BA113),NA(),IF($BE113=0,"***",PRODUCT(1+AW111:AW113)-1))</f>
        <v>1.6731436896516794E-2</v>
      </c>
      <c r="BK113" s="7" cm="1">
        <f t="array" ref="BK113">IF(ISNA($BA113),NA(),IF($BE113=0,"***",PRODUCT(1+AX111:AX113)-1))</f>
        <v>-1.7745497822629908E-5</v>
      </c>
      <c r="BL113" s="7" cm="1">
        <f t="array" ref="BL113">IF(ISNA($BA113),NA(),IF($BE113=0,"***",PRODUCT(1+AY111:AY113)-1))</f>
        <v>1.6713493984351846E-2</v>
      </c>
      <c r="BM113" s="7" cm="1">
        <f t="array" ref="BM113">IF(ISNA($BA113),NA(),IF($BE113=0,"***",PRODUCT(1+AZ111:AZ113)-1))</f>
        <v>7.2052073617512313E-4</v>
      </c>
      <c r="BN113" s="7" cm="1">
        <f t="array" ref="BN113">IF(ISNA($BA113),NA(),IF($BE113=0,"***",PRODUCT(1+BA111:BA113)-1))</f>
        <v>1.7441920783123788E-2</v>
      </c>
      <c r="BO113" s="7">
        <f t="shared" ref="BO113:BO115" si="132">BN113-BM113-BL113</f>
        <v>7.906062596818586E-6</v>
      </c>
      <c r="BP113" s="7">
        <f t="shared" ref="BP113:BP115" si="133">SUM(BB111:BB113)</f>
        <v>1.6638986752661546E-2</v>
      </c>
    </row>
    <row r="114" spans="1:68" x14ac:dyDescent="0.25">
      <c r="A114" t="str">
        <f t="shared" si="100"/>
        <v>20200831</v>
      </c>
      <c r="B114">
        <f t="shared" si="101"/>
        <v>44074</v>
      </c>
      <c r="C114">
        <v>2020</v>
      </c>
      <c r="D114">
        <v>8</v>
      </c>
      <c r="F114" s="20">
        <f>IFERROR(GETPIVOTDATA("[Measures].[Sum of CashInterest]",'Results PT'!$B$8,"[Table2].[ReturnDate]","[Table2].[ReturnDate].&amp;["&amp;$A114&amp;"]"),NA())</f>
        <v>34401829.229999997</v>
      </c>
      <c r="G114" s="20">
        <f>IFERROR(GETPIVOTDATA("[Measures].[Sum of AccrInterest]",'Results PT'!$B$8,"[Table2].[ReturnDate]","[Table2].[ReturnDate].&amp;["&amp;$A114&amp;"]"),NA())</f>
        <v>2615588.0500000003</v>
      </c>
      <c r="H114" s="20">
        <f>IFERROR(GETPIVOTDATA("[Measures].[Sum of OtherIncome]",'Results PT'!$B$8,"[Table2].[ReturnDate]","[Table2].[ReturnDate].&amp;["&amp;$A114&amp;"]"),NA())</f>
        <v>544270</v>
      </c>
      <c r="I114" s="20">
        <f>IFERROR(GETPIVOTDATA("[Measures].[Sum of Expenses]",'Results PT'!$B$8,"[Table2].[ReturnDate]","[Table2].[ReturnDate].&amp;["&amp;$A114&amp;"]"),NA())</f>
        <v>-41633.050000000003</v>
      </c>
      <c r="J114" s="20">
        <f>IFERROR(GETPIVOTDATA("[Measures].[Sum of PrincipalFunded]",'Results PT'!$B$8,"[Table2].[ReturnDate]","[Table2].[ReturnDate].&amp;["&amp;$A114&amp;"]"),NA())</f>
        <v>-29221333.41</v>
      </c>
      <c r="K114" s="20">
        <f>IFERROR(GETPIVOTDATA("[Measures].[Sum of PrincipalRepaid]",'Results PT'!$B$8,"[Table2].[ReturnDate]","[Table2].[ReturnDate].&amp;["&amp;$A114&amp;"]"),NA())</f>
        <v>16105195.970000001</v>
      </c>
      <c r="L114" s="20"/>
      <c r="M114" s="20">
        <f>IFERROR(GETPIVOTDATA("[Measures].[Sum of StartValue]",'Results PT'!$B$8,"[Table2].[ReturnDate]","[Table2].[ReturnDate].&amp;["&amp;$A114&amp;"]"),NA())</f>
        <v>9553843890.5699997</v>
      </c>
      <c r="N114" s="20">
        <f>IFERROR(GETPIVOTDATA("[Measures].[Sum of EndValue]",'Results PT'!$B$8,"[Table2].[ReturnDate]","[Table2].[ReturnDate].&amp;["&amp;$A114&amp;"]"),NA())</f>
        <v>9561890390.7199993</v>
      </c>
      <c r="O114" s="20">
        <f>IFERROR(GETPIVOTDATA("[Measures].[Sum of StartPrincipal]",'Results PT'!$B$8,"[Table2].[ReturnDate]","[Table2].[ReturnDate].&amp;["&amp;$A114&amp;"]"),NA())</f>
        <v>9629811914.9400024</v>
      </c>
      <c r="P114" s="20">
        <f>IFERROR(GETPIVOTDATA("[Measures].[Sum of EndPrincipal]",'Results PT'!$B$8,"[Table2].[ReturnDate]","[Table2].[ReturnDate].&amp;["&amp;$A114&amp;"]"),NA())</f>
        <v>9637489222.8600044</v>
      </c>
      <c r="Q114" s="20">
        <f>IFERROR(GETPIVOTDATA("[Measures].[Sum of StartNAV]",'Results PT'!$B$8,"[Table2].[ReturnDate]","[Table2].[ReturnDate].&amp;["&amp;$A114&amp;"]"),NA())</f>
        <v>6747934996.6999998</v>
      </c>
      <c r="R114" s="20">
        <f>IFERROR(GETPIVOTDATA("[Measures].[Sum of EndNAV]",'Results PT'!$B$8,"[Table2].[ReturnDate]","[Table2].[ReturnDate].&amp;["&amp;$A114&amp;"]"),NA())</f>
        <v>6764260802.5900011</v>
      </c>
      <c r="S114" s="20"/>
      <c r="T114" s="1">
        <f t="shared" si="102"/>
        <v>0</v>
      </c>
      <c r="U114" s="1">
        <f t="shared" si="103"/>
        <v>0</v>
      </c>
      <c r="V114">
        <f t="shared" si="57"/>
        <v>4</v>
      </c>
      <c r="W114" s="20">
        <f t="shared" si="104"/>
        <v>21788328.740000002</v>
      </c>
      <c r="X114" s="20">
        <f t="shared" si="105"/>
        <v>38114134.630001068</v>
      </c>
      <c r="Y114" s="20">
        <f t="shared" si="106"/>
        <v>6737040832.3299999</v>
      </c>
      <c r="Z114" s="3">
        <f t="shared" si="107"/>
        <v>5.6573999740505247E-3</v>
      </c>
      <c r="AC114" s="20">
        <f>IFERROR(GETPIVOTDATA("[Measures].[Distinct Count of LoanID]",'Count PT'!$B$3,"[Table2].[ReturnDate]","[Table2].[ReturnDate].&amp;["&amp;$A114&amp;"]"),NA())</f>
        <v>164</v>
      </c>
      <c r="AD114" s="20">
        <f>GETPIVOTDATA("[Measures].[Distinct Count of ManagerCode 2]",'Count PT'!$B$3,"[Table2].[ReturnDate]","[Table2].[ReturnDate].&amp;["&amp;$A114&amp;"]")</f>
        <v>8</v>
      </c>
      <c r="AE114" s="20" t="b">
        <f t="shared" si="108"/>
        <v>1</v>
      </c>
      <c r="AF114" s="20" t="b">
        <f t="shared" si="109"/>
        <v>1</v>
      </c>
      <c r="AG114" s="20" t="b">
        <f t="shared" si="110"/>
        <v>1</v>
      </c>
      <c r="AI114" s="7">
        <f t="shared" si="111"/>
        <v>5.1063708957961229E-3</v>
      </c>
      <c r="AJ114" s="7">
        <f t="shared" si="112"/>
        <v>3.8823989865820679E-4</v>
      </c>
      <c r="AK114" s="7">
        <f t="shared" si="113"/>
        <v>8.0787695005221557E-5</v>
      </c>
      <c r="AL114" s="7">
        <f t="shared" si="114"/>
        <v>5.5753984894595515E-3</v>
      </c>
      <c r="AM114" s="7">
        <f t="shared" si="115"/>
        <v>-6.1797235664966642E-6</v>
      </c>
      <c r="AN114" s="7">
        <f t="shared" si="116"/>
        <v>5.5692187658930546E-3</v>
      </c>
      <c r="AO114" s="7">
        <f t="shared" si="117"/>
        <v>8.8181208157470103E-5</v>
      </c>
      <c r="AP114" s="7">
        <f t="shared" si="118"/>
        <v>5.6573999740505247E-3</v>
      </c>
      <c r="AQ114" s="7">
        <f t="shared" si="119"/>
        <v>5.4946107944543292E-3</v>
      </c>
      <c r="AS114" s="7">
        <f t="shared" si="120"/>
        <v>5.1063708957961229E-3</v>
      </c>
      <c r="AT114" s="7">
        <f t="shared" si="121"/>
        <v>3.8823989865820679E-4</v>
      </c>
      <c r="AU114" s="7">
        <f t="shared" si="122"/>
        <v>5.49461079445433E-3</v>
      </c>
      <c r="AV114" s="7">
        <f t="shared" si="123"/>
        <v>8.0787695005221557E-5</v>
      </c>
      <c r="AW114" s="7">
        <f t="shared" si="124"/>
        <v>5.5753984894595515E-3</v>
      </c>
      <c r="AX114" s="7">
        <f t="shared" si="125"/>
        <v>-6.1797235664966642E-6</v>
      </c>
      <c r="AY114" s="7">
        <f t="shared" si="126"/>
        <v>5.5692187658930546E-3</v>
      </c>
      <c r="AZ114" s="7">
        <f t="shared" si="127"/>
        <v>8.8181208157470103E-5</v>
      </c>
      <c r="BA114" s="7">
        <f t="shared" si="128"/>
        <v>5.6573999740505247E-3</v>
      </c>
      <c r="BB114" s="7">
        <f t="shared" si="129"/>
        <v>5.4946107944543292E-3</v>
      </c>
      <c r="BC114" s="7"/>
      <c r="BD114">
        <f t="shared" si="130"/>
        <v>1</v>
      </c>
      <c r="BE114">
        <f t="shared" si="131"/>
        <v>1</v>
      </c>
      <c r="BF114" s="7" cm="1">
        <f t="array" ref="BF114">IF(ISNA($BA114),NA(),IF($BE114=0,"***",PRODUCT(1+AS112:AS114)-1))</f>
        <v>1.5350877128686102E-2</v>
      </c>
      <c r="BG114" s="7" cm="1">
        <f t="array" ref="BG114">IF(ISNA($BA114),NA(),IF($BE114=0,"***",PRODUCT(1+AT112:AT114)-1))</f>
        <v>1.3043337950584544E-3</v>
      </c>
      <c r="BH114" s="7" cm="1">
        <f t="array" ref="BH114">IF(ISNA($BA114),NA(),IF($BE114=0,"***",PRODUCT(1+AU112:AU114)-1))</f>
        <v>1.6668520842737067E-2</v>
      </c>
      <c r="BI114" s="7" cm="1">
        <f t="array" ref="BI114">IF(ISNA($BA114),NA(),IF($BE114=0,"***",PRODUCT(1+AV112:AV114)-1))</f>
        <v>8.078769500530214E-5</v>
      </c>
      <c r="BJ114" s="7" cm="1">
        <f t="array" ref="BJ114">IF(ISNA($BA114),NA(),IF($BE114=0,"***",PRODUCT(1+AW112:AW114)-1))</f>
        <v>1.6750206319219751E-2</v>
      </c>
      <c r="BK114" s="7" cm="1">
        <f t="array" ref="BK114">IF(ISNA($BA114),NA(),IF($BE114=0,"***",PRODUCT(1+AX112:AX114)-1))</f>
        <v>-1.8408455777052524E-5</v>
      </c>
      <c r="BL114" s="7" cm="1">
        <f t="array" ref="BL114">IF(ISNA($BA114),NA(),IF($BE114=0,"***",PRODUCT(1+AY112:AY114)-1))</f>
        <v>1.6731592853440391E-2</v>
      </c>
      <c r="BM114" s="7" cm="1">
        <f t="array" ref="BM114">IF(ISNA($BA114),NA(),IF($BE114=0,"***",PRODUCT(1+AZ112:AZ114)-1))</f>
        <v>-1.8300161029327633E-5</v>
      </c>
      <c r="BN114" s="7" cm="1">
        <f t="array" ref="BN114">IF(ISNA($BA114),NA(),IF($BE114=0,"***",PRODUCT(1+BA112:BA114)-1))</f>
        <v>1.6712995145535148E-2</v>
      </c>
      <c r="BO114" s="7">
        <f t="shared" si="132"/>
        <v>-2.9754687591587725E-7</v>
      </c>
      <c r="BP114" s="7">
        <f t="shared" si="133"/>
        <v>1.6576762191055833E-2</v>
      </c>
    </row>
    <row r="115" spans="1:68" x14ac:dyDescent="0.25">
      <c r="A115" t="str">
        <f t="shared" si="100"/>
        <v>20200930</v>
      </c>
      <c r="B115">
        <f t="shared" si="101"/>
        <v>44104</v>
      </c>
      <c r="C115">
        <v>2020</v>
      </c>
      <c r="D115">
        <v>9</v>
      </c>
      <c r="F115" s="20">
        <f>IFERROR(GETPIVOTDATA("[Measures].[Sum of CashInterest]",'Results PT'!$B$8,"[Table2].[ReturnDate]","[Table2].[ReturnDate].&amp;["&amp;$A115&amp;"]"),NA())</f>
        <v>33944983.440000005</v>
      </c>
      <c r="G115" s="20">
        <f>IFERROR(GETPIVOTDATA("[Measures].[Sum of AccrInterest]",'Results PT'!$B$8,"[Table2].[ReturnDate]","[Table2].[ReturnDate].&amp;["&amp;$A115&amp;"]"),NA())</f>
        <v>2806338.96</v>
      </c>
      <c r="H115" s="20">
        <f>IFERROR(GETPIVOTDATA("[Measures].[Sum of OtherIncome]",'Results PT'!$B$8,"[Table2].[ReturnDate]","[Table2].[ReturnDate].&amp;["&amp;$A115&amp;"]"),NA())</f>
        <v>331973</v>
      </c>
      <c r="I115" s="20">
        <f>IFERROR(GETPIVOTDATA("[Measures].[Sum of Expenses]",'Results PT'!$B$8,"[Table2].[ReturnDate]","[Table2].[ReturnDate].&amp;["&amp;$A115&amp;"]"),NA())</f>
        <v>-41663.86</v>
      </c>
      <c r="J115" s="20">
        <f>IFERROR(GETPIVOTDATA("[Measures].[Sum of PrincipalFunded]",'Results PT'!$B$8,"[Table2].[ReturnDate]","[Table2].[ReturnDate].&amp;["&amp;$A115&amp;"]"),NA())</f>
        <v>-84953279.789999992</v>
      </c>
      <c r="K115" s="20">
        <f>IFERROR(GETPIVOTDATA("[Measures].[Sum of PrincipalRepaid]",'Results PT'!$B$8,"[Table2].[ReturnDate]","[Table2].[ReturnDate].&amp;["&amp;$A115&amp;"]"),NA())</f>
        <v>5008598.21</v>
      </c>
      <c r="L115" s="20"/>
      <c r="M115" s="20">
        <f>IFERROR(GETPIVOTDATA("[Measures].[Sum of StartValue]",'Results PT'!$B$8,"[Table2].[ReturnDate]","[Table2].[ReturnDate].&amp;["&amp;$A115&amp;"]"),NA())</f>
        <v>9561890390.7199993</v>
      </c>
      <c r="N115" s="20">
        <f>IFERROR(GETPIVOTDATA("[Measures].[Sum of EndValue]",'Results PT'!$B$8,"[Table2].[ReturnDate]","[Table2].[ReturnDate].&amp;["&amp;$A115&amp;"]"),NA())</f>
        <v>9568692597.7200012</v>
      </c>
      <c r="O115" s="20">
        <f>IFERROR(GETPIVOTDATA("[Measures].[Sum of StartPrincipal]",'Results PT'!$B$8,"[Table2].[ReturnDate]","[Table2].[ReturnDate].&amp;["&amp;$A115&amp;"]"),NA())</f>
        <v>9637489222.8600044</v>
      </c>
      <c r="P115" s="20">
        <f>IFERROR(GETPIVOTDATA("[Measures].[Sum of EndPrincipal]",'Results PT'!$B$8,"[Table2].[ReturnDate]","[Table2].[ReturnDate].&amp;["&amp;$A115&amp;"]"),NA())</f>
        <v>9688881804.3400002</v>
      </c>
      <c r="Q115" s="20">
        <f>IFERROR(GETPIVOTDATA("[Measures].[Sum of StartNAV]",'Results PT'!$B$8,"[Table2].[ReturnDate]","[Table2].[ReturnDate].&amp;["&amp;$A115&amp;"]"),NA())</f>
        <v>6764260802.5900011</v>
      </c>
      <c r="R115" s="20">
        <f>IFERROR(GETPIVOTDATA("[Measures].[Sum of EndNAV]",'Results PT'!$B$8,"[Table2].[ReturnDate]","[Table2].[ReturnDate].&amp;["&amp;$A115&amp;"]"),NA())</f>
        <v>6766174406.0099974</v>
      </c>
      <c r="S115" s="20"/>
      <c r="T115" s="1">
        <f t="shared" si="102"/>
        <v>0</v>
      </c>
      <c r="U115" s="1">
        <f t="shared" si="103"/>
        <v>0</v>
      </c>
      <c r="V115">
        <f t="shared" si="57"/>
        <v>4</v>
      </c>
      <c r="W115" s="20">
        <f t="shared" si="104"/>
        <v>-45709388.999999985</v>
      </c>
      <c r="X115" s="20">
        <f t="shared" si="105"/>
        <v>-43795785.580003738</v>
      </c>
      <c r="Y115" s="20">
        <f t="shared" si="106"/>
        <v>6787115497.0900011</v>
      </c>
      <c r="Z115" s="3">
        <f t="shared" si="107"/>
        <v>-6.4527833066611775E-3</v>
      </c>
      <c r="AC115" s="20">
        <f>IFERROR(GETPIVOTDATA("[Measures].[Distinct Count of LoanID]",'Count PT'!$B$3,"[Table2].[ReturnDate]","[Table2].[ReturnDate].&amp;["&amp;$A115&amp;"]"),NA())</f>
        <v>164</v>
      </c>
      <c r="AD115" s="20">
        <f>GETPIVOTDATA("[Measures].[Distinct Count of ManagerCode 2]",'Count PT'!$B$3,"[Table2].[ReturnDate]","[Table2].[ReturnDate].&amp;["&amp;$A115&amp;"]")</f>
        <v>8</v>
      </c>
      <c r="AE115" s="20" t="b">
        <f t="shared" si="108"/>
        <v>1</v>
      </c>
      <c r="AF115" s="20" t="b">
        <f t="shared" si="109"/>
        <v>1</v>
      </c>
      <c r="AG115" s="20" t="b">
        <f t="shared" si="110"/>
        <v>1</v>
      </c>
      <c r="AI115" s="7">
        <f t="shared" si="111"/>
        <v>5.0013858544994605E-3</v>
      </c>
      <c r="AJ115" s="7">
        <f t="shared" si="112"/>
        <v>4.1348036013284692E-4</v>
      </c>
      <c r="AK115" s="7">
        <f t="shared" si="113"/>
        <v>4.8912236743626149E-5</v>
      </c>
      <c r="AL115" s="7">
        <f t="shared" si="114"/>
        <v>5.4637784513759339E-3</v>
      </c>
      <c r="AM115" s="7">
        <f t="shared" si="115"/>
        <v>-6.1386696628138306E-6</v>
      </c>
      <c r="AN115" s="7">
        <f t="shared" si="116"/>
        <v>5.4576397817131198E-3</v>
      </c>
      <c r="AO115" s="7">
        <f t="shared" si="117"/>
        <v>-1.1910423088374297E-2</v>
      </c>
      <c r="AP115" s="7">
        <f t="shared" si="118"/>
        <v>-6.4527833066611775E-3</v>
      </c>
      <c r="AQ115" s="7">
        <f t="shared" si="119"/>
        <v>5.4148662146323075E-3</v>
      </c>
      <c r="AS115" s="7">
        <f t="shared" si="120"/>
        <v>5.0013858544994605E-3</v>
      </c>
      <c r="AT115" s="7">
        <f t="shared" si="121"/>
        <v>4.1348036013284692E-4</v>
      </c>
      <c r="AU115" s="7">
        <f t="shared" si="122"/>
        <v>5.4148662146323075E-3</v>
      </c>
      <c r="AV115" s="7">
        <f t="shared" si="123"/>
        <v>4.8912236743626149E-5</v>
      </c>
      <c r="AW115" s="7">
        <f t="shared" si="124"/>
        <v>5.4637784513759339E-3</v>
      </c>
      <c r="AX115" s="7">
        <f t="shared" si="125"/>
        <v>-6.1386696628138306E-6</v>
      </c>
      <c r="AY115" s="7">
        <f t="shared" si="126"/>
        <v>5.4576397817131198E-3</v>
      </c>
      <c r="AZ115" s="7">
        <f t="shared" si="127"/>
        <v>-1.1910423088374297E-2</v>
      </c>
      <c r="BA115" s="7">
        <f t="shared" si="128"/>
        <v>-6.4527833066611775E-3</v>
      </c>
      <c r="BB115" s="7">
        <f t="shared" si="129"/>
        <v>5.4148662146323075E-3</v>
      </c>
      <c r="BC115" s="7"/>
      <c r="BD115">
        <f t="shared" si="130"/>
        <v>1</v>
      </c>
      <c r="BE115">
        <f t="shared" si="131"/>
        <v>1</v>
      </c>
      <c r="BF115" s="7" cm="1">
        <f t="array" ref="BF115">IF(ISNA($BA115),NA(),IF($BE115=0,"***",PRODUCT(1+AS113:AS115)-1))</f>
        <v>1.5301444155624955E-2</v>
      </c>
      <c r="BG115" s="7" cm="1">
        <f t="array" ref="BG115">IF(ISNA($BA115),NA(),IF($BE115=0,"***",PRODUCT(1+AT113:AT115)-1))</f>
        <v>1.3022187441973365E-3</v>
      </c>
      <c r="BH115" s="7" cm="1">
        <f t="array" ref="BH115">IF(ISNA($BA115),NA(),IF($BE115=0,"***",PRODUCT(1+AU113:AU115)-1))</f>
        <v>1.6616907460303754E-2</v>
      </c>
      <c r="BI115" s="7" cm="1">
        <f t="array" ref="BI115">IF(ISNA($BA115),NA(),IF($BE115=0,"***",PRODUCT(1+AV113:AV115)-1))</f>
        <v>1.2970388325572735E-4</v>
      </c>
      <c r="BJ115" s="7" cm="1">
        <f t="array" ref="BJ115">IF(ISNA($BA115),NA(),IF($BE115=0,"***",PRODUCT(1+AW113:AW115)-1))</f>
        <v>1.6748049966264889E-2</v>
      </c>
      <c r="BK115" s="7" cm="1">
        <f t="array" ref="BK115">IF(ISNA($BA115),NA(),IF($BE115=0,"***",PRODUCT(1+AX113:AX115)-1))</f>
        <v>-1.832119245437358E-5</v>
      </c>
      <c r="BL115" s="7" cm="1">
        <f t="array" ref="BL115">IF(ISNA($BA115),NA(),IF($BE115=0,"***",PRODUCT(1+AY113:AY115)-1))</f>
        <v>1.6729524769290238E-2</v>
      </c>
      <c r="BM115" s="7" cm="1">
        <f t="array" ref="BM115">IF(ISNA($BA115),NA(),IF($BE115=0,"***",PRODUCT(1+AZ113:AZ115)-1))</f>
        <v>-1.1269592553003749E-2</v>
      </c>
      <c r="BN115" s="7" cm="1">
        <f t="array" ref="BN115">IF(ISNA($BA115),NA(),IF($BE115=0,"***",PRODUCT(1+BA113:BA115)-1))</f>
        <v>5.3335395626350479E-3</v>
      </c>
      <c r="BO115" s="7">
        <f t="shared" si="132"/>
        <v>-1.2639265365144148E-4</v>
      </c>
      <c r="BP115" s="7">
        <f t="shared" si="133"/>
        <v>1.6525717533414266E-2</v>
      </c>
    </row>
  </sheetData>
  <mergeCells count="4">
    <mergeCell ref="AI7:AP7"/>
    <mergeCell ref="AS7:BA7"/>
    <mergeCell ref="BF7:BN7"/>
    <mergeCell ref="F7:K7"/>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162D7-9353-4FF4-9545-2B17B551155E}">
  <sheetPr codeName="Sheet12"/>
  <dimension ref="A1:Z474"/>
  <sheetViews>
    <sheetView workbookViewId="0"/>
  </sheetViews>
  <sheetFormatPr defaultColWidth="8.85546875" defaultRowHeight="15" x14ac:dyDescent="0.25"/>
  <cols>
    <col min="2" max="2" width="14.85546875" customWidth="1"/>
    <col min="3" max="3" width="10.140625" customWidth="1"/>
    <col min="4" max="4" width="27.140625" customWidth="1"/>
    <col min="5" max="5" width="21.85546875" customWidth="1"/>
    <col min="6" max="6" width="12.7109375" style="2" customWidth="1"/>
    <col min="7" max="7" width="14.42578125" style="2" customWidth="1"/>
    <col min="8" max="8" width="14.5703125" style="2" customWidth="1"/>
    <col min="9" max="9" width="20.42578125" style="5" customWidth="1"/>
    <col min="10" max="10" width="11.5703125" customWidth="1"/>
    <col min="11" max="11" width="17.85546875" style="6" customWidth="1"/>
    <col min="12" max="12" width="16.85546875" style="6" customWidth="1"/>
    <col min="13" max="13" width="10.7109375" customWidth="1"/>
    <col min="14" max="14" width="18.140625" customWidth="1"/>
    <col min="15" max="15" width="20.28515625" style="8" customWidth="1"/>
    <col min="16" max="16" width="18.42578125" customWidth="1"/>
    <col min="17" max="17" width="21.28515625" customWidth="1"/>
    <col min="18" max="19" width="20.140625" customWidth="1"/>
    <col min="20" max="20" width="14.28515625" customWidth="1"/>
    <col min="21" max="21" width="15.42578125" customWidth="1"/>
    <col min="22" max="22" width="19.28515625" style="11" customWidth="1"/>
    <col min="23" max="23" width="15.28515625" customWidth="1"/>
    <col min="24" max="24" width="19.28515625" customWidth="1"/>
    <col min="25" max="25" width="19.140625" customWidth="1"/>
    <col min="26" max="26" width="19.5703125" customWidth="1"/>
    <col min="27" max="27" width="14.28515625" bestFit="1" customWidth="1"/>
  </cols>
  <sheetData>
    <row r="1" spans="1:26" x14ac:dyDescent="0.25">
      <c r="A1" t="s">
        <v>17</v>
      </c>
    </row>
    <row r="3" spans="1:26" x14ac:dyDescent="0.25">
      <c r="C3" t="s">
        <v>18</v>
      </c>
      <c r="O3" s="8" t="s">
        <v>19</v>
      </c>
      <c r="P3" s="8" t="s">
        <v>19</v>
      </c>
      <c r="V3"/>
      <c r="W3" s="11"/>
      <c r="X3" t="s">
        <v>20</v>
      </c>
    </row>
    <row r="4" spans="1:26" x14ac:dyDescent="0.25">
      <c r="C4" t="s">
        <v>21</v>
      </c>
      <c r="F4" s="2" t="s">
        <v>22</v>
      </c>
      <c r="H4" s="2" t="s">
        <v>23</v>
      </c>
      <c r="I4" s="5" t="s">
        <v>24</v>
      </c>
      <c r="J4" t="s">
        <v>25</v>
      </c>
      <c r="L4" s="6" t="s">
        <v>26</v>
      </c>
      <c r="O4" s="8" t="s">
        <v>27</v>
      </c>
      <c r="P4" s="8" t="s">
        <v>27</v>
      </c>
      <c r="U4" t="s">
        <v>28</v>
      </c>
      <c r="V4"/>
      <c r="W4" s="11"/>
      <c r="X4" t="s">
        <v>29</v>
      </c>
      <c r="Y4" t="s">
        <v>30</v>
      </c>
      <c r="Z4" t="s">
        <v>31</v>
      </c>
    </row>
    <row r="5" spans="1:26" x14ac:dyDescent="0.25">
      <c r="A5" t="s">
        <v>32</v>
      </c>
      <c r="C5" t="s">
        <v>13</v>
      </c>
      <c r="D5" t="s">
        <v>33</v>
      </c>
      <c r="E5" t="s">
        <v>34</v>
      </c>
      <c r="F5" s="2" t="s">
        <v>35</v>
      </c>
      <c r="G5" s="2" t="s">
        <v>36</v>
      </c>
      <c r="H5" s="2" t="s">
        <v>37</v>
      </c>
      <c r="I5" s="5" t="s">
        <v>38</v>
      </c>
      <c r="J5" t="s">
        <v>39</v>
      </c>
      <c r="K5" s="6" t="s">
        <v>40</v>
      </c>
      <c r="L5" s="6" t="s">
        <v>41</v>
      </c>
      <c r="M5" t="s">
        <v>42</v>
      </c>
      <c r="N5" t="s">
        <v>43</v>
      </c>
      <c r="O5" s="8" t="s">
        <v>0</v>
      </c>
      <c r="P5" s="8" t="s">
        <v>0</v>
      </c>
      <c r="Q5" t="s">
        <v>44</v>
      </c>
      <c r="R5" t="s">
        <v>45</v>
      </c>
      <c r="S5" t="s">
        <v>46</v>
      </c>
      <c r="U5" t="s">
        <v>29</v>
      </c>
      <c r="V5" t="s">
        <v>47</v>
      </c>
      <c r="W5" s="11" t="s">
        <v>48</v>
      </c>
      <c r="X5" t="s">
        <v>49</v>
      </c>
      <c r="Y5" t="s">
        <v>50</v>
      </c>
      <c r="Z5" t="s">
        <v>51</v>
      </c>
    </row>
    <row r="6" spans="1:26" x14ac:dyDescent="0.25">
      <c r="A6" t="s">
        <v>32</v>
      </c>
      <c r="B6" t="s">
        <v>249</v>
      </c>
      <c r="C6" t="s">
        <v>52</v>
      </c>
      <c r="D6" t="s">
        <v>177</v>
      </c>
      <c r="E6" t="s">
        <v>34</v>
      </c>
      <c r="F6" s="2" t="s">
        <v>53</v>
      </c>
      <c r="G6" s="2" t="s">
        <v>54</v>
      </c>
      <c r="H6" s="2" t="s">
        <v>55</v>
      </c>
      <c r="I6" s="5" t="s">
        <v>56</v>
      </c>
      <c r="J6" s="2" t="s">
        <v>57</v>
      </c>
      <c r="K6" s="6" t="s">
        <v>58</v>
      </c>
      <c r="L6" s="6" t="s">
        <v>59</v>
      </c>
      <c r="M6" t="s">
        <v>42</v>
      </c>
      <c r="N6" t="s">
        <v>43</v>
      </c>
      <c r="O6" t="s">
        <v>178</v>
      </c>
      <c r="P6" s="8" t="s">
        <v>60</v>
      </c>
      <c r="Q6" t="s">
        <v>44</v>
      </c>
      <c r="R6" t="s">
        <v>45</v>
      </c>
      <c r="S6" t="s">
        <v>46</v>
      </c>
      <c r="T6" t="s">
        <v>61</v>
      </c>
      <c r="U6" t="s">
        <v>62</v>
      </c>
      <c r="V6" t="s">
        <v>63</v>
      </c>
      <c r="W6" s="11" t="s">
        <v>64</v>
      </c>
      <c r="X6" t="s">
        <v>65</v>
      </c>
      <c r="Y6" t="s">
        <v>66</v>
      </c>
      <c r="Z6" t="s">
        <v>67</v>
      </c>
    </row>
    <row r="7" spans="1:26" x14ac:dyDescent="0.25">
      <c r="A7">
        <v>10010</v>
      </c>
      <c r="B7">
        <v>119</v>
      </c>
      <c r="C7">
        <v>2014</v>
      </c>
      <c r="D7" t="s">
        <v>68</v>
      </c>
      <c r="E7" t="s">
        <v>69</v>
      </c>
      <c r="F7" s="2">
        <v>0.56000000000000005</v>
      </c>
      <c r="G7" s="2">
        <v>0.75</v>
      </c>
      <c r="H7" s="14">
        <f t="shared" ref="H7:H70" si="0">(G7=F7)*1</f>
        <v>0</v>
      </c>
      <c r="I7" s="5">
        <v>18750000</v>
      </c>
      <c r="J7">
        <v>1</v>
      </c>
      <c r="K7" s="6">
        <v>0.1008489860257329</v>
      </c>
      <c r="L7" s="6">
        <v>0.75</v>
      </c>
      <c r="M7" t="str">
        <f t="shared" ref="M7:M38" si="1">IF(AND(H7=0,OR(F7&gt;0,L7&gt;0)),"SUB",IF(AND(H7=0,F7=0),"SENIOR","BAD"))&amp;IF(L7&gt;0,"L","")</f>
        <v>SUBL</v>
      </c>
      <c r="N7" t="s">
        <v>70</v>
      </c>
      <c r="O7" t="str">
        <f>VLOOKUP(Table1[[#This Row],[SCHEMATIC TYPE]],'SCHEMATIC Lookup'!$B$1:$C$5,2)</f>
        <v>Leveraged Whole Loan</v>
      </c>
      <c r="P7" s="8">
        <v>99700000</v>
      </c>
      <c r="Q7" t="s">
        <v>71</v>
      </c>
      <c r="R7" t="s">
        <v>72</v>
      </c>
      <c r="S7" t="s">
        <v>71</v>
      </c>
      <c r="T7" t="s">
        <v>71</v>
      </c>
      <c r="U7" s="12" t="s">
        <v>230</v>
      </c>
      <c r="V7" s="12" t="s">
        <v>231</v>
      </c>
      <c r="W7" s="11">
        <v>60</v>
      </c>
      <c r="X7" s="2">
        <f t="shared" ref="X7:X70" si="2">IF(F7=0,L7*G7,F7)</f>
        <v>0.56000000000000005</v>
      </c>
      <c r="Y7" s="5">
        <f t="shared" ref="Y7:Y70" si="3">IF(AND(F7=0,X7&gt;0),I7*(1-L7),I7)</f>
        <v>18750000</v>
      </c>
      <c r="Z7" s="5">
        <f t="shared" ref="Z7:Z70" si="4">IF(AND(L7&gt;0,F7&lt;&gt;0),I7/((G7-F7)/G7),I7)</f>
        <v>74013157.894736871</v>
      </c>
    </row>
    <row r="8" spans="1:26" x14ac:dyDescent="0.25">
      <c r="A8">
        <v>10030</v>
      </c>
      <c r="B8">
        <v>119</v>
      </c>
      <c r="C8">
        <v>2015</v>
      </c>
      <c r="D8" t="s">
        <v>68</v>
      </c>
      <c r="E8" t="s">
        <v>69</v>
      </c>
      <c r="F8" s="2">
        <v>0.49064787335867416</v>
      </c>
      <c r="G8" s="2">
        <v>0.71</v>
      </c>
      <c r="H8" s="14">
        <f t="shared" si="0"/>
        <v>0</v>
      </c>
      <c r="I8" s="5">
        <v>10807763.63546798</v>
      </c>
      <c r="J8">
        <v>1</v>
      </c>
      <c r="K8" s="6">
        <v>8.102947623613628E-2</v>
      </c>
      <c r="L8" s="6">
        <v>0.68831251231527091</v>
      </c>
      <c r="M8" t="str">
        <f t="shared" si="1"/>
        <v>SUBL</v>
      </c>
      <c r="N8" t="s">
        <v>70</v>
      </c>
      <c r="O8" t="str">
        <f>VLOOKUP(Table1[[#This Row],[SCHEMATIC TYPE]],'SCHEMATIC Lookup'!$B$1:$C$5,2)</f>
        <v>Leveraged Whole Loan</v>
      </c>
      <c r="P8" s="8">
        <v>48644328.571428567</v>
      </c>
      <c r="Q8" t="s">
        <v>71</v>
      </c>
      <c r="R8" t="s">
        <v>73</v>
      </c>
      <c r="S8" t="s">
        <v>71</v>
      </c>
      <c r="T8" t="s">
        <v>71</v>
      </c>
      <c r="U8" s="12" t="s">
        <v>232</v>
      </c>
      <c r="V8" s="12" t="s">
        <v>233</v>
      </c>
      <c r="W8" s="11">
        <v>60</v>
      </c>
      <c r="X8" s="2">
        <f t="shared" si="2"/>
        <v>0.49064787335867416</v>
      </c>
      <c r="Y8" s="5">
        <f t="shared" si="3"/>
        <v>10807763.63546798</v>
      </c>
      <c r="Z8" s="5">
        <f t="shared" si="4"/>
        <v>34982620.404358461</v>
      </c>
    </row>
    <row r="9" spans="1:26" x14ac:dyDescent="0.25">
      <c r="A9">
        <v>10040</v>
      </c>
      <c r="B9">
        <v>119</v>
      </c>
      <c r="C9">
        <v>2015</v>
      </c>
      <c r="D9" t="s">
        <v>74</v>
      </c>
      <c r="E9" t="s">
        <v>69</v>
      </c>
      <c r="F9" s="2">
        <v>0.47</v>
      </c>
      <c r="G9" s="2">
        <v>0.65</v>
      </c>
      <c r="H9" s="14">
        <f t="shared" si="0"/>
        <v>0</v>
      </c>
      <c r="I9" s="5">
        <v>5000000</v>
      </c>
      <c r="J9">
        <v>2</v>
      </c>
      <c r="K9" s="6">
        <v>0.1</v>
      </c>
      <c r="L9" s="6">
        <v>0</v>
      </c>
      <c r="M9" t="str">
        <f t="shared" si="1"/>
        <v>SUB</v>
      </c>
      <c r="N9" t="s">
        <v>75</v>
      </c>
      <c r="O9" t="str">
        <f>VLOOKUP(Table1[[#This Row],[SCHEMATIC TYPE]],'SCHEMATIC Lookup'!$B$1:$C$5,2)</f>
        <v>Mezzanine Loan</v>
      </c>
      <c r="P9" s="8">
        <v>27693876</v>
      </c>
      <c r="Q9" t="s">
        <v>71</v>
      </c>
      <c r="R9" t="s">
        <v>73</v>
      </c>
      <c r="S9" t="s">
        <v>71</v>
      </c>
      <c r="T9" t="s">
        <v>71</v>
      </c>
      <c r="U9" s="12" t="s">
        <v>232</v>
      </c>
      <c r="V9" s="12" t="s">
        <v>234</v>
      </c>
      <c r="W9" s="11">
        <v>60</v>
      </c>
      <c r="X9" s="2">
        <f t="shared" si="2"/>
        <v>0.47</v>
      </c>
      <c r="Y9" s="5">
        <f t="shared" si="3"/>
        <v>5000000</v>
      </c>
      <c r="Z9" s="5">
        <f t="shared" si="4"/>
        <v>5000000</v>
      </c>
    </row>
    <row r="10" spans="1:26" x14ac:dyDescent="0.25">
      <c r="A10">
        <v>10050</v>
      </c>
      <c r="B10">
        <v>103</v>
      </c>
      <c r="C10">
        <v>2005</v>
      </c>
      <c r="D10" t="s">
        <v>76</v>
      </c>
      <c r="E10" t="s">
        <v>77</v>
      </c>
      <c r="F10" s="2">
        <v>0.56999999999999995</v>
      </c>
      <c r="G10" s="2">
        <v>0.66</v>
      </c>
      <c r="H10" s="14">
        <f t="shared" si="0"/>
        <v>0</v>
      </c>
      <c r="I10" s="5">
        <v>33333334</v>
      </c>
      <c r="J10">
        <v>1</v>
      </c>
      <c r="K10" s="6">
        <v>5.3644999999999998E-2</v>
      </c>
      <c r="L10" s="6">
        <v>0</v>
      </c>
      <c r="M10" t="str">
        <f t="shared" si="1"/>
        <v>SUB</v>
      </c>
      <c r="N10" t="s">
        <v>78</v>
      </c>
      <c r="O10" t="str">
        <f>VLOOKUP(Table1[[#This Row],[SCHEMATIC TYPE]],'SCHEMATIC Lookup'!$B$1:$C$5,2)</f>
        <v>Sub. Tranche of Senior</v>
      </c>
      <c r="P10" s="8">
        <v>1100000000</v>
      </c>
      <c r="Q10" t="s">
        <v>19</v>
      </c>
      <c r="R10" t="s">
        <v>79</v>
      </c>
      <c r="S10" t="s">
        <v>19</v>
      </c>
      <c r="T10" t="s">
        <v>19</v>
      </c>
      <c r="U10" s="12" t="s">
        <v>230</v>
      </c>
      <c r="V10" s="12" t="s">
        <v>234</v>
      </c>
      <c r="W10" s="11">
        <v>238.81724845995893</v>
      </c>
      <c r="X10" s="2">
        <f t="shared" si="2"/>
        <v>0.56999999999999995</v>
      </c>
      <c r="Y10" s="5">
        <f t="shared" si="3"/>
        <v>33333334</v>
      </c>
      <c r="Z10" s="5">
        <f t="shared" si="4"/>
        <v>33333334</v>
      </c>
    </row>
    <row r="11" spans="1:26" x14ac:dyDescent="0.25">
      <c r="A11">
        <v>10060</v>
      </c>
      <c r="B11">
        <v>103</v>
      </c>
      <c r="C11">
        <v>2012</v>
      </c>
      <c r="D11" t="s">
        <v>74</v>
      </c>
      <c r="E11" t="s">
        <v>77</v>
      </c>
      <c r="F11" s="2">
        <v>0.62146892655367236</v>
      </c>
      <c r="G11" s="2">
        <v>0.76291079812206575</v>
      </c>
      <c r="H11" s="14">
        <f t="shared" si="0"/>
        <v>0</v>
      </c>
      <c r="I11" s="5">
        <v>20000000</v>
      </c>
      <c r="J11">
        <v>1</v>
      </c>
      <c r="K11" s="6">
        <v>7.2499999999999995E-2</v>
      </c>
      <c r="L11" s="6">
        <v>0</v>
      </c>
      <c r="M11" t="str">
        <f t="shared" si="1"/>
        <v>SUB</v>
      </c>
      <c r="N11" t="s">
        <v>75</v>
      </c>
      <c r="O11" t="str">
        <f>VLOOKUP(Table1[[#This Row],[SCHEMATIC TYPE]],'SCHEMATIC Lookup'!$B$1:$C$5,2)</f>
        <v>Mezzanine Loan</v>
      </c>
      <c r="P11" s="8">
        <v>170400000</v>
      </c>
      <c r="Q11" t="s">
        <v>19</v>
      </c>
      <c r="R11" t="s">
        <v>73</v>
      </c>
      <c r="S11" t="s">
        <v>19</v>
      </c>
      <c r="T11" t="s">
        <v>19</v>
      </c>
      <c r="U11" s="12" t="s">
        <v>235</v>
      </c>
      <c r="V11" s="12" t="s">
        <v>231</v>
      </c>
      <c r="W11" s="11">
        <v>59.400410677618069</v>
      </c>
      <c r="X11" s="2">
        <f t="shared" si="2"/>
        <v>0.62146892655367236</v>
      </c>
      <c r="Y11" s="5">
        <f t="shared" si="3"/>
        <v>20000000</v>
      </c>
      <c r="Z11" s="5">
        <f t="shared" si="4"/>
        <v>20000000</v>
      </c>
    </row>
    <row r="12" spans="1:26" x14ac:dyDescent="0.25">
      <c r="A12">
        <v>10070</v>
      </c>
      <c r="B12">
        <v>119</v>
      </c>
      <c r="C12">
        <v>2016</v>
      </c>
      <c r="D12" t="s">
        <v>68</v>
      </c>
      <c r="E12" t="s">
        <v>69</v>
      </c>
      <c r="F12" s="2">
        <v>0.45572916666666669</v>
      </c>
      <c r="G12" s="2">
        <v>0.69</v>
      </c>
      <c r="H12" s="14">
        <f t="shared" si="0"/>
        <v>0</v>
      </c>
      <c r="I12" s="5">
        <v>7500000</v>
      </c>
      <c r="J12">
        <v>1</v>
      </c>
      <c r="K12" s="6">
        <v>0.10580000000000001</v>
      </c>
      <c r="L12" s="6">
        <v>0.7</v>
      </c>
      <c r="M12" t="str">
        <f t="shared" si="1"/>
        <v>SUBL</v>
      </c>
      <c r="N12" t="s">
        <v>70</v>
      </c>
      <c r="O12" t="str">
        <f>VLOOKUP(Table1[[#This Row],[SCHEMATIC TYPE]],'SCHEMATIC Lookup'!$B$1:$C$5,2)</f>
        <v>Leveraged Whole Loan</v>
      </c>
      <c r="P12" s="8">
        <v>36479276</v>
      </c>
      <c r="Q12" t="s">
        <v>71</v>
      </c>
      <c r="R12" t="s">
        <v>73</v>
      </c>
      <c r="S12" t="s">
        <v>71</v>
      </c>
      <c r="T12" t="s">
        <v>71</v>
      </c>
      <c r="U12" s="12" t="s">
        <v>232</v>
      </c>
      <c r="V12" s="12" t="s">
        <v>234</v>
      </c>
      <c r="W12" s="11">
        <v>61</v>
      </c>
      <c r="X12" s="2">
        <f t="shared" si="2"/>
        <v>0.45572916666666669</v>
      </c>
      <c r="Y12" s="5">
        <f t="shared" si="3"/>
        <v>7500000</v>
      </c>
      <c r="Z12" s="5">
        <f t="shared" si="4"/>
        <v>22089817.696754117</v>
      </c>
    </row>
    <row r="13" spans="1:26" x14ac:dyDescent="0.25">
      <c r="A13">
        <v>10080</v>
      </c>
      <c r="B13">
        <v>103</v>
      </c>
      <c r="C13">
        <v>2005</v>
      </c>
      <c r="D13" t="s">
        <v>74</v>
      </c>
      <c r="E13" t="s">
        <v>77</v>
      </c>
      <c r="F13" s="2">
        <v>0.53</v>
      </c>
      <c r="G13" s="2">
        <v>0.69</v>
      </c>
      <c r="H13" s="14">
        <f t="shared" si="0"/>
        <v>0</v>
      </c>
      <c r="I13" s="5">
        <v>75000000</v>
      </c>
      <c r="J13">
        <v>1</v>
      </c>
      <c r="K13" s="6">
        <v>5.5100000000000003E-2</v>
      </c>
      <c r="L13" s="6">
        <v>0</v>
      </c>
      <c r="M13" t="str">
        <f t="shared" si="1"/>
        <v>SUB</v>
      </c>
      <c r="N13" t="s">
        <v>75</v>
      </c>
      <c r="O13" t="str">
        <f>VLOOKUP(Table1[[#This Row],[SCHEMATIC TYPE]],'SCHEMATIC Lookup'!$B$1:$C$5,2)</f>
        <v>Mezzanine Loan</v>
      </c>
      <c r="P13" s="8">
        <v>1700000000</v>
      </c>
      <c r="Q13" t="s">
        <v>19</v>
      </c>
      <c r="R13" t="s">
        <v>73</v>
      </c>
      <c r="S13" t="s">
        <v>19</v>
      </c>
      <c r="T13" t="s">
        <v>19</v>
      </c>
      <c r="U13" s="12" t="s">
        <v>236</v>
      </c>
      <c r="V13" s="12" t="s">
        <v>234</v>
      </c>
      <c r="W13" s="11">
        <v>119.29363449691992</v>
      </c>
      <c r="X13" s="2">
        <f t="shared" si="2"/>
        <v>0.53</v>
      </c>
      <c r="Y13" s="5">
        <f t="shared" si="3"/>
        <v>75000000</v>
      </c>
      <c r="Z13" s="5">
        <f t="shared" si="4"/>
        <v>75000000</v>
      </c>
    </row>
    <row r="14" spans="1:26" x14ac:dyDescent="0.25">
      <c r="A14">
        <v>10090</v>
      </c>
      <c r="B14">
        <v>119</v>
      </c>
      <c r="C14">
        <v>2014</v>
      </c>
      <c r="D14" t="s">
        <v>74</v>
      </c>
      <c r="E14" t="s">
        <v>69</v>
      </c>
      <c r="F14" s="2">
        <v>0.55000000000000004</v>
      </c>
      <c r="G14" s="2">
        <v>0.7</v>
      </c>
      <c r="H14" s="14">
        <f t="shared" si="0"/>
        <v>0</v>
      </c>
      <c r="I14" s="5">
        <v>23000000</v>
      </c>
      <c r="J14">
        <v>1</v>
      </c>
      <c r="K14" s="6">
        <v>9.2499999999999999E-2</v>
      </c>
      <c r="L14" s="6">
        <v>0</v>
      </c>
      <c r="M14" t="str">
        <f t="shared" si="1"/>
        <v>SUB</v>
      </c>
      <c r="N14" t="s">
        <v>75</v>
      </c>
      <c r="O14" t="str">
        <f>VLOOKUP(Table1[[#This Row],[SCHEMATIC TYPE]],'SCHEMATIC Lookup'!$B$1:$C$5,2)</f>
        <v>Mezzanine Loan</v>
      </c>
      <c r="P14" s="8">
        <v>146725000</v>
      </c>
      <c r="Q14" t="s">
        <v>71</v>
      </c>
      <c r="R14" t="s">
        <v>72</v>
      </c>
      <c r="S14" t="s">
        <v>71</v>
      </c>
      <c r="T14" t="s">
        <v>71</v>
      </c>
      <c r="U14" s="12" t="s">
        <v>230</v>
      </c>
      <c r="V14" s="12" t="s">
        <v>233</v>
      </c>
      <c r="W14" s="11">
        <v>60</v>
      </c>
      <c r="X14" s="2">
        <f t="shared" si="2"/>
        <v>0.55000000000000004</v>
      </c>
      <c r="Y14" s="5">
        <f t="shared" si="3"/>
        <v>23000000</v>
      </c>
      <c r="Z14" s="5">
        <f t="shared" si="4"/>
        <v>23000000</v>
      </c>
    </row>
    <row r="15" spans="1:26" x14ac:dyDescent="0.25">
      <c r="A15">
        <v>10100</v>
      </c>
      <c r="B15">
        <v>220</v>
      </c>
      <c r="C15">
        <v>2014</v>
      </c>
      <c r="D15" t="s">
        <v>74</v>
      </c>
      <c r="E15" t="s">
        <v>69</v>
      </c>
      <c r="F15" s="2">
        <v>0.63800000000000001</v>
      </c>
      <c r="G15" s="2">
        <v>0.88200000000000001</v>
      </c>
      <c r="H15" s="14">
        <f t="shared" si="0"/>
        <v>0</v>
      </c>
      <c r="I15" s="5">
        <v>30500000</v>
      </c>
      <c r="J15">
        <v>1</v>
      </c>
      <c r="K15" s="6">
        <v>7.0000000000000007E-2</v>
      </c>
      <c r="L15" s="6">
        <v>0</v>
      </c>
      <c r="M15" t="str">
        <f t="shared" si="1"/>
        <v>SUB</v>
      </c>
      <c r="N15" t="s">
        <v>75</v>
      </c>
      <c r="O15" t="str">
        <f>VLOOKUP(Table1[[#This Row],[SCHEMATIC TYPE]],'SCHEMATIC Lookup'!$B$1:$C$5,2)</f>
        <v>Mezzanine Loan</v>
      </c>
      <c r="P15" s="8">
        <v>158000000</v>
      </c>
      <c r="Q15" t="s">
        <v>71</v>
      </c>
      <c r="R15" t="s">
        <v>73</v>
      </c>
      <c r="S15" t="s">
        <v>71</v>
      </c>
      <c r="T15" t="s">
        <v>71</v>
      </c>
      <c r="U15" s="12" t="s">
        <v>235</v>
      </c>
      <c r="V15" s="12" t="s">
        <v>237</v>
      </c>
      <c r="W15" s="11">
        <v>48</v>
      </c>
      <c r="X15" s="2">
        <f t="shared" si="2"/>
        <v>0.63800000000000001</v>
      </c>
      <c r="Y15" s="5">
        <f t="shared" si="3"/>
        <v>30500000</v>
      </c>
      <c r="Z15" s="5">
        <f t="shared" si="4"/>
        <v>30500000</v>
      </c>
    </row>
    <row r="16" spans="1:26" x14ac:dyDescent="0.25">
      <c r="A16">
        <v>10110</v>
      </c>
      <c r="B16">
        <v>119</v>
      </c>
      <c r="C16">
        <v>2016</v>
      </c>
      <c r="D16" t="s">
        <v>74</v>
      </c>
      <c r="E16" t="s">
        <v>69</v>
      </c>
      <c r="F16" s="2">
        <v>0.55000000000000004</v>
      </c>
      <c r="G16" s="2">
        <v>0.69</v>
      </c>
      <c r="H16" s="14">
        <f t="shared" si="0"/>
        <v>0</v>
      </c>
      <c r="I16" s="5">
        <v>19000000</v>
      </c>
      <c r="J16">
        <v>6</v>
      </c>
      <c r="K16" s="6">
        <v>9.6100000000000005E-2</v>
      </c>
      <c r="L16" s="6">
        <v>0</v>
      </c>
      <c r="M16" t="str">
        <f t="shared" si="1"/>
        <v>SUB</v>
      </c>
      <c r="N16" t="s">
        <v>75</v>
      </c>
      <c r="O16" t="str">
        <f>VLOOKUP(Table1[[#This Row],[SCHEMATIC TYPE]],'SCHEMATIC Lookup'!$B$1:$C$5,2)</f>
        <v>Mezzanine Loan</v>
      </c>
      <c r="P16" s="8">
        <v>118534132</v>
      </c>
      <c r="Q16" t="s">
        <v>71</v>
      </c>
      <c r="R16" t="s">
        <v>72</v>
      </c>
      <c r="S16" t="s">
        <v>71</v>
      </c>
      <c r="T16" t="s">
        <v>71</v>
      </c>
      <c r="U16" s="12" t="s">
        <v>230</v>
      </c>
      <c r="V16" s="12" t="s">
        <v>234</v>
      </c>
      <c r="W16" s="11">
        <v>48</v>
      </c>
      <c r="X16" s="2">
        <f t="shared" si="2"/>
        <v>0.55000000000000004</v>
      </c>
      <c r="Y16" s="5">
        <f t="shared" si="3"/>
        <v>19000000</v>
      </c>
      <c r="Z16" s="5">
        <f t="shared" si="4"/>
        <v>19000000</v>
      </c>
    </row>
    <row r="17" spans="1:26" x14ac:dyDescent="0.25">
      <c r="A17">
        <v>10120</v>
      </c>
      <c r="B17">
        <v>183</v>
      </c>
      <c r="C17">
        <v>2015</v>
      </c>
      <c r="D17" t="s">
        <v>74</v>
      </c>
      <c r="E17" t="s">
        <v>77</v>
      </c>
      <c r="F17" s="2">
        <v>0.55794710763736544</v>
      </c>
      <c r="G17" s="2">
        <v>0.72820890409404004</v>
      </c>
      <c r="H17" s="14">
        <f t="shared" si="0"/>
        <v>0</v>
      </c>
      <c r="I17" s="5">
        <v>10650000</v>
      </c>
      <c r="J17">
        <v>2</v>
      </c>
      <c r="K17" s="6">
        <v>0.125</v>
      </c>
      <c r="L17" s="6">
        <v>0</v>
      </c>
      <c r="M17" t="str">
        <f t="shared" si="1"/>
        <v>SUB</v>
      </c>
      <c r="N17" t="s">
        <v>75</v>
      </c>
      <c r="O17" t="str">
        <f>VLOOKUP(Table1[[#This Row],[SCHEMATIC TYPE]],'SCHEMATIC Lookup'!$B$1:$C$5,2)</f>
        <v>Mezzanine Loan</v>
      </c>
      <c r="P17" s="8">
        <v>62550732</v>
      </c>
      <c r="Q17" t="s">
        <v>71</v>
      </c>
      <c r="R17" t="s">
        <v>80</v>
      </c>
      <c r="S17" t="s">
        <v>71</v>
      </c>
      <c r="T17" t="s">
        <v>71</v>
      </c>
      <c r="U17" s="12" t="s">
        <v>230</v>
      </c>
      <c r="V17" s="12" t="s">
        <v>233</v>
      </c>
      <c r="W17" s="11">
        <v>36</v>
      </c>
      <c r="X17" s="2">
        <f t="shared" si="2"/>
        <v>0.55794710763736544</v>
      </c>
      <c r="Y17" s="5">
        <f t="shared" si="3"/>
        <v>10650000</v>
      </c>
      <c r="Z17" s="5">
        <f t="shared" si="4"/>
        <v>10650000</v>
      </c>
    </row>
    <row r="18" spans="1:26" x14ac:dyDescent="0.25">
      <c r="A18">
        <v>10130</v>
      </c>
      <c r="B18">
        <v>103</v>
      </c>
      <c r="C18">
        <v>2005</v>
      </c>
      <c r="D18" t="s">
        <v>81</v>
      </c>
      <c r="E18" t="s">
        <v>77</v>
      </c>
      <c r="F18" s="2">
        <v>0.15</v>
      </c>
      <c r="G18" s="2">
        <v>0.62</v>
      </c>
      <c r="H18" s="14">
        <f t="shared" si="0"/>
        <v>0</v>
      </c>
      <c r="I18" s="5">
        <v>9897172.1300000008</v>
      </c>
      <c r="J18">
        <v>1</v>
      </c>
      <c r="K18" s="6">
        <v>5.4300000000000001E-2</v>
      </c>
      <c r="L18" s="6">
        <v>0</v>
      </c>
      <c r="M18" t="str">
        <f t="shared" si="1"/>
        <v>SUB</v>
      </c>
      <c r="N18" t="s">
        <v>78</v>
      </c>
      <c r="O18" t="str">
        <f>VLOOKUP(Table1[[#This Row],[SCHEMATIC TYPE]],'SCHEMATIC Lookup'!$B$1:$C$5,2)</f>
        <v>Sub. Tranche of Senior</v>
      </c>
      <c r="P18" s="8">
        <v>77900000</v>
      </c>
      <c r="Q18" t="s">
        <v>19</v>
      </c>
      <c r="R18" t="s">
        <v>73</v>
      </c>
      <c r="S18" t="s">
        <v>19</v>
      </c>
      <c r="T18" t="s">
        <v>19</v>
      </c>
      <c r="U18" s="12" t="s">
        <v>238</v>
      </c>
      <c r="V18" s="12" t="s">
        <v>235</v>
      </c>
      <c r="W18" s="11">
        <v>96</v>
      </c>
      <c r="X18" s="2">
        <f t="shared" si="2"/>
        <v>0.15</v>
      </c>
      <c r="Y18" s="5">
        <f t="shared" si="3"/>
        <v>9897172.1300000008</v>
      </c>
      <c r="Z18" s="5">
        <f t="shared" si="4"/>
        <v>9897172.1300000008</v>
      </c>
    </row>
    <row r="19" spans="1:26" x14ac:dyDescent="0.25">
      <c r="A19">
        <v>10140</v>
      </c>
      <c r="B19">
        <v>103</v>
      </c>
      <c r="C19">
        <v>2005</v>
      </c>
      <c r="D19" t="s">
        <v>81</v>
      </c>
      <c r="E19" t="s">
        <v>77</v>
      </c>
      <c r="F19" s="2">
        <v>0.15</v>
      </c>
      <c r="G19" s="2">
        <v>0.6</v>
      </c>
      <c r="H19" s="14">
        <f t="shared" si="0"/>
        <v>0</v>
      </c>
      <c r="I19" s="5">
        <v>26000000</v>
      </c>
      <c r="J19">
        <v>1</v>
      </c>
      <c r="K19" s="6">
        <v>5.4300000000000001E-2</v>
      </c>
      <c r="L19" s="6">
        <v>0</v>
      </c>
      <c r="M19" t="str">
        <f t="shared" si="1"/>
        <v>SUB</v>
      </c>
      <c r="N19" t="s">
        <v>78</v>
      </c>
      <c r="O19" t="str">
        <f>VLOOKUP(Table1[[#This Row],[SCHEMATIC TYPE]],'SCHEMATIC Lookup'!$B$1:$C$5,2)</f>
        <v>Sub. Tranche of Senior</v>
      </c>
      <c r="P19" s="8">
        <v>77900000</v>
      </c>
      <c r="Q19" t="s">
        <v>19</v>
      </c>
      <c r="R19" t="s">
        <v>73</v>
      </c>
      <c r="S19" t="s">
        <v>19</v>
      </c>
      <c r="T19" t="s">
        <v>19</v>
      </c>
      <c r="U19" s="12" t="s">
        <v>238</v>
      </c>
      <c r="V19" s="12" t="s">
        <v>235</v>
      </c>
      <c r="W19" s="11">
        <v>94.882956878850109</v>
      </c>
      <c r="X19" s="2">
        <f t="shared" si="2"/>
        <v>0.15</v>
      </c>
      <c r="Y19" s="5">
        <f t="shared" si="3"/>
        <v>26000000</v>
      </c>
      <c r="Z19" s="5">
        <f t="shared" si="4"/>
        <v>26000000</v>
      </c>
    </row>
    <row r="20" spans="1:26" x14ac:dyDescent="0.25">
      <c r="A20">
        <v>10150</v>
      </c>
      <c r="B20">
        <v>103</v>
      </c>
      <c r="C20">
        <v>2005</v>
      </c>
      <c r="D20" t="s">
        <v>74</v>
      </c>
      <c r="E20" t="s">
        <v>77</v>
      </c>
      <c r="F20" s="2">
        <v>0.5</v>
      </c>
      <c r="G20" s="2">
        <v>0.68300000000000005</v>
      </c>
      <c r="H20" s="14">
        <f t="shared" si="0"/>
        <v>0</v>
      </c>
      <c r="I20" s="5">
        <v>55000000</v>
      </c>
      <c r="J20">
        <v>1</v>
      </c>
      <c r="K20" s="6">
        <v>5.5300000000000002E-2</v>
      </c>
      <c r="L20" s="6">
        <v>0</v>
      </c>
      <c r="M20" t="str">
        <f t="shared" si="1"/>
        <v>SUB</v>
      </c>
      <c r="N20" t="s">
        <v>75</v>
      </c>
      <c r="O20" t="str">
        <f>VLOOKUP(Table1[[#This Row],[SCHEMATIC TYPE]],'SCHEMATIC Lookup'!$B$1:$C$5,2)</f>
        <v>Mezzanine Loan</v>
      </c>
      <c r="P20" s="8">
        <v>300000000</v>
      </c>
      <c r="Q20" t="s">
        <v>19</v>
      </c>
      <c r="R20" t="s">
        <v>82</v>
      </c>
      <c r="S20" t="s">
        <v>19</v>
      </c>
      <c r="T20" t="s">
        <v>19</v>
      </c>
      <c r="U20" s="12" t="s">
        <v>236</v>
      </c>
      <c r="V20" s="12" t="s">
        <v>234</v>
      </c>
      <c r="W20" s="11">
        <v>84.763860369609858</v>
      </c>
      <c r="X20" s="2">
        <f t="shared" si="2"/>
        <v>0.5</v>
      </c>
      <c r="Y20" s="5">
        <f t="shared" si="3"/>
        <v>55000000</v>
      </c>
      <c r="Z20" s="5">
        <f t="shared" si="4"/>
        <v>55000000</v>
      </c>
    </row>
    <row r="21" spans="1:26" x14ac:dyDescent="0.25">
      <c r="A21">
        <v>10160</v>
      </c>
      <c r="B21">
        <v>119</v>
      </c>
      <c r="C21">
        <v>2015</v>
      </c>
      <c r="D21" t="s">
        <v>83</v>
      </c>
      <c r="E21" t="s">
        <v>69</v>
      </c>
      <c r="F21" s="2">
        <v>0.56999999999999995</v>
      </c>
      <c r="G21" s="2">
        <v>0.74</v>
      </c>
      <c r="H21" s="14">
        <f t="shared" si="0"/>
        <v>0</v>
      </c>
      <c r="I21" s="5">
        <v>15500000</v>
      </c>
      <c r="J21">
        <v>1</v>
      </c>
      <c r="K21" s="6">
        <v>0.09</v>
      </c>
      <c r="L21" s="6">
        <v>0</v>
      </c>
      <c r="M21" t="str">
        <f t="shared" si="1"/>
        <v>SUB</v>
      </c>
      <c r="N21" t="s">
        <v>84</v>
      </c>
      <c r="O21" t="str">
        <f>VLOOKUP(Table1[[#This Row],[SCHEMATIC TYPE]],'SCHEMATIC Lookup'!$B$1:$C$5,2)</f>
        <v>Other Subordinate</v>
      </c>
      <c r="P21" s="8">
        <v>92500000</v>
      </c>
      <c r="Q21" t="s">
        <v>71</v>
      </c>
      <c r="R21" t="s">
        <v>73</v>
      </c>
      <c r="S21" t="s">
        <v>71</v>
      </c>
      <c r="T21" t="s">
        <v>71</v>
      </c>
      <c r="U21" s="12" t="s">
        <v>230</v>
      </c>
      <c r="V21" s="12" t="s">
        <v>233</v>
      </c>
      <c r="W21" s="11">
        <v>36</v>
      </c>
      <c r="X21" s="2">
        <f t="shared" si="2"/>
        <v>0.56999999999999995</v>
      </c>
      <c r="Y21" s="5">
        <f t="shared" si="3"/>
        <v>15500000</v>
      </c>
      <c r="Z21" s="5">
        <f t="shared" si="4"/>
        <v>15500000</v>
      </c>
    </row>
    <row r="22" spans="1:26" x14ac:dyDescent="0.25">
      <c r="A22">
        <v>10170</v>
      </c>
      <c r="B22">
        <v>103</v>
      </c>
      <c r="C22">
        <v>2004</v>
      </c>
      <c r="D22" t="s">
        <v>81</v>
      </c>
      <c r="E22" t="s">
        <v>77</v>
      </c>
      <c r="F22" s="2">
        <v>0.47</v>
      </c>
      <c r="G22" s="2">
        <v>0.59</v>
      </c>
      <c r="H22" s="14">
        <f t="shared" si="0"/>
        <v>0</v>
      </c>
      <c r="I22" s="5">
        <v>50000000</v>
      </c>
      <c r="J22">
        <v>1</v>
      </c>
      <c r="K22" s="6">
        <v>6.2600000000000003E-2</v>
      </c>
      <c r="L22" s="6">
        <v>0</v>
      </c>
      <c r="M22" t="str">
        <f t="shared" si="1"/>
        <v>SUB</v>
      </c>
      <c r="N22" t="s">
        <v>78</v>
      </c>
      <c r="O22" t="str">
        <f>VLOOKUP(Table1[[#This Row],[SCHEMATIC TYPE]],'SCHEMATIC Lookup'!$B$1:$C$5,2)</f>
        <v>Sub. Tranche of Senior</v>
      </c>
      <c r="P22" s="8">
        <v>410000000</v>
      </c>
      <c r="Q22" t="s">
        <v>19</v>
      </c>
      <c r="R22" t="s">
        <v>73</v>
      </c>
      <c r="S22" t="s">
        <v>19</v>
      </c>
      <c r="T22" t="s">
        <v>19</v>
      </c>
      <c r="U22" s="12" t="s">
        <v>232</v>
      </c>
      <c r="V22" s="12" t="s">
        <v>230</v>
      </c>
      <c r="W22" s="11">
        <v>120.34496919917864</v>
      </c>
      <c r="X22" s="2">
        <f t="shared" si="2"/>
        <v>0.47</v>
      </c>
      <c r="Y22" s="5">
        <f t="shared" si="3"/>
        <v>50000000</v>
      </c>
      <c r="Z22" s="5">
        <f t="shared" si="4"/>
        <v>50000000</v>
      </c>
    </row>
    <row r="23" spans="1:26" x14ac:dyDescent="0.25">
      <c r="A23">
        <v>10190</v>
      </c>
      <c r="B23">
        <v>103</v>
      </c>
      <c r="C23">
        <v>2013</v>
      </c>
      <c r="D23" t="s">
        <v>85</v>
      </c>
      <c r="E23" t="s">
        <v>77</v>
      </c>
      <c r="F23" s="2">
        <v>0.5412514721334829</v>
      </c>
      <c r="G23" s="2">
        <v>0.68529135901721427</v>
      </c>
      <c r="H23" s="14">
        <f t="shared" si="0"/>
        <v>0</v>
      </c>
      <c r="I23" s="5">
        <v>10000000</v>
      </c>
      <c r="J23">
        <v>1</v>
      </c>
      <c r="K23" s="6">
        <v>0.05</v>
      </c>
      <c r="L23" s="6">
        <v>0</v>
      </c>
      <c r="M23" t="str">
        <f t="shared" si="1"/>
        <v>SUB</v>
      </c>
      <c r="N23" t="s">
        <v>84</v>
      </c>
      <c r="O23" t="str">
        <f>VLOOKUP(Table1[[#This Row],[SCHEMATIC TYPE]],'SCHEMATIC Lookup'!$B$1:$C$5,2)</f>
        <v>Other Subordinate</v>
      </c>
      <c r="P23" s="8">
        <v>283602000</v>
      </c>
      <c r="Q23" t="s">
        <v>86</v>
      </c>
      <c r="R23" t="s">
        <v>87</v>
      </c>
      <c r="S23" t="s">
        <v>71</v>
      </c>
      <c r="T23" t="s">
        <v>88</v>
      </c>
      <c r="U23" s="12" t="s">
        <v>236</v>
      </c>
      <c r="V23" s="12" t="s">
        <v>234</v>
      </c>
      <c r="W23" s="11">
        <v>44.451745379876797</v>
      </c>
      <c r="X23" s="2">
        <f t="shared" si="2"/>
        <v>0.5412514721334829</v>
      </c>
      <c r="Y23" s="5">
        <f t="shared" si="3"/>
        <v>10000000</v>
      </c>
      <c r="Z23" s="5">
        <f t="shared" si="4"/>
        <v>10000000</v>
      </c>
    </row>
    <row r="24" spans="1:26" x14ac:dyDescent="0.25">
      <c r="A24">
        <v>10200</v>
      </c>
      <c r="B24">
        <v>103</v>
      </c>
      <c r="C24">
        <v>2013</v>
      </c>
      <c r="D24" t="s">
        <v>85</v>
      </c>
      <c r="E24" t="s">
        <v>77</v>
      </c>
      <c r="F24" s="2">
        <v>0.5412514721334829</v>
      </c>
      <c r="G24" s="2">
        <v>0.68529135901721427</v>
      </c>
      <c r="H24" s="14">
        <f t="shared" si="0"/>
        <v>0</v>
      </c>
      <c r="I24" s="5">
        <v>30850000</v>
      </c>
      <c r="J24">
        <v>1</v>
      </c>
      <c r="K24" s="6">
        <v>0.05</v>
      </c>
      <c r="L24" s="6">
        <v>0</v>
      </c>
      <c r="M24" t="str">
        <f t="shared" si="1"/>
        <v>SUB</v>
      </c>
      <c r="N24" t="s">
        <v>84</v>
      </c>
      <c r="O24" t="str">
        <f>VLOOKUP(Table1[[#This Row],[SCHEMATIC TYPE]],'SCHEMATIC Lookup'!$B$1:$C$5,2)</f>
        <v>Other Subordinate</v>
      </c>
      <c r="P24" s="8">
        <v>283602000</v>
      </c>
      <c r="Q24" t="s">
        <v>86</v>
      </c>
      <c r="R24" t="s">
        <v>87</v>
      </c>
      <c r="S24" t="s">
        <v>71</v>
      </c>
      <c r="T24" t="s">
        <v>88</v>
      </c>
      <c r="U24" s="12" t="s">
        <v>236</v>
      </c>
      <c r="V24" s="12" t="s">
        <v>234</v>
      </c>
      <c r="W24" s="11">
        <v>44.451745379876797</v>
      </c>
      <c r="X24" s="2">
        <f t="shared" si="2"/>
        <v>0.5412514721334829</v>
      </c>
      <c r="Y24" s="5">
        <f t="shared" si="3"/>
        <v>30850000</v>
      </c>
      <c r="Z24" s="5">
        <f t="shared" si="4"/>
        <v>30850000</v>
      </c>
    </row>
    <row r="25" spans="1:26" x14ac:dyDescent="0.25">
      <c r="A25">
        <v>10210</v>
      </c>
      <c r="B25">
        <v>183</v>
      </c>
      <c r="C25">
        <v>2012</v>
      </c>
      <c r="D25" t="s">
        <v>74</v>
      </c>
      <c r="E25" t="s">
        <v>77</v>
      </c>
      <c r="F25" s="2">
        <v>0.61847527472527475</v>
      </c>
      <c r="G25" s="2">
        <v>0.76270604395604391</v>
      </c>
      <c r="H25" s="14">
        <f t="shared" si="0"/>
        <v>0</v>
      </c>
      <c r="I25" s="5">
        <v>10500000</v>
      </c>
      <c r="J25">
        <v>1</v>
      </c>
      <c r="K25" s="6">
        <v>0.15</v>
      </c>
      <c r="L25" s="6">
        <v>0</v>
      </c>
      <c r="M25" t="str">
        <f t="shared" si="1"/>
        <v>SUB</v>
      </c>
      <c r="N25" t="s">
        <v>75</v>
      </c>
      <c r="O25" t="str">
        <f>VLOOKUP(Table1[[#This Row],[SCHEMATIC TYPE]],'SCHEMATIC Lookup'!$B$1:$C$5,2)</f>
        <v>Mezzanine Loan</v>
      </c>
      <c r="P25" s="8">
        <v>72800000</v>
      </c>
      <c r="Q25" t="s">
        <v>71</v>
      </c>
      <c r="R25" t="s">
        <v>80</v>
      </c>
      <c r="S25" t="s">
        <v>71</v>
      </c>
      <c r="T25" t="s">
        <v>71</v>
      </c>
      <c r="U25" s="12" t="s">
        <v>235</v>
      </c>
      <c r="V25" s="12" t="s">
        <v>231</v>
      </c>
      <c r="W25" s="11">
        <v>26</v>
      </c>
      <c r="X25" s="2">
        <f t="shared" si="2"/>
        <v>0.61847527472527475</v>
      </c>
      <c r="Y25" s="5">
        <f t="shared" si="3"/>
        <v>10500000</v>
      </c>
      <c r="Z25" s="5">
        <f t="shared" si="4"/>
        <v>10500000</v>
      </c>
    </row>
    <row r="26" spans="1:26" x14ac:dyDescent="0.25">
      <c r="A26">
        <v>10220</v>
      </c>
      <c r="B26">
        <v>103</v>
      </c>
      <c r="C26">
        <v>2012</v>
      </c>
      <c r="D26" t="s">
        <v>74</v>
      </c>
      <c r="E26" t="s">
        <v>77</v>
      </c>
      <c r="F26" s="2">
        <v>0.51849291393017627</v>
      </c>
      <c r="G26" s="2">
        <v>0.69132388524023503</v>
      </c>
      <c r="H26" s="14">
        <f t="shared" si="0"/>
        <v>0</v>
      </c>
      <c r="I26" s="5">
        <v>100000000</v>
      </c>
      <c r="J26">
        <v>1</v>
      </c>
      <c r="K26" s="6">
        <v>6.5000000000000002E-2</v>
      </c>
      <c r="L26" s="6">
        <v>0</v>
      </c>
      <c r="M26" t="str">
        <f t="shared" si="1"/>
        <v>SUB</v>
      </c>
      <c r="N26" t="s">
        <v>75</v>
      </c>
      <c r="O26" t="str">
        <f>VLOOKUP(Table1[[#This Row],[SCHEMATIC TYPE]],'SCHEMATIC Lookup'!$B$1:$C$5,2)</f>
        <v>Mezzanine Loan</v>
      </c>
      <c r="P26" s="8">
        <v>578600000</v>
      </c>
      <c r="Q26" t="s">
        <v>19</v>
      </c>
      <c r="R26" t="s">
        <v>82</v>
      </c>
      <c r="S26" t="s">
        <v>19</v>
      </c>
      <c r="T26" t="s">
        <v>19</v>
      </c>
      <c r="U26" s="12" t="s">
        <v>236</v>
      </c>
      <c r="V26" s="12" t="s">
        <v>234</v>
      </c>
      <c r="W26" s="11">
        <v>119.39219712525667</v>
      </c>
      <c r="X26" s="2">
        <f t="shared" si="2"/>
        <v>0.51849291393017627</v>
      </c>
      <c r="Y26" s="5">
        <f t="shared" si="3"/>
        <v>100000000</v>
      </c>
      <c r="Z26" s="5">
        <f t="shared" si="4"/>
        <v>100000000</v>
      </c>
    </row>
    <row r="27" spans="1:26" x14ac:dyDescent="0.25">
      <c r="A27">
        <v>10230</v>
      </c>
      <c r="B27">
        <v>103</v>
      </c>
      <c r="C27">
        <v>2007</v>
      </c>
      <c r="D27" t="s">
        <v>76</v>
      </c>
      <c r="E27" t="s">
        <v>77</v>
      </c>
      <c r="F27" s="2">
        <v>0.52747252747252749</v>
      </c>
      <c r="G27" s="2">
        <v>0.68131868131868134</v>
      </c>
      <c r="H27" s="14">
        <f t="shared" si="0"/>
        <v>0</v>
      </c>
      <c r="I27" s="5">
        <v>35000000</v>
      </c>
      <c r="J27">
        <v>1</v>
      </c>
      <c r="K27" s="6">
        <v>6.7400000000000002E-2</v>
      </c>
      <c r="L27" s="6">
        <v>0</v>
      </c>
      <c r="M27" t="str">
        <f t="shared" si="1"/>
        <v>SUB</v>
      </c>
      <c r="N27" t="s">
        <v>78</v>
      </c>
      <c r="O27" t="str">
        <f>VLOOKUP(Table1[[#This Row],[SCHEMATIC TYPE]],'SCHEMATIC Lookup'!$B$1:$C$5,2)</f>
        <v>Sub. Tranche of Senior</v>
      </c>
      <c r="P27" s="8">
        <v>227500000</v>
      </c>
      <c r="Q27" t="s">
        <v>79</v>
      </c>
      <c r="R27" t="s">
        <v>79</v>
      </c>
      <c r="S27" t="s">
        <v>79</v>
      </c>
      <c r="T27" t="s">
        <v>79</v>
      </c>
      <c r="U27" s="12" t="s">
        <v>236</v>
      </c>
      <c r="V27" s="12" t="s">
        <v>234</v>
      </c>
      <c r="W27" s="11">
        <v>98.4640657084189</v>
      </c>
      <c r="X27" s="2">
        <f t="shared" si="2"/>
        <v>0.52747252747252749</v>
      </c>
      <c r="Y27" s="5">
        <f t="shared" si="3"/>
        <v>35000000</v>
      </c>
      <c r="Z27" s="5">
        <f t="shared" si="4"/>
        <v>35000000</v>
      </c>
    </row>
    <row r="28" spans="1:26" x14ac:dyDescent="0.25">
      <c r="A28">
        <v>10240</v>
      </c>
      <c r="B28">
        <v>220</v>
      </c>
      <c r="C28">
        <v>2014</v>
      </c>
      <c r="D28" t="s">
        <v>74</v>
      </c>
      <c r="E28" t="s">
        <v>69</v>
      </c>
      <c r="F28" s="2">
        <v>0.49586776859504134</v>
      </c>
      <c r="G28" s="2">
        <v>0.75413223140495866</v>
      </c>
      <c r="H28" s="14">
        <f t="shared" si="0"/>
        <v>0</v>
      </c>
      <c r="I28" s="5">
        <v>12500000</v>
      </c>
      <c r="J28">
        <v>1</v>
      </c>
      <c r="K28" s="6">
        <v>0.08</v>
      </c>
      <c r="L28" s="6">
        <v>0</v>
      </c>
      <c r="M28" t="str">
        <f t="shared" si="1"/>
        <v>SUB</v>
      </c>
      <c r="N28" t="s">
        <v>75</v>
      </c>
      <c r="O28" t="str">
        <f>VLOOKUP(Table1[[#This Row],[SCHEMATIC TYPE]],'SCHEMATIC Lookup'!$B$1:$C$5,2)</f>
        <v>Mezzanine Loan</v>
      </c>
      <c r="P28" s="8">
        <v>48400000</v>
      </c>
      <c r="Q28" t="s">
        <v>71</v>
      </c>
      <c r="R28" t="s">
        <v>73</v>
      </c>
      <c r="S28" t="s">
        <v>71</v>
      </c>
      <c r="T28" t="s">
        <v>71</v>
      </c>
      <c r="U28" s="12" t="s">
        <v>232</v>
      </c>
      <c r="V28" s="12" t="s">
        <v>231</v>
      </c>
      <c r="W28" s="11">
        <v>24</v>
      </c>
      <c r="X28" s="2">
        <f t="shared" si="2"/>
        <v>0.49586776859504134</v>
      </c>
      <c r="Y28" s="5">
        <f t="shared" si="3"/>
        <v>12500000</v>
      </c>
      <c r="Z28" s="5">
        <f t="shared" si="4"/>
        <v>12500000</v>
      </c>
    </row>
    <row r="29" spans="1:26" x14ac:dyDescent="0.25">
      <c r="A29">
        <v>10250</v>
      </c>
      <c r="B29">
        <v>119</v>
      </c>
      <c r="C29">
        <v>2015</v>
      </c>
      <c r="D29" t="s">
        <v>68</v>
      </c>
      <c r="E29" t="s">
        <v>69</v>
      </c>
      <c r="F29" s="2">
        <v>0.5</v>
      </c>
      <c r="G29" s="2">
        <v>0.69</v>
      </c>
      <c r="H29" s="14">
        <f t="shared" si="0"/>
        <v>0</v>
      </c>
      <c r="I29" s="5">
        <v>5000000</v>
      </c>
      <c r="J29">
        <v>6</v>
      </c>
      <c r="K29" s="6">
        <v>0.1128</v>
      </c>
      <c r="L29" s="6">
        <v>0.72222222222222221</v>
      </c>
      <c r="M29" t="str">
        <f t="shared" si="1"/>
        <v>SUBL</v>
      </c>
      <c r="N29" t="s">
        <v>70</v>
      </c>
      <c r="O29" t="str">
        <f>VLOOKUP(Table1[[#This Row],[SCHEMATIC TYPE]],'SCHEMATIC Lookup'!$B$1:$C$5,2)</f>
        <v>Leveraged Whole Loan</v>
      </c>
      <c r="P29" s="8">
        <v>26000000</v>
      </c>
      <c r="Q29" t="s">
        <v>71</v>
      </c>
      <c r="R29" t="s">
        <v>73</v>
      </c>
      <c r="S29" t="s">
        <v>71</v>
      </c>
      <c r="T29" t="s">
        <v>71</v>
      </c>
      <c r="U29" s="12" t="s">
        <v>236</v>
      </c>
      <c r="V29" s="12" t="s">
        <v>234</v>
      </c>
      <c r="W29" s="11">
        <v>60</v>
      </c>
      <c r="X29" s="2">
        <f t="shared" si="2"/>
        <v>0.5</v>
      </c>
      <c r="Y29" s="5">
        <f t="shared" si="3"/>
        <v>5000000</v>
      </c>
      <c r="Z29" s="5">
        <f t="shared" si="4"/>
        <v>18157894.736842107</v>
      </c>
    </row>
    <row r="30" spans="1:26" x14ac:dyDescent="0.25">
      <c r="A30">
        <v>10260</v>
      </c>
      <c r="B30">
        <v>220</v>
      </c>
      <c r="C30">
        <v>2014</v>
      </c>
      <c r="D30" t="s">
        <v>74</v>
      </c>
      <c r="E30" t="s">
        <v>69</v>
      </c>
      <c r="F30" s="2">
        <v>0.69897084048027447</v>
      </c>
      <c r="G30" s="2">
        <v>0.82761578044596917</v>
      </c>
      <c r="H30" s="14">
        <f t="shared" si="0"/>
        <v>0</v>
      </c>
      <c r="I30" s="5">
        <v>15000000</v>
      </c>
      <c r="J30">
        <v>1</v>
      </c>
      <c r="K30" s="6">
        <v>7.5399999999999995E-2</v>
      </c>
      <c r="L30" s="6">
        <v>0</v>
      </c>
      <c r="M30" t="str">
        <f t="shared" si="1"/>
        <v>SUB</v>
      </c>
      <c r="N30" t="s">
        <v>75</v>
      </c>
      <c r="O30" t="str">
        <f>VLOOKUP(Table1[[#This Row],[SCHEMATIC TYPE]],'SCHEMATIC Lookup'!$B$1:$C$5,2)</f>
        <v>Mezzanine Loan</v>
      </c>
      <c r="P30" s="8">
        <v>126300000</v>
      </c>
      <c r="Q30" t="s">
        <v>71</v>
      </c>
      <c r="R30" t="s">
        <v>82</v>
      </c>
      <c r="S30" t="s">
        <v>71</v>
      </c>
      <c r="T30" t="s">
        <v>71</v>
      </c>
      <c r="U30" s="12" t="s">
        <v>239</v>
      </c>
      <c r="V30" s="12" t="s">
        <v>237</v>
      </c>
      <c r="W30" s="11">
        <v>48</v>
      </c>
      <c r="X30" s="2">
        <f t="shared" si="2"/>
        <v>0.69897084048027447</v>
      </c>
      <c r="Y30" s="5">
        <f t="shared" si="3"/>
        <v>15000000</v>
      </c>
      <c r="Z30" s="5">
        <f t="shared" si="4"/>
        <v>15000000</v>
      </c>
    </row>
    <row r="31" spans="1:26" x14ac:dyDescent="0.25">
      <c r="A31">
        <v>10270</v>
      </c>
      <c r="B31">
        <v>119</v>
      </c>
      <c r="C31">
        <v>2014</v>
      </c>
      <c r="D31" t="s">
        <v>68</v>
      </c>
      <c r="E31" t="s">
        <v>69</v>
      </c>
      <c r="F31" s="2">
        <v>0.52</v>
      </c>
      <c r="G31" s="2">
        <v>0.74</v>
      </c>
      <c r="H31" s="14">
        <f t="shared" si="0"/>
        <v>0</v>
      </c>
      <c r="I31" s="5">
        <v>5400000</v>
      </c>
      <c r="J31">
        <v>1</v>
      </c>
      <c r="K31" s="6">
        <v>9.0999999999999998E-2</v>
      </c>
      <c r="L31" s="6">
        <v>0.7</v>
      </c>
      <c r="M31" t="str">
        <f t="shared" si="1"/>
        <v>SUBL</v>
      </c>
      <c r="N31" t="s">
        <v>70</v>
      </c>
      <c r="O31" t="str">
        <f>VLOOKUP(Table1[[#This Row],[SCHEMATIC TYPE]],'SCHEMATIC Lookup'!$B$1:$C$5,2)</f>
        <v>Leveraged Whole Loan</v>
      </c>
      <c r="P31" s="8">
        <v>24200000</v>
      </c>
      <c r="Q31" t="s">
        <v>71</v>
      </c>
      <c r="R31" t="s">
        <v>72</v>
      </c>
      <c r="S31" t="s">
        <v>71</v>
      </c>
      <c r="T31" t="s">
        <v>71</v>
      </c>
      <c r="U31" s="12" t="s">
        <v>236</v>
      </c>
      <c r="V31" s="12" t="s">
        <v>233</v>
      </c>
      <c r="W31" s="11">
        <v>59</v>
      </c>
      <c r="X31" s="2">
        <f t="shared" si="2"/>
        <v>0.52</v>
      </c>
      <c r="Y31" s="5">
        <f t="shared" si="3"/>
        <v>5400000</v>
      </c>
      <c r="Z31" s="5">
        <f t="shared" si="4"/>
        <v>18163636.363636367</v>
      </c>
    </row>
    <row r="32" spans="1:26" x14ac:dyDescent="0.25">
      <c r="A32">
        <v>10280</v>
      </c>
      <c r="B32">
        <v>103</v>
      </c>
      <c r="C32">
        <v>2004</v>
      </c>
      <c r="D32" t="s">
        <v>76</v>
      </c>
      <c r="E32" t="s">
        <v>77</v>
      </c>
      <c r="F32" s="2">
        <v>0.43</v>
      </c>
      <c r="G32" s="2">
        <v>0.64</v>
      </c>
      <c r="H32" s="14">
        <f t="shared" si="0"/>
        <v>0</v>
      </c>
      <c r="I32" s="5">
        <v>35000000</v>
      </c>
      <c r="J32">
        <v>1</v>
      </c>
      <c r="K32" s="6">
        <v>6.0199999999999997E-2</v>
      </c>
      <c r="L32" s="6">
        <v>0</v>
      </c>
      <c r="M32" t="str">
        <f t="shared" si="1"/>
        <v>SUB</v>
      </c>
      <c r="N32" t="s">
        <v>78</v>
      </c>
      <c r="O32" t="str">
        <f>VLOOKUP(Table1[[#This Row],[SCHEMATIC TYPE]],'SCHEMATIC Lookup'!$B$1:$C$5,2)</f>
        <v>Sub. Tranche of Senior</v>
      </c>
      <c r="P32" s="8">
        <v>161000000</v>
      </c>
      <c r="Q32" t="s">
        <v>19</v>
      </c>
      <c r="R32" t="s">
        <v>79</v>
      </c>
      <c r="S32" t="s">
        <v>19</v>
      </c>
      <c r="T32" t="s">
        <v>19</v>
      </c>
      <c r="U32" s="12" t="s">
        <v>232</v>
      </c>
      <c r="V32" s="12" t="s">
        <v>235</v>
      </c>
      <c r="W32" s="11">
        <v>357.65092402464063</v>
      </c>
      <c r="X32" s="2">
        <f t="shared" si="2"/>
        <v>0.43</v>
      </c>
      <c r="Y32" s="5">
        <f t="shared" si="3"/>
        <v>35000000</v>
      </c>
      <c r="Z32" s="5">
        <f t="shared" si="4"/>
        <v>35000000</v>
      </c>
    </row>
    <row r="33" spans="1:26" x14ac:dyDescent="0.25">
      <c r="A33">
        <v>10290</v>
      </c>
      <c r="B33">
        <v>103</v>
      </c>
      <c r="C33">
        <v>2004</v>
      </c>
      <c r="D33" t="s">
        <v>76</v>
      </c>
      <c r="E33" t="s">
        <v>77</v>
      </c>
      <c r="F33" s="2">
        <v>0.64</v>
      </c>
      <c r="G33" s="2">
        <v>0.8</v>
      </c>
      <c r="H33" s="14">
        <f t="shared" si="0"/>
        <v>0</v>
      </c>
      <c r="I33" s="5">
        <v>25000000</v>
      </c>
      <c r="J33">
        <v>1</v>
      </c>
      <c r="K33" s="6">
        <v>7.9600000000000004E-2</v>
      </c>
      <c r="L33" s="6">
        <v>0</v>
      </c>
      <c r="M33" t="str">
        <f t="shared" si="1"/>
        <v>SUB</v>
      </c>
      <c r="N33" t="s">
        <v>78</v>
      </c>
      <c r="O33" t="str">
        <f>VLOOKUP(Table1[[#This Row],[SCHEMATIC TYPE]],'SCHEMATIC Lookup'!$B$1:$C$5,2)</f>
        <v>Sub. Tranche of Senior</v>
      </c>
      <c r="P33" s="8">
        <v>161000000</v>
      </c>
      <c r="Q33" t="s">
        <v>19</v>
      </c>
      <c r="R33" t="s">
        <v>79</v>
      </c>
      <c r="S33" t="s">
        <v>19</v>
      </c>
      <c r="T33" t="s">
        <v>19</v>
      </c>
      <c r="U33" s="12" t="s">
        <v>235</v>
      </c>
      <c r="V33" s="12" t="s">
        <v>237</v>
      </c>
      <c r="W33" s="11">
        <v>357.65092402464063</v>
      </c>
      <c r="X33" s="2">
        <f t="shared" si="2"/>
        <v>0.64</v>
      </c>
      <c r="Y33" s="5">
        <f t="shared" si="3"/>
        <v>25000000</v>
      </c>
      <c r="Z33" s="5">
        <f t="shared" si="4"/>
        <v>25000000</v>
      </c>
    </row>
    <row r="34" spans="1:26" x14ac:dyDescent="0.25">
      <c r="A34">
        <v>10300</v>
      </c>
      <c r="B34">
        <v>103</v>
      </c>
      <c r="C34">
        <v>2010</v>
      </c>
      <c r="D34" t="s">
        <v>81</v>
      </c>
      <c r="E34" t="s">
        <v>77</v>
      </c>
      <c r="F34" s="2">
        <v>0.39421813403416561</v>
      </c>
      <c r="G34" s="2">
        <v>0.85413929040735881</v>
      </c>
      <c r="H34" s="14">
        <f t="shared" si="0"/>
        <v>0</v>
      </c>
      <c r="I34" s="5">
        <v>35000000</v>
      </c>
      <c r="J34">
        <v>1</v>
      </c>
      <c r="K34" s="6">
        <v>4.9732398857142854E-2</v>
      </c>
      <c r="L34" s="6">
        <v>0</v>
      </c>
      <c r="M34" t="str">
        <f t="shared" si="1"/>
        <v>SUB</v>
      </c>
      <c r="N34" t="s">
        <v>78</v>
      </c>
      <c r="O34" t="str">
        <f>VLOOKUP(Table1[[#This Row],[SCHEMATIC TYPE]],'SCHEMATIC Lookup'!$B$1:$C$5,2)</f>
        <v>Sub. Tranche of Senior</v>
      </c>
      <c r="P34" s="8">
        <v>152200000</v>
      </c>
      <c r="Q34" t="s">
        <v>19</v>
      </c>
      <c r="R34" t="s">
        <v>82</v>
      </c>
      <c r="S34" t="s">
        <v>19</v>
      </c>
      <c r="T34" t="s">
        <v>19</v>
      </c>
      <c r="U34" s="12" t="s">
        <v>238</v>
      </c>
      <c r="V34" s="12" t="s">
        <v>237</v>
      </c>
      <c r="W34" s="11">
        <v>288.03285420944559</v>
      </c>
      <c r="X34" s="2">
        <f t="shared" si="2"/>
        <v>0.39421813403416561</v>
      </c>
      <c r="Y34" s="5">
        <f t="shared" si="3"/>
        <v>35000000</v>
      </c>
      <c r="Z34" s="5">
        <f t="shared" si="4"/>
        <v>35000000</v>
      </c>
    </row>
    <row r="35" spans="1:26" x14ac:dyDescent="0.25">
      <c r="A35">
        <v>10310</v>
      </c>
      <c r="B35">
        <v>183</v>
      </c>
      <c r="C35">
        <v>2010</v>
      </c>
      <c r="D35" t="s">
        <v>89</v>
      </c>
      <c r="E35" t="s">
        <v>77</v>
      </c>
      <c r="F35" s="2">
        <v>0</v>
      </c>
      <c r="G35" s="2">
        <v>0.8</v>
      </c>
      <c r="H35" s="14">
        <f t="shared" si="0"/>
        <v>0</v>
      </c>
      <c r="I35" s="5">
        <v>15000000</v>
      </c>
      <c r="J35">
        <v>4</v>
      </c>
      <c r="K35" s="6">
        <v>8.2000000000000003E-2</v>
      </c>
      <c r="L35" s="6">
        <v>0</v>
      </c>
      <c r="M35" t="str">
        <f t="shared" si="1"/>
        <v>SENIOR</v>
      </c>
      <c r="N35" t="s">
        <v>90</v>
      </c>
      <c r="O35" t="str">
        <f>VLOOKUP(Table1[[#This Row],[SCHEMATIC TYPE]],'SCHEMATIC Lookup'!$B$1:$C$5,2)</f>
        <v>Senior Whole Loan</v>
      </c>
      <c r="P35" s="8">
        <v>18750000</v>
      </c>
      <c r="Q35" t="s">
        <v>71</v>
      </c>
      <c r="R35" t="s">
        <v>80</v>
      </c>
      <c r="S35" t="s">
        <v>71</v>
      </c>
      <c r="T35" t="s">
        <v>71</v>
      </c>
      <c r="U35" s="12" t="s">
        <v>238</v>
      </c>
      <c r="V35" s="12" t="s">
        <v>237</v>
      </c>
      <c r="W35" s="11">
        <v>60</v>
      </c>
      <c r="X35" s="2">
        <f t="shared" si="2"/>
        <v>0</v>
      </c>
      <c r="Y35" s="5">
        <f t="shared" si="3"/>
        <v>15000000</v>
      </c>
      <c r="Z35" s="5">
        <f t="shared" si="4"/>
        <v>15000000</v>
      </c>
    </row>
    <row r="36" spans="1:26" x14ac:dyDescent="0.25">
      <c r="A36">
        <v>10330</v>
      </c>
      <c r="B36">
        <v>119</v>
      </c>
      <c r="C36">
        <v>2016</v>
      </c>
      <c r="D36" t="s">
        <v>68</v>
      </c>
      <c r="E36" t="s">
        <v>69</v>
      </c>
      <c r="F36" s="2">
        <v>0.55000000000000004</v>
      </c>
      <c r="G36" s="2">
        <v>0.73</v>
      </c>
      <c r="H36" s="14">
        <f t="shared" si="0"/>
        <v>0</v>
      </c>
      <c r="I36" s="5">
        <v>8967500</v>
      </c>
      <c r="J36">
        <v>1</v>
      </c>
      <c r="K36" s="6">
        <v>0.10050000000000001</v>
      </c>
      <c r="L36" s="6">
        <v>0.75</v>
      </c>
      <c r="M36" t="str">
        <f t="shared" si="1"/>
        <v>SUBL</v>
      </c>
      <c r="N36" t="s">
        <v>70</v>
      </c>
      <c r="O36" t="str">
        <f>VLOOKUP(Table1[[#This Row],[SCHEMATIC TYPE]],'SCHEMATIC Lookup'!$B$1:$C$5,2)</f>
        <v>Leveraged Whole Loan</v>
      </c>
      <c r="P36" s="8">
        <v>49033813</v>
      </c>
      <c r="Q36" t="s">
        <v>71</v>
      </c>
      <c r="R36" t="s">
        <v>72</v>
      </c>
      <c r="S36" t="s">
        <v>71</v>
      </c>
      <c r="T36" t="s">
        <v>71</v>
      </c>
      <c r="U36" s="12" t="s">
        <v>230</v>
      </c>
      <c r="V36" s="12" t="s">
        <v>233</v>
      </c>
      <c r="W36" s="11">
        <v>61</v>
      </c>
      <c r="X36" s="2">
        <f t="shared" si="2"/>
        <v>0.55000000000000004</v>
      </c>
      <c r="Y36" s="5">
        <f t="shared" si="3"/>
        <v>8967500</v>
      </c>
      <c r="Z36" s="5">
        <f t="shared" si="4"/>
        <v>36368194.444444455</v>
      </c>
    </row>
    <row r="37" spans="1:26" x14ac:dyDescent="0.25">
      <c r="A37">
        <v>10340</v>
      </c>
      <c r="B37">
        <v>220</v>
      </c>
      <c r="C37">
        <v>2013</v>
      </c>
      <c r="D37" t="s">
        <v>74</v>
      </c>
      <c r="E37" t="s">
        <v>69</v>
      </c>
      <c r="F37" s="2">
        <v>0.59340658749999997</v>
      </c>
      <c r="G37" s="2">
        <v>0.75</v>
      </c>
      <c r="H37" s="14">
        <f t="shared" si="0"/>
        <v>0</v>
      </c>
      <c r="I37" s="5">
        <v>12527473</v>
      </c>
      <c r="J37">
        <v>1</v>
      </c>
      <c r="K37" s="6">
        <v>0.1</v>
      </c>
      <c r="L37" s="6">
        <v>0</v>
      </c>
      <c r="M37" t="str">
        <f t="shared" si="1"/>
        <v>SUB</v>
      </c>
      <c r="N37" t="s">
        <v>75</v>
      </c>
      <c r="O37" t="str">
        <f>VLOOKUP(Table1[[#This Row],[SCHEMATIC TYPE]],'SCHEMATIC Lookup'!$B$1:$C$5,2)</f>
        <v>Mezzanine Loan</v>
      </c>
      <c r="P37" s="8">
        <v>80000000</v>
      </c>
      <c r="Q37" t="s">
        <v>71</v>
      </c>
      <c r="R37" t="s">
        <v>82</v>
      </c>
      <c r="S37" t="s">
        <v>71</v>
      </c>
      <c r="T37" t="s">
        <v>71</v>
      </c>
      <c r="U37" s="12" t="s">
        <v>230</v>
      </c>
      <c r="V37" s="12" t="s">
        <v>231</v>
      </c>
      <c r="W37" s="11">
        <v>24</v>
      </c>
      <c r="X37" s="2">
        <f t="shared" si="2"/>
        <v>0.59340658749999997</v>
      </c>
      <c r="Y37" s="5">
        <f t="shared" si="3"/>
        <v>12527473</v>
      </c>
      <c r="Z37" s="5">
        <f t="shared" si="4"/>
        <v>12527473</v>
      </c>
    </row>
    <row r="38" spans="1:26" x14ac:dyDescent="0.25">
      <c r="A38">
        <v>10350</v>
      </c>
      <c r="B38">
        <v>220</v>
      </c>
      <c r="C38">
        <v>2014</v>
      </c>
      <c r="D38" t="s">
        <v>74</v>
      </c>
      <c r="E38" t="s">
        <v>77</v>
      </c>
      <c r="F38" s="2">
        <v>0.67100000000000004</v>
      </c>
      <c r="G38" s="2">
        <v>0.81899999999999995</v>
      </c>
      <c r="H38" s="14">
        <f t="shared" si="0"/>
        <v>0</v>
      </c>
      <c r="I38" s="5">
        <v>24800000</v>
      </c>
      <c r="J38">
        <v>2</v>
      </c>
      <c r="K38" s="6">
        <v>8.7499999999999994E-2</v>
      </c>
      <c r="L38" s="6">
        <v>0</v>
      </c>
      <c r="M38" t="str">
        <f t="shared" si="1"/>
        <v>SUB</v>
      </c>
      <c r="N38" t="s">
        <v>75</v>
      </c>
      <c r="O38" t="str">
        <f>VLOOKUP(Table1[[#This Row],[SCHEMATIC TYPE]],'SCHEMATIC Lookup'!$B$1:$C$5,2)</f>
        <v>Mezzanine Loan</v>
      </c>
      <c r="P38" s="8">
        <v>180000000</v>
      </c>
      <c r="Q38" t="s">
        <v>71</v>
      </c>
      <c r="R38" t="s">
        <v>72</v>
      </c>
      <c r="S38" t="s">
        <v>71</v>
      </c>
      <c r="T38" t="s">
        <v>71</v>
      </c>
      <c r="U38" s="12" t="s">
        <v>239</v>
      </c>
      <c r="V38" s="12" t="s">
        <v>237</v>
      </c>
      <c r="W38" s="11">
        <v>36</v>
      </c>
      <c r="X38" s="2">
        <f t="shared" si="2"/>
        <v>0.67100000000000004</v>
      </c>
      <c r="Y38" s="5">
        <f t="shared" si="3"/>
        <v>24800000</v>
      </c>
      <c r="Z38" s="5">
        <f t="shared" si="4"/>
        <v>24800000</v>
      </c>
    </row>
    <row r="39" spans="1:26" x14ac:dyDescent="0.25">
      <c r="A39">
        <v>10360</v>
      </c>
      <c r="B39">
        <v>183</v>
      </c>
      <c r="C39">
        <v>2015</v>
      </c>
      <c r="D39" t="s">
        <v>74</v>
      </c>
      <c r="E39" t="s">
        <v>77</v>
      </c>
      <c r="F39" s="2">
        <v>0.63137332831797766</v>
      </c>
      <c r="G39" s="2">
        <v>0.80489821190081168</v>
      </c>
      <c r="H39" s="14">
        <f t="shared" si="0"/>
        <v>0</v>
      </c>
      <c r="I39" s="5">
        <v>5909000</v>
      </c>
      <c r="J39">
        <v>5</v>
      </c>
      <c r="K39" s="6">
        <v>0.115</v>
      </c>
      <c r="L39" s="6">
        <v>0</v>
      </c>
      <c r="M39" t="str">
        <f t="shared" ref="M39:M70" si="5">IF(AND(H39=0,OR(F39&gt;0,L39&gt;0)),"SUB",IF(AND(H39=0,F39=0),"SENIOR","BAD"))&amp;IF(L39&gt;0,"L","")</f>
        <v>SUB</v>
      </c>
      <c r="N39" t="s">
        <v>75</v>
      </c>
      <c r="O39" t="str">
        <f>VLOOKUP(Table1[[#This Row],[SCHEMATIC TYPE]],'SCHEMATIC Lookup'!$B$1:$C$5,2)</f>
        <v>Mezzanine Loan</v>
      </c>
      <c r="P39" s="8">
        <v>34052753</v>
      </c>
      <c r="Q39" t="s">
        <v>71</v>
      </c>
      <c r="R39" t="s">
        <v>73</v>
      </c>
      <c r="S39" t="s">
        <v>71</v>
      </c>
      <c r="T39" t="s">
        <v>71</v>
      </c>
      <c r="U39" s="12" t="s">
        <v>235</v>
      </c>
      <c r="V39" s="12" t="s">
        <v>237</v>
      </c>
      <c r="W39" s="11">
        <v>36</v>
      </c>
      <c r="X39" s="2">
        <f t="shared" si="2"/>
        <v>0.63137332831797766</v>
      </c>
      <c r="Y39" s="5">
        <f t="shared" si="3"/>
        <v>5909000</v>
      </c>
      <c r="Z39" s="5">
        <f t="shared" si="4"/>
        <v>5909000</v>
      </c>
    </row>
    <row r="40" spans="1:26" x14ac:dyDescent="0.25">
      <c r="A40">
        <v>10370</v>
      </c>
      <c r="B40">
        <v>103</v>
      </c>
      <c r="C40">
        <v>2007</v>
      </c>
      <c r="D40" t="s">
        <v>81</v>
      </c>
      <c r="E40" t="s">
        <v>69</v>
      </c>
      <c r="F40" s="2">
        <v>0.62326462320067744</v>
      </c>
      <c r="G40" s="2">
        <v>0.70793862828111764</v>
      </c>
      <c r="H40" s="14">
        <f t="shared" si="0"/>
        <v>0</v>
      </c>
      <c r="I40" s="5">
        <v>3806060</v>
      </c>
      <c r="J40">
        <v>1</v>
      </c>
      <c r="K40" s="6">
        <v>2.0559999999999998E-2</v>
      </c>
      <c r="L40" s="6">
        <v>0</v>
      </c>
      <c r="M40" t="str">
        <f t="shared" si="5"/>
        <v>SUB</v>
      </c>
      <c r="N40" t="s">
        <v>78</v>
      </c>
      <c r="O40" t="str">
        <f>VLOOKUP(Table1[[#This Row],[SCHEMATIC TYPE]],'SCHEMATIC Lookup'!$B$1:$C$5,2)</f>
        <v>Sub. Tranche of Senior</v>
      </c>
      <c r="P40" s="8">
        <v>118100000</v>
      </c>
      <c r="Q40" t="s">
        <v>19</v>
      </c>
      <c r="R40" t="s">
        <v>79</v>
      </c>
      <c r="S40" t="s">
        <v>19</v>
      </c>
      <c r="T40" t="s">
        <v>19</v>
      </c>
      <c r="U40" s="12" t="s">
        <v>235</v>
      </c>
      <c r="V40" s="12" t="s">
        <v>233</v>
      </c>
      <c r="W40" s="11">
        <v>75.92607802874744</v>
      </c>
      <c r="X40" s="2">
        <f t="shared" si="2"/>
        <v>0.62326462320067744</v>
      </c>
      <c r="Y40" s="5">
        <f t="shared" si="3"/>
        <v>3806060</v>
      </c>
      <c r="Z40" s="5">
        <f t="shared" si="4"/>
        <v>3806060</v>
      </c>
    </row>
    <row r="41" spans="1:26" x14ac:dyDescent="0.25">
      <c r="A41">
        <v>10380</v>
      </c>
      <c r="B41">
        <v>103</v>
      </c>
      <c r="C41">
        <v>2006</v>
      </c>
      <c r="D41" t="s">
        <v>85</v>
      </c>
      <c r="E41" t="s">
        <v>77</v>
      </c>
      <c r="F41" s="2">
        <v>0.48</v>
      </c>
      <c r="G41" s="2">
        <v>0.69</v>
      </c>
      <c r="H41" s="14">
        <f t="shared" si="0"/>
        <v>0</v>
      </c>
      <c r="I41" s="5">
        <v>11100000</v>
      </c>
      <c r="J41">
        <v>2</v>
      </c>
      <c r="K41" s="6">
        <v>6.364008056294071E-2</v>
      </c>
      <c r="L41" s="6">
        <v>0</v>
      </c>
      <c r="M41" t="str">
        <f t="shared" si="5"/>
        <v>SUB</v>
      </c>
      <c r="N41" t="s">
        <v>84</v>
      </c>
      <c r="O41" t="str">
        <f>VLOOKUP(Table1[[#This Row],[SCHEMATIC TYPE]],'SCHEMATIC Lookup'!$B$1:$C$5,2)</f>
        <v>Other Subordinate</v>
      </c>
      <c r="P41" s="8">
        <v>52000000</v>
      </c>
      <c r="Q41" t="s">
        <v>19</v>
      </c>
      <c r="R41" t="s">
        <v>82</v>
      </c>
      <c r="S41" t="s">
        <v>19</v>
      </c>
      <c r="T41" t="s">
        <v>19</v>
      </c>
      <c r="U41" s="12" t="s">
        <v>232</v>
      </c>
      <c r="V41" s="12" t="s">
        <v>234</v>
      </c>
      <c r="W41" s="11">
        <v>59.433264887063658</v>
      </c>
      <c r="X41" s="2">
        <f t="shared" si="2"/>
        <v>0.48</v>
      </c>
      <c r="Y41" s="5">
        <f t="shared" si="3"/>
        <v>11100000</v>
      </c>
      <c r="Z41" s="5">
        <f t="shared" si="4"/>
        <v>11100000</v>
      </c>
    </row>
    <row r="42" spans="1:26" x14ac:dyDescent="0.25">
      <c r="A42">
        <v>10390</v>
      </c>
      <c r="B42">
        <v>103</v>
      </c>
      <c r="C42">
        <v>2006</v>
      </c>
      <c r="D42" t="s">
        <v>81</v>
      </c>
      <c r="E42" t="s">
        <v>77</v>
      </c>
      <c r="F42" s="2">
        <v>0.44379999999999997</v>
      </c>
      <c r="G42" s="2">
        <v>0.57471264367816088</v>
      </c>
      <c r="H42" s="14">
        <f t="shared" si="0"/>
        <v>0</v>
      </c>
      <c r="I42" s="5">
        <v>25000000</v>
      </c>
      <c r="J42">
        <v>1</v>
      </c>
      <c r="K42" s="6">
        <v>5.7000000000000002E-2</v>
      </c>
      <c r="L42" s="6">
        <v>0</v>
      </c>
      <c r="M42" t="str">
        <f t="shared" si="5"/>
        <v>SUB</v>
      </c>
      <c r="N42" t="s">
        <v>78</v>
      </c>
      <c r="O42" t="str">
        <f>VLOOKUP(Table1[[#This Row],[SCHEMATIC TYPE]],'SCHEMATIC Lookup'!$B$1:$C$5,2)</f>
        <v>Sub. Tranche of Senior</v>
      </c>
      <c r="P42" s="8">
        <v>609900000</v>
      </c>
      <c r="Q42" t="s">
        <v>19</v>
      </c>
      <c r="R42" t="s">
        <v>72</v>
      </c>
      <c r="S42" t="s">
        <v>19</v>
      </c>
      <c r="T42" t="s">
        <v>19</v>
      </c>
      <c r="U42" s="12" t="s">
        <v>232</v>
      </c>
      <c r="V42" s="12" t="s">
        <v>230</v>
      </c>
      <c r="W42" s="11">
        <v>97.774127310061601</v>
      </c>
      <c r="X42" s="2">
        <f t="shared" si="2"/>
        <v>0.44379999999999997</v>
      </c>
      <c r="Y42" s="5">
        <f t="shared" si="3"/>
        <v>25000000</v>
      </c>
      <c r="Z42" s="5">
        <f t="shared" si="4"/>
        <v>25000000</v>
      </c>
    </row>
    <row r="43" spans="1:26" x14ac:dyDescent="0.25">
      <c r="A43">
        <v>10400</v>
      </c>
      <c r="B43">
        <v>220</v>
      </c>
      <c r="C43">
        <v>2012</v>
      </c>
      <c r="D43" t="s">
        <v>74</v>
      </c>
      <c r="E43" t="s">
        <v>69</v>
      </c>
      <c r="F43" s="2">
        <v>0.58823529411764708</v>
      </c>
      <c r="G43" s="2">
        <v>0.7476966690290574</v>
      </c>
      <c r="H43" s="14">
        <f t="shared" si="0"/>
        <v>0</v>
      </c>
      <c r="I43" s="5">
        <v>45000000</v>
      </c>
      <c r="J43">
        <v>5</v>
      </c>
      <c r="K43" s="6">
        <v>0.104</v>
      </c>
      <c r="L43" s="6">
        <v>0</v>
      </c>
      <c r="M43" t="str">
        <f t="shared" si="5"/>
        <v>SUB</v>
      </c>
      <c r="N43" t="s">
        <v>75</v>
      </c>
      <c r="O43" t="str">
        <f>VLOOKUP(Table1[[#This Row],[SCHEMATIC TYPE]],'SCHEMATIC Lookup'!$B$1:$C$5,2)</f>
        <v>Mezzanine Loan</v>
      </c>
      <c r="P43" s="8">
        <v>328100000</v>
      </c>
      <c r="Q43" t="s">
        <v>19</v>
      </c>
      <c r="R43" t="s">
        <v>73</v>
      </c>
      <c r="S43" t="s">
        <v>19</v>
      </c>
      <c r="T43" t="s">
        <v>19</v>
      </c>
      <c r="U43" s="12" t="s">
        <v>230</v>
      </c>
      <c r="V43" s="12" t="s">
        <v>233</v>
      </c>
      <c r="W43" s="11">
        <v>24</v>
      </c>
      <c r="X43" s="2">
        <f t="shared" si="2"/>
        <v>0.58823529411764708</v>
      </c>
      <c r="Y43" s="5">
        <f t="shared" si="3"/>
        <v>45000000</v>
      </c>
      <c r="Z43" s="5">
        <f t="shared" si="4"/>
        <v>45000000</v>
      </c>
    </row>
    <row r="44" spans="1:26" x14ac:dyDescent="0.25">
      <c r="A44">
        <v>10410</v>
      </c>
      <c r="B44">
        <v>183</v>
      </c>
      <c r="C44">
        <v>2015</v>
      </c>
      <c r="D44" t="s">
        <v>89</v>
      </c>
      <c r="E44" t="s">
        <v>91</v>
      </c>
      <c r="F44" s="2">
        <v>0</v>
      </c>
      <c r="G44" s="2">
        <v>0.78600000000000003</v>
      </c>
      <c r="H44" s="14">
        <f t="shared" si="0"/>
        <v>0</v>
      </c>
      <c r="I44" s="5">
        <v>28680000</v>
      </c>
      <c r="J44">
        <v>3</v>
      </c>
      <c r="K44" s="6">
        <v>4.2500000000000003E-2</v>
      </c>
      <c r="L44" s="6">
        <v>0</v>
      </c>
      <c r="M44" t="str">
        <f t="shared" si="5"/>
        <v>SENIOR</v>
      </c>
      <c r="N44" t="s">
        <v>90</v>
      </c>
      <c r="O44" t="str">
        <f>VLOOKUP(Table1[[#This Row],[SCHEMATIC TYPE]],'SCHEMATIC Lookup'!$B$1:$C$5,2)</f>
        <v>Senior Whole Loan</v>
      </c>
      <c r="P44" s="8">
        <v>36495618</v>
      </c>
      <c r="Q44" t="s">
        <v>71</v>
      </c>
      <c r="R44" t="s">
        <v>80</v>
      </c>
      <c r="S44" t="s">
        <v>71</v>
      </c>
      <c r="T44" t="s">
        <v>71</v>
      </c>
      <c r="U44" s="12" t="s">
        <v>238</v>
      </c>
      <c r="V44" s="12" t="s">
        <v>231</v>
      </c>
      <c r="W44" s="11">
        <v>18</v>
      </c>
      <c r="X44" s="2">
        <f t="shared" si="2"/>
        <v>0</v>
      </c>
      <c r="Y44" s="5">
        <f t="shared" si="3"/>
        <v>28680000</v>
      </c>
      <c r="Z44" s="5">
        <f t="shared" si="4"/>
        <v>28680000</v>
      </c>
    </row>
    <row r="45" spans="1:26" x14ac:dyDescent="0.25">
      <c r="A45">
        <v>10430</v>
      </c>
      <c r="B45">
        <v>119</v>
      </c>
      <c r="C45">
        <v>2013</v>
      </c>
      <c r="D45" t="s">
        <v>74</v>
      </c>
      <c r="E45" t="s">
        <v>69</v>
      </c>
      <c r="F45" s="2">
        <v>0.51</v>
      </c>
      <c r="G45" s="2">
        <v>0.67</v>
      </c>
      <c r="H45" s="14">
        <f t="shared" si="0"/>
        <v>0</v>
      </c>
      <c r="I45" s="5">
        <v>11000000</v>
      </c>
      <c r="J45">
        <v>5</v>
      </c>
      <c r="K45" s="6">
        <v>9.5000000000000001E-2</v>
      </c>
      <c r="L45" s="6">
        <v>0</v>
      </c>
      <c r="M45" t="str">
        <f t="shared" si="5"/>
        <v>SUB</v>
      </c>
      <c r="N45" t="s">
        <v>75</v>
      </c>
      <c r="O45" t="str">
        <f>VLOOKUP(Table1[[#This Row],[SCHEMATIC TYPE]],'SCHEMATIC Lookup'!$B$1:$C$5,2)</f>
        <v>Mezzanine Loan</v>
      </c>
      <c r="P45" s="8">
        <v>70000000</v>
      </c>
      <c r="Q45" t="s">
        <v>71</v>
      </c>
      <c r="R45" t="s">
        <v>72</v>
      </c>
      <c r="S45" t="s">
        <v>71</v>
      </c>
      <c r="T45" t="s">
        <v>71</v>
      </c>
      <c r="U45" s="12" t="s">
        <v>236</v>
      </c>
      <c r="V45" s="12" t="s">
        <v>234</v>
      </c>
      <c r="W45" s="11">
        <v>67</v>
      </c>
      <c r="X45" s="2">
        <f t="shared" si="2"/>
        <v>0.51</v>
      </c>
      <c r="Y45" s="5">
        <f t="shared" si="3"/>
        <v>11000000</v>
      </c>
      <c r="Z45" s="5">
        <f t="shared" si="4"/>
        <v>11000000</v>
      </c>
    </row>
    <row r="46" spans="1:26" x14ac:dyDescent="0.25">
      <c r="A46">
        <v>10450</v>
      </c>
      <c r="B46">
        <v>103</v>
      </c>
      <c r="C46">
        <v>2006</v>
      </c>
      <c r="D46" t="s">
        <v>74</v>
      </c>
      <c r="E46" t="s">
        <v>77</v>
      </c>
      <c r="F46" s="2">
        <v>0.62729999999999997</v>
      </c>
      <c r="G46" s="2">
        <v>0.73</v>
      </c>
      <c r="H46" s="14">
        <f t="shared" si="0"/>
        <v>0</v>
      </c>
      <c r="I46" s="5">
        <v>22000000</v>
      </c>
      <c r="J46">
        <v>3</v>
      </c>
      <c r="K46" s="6">
        <v>6.6900000000000001E-2</v>
      </c>
      <c r="L46" s="6">
        <v>0</v>
      </c>
      <c r="M46" t="str">
        <f t="shared" si="5"/>
        <v>SUB</v>
      </c>
      <c r="N46" t="s">
        <v>75</v>
      </c>
      <c r="O46" t="str">
        <f>VLOOKUP(Table1[[#This Row],[SCHEMATIC TYPE]],'SCHEMATIC Lookup'!$B$1:$C$5,2)</f>
        <v>Mezzanine Loan</v>
      </c>
      <c r="P46" s="8">
        <v>222000000</v>
      </c>
      <c r="Q46" t="s">
        <v>79</v>
      </c>
      <c r="R46" t="s">
        <v>79</v>
      </c>
      <c r="S46" t="s">
        <v>79</v>
      </c>
      <c r="T46" t="s">
        <v>79</v>
      </c>
      <c r="U46" s="12" t="s">
        <v>235</v>
      </c>
      <c r="V46" s="12" t="s">
        <v>233</v>
      </c>
      <c r="W46" s="11">
        <v>91.006160164271051</v>
      </c>
      <c r="X46" s="2">
        <f t="shared" si="2"/>
        <v>0.62729999999999997</v>
      </c>
      <c r="Y46" s="5">
        <f t="shared" si="3"/>
        <v>22000000</v>
      </c>
      <c r="Z46" s="5">
        <f t="shared" si="4"/>
        <v>22000000</v>
      </c>
    </row>
    <row r="47" spans="1:26" x14ac:dyDescent="0.25">
      <c r="A47">
        <v>10460</v>
      </c>
      <c r="B47">
        <v>103</v>
      </c>
      <c r="C47">
        <v>2012</v>
      </c>
      <c r="D47" t="s">
        <v>85</v>
      </c>
      <c r="E47" t="s">
        <v>69</v>
      </c>
      <c r="F47" s="2">
        <v>0.13533173190783909</v>
      </c>
      <c r="G47" s="2">
        <v>0.38907872923503739</v>
      </c>
      <c r="H47" s="14">
        <f t="shared" si="0"/>
        <v>0</v>
      </c>
      <c r="I47" s="5">
        <v>60000000</v>
      </c>
      <c r="J47">
        <v>3</v>
      </c>
      <c r="K47" s="6">
        <v>2.2499999999999999E-2</v>
      </c>
      <c r="L47" s="6">
        <v>0</v>
      </c>
      <c r="M47" t="str">
        <f t="shared" si="5"/>
        <v>SUB</v>
      </c>
      <c r="N47" t="s">
        <v>84</v>
      </c>
      <c r="O47" t="str">
        <f>VLOOKUP(Table1[[#This Row],[SCHEMATIC TYPE]],'SCHEMATIC Lookup'!$B$1:$C$5,2)</f>
        <v>Other Subordinate</v>
      </c>
      <c r="P47" s="8">
        <v>236456000</v>
      </c>
      <c r="Q47" t="s">
        <v>71</v>
      </c>
      <c r="R47" t="s">
        <v>80</v>
      </c>
      <c r="S47" t="s">
        <v>71</v>
      </c>
      <c r="T47" t="s">
        <v>71</v>
      </c>
      <c r="U47" s="12" t="s">
        <v>238</v>
      </c>
      <c r="V47" s="12" t="s">
        <v>238</v>
      </c>
      <c r="W47" s="11">
        <v>60.05749486652978</v>
      </c>
      <c r="X47" s="2">
        <f t="shared" si="2"/>
        <v>0.13533173190783909</v>
      </c>
      <c r="Y47" s="5">
        <f t="shared" si="3"/>
        <v>60000000</v>
      </c>
      <c r="Z47" s="5">
        <f t="shared" si="4"/>
        <v>60000000</v>
      </c>
    </row>
    <row r="48" spans="1:26" x14ac:dyDescent="0.25">
      <c r="A48">
        <v>10470</v>
      </c>
      <c r="B48">
        <v>103</v>
      </c>
      <c r="C48">
        <v>2014</v>
      </c>
      <c r="D48" t="s">
        <v>85</v>
      </c>
      <c r="E48" t="s">
        <v>69</v>
      </c>
      <c r="F48" s="2">
        <v>0.33093525179856115</v>
      </c>
      <c r="G48" s="2">
        <v>0.42086330935251798</v>
      </c>
      <c r="H48" s="14">
        <f t="shared" si="0"/>
        <v>0</v>
      </c>
      <c r="I48" s="5">
        <v>25000000</v>
      </c>
      <c r="J48">
        <v>3</v>
      </c>
      <c r="K48" s="6">
        <v>2.5000000000000001E-2</v>
      </c>
      <c r="L48" s="6">
        <v>0</v>
      </c>
      <c r="M48" t="str">
        <f t="shared" si="5"/>
        <v>SUB</v>
      </c>
      <c r="N48" t="s">
        <v>84</v>
      </c>
      <c r="O48" t="str">
        <f>VLOOKUP(Table1[[#This Row],[SCHEMATIC TYPE]],'SCHEMATIC Lookup'!$B$1:$C$5,2)</f>
        <v>Other Subordinate</v>
      </c>
      <c r="P48" s="8">
        <v>278000000</v>
      </c>
      <c r="Q48" t="s">
        <v>71</v>
      </c>
      <c r="R48" t="s">
        <v>80</v>
      </c>
      <c r="S48" t="s">
        <v>71</v>
      </c>
      <c r="T48" t="s">
        <v>71</v>
      </c>
      <c r="U48" s="12" t="s">
        <v>238</v>
      </c>
      <c r="V48" s="12" t="s">
        <v>240</v>
      </c>
      <c r="W48" s="11">
        <v>35.482546201232033</v>
      </c>
      <c r="X48" s="2">
        <f t="shared" si="2"/>
        <v>0.33093525179856115</v>
      </c>
      <c r="Y48" s="5">
        <f t="shared" si="3"/>
        <v>25000000</v>
      </c>
      <c r="Z48" s="5">
        <f t="shared" si="4"/>
        <v>25000000</v>
      </c>
    </row>
    <row r="49" spans="1:26" x14ac:dyDescent="0.25">
      <c r="A49">
        <v>10480</v>
      </c>
      <c r="B49">
        <v>119</v>
      </c>
      <c r="C49">
        <v>2014</v>
      </c>
      <c r="D49" t="s">
        <v>68</v>
      </c>
      <c r="E49" t="s">
        <v>69</v>
      </c>
      <c r="F49" s="2">
        <v>0.45</v>
      </c>
      <c r="G49" s="2">
        <v>0.7</v>
      </c>
      <c r="H49" s="14">
        <f t="shared" si="0"/>
        <v>0</v>
      </c>
      <c r="I49" s="5">
        <v>25978750</v>
      </c>
      <c r="J49">
        <v>2</v>
      </c>
      <c r="K49" s="6">
        <v>8.2799999999999999E-2</v>
      </c>
      <c r="L49" s="6">
        <v>0.65</v>
      </c>
      <c r="M49" t="str">
        <f t="shared" si="5"/>
        <v>SUBL</v>
      </c>
      <c r="N49" t="s">
        <v>70</v>
      </c>
      <c r="O49" t="str">
        <f>VLOOKUP(Table1[[#This Row],[SCHEMATIC TYPE]],'SCHEMATIC Lookup'!$B$1:$C$5,2)</f>
        <v>Leveraged Whole Loan</v>
      </c>
      <c r="P49" s="8">
        <v>106683121</v>
      </c>
      <c r="Q49" t="s">
        <v>71</v>
      </c>
      <c r="R49" t="s">
        <v>73</v>
      </c>
      <c r="S49" t="s">
        <v>71</v>
      </c>
      <c r="T49" t="s">
        <v>71</v>
      </c>
      <c r="U49" s="12" t="s">
        <v>232</v>
      </c>
      <c r="V49" s="12" t="s">
        <v>233</v>
      </c>
      <c r="W49" s="11">
        <v>60</v>
      </c>
      <c r="X49" s="2">
        <f t="shared" si="2"/>
        <v>0.45</v>
      </c>
      <c r="Y49" s="5">
        <f t="shared" si="3"/>
        <v>25978750</v>
      </c>
      <c r="Z49" s="5">
        <f t="shared" si="4"/>
        <v>72740500.000000015</v>
      </c>
    </row>
    <row r="50" spans="1:26" x14ac:dyDescent="0.25">
      <c r="A50">
        <v>10490</v>
      </c>
      <c r="B50">
        <v>220</v>
      </c>
      <c r="C50">
        <v>2011</v>
      </c>
      <c r="D50" t="s">
        <v>74</v>
      </c>
      <c r="E50" t="s">
        <v>69</v>
      </c>
      <c r="F50" s="2">
        <v>0.65835880554902426</v>
      </c>
      <c r="G50" s="2">
        <v>0.73673485382866999</v>
      </c>
      <c r="H50" s="14">
        <f t="shared" si="0"/>
        <v>0</v>
      </c>
      <c r="I50" s="5">
        <v>25000000</v>
      </c>
      <c r="J50">
        <v>3</v>
      </c>
      <c r="K50" s="6">
        <v>9.7500000000000003E-2</v>
      </c>
      <c r="L50" s="6">
        <v>0</v>
      </c>
      <c r="M50" t="str">
        <f t="shared" si="5"/>
        <v>SUB</v>
      </c>
      <c r="N50" t="s">
        <v>75</v>
      </c>
      <c r="O50" t="str">
        <f>VLOOKUP(Table1[[#This Row],[SCHEMATIC TYPE]],'SCHEMATIC Lookup'!$B$1:$C$5,2)</f>
        <v>Mezzanine Loan</v>
      </c>
      <c r="P50" s="8">
        <v>348707268.48551244</v>
      </c>
      <c r="Q50" t="s">
        <v>71</v>
      </c>
      <c r="R50" t="s">
        <v>73</v>
      </c>
      <c r="S50" t="s">
        <v>71</v>
      </c>
      <c r="T50" t="s">
        <v>71</v>
      </c>
      <c r="U50" s="12" t="s">
        <v>239</v>
      </c>
      <c r="V50" s="12" t="s">
        <v>233</v>
      </c>
      <c r="W50" s="11">
        <v>36</v>
      </c>
      <c r="X50" s="2">
        <f t="shared" si="2"/>
        <v>0.65835880554902426</v>
      </c>
      <c r="Y50" s="5">
        <f t="shared" si="3"/>
        <v>25000000</v>
      </c>
      <c r="Z50" s="5">
        <f t="shared" si="4"/>
        <v>25000000</v>
      </c>
    </row>
    <row r="51" spans="1:26" x14ac:dyDescent="0.25">
      <c r="A51">
        <v>10500</v>
      </c>
      <c r="B51">
        <v>119</v>
      </c>
      <c r="C51">
        <v>2016</v>
      </c>
      <c r="D51" t="s">
        <v>74</v>
      </c>
      <c r="E51" t="s">
        <v>69</v>
      </c>
      <c r="F51" s="2">
        <v>0.6014409502788497</v>
      </c>
      <c r="G51" s="2">
        <v>0.69296457314737026</v>
      </c>
      <c r="H51" s="14">
        <f t="shared" si="0"/>
        <v>0</v>
      </c>
      <c r="I51" s="5">
        <v>35000000</v>
      </c>
      <c r="J51">
        <v>5</v>
      </c>
      <c r="K51" s="6">
        <v>0.1</v>
      </c>
      <c r="L51" s="6">
        <v>0</v>
      </c>
      <c r="M51" t="str">
        <f t="shared" si="5"/>
        <v>SUB</v>
      </c>
      <c r="N51" t="s">
        <v>75</v>
      </c>
      <c r="O51" t="str">
        <f>VLOOKUP(Table1[[#This Row],[SCHEMATIC TYPE]],'SCHEMATIC Lookup'!$B$1:$C$5,2)</f>
        <v>Mezzanine Loan</v>
      </c>
      <c r="P51" s="8">
        <v>382414931.82890809</v>
      </c>
      <c r="Q51" t="s">
        <v>71</v>
      </c>
      <c r="R51" t="s">
        <v>72</v>
      </c>
      <c r="S51" t="s">
        <v>71</v>
      </c>
      <c r="T51" t="s">
        <v>71</v>
      </c>
      <c r="U51" s="12" t="s">
        <v>235</v>
      </c>
      <c r="V51" s="12" t="s">
        <v>234</v>
      </c>
      <c r="W51" s="11">
        <v>36</v>
      </c>
      <c r="X51" s="2">
        <f t="shared" si="2"/>
        <v>0.6014409502788497</v>
      </c>
      <c r="Y51" s="5">
        <f t="shared" si="3"/>
        <v>35000000</v>
      </c>
      <c r="Z51" s="5">
        <f t="shared" si="4"/>
        <v>35000000</v>
      </c>
    </row>
    <row r="52" spans="1:26" x14ac:dyDescent="0.25">
      <c r="A52">
        <v>10510</v>
      </c>
      <c r="B52">
        <v>220</v>
      </c>
      <c r="C52">
        <v>2013</v>
      </c>
      <c r="D52" t="s">
        <v>74</v>
      </c>
      <c r="E52" t="s">
        <v>69</v>
      </c>
      <c r="F52" s="2">
        <v>0.60240963855421692</v>
      </c>
      <c r="G52" s="2">
        <v>0.70470561491248007</v>
      </c>
      <c r="H52" s="14">
        <f t="shared" si="0"/>
        <v>0</v>
      </c>
      <c r="I52" s="5">
        <v>45000000</v>
      </c>
      <c r="J52">
        <v>4</v>
      </c>
      <c r="K52" s="6">
        <v>7.6100000000000001E-2</v>
      </c>
      <c r="L52" s="6">
        <v>0</v>
      </c>
      <c r="M52" t="str">
        <f t="shared" si="5"/>
        <v>SUB</v>
      </c>
      <c r="N52" t="s">
        <v>75</v>
      </c>
      <c r="O52" t="str">
        <f>VLOOKUP(Table1[[#This Row],[SCHEMATIC TYPE]],'SCHEMATIC Lookup'!$B$1:$C$5,2)</f>
        <v>Mezzanine Loan</v>
      </c>
      <c r="P52" s="8">
        <v>439900000</v>
      </c>
      <c r="Q52" t="s">
        <v>71</v>
      </c>
      <c r="R52" t="s">
        <v>73</v>
      </c>
      <c r="S52" t="s">
        <v>71</v>
      </c>
      <c r="T52" t="s">
        <v>71</v>
      </c>
      <c r="U52" s="12" t="s">
        <v>235</v>
      </c>
      <c r="V52" s="12" t="s">
        <v>233</v>
      </c>
      <c r="W52" s="11">
        <v>60</v>
      </c>
      <c r="X52" s="2">
        <f t="shared" si="2"/>
        <v>0.60240963855421692</v>
      </c>
      <c r="Y52" s="5">
        <f t="shared" si="3"/>
        <v>45000000</v>
      </c>
      <c r="Z52" s="5">
        <f t="shared" si="4"/>
        <v>45000000</v>
      </c>
    </row>
    <row r="53" spans="1:26" x14ac:dyDescent="0.25">
      <c r="A53">
        <v>10520</v>
      </c>
      <c r="B53">
        <v>103</v>
      </c>
      <c r="C53">
        <v>2006</v>
      </c>
      <c r="D53" t="s">
        <v>76</v>
      </c>
      <c r="E53" t="s">
        <v>69</v>
      </c>
      <c r="F53" s="2">
        <v>0.53</v>
      </c>
      <c r="G53" s="2">
        <v>0.69</v>
      </c>
      <c r="H53" s="14">
        <f t="shared" si="0"/>
        <v>0</v>
      </c>
      <c r="I53" s="5">
        <v>15000000</v>
      </c>
      <c r="J53">
        <v>1</v>
      </c>
      <c r="K53" s="6">
        <v>1.15E-2</v>
      </c>
      <c r="L53" s="6">
        <v>0</v>
      </c>
      <c r="M53" t="str">
        <f t="shared" si="5"/>
        <v>SUB</v>
      </c>
      <c r="N53" t="s">
        <v>78</v>
      </c>
      <c r="O53" t="str">
        <f>VLOOKUP(Table1[[#This Row],[SCHEMATIC TYPE]],'SCHEMATIC Lookup'!$B$1:$C$5,2)</f>
        <v>Sub. Tranche of Senior</v>
      </c>
      <c r="P53" s="8">
        <v>3203000000</v>
      </c>
      <c r="Q53" t="s">
        <v>19</v>
      </c>
      <c r="R53" t="s">
        <v>73</v>
      </c>
      <c r="S53" t="s">
        <v>19</v>
      </c>
      <c r="T53" t="s">
        <v>19</v>
      </c>
      <c r="U53" s="12" t="s">
        <v>236</v>
      </c>
      <c r="V53" s="12" t="s">
        <v>234</v>
      </c>
      <c r="W53" s="11">
        <v>57.23203285420945</v>
      </c>
      <c r="X53" s="2">
        <f t="shared" si="2"/>
        <v>0.53</v>
      </c>
      <c r="Y53" s="5">
        <f t="shared" si="3"/>
        <v>15000000</v>
      </c>
      <c r="Z53" s="5">
        <f t="shared" si="4"/>
        <v>15000000</v>
      </c>
    </row>
    <row r="54" spans="1:26" x14ac:dyDescent="0.25">
      <c r="A54">
        <v>10530</v>
      </c>
      <c r="B54">
        <v>103</v>
      </c>
      <c r="C54">
        <v>2006</v>
      </c>
      <c r="D54" t="s">
        <v>76</v>
      </c>
      <c r="E54" t="s">
        <v>69</v>
      </c>
      <c r="F54" s="2">
        <v>0.53</v>
      </c>
      <c r="G54" s="2">
        <v>0.69</v>
      </c>
      <c r="H54" s="14">
        <f t="shared" si="0"/>
        <v>0</v>
      </c>
      <c r="I54" s="5">
        <v>325000000</v>
      </c>
      <c r="J54">
        <v>1</v>
      </c>
      <c r="K54" s="6">
        <v>1.15E-2</v>
      </c>
      <c r="L54" s="6">
        <v>0</v>
      </c>
      <c r="M54" t="str">
        <f t="shared" si="5"/>
        <v>SUB</v>
      </c>
      <c r="N54" t="s">
        <v>78</v>
      </c>
      <c r="O54" t="str">
        <f>VLOOKUP(Table1[[#This Row],[SCHEMATIC TYPE]],'SCHEMATIC Lookup'!$B$1:$C$5,2)</f>
        <v>Sub. Tranche of Senior</v>
      </c>
      <c r="P54" s="8">
        <v>3203000000</v>
      </c>
      <c r="Q54" t="s">
        <v>19</v>
      </c>
      <c r="R54" t="s">
        <v>73</v>
      </c>
      <c r="S54" t="s">
        <v>19</v>
      </c>
      <c r="T54" t="s">
        <v>19</v>
      </c>
      <c r="U54" s="12" t="s">
        <v>236</v>
      </c>
      <c r="V54" s="12" t="s">
        <v>234</v>
      </c>
      <c r="W54" s="11">
        <v>57.23203285420945</v>
      </c>
      <c r="X54" s="2">
        <f t="shared" si="2"/>
        <v>0.53</v>
      </c>
      <c r="Y54" s="5">
        <f t="shared" si="3"/>
        <v>325000000</v>
      </c>
      <c r="Z54" s="5">
        <f t="shared" si="4"/>
        <v>325000000</v>
      </c>
    </row>
    <row r="55" spans="1:26" x14ac:dyDescent="0.25">
      <c r="A55">
        <v>10540</v>
      </c>
      <c r="B55">
        <v>103</v>
      </c>
      <c r="C55">
        <v>2006</v>
      </c>
      <c r="D55" t="s">
        <v>76</v>
      </c>
      <c r="E55" t="s">
        <v>69</v>
      </c>
      <c r="F55" s="2">
        <v>0.53</v>
      </c>
      <c r="G55" s="2">
        <v>0.69</v>
      </c>
      <c r="H55" s="14">
        <f t="shared" si="0"/>
        <v>0</v>
      </c>
      <c r="I55" s="5">
        <v>45000000</v>
      </c>
      <c r="J55">
        <v>1</v>
      </c>
      <c r="K55" s="6">
        <v>1.15E-2</v>
      </c>
      <c r="L55" s="6">
        <v>0</v>
      </c>
      <c r="M55" t="str">
        <f t="shared" si="5"/>
        <v>SUB</v>
      </c>
      <c r="N55" t="s">
        <v>78</v>
      </c>
      <c r="O55" t="str">
        <f>VLOOKUP(Table1[[#This Row],[SCHEMATIC TYPE]],'SCHEMATIC Lookup'!$B$1:$C$5,2)</f>
        <v>Sub. Tranche of Senior</v>
      </c>
      <c r="P55" s="8">
        <v>3203000000</v>
      </c>
      <c r="Q55" t="s">
        <v>19</v>
      </c>
      <c r="R55" t="s">
        <v>73</v>
      </c>
      <c r="S55" t="s">
        <v>19</v>
      </c>
      <c r="T55" t="s">
        <v>19</v>
      </c>
      <c r="U55" s="12" t="s">
        <v>236</v>
      </c>
      <c r="V55" s="12" t="s">
        <v>234</v>
      </c>
      <c r="W55" s="11">
        <v>57.23203285420945</v>
      </c>
      <c r="X55" s="2">
        <f t="shared" si="2"/>
        <v>0.53</v>
      </c>
      <c r="Y55" s="5">
        <f t="shared" si="3"/>
        <v>45000000</v>
      </c>
      <c r="Z55" s="5">
        <f t="shared" si="4"/>
        <v>45000000</v>
      </c>
    </row>
    <row r="56" spans="1:26" x14ac:dyDescent="0.25">
      <c r="A56">
        <v>10550</v>
      </c>
      <c r="B56">
        <v>103</v>
      </c>
      <c r="C56">
        <v>2011</v>
      </c>
      <c r="D56" t="s">
        <v>81</v>
      </c>
      <c r="E56" t="s">
        <v>69</v>
      </c>
      <c r="F56" s="2">
        <v>0.53</v>
      </c>
      <c r="G56" s="2">
        <v>0.69</v>
      </c>
      <c r="H56" s="14">
        <f t="shared" si="0"/>
        <v>0</v>
      </c>
      <c r="I56" s="5">
        <v>4040034.26</v>
      </c>
      <c r="J56">
        <v>1</v>
      </c>
      <c r="K56" s="6">
        <v>6.1499999999999999E-2</v>
      </c>
      <c r="L56" s="6">
        <v>0</v>
      </c>
      <c r="M56" t="str">
        <f t="shared" si="5"/>
        <v>SUB</v>
      </c>
      <c r="N56" t="s">
        <v>78</v>
      </c>
      <c r="O56" t="str">
        <f>VLOOKUP(Table1[[#This Row],[SCHEMATIC TYPE]],'SCHEMATIC Lookup'!$B$1:$C$5,2)</f>
        <v>Sub. Tranche of Senior</v>
      </c>
      <c r="P56" s="8">
        <v>3203000000</v>
      </c>
      <c r="Q56" t="s">
        <v>19</v>
      </c>
      <c r="R56" t="s">
        <v>73</v>
      </c>
      <c r="S56" t="s">
        <v>19</v>
      </c>
      <c r="T56" t="s">
        <v>19</v>
      </c>
      <c r="U56" s="12" t="s">
        <v>236</v>
      </c>
      <c r="V56" s="12" t="s">
        <v>234</v>
      </c>
      <c r="W56" s="11">
        <v>24.016427104722794</v>
      </c>
      <c r="X56" s="2">
        <f t="shared" si="2"/>
        <v>0.53</v>
      </c>
      <c r="Y56" s="5">
        <f t="shared" si="3"/>
        <v>4040034.26</v>
      </c>
      <c r="Z56" s="5">
        <f t="shared" si="4"/>
        <v>4040034.26</v>
      </c>
    </row>
    <row r="57" spans="1:26" x14ac:dyDescent="0.25">
      <c r="A57">
        <v>10560</v>
      </c>
      <c r="B57">
        <v>103</v>
      </c>
      <c r="C57">
        <v>2011</v>
      </c>
      <c r="D57" t="s">
        <v>81</v>
      </c>
      <c r="E57" t="s">
        <v>69</v>
      </c>
      <c r="F57" s="2">
        <v>0.53</v>
      </c>
      <c r="G57" s="2">
        <v>0.69</v>
      </c>
      <c r="H57" s="14">
        <f t="shared" si="0"/>
        <v>0</v>
      </c>
      <c r="I57" s="5">
        <v>99654178.290000007</v>
      </c>
      <c r="J57">
        <v>1</v>
      </c>
      <c r="K57" s="6">
        <v>6.1499999999999999E-2</v>
      </c>
      <c r="L57" s="6">
        <v>0</v>
      </c>
      <c r="M57" t="str">
        <f t="shared" si="5"/>
        <v>SUB</v>
      </c>
      <c r="N57" t="s">
        <v>78</v>
      </c>
      <c r="O57" t="str">
        <f>VLOOKUP(Table1[[#This Row],[SCHEMATIC TYPE]],'SCHEMATIC Lookup'!$B$1:$C$5,2)</f>
        <v>Sub. Tranche of Senior</v>
      </c>
      <c r="P57" s="8">
        <v>3203000000</v>
      </c>
      <c r="Q57" t="s">
        <v>19</v>
      </c>
      <c r="R57" t="s">
        <v>73</v>
      </c>
      <c r="S57" t="s">
        <v>19</v>
      </c>
      <c r="T57" t="s">
        <v>19</v>
      </c>
      <c r="U57" s="12" t="s">
        <v>236</v>
      </c>
      <c r="V57" s="12" t="s">
        <v>234</v>
      </c>
      <c r="W57" s="11">
        <v>24.016427104722794</v>
      </c>
      <c r="X57" s="2">
        <f t="shared" si="2"/>
        <v>0.53</v>
      </c>
      <c r="Y57" s="5">
        <f t="shared" si="3"/>
        <v>99654178.290000007</v>
      </c>
      <c r="Z57" s="5">
        <f t="shared" si="4"/>
        <v>99654178.290000007</v>
      </c>
    </row>
    <row r="58" spans="1:26" x14ac:dyDescent="0.25">
      <c r="A58">
        <v>10570</v>
      </c>
      <c r="B58">
        <v>103</v>
      </c>
      <c r="C58">
        <v>2013</v>
      </c>
      <c r="D58" t="s">
        <v>74</v>
      </c>
      <c r="E58" t="s">
        <v>69</v>
      </c>
      <c r="F58" s="2">
        <v>0.20276497695852536</v>
      </c>
      <c r="G58" s="2">
        <v>0.59447004608294929</v>
      </c>
      <c r="H58" s="14">
        <f t="shared" si="0"/>
        <v>0</v>
      </c>
      <c r="I58" s="5">
        <v>220000000</v>
      </c>
      <c r="J58">
        <v>5</v>
      </c>
      <c r="K58" s="6">
        <v>5.7500000000000002E-2</v>
      </c>
      <c r="L58" s="6">
        <v>0</v>
      </c>
      <c r="M58" t="str">
        <f t="shared" si="5"/>
        <v>SUB</v>
      </c>
      <c r="N58" t="s">
        <v>75</v>
      </c>
      <c r="O58" t="str">
        <f>VLOOKUP(Table1[[#This Row],[SCHEMATIC TYPE]],'SCHEMATIC Lookup'!$B$1:$C$5,2)</f>
        <v>Mezzanine Loan</v>
      </c>
      <c r="P58" s="8">
        <v>1085000000</v>
      </c>
      <c r="Q58" t="s">
        <v>19</v>
      </c>
      <c r="R58" t="s">
        <v>72</v>
      </c>
      <c r="S58" t="s">
        <v>19</v>
      </c>
      <c r="T58" t="s">
        <v>19</v>
      </c>
      <c r="U58" s="12" t="s">
        <v>238</v>
      </c>
      <c r="V58" s="12" t="s">
        <v>230</v>
      </c>
      <c r="W58" s="11">
        <v>57.560574948665298</v>
      </c>
      <c r="X58" s="2">
        <f t="shared" si="2"/>
        <v>0.20276497695852536</v>
      </c>
      <c r="Y58" s="5">
        <f t="shared" si="3"/>
        <v>220000000</v>
      </c>
      <c r="Z58" s="5">
        <f t="shared" si="4"/>
        <v>220000000</v>
      </c>
    </row>
    <row r="59" spans="1:26" x14ac:dyDescent="0.25">
      <c r="A59">
        <v>10591</v>
      </c>
      <c r="B59">
        <v>220</v>
      </c>
      <c r="C59">
        <v>2016</v>
      </c>
      <c r="D59" t="s">
        <v>74</v>
      </c>
      <c r="E59" t="s">
        <v>69</v>
      </c>
      <c r="F59" s="2">
        <v>0.59730349093521062</v>
      </c>
      <c r="G59" s="2">
        <v>0.69232904631126679</v>
      </c>
      <c r="H59" s="14">
        <f t="shared" si="0"/>
        <v>0</v>
      </c>
      <c r="I59" s="5">
        <v>26250000</v>
      </c>
      <c r="J59">
        <v>2</v>
      </c>
      <c r="K59" s="6">
        <v>0.1</v>
      </c>
      <c r="L59" s="6">
        <v>0</v>
      </c>
      <c r="M59" t="str">
        <f t="shared" si="5"/>
        <v>SUB</v>
      </c>
      <c r="N59" t="s">
        <v>75</v>
      </c>
      <c r="O59" t="str">
        <f>VLOOKUP(Table1[[#This Row],[SCHEMATIC TYPE]],'SCHEMATIC Lookup'!$B$1:$C$5,2)</f>
        <v>Mezzanine Loan</v>
      </c>
      <c r="P59" s="8">
        <v>283683265.82031429</v>
      </c>
      <c r="Q59" t="s">
        <v>71</v>
      </c>
      <c r="R59" t="s">
        <v>72</v>
      </c>
      <c r="S59" t="s">
        <v>71</v>
      </c>
      <c r="T59" t="s">
        <v>71</v>
      </c>
      <c r="U59" s="12" t="s">
        <v>230</v>
      </c>
      <c r="V59" s="12" t="s">
        <v>234</v>
      </c>
      <c r="W59" s="11">
        <v>42</v>
      </c>
      <c r="X59" s="2">
        <f t="shared" si="2"/>
        <v>0.59730349093521062</v>
      </c>
      <c r="Y59" s="5">
        <f t="shared" si="3"/>
        <v>26250000</v>
      </c>
      <c r="Z59" s="5">
        <f t="shared" si="4"/>
        <v>26250000</v>
      </c>
    </row>
    <row r="60" spans="1:26" x14ac:dyDescent="0.25">
      <c r="A60">
        <v>10592</v>
      </c>
      <c r="B60">
        <v>220</v>
      </c>
      <c r="C60">
        <v>2016</v>
      </c>
      <c r="D60" t="s">
        <v>83</v>
      </c>
      <c r="E60" t="s">
        <v>69</v>
      </c>
      <c r="F60" s="2">
        <v>0.69232904631126679</v>
      </c>
      <c r="G60" s="2">
        <v>0.83260486615211171</v>
      </c>
      <c r="H60" s="14">
        <f t="shared" si="0"/>
        <v>0</v>
      </c>
      <c r="I60" s="5">
        <v>38750000</v>
      </c>
      <c r="J60">
        <v>2</v>
      </c>
      <c r="K60" s="6">
        <v>0.11260000000000001</v>
      </c>
      <c r="L60" s="6">
        <v>0</v>
      </c>
      <c r="M60" t="str">
        <f t="shared" si="5"/>
        <v>SUB</v>
      </c>
      <c r="N60" t="s">
        <v>84</v>
      </c>
      <c r="O60" t="str">
        <f>VLOOKUP(Table1[[#This Row],[SCHEMATIC TYPE]],'SCHEMATIC Lookup'!$B$1:$C$5,2)</f>
        <v>Other Subordinate</v>
      </c>
      <c r="P60" s="8">
        <v>283683265.82031429</v>
      </c>
      <c r="Q60" t="s">
        <v>71</v>
      </c>
      <c r="R60" t="s">
        <v>72</v>
      </c>
      <c r="S60" t="s">
        <v>71</v>
      </c>
      <c r="T60" t="s">
        <v>71</v>
      </c>
      <c r="U60" s="12" t="s">
        <v>239</v>
      </c>
      <c r="V60" s="12" t="s">
        <v>237</v>
      </c>
      <c r="W60" s="11">
        <v>42</v>
      </c>
      <c r="X60" s="2">
        <f t="shared" si="2"/>
        <v>0.69232904631126679</v>
      </c>
      <c r="Y60" s="5">
        <f t="shared" si="3"/>
        <v>38750000</v>
      </c>
      <c r="Z60" s="5">
        <f t="shared" si="4"/>
        <v>38750000</v>
      </c>
    </row>
    <row r="61" spans="1:26" x14ac:dyDescent="0.25">
      <c r="A61">
        <v>10620</v>
      </c>
      <c r="B61">
        <v>119</v>
      </c>
      <c r="C61">
        <v>2016</v>
      </c>
      <c r="D61" t="s">
        <v>68</v>
      </c>
      <c r="E61" t="s">
        <v>69</v>
      </c>
      <c r="F61" s="2">
        <v>0.54</v>
      </c>
      <c r="G61" s="2">
        <v>0.68</v>
      </c>
      <c r="H61" s="14">
        <f t="shared" si="0"/>
        <v>0</v>
      </c>
      <c r="I61" s="5">
        <v>12600000</v>
      </c>
      <c r="J61">
        <v>1</v>
      </c>
      <c r="K61" s="6">
        <v>0.1065</v>
      </c>
      <c r="L61" s="6">
        <v>0.79276315789473684</v>
      </c>
      <c r="M61" t="str">
        <f t="shared" si="5"/>
        <v>SUBL</v>
      </c>
      <c r="N61" t="s">
        <v>70</v>
      </c>
      <c r="O61" t="str">
        <f>VLOOKUP(Table1[[#This Row],[SCHEMATIC TYPE]],'SCHEMATIC Lookup'!$B$1:$C$5,2)</f>
        <v>Leveraged Whole Loan</v>
      </c>
      <c r="P61" s="8">
        <v>90050000</v>
      </c>
      <c r="Q61" t="s">
        <v>71</v>
      </c>
      <c r="R61" t="s">
        <v>72</v>
      </c>
      <c r="S61" t="s">
        <v>71</v>
      </c>
      <c r="T61" t="s">
        <v>71</v>
      </c>
      <c r="U61" s="12" t="s">
        <v>236</v>
      </c>
      <c r="V61" s="12" t="s">
        <v>234</v>
      </c>
      <c r="W61" s="11">
        <v>60</v>
      </c>
      <c r="X61" s="2">
        <f t="shared" si="2"/>
        <v>0.54</v>
      </c>
      <c r="Y61" s="5">
        <f t="shared" si="3"/>
        <v>12600000</v>
      </c>
      <c r="Z61" s="5">
        <f t="shared" si="4"/>
        <v>61199999.999999993</v>
      </c>
    </row>
    <row r="62" spans="1:26" x14ac:dyDescent="0.25">
      <c r="A62">
        <v>10630</v>
      </c>
      <c r="B62">
        <v>103</v>
      </c>
      <c r="C62">
        <v>2005</v>
      </c>
      <c r="D62" t="s">
        <v>76</v>
      </c>
      <c r="E62" t="s">
        <v>77</v>
      </c>
      <c r="F62" s="2">
        <v>0.62651705645761946</v>
      </c>
      <c r="G62" s="2">
        <v>0.74110528366315642</v>
      </c>
      <c r="H62" s="14">
        <f t="shared" si="0"/>
        <v>0</v>
      </c>
      <c r="I62" s="5">
        <v>10000000</v>
      </c>
      <c r="J62">
        <v>3</v>
      </c>
      <c r="K62" s="6">
        <v>6.4100000000000004E-2</v>
      </c>
      <c r="L62" s="6">
        <v>0</v>
      </c>
      <c r="M62" t="str">
        <f t="shared" si="5"/>
        <v>SUB</v>
      </c>
      <c r="N62" t="s">
        <v>78</v>
      </c>
      <c r="O62" t="str">
        <f>VLOOKUP(Table1[[#This Row],[SCHEMATIC TYPE]],'SCHEMATIC Lookup'!$B$1:$C$5,2)</f>
        <v>Sub. Tranche of Senior</v>
      </c>
      <c r="P62" s="8">
        <v>87269000</v>
      </c>
      <c r="Q62" t="s">
        <v>71</v>
      </c>
      <c r="R62" t="s">
        <v>80</v>
      </c>
      <c r="S62" t="s">
        <v>71</v>
      </c>
      <c r="T62" t="s">
        <v>71</v>
      </c>
      <c r="U62" s="12" t="s">
        <v>235</v>
      </c>
      <c r="V62" s="12" t="s">
        <v>233</v>
      </c>
      <c r="W62" s="11">
        <v>99.679671457905542</v>
      </c>
      <c r="X62" s="2">
        <f t="shared" si="2"/>
        <v>0.62651705645761946</v>
      </c>
      <c r="Y62" s="5">
        <f t="shared" si="3"/>
        <v>10000000</v>
      </c>
      <c r="Z62" s="5">
        <f t="shared" si="4"/>
        <v>10000000</v>
      </c>
    </row>
    <row r="63" spans="1:26" x14ac:dyDescent="0.25">
      <c r="A63">
        <v>10640</v>
      </c>
      <c r="B63">
        <v>220</v>
      </c>
      <c r="C63">
        <v>2013</v>
      </c>
      <c r="D63" t="s">
        <v>74</v>
      </c>
      <c r="E63" t="s">
        <v>69</v>
      </c>
      <c r="F63" s="2">
        <v>0.67824648469809756</v>
      </c>
      <c r="G63" s="2">
        <v>0.794044665012407</v>
      </c>
      <c r="H63" s="14">
        <f t="shared" si="0"/>
        <v>0</v>
      </c>
      <c r="I63" s="5">
        <v>14000000</v>
      </c>
      <c r="J63">
        <v>1</v>
      </c>
      <c r="K63" s="6">
        <v>9.8000000000000004E-2</v>
      </c>
      <c r="L63" s="6">
        <v>0</v>
      </c>
      <c r="M63" t="str">
        <f t="shared" si="5"/>
        <v>SUB</v>
      </c>
      <c r="N63" t="s">
        <v>75</v>
      </c>
      <c r="O63" t="str">
        <f>VLOOKUP(Table1[[#This Row],[SCHEMATIC TYPE]],'SCHEMATIC Lookup'!$B$1:$C$5,2)</f>
        <v>Mezzanine Loan</v>
      </c>
      <c r="P63" s="8">
        <v>142400000</v>
      </c>
      <c r="Q63" t="s">
        <v>71</v>
      </c>
      <c r="R63" t="s">
        <v>72</v>
      </c>
      <c r="S63" t="s">
        <v>71</v>
      </c>
      <c r="T63" t="s">
        <v>71</v>
      </c>
      <c r="U63" s="12" t="s">
        <v>239</v>
      </c>
      <c r="V63" s="12" t="s">
        <v>231</v>
      </c>
      <c r="W63" s="11">
        <v>36</v>
      </c>
      <c r="X63" s="2">
        <f t="shared" si="2"/>
        <v>0.67824648469809756</v>
      </c>
      <c r="Y63" s="5">
        <f t="shared" si="3"/>
        <v>14000000</v>
      </c>
      <c r="Z63" s="5">
        <f t="shared" si="4"/>
        <v>14000000</v>
      </c>
    </row>
    <row r="64" spans="1:26" x14ac:dyDescent="0.25">
      <c r="A64">
        <v>10660</v>
      </c>
      <c r="B64">
        <v>119</v>
      </c>
      <c r="C64">
        <v>2013</v>
      </c>
      <c r="D64" t="s">
        <v>74</v>
      </c>
      <c r="E64" t="s">
        <v>69</v>
      </c>
      <c r="F64" s="2">
        <v>0.69</v>
      </c>
      <c r="G64" s="2">
        <v>0.75</v>
      </c>
      <c r="H64" s="14">
        <f t="shared" si="0"/>
        <v>0</v>
      </c>
      <c r="I64" s="5">
        <v>25000000</v>
      </c>
      <c r="J64">
        <v>4</v>
      </c>
      <c r="K64" s="6">
        <v>7.2499999999999995E-2</v>
      </c>
      <c r="L64" s="6">
        <v>0</v>
      </c>
      <c r="M64" t="str">
        <f t="shared" si="5"/>
        <v>SUB</v>
      </c>
      <c r="N64" t="s">
        <v>75</v>
      </c>
      <c r="O64" t="str">
        <f>VLOOKUP(Table1[[#This Row],[SCHEMATIC TYPE]],'SCHEMATIC Lookup'!$B$1:$C$5,2)</f>
        <v>Mezzanine Loan</v>
      </c>
      <c r="P64" s="8">
        <v>381492431</v>
      </c>
      <c r="Q64" t="s">
        <v>71</v>
      </c>
      <c r="R64" t="s">
        <v>73</v>
      </c>
      <c r="S64" t="s">
        <v>71</v>
      </c>
      <c r="T64" t="s">
        <v>71</v>
      </c>
      <c r="U64" s="12" t="s">
        <v>239</v>
      </c>
      <c r="V64" s="12" t="s">
        <v>231</v>
      </c>
      <c r="W64" s="11">
        <v>11</v>
      </c>
      <c r="X64" s="2">
        <f t="shared" si="2"/>
        <v>0.69</v>
      </c>
      <c r="Y64" s="5">
        <f t="shared" si="3"/>
        <v>25000000</v>
      </c>
      <c r="Z64" s="5">
        <f t="shared" si="4"/>
        <v>25000000</v>
      </c>
    </row>
    <row r="65" spans="1:26" x14ac:dyDescent="0.25">
      <c r="A65">
        <v>10670</v>
      </c>
      <c r="B65">
        <v>119</v>
      </c>
      <c r="C65">
        <v>2016</v>
      </c>
      <c r="D65" t="s">
        <v>74</v>
      </c>
      <c r="E65" t="s">
        <v>69</v>
      </c>
      <c r="F65" s="2">
        <v>0.5</v>
      </c>
      <c r="G65" s="2">
        <v>0.6</v>
      </c>
      <c r="H65" s="14">
        <f t="shared" si="0"/>
        <v>0</v>
      </c>
      <c r="I65" s="5">
        <v>30000000</v>
      </c>
      <c r="J65">
        <v>6</v>
      </c>
      <c r="K65" s="6">
        <v>9.6000000000000002E-2</v>
      </c>
      <c r="L65" s="6">
        <v>0</v>
      </c>
      <c r="M65" t="str">
        <f t="shared" si="5"/>
        <v>SUB</v>
      </c>
      <c r="N65" t="s">
        <v>75</v>
      </c>
      <c r="O65" t="str">
        <f>VLOOKUP(Table1[[#This Row],[SCHEMATIC TYPE]],'SCHEMATIC Lookup'!$B$1:$C$5,2)</f>
        <v>Mezzanine Loan</v>
      </c>
      <c r="P65" s="8">
        <v>317160000</v>
      </c>
      <c r="Q65" t="s">
        <v>71</v>
      </c>
      <c r="R65" t="s">
        <v>72</v>
      </c>
      <c r="S65" t="s">
        <v>71</v>
      </c>
      <c r="T65" t="s">
        <v>71</v>
      </c>
      <c r="U65" s="12" t="s">
        <v>236</v>
      </c>
      <c r="V65" s="12" t="s">
        <v>235</v>
      </c>
      <c r="W65" s="11">
        <v>48</v>
      </c>
      <c r="X65" s="2">
        <f t="shared" si="2"/>
        <v>0.5</v>
      </c>
      <c r="Y65" s="5">
        <f t="shared" si="3"/>
        <v>30000000</v>
      </c>
      <c r="Z65" s="5">
        <f t="shared" si="4"/>
        <v>30000000</v>
      </c>
    </row>
    <row r="66" spans="1:26" x14ac:dyDescent="0.25">
      <c r="A66">
        <v>10680</v>
      </c>
      <c r="B66">
        <v>119</v>
      </c>
      <c r="C66">
        <v>2014</v>
      </c>
      <c r="D66" t="s">
        <v>68</v>
      </c>
      <c r="E66" t="s">
        <v>69</v>
      </c>
      <c r="F66" s="2">
        <v>0.53</v>
      </c>
      <c r="G66" s="2">
        <v>0.69</v>
      </c>
      <c r="H66" s="14">
        <f t="shared" si="0"/>
        <v>0</v>
      </c>
      <c r="I66" s="5">
        <v>12260652</v>
      </c>
      <c r="J66">
        <v>1</v>
      </c>
      <c r="K66" s="6">
        <v>9.4399999999999998E-2</v>
      </c>
      <c r="L66" s="6">
        <v>0.76999999737371227</v>
      </c>
      <c r="M66" t="str">
        <f t="shared" si="5"/>
        <v>SUBL</v>
      </c>
      <c r="N66" t="s">
        <v>70</v>
      </c>
      <c r="O66" t="str">
        <f>VLOOKUP(Table1[[#This Row],[SCHEMATIC TYPE]],'SCHEMATIC Lookup'!$B$1:$C$5,2)</f>
        <v>Leveraged Whole Loan</v>
      </c>
      <c r="P66" s="8">
        <v>77000000</v>
      </c>
      <c r="Q66" t="s">
        <v>71</v>
      </c>
      <c r="R66" t="s">
        <v>72</v>
      </c>
      <c r="S66" t="s">
        <v>71</v>
      </c>
      <c r="T66" t="s">
        <v>71</v>
      </c>
      <c r="U66" s="12" t="s">
        <v>236</v>
      </c>
      <c r="V66" s="12" t="s">
        <v>234</v>
      </c>
      <c r="W66" s="11">
        <v>60</v>
      </c>
      <c r="X66" s="2">
        <f t="shared" si="2"/>
        <v>0.53</v>
      </c>
      <c r="Y66" s="5">
        <f t="shared" si="3"/>
        <v>12260652</v>
      </c>
      <c r="Z66" s="5">
        <f t="shared" si="4"/>
        <v>52874061.750000022</v>
      </c>
    </row>
    <row r="67" spans="1:26" x14ac:dyDescent="0.25">
      <c r="A67">
        <v>10690</v>
      </c>
      <c r="B67">
        <v>183</v>
      </c>
      <c r="C67">
        <v>2012</v>
      </c>
      <c r="D67" t="s">
        <v>89</v>
      </c>
      <c r="E67" t="s">
        <v>91</v>
      </c>
      <c r="F67" s="2">
        <v>0</v>
      </c>
      <c r="G67" s="2">
        <v>0.88677469020406363</v>
      </c>
      <c r="H67" s="14">
        <f t="shared" si="0"/>
        <v>0</v>
      </c>
      <c r="I67" s="5">
        <v>18500000</v>
      </c>
      <c r="J67">
        <v>4</v>
      </c>
      <c r="K67" s="6">
        <v>9.7200000000000009E-2</v>
      </c>
      <c r="L67" s="6">
        <v>0</v>
      </c>
      <c r="M67" t="str">
        <f t="shared" si="5"/>
        <v>SENIOR</v>
      </c>
      <c r="N67" t="s">
        <v>90</v>
      </c>
      <c r="O67" t="str">
        <f>VLOOKUP(Table1[[#This Row],[SCHEMATIC TYPE]],'SCHEMATIC Lookup'!$B$1:$C$5,2)</f>
        <v>Senior Whole Loan</v>
      </c>
      <c r="P67" s="8">
        <v>20862120</v>
      </c>
      <c r="Q67" t="s">
        <v>71</v>
      </c>
      <c r="R67" t="s">
        <v>80</v>
      </c>
      <c r="S67" t="s">
        <v>71</v>
      </c>
      <c r="T67" t="s">
        <v>71</v>
      </c>
      <c r="U67" s="12" t="s">
        <v>238</v>
      </c>
      <c r="V67" s="12" t="s">
        <v>237</v>
      </c>
      <c r="W67" s="11">
        <v>30</v>
      </c>
      <c r="X67" s="2">
        <f t="shared" si="2"/>
        <v>0</v>
      </c>
      <c r="Y67" s="5">
        <f t="shared" si="3"/>
        <v>18500000</v>
      </c>
      <c r="Z67" s="5">
        <f t="shared" si="4"/>
        <v>18500000</v>
      </c>
    </row>
    <row r="68" spans="1:26" x14ac:dyDescent="0.25">
      <c r="A68">
        <v>10720</v>
      </c>
      <c r="B68">
        <v>220</v>
      </c>
      <c r="C68">
        <v>2013</v>
      </c>
      <c r="D68" t="s">
        <v>74</v>
      </c>
      <c r="E68" t="s">
        <v>69</v>
      </c>
      <c r="F68" s="2">
        <v>0.56646341463414629</v>
      </c>
      <c r="G68" s="2">
        <v>0.65792682926829271</v>
      </c>
      <c r="H68" s="14">
        <f t="shared" si="0"/>
        <v>0</v>
      </c>
      <c r="I68" s="5">
        <v>15000000</v>
      </c>
      <c r="J68">
        <v>5</v>
      </c>
      <c r="K68" s="6">
        <v>0.1</v>
      </c>
      <c r="L68" s="6">
        <v>0</v>
      </c>
      <c r="M68" t="str">
        <f t="shared" si="5"/>
        <v>SUB</v>
      </c>
      <c r="N68" t="s">
        <v>75</v>
      </c>
      <c r="O68" t="str">
        <f>VLOOKUP(Table1[[#This Row],[SCHEMATIC TYPE]],'SCHEMATIC Lookup'!$B$1:$C$5,2)</f>
        <v>Mezzanine Loan</v>
      </c>
      <c r="P68" s="8">
        <v>190000000</v>
      </c>
      <c r="Q68" t="s">
        <v>19</v>
      </c>
      <c r="R68" t="s">
        <v>82</v>
      </c>
      <c r="S68" t="s">
        <v>19</v>
      </c>
      <c r="T68" t="s">
        <v>19</v>
      </c>
      <c r="U68" s="12" t="s">
        <v>230</v>
      </c>
      <c r="V68" s="12" t="s">
        <v>234</v>
      </c>
      <c r="W68" s="11">
        <v>36</v>
      </c>
      <c r="X68" s="2">
        <f t="shared" si="2"/>
        <v>0.56646341463414629</v>
      </c>
      <c r="Y68" s="5">
        <f t="shared" si="3"/>
        <v>15000000</v>
      </c>
      <c r="Z68" s="5">
        <f t="shared" si="4"/>
        <v>15000000</v>
      </c>
    </row>
    <row r="69" spans="1:26" x14ac:dyDescent="0.25">
      <c r="A69">
        <v>10730</v>
      </c>
      <c r="B69">
        <v>119</v>
      </c>
      <c r="C69">
        <v>2016</v>
      </c>
      <c r="D69" t="s">
        <v>68</v>
      </c>
      <c r="E69" t="s">
        <v>69</v>
      </c>
      <c r="F69" s="2">
        <v>0.52</v>
      </c>
      <c r="G69" s="2">
        <v>0.75</v>
      </c>
      <c r="H69" s="14">
        <f t="shared" si="0"/>
        <v>0</v>
      </c>
      <c r="I69" s="5">
        <v>11400000</v>
      </c>
      <c r="J69">
        <v>5</v>
      </c>
      <c r="K69" s="6">
        <v>0.1095</v>
      </c>
      <c r="L69" s="6">
        <v>0.7</v>
      </c>
      <c r="M69" t="str">
        <f t="shared" si="5"/>
        <v>SUBL</v>
      </c>
      <c r="N69" t="s">
        <v>70</v>
      </c>
      <c r="O69" t="str">
        <f>VLOOKUP(Table1[[#This Row],[SCHEMATIC TYPE]],'SCHEMATIC Lookup'!$B$1:$C$5,2)</f>
        <v>Leveraged Whole Loan</v>
      </c>
      <c r="P69" s="8">
        <v>51000000</v>
      </c>
      <c r="Q69" t="s">
        <v>71</v>
      </c>
      <c r="R69" t="s">
        <v>73</v>
      </c>
      <c r="S69" t="s">
        <v>71</v>
      </c>
      <c r="T69" t="s">
        <v>71</v>
      </c>
      <c r="U69" s="12" t="s">
        <v>236</v>
      </c>
      <c r="V69" s="12" t="s">
        <v>231</v>
      </c>
      <c r="W69" s="11">
        <v>56</v>
      </c>
      <c r="X69" s="2">
        <f t="shared" si="2"/>
        <v>0.52</v>
      </c>
      <c r="Y69" s="5">
        <f t="shared" si="3"/>
        <v>11400000</v>
      </c>
      <c r="Z69" s="5">
        <f t="shared" si="4"/>
        <v>37173913.043478265</v>
      </c>
    </row>
    <row r="70" spans="1:26" x14ac:dyDescent="0.25">
      <c r="A70">
        <v>10740</v>
      </c>
      <c r="B70">
        <v>103</v>
      </c>
      <c r="C70">
        <v>2015</v>
      </c>
      <c r="D70" t="s">
        <v>74</v>
      </c>
      <c r="E70" t="s">
        <v>77</v>
      </c>
      <c r="F70" s="2">
        <v>0.14729999999999999</v>
      </c>
      <c r="G70" s="2">
        <v>0.31740000000000002</v>
      </c>
      <c r="H70" s="14">
        <f t="shared" si="0"/>
        <v>0</v>
      </c>
      <c r="I70" s="5">
        <v>480000000</v>
      </c>
      <c r="J70">
        <v>2</v>
      </c>
      <c r="K70" s="6">
        <v>0.03</v>
      </c>
      <c r="L70" s="6">
        <v>0</v>
      </c>
      <c r="M70" t="str">
        <f t="shared" si="5"/>
        <v>SUB</v>
      </c>
      <c r="N70" t="s">
        <v>75</v>
      </c>
      <c r="O70" t="str">
        <f>VLOOKUP(Table1[[#This Row],[SCHEMATIC TYPE]],'SCHEMATIC Lookup'!$B$1:$C$5,2)</f>
        <v>Mezzanine Loan</v>
      </c>
      <c r="P70" s="8">
        <v>2715190532.4511657</v>
      </c>
      <c r="Q70" t="s">
        <v>19</v>
      </c>
      <c r="R70" t="s">
        <v>73</v>
      </c>
      <c r="S70" t="s">
        <v>19</v>
      </c>
      <c r="T70" t="s">
        <v>19</v>
      </c>
      <c r="U70" s="12" t="s">
        <v>238</v>
      </c>
      <c r="V70" s="12" t="s">
        <v>238</v>
      </c>
      <c r="W70" s="11">
        <v>35.613963039014379</v>
      </c>
      <c r="X70" s="2">
        <f t="shared" si="2"/>
        <v>0.14729999999999999</v>
      </c>
      <c r="Y70" s="5">
        <f t="shared" si="3"/>
        <v>480000000</v>
      </c>
      <c r="Z70" s="5">
        <f t="shared" si="4"/>
        <v>480000000</v>
      </c>
    </row>
    <row r="71" spans="1:26" x14ac:dyDescent="0.25">
      <c r="A71">
        <v>10750</v>
      </c>
      <c r="B71">
        <v>119</v>
      </c>
      <c r="C71">
        <v>2015</v>
      </c>
      <c r="D71" t="s">
        <v>68</v>
      </c>
      <c r="E71" t="s">
        <v>69</v>
      </c>
      <c r="F71" s="2">
        <v>0.46</v>
      </c>
      <c r="G71" s="2">
        <v>0.71</v>
      </c>
      <c r="H71" s="14">
        <f t="shared" ref="H71:H134" si="6">(G71=F71)*1</f>
        <v>0</v>
      </c>
      <c r="I71" s="5">
        <v>11200000</v>
      </c>
      <c r="J71">
        <v>2</v>
      </c>
      <c r="K71" s="6">
        <v>8.9700000000000002E-2</v>
      </c>
      <c r="L71" s="6">
        <v>0.65</v>
      </c>
      <c r="M71" t="str">
        <f t="shared" ref="M71:M102" si="7">IF(AND(H71=0,OR(F71&gt;0,L71&gt;0)),"SUB",IF(AND(H71=0,F71=0),"SENIOR","BAD"))&amp;IF(L71&gt;0,"L","")</f>
        <v>SUBL</v>
      </c>
      <c r="N71" t="s">
        <v>70</v>
      </c>
      <c r="O71" t="str">
        <f>VLOOKUP(Table1[[#This Row],[SCHEMATIC TYPE]],'SCHEMATIC Lookup'!$B$1:$C$5,2)</f>
        <v>Leveraged Whole Loan</v>
      </c>
      <c r="P71" s="8">
        <v>45070000</v>
      </c>
      <c r="Q71" t="s">
        <v>71</v>
      </c>
      <c r="R71" t="s">
        <v>73</v>
      </c>
      <c r="S71" t="s">
        <v>71</v>
      </c>
      <c r="T71" t="s">
        <v>71</v>
      </c>
      <c r="U71" s="12" t="s">
        <v>232</v>
      </c>
      <c r="V71" s="12" t="s">
        <v>233</v>
      </c>
      <c r="W71" s="11">
        <v>60</v>
      </c>
      <c r="X71" s="2">
        <f t="shared" ref="X71:X134" si="8">IF(F71=0,L71*G71,F71)</f>
        <v>0.46</v>
      </c>
      <c r="Y71" s="5">
        <f t="shared" ref="Y71:Y134" si="9">IF(AND(F71=0,X71&gt;0),I71*(1-L71),I71)</f>
        <v>11200000</v>
      </c>
      <c r="Z71" s="5">
        <f t="shared" ref="Z71:Z134" si="10">IF(AND(L71&gt;0,F71&lt;&gt;0),I71/((G71-F71)/G71),I71)</f>
        <v>31808000.000000007</v>
      </c>
    </row>
    <row r="72" spans="1:26" x14ac:dyDescent="0.25">
      <c r="A72">
        <v>10770</v>
      </c>
      <c r="B72">
        <v>103</v>
      </c>
      <c r="C72">
        <v>2006</v>
      </c>
      <c r="D72" t="s">
        <v>74</v>
      </c>
      <c r="E72" t="s">
        <v>69</v>
      </c>
      <c r="F72" s="2">
        <v>0.53180174430972138</v>
      </c>
      <c r="G72" s="2">
        <v>0.81099766007232499</v>
      </c>
      <c r="H72" s="14">
        <f t="shared" si="6"/>
        <v>0</v>
      </c>
      <c r="I72" s="5">
        <v>115000000</v>
      </c>
      <c r="J72">
        <v>5</v>
      </c>
      <c r="K72" s="6">
        <v>2.7199999999999998E-2</v>
      </c>
      <c r="L72" s="6">
        <v>0</v>
      </c>
      <c r="M72" t="str">
        <f t="shared" si="7"/>
        <v>SUB</v>
      </c>
      <c r="N72" t="s">
        <v>75</v>
      </c>
      <c r="O72" t="str">
        <f>VLOOKUP(Table1[[#This Row],[SCHEMATIC TYPE]],'SCHEMATIC Lookup'!$B$1:$C$5,2)</f>
        <v>Mezzanine Loan</v>
      </c>
      <c r="P72" s="8">
        <v>1880400000</v>
      </c>
      <c r="Q72" t="s">
        <v>19</v>
      </c>
      <c r="R72" t="s">
        <v>82</v>
      </c>
      <c r="S72" t="s">
        <v>19</v>
      </c>
      <c r="T72" t="s">
        <v>19</v>
      </c>
      <c r="U72" s="12" t="s">
        <v>236</v>
      </c>
      <c r="V72" s="12" t="s">
        <v>237</v>
      </c>
      <c r="W72" s="11">
        <v>83.05544147843942</v>
      </c>
      <c r="X72" s="2">
        <f t="shared" si="8"/>
        <v>0.53180174430972138</v>
      </c>
      <c r="Y72" s="5">
        <f t="shared" si="9"/>
        <v>115000000</v>
      </c>
      <c r="Z72" s="5">
        <f t="shared" si="10"/>
        <v>115000000</v>
      </c>
    </row>
    <row r="73" spans="1:26" x14ac:dyDescent="0.25">
      <c r="A73">
        <v>10780</v>
      </c>
      <c r="B73">
        <v>220</v>
      </c>
      <c r="C73">
        <v>2013</v>
      </c>
      <c r="D73" t="s">
        <v>74</v>
      </c>
      <c r="E73" t="s">
        <v>69</v>
      </c>
      <c r="F73" s="2">
        <v>0.61523112736947128</v>
      </c>
      <c r="G73" s="2">
        <v>0.75823079481210509</v>
      </c>
      <c r="H73" s="14">
        <f t="shared" si="6"/>
        <v>0</v>
      </c>
      <c r="I73" s="5">
        <v>43000000</v>
      </c>
      <c r="J73">
        <v>1</v>
      </c>
      <c r="K73" s="6">
        <v>8.2500000000000004E-2</v>
      </c>
      <c r="L73" s="6">
        <v>0</v>
      </c>
      <c r="M73" t="str">
        <f t="shared" si="7"/>
        <v>SUB</v>
      </c>
      <c r="N73" t="s">
        <v>75</v>
      </c>
      <c r="O73" t="str">
        <f>VLOOKUP(Table1[[#This Row],[SCHEMATIC TYPE]],'SCHEMATIC Lookup'!$B$1:$C$5,2)</f>
        <v>Mezzanine Loan</v>
      </c>
      <c r="P73" s="8">
        <v>348182163.40676606</v>
      </c>
      <c r="Q73" t="s">
        <v>19</v>
      </c>
      <c r="R73" t="s">
        <v>82</v>
      </c>
      <c r="S73" t="s">
        <v>19</v>
      </c>
      <c r="T73" t="s">
        <v>19</v>
      </c>
      <c r="U73" s="12" t="s">
        <v>235</v>
      </c>
      <c r="V73" s="12" t="s">
        <v>231</v>
      </c>
      <c r="W73" s="11">
        <v>36</v>
      </c>
      <c r="X73" s="2">
        <f t="shared" si="8"/>
        <v>0.61523112736947128</v>
      </c>
      <c r="Y73" s="5">
        <f t="shared" si="9"/>
        <v>43000000</v>
      </c>
      <c r="Z73" s="5">
        <f t="shared" si="10"/>
        <v>43000000</v>
      </c>
    </row>
    <row r="74" spans="1:26" x14ac:dyDescent="0.25">
      <c r="A74">
        <v>10790</v>
      </c>
      <c r="B74">
        <v>103</v>
      </c>
      <c r="C74">
        <v>2005</v>
      </c>
      <c r="D74" t="s">
        <v>85</v>
      </c>
      <c r="E74" t="s">
        <v>77</v>
      </c>
      <c r="F74" s="2">
        <v>0.30969999999999998</v>
      </c>
      <c r="G74" s="2">
        <v>0.60699999999999998</v>
      </c>
      <c r="H74" s="14">
        <f t="shared" si="6"/>
        <v>0</v>
      </c>
      <c r="I74" s="5">
        <v>10000000</v>
      </c>
      <c r="J74">
        <v>4</v>
      </c>
      <c r="K74" s="6">
        <v>5.62E-2</v>
      </c>
      <c r="L74" s="6">
        <v>0</v>
      </c>
      <c r="M74" t="str">
        <f t="shared" si="7"/>
        <v>SUB</v>
      </c>
      <c r="N74" t="s">
        <v>84</v>
      </c>
      <c r="O74" t="str">
        <f>VLOOKUP(Table1[[#This Row],[SCHEMATIC TYPE]],'SCHEMATIC Lookup'!$B$1:$C$5,2)</f>
        <v>Other Subordinate</v>
      </c>
      <c r="P74" s="8">
        <v>34000000</v>
      </c>
      <c r="Q74" t="s">
        <v>19</v>
      </c>
      <c r="R74" t="s">
        <v>92</v>
      </c>
      <c r="S74" t="s">
        <v>19</v>
      </c>
      <c r="T74" t="s">
        <v>19</v>
      </c>
      <c r="U74" s="12" t="s">
        <v>238</v>
      </c>
      <c r="V74" s="12" t="s">
        <v>235</v>
      </c>
      <c r="W74" s="11">
        <v>179.05544147843943</v>
      </c>
      <c r="X74" s="2">
        <f t="shared" si="8"/>
        <v>0.30969999999999998</v>
      </c>
      <c r="Y74" s="5">
        <f t="shared" si="9"/>
        <v>10000000</v>
      </c>
      <c r="Z74" s="5">
        <f t="shared" si="10"/>
        <v>10000000</v>
      </c>
    </row>
    <row r="75" spans="1:26" x14ac:dyDescent="0.25">
      <c r="A75">
        <v>10800</v>
      </c>
      <c r="B75">
        <v>220</v>
      </c>
      <c r="C75">
        <v>2014</v>
      </c>
      <c r="D75" t="s">
        <v>74</v>
      </c>
      <c r="E75" t="s">
        <v>69</v>
      </c>
      <c r="F75" s="2">
        <v>0.4975609756097561</v>
      </c>
      <c r="G75" s="2">
        <v>0.73170731707317072</v>
      </c>
      <c r="H75" s="14">
        <f t="shared" si="6"/>
        <v>0</v>
      </c>
      <c r="I75" s="5">
        <v>48000000</v>
      </c>
      <c r="J75">
        <v>1</v>
      </c>
      <c r="K75" s="6">
        <v>9.5000000000000001E-2</v>
      </c>
      <c r="L75" s="6">
        <v>0</v>
      </c>
      <c r="M75" t="str">
        <f t="shared" si="7"/>
        <v>SUB</v>
      </c>
      <c r="N75" t="s">
        <v>75</v>
      </c>
      <c r="O75" t="str">
        <f>VLOOKUP(Table1[[#This Row],[SCHEMATIC TYPE]],'SCHEMATIC Lookup'!$B$1:$C$5,2)</f>
        <v>Mezzanine Loan</v>
      </c>
      <c r="P75" s="8">
        <v>169000000</v>
      </c>
      <c r="Q75" t="s">
        <v>71</v>
      </c>
      <c r="R75" t="s">
        <v>80</v>
      </c>
      <c r="S75" t="s">
        <v>71</v>
      </c>
      <c r="T75" t="s">
        <v>71</v>
      </c>
      <c r="U75" s="12" t="s">
        <v>232</v>
      </c>
      <c r="V75" s="12" t="s">
        <v>233</v>
      </c>
      <c r="W75" s="11">
        <v>24</v>
      </c>
      <c r="X75" s="2">
        <f t="shared" si="8"/>
        <v>0.4975609756097561</v>
      </c>
      <c r="Y75" s="5">
        <f t="shared" si="9"/>
        <v>48000000</v>
      </c>
      <c r="Z75" s="5">
        <f t="shared" si="10"/>
        <v>48000000</v>
      </c>
    </row>
    <row r="76" spans="1:26" x14ac:dyDescent="0.25">
      <c r="A76">
        <v>10810</v>
      </c>
      <c r="B76">
        <v>119</v>
      </c>
      <c r="C76">
        <v>2016</v>
      </c>
      <c r="D76" t="s">
        <v>68</v>
      </c>
      <c r="E76" t="s">
        <v>69</v>
      </c>
      <c r="F76" s="2">
        <v>0.5</v>
      </c>
      <c r="G76" s="2">
        <v>0.74</v>
      </c>
      <c r="H76" s="14">
        <f t="shared" si="6"/>
        <v>0</v>
      </c>
      <c r="I76" s="5">
        <v>11655000</v>
      </c>
      <c r="J76">
        <v>1</v>
      </c>
      <c r="K76" s="6">
        <v>9.3899999999999997E-2</v>
      </c>
      <c r="L76" s="6">
        <v>0.65</v>
      </c>
      <c r="M76" t="str">
        <f t="shared" si="7"/>
        <v>SUBL</v>
      </c>
      <c r="N76" t="s">
        <v>70</v>
      </c>
      <c r="O76" t="str">
        <f>VLOOKUP(Table1[[#This Row],[SCHEMATIC TYPE]],'SCHEMATIC Lookup'!$B$1:$C$5,2)</f>
        <v>Leveraged Whole Loan</v>
      </c>
      <c r="P76" s="8">
        <v>45030000</v>
      </c>
      <c r="Q76" t="s">
        <v>71</v>
      </c>
      <c r="R76" t="s">
        <v>72</v>
      </c>
      <c r="S76" t="s">
        <v>71</v>
      </c>
      <c r="T76" t="s">
        <v>71</v>
      </c>
      <c r="U76" s="12" t="s">
        <v>236</v>
      </c>
      <c r="V76" s="12" t="s">
        <v>233</v>
      </c>
      <c r="W76" s="11">
        <v>60</v>
      </c>
      <c r="X76" s="2">
        <f t="shared" si="8"/>
        <v>0.5</v>
      </c>
      <c r="Y76" s="5">
        <f t="shared" si="9"/>
        <v>11655000</v>
      </c>
      <c r="Z76" s="5">
        <f t="shared" si="10"/>
        <v>35936250</v>
      </c>
    </row>
    <row r="77" spans="1:26" x14ac:dyDescent="0.25">
      <c r="A77">
        <v>10820</v>
      </c>
      <c r="B77">
        <v>220</v>
      </c>
      <c r="C77">
        <v>2012</v>
      </c>
      <c r="D77" t="s">
        <v>74</v>
      </c>
      <c r="E77" t="s">
        <v>77</v>
      </c>
      <c r="F77" s="2">
        <v>0.56885053719008261</v>
      </c>
      <c r="G77" s="2">
        <v>0.782877785123967</v>
      </c>
      <c r="H77" s="14">
        <f t="shared" si="6"/>
        <v>0</v>
      </c>
      <c r="I77" s="5">
        <v>25897297</v>
      </c>
      <c r="J77">
        <v>3</v>
      </c>
      <c r="K77" s="6">
        <v>9.5000000000000001E-2</v>
      </c>
      <c r="L77" s="6">
        <v>0</v>
      </c>
      <c r="M77" t="str">
        <f t="shared" si="7"/>
        <v>SUB</v>
      </c>
      <c r="N77" t="s">
        <v>75</v>
      </c>
      <c r="O77" t="str">
        <f>VLOOKUP(Table1[[#This Row],[SCHEMATIC TYPE]],'SCHEMATIC Lookup'!$B$1:$C$5,2)</f>
        <v>Mezzanine Loan</v>
      </c>
      <c r="P77" s="8">
        <v>150700000</v>
      </c>
      <c r="Q77" t="s">
        <v>19</v>
      </c>
      <c r="R77" t="s">
        <v>82</v>
      </c>
      <c r="S77" t="s">
        <v>19</v>
      </c>
      <c r="T77" t="s">
        <v>19</v>
      </c>
      <c r="U77" s="12" t="s">
        <v>230</v>
      </c>
      <c r="V77" s="12" t="s">
        <v>231</v>
      </c>
      <c r="W77" s="11">
        <v>84</v>
      </c>
      <c r="X77" s="2">
        <f t="shared" si="8"/>
        <v>0.56885053719008261</v>
      </c>
      <c r="Y77" s="5">
        <f t="shared" si="9"/>
        <v>25897297</v>
      </c>
      <c r="Z77" s="5">
        <f t="shared" si="10"/>
        <v>25897297</v>
      </c>
    </row>
    <row r="78" spans="1:26" x14ac:dyDescent="0.25">
      <c r="A78">
        <v>10830</v>
      </c>
      <c r="B78">
        <v>220</v>
      </c>
      <c r="C78">
        <v>2012</v>
      </c>
      <c r="D78" t="s">
        <v>74</v>
      </c>
      <c r="E78" t="s">
        <v>77</v>
      </c>
      <c r="F78" s="2">
        <v>0.59443615238095238</v>
      </c>
      <c r="G78" s="2">
        <v>0.74456228571428573</v>
      </c>
      <c r="H78" s="14">
        <f t="shared" si="6"/>
        <v>0</v>
      </c>
      <c r="I78" s="5">
        <v>7881622</v>
      </c>
      <c r="J78">
        <v>3</v>
      </c>
      <c r="K78" s="6">
        <v>9.5000000000000001E-2</v>
      </c>
      <c r="L78" s="6">
        <v>0</v>
      </c>
      <c r="M78" t="str">
        <f t="shared" si="7"/>
        <v>SUB</v>
      </c>
      <c r="N78" t="s">
        <v>75</v>
      </c>
      <c r="O78" t="str">
        <f>VLOOKUP(Table1[[#This Row],[SCHEMATIC TYPE]],'SCHEMATIC Lookup'!$B$1:$C$5,2)</f>
        <v>Mezzanine Loan</v>
      </c>
      <c r="P78" s="8">
        <v>65700000</v>
      </c>
      <c r="Q78" t="s">
        <v>19</v>
      </c>
      <c r="R78" t="s">
        <v>82</v>
      </c>
      <c r="S78" t="s">
        <v>19</v>
      </c>
      <c r="T78" t="s">
        <v>19</v>
      </c>
      <c r="U78" s="12" t="s">
        <v>230</v>
      </c>
      <c r="V78" s="12" t="s">
        <v>233</v>
      </c>
      <c r="W78" s="11">
        <v>84</v>
      </c>
      <c r="X78" s="2">
        <f t="shared" si="8"/>
        <v>0.59443615238095238</v>
      </c>
      <c r="Y78" s="5">
        <f t="shared" si="9"/>
        <v>7881622</v>
      </c>
      <c r="Z78" s="5">
        <f t="shared" si="10"/>
        <v>7881622</v>
      </c>
    </row>
    <row r="79" spans="1:26" x14ac:dyDescent="0.25">
      <c r="A79">
        <v>10840</v>
      </c>
      <c r="B79">
        <v>220</v>
      </c>
      <c r="C79">
        <v>2012</v>
      </c>
      <c r="D79" t="s">
        <v>74</v>
      </c>
      <c r="E79" t="s">
        <v>77</v>
      </c>
      <c r="F79" s="2">
        <v>0.62440612121212125</v>
      </c>
      <c r="G79" s="2">
        <v>0.81696959090909094</v>
      </c>
      <c r="H79" s="14">
        <f t="shared" si="6"/>
        <v>0</v>
      </c>
      <c r="I79" s="5">
        <v>12709189</v>
      </c>
      <c r="J79">
        <v>3</v>
      </c>
      <c r="K79" s="6">
        <v>9.5000000000000001E-2</v>
      </c>
      <c r="L79" s="6">
        <v>0</v>
      </c>
      <c r="M79" t="str">
        <f t="shared" si="7"/>
        <v>SUB</v>
      </c>
      <c r="N79" t="s">
        <v>75</v>
      </c>
      <c r="O79" t="str">
        <f>VLOOKUP(Table1[[#This Row],[SCHEMATIC TYPE]],'SCHEMATIC Lookup'!$B$1:$C$5,2)</f>
        <v>Mezzanine Loan</v>
      </c>
      <c r="P79" s="8">
        <v>73500000</v>
      </c>
      <c r="Q79" t="s">
        <v>19</v>
      </c>
      <c r="R79" t="s">
        <v>82</v>
      </c>
      <c r="S79" t="s">
        <v>19</v>
      </c>
      <c r="T79" t="s">
        <v>19</v>
      </c>
      <c r="U79" s="12" t="s">
        <v>235</v>
      </c>
      <c r="V79" s="12" t="s">
        <v>237</v>
      </c>
      <c r="W79" s="11">
        <v>84</v>
      </c>
      <c r="X79" s="2">
        <f t="shared" si="8"/>
        <v>0.62440612121212125</v>
      </c>
      <c r="Y79" s="5">
        <f t="shared" si="9"/>
        <v>12709189</v>
      </c>
      <c r="Z79" s="5">
        <f t="shared" si="10"/>
        <v>12709189</v>
      </c>
    </row>
    <row r="80" spans="1:26" x14ac:dyDescent="0.25">
      <c r="A80">
        <v>10850</v>
      </c>
      <c r="B80">
        <v>220</v>
      </c>
      <c r="C80">
        <v>2012</v>
      </c>
      <c r="D80" t="s">
        <v>74</v>
      </c>
      <c r="E80" t="s">
        <v>77</v>
      </c>
      <c r="F80" s="2">
        <v>0.58496528358208955</v>
      </c>
      <c r="G80" s="2">
        <v>0.78663531343283577</v>
      </c>
      <c r="H80" s="14">
        <f t="shared" si="6"/>
        <v>0</v>
      </c>
      <c r="I80" s="5">
        <v>13511892</v>
      </c>
      <c r="J80">
        <v>3</v>
      </c>
      <c r="K80" s="6">
        <v>9.5000000000000001E-2</v>
      </c>
      <c r="L80" s="6">
        <v>0</v>
      </c>
      <c r="M80" t="str">
        <f t="shared" si="7"/>
        <v>SUB</v>
      </c>
      <c r="N80" t="s">
        <v>75</v>
      </c>
      <c r="O80" t="str">
        <f>VLOOKUP(Table1[[#This Row],[SCHEMATIC TYPE]],'SCHEMATIC Lookup'!$B$1:$C$5,2)</f>
        <v>Mezzanine Loan</v>
      </c>
      <c r="P80" s="8">
        <v>79000000</v>
      </c>
      <c r="Q80" t="s">
        <v>19</v>
      </c>
      <c r="R80" t="s">
        <v>82</v>
      </c>
      <c r="S80" t="s">
        <v>19</v>
      </c>
      <c r="T80" t="s">
        <v>19</v>
      </c>
      <c r="U80" s="12" t="s">
        <v>230</v>
      </c>
      <c r="V80" s="12" t="s">
        <v>231</v>
      </c>
      <c r="W80" s="11">
        <v>84</v>
      </c>
      <c r="X80" s="2">
        <f t="shared" si="8"/>
        <v>0.58496528358208955</v>
      </c>
      <c r="Y80" s="5">
        <f t="shared" si="9"/>
        <v>13511892</v>
      </c>
      <c r="Z80" s="5">
        <f t="shared" si="10"/>
        <v>13511892</v>
      </c>
    </row>
    <row r="81" spans="1:26" x14ac:dyDescent="0.25">
      <c r="A81">
        <v>10860</v>
      </c>
      <c r="B81">
        <v>103</v>
      </c>
      <c r="C81">
        <v>2014</v>
      </c>
      <c r="D81" t="s">
        <v>74</v>
      </c>
      <c r="E81" t="s">
        <v>69</v>
      </c>
      <c r="F81" s="2">
        <v>0.49494949494949497</v>
      </c>
      <c r="G81" s="2">
        <v>0.70202020202020199</v>
      </c>
      <c r="H81" s="14">
        <f t="shared" si="6"/>
        <v>0</v>
      </c>
      <c r="I81" s="5">
        <v>20500000</v>
      </c>
      <c r="J81">
        <v>5</v>
      </c>
      <c r="K81" s="6">
        <v>6.5000000000000002E-2</v>
      </c>
      <c r="L81" s="6">
        <v>0</v>
      </c>
      <c r="M81" t="str">
        <f t="shared" si="7"/>
        <v>SUB</v>
      </c>
      <c r="N81" t="s">
        <v>75</v>
      </c>
      <c r="O81" t="str">
        <f>VLOOKUP(Table1[[#This Row],[SCHEMATIC TYPE]],'SCHEMATIC Lookup'!$B$1:$C$5,2)</f>
        <v>Mezzanine Loan</v>
      </c>
      <c r="P81" s="8">
        <v>113000000</v>
      </c>
      <c r="Q81" t="s">
        <v>19</v>
      </c>
      <c r="R81" t="s">
        <v>82</v>
      </c>
      <c r="S81" t="s">
        <v>19</v>
      </c>
      <c r="T81" t="s">
        <v>19</v>
      </c>
      <c r="U81" s="12" t="s">
        <v>232</v>
      </c>
      <c r="V81" s="12" t="s">
        <v>233</v>
      </c>
      <c r="W81" s="11">
        <v>57.396303901437378</v>
      </c>
      <c r="X81" s="2">
        <f t="shared" si="8"/>
        <v>0.49494949494949497</v>
      </c>
      <c r="Y81" s="5">
        <f t="shared" si="9"/>
        <v>20500000</v>
      </c>
      <c r="Z81" s="5">
        <f t="shared" si="10"/>
        <v>20500000</v>
      </c>
    </row>
    <row r="82" spans="1:26" x14ac:dyDescent="0.25">
      <c r="A82">
        <v>10870</v>
      </c>
      <c r="B82">
        <v>103</v>
      </c>
      <c r="C82">
        <v>2007</v>
      </c>
      <c r="D82" t="s">
        <v>74</v>
      </c>
      <c r="E82" t="s">
        <v>69</v>
      </c>
      <c r="F82" s="2">
        <v>0.61292046783625731</v>
      </c>
      <c r="G82" s="2">
        <v>0.6714</v>
      </c>
      <c r="H82" s="14">
        <f t="shared" si="6"/>
        <v>0</v>
      </c>
      <c r="I82" s="5">
        <v>549946045.58000004</v>
      </c>
      <c r="J82">
        <v>1</v>
      </c>
      <c r="K82" s="6">
        <v>1.7500000000000002E-2</v>
      </c>
      <c r="L82" s="6">
        <v>0</v>
      </c>
      <c r="M82" t="str">
        <f t="shared" si="7"/>
        <v>SUB</v>
      </c>
      <c r="N82" t="s">
        <v>75</v>
      </c>
      <c r="O82" t="str">
        <f>VLOOKUP(Table1[[#This Row],[SCHEMATIC TYPE]],'SCHEMATIC Lookup'!$B$1:$C$5,2)</f>
        <v>Mezzanine Loan</v>
      </c>
      <c r="P82" s="8">
        <v>34100000000</v>
      </c>
      <c r="Q82" t="s">
        <v>93</v>
      </c>
      <c r="R82" t="s">
        <v>72</v>
      </c>
      <c r="S82" t="s">
        <v>19</v>
      </c>
      <c r="T82" t="s">
        <v>19</v>
      </c>
      <c r="U82" s="12" t="s">
        <v>235</v>
      </c>
      <c r="V82" s="12" t="s">
        <v>234</v>
      </c>
      <c r="W82" s="11">
        <v>45.995893223819301</v>
      </c>
      <c r="X82" s="2">
        <f t="shared" si="8"/>
        <v>0.61292046783625731</v>
      </c>
      <c r="Y82" s="5">
        <f t="shared" si="9"/>
        <v>549946045.58000004</v>
      </c>
      <c r="Z82" s="5">
        <f t="shared" si="10"/>
        <v>549946045.58000004</v>
      </c>
    </row>
    <row r="83" spans="1:26" x14ac:dyDescent="0.25">
      <c r="A83">
        <v>10880</v>
      </c>
      <c r="B83">
        <v>103</v>
      </c>
      <c r="C83">
        <v>2010</v>
      </c>
      <c r="D83" t="s">
        <v>74</v>
      </c>
      <c r="E83" t="s">
        <v>69</v>
      </c>
      <c r="F83" s="2">
        <v>0.56999999999999995</v>
      </c>
      <c r="G83" s="2">
        <v>0.62</v>
      </c>
      <c r="H83" s="14">
        <f t="shared" si="6"/>
        <v>0</v>
      </c>
      <c r="I83" s="5">
        <v>201744599.05000001</v>
      </c>
      <c r="J83">
        <v>1</v>
      </c>
      <c r="K83" s="6">
        <v>2.2499999999999999E-2</v>
      </c>
      <c r="L83" s="6">
        <v>0</v>
      </c>
      <c r="M83" t="str">
        <f t="shared" si="7"/>
        <v>SUB</v>
      </c>
      <c r="N83" t="s">
        <v>75</v>
      </c>
      <c r="O83" t="str">
        <f>VLOOKUP(Table1[[#This Row],[SCHEMATIC TYPE]],'SCHEMATIC Lookup'!$B$1:$C$5,2)</f>
        <v>Mezzanine Loan</v>
      </c>
      <c r="P83" s="8">
        <v>34100000000</v>
      </c>
      <c r="Q83" t="s">
        <v>93</v>
      </c>
      <c r="R83" t="s">
        <v>72</v>
      </c>
      <c r="S83" t="s">
        <v>19</v>
      </c>
      <c r="T83" t="s">
        <v>19</v>
      </c>
      <c r="U83" s="12" t="s">
        <v>230</v>
      </c>
      <c r="V83" s="12" t="s">
        <v>235</v>
      </c>
      <c r="W83" s="11">
        <v>37.355236139630392</v>
      </c>
      <c r="X83" s="2">
        <f t="shared" si="8"/>
        <v>0.56999999999999995</v>
      </c>
      <c r="Y83" s="5">
        <f t="shared" si="9"/>
        <v>201744599.05000001</v>
      </c>
      <c r="Z83" s="5">
        <f t="shared" si="10"/>
        <v>201744599.05000001</v>
      </c>
    </row>
    <row r="84" spans="1:26" x14ac:dyDescent="0.25">
      <c r="A84">
        <v>10890</v>
      </c>
      <c r="B84">
        <v>183</v>
      </c>
      <c r="C84">
        <v>2015</v>
      </c>
      <c r="D84" t="s">
        <v>74</v>
      </c>
      <c r="E84" t="s">
        <v>77</v>
      </c>
      <c r="F84" s="2">
        <v>0.43898484897422896</v>
      </c>
      <c r="G84" s="2">
        <v>0.55895929762335705</v>
      </c>
      <c r="H84" s="14">
        <f t="shared" si="6"/>
        <v>0</v>
      </c>
      <c r="I84" s="5">
        <v>21700000</v>
      </c>
      <c r="J84">
        <v>4</v>
      </c>
      <c r="K84" s="6">
        <v>0.11</v>
      </c>
      <c r="L84" s="6">
        <v>0</v>
      </c>
      <c r="M84" t="str">
        <f t="shared" si="7"/>
        <v>SUB</v>
      </c>
      <c r="N84" t="s">
        <v>75</v>
      </c>
      <c r="O84" t="str">
        <f>VLOOKUP(Table1[[#This Row],[SCHEMATIC TYPE]],'SCHEMATIC Lookup'!$B$1:$C$5,2)</f>
        <v>Mezzanine Loan</v>
      </c>
      <c r="P84" s="8">
        <v>180871846</v>
      </c>
      <c r="Q84" t="s">
        <v>71</v>
      </c>
      <c r="R84" t="s">
        <v>80</v>
      </c>
      <c r="S84" t="s">
        <v>71</v>
      </c>
      <c r="T84" t="s">
        <v>71</v>
      </c>
      <c r="U84" s="12" t="s">
        <v>232</v>
      </c>
      <c r="V84" s="12" t="s">
        <v>230</v>
      </c>
      <c r="W84" s="11">
        <v>36</v>
      </c>
      <c r="X84" s="2">
        <f t="shared" si="8"/>
        <v>0.43898484897422896</v>
      </c>
      <c r="Y84" s="5">
        <f t="shared" si="9"/>
        <v>21700000</v>
      </c>
      <c r="Z84" s="5">
        <f t="shared" si="10"/>
        <v>21700000</v>
      </c>
    </row>
    <row r="85" spans="1:26" x14ac:dyDescent="0.25">
      <c r="A85">
        <v>10900</v>
      </c>
      <c r="B85">
        <v>103</v>
      </c>
      <c r="C85">
        <v>2010</v>
      </c>
      <c r="D85" t="s">
        <v>85</v>
      </c>
      <c r="E85" t="s">
        <v>69</v>
      </c>
      <c r="F85" s="2">
        <v>0.570264765784114</v>
      </c>
      <c r="G85" s="2">
        <v>0.7469450101832994</v>
      </c>
      <c r="H85" s="14">
        <f t="shared" si="6"/>
        <v>0</v>
      </c>
      <c r="I85" s="5">
        <v>8675000</v>
      </c>
      <c r="J85">
        <v>1</v>
      </c>
      <c r="K85" s="6">
        <v>0.05</v>
      </c>
      <c r="L85" s="6">
        <v>0</v>
      </c>
      <c r="M85" t="str">
        <f t="shared" si="7"/>
        <v>SUB</v>
      </c>
      <c r="N85" t="s">
        <v>84</v>
      </c>
      <c r="O85" t="str">
        <f>VLOOKUP(Table1[[#This Row],[SCHEMATIC TYPE]],'SCHEMATIC Lookup'!$B$1:$C$5,2)</f>
        <v>Other Subordinate</v>
      </c>
      <c r="P85" s="8">
        <v>49100000</v>
      </c>
      <c r="Q85" t="s">
        <v>19</v>
      </c>
      <c r="R85" t="s">
        <v>82</v>
      </c>
      <c r="S85" t="s">
        <v>19</v>
      </c>
      <c r="T85" t="s">
        <v>19</v>
      </c>
      <c r="U85" s="12" t="s">
        <v>230</v>
      </c>
      <c r="V85" s="12" t="s">
        <v>233</v>
      </c>
      <c r="W85" s="11">
        <v>53.322381930184804</v>
      </c>
      <c r="X85" s="2">
        <f t="shared" si="8"/>
        <v>0.570264765784114</v>
      </c>
      <c r="Y85" s="5">
        <f t="shared" si="9"/>
        <v>8675000</v>
      </c>
      <c r="Z85" s="5">
        <f t="shared" si="10"/>
        <v>8675000</v>
      </c>
    </row>
    <row r="86" spans="1:26" x14ac:dyDescent="0.25">
      <c r="A86">
        <v>10910</v>
      </c>
      <c r="B86">
        <v>119</v>
      </c>
      <c r="C86">
        <v>2015</v>
      </c>
      <c r="D86" t="s">
        <v>68</v>
      </c>
      <c r="E86" t="s">
        <v>69</v>
      </c>
      <c r="F86" s="2">
        <v>0.57999999999999996</v>
      </c>
      <c r="G86" s="2">
        <v>0.75</v>
      </c>
      <c r="H86" s="14">
        <f t="shared" si="6"/>
        <v>0</v>
      </c>
      <c r="I86" s="5">
        <v>22500000</v>
      </c>
      <c r="J86">
        <v>5</v>
      </c>
      <c r="K86" s="6">
        <v>9.9299999999999999E-2</v>
      </c>
      <c r="L86" s="6">
        <v>0.77500000000000002</v>
      </c>
      <c r="M86" t="str">
        <f t="shared" si="7"/>
        <v>SUBL</v>
      </c>
      <c r="N86" t="s">
        <v>70</v>
      </c>
      <c r="O86" t="str">
        <f>VLOOKUP(Table1[[#This Row],[SCHEMATIC TYPE]],'SCHEMATIC Lookup'!$B$1:$C$5,2)</f>
        <v>Leveraged Whole Loan</v>
      </c>
      <c r="P86" s="8">
        <v>133260000</v>
      </c>
      <c r="Q86" t="s">
        <v>71</v>
      </c>
      <c r="R86" t="s">
        <v>72</v>
      </c>
      <c r="S86" t="s">
        <v>71</v>
      </c>
      <c r="T86" t="s">
        <v>71</v>
      </c>
      <c r="U86" s="12" t="s">
        <v>230</v>
      </c>
      <c r="V86" s="12" t="s">
        <v>231</v>
      </c>
      <c r="W86" s="11">
        <v>61</v>
      </c>
      <c r="X86" s="2">
        <f t="shared" si="8"/>
        <v>0.57999999999999996</v>
      </c>
      <c r="Y86" s="5">
        <f t="shared" si="9"/>
        <v>22500000</v>
      </c>
      <c r="Z86" s="5">
        <f t="shared" si="10"/>
        <v>99264705.882352918</v>
      </c>
    </row>
    <row r="87" spans="1:26" x14ac:dyDescent="0.25">
      <c r="A87">
        <v>10920</v>
      </c>
      <c r="B87">
        <v>183</v>
      </c>
      <c r="C87">
        <v>2012</v>
      </c>
      <c r="D87" t="s">
        <v>74</v>
      </c>
      <c r="E87" t="s">
        <v>77</v>
      </c>
      <c r="F87" s="2">
        <v>0.44407894736842107</v>
      </c>
      <c r="G87" s="2">
        <v>0.51644736842105265</v>
      </c>
      <c r="H87" s="14">
        <f t="shared" si="6"/>
        <v>0</v>
      </c>
      <c r="I87" s="5">
        <v>11000000</v>
      </c>
      <c r="J87">
        <v>7</v>
      </c>
      <c r="K87" s="6">
        <v>0.125</v>
      </c>
      <c r="L87" s="6">
        <v>0</v>
      </c>
      <c r="M87" t="str">
        <f t="shared" si="7"/>
        <v>SUB</v>
      </c>
      <c r="N87" t="s">
        <v>75</v>
      </c>
      <c r="O87" t="str">
        <f>VLOOKUP(Table1[[#This Row],[SCHEMATIC TYPE]],'SCHEMATIC Lookup'!$B$1:$C$5,2)</f>
        <v>Mezzanine Loan</v>
      </c>
      <c r="P87" s="8">
        <v>152000000</v>
      </c>
      <c r="Q87" t="s">
        <v>19</v>
      </c>
      <c r="R87" t="s">
        <v>72</v>
      </c>
      <c r="S87" t="s">
        <v>19</v>
      </c>
      <c r="T87" t="s">
        <v>19</v>
      </c>
      <c r="U87" s="12" t="s">
        <v>232</v>
      </c>
      <c r="V87" s="12" t="s">
        <v>240</v>
      </c>
      <c r="W87" s="11">
        <v>36</v>
      </c>
      <c r="X87" s="2">
        <f t="shared" si="8"/>
        <v>0.44407894736842107</v>
      </c>
      <c r="Y87" s="5">
        <f t="shared" si="9"/>
        <v>11000000</v>
      </c>
      <c r="Z87" s="5">
        <f t="shared" si="10"/>
        <v>11000000</v>
      </c>
    </row>
    <row r="88" spans="1:26" x14ac:dyDescent="0.25">
      <c r="A88">
        <v>10930</v>
      </c>
      <c r="B88">
        <v>183</v>
      </c>
      <c r="C88">
        <v>2015</v>
      </c>
      <c r="D88" t="s">
        <v>83</v>
      </c>
      <c r="E88" t="s">
        <v>77</v>
      </c>
      <c r="F88" s="2">
        <v>0.54057415963289557</v>
      </c>
      <c r="G88" s="2">
        <v>0.77145307384559059</v>
      </c>
      <c r="H88" s="14">
        <f t="shared" si="6"/>
        <v>0</v>
      </c>
      <c r="I88" s="5">
        <v>13894982</v>
      </c>
      <c r="J88">
        <v>2</v>
      </c>
      <c r="K88" s="6">
        <v>0.13</v>
      </c>
      <c r="L88" s="6">
        <v>0</v>
      </c>
      <c r="M88" t="str">
        <f t="shared" si="7"/>
        <v>SUB</v>
      </c>
      <c r="N88" t="s">
        <v>84</v>
      </c>
      <c r="O88" t="str">
        <f>VLOOKUP(Table1[[#This Row],[SCHEMATIC TYPE]],'SCHEMATIC Lookup'!$B$1:$C$5,2)</f>
        <v>Other Subordinate</v>
      </c>
      <c r="P88" s="8">
        <v>60182984</v>
      </c>
      <c r="Q88" t="s">
        <v>71</v>
      </c>
      <c r="R88" t="s">
        <v>80</v>
      </c>
      <c r="S88" t="s">
        <v>71</v>
      </c>
      <c r="T88" t="s">
        <v>71</v>
      </c>
      <c r="U88" s="12" t="s">
        <v>236</v>
      </c>
      <c r="V88" s="12" t="s">
        <v>231</v>
      </c>
      <c r="W88" s="11">
        <v>36</v>
      </c>
      <c r="X88" s="2">
        <f t="shared" si="8"/>
        <v>0.54057415963289557</v>
      </c>
      <c r="Y88" s="5">
        <f t="shared" si="9"/>
        <v>13894982</v>
      </c>
      <c r="Z88" s="5">
        <f t="shared" si="10"/>
        <v>13894982</v>
      </c>
    </row>
    <row r="89" spans="1:26" x14ac:dyDescent="0.25">
      <c r="A89">
        <v>10940</v>
      </c>
      <c r="B89">
        <v>183</v>
      </c>
      <c r="C89">
        <v>2014</v>
      </c>
      <c r="D89" t="s">
        <v>74</v>
      </c>
      <c r="E89" t="s">
        <v>77</v>
      </c>
      <c r="F89" s="2">
        <v>0.58128697855262834</v>
      </c>
      <c r="G89" s="2">
        <v>0.7501193748710987</v>
      </c>
      <c r="H89" s="14">
        <f t="shared" si="6"/>
        <v>0</v>
      </c>
      <c r="I89" s="5">
        <v>11400000</v>
      </c>
      <c r="J89">
        <v>1</v>
      </c>
      <c r="K89" s="6">
        <v>0.14000000000000001</v>
      </c>
      <c r="L89" s="6">
        <v>0</v>
      </c>
      <c r="M89" t="str">
        <f t="shared" si="7"/>
        <v>SUB</v>
      </c>
      <c r="N89" t="s">
        <v>75</v>
      </c>
      <c r="O89" t="str">
        <f>VLOOKUP(Table1[[#This Row],[SCHEMATIC TYPE]],'SCHEMATIC Lookup'!$B$1:$C$5,2)</f>
        <v>Mezzanine Loan</v>
      </c>
      <c r="P89" s="8">
        <v>67522586</v>
      </c>
      <c r="Q89" t="s">
        <v>71</v>
      </c>
      <c r="R89" t="s">
        <v>80</v>
      </c>
      <c r="S89" t="s">
        <v>71</v>
      </c>
      <c r="T89" t="s">
        <v>71</v>
      </c>
      <c r="U89" s="12" t="s">
        <v>230</v>
      </c>
      <c r="V89" s="12" t="s">
        <v>231</v>
      </c>
      <c r="W89" s="11">
        <v>24</v>
      </c>
      <c r="X89" s="2">
        <f t="shared" si="8"/>
        <v>0.58128697855262834</v>
      </c>
      <c r="Y89" s="5">
        <f t="shared" si="9"/>
        <v>11400000</v>
      </c>
      <c r="Z89" s="5">
        <f t="shared" si="10"/>
        <v>11400000</v>
      </c>
    </row>
    <row r="90" spans="1:26" x14ac:dyDescent="0.25">
      <c r="A90">
        <v>10950</v>
      </c>
      <c r="B90">
        <v>103</v>
      </c>
      <c r="C90">
        <v>2006</v>
      </c>
      <c r="D90" t="s">
        <v>76</v>
      </c>
      <c r="E90" t="s">
        <v>77</v>
      </c>
      <c r="F90" s="2">
        <v>0.45299568772759213</v>
      </c>
      <c r="G90" s="2">
        <v>0.83630879064716024</v>
      </c>
      <c r="H90" s="14">
        <f t="shared" si="6"/>
        <v>0</v>
      </c>
      <c r="I90" s="5">
        <v>12000000</v>
      </c>
      <c r="J90">
        <v>4</v>
      </c>
      <c r="K90" s="6">
        <v>0.06</v>
      </c>
      <c r="L90" s="6">
        <v>0</v>
      </c>
      <c r="M90" t="str">
        <f t="shared" si="7"/>
        <v>SUB</v>
      </c>
      <c r="N90" t="s">
        <v>78</v>
      </c>
      <c r="O90" t="str">
        <f>VLOOKUP(Table1[[#This Row],[SCHEMATIC TYPE]],'SCHEMATIC Lookup'!$B$1:$C$5,2)</f>
        <v>Sub. Tranche of Senior</v>
      </c>
      <c r="P90" s="8">
        <v>37500000</v>
      </c>
      <c r="Q90" t="s">
        <v>79</v>
      </c>
      <c r="R90" t="s">
        <v>79</v>
      </c>
      <c r="S90" t="s">
        <v>79</v>
      </c>
      <c r="T90" t="s">
        <v>79</v>
      </c>
      <c r="U90" s="12" t="s">
        <v>232</v>
      </c>
      <c r="V90" s="12" t="s">
        <v>237</v>
      </c>
      <c r="W90" s="11">
        <v>93.338809034907598</v>
      </c>
      <c r="X90" s="2">
        <f t="shared" si="8"/>
        <v>0.45299568772759213</v>
      </c>
      <c r="Y90" s="5">
        <f t="shared" si="9"/>
        <v>12000000</v>
      </c>
      <c r="Z90" s="5">
        <f t="shared" si="10"/>
        <v>12000000</v>
      </c>
    </row>
    <row r="91" spans="1:26" x14ac:dyDescent="0.25">
      <c r="A91">
        <v>10960</v>
      </c>
      <c r="B91">
        <v>119</v>
      </c>
      <c r="C91">
        <v>2014</v>
      </c>
      <c r="D91" t="s">
        <v>68</v>
      </c>
      <c r="E91" t="s">
        <v>69</v>
      </c>
      <c r="F91" s="2">
        <v>0.48</v>
      </c>
      <c r="G91" s="2">
        <v>0.71</v>
      </c>
      <c r="H91" s="14">
        <f t="shared" si="6"/>
        <v>0</v>
      </c>
      <c r="I91" s="5">
        <v>7778750</v>
      </c>
      <c r="J91">
        <v>1</v>
      </c>
      <c r="K91" s="6">
        <v>0.1114</v>
      </c>
      <c r="L91" s="6">
        <v>0.6825</v>
      </c>
      <c r="M91" t="str">
        <f t="shared" si="7"/>
        <v>SUBL</v>
      </c>
      <c r="N91" t="s">
        <v>70</v>
      </c>
      <c r="O91" t="str">
        <f>VLOOKUP(Table1[[#This Row],[SCHEMATIC TYPE]],'SCHEMATIC Lookup'!$B$1:$C$5,2)</f>
        <v>Leveraged Whole Loan</v>
      </c>
      <c r="P91" s="8">
        <v>34600000</v>
      </c>
      <c r="Q91" t="s">
        <v>71</v>
      </c>
      <c r="R91" t="s">
        <v>73</v>
      </c>
      <c r="S91" t="s">
        <v>71</v>
      </c>
      <c r="T91" t="s">
        <v>71</v>
      </c>
      <c r="U91" s="12" t="s">
        <v>232</v>
      </c>
      <c r="V91" s="12" t="s">
        <v>233</v>
      </c>
      <c r="W91" s="11">
        <v>60</v>
      </c>
      <c r="X91" s="2">
        <f t="shared" si="8"/>
        <v>0.48</v>
      </c>
      <c r="Y91" s="5">
        <f t="shared" si="9"/>
        <v>7778750</v>
      </c>
      <c r="Z91" s="5">
        <f t="shared" si="10"/>
        <v>24012663.043478262</v>
      </c>
    </row>
    <row r="92" spans="1:26" x14ac:dyDescent="0.25">
      <c r="A92">
        <v>10970</v>
      </c>
      <c r="B92">
        <v>183</v>
      </c>
      <c r="C92">
        <v>2016</v>
      </c>
      <c r="D92" t="s">
        <v>74</v>
      </c>
      <c r="E92" t="s">
        <v>77</v>
      </c>
      <c r="F92" s="2">
        <v>0.51117147392289741</v>
      </c>
      <c r="G92" s="2">
        <v>0.7787129715600043</v>
      </c>
      <c r="H92" s="14">
        <f t="shared" si="6"/>
        <v>0</v>
      </c>
      <c r="I92" s="5">
        <v>4800000</v>
      </c>
      <c r="J92">
        <v>4</v>
      </c>
      <c r="K92" s="6">
        <v>0.125</v>
      </c>
      <c r="L92" s="6">
        <v>0</v>
      </c>
      <c r="M92" t="str">
        <f t="shared" si="7"/>
        <v>SUB</v>
      </c>
      <c r="N92" t="s">
        <v>75</v>
      </c>
      <c r="O92" t="str">
        <f>VLOOKUP(Table1[[#This Row],[SCHEMATIC TYPE]],'SCHEMATIC Lookup'!$B$1:$C$5,2)</f>
        <v>Mezzanine Loan</v>
      </c>
      <c r="P92" s="8">
        <v>17941142</v>
      </c>
      <c r="Q92" t="s">
        <v>71</v>
      </c>
      <c r="R92" t="s">
        <v>80</v>
      </c>
      <c r="S92" t="s">
        <v>71</v>
      </c>
      <c r="T92" t="s">
        <v>71</v>
      </c>
      <c r="U92" s="12" t="s">
        <v>236</v>
      </c>
      <c r="V92" s="12" t="s">
        <v>231</v>
      </c>
      <c r="W92" s="11">
        <v>30</v>
      </c>
      <c r="X92" s="2">
        <f t="shared" si="8"/>
        <v>0.51117147392289741</v>
      </c>
      <c r="Y92" s="5">
        <f t="shared" si="9"/>
        <v>4800000</v>
      </c>
      <c r="Z92" s="5">
        <f t="shared" si="10"/>
        <v>4800000</v>
      </c>
    </row>
    <row r="93" spans="1:26" x14ac:dyDescent="0.25">
      <c r="A93">
        <v>10980</v>
      </c>
      <c r="B93">
        <v>183</v>
      </c>
      <c r="C93">
        <v>2012</v>
      </c>
      <c r="D93" t="s">
        <v>89</v>
      </c>
      <c r="E93" t="s">
        <v>91</v>
      </c>
      <c r="F93" s="2">
        <v>0</v>
      </c>
      <c r="G93" s="2">
        <v>0.75581211450260954</v>
      </c>
      <c r="H93" s="14">
        <f t="shared" si="6"/>
        <v>0</v>
      </c>
      <c r="I93" s="5">
        <v>28674000</v>
      </c>
      <c r="J93">
        <v>4</v>
      </c>
      <c r="K93" s="6">
        <v>8.8599999999999998E-2</v>
      </c>
      <c r="L93" s="6">
        <v>0</v>
      </c>
      <c r="M93" t="str">
        <f t="shared" si="7"/>
        <v>SENIOR</v>
      </c>
      <c r="N93" t="s">
        <v>90</v>
      </c>
      <c r="O93" t="str">
        <f>VLOOKUP(Table1[[#This Row],[SCHEMATIC TYPE]],'SCHEMATIC Lookup'!$B$1:$C$5,2)</f>
        <v>Senior Whole Loan</v>
      </c>
      <c r="P93" s="8">
        <v>37938000</v>
      </c>
      <c r="Q93" t="s">
        <v>71</v>
      </c>
      <c r="R93" t="s">
        <v>80</v>
      </c>
      <c r="S93" t="s">
        <v>71</v>
      </c>
      <c r="T93" t="s">
        <v>71</v>
      </c>
      <c r="U93" s="12" t="s">
        <v>238</v>
      </c>
      <c r="V93" s="12" t="s">
        <v>231</v>
      </c>
      <c r="W93" s="11">
        <v>42</v>
      </c>
      <c r="X93" s="2">
        <f t="shared" si="8"/>
        <v>0</v>
      </c>
      <c r="Y93" s="5">
        <f t="shared" si="9"/>
        <v>28674000</v>
      </c>
      <c r="Z93" s="5">
        <f t="shared" si="10"/>
        <v>28674000</v>
      </c>
    </row>
    <row r="94" spans="1:26" x14ac:dyDescent="0.25">
      <c r="A94">
        <v>11010</v>
      </c>
      <c r="B94">
        <v>119</v>
      </c>
      <c r="C94">
        <v>2015</v>
      </c>
      <c r="D94" t="s">
        <v>74</v>
      </c>
      <c r="E94" t="s">
        <v>69</v>
      </c>
      <c r="F94" s="2">
        <v>0.5</v>
      </c>
      <c r="G94" s="2">
        <v>0.77</v>
      </c>
      <c r="H94" s="14">
        <f t="shared" si="6"/>
        <v>0</v>
      </c>
      <c r="I94" s="5">
        <v>26500000</v>
      </c>
      <c r="J94">
        <v>4</v>
      </c>
      <c r="K94" s="6">
        <v>0.09</v>
      </c>
      <c r="L94" s="6">
        <v>0</v>
      </c>
      <c r="M94" t="str">
        <f t="shared" si="7"/>
        <v>SUB</v>
      </c>
      <c r="N94" t="s">
        <v>75</v>
      </c>
      <c r="O94" t="str">
        <f>VLOOKUP(Table1[[#This Row],[SCHEMATIC TYPE]],'SCHEMATIC Lookup'!$B$1:$C$5,2)</f>
        <v>Mezzanine Loan</v>
      </c>
      <c r="P94" s="8">
        <v>97559123</v>
      </c>
      <c r="Q94" t="s">
        <v>71</v>
      </c>
      <c r="R94" t="s">
        <v>72</v>
      </c>
      <c r="S94" t="s">
        <v>71</v>
      </c>
      <c r="T94" t="s">
        <v>71</v>
      </c>
      <c r="U94" s="12" t="s">
        <v>236</v>
      </c>
      <c r="V94" s="12" t="s">
        <v>231</v>
      </c>
      <c r="W94" s="11">
        <v>35</v>
      </c>
      <c r="X94" s="2">
        <f t="shared" si="8"/>
        <v>0.5</v>
      </c>
      <c r="Y94" s="5">
        <f t="shared" si="9"/>
        <v>26500000</v>
      </c>
      <c r="Z94" s="5">
        <f t="shared" si="10"/>
        <v>26500000</v>
      </c>
    </row>
    <row r="95" spans="1:26" x14ac:dyDescent="0.25">
      <c r="A95">
        <v>11020</v>
      </c>
      <c r="B95">
        <v>119</v>
      </c>
      <c r="C95">
        <v>2012</v>
      </c>
      <c r="D95" t="s">
        <v>74</v>
      </c>
      <c r="E95" t="s">
        <v>69</v>
      </c>
      <c r="F95" s="2">
        <v>0.53</v>
      </c>
      <c r="G95" s="2">
        <v>0.69</v>
      </c>
      <c r="H95" s="14">
        <f t="shared" si="6"/>
        <v>0</v>
      </c>
      <c r="I95" s="5">
        <v>12000000</v>
      </c>
      <c r="J95">
        <v>5</v>
      </c>
      <c r="K95" s="6">
        <v>9.5000000000000001E-2</v>
      </c>
      <c r="L95" s="6">
        <v>0</v>
      </c>
      <c r="M95" t="str">
        <f t="shared" si="7"/>
        <v>SUB</v>
      </c>
      <c r="N95" t="s">
        <v>75</v>
      </c>
      <c r="O95" t="str">
        <f>VLOOKUP(Table1[[#This Row],[SCHEMATIC TYPE]],'SCHEMATIC Lookup'!$B$1:$C$5,2)</f>
        <v>Mezzanine Loan</v>
      </c>
      <c r="P95" s="8">
        <v>75600000</v>
      </c>
      <c r="Q95" t="s">
        <v>71</v>
      </c>
      <c r="R95" t="s">
        <v>73</v>
      </c>
      <c r="S95" t="s">
        <v>71</v>
      </c>
      <c r="T95" t="s">
        <v>71</v>
      </c>
      <c r="U95" s="12" t="s">
        <v>236</v>
      </c>
      <c r="V95" s="12" t="s">
        <v>234</v>
      </c>
      <c r="W95" s="11">
        <v>19</v>
      </c>
      <c r="X95" s="2">
        <f t="shared" si="8"/>
        <v>0.53</v>
      </c>
      <c r="Y95" s="5">
        <f t="shared" si="9"/>
        <v>12000000</v>
      </c>
      <c r="Z95" s="5">
        <f t="shared" si="10"/>
        <v>12000000</v>
      </c>
    </row>
    <row r="96" spans="1:26" x14ac:dyDescent="0.25">
      <c r="A96">
        <v>11030</v>
      </c>
      <c r="B96">
        <v>119</v>
      </c>
      <c r="C96">
        <v>2014</v>
      </c>
      <c r="D96" t="s">
        <v>74</v>
      </c>
      <c r="E96" t="s">
        <v>69</v>
      </c>
      <c r="F96" s="2">
        <v>0.53</v>
      </c>
      <c r="G96" s="2">
        <v>0.69</v>
      </c>
      <c r="H96" s="14">
        <f t="shared" si="6"/>
        <v>0</v>
      </c>
      <c r="I96" s="5">
        <v>8000000</v>
      </c>
      <c r="J96">
        <v>5</v>
      </c>
      <c r="K96" s="6">
        <v>9.2999999999999999E-2</v>
      </c>
      <c r="L96" s="6">
        <v>0</v>
      </c>
      <c r="M96" t="str">
        <f t="shared" si="7"/>
        <v>SUB</v>
      </c>
      <c r="N96" t="s">
        <v>75</v>
      </c>
      <c r="O96" t="str">
        <f>VLOOKUP(Table1[[#This Row],[SCHEMATIC TYPE]],'SCHEMATIC Lookup'!$B$1:$C$5,2)</f>
        <v>Mezzanine Loan</v>
      </c>
      <c r="P96" s="8">
        <v>52550000</v>
      </c>
      <c r="Q96" t="s">
        <v>71</v>
      </c>
      <c r="R96" t="s">
        <v>73</v>
      </c>
      <c r="S96" t="s">
        <v>71</v>
      </c>
      <c r="T96" t="s">
        <v>71</v>
      </c>
      <c r="U96" s="12" t="s">
        <v>236</v>
      </c>
      <c r="V96" s="12" t="s">
        <v>234</v>
      </c>
      <c r="W96" s="11">
        <v>60</v>
      </c>
      <c r="X96" s="2">
        <f t="shared" si="8"/>
        <v>0.53</v>
      </c>
      <c r="Y96" s="5">
        <f t="shared" si="9"/>
        <v>8000000</v>
      </c>
      <c r="Z96" s="5">
        <f t="shared" si="10"/>
        <v>8000000</v>
      </c>
    </row>
    <row r="97" spans="1:26" x14ac:dyDescent="0.25">
      <c r="A97">
        <v>11040</v>
      </c>
      <c r="B97">
        <v>220</v>
      </c>
      <c r="C97">
        <v>2014</v>
      </c>
      <c r="D97" t="s">
        <v>74</v>
      </c>
      <c r="E97" t="s">
        <v>69</v>
      </c>
      <c r="F97" s="2">
        <v>0.64400000000000002</v>
      </c>
      <c r="G97" s="2">
        <v>0.72399999999999998</v>
      </c>
      <c r="H97" s="14">
        <f t="shared" si="6"/>
        <v>0</v>
      </c>
      <c r="I97" s="5">
        <v>50000000</v>
      </c>
      <c r="J97">
        <v>5</v>
      </c>
      <c r="K97" s="6">
        <v>0.12</v>
      </c>
      <c r="L97" s="6">
        <v>0</v>
      </c>
      <c r="M97" t="str">
        <f t="shared" si="7"/>
        <v>SUB</v>
      </c>
      <c r="N97" t="s">
        <v>75</v>
      </c>
      <c r="O97" t="str">
        <f>VLOOKUP(Table1[[#This Row],[SCHEMATIC TYPE]],'SCHEMATIC Lookup'!$B$1:$C$5,2)</f>
        <v>Mezzanine Loan</v>
      </c>
      <c r="P97" s="8">
        <v>663000000</v>
      </c>
      <c r="Q97" t="s">
        <v>71</v>
      </c>
      <c r="R97" t="s">
        <v>72</v>
      </c>
      <c r="S97" t="s">
        <v>71</v>
      </c>
      <c r="T97" t="s">
        <v>71</v>
      </c>
      <c r="U97" s="12" t="s">
        <v>235</v>
      </c>
      <c r="V97" s="12" t="s">
        <v>233</v>
      </c>
      <c r="W97" s="11">
        <v>24</v>
      </c>
      <c r="X97" s="2">
        <f t="shared" si="8"/>
        <v>0.64400000000000002</v>
      </c>
      <c r="Y97" s="5">
        <f t="shared" si="9"/>
        <v>50000000</v>
      </c>
      <c r="Z97" s="5">
        <f t="shared" si="10"/>
        <v>50000000</v>
      </c>
    </row>
    <row r="98" spans="1:26" x14ac:dyDescent="0.25">
      <c r="A98">
        <v>11050</v>
      </c>
      <c r="B98">
        <v>220</v>
      </c>
      <c r="C98">
        <v>2012</v>
      </c>
      <c r="D98" t="s">
        <v>74</v>
      </c>
      <c r="E98" t="s">
        <v>77</v>
      </c>
      <c r="F98" s="2">
        <v>0.45864661654135336</v>
      </c>
      <c r="G98" s="2">
        <v>0.67293233082706772</v>
      </c>
      <c r="H98" s="14">
        <f t="shared" si="6"/>
        <v>0</v>
      </c>
      <c r="I98" s="5">
        <v>28500000</v>
      </c>
      <c r="J98">
        <v>5</v>
      </c>
      <c r="K98" s="6">
        <v>0.1225</v>
      </c>
      <c r="L98" s="6">
        <v>0</v>
      </c>
      <c r="M98" t="str">
        <f t="shared" si="7"/>
        <v>SUB</v>
      </c>
      <c r="N98" t="s">
        <v>75</v>
      </c>
      <c r="O98" t="str">
        <f>VLOOKUP(Table1[[#This Row],[SCHEMATIC TYPE]],'SCHEMATIC Lookup'!$B$1:$C$5,2)</f>
        <v>Mezzanine Loan</v>
      </c>
      <c r="P98" s="8">
        <v>187000000</v>
      </c>
      <c r="Q98" t="s">
        <v>71</v>
      </c>
      <c r="R98" t="s">
        <v>82</v>
      </c>
      <c r="S98" t="s">
        <v>71</v>
      </c>
      <c r="T98" t="s">
        <v>71</v>
      </c>
      <c r="U98" s="12" t="s">
        <v>232</v>
      </c>
      <c r="V98" s="12" t="s">
        <v>234</v>
      </c>
      <c r="W98" s="11">
        <v>48</v>
      </c>
      <c r="X98" s="2">
        <f t="shared" si="8"/>
        <v>0.45864661654135336</v>
      </c>
      <c r="Y98" s="5">
        <f t="shared" si="9"/>
        <v>28500000</v>
      </c>
      <c r="Z98" s="5">
        <f t="shared" si="10"/>
        <v>28500000</v>
      </c>
    </row>
    <row r="99" spans="1:26" x14ac:dyDescent="0.25">
      <c r="A99">
        <v>11060</v>
      </c>
      <c r="B99">
        <v>119</v>
      </c>
      <c r="C99">
        <v>2016</v>
      </c>
      <c r="D99" t="s">
        <v>74</v>
      </c>
      <c r="E99" t="s">
        <v>69</v>
      </c>
      <c r="F99" s="2">
        <v>0.57999999999999996</v>
      </c>
      <c r="G99" s="2">
        <v>0.72</v>
      </c>
      <c r="H99" s="14">
        <f t="shared" si="6"/>
        <v>0</v>
      </c>
      <c r="I99" s="5">
        <v>14000000</v>
      </c>
      <c r="J99">
        <v>5</v>
      </c>
      <c r="K99" s="6">
        <v>9.5000000000000001E-2</v>
      </c>
      <c r="L99" s="6">
        <v>0</v>
      </c>
      <c r="M99" t="str">
        <f t="shared" si="7"/>
        <v>SUB</v>
      </c>
      <c r="N99" t="s">
        <v>75</v>
      </c>
      <c r="O99" t="str">
        <f>VLOOKUP(Table1[[#This Row],[SCHEMATIC TYPE]],'SCHEMATIC Lookup'!$B$1:$C$5,2)</f>
        <v>Mezzanine Loan</v>
      </c>
      <c r="P99" s="8">
        <v>96878477</v>
      </c>
      <c r="Q99" t="s">
        <v>71</v>
      </c>
      <c r="R99" t="s">
        <v>73</v>
      </c>
      <c r="S99" t="s">
        <v>71</v>
      </c>
      <c r="T99" t="s">
        <v>71</v>
      </c>
      <c r="U99" s="12" t="s">
        <v>230</v>
      </c>
      <c r="V99" s="12" t="s">
        <v>233</v>
      </c>
      <c r="W99" s="11">
        <v>61</v>
      </c>
      <c r="X99" s="2">
        <f t="shared" si="8"/>
        <v>0.57999999999999996</v>
      </c>
      <c r="Y99" s="5">
        <f t="shared" si="9"/>
        <v>14000000</v>
      </c>
      <c r="Z99" s="5">
        <f t="shared" si="10"/>
        <v>14000000</v>
      </c>
    </row>
    <row r="100" spans="1:26" x14ac:dyDescent="0.25">
      <c r="A100">
        <v>11070</v>
      </c>
      <c r="B100">
        <v>103</v>
      </c>
      <c r="C100">
        <v>2012</v>
      </c>
      <c r="D100" t="s">
        <v>76</v>
      </c>
      <c r="E100" t="s">
        <v>77</v>
      </c>
      <c r="F100" s="2">
        <v>0.87758775877587758</v>
      </c>
      <c r="G100" s="2">
        <v>0.90820000000000001</v>
      </c>
      <c r="H100" s="14">
        <f t="shared" si="6"/>
        <v>0</v>
      </c>
      <c r="I100" s="5">
        <v>18000000</v>
      </c>
      <c r="J100">
        <v>5</v>
      </c>
      <c r="K100" s="6">
        <v>0.1</v>
      </c>
      <c r="L100" s="6">
        <v>0</v>
      </c>
      <c r="M100" t="str">
        <f t="shared" si="7"/>
        <v>SUB</v>
      </c>
      <c r="N100" t="s">
        <v>78</v>
      </c>
      <c r="O100" t="str">
        <f>VLOOKUP(Table1[[#This Row],[SCHEMATIC TYPE]],'SCHEMATIC Lookup'!$B$1:$C$5,2)</f>
        <v>Sub. Tranche of Senior</v>
      </c>
      <c r="P100" s="8">
        <v>111100000</v>
      </c>
      <c r="Q100" t="s">
        <v>19</v>
      </c>
      <c r="R100" t="s">
        <v>73</v>
      </c>
      <c r="S100" t="s">
        <v>19</v>
      </c>
      <c r="T100" t="s">
        <v>19</v>
      </c>
      <c r="U100" s="12" t="s">
        <v>239</v>
      </c>
      <c r="V100" s="12" t="s">
        <v>237</v>
      </c>
      <c r="W100" s="11">
        <v>60.977412731006162</v>
      </c>
      <c r="X100" s="2">
        <f t="shared" si="8"/>
        <v>0.87758775877587758</v>
      </c>
      <c r="Y100" s="5">
        <f t="shared" si="9"/>
        <v>18000000</v>
      </c>
      <c r="Z100" s="5">
        <f t="shared" si="10"/>
        <v>18000000</v>
      </c>
    </row>
    <row r="101" spans="1:26" x14ac:dyDescent="0.25">
      <c r="A101">
        <v>11080</v>
      </c>
      <c r="B101">
        <v>119</v>
      </c>
      <c r="C101">
        <v>2016</v>
      </c>
      <c r="D101" t="s">
        <v>74</v>
      </c>
      <c r="E101" t="s">
        <v>69</v>
      </c>
      <c r="F101" s="2">
        <v>0.53</v>
      </c>
      <c r="G101" s="2">
        <v>0.62</v>
      </c>
      <c r="H101" s="14">
        <f t="shared" si="6"/>
        <v>0</v>
      </c>
      <c r="I101" s="5">
        <v>40000000</v>
      </c>
      <c r="J101">
        <v>5</v>
      </c>
      <c r="K101" s="6">
        <v>9.35E-2</v>
      </c>
      <c r="L101" s="6">
        <v>0</v>
      </c>
      <c r="M101" t="str">
        <f t="shared" si="7"/>
        <v>SUB</v>
      </c>
      <c r="N101" t="s">
        <v>75</v>
      </c>
      <c r="O101" t="str">
        <f>VLOOKUP(Table1[[#This Row],[SCHEMATIC TYPE]],'SCHEMATIC Lookup'!$B$1:$C$5,2)</f>
        <v>Mezzanine Loan</v>
      </c>
      <c r="P101" s="8">
        <v>433000000</v>
      </c>
      <c r="Q101" t="s">
        <v>71</v>
      </c>
      <c r="R101" t="s">
        <v>72</v>
      </c>
      <c r="S101" t="s">
        <v>71</v>
      </c>
      <c r="T101" t="s">
        <v>71</v>
      </c>
      <c r="U101" s="12" t="s">
        <v>236</v>
      </c>
      <c r="V101" s="12" t="s">
        <v>235</v>
      </c>
      <c r="W101" s="11">
        <v>60</v>
      </c>
      <c r="X101" s="2">
        <f t="shared" si="8"/>
        <v>0.53</v>
      </c>
      <c r="Y101" s="5">
        <f t="shared" si="9"/>
        <v>40000000</v>
      </c>
      <c r="Z101" s="5">
        <f t="shared" si="10"/>
        <v>40000000</v>
      </c>
    </row>
    <row r="102" spans="1:26" x14ac:dyDescent="0.25">
      <c r="A102">
        <v>11090</v>
      </c>
      <c r="B102">
        <v>119</v>
      </c>
      <c r="C102">
        <v>2015</v>
      </c>
      <c r="D102" t="s">
        <v>74</v>
      </c>
      <c r="E102" t="s">
        <v>69</v>
      </c>
      <c r="F102" s="2">
        <v>0.57999999999999996</v>
      </c>
      <c r="G102" s="2">
        <v>0.73</v>
      </c>
      <c r="H102" s="14">
        <f t="shared" si="6"/>
        <v>0</v>
      </c>
      <c r="I102" s="5">
        <v>11000000</v>
      </c>
      <c r="J102">
        <v>5</v>
      </c>
      <c r="K102" s="6">
        <v>9.5000000000000001E-2</v>
      </c>
      <c r="L102" s="6">
        <v>0</v>
      </c>
      <c r="M102" t="str">
        <f t="shared" si="7"/>
        <v>SUB</v>
      </c>
      <c r="N102" t="s">
        <v>75</v>
      </c>
      <c r="O102" t="str">
        <f>VLOOKUP(Table1[[#This Row],[SCHEMATIC TYPE]],'SCHEMATIC Lookup'!$B$1:$C$5,2)</f>
        <v>Mezzanine Loan</v>
      </c>
      <c r="P102" s="8">
        <v>74333000</v>
      </c>
      <c r="Q102" t="s">
        <v>71</v>
      </c>
      <c r="R102" t="s">
        <v>72</v>
      </c>
      <c r="S102" t="s">
        <v>71</v>
      </c>
      <c r="T102" t="s">
        <v>71</v>
      </c>
      <c r="U102" s="12" t="s">
        <v>230</v>
      </c>
      <c r="V102" s="12" t="s">
        <v>233</v>
      </c>
      <c r="W102" s="11">
        <v>61</v>
      </c>
      <c r="X102" s="2">
        <f t="shared" si="8"/>
        <v>0.57999999999999996</v>
      </c>
      <c r="Y102" s="5">
        <f t="shared" si="9"/>
        <v>11000000</v>
      </c>
      <c r="Z102" s="5">
        <f t="shared" si="10"/>
        <v>11000000</v>
      </c>
    </row>
    <row r="103" spans="1:26" x14ac:dyDescent="0.25">
      <c r="A103">
        <v>11100</v>
      </c>
      <c r="B103">
        <v>103</v>
      </c>
      <c r="C103">
        <v>2013</v>
      </c>
      <c r="D103" t="s">
        <v>81</v>
      </c>
      <c r="E103" t="s">
        <v>77</v>
      </c>
      <c r="F103" s="2">
        <v>0.57489999999999997</v>
      </c>
      <c r="G103" s="2">
        <v>0.63500000000000001</v>
      </c>
      <c r="H103" s="14">
        <f t="shared" si="6"/>
        <v>0</v>
      </c>
      <c r="I103" s="5">
        <v>55000000</v>
      </c>
      <c r="J103">
        <v>5</v>
      </c>
      <c r="K103" s="6">
        <v>4.5240000000000002E-2</v>
      </c>
      <c r="L103" s="6">
        <v>0</v>
      </c>
      <c r="M103" t="str">
        <f t="shared" ref="M103:M134" si="11">IF(AND(H103=0,OR(F103&gt;0,L103&gt;0)),"SUB",IF(AND(H103=0,F103=0),"SENIOR","BAD"))&amp;IF(L103&gt;0,"L","")</f>
        <v>SUB</v>
      </c>
      <c r="N103" t="s">
        <v>78</v>
      </c>
      <c r="O103" t="str">
        <f>VLOOKUP(Table1[[#This Row],[SCHEMATIC TYPE]],'SCHEMATIC Lookup'!$B$1:$C$5,2)</f>
        <v>Sub. Tranche of Senior</v>
      </c>
      <c r="P103" s="8">
        <v>519800000</v>
      </c>
      <c r="Q103" t="s">
        <v>19</v>
      </c>
      <c r="R103" t="s">
        <v>73</v>
      </c>
      <c r="S103" t="s">
        <v>19</v>
      </c>
      <c r="T103" t="s">
        <v>19</v>
      </c>
      <c r="U103" s="12" t="s">
        <v>230</v>
      </c>
      <c r="V103" s="12" t="s">
        <v>235</v>
      </c>
      <c r="W103" s="11">
        <v>60.188911704312119</v>
      </c>
      <c r="X103" s="2">
        <f t="shared" si="8"/>
        <v>0.57489999999999997</v>
      </c>
      <c r="Y103" s="5">
        <f t="shared" si="9"/>
        <v>55000000</v>
      </c>
      <c r="Z103" s="5">
        <f t="shared" si="10"/>
        <v>55000000</v>
      </c>
    </row>
    <row r="104" spans="1:26" x14ac:dyDescent="0.25">
      <c r="A104">
        <v>11110</v>
      </c>
      <c r="B104">
        <v>183</v>
      </c>
      <c r="C104">
        <v>2011</v>
      </c>
      <c r="D104" t="s">
        <v>89</v>
      </c>
      <c r="E104" t="s">
        <v>91</v>
      </c>
      <c r="F104" s="2">
        <v>0</v>
      </c>
      <c r="G104" s="2">
        <v>0.82823011363636367</v>
      </c>
      <c r="H104" s="14">
        <f t="shared" si="6"/>
        <v>0</v>
      </c>
      <c r="I104" s="5">
        <v>15742998</v>
      </c>
      <c r="J104">
        <v>4</v>
      </c>
      <c r="K104" s="6">
        <v>8.7100000000000011E-2</v>
      </c>
      <c r="L104" s="6">
        <v>0</v>
      </c>
      <c r="M104" t="str">
        <f t="shared" si="11"/>
        <v>SENIOR</v>
      </c>
      <c r="N104" t="s">
        <v>90</v>
      </c>
      <c r="O104" t="str">
        <f>VLOOKUP(Table1[[#This Row],[SCHEMATIC TYPE]],'SCHEMATIC Lookup'!$B$1:$C$5,2)</f>
        <v>Senior Whole Loan</v>
      </c>
      <c r="P104" s="8">
        <v>19008000</v>
      </c>
      <c r="Q104" t="s">
        <v>71</v>
      </c>
      <c r="R104" t="s">
        <v>80</v>
      </c>
      <c r="S104" t="s">
        <v>71</v>
      </c>
      <c r="T104" t="s">
        <v>71</v>
      </c>
      <c r="U104" s="12" t="s">
        <v>238</v>
      </c>
      <c r="V104" s="12" t="s">
        <v>237</v>
      </c>
      <c r="W104" s="11">
        <v>36</v>
      </c>
      <c r="X104" s="2">
        <f t="shared" si="8"/>
        <v>0</v>
      </c>
      <c r="Y104" s="5">
        <f t="shared" si="9"/>
        <v>15742998</v>
      </c>
      <c r="Z104" s="5">
        <f t="shared" si="10"/>
        <v>15742998</v>
      </c>
    </row>
    <row r="105" spans="1:26" x14ac:dyDescent="0.25">
      <c r="A105">
        <v>11130</v>
      </c>
      <c r="B105">
        <v>103</v>
      </c>
      <c r="C105">
        <v>2014</v>
      </c>
      <c r="D105" t="s">
        <v>74</v>
      </c>
      <c r="E105" t="s">
        <v>69</v>
      </c>
      <c r="F105" s="2">
        <v>0.35471698113207545</v>
      </c>
      <c r="G105" s="2">
        <v>0.68867924528301883</v>
      </c>
      <c r="H105" s="14">
        <f t="shared" si="6"/>
        <v>0</v>
      </c>
      <c r="I105" s="5">
        <v>177000000</v>
      </c>
      <c r="J105">
        <v>5</v>
      </c>
      <c r="K105" s="6">
        <v>0.06</v>
      </c>
      <c r="L105" s="6">
        <v>0</v>
      </c>
      <c r="M105" t="str">
        <f t="shared" si="11"/>
        <v>SUB</v>
      </c>
      <c r="N105" t="s">
        <v>75</v>
      </c>
      <c r="O105" t="str">
        <f>VLOOKUP(Table1[[#This Row],[SCHEMATIC TYPE]],'SCHEMATIC Lookup'!$B$1:$C$5,2)</f>
        <v>Mezzanine Loan</v>
      </c>
      <c r="P105" s="8">
        <v>530000000</v>
      </c>
      <c r="Q105" t="s">
        <v>19</v>
      </c>
      <c r="R105" t="s">
        <v>72</v>
      </c>
      <c r="S105" t="s">
        <v>19</v>
      </c>
      <c r="T105" t="s">
        <v>19</v>
      </c>
      <c r="U105" s="12" t="s">
        <v>238</v>
      </c>
      <c r="V105" s="12" t="s">
        <v>234</v>
      </c>
      <c r="W105" s="11">
        <v>96</v>
      </c>
      <c r="X105" s="2">
        <f t="shared" si="8"/>
        <v>0.35471698113207545</v>
      </c>
      <c r="Y105" s="5">
        <f t="shared" si="9"/>
        <v>177000000</v>
      </c>
      <c r="Z105" s="5">
        <f t="shared" si="10"/>
        <v>177000000</v>
      </c>
    </row>
    <row r="106" spans="1:26" x14ac:dyDescent="0.25">
      <c r="A106">
        <v>11140</v>
      </c>
      <c r="B106">
        <v>103</v>
      </c>
      <c r="C106">
        <v>2012</v>
      </c>
      <c r="D106" t="s">
        <v>74</v>
      </c>
      <c r="E106" t="s">
        <v>77</v>
      </c>
      <c r="F106" s="2">
        <v>0.53514232186360411</v>
      </c>
      <c r="G106" s="2">
        <v>0.67593400555328575</v>
      </c>
      <c r="H106" s="14">
        <f t="shared" si="6"/>
        <v>0</v>
      </c>
      <c r="I106" s="5">
        <v>72436285</v>
      </c>
      <c r="J106">
        <v>5</v>
      </c>
      <c r="K106" s="6">
        <v>9.2499999999999999E-2</v>
      </c>
      <c r="L106" s="6">
        <v>0</v>
      </c>
      <c r="M106" t="str">
        <f t="shared" si="11"/>
        <v>SUB</v>
      </c>
      <c r="N106" t="s">
        <v>75</v>
      </c>
      <c r="O106" t="str">
        <f>VLOOKUP(Table1[[#This Row],[SCHEMATIC TYPE]],'SCHEMATIC Lookup'!$B$1:$C$5,2)</f>
        <v>Mezzanine Loan</v>
      </c>
      <c r="P106" s="8">
        <v>528696000</v>
      </c>
      <c r="Q106" t="s">
        <v>19</v>
      </c>
      <c r="R106" t="s">
        <v>79</v>
      </c>
      <c r="S106" t="s">
        <v>19</v>
      </c>
      <c r="T106" t="s">
        <v>19</v>
      </c>
      <c r="U106" s="12" t="s">
        <v>236</v>
      </c>
      <c r="V106" s="12" t="s">
        <v>234</v>
      </c>
      <c r="W106" s="11">
        <v>95.967145790554412</v>
      </c>
      <c r="X106" s="2">
        <f t="shared" si="8"/>
        <v>0.53514232186360411</v>
      </c>
      <c r="Y106" s="5">
        <f t="shared" si="9"/>
        <v>72436285</v>
      </c>
      <c r="Z106" s="5">
        <f t="shared" si="10"/>
        <v>72436285</v>
      </c>
    </row>
    <row r="107" spans="1:26" x14ac:dyDescent="0.25">
      <c r="A107">
        <v>11150</v>
      </c>
      <c r="B107">
        <v>119</v>
      </c>
      <c r="C107">
        <v>2016</v>
      </c>
      <c r="D107" t="s">
        <v>68</v>
      </c>
      <c r="E107" t="s">
        <v>69</v>
      </c>
      <c r="F107" s="2">
        <v>0.51</v>
      </c>
      <c r="G107" s="2">
        <v>0.68</v>
      </c>
      <c r="H107" s="14">
        <f t="shared" si="6"/>
        <v>0</v>
      </c>
      <c r="I107" s="5">
        <v>11690000</v>
      </c>
      <c r="J107">
        <v>1</v>
      </c>
      <c r="K107" s="6">
        <v>0.1225</v>
      </c>
      <c r="L107" s="6">
        <v>0.75</v>
      </c>
      <c r="M107" t="str">
        <f t="shared" si="11"/>
        <v>SUBL</v>
      </c>
      <c r="N107" t="s">
        <v>70</v>
      </c>
      <c r="O107" t="str">
        <f>VLOOKUP(Table1[[#This Row],[SCHEMATIC TYPE]],'SCHEMATIC Lookup'!$B$1:$C$5,2)</f>
        <v>Leveraged Whole Loan</v>
      </c>
      <c r="P107" s="8">
        <v>69266179</v>
      </c>
      <c r="Q107" t="s">
        <v>71</v>
      </c>
      <c r="R107" t="s">
        <v>72</v>
      </c>
      <c r="S107" t="s">
        <v>71</v>
      </c>
      <c r="T107" t="s">
        <v>71</v>
      </c>
      <c r="U107" s="12" t="s">
        <v>236</v>
      </c>
      <c r="V107" s="12" t="s">
        <v>234</v>
      </c>
      <c r="W107" s="11">
        <v>61</v>
      </c>
      <c r="X107" s="2">
        <f t="shared" si="8"/>
        <v>0.51</v>
      </c>
      <c r="Y107" s="5">
        <f t="shared" si="9"/>
        <v>11690000</v>
      </c>
      <c r="Z107" s="5">
        <f t="shared" si="10"/>
        <v>46759999.999999993</v>
      </c>
    </row>
    <row r="108" spans="1:26" x14ac:dyDescent="0.25">
      <c r="A108">
        <v>11160</v>
      </c>
      <c r="B108">
        <v>183</v>
      </c>
      <c r="C108">
        <v>2015</v>
      </c>
      <c r="D108" t="s">
        <v>89</v>
      </c>
      <c r="E108" t="s">
        <v>91</v>
      </c>
      <c r="F108" s="2">
        <v>0.18943472898039698</v>
      </c>
      <c r="G108" s="2">
        <v>0.75773891592158793</v>
      </c>
      <c r="H108" s="14">
        <f t="shared" si="6"/>
        <v>0</v>
      </c>
      <c r="I108" s="5">
        <v>78800000</v>
      </c>
      <c r="J108">
        <v>3</v>
      </c>
      <c r="K108" s="6" t="s">
        <v>94</v>
      </c>
      <c r="L108" s="6">
        <v>0.25</v>
      </c>
      <c r="M108" t="str">
        <f t="shared" si="11"/>
        <v>SUBL</v>
      </c>
      <c r="N108" t="s">
        <v>70</v>
      </c>
      <c r="O108" t="str">
        <f>VLOOKUP(Table1[[#This Row],[SCHEMATIC TYPE]],'SCHEMATIC Lookup'!$B$1:$C$5,2)</f>
        <v>Leveraged Whole Loan</v>
      </c>
      <c r="P108" s="8">
        <v>103993603</v>
      </c>
      <c r="Q108" t="s">
        <v>71</v>
      </c>
      <c r="R108" t="s">
        <v>80</v>
      </c>
      <c r="S108" t="s">
        <v>71</v>
      </c>
      <c r="T108" t="s">
        <v>71</v>
      </c>
      <c r="U108" s="12" t="s">
        <v>238</v>
      </c>
      <c r="V108" s="12" t="s">
        <v>231</v>
      </c>
      <c r="W108" s="11">
        <v>36</v>
      </c>
      <c r="X108" s="2">
        <f t="shared" si="8"/>
        <v>0.18943472898039698</v>
      </c>
      <c r="Y108" s="5">
        <f t="shared" si="9"/>
        <v>78800000</v>
      </c>
      <c r="Z108" s="5">
        <f t="shared" si="10"/>
        <v>105066666.66666669</v>
      </c>
    </row>
    <row r="109" spans="1:26" x14ac:dyDescent="0.25">
      <c r="A109">
        <v>11170</v>
      </c>
      <c r="B109">
        <v>103</v>
      </c>
      <c r="C109">
        <v>2014</v>
      </c>
      <c r="D109" t="s">
        <v>74</v>
      </c>
      <c r="E109" t="s">
        <v>69</v>
      </c>
      <c r="F109" s="2">
        <v>0.50909090909090904</v>
      </c>
      <c r="G109" s="2">
        <v>0.57272727272727275</v>
      </c>
      <c r="H109" s="14">
        <f t="shared" si="6"/>
        <v>0</v>
      </c>
      <c r="I109" s="5">
        <v>175000000</v>
      </c>
      <c r="J109">
        <v>5</v>
      </c>
      <c r="K109" s="6">
        <v>4.4999999999999998E-2</v>
      </c>
      <c r="L109" s="6">
        <v>0</v>
      </c>
      <c r="M109" t="str">
        <f t="shared" si="11"/>
        <v>SUB</v>
      </c>
      <c r="N109" t="s">
        <v>75</v>
      </c>
      <c r="O109" t="str">
        <f>VLOOKUP(Table1[[#This Row],[SCHEMATIC TYPE]],'SCHEMATIC Lookup'!$B$1:$C$5,2)</f>
        <v>Mezzanine Loan</v>
      </c>
      <c r="P109" s="8">
        <v>2750000000</v>
      </c>
      <c r="Q109" t="s">
        <v>19</v>
      </c>
      <c r="R109" t="s">
        <v>72</v>
      </c>
      <c r="S109" t="s">
        <v>19</v>
      </c>
      <c r="T109" t="s">
        <v>19</v>
      </c>
      <c r="U109" s="12" t="s">
        <v>236</v>
      </c>
      <c r="V109" s="12" t="s">
        <v>230</v>
      </c>
      <c r="W109" s="11">
        <v>59.860369609856264</v>
      </c>
      <c r="X109" s="2">
        <f t="shared" si="8"/>
        <v>0.50909090909090904</v>
      </c>
      <c r="Y109" s="5">
        <f t="shared" si="9"/>
        <v>175000000</v>
      </c>
      <c r="Z109" s="5">
        <f t="shared" si="10"/>
        <v>175000000</v>
      </c>
    </row>
    <row r="110" spans="1:26" x14ac:dyDescent="0.25">
      <c r="A110">
        <v>11180</v>
      </c>
      <c r="B110">
        <v>103</v>
      </c>
      <c r="C110">
        <v>2007</v>
      </c>
      <c r="D110" t="s">
        <v>81</v>
      </c>
      <c r="E110" t="s">
        <v>69</v>
      </c>
      <c r="F110" s="2">
        <v>0.51349414855505138</v>
      </c>
      <c r="G110" s="2">
        <v>0.56126104609505612</v>
      </c>
      <c r="H110" s="14">
        <f t="shared" si="6"/>
        <v>0</v>
      </c>
      <c r="I110" s="5">
        <v>200000000</v>
      </c>
      <c r="J110">
        <v>5</v>
      </c>
      <c r="K110" s="6">
        <v>0.01</v>
      </c>
      <c r="L110" s="6">
        <v>0</v>
      </c>
      <c r="M110" t="str">
        <f t="shared" si="11"/>
        <v>SUB</v>
      </c>
      <c r="N110" t="s">
        <v>78</v>
      </c>
      <c r="O110" t="str">
        <f>VLOOKUP(Table1[[#This Row],[SCHEMATIC TYPE]],'SCHEMATIC Lookup'!$B$1:$C$5,2)</f>
        <v>Sub. Tranche of Senior</v>
      </c>
      <c r="P110" s="8">
        <v>4187000000</v>
      </c>
      <c r="Q110" t="s">
        <v>19</v>
      </c>
      <c r="R110" t="s">
        <v>82</v>
      </c>
      <c r="S110" t="s">
        <v>19</v>
      </c>
      <c r="T110" t="s">
        <v>19</v>
      </c>
      <c r="U110" s="12" t="s">
        <v>236</v>
      </c>
      <c r="V110" s="12" t="s">
        <v>230</v>
      </c>
      <c r="W110" s="11">
        <v>54.505133470225871</v>
      </c>
      <c r="X110" s="2">
        <f t="shared" si="8"/>
        <v>0.51349414855505138</v>
      </c>
      <c r="Y110" s="5">
        <f t="shared" si="9"/>
        <v>200000000</v>
      </c>
      <c r="Z110" s="5">
        <f t="shared" si="10"/>
        <v>200000000</v>
      </c>
    </row>
    <row r="111" spans="1:26" x14ac:dyDescent="0.25">
      <c r="A111">
        <v>11190</v>
      </c>
      <c r="B111">
        <v>103</v>
      </c>
      <c r="C111">
        <v>2012</v>
      </c>
      <c r="D111" t="s">
        <v>81</v>
      </c>
      <c r="E111" t="s">
        <v>69</v>
      </c>
      <c r="F111" s="2">
        <v>0.63104456511261764</v>
      </c>
      <c r="G111" s="2">
        <v>0.69530572245606137</v>
      </c>
      <c r="H111" s="14">
        <f t="shared" si="6"/>
        <v>0</v>
      </c>
      <c r="I111" s="5">
        <v>199970831.44999999</v>
      </c>
      <c r="J111">
        <v>5</v>
      </c>
      <c r="K111" s="6">
        <v>6.8000000000000005E-2</v>
      </c>
      <c r="L111" s="6">
        <v>0</v>
      </c>
      <c r="M111" t="str">
        <f t="shared" si="11"/>
        <v>SUB</v>
      </c>
      <c r="N111" t="s">
        <v>78</v>
      </c>
      <c r="O111" t="str">
        <f>VLOOKUP(Table1[[#This Row],[SCHEMATIC TYPE]],'SCHEMATIC Lookup'!$B$1:$C$5,2)</f>
        <v>Sub. Tranche of Senior</v>
      </c>
      <c r="P111" s="8">
        <v>2812300000</v>
      </c>
      <c r="Q111" t="s">
        <v>19</v>
      </c>
      <c r="R111" t="s">
        <v>82</v>
      </c>
      <c r="S111" t="s">
        <v>19</v>
      </c>
      <c r="T111" t="s">
        <v>19</v>
      </c>
      <c r="U111" s="12" t="s">
        <v>235</v>
      </c>
      <c r="V111" s="12" t="s">
        <v>234</v>
      </c>
      <c r="W111" s="11">
        <v>23.983572895277206</v>
      </c>
      <c r="X111" s="2">
        <f t="shared" si="8"/>
        <v>0.63104456511261764</v>
      </c>
      <c r="Y111" s="5">
        <f t="shared" si="9"/>
        <v>199970831.44999999</v>
      </c>
      <c r="Z111" s="5">
        <f t="shared" si="10"/>
        <v>199970831.44999999</v>
      </c>
    </row>
    <row r="112" spans="1:26" x14ac:dyDescent="0.25">
      <c r="A112">
        <v>11200</v>
      </c>
      <c r="B112">
        <v>103</v>
      </c>
      <c r="C112">
        <v>2009</v>
      </c>
      <c r="D112" t="s">
        <v>85</v>
      </c>
      <c r="E112" t="s">
        <v>77</v>
      </c>
      <c r="F112" s="2">
        <v>0.64500000000000002</v>
      </c>
      <c r="G112" s="2">
        <v>0.99299999999999999</v>
      </c>
      <c r="H112" s="14">
        <f t="shared" si="6"/>
        <v>0</v>
      </c>
      <c r="I112" s="5">
        <v>13976000</v>
      </c>
      <c r="J112">
        <v>4</v>
      </c>
      <c r="K112" s="6">
        <v>0.06</v>
      </c>
      <c r="L112" s="6">
        <v>0</v>
      </c>
      <c r="M112" t="str">
        <f t="shared" si="11"/>
        <v>SUB</v>
      </c>
      <c r="N112" t="s">
        <v>84</v>
      </c>
      <c r="O112" t="str">
        <f>VLOOKUP(Table1[[#This Row],[SCHEMATIC TYPE]],'SCHEMATIC Lookup'!$B$1:$C$5,2)</f>
        <v>Other Subordinate</v>
      </c>
      <c r="P112" s="8">
        <v>38707000</v>
      </c>
      <c r="Q112" t="s">
        <v>19</v>
      </c>
      <c r="R112" t="s">
        <v>82</v>
      </c>
      <c r="S112" t="s">
        <v>19</v>
      </c>
      <c r="T112" t="s">
        <v>19</v>
      </c>
      <c r="U112" s="12" t="s">
        <v>235</v>
      </c>
      <c r="V112" s="12" t="s">
        <v>237</v>
      </c>
      <c r="W112" s="11">
        <v>34</v>
      </c>
      <c r="X112" s="2">
        <f t="shared" si="8"/>
        <v>0.64500000000000002</v>
      </c>
      <c r="Y112" s="5">
        <f t="shared" si="9"/>
        <v>13976000</v>
      </c>
      <c r="Z112" s="5">
        <f t="shared" si="10"/>
        <v>13976000</v>
      </c>
    </row>
    <row r="113" spans="1:26" x14ac:dyDescent="0.25">
      <c r="A113">
        <v>11210</v>
      </c>
      <c r="B113">
        <v>119</v>
      </c>
      <c r="C113">
        <v>2016</v>
      </c>
      <c r="D113" t="s">
        <v>68</v>
      </c>
      <c r="E113" t="s">
        <v>69</v>
      </c>
      <c r="F113" s="2">
        <v>0.38</v>
      </c>
      <c r="G113" s="2">
        <v>0.5</v>
      </c>
      <c r="H113" s="14">
        <f t="shared" si="6"/>
        <v>0</v>
      </c>
      <c r="I113" s="5">
        <v>7500000</v>
      </c>
      <c r="J113">
        <v>5</v>
      </c>
      <c r="K113" s="6">
        <v>8.6249999999999993E-2</v>
      </c>
      <c r="L113" s="6">
        <v>0.75</v>
      </c>
      <c r="M113" t="str">
        <f t="shared" si="11"/>
        <v>SUBL</v>
      </c>
      <c r="N113" t="s">
        <v>70</v>
      </c>
      <c r="O113" t="str">
        <f>VLOOKUP(Table1[[#This Row],[SCHEMATIC TYPE]],'SCHEMATIC Lookup'!$B$1:$C$5,2)</f>
        <v>Leveraged Whole Loan</v>
      </c>
      <c r="P113" s="8">
        <v>59800000</v>
      </c>
      <c r="Q113" t="s">
        <v>71</v>
      </c>
      <c r="R113" t="s">
        <v>73</v>
      </c>
      <c r="S113" t="s">
        <v>71</v>
      </c>
      <c r="T113" t="s">
        <v>71</v>
      </c>
      <c r="U113" s="12" t="s">
        <v>238</v>
      </c>
      <c r="V113" s="12" t="s">
        <v>240</v>
      </c>
      <c r="W113" s="11">
        <v>45</v>
      </c>
      <c r="X113" s="2">
        <f t="shared" si="8"/>
        <v>0.38</v>
      </c>
      <c r="Y113" s="5">
        <f t="shared" si="9"/>
        <v>7500000</v>
      </c>
      <c r="Z113" s="5">
        <f t="shared" si="10"/>
        <v>31250000</v>
      </c>
    </row>
    <row r="114" spans="1:26" x14ac:dyDescent="0.25">
      <c r="A114">
        <v>11220</v>
      </c>
      <c r="B114">
        <v>220</v>
      </c>
      <c r="C114">
        <v>2012</v>
      </c>
      <c r="D114" t="s">
        <v>74</v>
      </c>
      <c r="E114" t="s">
        <v>69</v>
      </c>
      <c r="F114" s="2">
        <v>0.43</v>
      </c>
      <c r="G114" s="2">
        <v>0.65</v>
      </c>
      <c r="H114" s="14">
        <f t="shared" si="6"/>
        <v>0</v>
      </c>
      <c r="I114" s="5">
        <v>34500000</v>
      </c>
      <c r="J114">
        <v>7</v>
      </c>
      <c r="K114" s="6">
        <v>0.1</v>
      </c>
      <c r="L114" s="6">
        <v>0</v>
      </c>
      <c r="M114" t="str">
        <f t="shared" si="11"/>
        <v>SUB</v>
      </c>
      <c r="N114" t="s">
        <v>75</v>
      </c>
      <c r="O114" t="str">
        <f>VLOOKUP(Table1[[#This Row],[SCHEMATIC TYPE]],'SCHEMATIC Lookup'!$B$1:$C$5,2)</f>
        <v>Mezzanine Loan</v>
      </c>
      <c r="P114" s="8">
        <v>165790000</v>
      </c>
      <c r="Q114" t="s">
        <v>19</v>
      </c>
      <c r="R114" t="s">
        <v>72</v>
      </c>
      <c r="S114" t="s">
        <v>19</v>
      </c>
      <c r="T114" t="s">
        <v>19</v>
      </c>
      <c r="U114" s="12" t="s">
        <v>232</v>
      </c>
      <c r="V114" s="12" t="s">
        <v>234</v>
      </c>
      <c r="W114" s="11">
        <v>48</v>
      </c>
      <c r="X114" s="2">
        <f t="shared" si="8"/>
        <v>0.43</v>
      </c>
      <c r="Y114" s="5">
        <f t="shared" si="9"/>
        <v>34500000</v>
      </c>
      <c r="Z114" s="5">
        <f t="shared" si="10"/>
        <v>34500000</v>
      </c>
    </row>
    <row r="115" spans="1:26" x14ac:dyDescent="0.25">
      <c r="A115">
        <v>11230</v>
      </c>
      <c r="B115">
        <v>103</v>
      </c>
      <c r="C115">
        <v>2012</v>
      </c>
      <c r="D115" t="s">
        <v>81</v>
      </c>
      <c r="E115" t="s">
        <v>69</v>
      </c>
      <c r="F115" s="2">
        <v>0.390625</v>
      </c>
      <c r="G115" s="2">
        <v>0.46164772727272729</v>
      </c>
      <c r="H115" s="14">
        <f t="shared" si="6"/>
        <v>0</v>
      </c>
      <c r="I115" s="5">
        <v>194929626.63999999</v>
      </c>
      <c r="J115">
        <v>5</v>
      </c>
      <c r="K115" s="6">
        <v>1.2699999999999999E-2</v>
      </c>
      <c r="L115" s="6">
        <v>0</v>
      </c>
      <c r="M115" t="str">
        <f t="shared" si="11"/>
        <v>SUB</v>
      </c>
      <c r="N115" t="s">
        <v>78</v>
      </c>
      <c r="O115" t="str">
        <f>VLOOKUP(Table1[[#This Row],[SCHEMATIC TYPE]],'SCHEMATIC Lookup'!$B$1:$C$5,2)</f>
        <v>Sub. Tranche of Senior</v>
      </c>
      <c r="P115" s="8">
        <v>2816000000</v>
      </c>
      <c r="Q115" t="s">
        <v>19</v>
      </c>
      <c r="R115" t="s">
        <v>73</v>
      </c>
      <c r="S115" t="s">
        <v>19</v>
      </c>
      <c r="T115" t="s">
        <v>19</v>
      </c>
      <c r="U115" s="12" t="s">
        <v>238</v>
      </c>
      <c r="V115" s="12" t="s">
        <v>240</v>
      </c>
      <c r="W115" s="11">
        <v>24.049281314168375</v>
      </c>
      <c r="X115" s="2">
        <f t="shared" si="8"/>
        <v>0.390625</v>
      </c>
      <c r="Y115" s="5">
        <f t="shared" si="9"/>
        <v>194929626.63999999</v>
      </c>
      <c r="Z115" s="5">
        <f t="shared" si="10"/>
        <v>194929626.63999999</v>
      </c>
    </row>
    <row r="116" spans="1:26" x14ac:dyDescent="0.25">
      <c r="A116">
        <v>11240</v>
      </c>
      <c r="B116">
        <v>103</v>
      </c>
      <c r="C116">
        <v>2007</v>
      </c>
      <c r="D116" t="s">
        <v>76</v>
      </c>
      <c r="E116" t="s">
        <v>69</v>
      </c>
      <c r="F116" s="2">
        <v>0.390625</v>
      </c>
      <c r="G116" s="2">
        <v>0.46164772727272729</v>
      </c>
      <c r="H116" s="14">
        <f t="shared" si="6"/>
        <v>0</v>
      </c>
      <c r="I116" s="5">
        <v>194929627</v>
      </c>
      <c r="J116">
        <v>5</v>
      </c>
      <c r="K116" s="6">
        <v>1.2699999999999999E-2</v>
      </c>
      <c r="L116" s="6">
        <v>0</v>
      </c>
      <c r="M116" t="str">
        <f t="shared" si="11"/>
        <v>SUB</v>
      </c>
      <c r="N116" t="s">
        <v>78</v>
      </c>
      <c r="O116" t="str">
        <f>VLOOKUP(Table1[[#This Row],[SCHEMATIC TYPE]],'SCHEMATIC Lookup'!$B$1:$C$5,2)</f>
        <v>Sub. Tranche of Senior</v>
      </c>
      <c r="P116" s="8">
        <v>2816000000</v>
      </c>
      <c r="Q116" t="s">
        <v>19</v>
      </c>
      <c r="R116" t="s">
        <v>73</v>
      </c>
      <c r="S116" t="s">
        <v>19</v>
      </c>
      <c r="T116" t="s">
        <v>19</v>
      </c>
      <c r="U116" s="12" t="s">
        <v>238</v>
      </c>
      <c r="V116" s="12" t="s">
        <v>240</v>
      </c>
      <c r="W116" s="11">
        <v>57.527720739219717</v>
      </c>
      <c r="X116" s="2">
        <f t="shared" si="8"/>
        <v>0.390625</v>
      </c>
      <c r="Y116" s="5">
        <f t="shared" si="9"/>
        <v>194929627</v>
      </c>
      <c r="Z116" s="5">
        <f t="shared" si="10"/>
        <v>194929627</v>
      </c>
    </row>
    <row r="117" spans="1:26" x14ac:dyDescent="0.25">
      <c r="A117">
        <v>11250</v>
      </c>
      <c r="B117">
        <v>183</v>
      </c>
      <c r="C117">
        <v>2014</v>
      </c>
      <c r="D117" t="s">
        <v>74</v>
      </c>
      <c r="E117" t="s">
        <v>77</v>
      </c>
      <c r="F117" s="2">
        <v>0.60825613781486843</v>
      </c>
      <c r="G117" s="2">
        <v>0.81936898498688493</v>
      </c>
      <c r="H117" s="14">
        <f t="shared" si="6"/>
        <v>0</v>
      </c>
      <c r="I117" s="5">
        <v>16812500</v>
      </c>
      <c r="J117">
        <v>1</v>
      </c>
      <c r="K117" s="6">
        <v>0.15</v>
      </c>
      <c r="L117" s="6">
        <v>0</v>
      </c>
      <c r="M117" t="str">
        <f t="shared" si="11"/>
        <v>SUB</v>
      </c>
      <c r="N117" t="s">
        <v>75</v>
      </c>
      <c r="O117" t="str">
        <f>VLOOKUP(Table1[[#This Row],[SCHEMATIC TYPE]],'SCHEMATIC Lookup'!$B$1:$C$5,2)</f>
        <v>Mezzanine Loan</v>
      </c>
      <c r="P117" s="8">
        <v>79637503</v>
      </c>
      <c r="Q117" t="s">
        <v>71</v>
      </c>
      <c r="R117" t="s">
        <v>80</v>
      </c>
      <c r="S117" t="s">
        <v>71</v>
      </c>
      <c r="T117" t="s">
        <v>71</v>
      </c>
      <c r="U117" s="12" t="s">
        <v>235</v>
      </c>
      <c r="V117" s="12" t="s">
        <v>237</v>
      </c>
      <c r="W117" s="11">
        <v>30</v>
      </c>
      <c r="X117" s="2">
        <f t="shared" si="8"/>
        <v>0.60825613781486843</v>
      </c>
      <c r="Y117" s="5">
        <f t="shared" si="9"/>
        <v>16812500</v>
      </c>
      <c r="Z117" s="5">
        <f t="shared" si="10"/>
        <v>16812500</v>
      </c>
    </row>
    <row r="118" spans="1:26" x14ac:dyDescent="0.25">
      <c r="A118">
        <v>11260</v>
      </c>
      <c r="B118">
        <v>103</v>
      </c>
      <c r="C118">
        <v>2007</v>
      </c>
      <c r="D118" t="s">
        <v>74</v>
      </c>
      <c r="E118" t="s">
        <v>69</v>
      </c>
      <c r="F118" s="2">
        <v>0.44</v>
      </c>
      <c r="G118" s="2">
        <v>0.59</v>
      </c>
      <c r="H118" s="14">
        <f t="shared" si="6"/>
        <v>0</v>
      </c>
      <c r="I118" s="5">
        <v>30000000</v>
      </c>
      <c r="J118">
        <v>5</v>
      </c>
      <c r="K118" s="6">
        <v>1.2500000000000001E-2</v>
      </c>
      <c r="L118" s="6">
        <v>0</v>
      </c>
      <c r="M118" t="str">
        <f t="shared" si="11"/>
        <v>SUB</v>
      </c>
      <c r="N118" t="s">
        <v>75</v>
      </c>
      <c r="O118" t="str">
        <f>VLOOKUP(Table1[[#This Row],[SCHEMATIC TYPE]],'SCHEMATIC Lookup'!$B$1:$C$5,2)</f>
        <v>Mezzanine Loan</v>
      </c>
      <c r="P118" s="8">
        <v>1881357000</v>
      </c>
      <c r="Q118" t="s">
        <v>19</v>
      </c>
      <c r="R118" t="s">
        <v>73</v>
      </c>
      <c r="S118" t="s">
        <v>19</v>
      </c>
      <c r="T118" t="s">
        <v>19</v>
      </c>
      <c r="U118" s="12" t="s">
        <v>232</v>
      </c>
      <c r="V118" s="12" t="s">
        <v>230</v>
      </c>
      <c r="W118" s="11">
        <v>36.073921971252567</v>
      </c>
      <c r="X118" s="2">
        <f t="shared" si="8"/>
        <v>0.44</v>
      </c>
      <c r="Y118" s="5">
        <f t="shared" si="9"/>
        <v>30000000</v>
      </c>
      <c r="Z118" s="5">
        <f t="shared" si="10"/>
        <v>30000000</v>
      </c>
    </row>
    <row r="119" spans="1:26" x14ac:dyDescent="0.25">
      <c r="A119">
        <v>11270</v>
      </c>
      <c r="B119">
        <v>103</v>
      </c>
      <c r="C119">
        <v>2007</v>
      </c>
      <c r="D119" t="s">
        <v>74</v>
      </c>
      <c r="E119" t="s">
        <v>69</v>
      </c>
      <c r="F119" s="2">
        <v>0.44</v>
      </c>
      <c r="G119" s="2">
        <v>0.59</v>
      </c>
      <c r="H119" s="14">
        <f t="shared" si="6"/>
        <v>0</v>
      </c>
      <c r="I119" s="5">
        <v>50000000</v>
      </c>
      <c r="J119">
        <v>5</v>
      </c>
      <c r="K119" s="6">
        <v>1.2500000000000001E-2</v>
      </c>
      <c r="L119" s="6">
        <v>0</v>
      </c>
      <c r="M119" t="str">
        <f t="shared" si="11"/>
        <v>SUB</v>
      </c>
      <c r="N119" t="s">
        <v>75</v>
      </c>
      <c r="O119" t="str">
        <f>VLOOKUP(Table1[[#This Row],[SCHEMATIC TYPE]],'SCHEMATIC Lookup'!$B$1:$C$5,2)</f>
        <v>Mezzanine Loan</v>
      </c>
      <c r="P119" s="8">
        <v>1881357000</v>
      </c>
      <c r="Q119" t="s">
        <v>19</v>
      </c>
      <c r="R119" t="s">
        <v>73</v>
      </c>
      <c r="S119" t="s">
        <v>19</v>
      </c>
      <c r="T119" t="s">
        <v>19</v>
      </c>
      <c r="U119" s="12" t="s">
        <v>232</v>
      </c>
      <c r="V119" s="12" t="s">
        <v>230</v>
      </c>
      <c r="W119" s="11">
        <v>36.073921971252567</v>
      </c>
      <c r="X119" s="2">
        <f t="shared" si="8"/>
        <v>0.44</v>
      </c>
      <c r="Y119" s="5">
        <f t="shared" si="9"/>
        <v>50000000</v>
      </c>
      <c r="Z119" s="5">
        <f t="shared" si="10"/>
        <v>50000000</v>
      </c>
    </row>
    <row r="120" spans="1:26" x14ac:dyDescent="0.25">
      <c r="A120">
        <v>11280</v>
      </c>
      <c r="B120">
        <v>103</v>
      </c>
      <c r="C120">
        <v>2010</v>
      </c>
      <c r="D120" t="s">
        <v>74</v>
      </c>
      <c r="E120" t="s">
        <v>69</v>
      </c>
      <c r="F120" s="2">
        <v>0.52</v>
      </c>
      <c r="G120" s="2">
        <v>0.64</v>
      </c>
      <c r="H120" s="14">
        <f t="shared" si="6"/>
        <v>0</v>
      </c>
      <c r="I120" s="5">
        <v>18791123.030000001</v>
      </c>
      <c r="J120">
        <v>5</v>
      </c>
      <c r="K120" s="6">
        <v>1.2500000000000001E-2</v>
      </c>
      <c r="L120" s="6">
        <v>0</v>
      </c>
      <c r="M120" t="str">
        <f t="shared" si="11"/>
        <v>SUB</v>
      </c>
      <c r="N120" t="s">
        <v>75</v>
      </c>
      <c r="O120" t="str">
        <f>VLOOKUP(Table1[[#This Row],[SCHEMATIC TYPE]],'SCHEMATIC Lookup'!$B$1:$C$5,2)</f>
        <v>Mezzanine Loan</v>
      </c>
      <c r="P120" s="8">
        <v>506123000</v>
      </c>
      <c r="Q120" t="s">
        <v>19</v>
      </c>
      <c r="R120" t="s">
        <v>82</v>
      </c>
      <c r="S120" t="s">
        <v>19</v>
      </c>
      <c r="T120" t="s">
        <v>19</v>
      </c>
      <c r="U120" s="12" t="s">
        <v>236</v>
      </c>
      <c r="V120" s="12" t="s">
        <v>235</v>
      </c>
      <c r="W120" s="11">
        <v>28.813141683778234</v>
      </c>
      <c r="X120" s="2">
        <f t="shared" si="8"/>
        <v>0.52</v>
      </c>
      <c r="Y120" s="5">
        <f t="shared" si="9"/>
        <v>18791123.030000001</v>
      </c>
      <c r="Z120" s="5">
        <f t="shared" si="10"/>
        <v>18791123.030000001</v>
      </c>
    </row>
    <row r="121" spans="1:26" x14ac:dyDescent="0.25">
      <c r="A121">
        <v>11290</v>
      </c>
      <c r="B121">
        <v>103</v>
      </c>
      <c r="C121">
        <v>2007</v>
      </c>
      <c r="D121" t="s">
        <v>74</v>
      </c>
      <c r="E121" t="s">
        <v>69</v>
      </c>
      <c r="F121" s="2">
        <v>0.44</v>
      </c>
      <c r="G121" s="2">
        <v>0.59</v>
      </c>
      <c r="H121" s="14">
        <f t="shared" si="6"/>
        <v>0</v>
      </c>
      <c r="I121" s="5">
        <v>45000000</v>
      </c>
      <c r="J121">
        <v>5</v>
      </c>
      <c r="K121" s="6">
        <v>1.2500000000000001E-2</v>
      </c>
      <c r="L121" s="6">
        <v>0</v>
      </c>
      <c r="M121" t="str">
        <f t="shared" si="11"/>
        <v>SUB</v>
      </c>
      <c r="N121" t="s">
        <v>75</v>
      </c>
      <c r="O121" t="str">
        <f>VLOOKUP(Table1[[#This Row],[SCHEMATIC TYPE]],'SCHEMATIC Lookup'!$B$1:$C$5,2)</f>
        <v>Mezzanine Loan</v>
      </c>
      <c r="P121" s="8">
        <v>1881357000</v>
      </c>
      <c r="Q121" t="s">
        <v>19</v>
      </c>
      <c r="R121" t="s">
        <v>73</v>
      </c>
      <c r="S121" t="s">
        <v>19</v>
      </c>
      <c r="T121" t="s">
        <v>19</v>
      </c>
      <c r="U121" s="12" t="s">
        <v>232</v>
      </c>
      <c r="V121" s="12" t="s">
        <v>230</v>
      </c>
      <c r="W121" s="11">
        <v>36.073921971252567</v>
      </c>
      <c r="X121" s="2">
        <f t="shared" si="8"/>
        <v>0.44</v>
      </c>
      <c r="Y121" s="5">
        <f t="shared" si="9"/>
        <v>45000000</v>
      </c>
      <c r="Z121" s="5">
        <f t="shared" si="10"/>
        <v>45000000</v>
      </c>
    </row>
    <row r="122" spans="1:26" x14ac:dyDescent="0.25">
      <c r="A122">
        <v>11300</v>
      </c>
      <c r="B122">
        <v>103</v>
      </c>
      <c r="C122">
        <v>2010</v>
      </c>
      <c r="D122" t="s">
        <v>74</v>
      </c>
      <c r="E122" t="s">
        <v>69</v>
      </c>
      <c r="F122" s="2">
        <v>0.52</v>
      </c>
      <c r="G122" s="2">
        <v>0.64</v>
      </c>
      <c r="H122" s="14">
        <f t="shared" si="6"/>
        <v>0</v>
      </c>
      <c r="I122" s="5">
        <v>16912010.73</v>
      </c>
      <c r="J122">
        <v>5</v>
      </c>
      <c r="K122" s="6">
        <v>1.2500000000000001E-2</v>
      </c>
      <c r="L122" s="6">
        <v>0</v>
      </c>
      <c r="M122" t="str">
        <f t="shared" si="11"/>
        <v>SUB</v>
      </c>
      <c r="N122" t="s">
        <v>75</v>
      </c>
      <c r="O122" t="str">
        <f>VLOOKUP(Table1[[#This Row],[SCHEMATIC TYPE]],'SCHEMATIC Lookup'!$B$1:$C$5,2)</f>
        <v>Mezzanine Loan</v>
      </c>
      <c r="P122" s="8">
        <v>506123000</v>
      </c>
      <c r="Q122" t="s">
        <v>19</v>
      </c>
      <c r="R122" t="s">
        <v>82</v>
      </c>
      <c r="S122" t="s">
        <v>19</v>
      </c>
      <c r="T122" t="s">
        <v>19</v>
      </c>
      <c r="U122" s="12" t="s">
        <v>236</v>
      </c>
      <c r="V122" s="12" t="s">
        <v>235</v>
      </c>
      <c r="W122" s="11">
        <v>29</v>
      </c>
      <c r="X122" s="2">
        <f t="shared" si="8"/>
        <v>0.52</v>
      </c>
      <c r="Y122" s="5">
        <f t="shared" si="9"/>
        <v>16912010.73</v>
      </c>
      <c r="Z122" s="5">
        <f t="shared" si="10"/>
        <v>16912010.73</v>
      </c>
    </row>
    <row r="123" spans="1:26" x14ac:dyDescent="0.25">
      <c r="A123">
        <v>11310</v>
      </c>
      <c r="B123">
        <v>103</v>
      </c>
      <c r="C123">
        <v>2010</v>
      </c>
      <c r="D123" t="s">
        <v>74</v>
      </c>
      <c r="E123" t="s">
        <v>69</v>
      </c>
      <c r="F123" s="2">
        <v>0.52</v>
      </c>
      <c r="G123" s="2">
        <v>0.64</v>
      </c>
      <c r="H123" s="14">
        <f t="shared" si="6"/>
        <v>0</v>
      </c>
      <c r="I123" s="5">
        <v>11274673.789999999</v>
      </c>
      <c r="J123">
        <v>5</v>
      </c>
      <c r="K123" s="6">
        <v>1.2500000000000001E-2</v>
      </c>
      <c r="L123" s="6">
        <v>0</v>
      </c>
      <c r="M123" t="str">
        <f t="shared" si="11"/>
        <v>SUB</v>
      </c>
      <c r="N123" t="s">
        <v>75</v>
      </c>
      <c r="O123" t="str">
        <f>VLOOKUP(Table1[[#This Row],[SCHEMATIC TYPE]],'SCHEMATIC Lookup'!$B$1:$C$5,2)</f>
        <v>Mezzanine Loan</v>
      </c>
      <c r="P123" s="8">
        <v>506123000</v>
      </c>
      <c r="Q123" t="s">
        <v>19</v>
      </c>
      <c r="R123" t="s">
        <v>82</v>
      </c>
      <c r="S123" t="s">
        <v>19</v>
      </c>
      <c r="T123" t="s">
        <v>19</v>
      </c>
      <c r="U123" s="12" t="s">
        <v>236</v>
      </c>
      <c r="V123" s="12" t="s">
        <v>235</v>
      </c>
      <c r="W123" s="11">
        <v>28.813141683778234</v>
      </c>
      <c r="X123" s="2">
        <f t="shared" si="8"/>
        <v>0.52</v>
      </c>
      <c r="Y123" s="5">
        <f t="shared" si="9"/>
        <v>11274673.789999999</v>
      </c>
      <c r="Z123" s="5">
        <f t="shared" si="10"/>
        <v>11274673.789999999</v>
      </c>
    </row>
    <row r="124" spans="1:26" x14ac:dyDescent="0.25">
      <c r="A124">
        <v>11320</v>
      </c>
      <c r="B124">
        <v>119</v>
      </c>
      <c r="C124">
        <v>2013</v>
      </c>
      <c r="D124" t="s">
        <v>74</v>
      </c>
      <c r="E124" t="s">
        <v>69</v>
      </c>
      <c r="F124" s="2">
        <v>0.54</v>
      </c>
      <c r="G124" s="2">
        <v>0.63</v>
      </c>
      <c r="H124" s="14">
        <f t="shared" si="6"/>
        <v>0</v>
      </c>
      <c r="I124" s="5">
        <v>12000000</v>
      </c>
      <c r="J124">
        <v>5</v>
      </c>
      <c r="K124" s="6">
        <v>9.2999999999999999E-2</v>
      </c>
      <c r="L124" s="6">
        <v>0</v>
      </c>
      <c r="M124" t="str">
        <f t="shared" si="11"/>
        <v>SUB</v>
      </c>
      <c r="N124" t="s">
        <v>75</v>
      </c>
      <c r="O124" t="str">
        <f>VLOOKUP(Table1[[#This Row],[SCHEMATIC TYPE]],'SCHEMATIC Lookup'!$B$1:$C$5,2)</f>
        <v>Mezzanine Loan</v>
      </c>
      <c r="P124" s="8">
        <v>126600000</v>
      </c>
      <c r="Q124" t="s">
        <v>71</v>
      </c>
      <c r="R124" t="s">
        <v>72</v>
      </c>
      <c r="S124" t="s">
        <v>71</v>
      </c>
      <c r="T124" t="s">
        <v>71</v>
      </c>
      <c r="U124" s="12" t="s">
        <v>236</v>
      </c>
      <c r="V124" s="12" t="s">
        <v>235</v>
      </c>
      <c r="W124" s="11">
        <v>58</v>
      </c>
      <c r="X124" s="2">
        <f t="shared" si="8"/>
        <v>0.54</v>
      </c>
      <c r="Y124" s="5">
        <f t="shared" si="9"/>
        <v>12000000</v>
      </c>
      <c r="Z124" s="5">
        <f t="shared" si="10"/>
        <v>12000000</v>
      </c>
    </row>
    <row r="125" spans="1:26" x14ac:dyDescent="0.25">
      <c r="A125">
        <v>11330</v>
      </c>
      <c r="B125">
        <v>119</v>
      </c>
      <c r="C125">
        <v>2015</v>
      </c>
      <c r="D125" t="s">
        <v>68</v>
      </c>
      <c r="E125" t="s">
        <v>69</v>
      </c>
      <c r="F125" s="2">
        <v>0.49</v>
      </c>
      <c r="G125" s="2">
        <v>0.63</v>
      </c>
      <c r="H125" s="14">
        <f t="shared" si="6"/>
        <v>0</v>
      </c>
      <c r="I125" s="5">
        <v>7120750</v>
      </c>
      <c r="J125">
        <v>4</v>
      </c>
      <c r="K125" s="6">
        <v>0.11375</v>
      </c>
      <c r="L125" s="6">
        <v>0.77249999999999996</v>
      </c>
      <c r="M125" t="str">
        <f t="shared" si="11"/>
        <v>SUBL</v>
      </c>
      <c r="N125" t="s">
        <v>70</v>
      </c>
      <c r="O125" t="str">
        <f>VLOOKUP(Table1[[#This Row],[SCHEMATIC TYPE]],'SCHEMATIC Lookup'!$B$1:$C$5,2)</f>
        <v>Leveraged Whole Loan</v>
      </c>
      <c r="P125" s="8">
        <v>48300000</v>
      </c>
      <c r="Q125" t="s">
        <v>71</v>
      </c>
      <c r="R125" t="s">
        <v>72</v>
      </c>
      <c r="S125" t="s">
        <v>71</v>
      </c>
      <c r="T125" t="s">
        <v>71</v>
      </c>
      <c r="U125" s="12" t="s">
        <v>232</v>
      </c>
      <c r="V125" s="12" t="s">
        <v>235</v>
      </c>
      <c r="W125" s="11">
        <v>61</v>
      </c>
      <c r="X125" s="2">
        <f t="shared" si="8"/>
        <v>0.49</v>
      </c>
      <c r="Y125" s="5">
        <f t="shared" si="9"/>
        <v>7120750</v>
      </c>
      <c r="Z125" s="5">
        <f t="shared" si="10"/>
        <v>32043374.999999996</v>
      </c>
    </row>
    <row r="126" spans="1:26" x14ac:dyDescent="0.25">
      <c r="A126">
        <v>11340</v>
      </c>
      <c r="B126">
        <v>103</v>
      </c>
      <c r="C126">
        <v>2013</v>
      </c>
      <c r="D126" t="s">
        <v>74</v>
      </c>
      <c r="E126" t="s">
        <v>77</v>
      </c>
      <c r="F126" s="2">
        <v>0.58464223385689351</v>
      </c>
      <c r="G126" s="2">
        <v>0.67190226876090753</v>
      </c>
      <c r="H126" s="14">
        <f t="shared" si="6"/>
        <v>0</v>
      </c>
      <c r="I126" s="5">
        <v>50000000</v>
      </c>
      <c r="J126">
        <v>1</v>
      </c>
      <c r="K126" s="6">
        <v>7.0000000000000007E-2</v>
      </c>
      <c r="L126" s="6">
        <v>0</v>
      </c>
      <c r="M126" t="str">
        <f t="shared" si="11"/>
        <v>SUB</v>
      </c>
      <c r="N126" t="s">
        <v>75</v>
      </c>
      <c r="O126" t="str">
        <f>VLOOKUP(Table1[[#This Row],[SCHEMATIC TYPE]],'SCHEMATIC Lookup'!$B$1:$C$5,2)</f>
        <v>Mezzanine Loan</v>
      </c>
      <c r="P126" s="8">
        <v>573127000</v>
      </c>
      <c r="Q126" t="s">
        <v>19</v>
      </c>
      <c r="R126" t="s">
        <v>73</v>
      </c>
      <c r="S126" t="s">
        <v>19</v>
      </c>
      <c r="T126" t="s">
        <v>19</v>
      </c>
      <c r="U126" s="12" t="s">
        <v>230</v>
      </c>
      <c r="V126" s="12" t="s">
        <v>234</v>
      </c>
      <c r="W126" s="11">
        <v>118.6694045174538</v>
      </c>
      <c r="X126" s="2">
        <f t="shared" si="8"/>
        <v>0.58464223385689351</v>
      </c>
      <c r="Y126" s="5">
        <f t="shared" si="9"/>
        <v>50000000</v>
      </c>
      <c r="Z126" s="5">
        <f t="shared" si="10"/>
        <v>50000000</v>
      </c>
    </row>
    <row r="127" spans="1:26" x14ac:dyDescent="0.25">
      <c r="A127">
        <v>11350</v>
      </c>
      <c r="B127">
        <v>103</v>
      </c>
      <c r="C127">
        <v>2013</v>
      </c>
      <c r="D127" t="s">
        <v>74</v>
      </c>
      <c r="E127" t="s">
        <v>77</v>
      </c>
      <c r="F127" s="2">
        <v>0.59902200488997559</v>
      </c>
      <c r="G127" s="2">
        <v>0.73349633251833746</v>
      </c>
      <c r="H127" s="14">
        <f t="shared" si="6"/>
        <v>0</v>
      </c>
      <c r="I127" s="5">
        <v>55000000</v>
      </c>
      <c r="J127">
        <v>1</v>
      </c>
      <c r="K127" s="6">
        <v>7.0000000000000007E-2</v>
      </c>
      <c r="L127" s="6">
        <v>0</v>
      </c>
      <c r="M127" t="str">
        <f t="shared" si="11"/>
        <v>SUB</v>
      </c>
      <c r="N127" t="s">
        <v>75</v>
      </c>
      <c r="O127" t="str">
        <f>VLOOKUP(Table1[[#This Row],[SCHEMATIC TYPE]],'SCHEMATIC Lookup'!$B$1:$C$5,2)</f>
        <v>Mezzanine Loan</v>
      </c>
      <c r="P127" s="8">
        <v>409417500</v>
      </c>
      <c r="Q127" t="s">
        <v>19</v>
      </c>
      <c r="R127" t="s">
        <v>73</v>
      </c>
      <c r="S127" t="s">
        <v>19</v>
      </c>
      <c r="T127" t="s">
        <v>19</v>
      </c>
      <c r="U127" s="12" t="s">
        <v>230</v>
      </c>
      <c r="V127" s="12" t="s">
        <v>233</v>
      </c>
      <c r="W127" s="11">
        <v>125.3388090349076</v>
      </c>
      <c r="X127" s="2">
        <f t="shared" si="8"/>
        <v>0.59902200488997559</v>
      </c>
      <c r="Y127" s="5">
        <f t="shared" si="9"/>
        <v>55000000</v>
      </c>
      <c r="Z127" s="5">
        <f t="shared" si="10"/>
        <v>55000000</v>
      </c>
    </row>
    <row r="128" spans="1:26" x14ac:dyDescent="0.25">
      <c r="A128">
        <v>11360</v>
      </c>
      <c r="B128">
        <v>119</v>
      </c>
      <c r="C128">
        <v>2016</v>
      </c>
      <c r="D128" t="s">
        <v>68</v>
      </c>
      <c r="E128" t="s">
        <v>69</v>
      </c>
      <c r="F128" s="2">
        <v>0.49</v>
      </c>
      <c r="G128" s="2">
        <v>0.67</v>
      </c>
      <c r="H128" s="14">
        <f t="shared" si="6"/>
        <v>0</v>
      </c>
      <c r="I128" s="5">
        <v>7537500</v>
      </c>
      <c r="J128">
        <v>6</v>
      </c>
      <c r="K128" s="6">
        <v>9.0999999999999998E-2</v>
      </c>
      <c r="L128" s="6">
        <v>0.7</v>
      </c>
      <c r="M128" t="str">
        <f t="shared" si="11"/>
        <v>SUBL</v>
      </c>
      <c r="N128" t="s">
        <v>70</v>
      </c>
      <c r="O128" t="str">
        <f>VLOOKUP(Table1[[#This Row],[SCHEMATIC TYPE]],'SCHEMATIC Lookup'!$B$1:$C$5,2)</f>
        <v>Leveraged Whole Loan</v>
      </c>
      <c r="P128" s="8">
        <v>37257113</v>
      </c>
      <c r="Q128" t="s">
        <v>71</v>
      </c>
      <c r="R128" t="s">
        <v>73</v>
      </c>
      <c r="S128" t="s">
        <v>71</v>
      </c>
      <c r="T128" t="s">
        <v>71</v>
      </c>
      <c r="U128" s="12" t="s">
        <v>232</v>
      </c>
      <c r="V128" s="12" t="s">
        <v>234</v>
      </c>
      <c r="W128" s="11">
        <v>61</v>
      </c>
      <c r="X128" s="2">
        <f t="shared" si="8"/>
        <v>0.49</v>
      </c>
      <c r="Y128" s="5">
        <f t="shared" si="9"/>
        <v>7537500</v>
      </c>
      <c r="Z128" s="5">
        <f t="shared" si="10"/>
        <v>28056249.999999993</v>
      </c>
    </row>
    <row r="129" spans="1:26" x14ac:dyDescent="0.25">
      <c r="A129">
        <v>11370</v>
      </c>
      <c r="B129">
        <v>119</v>
      </c>
      <c r="C129">
        <v>2013</v>
      </c>
      <c r="D129" t="s">
        <v>68</v>
      </c>
      <c r="E129" t="s">
        <v>69</v>
      </c>
      <c r="F129" s="2">
        <v>0.53</v>
      </c>
      <c r="G129" s="2">
        <v>0.75</v>
      </c>
      <c r="H129" s="14">
        <f t="shared" si="6"/>
        <v>0</v>
      </c>
      <c r="I129" s="5">
        <v>6987201</v>
      </c>
      <c r="J129">
        <v>1</v>
      </c>
      <c r="K129" s="6">
        <v>0.10625</v>
      </c>
      <c r="L129" s="6">
        <v>0.71</v>
      </c>
      <c r="M129" t="str">
        <f t="shared" si="11"/>
        <v>SUBL</v>
      </c>
      <c r="N129" t="s">
        <v>70</v>
      </c>
      <c r="O129" t="str">
        <f>VLOOKUP(Table1[[#This Row],[SCHEMATIC TYPE]],'SCHEMATIC Lookup'!$B$1:$C$5,2)</f>
        <v>Leveraged Whole Loan</v>
      </c>
      <c r="P129" s="8">
        <v>32284000</v>
      </c>
      <c r="Q129" t="s">
        <v>71</v>
      </c>
      <c r="R129" t="s">
        <v>73</v>
      </c>
      <c r="S129" t="s">
        <v>71</v>
      </c>
      <c r="T129" t="s">
        <v>71</v>
      </c>
      <c r="U129" s="12" t="s">
        <v>236</v>
      </c>
      <c r="V129" s="12" t="s">
        <v>231</v>
      </c>
      <c r="W129" s="11">
        <v>60</v>
      </c>
      <c r="X129" s="2">
        <f t="shared" si="8"/>
        <v>0.53</v>
      </c>
      <c r="Y129" s="5">
        <f t="shared" si="9"/>
        <v>6987201</v>
      </c>
      <c r="Z129" s="5">
        <f t="shared" si="10"/>
        <v>23820003.409090914</v>
      </c>
    </row>
    <row r="130" spans="1:26" x14ac:dyDescent="0.25">
      <c r="A130">
        <v>11380</v>
      </c>
      <c r="B130">
        <v>103</v>
      </c>
      <c r="C130">
        <v>2001</v>
      </c>
      <c r="D130" t="s">
        <v>81</v>
      </c>
      <c r="E130" t="s">
        <v>77</v>
      </c>
      <c r="F130" s="2">
        <v>0.41643835616438357</v>
      </c>
      <c r="G130" s="2">
        <v>0.69041095890410964</v>
      </c>
      <c r="H130" s="14">
        <f t="shared" si="6"/>
        <v>0</v>
      </c>
      <c r="I130" s="5">
        <v>10000000</v>
      </c>
      <c r="J130">
        <v>1</v>
      </c>
      <c r="K130" s="6">
        <v>7.9299999999999995E-2</v>
      </c>
      <c r="L130" s="6">
        <v>0</v>
      </c>
      <c r="M130" t="str">
        <f t="shared" si="11"/>
        <v>SUB</v>
      </c>
      <c r="N130" t="s">
        <v>78</v>
      </c>
      <c r="O130" t="str">
        <f>VLOOKUP(Table1[[#This Row],[SCHEMATIC TYPE]],'SCHEMATIC Lookup'!$B$1:$C$5,2)</f>
        <v>Sub. Tranche of Senior</v>
      </c>
      <c r="P130" s="8">
        <v>36500000</v>
      </c>
      <c r="Q130" t="s">
        <v>19</v>
      </c>
      <c r="R130" t="s">
        <v>82</v>
      </c>
      <c r="S130" t="s">
        <v>19</v>
      </c>
      <c r="T130" t="s">
        <v>19</v>
      </c>
      <c r="U130" s="12" t="s">
        <v>232</v>
      </c>
      <c r="V130" s="12" t="s">
        <v>234</v>
      </c>
      <c r="W130" s="11">
        <v>199.32648870636552</v>
      </c>
      <c r="X130" s="2">
        <f t="shared" si="8"/>
        <v>0.41643835616438357</v>
      </c>
      <c r="Y130" s="5">
        <f t="shared" si="9"/>
        <v>10000000</v>
      </c>
      <c r="Z130" s="5">
        <f t="shared" si="10"/>
        <v>10000000</v>
      </c>
    </row>
    <row r="131" spans="1:26" x14ac:dyDescent="0.25">
      <c r="A131">
        <v>11390</v>
      </c>
      <c r="B131">
        <v>220</v>
      </c>
      <c r="C131">
        <v>2013</v>
      </c>
      <c r="D131" t="s">
        <v>74</v>
      </c>
      <c r="E131" t="s">
        <v>69</v>
      </c>
      <c r="F131" s="2">
        <v>0.461606746560142</v>
      </c>
      <c r="G131" s="2">
        <v>0.68353306702174876</v>
      </c>
      <c r="H131" s="14">
        <f t="shared" si="6"/>
        <v>0</v>
      </c>
      <c r="I131" s="5">
        <v>25000000</v>
      </c>
      <c r="J131">
        <v>7</v>
      </c>
      <c r="K131" s="6">
        <v>9.4E-2</v>
      </c>
      <c r="L131" s="6">
        <v>0</v>
      </c>
      <c r="M131" t="str">
        <f t="shared" si="11"/>
        <v>SUB</v>
      </c>
      <c r="N131" t="s">
        <v>75</v>
      </c>
      <c r="O131" t="str">
        <f>VLOOKUP(Table1[[#This Row],[SCHEMATIC TYPE]],'SCHEMATIC Lookup'!$B$1:$C$5,2)</f>
        <v>Mezzanine Loan</v>
      </c>
      <c r="P131" s="8">
        <v>112650000</v>
      </c>
      <c r="Q131" t="s">
        <v>19</v>
      </c>
      <c r="R131" t="s">
        <v>72</v>
      </c>
      <c r="S131" t="s">
        <v>19</v>
      </c>
      <c r="T131" t="s">
        <v>19</v>
      </c>
      <c r="U131" s="12" t="s">
        <v>232</v>
      </c>
      <c r="V131" s="12" t="s">
        <v>234</v>
      </c>
      <c r="W131" s="11">
        <v>24</v>
      </c>
      <c r="X131" s="2">
        <f t="shared" si="8"/>
        <v>0.461606746560142</v>
      </c>
      <c r="Y131" s="5">
        <f t="shared" si="9"/>
        <v>25000000</v>
      </c>
      <c r="Z131" s="5">
        <f t="shared" si="10"/>
        <v>25000000</v>
      </c>
    </row>
    <row r="132" spans="1:26" x14ac:dyDescent="0.25">
      <c r="A132">
        <v>11410</v>
      </c>
      <c r="B132">
        <v>119</v>
      </c>
      <c r="C132">
        <v>2016</v>
      </c>
      <c r="D132" t="s">
        <v>68</v>
      </c>
      <c r="E132" t="s">
        <v>69</v>
      </c>
      <c r="F132" s="2">
        <v>0.52</v>
      </c>
      <c r="G132" s="2">
        <v>0.74</v>
      </c>
      <c r="H132" s="14">
        <f t="shared" si="6"/>
        <v>0</v>
      </c>
      <c r="I132" s="5">
        <v>12000000</v>
      </c>
      <c r="J132">
        <v>2</v>
      </c>
      <c r="K132" s="6">
        <v>0.10100000000000001</v>
      </c>
      <c r="L132" s="6">
        <v>0.76</v>
      </c>
      <c r="M132" t="str">
        <f t="shared" si="11"/>
        <v>SUBL</v>
      </c>
      <c r="N132" t="s">
        <v>70</v>
      </c>
      <c r="O132" t="str">
        <f>VLOOKUP(Table1[[#This Row],[SCHEMATIC TYPE]],'SCHEMATIC Lookup'!$B$1:$C$5,2)</f>
        <v>Leveraged Whole Loan</v>
      </c>
      <c r="P132" s="8">
        <v>67528765</v>
      </c>
      <c r="Q132" t="s">
        <v>71</v>
      </c>
      <c r="R132" t="s">
        <v>72</v>
      </c>
      <c r="S132" t="s">
        <v>71</v>
      </c>
      <c r="T132" t="s">
        <v>71</v>
      </c>
      <c r="U132" s="12" t="s">
        <v>236</v>
      </c>
      <c r="V132" s="12" t="s">
        <v>233</v>
      </c>
      <c r="W132" s="11">
        <v>60</v>
      </c>
      <c r="X132" s="2">
        <f t="shared" si="8"/>
        <v>0.52</v>
      </c>
      <c r="Y132" s="5">
        <f t="shared" si="9"/>
        <v>12000000</v>
      </c>
      <c r="Z132" s="5">
        <f t="shared" si="10"/>
        <v>40363636.363636367</v>
      </c>
    </row>
    <row r="133" spans="1:26" x14ac:dyDescent="0.25">
      <c r="A133">
        <v>11420</v>
      </c>
      <c r="B133">
        <v>103</v>
      </c>
      <c r="C133">
        <v>2006</v>
      </c>
      <c r="D133" t="s">
        <v>74</v>
      </c>
      <c r="E133" t="s">
        <v>77</v>
      </c>
      <c r="F133" s="2">
        <v>0.48</v>
      </c>
      <c r="G133" s="2">
        <v>0.7</v>
      </c>
      <c r="H133" s="14">
        <f t="shared" si="6"/>
        <v>0</v>
      </c>
      <c r="I133" s="5">
        <v>98000000</v>
      </c>
      <c r="J133">
        <v>1</v>
      </c>
      <c r="K133" s="6">
        <v>0.06</v>
      </c>
      <c r="L133" s="6">
        <v>0</v>
      </c>
      <c r="M133" t="str">
        <f t="shared" si="11"/>
        <v>SUB</v>
      </c>
      <c r="N133" t="s">
        <v>75</v>
      </c>
      <c r="O133" t="str">
        <f>VLOOKUP(Table1[[#This Row],[SCHEMATIC TYPE]],'SCHEMATIC Lookup'!$B$1:$C$5,2)</f>
        <v>Mezzanine Loan</v>
      </c>
      <c r="P133" s="8">
        <v>441600000</v>
      </c>
      <c r="Q133" t="s">
        <v>93</v>
      </c>
      <c r="R133" t="s">
        <v>73</v>
      </c>
      <c r="S133" t="s">
        <v>19</v>
      </c>
      <c r="T133" t="s">
        <v>19</v>
      </c>
      <c r="U133" s="12" t="s">
        <v>232</v>
      </c>
      <c r="V133" s="12" t="s">
        <v>233</v>
      </c>
      <c r="W133" s="11">
        <v>60</v>
      </c>
      <c r="X133" s="2">
        <f t="shared" si="8"/>
        <v>0.48</v>
      </c>
      <c r="Y133" s="5">
        <f t="shared" si="9"/>
        <v>98000000</v>
      </c>
      <c r="Z133" s="5">
        <f t="shared" si="10"/>
        <v>98000000</v>
      </c>
    </row>
    <row r="134" spans="1:26" x14ac:dyDescent="0.25">
      <c r="A134">
        <v>11440</v>
      </c>
      <c r="B134">
        <v>183</v>
      </c>
      <c r="C134">
        <v>2016</v>
      </c>
      <c r="D134" t="s">
        <v>74</v>
      </c>
      <c r="E134" t="s">
        <v>77</v>
      </c>
      <c r="F134" s="2">
        <v>0.64909648822627164</v>
      </c>
      <c r="G134" s="2">
        <v>0.82747197048103627</v>
      </c>
      <c r="H134" s="14">
        <f t="shared" si="6"/>
        <v>0</v>
      </c>
      <c r="I134" s="5">
        <v>18750000</v>
      </c>
      <c r="J134">
        <v>1</v>
      </c>
      <c r="K134" s="6">
        <v>0.1</v>
      </c>
      <c r="L134" s="6">
        <v>0</v>
      </c>
      <c r="M134" t="str">
        <f t="shared" si="11"/>
        <v>SUB</v>
      </c>
      <c r="N134" t="s">
        <v>75</v>
      </c>
      <c r="O134" t="str">
        <f>VLOOKUP(Table1[[#This Row],[SCHEMATIC TYPE]],'SCHEMATIC Lookup'!$B$1:$C$5,2)</f>
        <v>Mezzanine Loan</v>
      </c>
      <c r="P134" s="8">
        <v>105115343</v>
      </c>
      <c r="Q134" t="s">
        <v>71</v>
      </c>
      <c r="R134" t="s">
        <v>73</v>
      </c>
      <c r="S134" t="s">
        <v>71</v>
      </c>
      <c r="T134" t="s">
        <v>71</v>
      </c>
      <c r="U134" s="12" t="s">
        <v>235</v>
      </c>
      <c r="V134" s="12" t="s">
        <v>237</v>
      </c>
      <c r="W134" s="11">
        <v>36</v>
      </c>
      <c r="X134" s="2">
        <f t="shared" si="8"/>
        <v>0.64909648822627164</v>
      </c>
      <c r="Y134" s="5">
        <f t="shared" si="9"/>
        <v>18750000</v>
      </c>
      <c r="Z134" s="5">
        <f t="shared" si="10"/>
        <v>18750000</v>
      </c>
    </row>
    <row r="135" spans="1:26" x14ac:dyDescent="0.25">
      <c r="A135">
        <v>11450</v>
      </c>
      <c r="B135">
        <v>119</v>
      </c>
      <c r="C135">
        <v>2016</v>
      </c>
      <c r="D135" t="s">
        <v>74</v>
      </c>
      <c r="E135" t="s">
        <v>69</v>
      </c>
      <c r="F135" s="2">
        <v>0.62</v>
      </c>
      <c r="G135" s="2">
        <v>0.75</v>
      </c>
      <c r="H135" s="14">
        <f t="shared" ref="H135:H198" si="12">(G135=F135)*1</f>
        <v>0</v>
      </c>
      <c r="I135" s="5">
        <v>20000000</v>
      </c>
      <c r="J135">
        <v>1</v>
      </c>
      <c r="K135" s="6">
        <v>0.09</v>
      </c>
      <c r="L135" s="6">
        <v>0</v>
      </c>
      <c r="M135" t="str">
        <f t="shared" ref="M135:M166" si="13">IF(AND(H135=0,OR(F135&gt;0,L135&gt;0)),"SUB",IF(AND(H135=0,F135=0),"SENIOR","BAD"))&amp;IF(L135&gt;0,"L","")</f>
        <v>SUB</v>
      </c>
      <c r="N135" t="s">
        <v>75</v>
      </c>
      <c r="O135" t="str">
        <f>VLOOKUP(Table1[[#This Row],[SCHEMATIC TYPE]],'SCHEMATIC Lookup'!$B$1:$C$5,2)</f>
        <v>Mezzanine Loan</v>
      </c>
      <c r="P135" s="8">
        <v>156312986</v>
      </c>
      <c r="Q135" t="s">
        <v>71</v>
      </c>
      <c r="R135" t="s">
        <v>73</v>
      </c>
      <c r="S135" t="s">
        <v>71</v>
      </c>
      <c r="T135" t="s">
        <v>71</v>
      </c>
      <c r="U135" s="12" t="s">
        <v>235</v>
      </c>
      <c r="V135" s="12" t="s">
        <v>231</v>
      </c>
      <c r="W135" s="11">
        <v>61</v>
      </c>
      <c r="X135" s="2">
        <f t="shared" ref="X135:X198" si="14">IF(F135=0,L135*G135,F135)</f>
        <v>0.62</v>
      </c>
      <c r="Y135" s="5">
        <f t="shared" ref="Y135:Y198" si="15">IF(AND(F135=0,X135&gt;0),I135*(1-L135),I135)</f>
        <v>20000000</v>
      </c>
      <c r="Z135" s="5">
        <f t="shared" ref="Z135:Z198" si="16">IF(AND(L135&gt;0,F135&lt;&gt;0),I135/((G135-F135)/G135),I135)</f>
        <v>20000000</v>
      </c>
    </row>
    <row r="136" spans="1:26" x14ac:dyDescent="0.25">
      <c r="A136">
        <v>11460</v>
      </c>
      <c r="B136">
        <v>183</v>
      </c>
      <c r="C136">
        <v>2013</v>
      </c>
      <c r="D136" t="s">
        <v>89</v>
      </c>
      <c r="E136" t="s">
        <v>77</v>
      </c>
      <c r="F136" s="2">
        <v>0</v>
      </c>
      <c r="G136" s="2">
        <v>0.54590534981080452</v>
      </c>
      <c r="H136" s="14">
        <f t="shared" si="12"/>
        <v>0</v>
      </c>
      <c r="I136" s="5">
        <v>44073824</v>
      </c>
      <c r="J136">
        <v>4</v>
      </c>
      <c r="K136" s="6">
        <v>8.3143999999999996E-2</v>
      </c>
      <c r="L136" s="6">
        <v>0</v>
      </c>
      <c r="M136" t="str">
        <f t="shared" si="13"/>
        <v>SENIOR</v>
      </c>
      <c r="N136" t="s">
        <v>90</v>
      </c>
      <c r="O136" t="str">
        <f>VLOOKUP(Table1[[#This Row],[SCHEMATIC TYPE]],'SCHEMATIC Lookup'!$B$1:$C$5,2)</f>
        <v>Senior Whole Loan</v>
      </c>
      <c r="P136" s="8">
        <v>80735285</v>
      </c>
      <c r="Q136" t="s">
        <v>71</v>
      </c>
      <c r="R136" t="s">
        <v>80</v>
      </c>
      <c r="S136" t="s">
        <v>71</v>
      </c>
      <c r="T136" t="s">
        <v>71</v>
      </c>
      <c r="U136" s="12" t="s">
        <v>238</v>
      </c>
      <c r="V136" s="12" t="s">
        <v>240</v>
      </c>
      <c r="W136" s="11">
        <v>12</v>
      </c>
      <c r="X136" s="2">
        <f t="shared" si="14"/>
        <v>0</v>
      </c>
      <c r="Y136" s="5">
        <f t="shared" si="15"/>
        <v>44073824</v>
      </c>
      <c r="Z136" s="5">
        <f t="shared" si="16"/>
        <v>44073824</v>
      </c>
    </row>
    <row r="137" spans="1:26" x14ac:dyDescent="0.25">
      <c r="A137">
        <v>11480</v>
      </c>
      <c r="B137">
        <v>103</v>
      </c>
      <c r="C137">
        <v>2014</v>
      </c>
      <c r="D137" t="s">
        <v>74</v>
      </c>
      <c r="E137" t="s">
        <v>69</v>
      </c>
      <c r="F137" s="2">
        <v>0.4642857142857143</v>
      </c>
      <c r="G137" s="2">
        <v>0.5892857142857143</v>
      </c>
      <c r="H137" s="14">
        <f t="shared" si="12"/>
        <v>0</v>
      </c>
      <c r="I137" s="5">
        <v>70000000</v>
      </c>
      <c r="J137">
        <v>5</v>
      </c>
      <c r="K137" s="6">
        <v>5.7500000000000002E-2</v>
      </c>
      <c r="L137" s="6">
        <v>0</v>
      </c>
      <c r="M137" t="str">
        <f t="shared" si="13"/>
        <v>SUB</v>
      </c>
      <c r="N137" t="s">
        <v>75</v>
      </c>
      <c r="O137" t="str">
        <f>VLOOKUP(Table1[[#This Row],[SCHEMATIC TYPE]],'SCHEMATIC Lookup'!$B$1:$C$5,2)</f>
        <v>Mezzanine Loan</v>
      </c>
      <c r="P137" s="8">
        <v>560000000</v>
      </c>
      <c r="Q137" t="s">
        <v>19</v>
      </c>
      <c r="R137" t="s">
        <v>82</v>
      </c>
      <c r="S137" t="s">
        <v>19</v>
      </c>
      <c r="T137" t="s">
        <v>19</v>
      </c>
      <c r="U137" s="12" t="s">
        <v>232</v>
      </c>
      <c r="V137" s="12" t="s">
        <v>230</v>
      </c>
      <c r="W137" s="11">
        <v>58.973305954825463</v>
      </c>
      <c r="X137" s="2">
        <f t="shared" si="14"/>
        <v>0.4642857142857143</v>
      </c>
      <c r="Y137" s="5">
        <f t="shared" si="15"/>
        <v>70000000</v>
      </c>
      <c r="Z137" s="5">
        <f t="shared" si="16"/>
        <v>70000000</v>
      </c>
    </row>
    <row r="138" spans="1:26" x14ac:dyDescent="0.25">
      <c r="A138">
        <v>11490</v>
      </c>
      <c r="B138">
        <v>103</v>
      </c>
      <c r="C138">
        <v>2014</v>
      </c>
      <c r="D138" t="s">
        <v>74</v>
      </c>
      <c r="E138" t="s">
        <v>69</v>
      </c>
      <c r="F138" s="2">
        <v>0.4642857142857143</v>
      </c>
      <c r="G138" s="2">
        <v>0.6875</v>
      </c>
      <c r="H138" s="14">
        <f t="shared" si="12"/>
        <v>0</v>
      </c>
      <c r="I138" s="5">
        <v>55000000</v>
      </c>
      <c r="J138">
        <v>5</v>
      </c>
      <c r="K138" s="6">
        <v>7.0000000000000007E-2</v>
      </c>
      <c r="L138" s="6">
        <v>0</v>
      </c>
      <c r="M138" t="str">
        <f t="shared" si="13"/>
        <v>SUB</v>
      </c>
      <c r="N138" t="s">
        <v>75</v>
      </c>
      <c r="O138" t="str">
        <f>VLOOKUP(Table1[[#This Row],[SCHEMATIC TYPE]],'SCHEMATIC Lookup'!$B$1:$C$5,2)</f>
        <v>Mezzanine Loan</v>
      </c>
      <c r="P138" s="8">
        <v>560000000</v>
      </c>
      <c r="Q138" t="s">
        <v>19</v>
      </c>
      <c r="R138" t="s">
        <v>82</v>
      </c>
      <c r="S138" t="s">
        <v>19</v>
      </c>
      <c r="T138" t="s">
        <v>19</v>
      </c>
      <c r="U138" s="12" t="s">
        <v>232</v>
      </c>
      <c r="V138" s="12" t="s">
        <v>234</v>
      </c>
      <c r="W138" s="11">
        <v>58.973305954825463</v>
      </c>
      <c r="X138" s="2">
        <f t="shared" si="14"/>
        <v>0.4642857142857143</v>
      </c>
      <c r="Y138" s="5">
        <f t="shared" si="15"/>
        <v>55000000</v>
      </c>
      <c r="Z138" s="5">
        <f t="shared" si="16"/>
        <v>55000000</v>
      </c>
    </row>
    <row r="139" spans="1:26" x14ac:dyDescent="0.25">
      <c r="A139">
        <v>11510</v>
      </c>
      <c r="B139">
        <v>103</v>
      </c>
      <c r="C139">
        <v>2010</v>
      </c>
      <c r="D139" t="s">
        <v>81</v>
      </c>
      <c r="E139" t="s">
        <v>77</v>
      </c>
      <c r="F139" s="2">
        <v>0.41099999999999998</v>
      </c>
      <c r="G139" s="2">
        <v>0.51600000000000001</v>
      </c>
      <c r="H139" s="14">
        <f t="shared" si="12"/>
        <v>0</v>
      </c>
      <c r="I139" s="5">
        <v>14602872.720000001</v>
      </c>
      <c r="J139">
        <v>3</v>
      </c>
      <c r="K139" s="6">
        <v>7.0949999999999999E-2</v>
      </c>
      <c r="L139" s="6">
        <v>0</v>
      </c>
      <c r="M139" t="str">
        <f t="shared" si="13"/>
        <v>SUB</v>
      </c>
      <c r="N139" t="s">
        <v>78</v>
      </c>
      <c r="O139" t="str">
        <f>VLOOKUP(Table1[[#This Row],[SCHEMATIC TYPE]],'SCHEMATIC Lookup'!$B$1:$C$5,2)</f>
        <v>Sub. Tranche of Senior</v>
      </c>
      <c r="P139" s="8">
        <v>278000000</v>
      </c>
      <c r="Q139" t="s">
        <v>19</v>
      </c>
      <c r="R139" t="s">
        <v>82</v>
      </c>
      <c r="S139" t="s">
        <v>19</v>
      </c>
      <c r="T139" t="s">
        <v>19</v>
      </c>
      <c r="U139" s="12" t="s">
        <v>232</v>
      </c>
      <c r="V139" s="12" t="s">
        <v>240</v>
      </c>
      <c r="W139" s="11">
        <v>49.905544147843941</v>
      </c>
      <c r="X139" s="2">
        <f t="shared" si="14"/>
        <v>0.41099999999999998</v>
      </c>
      <c r="Y139" s="5">
        <f t="shared" si="15"/>
        <v>14602872.720000001</v>
      </c>
      <c r="Z139" s="5">
        <f t="shared" si="16"/>
        <v>14602872.720000001</v>
      </c>
    </row>
    <row r="140" spans="1:26" x14ac:dyDescent="0.25">
      <c r="A140">
        <v>11520</v>
      </c>
      <c r="B140">
        <v>119</v>
      </c>
      <c r="C140">
        <v>2015</v>
      </c>
      <c r="D140" t="s">
        <v>68</v>
      </c>
      <c r="E140" t="s">
        <v>69</v>
      </c>
      <c r="F140" s="2">
        <v>0.44</v>
      </c>
      <c r="G140" s="2">
        <v>0.56999999999999995</v>
      </c>
      <c r="H140" s="14">
        <f t="shared" si="12"/>
        <v>0</v>
      </c>
      <c r="I140" s="5">
        <v>6173890</v>
      </c>
      <c r="J140">
        <v>3</v>
      </c>
      <c r="K140" s="6">
        <v>9.7500000000000003E-2</v>
      </c>
      <c r="L140" s="6">
        <v>0.77</v>
      </c>
      <c r="M140" t="str">
        <f t="shared" si="13"/>
        <v>SUBL</v>
      </c>
      <c r="N140" t="s">
        <v>70</v>
      </c>
      <c r="O140" t="str">
        <f>VLOOKUP(Table1[[#This Row],[SCHEMATIC TYPE]],'SCHEMATIC Lookup'!$B$1:$C$5,2)</f>
        <v>Leveraged Whole Loan</v>
      </c>
      <c r="P140" s="8">
        <v>46832871</v>
      </c>
      <c r="Q140" t="s">
        <v>71</v>
      </c>
      <c r="R140" t="s">
        <v>73</v>
      </c>
      <c r="S140" t="s">
        <v>71</v>
      </c>
      <c r="T140" t="s">
        <v>71</v>
      </c>
      <c r="U140" s="12" t="s">
        <v>232</v>
      </c>
      <c r="V140" s="12" t="s">
        <v>230</v>
      </c>
      <c r="W140" s="11">
        <v>61</v>
      </c>
      <c r="X140" s="2">
        <f t="shared" si="14"/>
        <v>0.44</v>
      </c>
      <c r="Y140" s="5">
        <f t="shared" si="15"/>
        <v>6173890</v>
      </c>
      <c r="Z140" s="5">
        <f t="shared" si="16"/>
        <v>27070133.076923084</v>
      </c>
    </row>
    <row r="141" spans="1:26" x14ac:dyDescent="0.25">
      <c r="A141">
        <v>11530</v>
      </c>
      <c r="B141">
        <v>119</v>
      </c>
      <c r="C141">
        <v>2015</v>
      </c>
      <c r="D141" t="s">
        <v>68</v>
      </c>
      <c r="E141" t="s">
        <v>69</v>
      </c>
      <c r="F141" s="2">
        <v>0.28000000000000003</v>
      </c>
      <c r="G141" s="2">
        <v>0.43</v>
      </c>
      <c r="H141" s="14">
        <f t="shared" si="12"/>
        <v>0</v>
      </c>
      <c r="I141" s="5">
        <v>14500000</v>
      </c>
      <c r="J141">
        <v>1</v>
      </c>
      <c r="K141" s="6">
        <v>0.107</v>
      </c>
      <c r="L141" s="6">
        <v>0.75</v>
      </c>
      <c r="M141" t="str">
        <f t="shared" si="13"/>
        <v>SUBL</v>
      </c>
      <c r="N141" t="s">
        <v>70</v>
      </c>
      <c r="O141" t="str">
        <f>VLOOKUP(Table1[[#This Row],[SCHEMATIC TYPE]],'SCHEMATIC Lookup'!$B$1:$C$5,2)</f>
        <v>Leveraged Whole Loan</v>
      </c>
      <c r="P141" s="8">
        <v>108000000</v>
      </c>
      <c r="Q141" t="s">
        <v>71</v>
      </c>
      <c r="R141" t="s">
        <v>72</v>
      </c>
      <c r="S141" t="s">
        <v>71</v>
      </c>
      <c r="T141" t="s">
        <v>71</v>
      </c>
      <c r="U141" s="12" t="s">
        <v>238</v>
      </c>
      <c r="V141" s="12" t="s">
        <v>240</v>
      </c>
      <c r="W141" s="11">
        <v>60</v>
      </c>
      <c r="X141" s="2">
        <f t="shared" si="14"/>
        <v>0.28000000000000003</v>
      </c>
      <c r="Y141" s="5">
        <f t="shared" si="15"/>
        <v>14500000</v>
      </c>
      <c r="Z141" s="5">
        <f t="shared" si="16"/>
        <v>41566666.666666672</v>
      </c>
    </row>
    <row r="142" spans="1:26" x14ac:dyDescent="0.25">
      <c r="A142">
        <v>11540</v>
      </c>
      <c r="B142">
        <v>220</v>
      </c>
      <c r="C142">
        <v>2013</v>
      </c>
      <c r="D142" t="s">
        <v>74</v>
      </c>
      <c r="E142" t="s">
        <v>69</v>
      </c>
      <c r="F142" s="2">
        <v>0.63440860215053763</v>
      </c>
      <c r="G142" s="2">
        <v>0.74193548387096775</v>
      </c>
      <c r="H142" s="14">
        <f t="shared" si="12"/>
        <v>0</v>
      </c>
      <c r="I142" s="5">
        <v>10000000</v>
      </c>
      <c r="J142">
        <v>5</v>
      </c>
      <c r="K142" s="6">
        <v>0.09</v>
      </c>
      <c r="L142" s="6">
        <v>0</v>
      </c>
      <c r="M142" t="str">
        <f t="shared" si="13"/>
        <v>SUB</v>
      </c>
      <c r="N142" t="s">
        <v>75</v>
      </c>
      <c r="O142" t="str">
        <f>VLOOKUP(Table1[[#This Row],[SCHEMATIC TYPE]],'SCHEMATIC Lookup'!$B$1:$C$5,2)</f>
        <v>Mezzanine Loan</v>
      </c>
      <c r="P142" s="8">
        <v>100500000</v>
      </c>
      <c r="Q142" t="s">
        <v>71</v>
      </c>
      <c r="R142" t="s">
        <v>73</v>
      </c>
      <c r="S142" t="s">
        <v>71</v>
      </c>
      <c r="T142" t="s">
        <v>71</v>
      </c>
      <c r="U142" s="12" t="s">
        <v>235</v>
      </c>
      <c r="V142" s="12" t="s">
        <v>233</v>
      </c>
      <c r="W142" s="11">
        <v>24</v>
      </c>
      <c r="X142" s="2">
        <f t="shared" si="14"/>
        <v>0.63440860215053763</v>
      </c>
      <c r="Y142" s="5">
        <f t="shared" si="15"/>
        <v>10000000</v>
      </c>
      <c r="Z142" s="5">
        <f t="shared" si="16"/>
        <v>10000000</v>
      </c>
    </row>
    <row r="143" spans="1:26" x14ac:dyDescent="0.25">
      <c r="A143">
        <v>11550</v>
      </c>
      <c r="B143">
        <v>103</v>
      </c>
      <c r="C143">
        <v>2013</v>
      </c>
      <c r="D143" t="s">
        <v>74</v>
      </c>
      <c r="E143" t="s">
        <v>69</v>
      </c>
      <c r="F143" s="2">
        <v>0.39087947882736157</v>
      </c>
      <c r="G143" s="2">
        <v>0.64060803474484262</v>
      </c>
      <c r="H143" s="14">
        <f t="shared" si="12"/>
        <v>0</v>
      </c>
      <c r="I143" s="5">
        <v>23000000</v>
      </c>
      <c r="J143">
        <v>5</v>
      </c>
      <c r="K143" s="6">
        <v>6.25E-2</v>
      </c>
      <c r="L143" s="6">
        <v>0</v>
      </c>
      <c r="M143" t="str">
        <f t="shared" si="13"/>
        <v>SUB</v>
      </c>
      <c r="N143" t="s">
        <v>75</v>
      </c>
      <c r="O143" t="str">
        <f>VLOOKUP(Table1[[#This Row],[SCHEMATIC TYPE]],'SCHEMATIC Lookup'!$B$1:$C$5,2)</f>
        <v>Mezzanine Loan</v>
      </c>
      <c r="P143" s="8">
        <v>92100000</v>
      </c>
      <c r="Q143" t="s">
        <v>79</v>
      </c>
      <c r="R143" t="s">
        <v>73</v>
      </c>
      <c r="S143" t="s">
        <v>79</v>
      </c>
      <c r="T143" t="s">
        <v>79</v>
      </c>
      <c r="U143" s="12" t="s">
        <v>238</v>
      </c>
      <c r="V143" s="12" t="s">
        <v>235</v>
      </c>
      <c r="W143" s="11">
        <v>56.640657084188916</v>
      </c>
      <c r="X143" s="2">
        <f t="shared" si="14"/>
        <v>0.39087947882736157</v>
      </c>
      <c r="Y143" s="5">
        <f t="shared" si="15"/>
        <v>23000000</v>
      </c>
      <c r="Z143" s="5">
        <f t="shared" si="16"/>
        <v>23000000</v>
      </c>
    </row>
    <row r="144" spans="1:26" x14ac:dyDescent="0.25">
      <c r="A144">
        <v>11560</v>
      </c>
      <c r="B144">
        <v>183</v>
      </c>
      <c r="C144">
        <v>2013</v>
      </c>
      <c r="D144" t="s">
        <v>74</v>
      </c>
      <c r="E144" t="s">
        <v>77</v>
      </c>
      <c r="F144" s="2">
        <v>0.59626311127725495</v>
      </c>
      <c r="G144" s="2">
        <v>0.87708033098956451</v>
      </c>
      <c r="H144" s="14">
        <f t="shared" si="12"/>
        <v>0</v>
      </c>
      <c r="I144" s="5">
        <v>14717560</v>
      </c>
      <c r="J144">
        <v>1</v>
      </c>
      <c r="K144" s="6">
        <v>0.13500000000000001</v>
      </c>
      <c r="L144" s="6">
        <v>0</v>
      </c>
      <c r="M144" t="str">
        <f t="shared" si="13"/>
        <v>SUB</v>
      </c>
      <c r="N144" t="s">
        <v>75</v>
      </c>
      <c r="O144" t="str">
        <f>VLOOKUP(Table1[[#This Row],[SCHEMATIC TYPE]],'SCHEMATIC Lookup'!$B$1:$C$5,2)</f>
        <v>Mezzanine Loan</v>
      </c>
      <c r="P144" s="8">
        <v>52409749</v>
      </c>
      <c r="Q144" t="s">
        <v>71</v>
      </c>
      <c r="R144" t="s">
        <v>72</v>
      </c>
      <c r="S144" t="s">
        <v>71</v>
      </c>
      <c r="T144" t="s">
        <v>71</v>
      </c>
      <c r="U144" s="12" t="s">
        <v>230</v>
      </c>
      <c r="V144" s="12" t="s">
        <v>237</v>
      </c>
      <c r="W144" s="11">
        <v>36</v>
      </c>
      <c r="X144" s="2">
        <f t="shared" si="14"/>
        <v>0.59626311127725495</v>
      </c>
      <c r="Y144" s="5">
        <f t="shared" si="15"/>
        <v>14717560</v>
      </c>
      <c r="Z144" s="5">
        <f t="shared" si="16"/>
        <v>14717560</v>
      </c>
    </row>
    <row r="145" spans="1:26" x14ac:dyDescent="0.25">
      <c r="A145">
        <v>11580</v>
      </c>
      <c r="B145">
        <v>119</v>
      </c>
      <c r="C145">
        <v>2013</v>
      </c>
      <c r="D145" t="s">
        <v>74</v>
      </c>
      <c r="E145" t="s">
        <v>69</v>
      </c>
      <c r="F145" s="2">
        <v>0.59</v>
      </c>
      <c r="G145" s="2">
        <v>0.75</v>
      </c>
      <c r="H145" s="14">
        <f t="shared" si="12"/>
        <v>0</v>
      </c>
      <c r="I145" s="5">
        <v>15000000</v>
      </c>
      <c r="J145">
        <v>5</v>
      </c>
      <c r="K145" s="6">
        <v>8.7499999999999994E-2</v>
      </c>
      <c r="L145" s="6">
        <v>0</v>
      </c>
      <c r="M145" t="str">
        <f t="shared" si="13"/>
        <v>SUB</v>
      </c>
      <c r="N145" t="s">
        <v>75</v>
      </c>
      <c r="O145" t="str">
        <f>VLOOKUP(Table1[[#This Row],[SCHEMATIC TYPE]],'SCHEMATIC Lookup'!$B$1:$C$5,2)</f>
        <v>Mezzanine Loan</v>
      </c>
      <c r="P145" s="8">
        <v>93200000</v>
      </c>
      <c r="Q145" t="s">
        <v>71</v>
      </c>
      <c r="R145" t="s">
        <v>73</v>
      </c>
      <c r="S145" t="s">
        <v>71</v>
      </c>
      <c r="T145" t="s">
        <v>71</v>
      </c>
      <c r="U145" s="12" t="s">
        <v>230</v>
      </c>
      <c r="V145" s="12" t="s">
        <v>231</v>
      </c>
      <c r="W145" s="11">
        <v>60</v>
      </c>
      <c r="X145" s="2">
        <f t="shared" si="14"/>
        <v>0.59</v>
      </c>
      <c r="Y145" s="5">
        <f t="shared" si="15"/>
        <v>15000000</v>
      </c>
      <c r="Z145" s="5">
        <f t="shared" si="16"/>
        <v>15000000</v>
      </c>
    </row>
    <row r="146" spans="1:26" x14ac:dyDescent="0.25">
      <c r="A146">
        <v>11590</v>
      </c>
      <c r="B146">
        <v>119</v>
      </c>
      <c r="C146">
        <v>2015</v>
      </c>
      <c r="D146" t="s">
        <v>74</v>
      </c>
      <c r="E146" t="s">
        <v>69</v>
      </c>
      <c r="F146" s="2">
        <v>0.56000000000000005</v>
      </c>
      <c r="G146" s="2">
        <v>0.61</v>
      </c>
      <c r="H146" s="14">
        <f t="shared" si="12"/>
        <v>0</v>
      </c>
      <c r="I146" s="5">
        <v>3507224</v>
      </c>
      <c r="J146">
        <v>4</v>
      </c>
      <c r="K146" s="6">
        <v>7.4999999999999997E-2</v>
      </c>
      <c r="L146" s="6">
        <v>0</v>
      </c>
      <c r="M146" t="str">
        <f t="shared" si="13"/>
        <v>SUB</v>
      </c>
      <c r="N146" t="s">
        <v>75</v>
      </c>
      <c r="O146" t="str">
        <f>VLOOKUP(Table1[[#This Row],[SCHEMATIC TYPE]],'SCHEMATIC Lookup'!$B$1:$C$5,2)</f>
        <v>Mezzanine Loan</v>
      </c>
      <c r="P146" s="8">
        <v>63907700</v>
      </c>
      <c r="Q146" t="s">
        <v>71</v>
      </c>
      <c r="R146" t="s">
        <v>72</v>
      </c>
      <c r="S146" t="s">
        <v>71</v>
      </c>
      <c r="T146" t="s">
        <v>71</v>
      </c>
      <c r="U146" s="12" t="s">
        <v>230</v>
      </c>
      <c r="V146" s="12" t="s">
        <v>235</v>
      </c>
      <c r="W146" s="11">
        <v>24</v>
      </c>
      <c r="X146" s="2">
        <f t="shared" si="14"/>
        <v>0.56000000000000005</v>
      </c>
      <c r="Y146" s="5">
        <f t="shared" si="15"/>
        <v>3507224</v>
      </c>
      <c r="Z146" s="5">
        <f t="shared" si="16"/>
        <v>3507224</v>
      </c>
    </row>
    <row r="147" spans="1:26" x14ac:dyDescent="0.25">
      <c r="A147">
        <v>11601</v>
      </c>
      <c r="B147">
        <v>103</v>
      </c>
      <c r="C147">
        <v>2005</v>
      </c>
      <c r="D147" t="s">
        <v>74</v>
      </c>
      <c r="E147" t="s">
        <v>77</v>
      </c>
      <c r="F147" s="2">
        <v>0.66</v>
      </c>
      <c r="G147" s="2">
        <v>0.74</v>
      </c>
      <c r="H147" s="14">
        <f t="shared" si="12"/>
        <v>0</v>
      </c>
      <c r="I147" s="5">
        <v>41320207</v>
      </c>
      <c r="J147">
        <v>3</v>
      </c>
      <c r="K147" s="6">
        <v>5.9349300000000001E-2</v>
      </c>
      <c r="L147" s="6">
        <v>0</v>
      </c>
      <c r="M147" t="str">
        <f t="shared" si="13"/>
        <v>SUB</v>
      </c>
      <c r="N147" t="s">
        <v>75</v>
      </c>
      <c r="O147" t="str">
        <f>VLOOKUP(Table1[[#This Row],[SCHEMATIC TYPE]],'SCHEMATIC Lookup'!$B$1:$C$5,2)</f>
        <v>Mezzanine Loan</v>
      </c>
      <c r="P147" s="8">
        <v>509025000</v>
      </c>
      <c r="Q147" t="s">
        <v>19</v>
      </c>
      <c r="R147" t="s">
        <v>72</v>
      </c>
      <c r="S147" t="s">
        <v>19</v>
      </c>
      <c r="T147" t="s">
        <v>19</v>
      </c>
      <c r="U147" s="12" t="s">
        <v>239</v>
      </c>
      <c r="V147" s="12" t="s">
        <v>233</v>
      </c>
      <c r="W147" s="11">
        <v>54.308008213552355</v>
      </c>
      <c r="X147" s="2">
        <f t="shared" si="14"/>
        <v>0.66</v>
      </c>
      <c r="Y147" s="5">
        <f t="shared" si="15"/>
        <v>41320207</v>
      </c>
      <c r="Z147" s="5">
        <f t="shared" si="16"/>
        <v>41320207</v>
      </c>
    </row>
    <row r="148" spans="1:26" x14ac:dyDescent="0.25">
      <c r="A148">
        <v>11602</v>
      </c>
      <c r="B148">
        <v>103</v>
      </c>
      <c r="C148">
        <v>2005</v>
      </c>
      <c r="D148" t="s">
        <v>74</v>
      </c>
      <c r="E148" t="s">
        <v>77</v>
      </c>
      <c r="F148" s="2">
        <v>0.54</v>
      </c>
      <c r="G148" s="2">
        <v>0.66</v>
      </c>
      <c r="H148" s="14">
        <f t="shared" si="12"/>
        <v>0</v>
      </c>
      <c r="I148" s="5">
        <v>63000000</v>
      </c>
      <c r="J148">
        <v>3</v>
      </c>
      <c r="K148" s="6">
        <v>5.1180400000000001E-2</v>
      </c>
      <c r="L148" s="6">
        <v>0</v>
      </c>
      <c r="M148" t="str">
        <f t="shared" si="13"/>
        <v>SUB</v>
      </c>
      <c r="N148" t="s">
        <v>75</v>
      </c>
      <c r="O148" t="str">
        <f>VLOOKUP(Table1[[#This Row],[SCHEMATIC TYPE]],'SCHEMATIC Lookup'!$B$1:$C$5,2)</f>
        <v>Mezzanine Loan</v>
      </c>
      <c r="P148" s="8">
        <v>509025000</v>
      </c>
      <c r="Q148" t="s">
        <v>19</v>
      </c>
      <c r="R148" t="s">
        <v>72</v>
      </c>
      <c r="S148" t="s">
        <v>19</v>
      </c>
      <c r="T148" t="s">
        <v>19</v>
      </c>
      <c r="U148" s="12" t="s">
        <v>236</v>
      </c>
      <c r="V148" s="12" t="s">
        <v>234</v>
      </c>
      <c r="W148" s="11">
        <v>54.308008213552355</v>
      </c>
      <c r="X148" s="2">
        <f t="shared" si="14"/>
        <v>0.54</v>
      </c>
      <c r="Y148" s="5">
        <f t="shared" si="15"/>
        <v>63000000</v>
      </c>
      <c r="Z148" s="5">
        <f t="shared" si="16"/>
        <v>63000000</v>
      </c>
    </row>
    <row r="149" spans="1:26" x14ac:dyDescent="0.25">
      <c r="A149">
        <v>11620</v>
      </c>
      <c r="B149">
        <v>183</v>
      </c>
      <c r="C149">
        <v>2012</v>
      </c>
      <c r="D149" t="s">
        <v>74</v>
      </c>
      <c r="E149" t="s">
        <v>77</v>
      </c>
      <c r="F149" s="2">
        <v>0.5411679325051606</v>
      </c>
      <c r="G149" s="2">
        <v>0.85410897871447067</v>
      </c>
      <c r="H149" s="14">
        <f t="shared" si="12"/>
        <v>0</v>
      </c>
      <c r="I149" s="5">
        <v>9683127</v>
      </c>
      <c r="J149">
        <v>2</v>
      </c>
      <c r="K149" s="6">
        <v>0.1406</v>
      </c>
      <c r="L149" s="6">
        <v>0</v>
      </c>
      <c r="M149" t="str">
        <f t="shared" si="13"/>
        <v>SUB</v>
      </c>
      <c r="N149" t="s">
        <v>75</v>
      </c>
      <c r="O149" t="str">
        <f>VLOOKUP(Table1[[#This Row],[SCHEMATIC TYPE]],'SCHEMATIC Lookup'!$B$1:$C$5,2)</f>
        <v>Mezzanine Loan</v>
      </c>
      <c r="P149" s="8">
        <v>30942336</v>
      </c>
      <c r="Q149" t="s">
        <v>71</v>
      </c>
      <c r="R149" t="s">
        <v>80</v>
      </c>
      <c r="S149" t="s">
        <v>71</v>
      </c>
      <c r="T149" t="s">
        <v>71</v>
      </c>
      <c r="U149" s="12" t="s">
        <v>236</v>
      </c>
      <c r="V149" s="12" t="s">
        <v>237</v>
      </c>
      <c r="W149" s="11">
        <v>36</v>
      </c>
      <c r="X149" s="2">
        <f t="shared" si="14"/>
        <v>0.5411679325051606</v>
      </c>
      <c r="Y149" s="5">
        <f t="shared" si="15"/>
        <v>9683127</v>
      </c>
      <c r="Z149" s="5">
        <f t="shared" si="16"/>
        <v>9683127</v>
      </c>
    </row>
    <row r="150" spans="1:26" x14ac:dyDescent="0.25">
      <c r="A150">
        <v>11630</v>
      </c>
      <c r="B150">
        <v>183</v>
      </c>
      <c r="C150">
        <v>2011</v>
      </c>
      <c r="D150" t="s">
        <v>89</v>
      </c>
      <c r="E150" t="s">
        <v>77</v>
      </c>
      <c r="F150" s="2">
        <v>0</v>
      </c>
      <c r="G150" s="2">
        <v>0.78998944670586457</v>
      </c>
      <c r="H150" s="14">
        <f t="shared" si="12"/>
        <v>0</v>
      </c>
      <c r="I150" s="5">
        <v>26200000</v>
      </c>
      <c r="J150">
        <v>2</v>
      </c>
      <c r="K150" s="6">
        <v>7.3200000000000001E-2</v>
      </c>
      <c r="L150" s="6">
        <v>0</v>
      </c>
      <c r="M150" t="str">
        <f t="shared" si="13"/>
        <v>SENIOR</v>
      </c>
      <c r="N150" t="s">
        <v>90</v>
      </c>
      <c r="O150" t="str">
        <f>VLOOKUP(Table1[[#This Row],[SCHEMATIC TYPE]],'SCHEMATIC Lookup'!$B$1:$C$5,2)</f>
        <v>Senior Whole Loan</v>
      </c>
      <c r="P150" s="8">
        <v>33165000</v>
      </c>
      <c r="Q150" t="s">
        <v>71</v>
      </c>
      <c r="R150" t="s">
        <v>80</v>
      </c>
      <c r="S150" t="s">
        <v>71</v>
      </c>
      <c r="T150" t="s">
        <v>71</v>
      </c>
      <c r="U150" s="12" t="s">
        <v>238</v>
      </c>
      <c r="V150" s="12" t="s">
        <v>231</v>
      </c>
      <c r="W150" s="11">
        <v>36</v>
      </c>
      <c r="X150" s="2">
        <f t="shared" si="14"/>
        <v>0</v>
      </c>
      <c r="Y150" s="5">
        <f t="shared" si="15"/>
        <v>26200000</v>
      </c>
      <c r="Z150" s="5">
        <f t="shared" si="16"/>
        <v>26200000</v>
      </c>
    </row>
    <row r="151" spans="1:26" x14ac:dyDescent="0.25">
      <c r="A151">
        <v>11650</v>
      </c>
      <c r="B151">
        <v>103</v>
      </c>
      <c r="C151">
        <v>2010</v>
      </c>
      <c r="D151" t="s">
        <v>85</v>
      </c>
      <c r="E151" t="s">
        <v>77</v>
      </c>
      <c r="F151" s="2">
        <v>0.74</v>
      </c>
      <c r="G151" s="2">
        <v>0.89940828402366857</v>
      </c>
      <c r="H151" s="14">
        <f t="shared" si="12"/>
        <v>0</v>
      </c>
      <c r="I151" s="5">
        <v>12000000</v>
      </c>
      <c r="J151">
        <v>1</v>
      </c>
      <c r="K151" s="6">
        <v>7.4999999999999997E-2</v>
      </c>
      <c r="L151" s="6">
        <v>0</v>
      </c>
      <c r="M151" t="str">
        <f t="shared" si="13"/>
        <v>SUB</v>
      </c>
      <c r="N151" t="s">
        <v>84</v>
      </c>
      <c r="O151" t="str">
        <f>VLOOKUP(Table1[[#This Row],[SCHEMATIC TYPE]],'SCHEMATIC Lookup'!$B$1:$C$5,2)</f>
        <v>Other Subordinate</v>
      </c>
      <c r="P151" s="8">
        <v>83900000</v>
      </c>
      <c r="Q151" t="s">
        <v>19</v>
      </c>
      <c r="R151" t="s">
        <v>82</v>
      </c>
      <c r="S151" t="s">
        <v>19</v>
      </c>
      <c r="T151" t="s">
        <v>19</v>
      </c>
      <c r="U151" s="12" t="s">
        <v>239</v>
      </c>
      <c r="V151" s="12" t="s">
        <v>237</v>
      </c>
      <c r="W151" s="11">
        <v>85.486652977412732</v>
      </c>
      <c r="X151" s="2">
        <f t="shared" si="14"/>
        <v>0.74</v>
      </c>
      <c r="Y151" s="5">
        <f t="shared" si="15"/>
        <v>12000000</v>
      </c>
      <c r="Z151" s="5">
        <f t="shared" si="16"/>
        <v>12000000</v>
      </c>
    </row>
    <row r="152" spans="1:26" x14ac:dyDescent="0.25">
      <c r="A152">
        <v>11660</v>
      </c>
      <c r="B152">
        <v>183</v>
      </c>
      <c r="C152">
        <v>2015</v>
      </c>
      <c r="D152" t="s">
        <v>83</v>
      </c>
      <c r="E152" t="s">
        <v>77</v>
      </c>
      <c r="F152" s="2">
        <v>0.55125981073931662</v>
      </c>
      <c r="G152" s="2">
        <v>0.80851925786540868</v>
      </c>
      <c r="H152" s="14">
        <f t="shared" si="12"/>
        <v>0</v>
      </c>
      <c r="I152" s="5">
        <v>28300340</v>
      </c>
      <c r="J152">
        <v>4</v>
      </c>
      <c r="K152" s="6">
        <v>0.12</v>
      </c>
      <c r="L152" s="6">
        <v>0</v>
      </c>
      <c r="M152" t="str">
        <f t="shared" si="13"/>
        <v>SUB</v>
      </c>
      <c r="N152" t="s">
        <v>84</v>
      </c>
      <c r="O152" t="str">
        <f>VLOOKUP(Table1[[#This Row],[SCHEMATIC TYPE]],'SCHEMATIC Lookup'!$B$1:$C$5,2)</f>
        <v>Other Subordinate</v>
      </c>
      <c r="P152" s="8">
        <v>110006999.99999999</v>
      </c>
      <c r="Q152" t="s">
        <v>71</v>
      </c>
      <c r="R152" t="s">
        <v>80</v>
      </c>
      <c r="S152" t="s">
        <v>71</v>
      </c>
      <c r="T152" t="s">
        <v>71</v>
      </c>
      <c r="U152" s="12" t="s">
        <v>230</v>
      </c>
      <c r="V152" s="12" t="s">
        <v>237</v>
      </c>
      <c r="W152" s="11">
        <v>48</v>
      </c>
      <c r="X152" s="2">
        <f t="shared" si="14"/>
        <v>0.55125981073931662</v>
      </c>
      <c r="Y152" s="5">
        <f t="shared" si="15"/>
        <v>28300340</v>
      </c>
      <c r="Z152" s="5">
        <f t="shared" si="16"/>
        <v>28300340</v>
      </c>
    </row>
    <row r="153" spans="1:26" x14ac:dyDescent="0.25">
      <c r="A153">
        <v>11670</v>
      </c>
      <c r="B153">
        <v>183</v>
      </c>
      <c r="C153">
        <v>2012</v>
      </c>
      <c r="D153" t="s">
        <v>74</v>
      </c>
      <c r="E153" t="s">
        <v>77</v>
      </c>
      <c r="F153" s="2">
        <v>0.50641841804288901</v>
      </c>
      <c r="G153" s="2">
        <v>0.65284953687309999</v>
      </c>
      <c r="H153" s="14">
        <f t="shared" si="12"/>
        <v>0</v>
      </c>
      <c r="I153" s="5">
        <v>28250000</v>
      </c>
      <c r="J153">
        <v>1</v>
      </c>
      <c r="K153" s="6">
        <v>0.14000000000000001</v>
      </c>
      <c r="L153" s="6">
        <v>0</v>
      </c>
      <c r="M153" t="str">
        <f t="shared" si="13"/>
        <v>SUB</v>
      </c>
      <c r="N153" t="s">
        <v>75</v>
      </c>
      <c r="O153" t="str">
        <f>VLOOKUP(Table1[[#This Row],[SCHEMATIC TYPE]],'SCHEMATIC Lookup'!$B$1:$C$5,2)</f>
        <v>Mezzanine Loan</v>
      </c>
      <c r="P153" s="8">
        <v>192923473</v>
      </c>
      <c r="Q153" t="s">
        <v>71</v>
      </c>
      <c r="R153" t="s">
        <v>80</v>
      </c>
      <c r="S153" t="s">
        <v>71</v>
      </c>
      <c r="T153" t="s">
        <v>71</v>
      </c>
      <c r="U153" s="12" t="s">
        <v>236</v>
      </c>
      <c r="V153" s="12" t="s">
        <v>234</v>
      </c>
      <c r="W153" s="11">
        <v>33</v>
      </c>
      <c r="X153" s="2">
        <f t="shared" si="14"/>
        <v>0.50641841804288901</v>
      </c>
      <c r="Y153" s="5">
        <f t="shared" si="15"/>
        <v>28250000</v>
      </c>
      <c r="Z153" s="5">
        <f t="shared" si="16"/>
        <v>28250000</v>
      </c>
    </row>
    <row r="154" spans="1:26" x14ac:dyDescent="0.25">
      <c r="A154">
        <v>11680</v>
      </c>
      <c r="B154">
        <v>183</v>
      </c>
      <c r="C154">
        <v>2013</v>
      </c>
      <c r="D154" t="s">
        <v>83</v>
      </c>
      <c r="E154" t="s">
        <v>77</v>
      </c>
      <c r="F154" s="2">
        <v>0.70691347221626932</v>
      </c>
      <c r="G154" s="2">
        <v>0.90911633763307509</v>
      </c>
      <c r="H154" s="14">
        <f t="shared" si="12"/>
        <v>0</v>
      </c>
      <c r="I154" s="5">
        <v>6600000</v>
      </c>
      <c r="J154">
        <v>3</v>
      </c>
      <c r="K154" s="6">
        <v>0.105</v>
      </c>
      <c r="L154" s="6">
        <v>0</v>
      </c>
      <c r="M154" t="str">
        <f t="shared" si="13"/>
        <v>SUB</v>
      </c>
      <c r="N154" t="s">
        <v>84</v>
      </c>
      <c r="O154" t="str">
        <f>VLOOKUP(Table1[[#This Row],[SCHEMATIC TYPE]],'SCHEMATIC Lookup'!$B$1:$C$5,2)</f>
        <v>Other Subordinate</v>
      </c>
      <c r="P154" s="8">
        <v>32640487</v>
      </c>
      <c r="Q154" t="s">
        <v>19</v>
      </c>
      <c r="R154" t="s">
        <v>73</v>
      </c>
      <c r="S154" t="s">
        <v>19</v>
      </c>
      <c r="T154" t="s">
        <v>19</v>
      </c>
      <c r="U154" s="12" t="s">
        <v>239</v>
      </c>
      <c r="V154" s="12" t="s">
        <v>237</v>
      </c>
      <c r="W154" s="11">
        <v>60</v>
      </c>
      <c r="X154" s="2">
        <f t="shared" si="14"/>
        <v>0.70691347221626932</v>
      </c>
      <c r="Y154" s="5">
        <f t="shared" si="15"/>
        <v>6600000</v>
      </c>
      <c r="Z154" s="5">
        <f t="shared" si="16"/>
        <v>6600000</v>
      </c>
    </row>
    <row r="155" spans="1:26" x14ac:dyDescent="0.25">
      <c r="A155">
        <v>11690</v>
      </c>
      <c r="B155">
        <v>119</v>
      </c>
      <c r="C155">
        <v>2016</v>
      </c>
      <c r="D155" t="s">
        <v>74</v>
      </c>
      <c r="E155" t="s">
        <v>69</v>
      </c>
      <c r="F155" s="2">
        <v>0.56999999999999995</v>
      </c>
      <c r="G155" s="2">
        <v>0.67</v>
      </c>
      <c r="H155" s="14">
        <f t="shared" si="12"/>
        <v>0</v>
      </c>
      <c r="I155" s="5">
        <v>17000000</v>
      </c>
      <c r="J155">
        <v>1</v>
      </c>
      <c r="K155" s="6">
        <v>0.09</v>
      </c>
      <c r="L155" s="6">
        <v>0</v>
      </c>
      <c r="M155" t="str">
        <f t="shared" si="13"/>
        <v>SUB</v>
      </c>
      <c r="N155" t="s">
        <v>75</v>
      </c>
      <c r="O155" t="str">
        <f>VLOOKUP(Table1[[#This Row],[SCHEMATIC TYPE]],'SCHEMATIC Lookup'!$B$1:$C$5,2)</f>
        <v>Mezzanine Loan</v>
      </c>
      <c r="P155" s="8">
        <v>168687000</v>
      </c>
      <c r="Q155" t="s">
        <v>71</v>
      </c>
      <c r="R155" t="s">
        <v>72</v>
      </c>
      <c r="S155" t="s">
        <v>71</v>
      </c>
      <c r="T155" t="s">
        <v>71</v>
      </c>
      <c r="U155" s="12" t="s">
        <v>230</v>
      </c>
      <c r="V155" s="12" t="s">
        <v>234</v>
      </c>
      <c r="W155" s="11">
        <v>61</v>
      </c>
      <c r="X155" s="2">
        <f t="shared" si="14"/>
        <v>0.56999999999999995</v>
      </c>
      <c r="Y155" s="5">
        <f t="shared" si="15"/>
        <v>17000000</v>
      </c>
      <c r="Z155" s="5">
        <f t="shared" si="16"/>
        <v>17000000</v>
      </c>
    </row>
    <row r="156" spans="1:26" x14ac:dyDescent="0.25">
      <c r="A156">
        <v>11700</v>
      </c>
      <c r="B156">
        <v>103</v>
      </c>
      <c r="C156">
        <v>2005</v>
      </c>
      <c r="D156" t="s">
        <v>76</v>
      </c>
      <c r="E156" t="s">
        <v>77</v>
      </c>
      <c r="F156" s="2">
        <v>0.54</v>
      </c>
      <c r="G156" s="2">
        <v>0.75</v>
      </c>
      <c r="H156" s="14">
        <f t="shared" si="12"/>
        <v>0</v>
      </c>
      <c r="I156" s="5">
        <v>35790754.990000002</v>
      </c>
      <c r="J156">
        <v>3</v>
      </c>
      <c r="K156" s="6">
        <v>5.9429999999999997E-2</v>
      </c>
      <c r="L156" s="6">
        <v>0</v>
      </c>
      <c r="M156" t="str">
        <f t="shared" si="13"/>
        <v>SUB</v>
      </c>
      <c r="N156" t="s">
        <v>78</v>
      </c>
      <c r="O156" t="str">
        <f>VLOOKUP(Table1[[#This Row],[SCHEMATIC TYPE]],'SCHEMATIC Lookup'!$B$1:$C$5,2)</f>
        <v>Sub. Tranche of Senior</v>
      </c>
      <c r="P156" s="8">
        <v>335400000</v>
      </c>
      <c r="Q156" t="s">
        <v>19</v>
      </c>
      <c r="R156" t="s">
        <v>82</v>
      </c>
      <c r="S156" t="s">
        <v>19</v>
      </c>
      <c r="T156" t="s">
        <v>19</v>
      </c>
      <c r="U156" s="12" t="s">
        <v>236</v>
      </c>
      <c r="V156" s="12" t="s">
        <v>231</v>
      </c>
      <c r="W156" s="11">
        <v>54.439425051334695</v>
      </c>
      <c r="X156" s="2">
        <f t="shared" si="14"/>
        <v>0.54</v>
      </c>
      <c r="Y156" s="5">
        <f t="shared" si="15"/>
        <v>35790754.990000002</v>
      </c>
      <c r="Z156" s="5">
        <f t="shared" si="16"/>
        <v>35790754.990000002</v>
      </c>
    </row>
    <row r="157" spans="1:26" x14ac:dyDescent="0.25">
      <c r="A157">
        <v>11710</v>
      </c>
      <c r="B157">
        <v>119</v>
      </c>
      <c r="C157">
        <v>2013</v>
      </c>
      <c r="D157" t="s">
        <v>74</v>
      </c>
      <c r="E157" t="s">
        <v>69</v>
      </c>
      <c r="F157" s="2">
        <v>0.56000000000000005</v>
      </c>
      <c r="G157" s="2">
        <v>0.75</v>
      </c>
      <c r="H157" s="14">
        <f t="shared" si="12"/>
        <v>0</v>
      </c>
      <c r="I157" s="5">
        <v>15000000</v>
      </c>
      <c r="J157">
        <v>5</v>
      </c>
      <c r="K157" s="6">
        <v>9.6500000000000002E-2</v>
      </c>
      <c r="L157" s="6">
        <v>0</v>
      </c>
      <c r="M157" t="str">
        <f t="shared" si="13"/>
        <v>SUB</v>
      </c>
      <c r="N157" t="s">
        <v>75</v>
      </c>
      <c r="O157" t="str">
        <f>VLOOKUP(Table1[[#This Row],[SCHEMATIC TYPE]],'SCHEMATIC Lookup'!$B$1:$C$5,2)</f>
        <v>Mezzanine Loan</v>
      </c>
      <c r="P157" s="8">
        <v>80000000</v>
      </c>
      <c r="Q157" t="s">
        <v>71</v>
      </c>
      <c r="R157" t="s">
        <v>72</v>
      </c>
      <c r="S157" t="s">
        <v>71</v>
      </c>
      <c r="T157" t="s">
        <v>71</v>
      </c>
      <c r="U157" s="12" t="s">
        <v>230</v>
      </c>
      <c r="V157" s="12" t="s">
        <v>231</v>
      </c>
      <c r="W157" s="11">
        <v>74</v>
      </c>
      <c r="X157" s="2">
        <f t="shared" si="14"/>
        <v>0.56000000000000005</v>
      </c>
      <c r="Y157" s="5">
        <f t="shared" si="15"/>
        <v>15000000</v>
      </c>
      <c r="Z157" s="5">
        <f t="shared" si="16"/>
        <v>15000000</v>
      </c>
    </row>
    <row r="158" spans="1:26" x14ac:dyDescent="0.25">
      <c r="A158">
        <v>11720</v>
      </c>
      <c r="B158">
        <v>103</v>
      </c>
      <c r="C158">
        <v>2014</v>
      </c>
      <c r="D158" t="s">
        <v>81</v>
      </c>
      <c r="E158" t="s">
        <v>77</v>
      </c>
      <c r="F158" s="2">
        <v>0.5446554075363127</v>
      </c>
      <c r="G158" s="2">
        <v>0.67796610169491522</v>
      </c>
      <c r="H158" s="14">
        <f t="shared" si="12"/>
        <v>0</v>
      </c>
      <c r="I158" s="5">
        <v>20000000</v>
      </c>
      <c r="J158">
        <v>2</v>
      </c>
      <c r="K158" s="6">
        <v>7.4999999999999997E-2</v>
      </c>
      <c r="L158" s="6">
        <v>0</v>
      </c>
      <c r="M158" t="str">
        <f t="shared" si="13"/>
        <v>SUB</v>
      </c>
      <c r="N158" t="s">
        <v>78</v>
      </c>
      <c r="O158" t="str">
        <f>VLOOKUP(Table1[[#This Row],[SCHEMATIC TYPE]],'SCHEMATIC Lookup'!$B$1:$C$5,2)</f>
        <v>Sub. Tranche of Senior</v>
      </c>
      <c r="P158" s="8">
        <v>177000000</v>
      </c>
      <c r="Q158" t="s">
        <v>79</v>
      </c>
      <c r="R158" t="s">
        <v>82</v>
      </c>
      <c r="S158" t="s">
        <v>79</v>
      </c>
      <c r="T158" t="s">
        <v>79</v>
      </c>
      <c r="U158" s="12" t="s">
        <v>236</v>
      </c>
      <c r="V158" s="12" t="s">
        <v>234</v>
      </c>
      <c r="W158" s="11">
        <v>48.65708418891171</v>
      </c>
      <c r="X158" s="2">
        <f t="shared" si="14"/>
        <v>0.5446554075363127</v>
      </c>
      <c r="Y158" s="5">
        <f t="shared" si="15"/>
        <v>20000000</v>
      </c>
      <c r="Z158" s="5">
        <f t="shared" si="16"/>
        <v>20000000</v>
      </c>
    </row>
    <row r="159" spans="1:26" x14ac:dyDescent="0.25">
      <c r="A159">
        <v>11730</v>
      </c>
      <c r="B159">
        <v>119</v>
      </c>
      <c r="C159">
        <v>2014</v>
      </c>
      <c r="D159" t="s">
        <v>68</v>
      </c>
      <c r="E159" t="s">
        <v>69</v>
      </c>
      <c r="F159" s="2">
        <v>0.54</v>
      </c>
      <c r="G159" s="2">
        <v>0.72</v>
      </c>
      <c r="H159" s="14">
        <f t="shared" si="12"/>
        <v>0</v>
      </c>
      <c r="I159" s="5">
        <v>5000000</v>
      </c>
      <c r="J159">
        <v>5</v>
      </c>
      <c r="K159" s="6">
        <v>0.113</v>
      </c>
      <c r="L159" s="6">
        <v>0.75</v>
      </c>
      <c r="M159" t="str">
        <f t="shared" si="13"/>
        <v>SUBL</v>
      </c>
      <c r="N159" t="s">
        <v>70</v>
      </c>
      <c r="O159" t="str">
        <f>VLOOKUP(Table1[[#This Row],[SCHEMATIC TYPE]],'SCHEMATIC Lookup'!$B$1:$C$5,2)</f>
        <v>Leveraged Whole Loan</v>
      </c>
      <c r="P159" s="8">
        <v>27700000</v>
      </c>
      <c r="Q159" t="s">
        <v>71</v>
      </c>
      <c r="R159" t="s">
        <v>72</v>
      </c>
      <c r="S159" t="s">
        <v>71</v>
      </c>
      <c r="T159" t="s">
        <v>71</v>
      </c>
      <c r="U159" s="12" t="s">
        <v>236</v>
      </c>
      <c r="V159" s="12" t="s">
        <v>233</v>
      </c>
      <c r="W159" s="11">
        <v>60</v>
      </c>
      <c r="X159" s="2">
        <f t="shared" si="14"/>
        <v>0.54</v>
      </c>
      <c r="Y159" s="5">
        <f t="shared" si="15"/>
        <v>5000000</v>
      </c>
      <c r="Z159" s="5">
        <f t="shared" si="16"/>
        <v>20000000.000000007</v>
      </c>
    </row>
    <row r="160" spans="1:26" x14ac:dyDescent="0.25">
      <c r="A160">
        <v>11740</v>
      </c>
      <c r="B160">
        <v>183</v>
      </c>
      <c r="C160">
        <v>2013</v>
      </c>
      <c r="D160" t="s">
        <v>83</v>
      </c>
      <c r="E160" t="s">
        <v>77</v>
      </c>
      <c r="F160" s="2">
        <v>0.71662604039630073</v>
      </c>
      <c r="G160" s="2">
        <v>0.92</v>
      </c>
      <c r="H160" s="14">
        <f t="shared" si="12"/>
        <v>0</v>
      </c>
      <c r="I160" s="5">
        <v>19110000</v>
      </c>
      <c r="J160">
        <v>3</v>
      </c>
      <c r="K160" s="6">
        <v>0.12</v>
      </c>
      <c r="L160" s="6">
        <v>0</v>
      </c>
      <c r="M160" t="str">
        <f t="shared" si="13"/>
        <v>SUB</v>
      </c>
      <c r="N160" t="s">
        <v>84</v>
      </c>
      <c r="O160" t="str">
        <f>VLOOKUP(Table1[[#This Row],[SCHEMATIC TYPE]],'SCHEMATIC Lookup'!$B$1:$C$5,2)</f>
        <v>Other Subordinate</v>
      </c>
      <c r="P160" s="8">
        <v>81894875</v>
      </c>
      <c r="Q160" t="s">
        <v>71</v>
      </c>
      <c r="R160" t="s">
        <v>80</v>
      </c>
      <c r="S160" t="s">
        <v>71</v>
      </c>
      <c r="T160" t="s">
        <v>71</v>
      </c>
      <c r="U160" s="12" t="s">
        <v>239</v>
      </c>
      <c r="V160" s="12" t="s">
        <v>237</v>
      </c>
      <c r="W160" s="11">
        <v>60</v>
      </c>
      <c r="X160" s="2">
        <f t="shared" si="14"/>
        <v>0.71662604039630073</v>
      </c>
      <c r="Y160" s="5">
        <f t="shared" si="15"/>
        <v>19110000</v>
      </c>
      <c r="Z160" s="5">
        <f t="shared" si="16"/>
        <v>19110000</v>
      </c>
    </row>
    <row r="161" spans="1:26" x14ac:dyDescent="0.25">
      <c r="A161">
        <v>11750</v>
      </c>
      <c r="B161">
        <v>183</v>
      </c>
      <c r="C161">
        <v>2015</v>
      </c>
      <c r="D161" t="s">
        <v>89</v>
      </c>
      <c r="E161" t="s">
        <v>91</v>
      </c>
      <c r="F161" s="2">
        <v>0</v>
      </c>
      <c r="G161" s="2">
        <v>0.79443840351006212</v>
      </c>
      <c r="H161" s="14">
        <f t="shared" si="12"/>
        <v>0</v>
      </c>
      <c r="I161" s="5">
        <v>54206628</v>
      </c>
      <c r="J161">
        <v>3</v>
      </c>
      <c r="K161" s="6" t="s">
        <v>94</v>
      </c>
      <c r="L161" s="6">
        <v>0</v>
      </c>
      <c r="M161" t="str">
        <f t="shared" si="13"/>
        <v>SENIOR</v>
      </c>
      <c r="N161" t="s">
        <v>90</v>
      </c>
      <c r="O161" t="str">
        <f>VLOOKUP(Table1[[#This Row],[SCHEMATIC TYPE]],'SCHEMATIC Lookup'!$B$1:$C$5,2)</f>
        <v>Senior Whole Loan</v>
      </c>
      <c r="P161" s="8">
        <v>68232638</v>
      </c>
      <c r="Q161" t="s">
        <v>71</v>
      </c>
      <c r="R161" t="s">
        <v>80</v>
      </c>
      <c r="S161" t="s">
        <v>71</v>
      </c>
      <c r="T161" t="s">
        <v>71</v>
      </c>
      <c r="U161" s="12" t="s">
        <v>238</v>
      </c>
      <c r="V161" s="12" t="s">
        <v>231</v>
      </c>
      <c r="W161" s="11">
        <v>36</v>
      </c>
      <c r="X161" s="2">
        <f t="shared" si="14"/>
        <v>0</v>
      </c>
      <c r="Y161" s="5">
        <f t="shared" si="15"/>
        <v>54206628</v>
      </c>
      <c r="Z161" s="5">
        <f t="shared" si="16"/>
        <v>54206628</v>
      </c>
    </row>
    <row r="162" spans="1:26" x14ac:dyDescent="0.25">
      <c r="A162">
        <v>11770</v>
      </c>
      <c r="B162">
        <v>119</v>
      </c>
      <c r="C162">
        <v>2012</v>
      </c>
      <c r="D162" t="s">
        <v>74</v>
      </c>
      <c r="E162" t="s">
        <v>69</v>
      </c>
      <c r="F162" s="2">
        <v>0.72</v>
      </c>
      <c r="G162" s="2">
        <v>0.79</v>
      </c>
      <c r="H162" s="14">
        <f t="shared" si="12"/>
        <v>0</v>
      </c>
      <c r="I162" s="5">
        <v>68000000</v>
      </c>
      <c r="J162">
        <v>1</v>
      </c>
      <c r="K162" s="6">
        <v>0.08</v>
      </c>
      <c r="L162" s="6">
        <v>0</v>
      </c>
      <c r="M162" t="str">
        <f t="shared" si="13"/>
        <v>SUB</v>
      </c>
      <c r="N162" t="s">
        <v>75</v>
      </c>
      <c r="O162" t="str">
        <f>VLOOKUP(Table1[[#This Row],[SCHEMATIC TYPE]],'SCHEMATIC Lookup'!$B$1:$C$5,2)</f>
        <v>Mezzanine Loan</v>
      </c>
      <c r="P162" s="8">
        <v>912900000</v>
      </c>
      <c r="Q162" t="s">
        <v>71</v>
      </c>
      <c r="R162" t="s">
        <v>72</v>
      </c>
      <c r="S162" t="s">
        <v>71</v>
      </c>
      <c r="T162" t="s">
        <v>71</v>
      </c>
      <c r="U162" s="12" t="s">
        <v>239</v>
      </c>
      <c r="V162" s="12" t="s">
        <v>231</v>
      </c>
      <c r="W162" s="11">
        <v>35</v>
      </c>
      <c r="X162" s="2">
        <f t="shared" si="14"/>
        <v>0.72</v>
      </c>
      <c r="Y162" s="5">
        <f t="shared" si="15"/>
        <v>68000000</v>
      </c>
      <c r="Z162" s="5">
        <f t="shared" si="16"/>
        <v>68000000</v>
      </c>
    </row>
    <row r="163" spans="1:26" x14ac:dyDescent="0.25">
      <c r="A163">
        <v>11780</v>
      </c>
      <c r="B163">
        <v>103</v>
      </c>
      <c r="C163">
        <v>2004</v>
      </c>
      <c r="D163" t="s">
        <v>76</v>
      </c>
      <c r="E163" t="s">
        <v>69</v>
      </c>
      <c r="F163" s="2">
        <v>0.7142857142857143</v>
      </c>
      <c r="G163" s="2">
        <v>1.1255411255411256</v>
      </c>
      <c r="H163" s="14">
        <f t="shared" si="12"/>
        <v>0</v>
      </c>
      <c r="I163" s="5">
        <v>70000000</v>
      </c>
      <c r="J163">
        <v>1</v>
      </c>
      <c r="K163" s="6">
        <v>0.03</v>
      </c>
      <c r="L163" s="6">
        <v>0</v>
      </c>
      <c r="M163" t="str">
        <f t="shared" si="13"/>
        <v>SUB</v>
      </c>
      <c r="N163" t="s">
        <v>78</v>
      </c>
      <c r="O163" t="str">
        <f>VLOOKUP(Table1[[#This Row],[SCHEMATIC TYPE]],'SCHEMATIC Lookup'!$B$1:$C$5,2)</f>
        <v>Sub. Tranche of Senior</v>
      </c>
      <c r="P163" s="8">
        <v>231416549.78962132</v>
      </c>
      <c r="Q163" t="s">
        <v>19</v>
      </c>
      <c r="R163" t="s">
        <v>82</v>
      </c>
      <c r="S163" t="s">
        <v>19</v>
      </c>
      <c r="T163" t="s">
        <v>19</v>
      </c>
      <c r="U163" s="12" t="s">
        <v>239</v>
      </c>
      <c r="V163" s="12" t="s">
        <v>237</v>
      </c>
      <c r="W163" s="11">
        <v>112</v>
      </c>
      <c r="X163" s="2">
        <f t="shared" si="14"/>
        <v>0.7142857142857143</v>
      </c>
      <c r="Y163" s="5">
        <f t="shared" si="15"/>
        <v>70000000</v>
      </c>
      <c r="Z163" s="5">
        <f t="shared" si="16"/>
        <v>70000000</v>
      </c>
    </row>
    <row r="164" spans="1:26" x14ac:dyDescent="0.25">
      <c r="A164">
        <v>11800</v>
      </c>
      <c r="B164">
        <v>103</v>
      </c>
      <c r="C164">
        <v>2010</v>
      </c>
      <c r="D164" t="s">
        <v>81</v>
      </c>
      <c r="E164" t="s">
        <v>77</v>
      </c>
      <c r="F164" s="2">
        <v>0.59711222535211272</v>
      </c>
      <c r="G164" s="2">
        <v>0.83595711267605632</v>
      </c>
      <c r="H164" s="14">
        <f t="shared" si="12"/>
        <v>0</v>
      </c>
      <c r="I164" s="5">
        <v>33505518.010000002</v>
      </c>
      <c r="J164">
        <v>3</v>
      </c>
      <c r="K164" s="6">
        <v>5.9400000000000001E-2</v>
      </c>
      <c r="L164" s="6">
        <v>0</v>
      </c>
      <c r="M164" t="str">
        <f t="shared" si="13"/>
        <v>SUB</v>
      </c>
      <c r="N164" t="s">
        <v>78</v>
      </c>
      <c r="O164" t="str">
        <f>VLOOKUP(Table1[[#This Row],[SCHEMATIC TYPE]],'SCHEMATIC Lookup'!$B$1:$C$5,2)</f>
        <v>Sub. Tranche of Senior</v>
      </c>
      <c r="P164" s="8">
        <v>284000000</v>
      </c>
      <c r="Q164" t="s">
        <v>79</v>
      </c>
      <c r="R164" t="s">
        <v>79</v>
      </c>
      <c r="S164" t="s">
        <v>79</v>
      </c>
      <c r="T164" t="s">
        <v>79</v>
      </c>
      <c r="U164" s="12" t="s">
        <v>230</v>
      </c>
      <c r="V164" s="12" t="s">
        <v>237</v>
      </c>
      <c r="W164" s="11">
        <v>84</v>
      </c>
      <c r="X164" s="2">
        <f t="shared" si="14"/>
        <v>0.59711222535211272</v>
      </c>
      <c r="Y164" s="5">
        <f t="shared" si="15"/>
        <v>33505518.010000002</v>
      </c>
      <c r="Z164" s="5">
        <f t="shared" si="16"/>
        <v>33505518.010000002</v>
      </c>
    </row>
    <row r="165" spans="1:26" x14ac:dyDescent="0.25">
      <c r="A165">
        <v>11810</v>
      </c>
      <c r="B165">
        <v>103</v>
      </c>
      <c r="C165">
        <v>2007</v>
      </c>
      <c r="D165" t="s">
        <v>76</v>
      </c>
      <c r="E165" t="s">
        <v>77</v>
      </c>
      <c r="F165" s="2">
        <v>0.46200000000000002</v>
      </c>
      <c r="G165" s="2">
        <v>0.57692307692307687</v>
      </c>
      <c r="H165" s="14">
        <f t="shared" si="12"/>
        <v>0</v>
      </c>
      <c r="I165" s="5">
        <v>10000000</v>
      </c>
      <c r="J165">
        <v>3</v>
      </c>
      <c r="K165" s="6">
        <v>6.1400000000000003E-2</v>
      </c>
      <c r="L165" s="6">
        <v>0</v>
      </c>
      <c r="M165" t="str">
        <f t="shared" si="13"/>
        <v>SUB</v>
      </c>
      <c r="N165" t="s">
        <v>78</v>
      </c>
      <c r="O165" t="str">
        <f>VLOOKUP(Table1[[#This Row],[SCHEMATIC TYPE]],'SCHEMATIC Lookup'!$B$1:$C$5,2)</f>
        <v>Sub. Tranche of Senior</v>
      </c>
      <c r="P165" s="8">
        <v>74900000</v>
      </c>
      <c r="Q165" t="s">
        <v>71</v>
      </c>
      <c r="R165" t="s">
        <v>80</v>
      </c>
      <c r="S165" t="s">
        <v>71</v>
      </c>
      <c r="T165" t="s">
        <v>71</v>
      </c>
      <c r="U165" s="12" t="s">
        <v>232</v>
      </c>
      <c r="V165" s="12" t="s">
        <v>230</v>
      </c>
      <c r="W165" s="11">
        <v>119.5564681724846</v>
      </c>
      <c r="X165" s="2">
        <f t="shared" si="14"/>
        <v>0.46200000000000002</v>
      </c>
      <c r="Y165" s="5">
        <f t="shared" si="15"/>
        <v>10000000</v>
      </c>
      <c r="Z165" s="5">
        <f t="shared" si="16"/>
        <v>10000000</v>
      </c>
    </row>
    <row r="166" spans="1:26" x14ac:dyDescent="0.25">
      <c r="A166">
        <v>11830</v>
      </c>
      <c r="B166">
        <v>119</v>
      </c>
      <c r="C166">
        <v>2016</v>
      </c>
      <c r="D166" t="s">
        <v>68</v>
      </c>
      <c r="E166" t="s">
        <v>69</v>
      </c>
      <c r="F166" s="2">
        <v>0.53</v>
      </c>
      <c r="G166" s="2">
        <v>0.76</v>
      </c>
      <c r="H166" s="14">
        <f t="shared" si="12"/>
        <v>0</v>
      </c>
      <c r="I166" s="5">
        <v>9750000</v>
      </c>
      <c r="J166">
        <v>2</v>
      </c>
      <c r="K166" s="6">
        <v>0.109</v>
      </c>
      <c r="L166" s="6">
        <v>0.75</v>
      </c>
      <c r="M166" t="str">
        <f t="shared" si="13"/>
        <v>SUBL</v>
      </c>
      <c r="N166" t="s">
        <v>70</v>
      </c>
      <c r="O166" t="str">
        <f>VLOOKUP(Table1[[#This Row],[SCHEMATIC TYPE]],'SCHEMATIC Lookup'!$B$1:$C$5,2)</f>
        <v>Leveraged Whole Loan</v>
      </c>
      <c r="P166" s="8">
        <v>51380365.375049889</v>
      </c>
      <c r="Q166" t="s">
        <v>71</v>
      </c>
      <c r="R166" t="s">
        <v>73</v>
      </c>
      <c r="S166" t="s">
        <v>71</v>
      </c>
      <c r="T166" t="s">
        <v>71</v>
      </c>
      <c r="U166" s="12" t="s">
        <v>236</v>
      </c>
      <c r="V166" s="12" t="s">
        <v>231</v>
      </c>
      <c r="W166" s="11">
        <v>61</v>
      </c>
      <c r="X166" s="2">
        <f t="shared" si="14"/>
        <v>0.53</v>
      </c>
      <c r="Y166" s="5">
        <f t="shared" si="15"/>
        <v>9750000</v>
      </c>
      <c r="Z166" s="5">
        <f t="shared" si="16"/>
        <v>32217391.304347828</v>
      </c>
    </row>
    <row r="167" spans="1:26" x14ac:dyDescent="0.25">
      <c r="A167">
        <v>11840</v>
      </c>
      <c r="B167">
        <v>183</v>
      </c>
      <c r="C167">
        <v>2013</v>
      </c>
      <c r="D167" t="s">
        <v>74</v>
      </c>
      <c r="E167" t="s">
        <v>77</v>
      </c>
      <c r="F167" s="2">
        <v>0.54888240187953141</v>
      </c>
      <c r="G167" s="2">
        <v>0.77941301066893465</v>
      </c>
      <c r="H167" s="14">
        <f t="shared" si="12"/>
        <v>0</v>
      </c>
      <c r="I167" s="5">
        <v>10500000</v>
      </c>
      <c r="J167">
        <v>2</v>
      </c>
      <c r="K167" s="6">
        <v>0.14499999999999999</v>
      </c>
      <c r="L167" s="6">
        <v>0</v>
      </c>
      <c r="M167" t="str">
        <f t="shared" ref="M167:M196" si="17">IF(AND(H167=0,OR(F167&gt;0,L167&gt;0)),"SUB",IF(AND(H167=0,F167=0),"SENIOR","BAD"))&amp;IF(L167&gt;0,"L","")</f>
        <v>SUB</v>
      </c>
      <c r="N167" t="s">
        <v>75</v>
      </c>
      <c r="O167" t="str">
        <f>VLOOKUP(Table1[[#This Row],[SCHEMATIC TYPE]],'SCHEMATIC Lookup'!$B$1:$C$5,2)</f>
        <v>Mezzanine Loan</v>
      </c>
      <c r="P167" s="8">
        <v>45547097</v>
      </c>
      <c r="Q167" t="s">
        <v>71</v>
      </c>
      <c r="R167" t="s">
        <v>80</v>
      </c>
      <c r="S167" t="s">
        <v>71</v>
      </c>
      <c r="T167" t="s">
        <v>71</v>
      </c>
      <c r="U167" s="12" t="s">
        <v>236</v>
      </c>
      <c r="V167" s="12" t="s">
        <v>231</v>
      </c>
      <c r="W167" s="11">
        <v>35</v>
      </c>
      <c r="X167" s="2">
        <f t="shared" si="14"/>
        <v>0.54888240187953141</v>
      </c>
      <c r="Y167" s="5">
        <f t="shared" si="15"/>
        <v>10500000</v>
      </c>
      <c r="Z167" s="5">
        <f t="shared" si="16"/>
        <v>10500000</v>
      </c>
    </row>
    <row r="168" spans="1:26" x14ac:dyDescent="0.25">
      <c r="A168">
        <v>11850</v>
      </c>
      <c r="B168">
        <v>183</v>
      </c>
      <c r="C168">
        <v>2016</v>
      </c>
      <c r="D168" t="s">
        <v>74</v>
      </c>
      <c r="E168" t="s">
        <v>77</v>
      </c>
      <c r="F168" s="2">
        <v>0.65154756864068242</v>
      </c>
      <c r="G168" s="2">
        <v>0.80737359402559905</v>
      </c>
      <c r="H168" s="14">
        <f t="shared" si="12"/>
        <v>0</v>
      </c>
      <c r="I168" s="5">
        <v>9000000</v>
      </c>
      <c r="J168">
        <v>3</v>
      </c>
      <c r="K168" s="6">
        <v>0.13</v>
      </c>
      <c r="L168" s="6">
        <v>0</v>
      </c>
      <c r="M168" t="str">
        <f t="shared" si="17"/>
        <v>SUB</v>
      </c>
      <c r="N168" t="s">
        <v>75</v>
      </c>
      <c r="O168" t="str">
        <f>VLOOKUP(Table1[[#This Row],[SCHEMATIC TYPE]],'SCHEMATIC Lookup'!$B$1:$C$5,2)</f>
        <v>Mezzanine Loan</v>
      </c>
      <c r="P168" s="8">
        <v>102678612</v>
      </c>
      <c r="Q168" t="s">
        <v>71</v>
      </c>
      <c r="R168" t="s">
        <v>80</v>
      </c>
      <c r="S168" t="s">
        <v>71</v>
      </c>
      <c r="T168" t="s">
        <v>71</v>
      </c>
      <c r="U168" s="12" t="s">
        <v>239</v>
      </c>
      <c r="V168" s="12" t="s">
        <v>237</v>
      </c>
      <c r="W168" s="11">
        <v>24</v>
      </c>
      <c r="X168" s="2">
        <f t="shared" si="14"/>
        <v>0.65154756864068242</v>
      </c>
      <c r="Y168" s="5">
        <f t="shared" si="15"/>
        <v>9000000</v>
      </c>
      <c r="Z168" s="5">
        <f t="shared" si="16"/>
        <v>9000000</v>
      </c>
    </row>
    <row r="169" spans="1:26" x14ac:dyDescent="0.25">
      <c r="A169">
        <v>11860</v>
      </c>
      <c r="B169">
        <v>103</v>
      </c>
      <c r="C169">
        <v>2006</v>
      </c>
      <c r="D169" t="s">
        <v>76</v>
      </c>
      <c r="E169" t="s">
        <v>77</v>
      </c>
      <c r="F169" s="2">
        <v>0.52</v>
      </c>
      <c r="G169" s="2">
        <v>0.63</v>
      </c>
      <c r="H169" s="14">
        <f t="shared" si="12"/>
        <v>0</v>
      </c>
      <c r="I169" s="5">
        <v>50000000</v>
      </c>
      <c r="J169">
        <v>2</v>
      </c>
      <c r="K169" s="6">
        <v>5.6480000000000002E-2</v>
      </c>
      <c r="L169" s="6">
        <v>0</v>
      </c>
      <c r="M169" t="str">
        <f t="shared" si="17"/>
        <v>SUB</v>
      </c>
      <c r="N169" t="s">
        <v>78</v>
      </c>
      <c r="O169" t="str">
        <f>VLOOKUP(Table1[[#This Row],[SCHEMATIC TYPE]],'SCHEMATIC Lookup'!$B$1:$C$5,2)</f>
        <v>Sub. Tranche of Senior</v>
      </c>
      <c r="P169" s="8">
        <v>678000000</v>
      </c>
      <c r="Q169" t="s">
        <v>19</v>
      </c>
      <c r="R169" t="s">
        <v>73</v>
      </c>
      <c r="S169" t="s">
        <v>19</v>
      </c>
      <c r="T169" t="s">
        <v>19</v>
      </c>
      <c r="U169" s="12" t="s">
        <v>236</v>
      </c>
      <c r="V169" s="12" t="s">
        <v>235</v>
      </c>
      <c r="W169" s="11">
        <v>59.071868583162221</v>
      </c>
      <c r="X169" s="2">
        <f t="shared" si="14"/>
        <v>0.52</v>
      </c>
      <c r="Y169" s="5">
        <f t="shared" si="15"/>
        <v>50000000</v>
      </c>
      <c r="Z169" s="5">
        <f t="shared" si="16"/>
        <v>50000000</v>
      </c>
    </row>
    <row r="170" spans="1:26" x14ac:dyDescent="0.25">
      <c r="A170">
        <v>11870</v>
      </c>
      <c r="B170">
        <v>103</v>
      </c>
      <c r="C170">
        <v>2006</v>
      </c>
      <c r="D170" t="s">
        <v>76</v>
      </c>
      <c r="E170" t="s">
        <v>77</v>
      </c>
      <c r="F170" s="2">
        <v>0.52</v>
      </c>
      <c r="G170" s="2">
        <v>0.63</v>
      </c>
      <c r="H170" s="14">
        <f t="shared" si="12"/>
        <v>0</v>
      </c>
      <c r="I170" s="5">
        <v>25000000</v>
      </c>
      <c r="J170">
        <v>2</v>
      </c>
      <c r="K170" s="6">
        <v>5.6480000000000002E-2</v>
      </c>
      <c r="L170" s="6">
        <v>0</v>
      </c>
      <c r="M170" t="str">
        <f t="shared" si="17"/>
        <v>SUB</v>
      </c>
      <c r="N170" t="s">
        <v>78</v>
      </c>
      <c r="O170" t="str">
        <f>VLOOKUP(Table1[[#This Row],[SCHEMATIC TYPE]],'SCHEMATIC Lookup'!$B$1:$C$5,2)</f>
        <v>Sub. Tranche of Senior</v>
      </c>
      <c r="P170" s="8">
        <v>678000000</v>
      </c>
      <c r="Q170" t="s">
        <v>19</v>
      </c>
      <c r="R170" t="s">
        <v>73</v>
      </c>
      <c r="S170" t="s">
        <v>19</v>
      </c>
      <c r="T170" t="s">
        <v>19</v>
      </c>
      <c r="U170" s="12" t="s">
        <v>236</v>
      </c>
      <c r="V170" s="12" t="s">
        <v>235</v>
      </c>
      <c r="W170" s="11">
        <v>59.071868583162221</v>
      </c>
      <c r="X170" s="2">
        <f t="shared" si="14"/>
        <v>0.52</v>
      </c>
      <c r="Y170" s="5">
        <f t="shared" si="15"/>
        <v>25000000</v>
      </c>
      <c r="Z170" s="5">
        <f t="shared" si="16"/>
        <v>25000000</v>
      </c>
    </row>
    <row r="171" spans="1:26" x14ac:dyDescent="0.25">
      <c r="A171">
        <v>11880</v>
      </c>
      <c r="B171">
        <v>183</v>
      </c>
      <c r="C171">
        <v>2013</v>
      </c>
      <c r="D171" t="s">
        <v>89</v>
      </c>
      <c r="E171" t="s">
        <v>91</v>
      </c>
      <c r="F171" s="2">
        <v>0</v>
      </c>
      <c r="G171" s="2">
        <v>0.79271411502418054</v>
      </c>
      <c r="H171" s="14">
        <f t="shared" si="12"/>
        <v>0</v>
      </c>
      <c r="I171" s="5">
        <v>64000000</v>
      </c>
      <c r="J171">
        <v>2</v>
      </c>
      <c r="K171" s="6">
        <v>7.8125E-2</v>
      </c>
      <c r="L171" s="6">
        <v>0</v>
      </c>
      <c r="M171" t="str">
        <f t="shared" si="17"/>
        <v>SENIOR</v>
      </c>
      <c r="N171" t="s">
        <v>90</v>
      </c>
      <c r="O171" t="str">
        <f>VLOOKUP(Table1[[#This Row],[SCHEMATIC TYPE]],'SCHEMATIC Lookup'!$B$1:$C$5,2)</f>
        <v>Senior Whole Loan</v>
      </c>
      <c r="P171" s="8">
        <v>80735285</v>
      </c>
      <c r="Q171" t="s">
        <v>71</v>
      </c>
      <c r="R171" t="s">
        <v>80</v>
      </c>
      <c r="S171" t="s">
        <v>71</v>
      </c>
      <c r="T171" t="s">
        <v>71</v>
      </c>
      <c r="U171" s="12" t="s">
        <v>238</v>
      </c>
      <c r="V171" s="12" t="s">
        <v>231</v>
      </c>
      <c r="W171" s="11">
        <v>42</v>
      </c>
      <c r="X171" s="2">
        <f t="shared" si="14"/>
        <v>0</v>
      </c>
      <c r="Y171" s="5">
        <f t="shared" si="15"/>
        <v>64000000</v>
      </c>
      <c r="Z171" s="5">
        <f t="shared" si="16"/>
        <v>64000000</v>
      </c>
    </row>
    <row r="172" spans="1:26" x14ac:dyDescent="0.25">
      <c r="A172">
        <v>11900</v>
      </c>
      <c r="B172">
        <v>103</v>
      </c>
      <c r="C172">
        <v>2009</v>
      </c>
      <c r="D172" t="s">
        <v>81</v>
      </c>
      <c r="E172" t="s">
        <v>77</v>
      </c>
      <c r="F172" s="2">
        <v>0.52857142857142858</v>
      </c>
      <c r="G172" s="2">
        <v>0.68571428571428572</v>
      </c>
      <c r="H172" s="14">
        <f t="shared" si="12"/>
        <v>0</v>
      </c>
      <c r="I172" s="5">
        <v>55000000</v>
      </c>
      <c r="J172">
        <v>3</v>
      </c>
      <c r="K172" s="6">
        <v>5.9139999999999998E-2</v>
      </c>
      <c r="L172" s="6">
        <v>0</v>
      </c>
      <c r="M172" t="str">
        <f t="shared" si="17"/>
        <v>SUB</v>
      </c>
      <c r="N172" t="s">
        <v>78</v>
      </c>
      <c r="O172" t="str">
        <f>VLOOKUP(Table1[[#This Row],[SCHEMATIC TYPE]],'SCHEMATIC Lookup'!$B$1:$C$5,2)</f>
        <v>Sub. Tranche of Senior</v>
      </c>
      <c r="P172" s="8">
        <v>350000000</v>
      </c>
      <c r="Q172" t="s">
        <v>79</v>
      </c>
      <c r="R172" t="s">
        <v>79</v>
      </c>
      <c r="S172" t="s">
        <v>79</v>
      </c>
      <c r="T172" t="s">
        <v>79</v>
      </c>
      <c r="U172" s="12" t="s">
        <v>236</v>
      </c>
      <c r="V172" s="12" t="s">
        <v>234</v>
      </c>
      <c r="W172" s="11">
        <v>77.470225872689937</v>
      </c>
      <c r="X172" s="2">
        <f t="shared" si="14"/>
        <v>0.52857142857142858</v>
      </c>
      <c r="Y172" s="5">
        <f t="shared" si="15"/>
        <v>55000000</v>
      </c>
      <c r="Z172" s="5">
        <f t="shared" si="16"/>
        <v>55000000</v>
      </c>
    </row>
    <row r="173" spans="1:26" x14ac:dyDescent="0.25">
      <c r="A173">
        <v>11920</v>
      </c>
      <c r="B173">
        <v>220</v>
      </c>
      <c r="C173">
        <v>2013</v>
      </c>
      <c r="D173" t="s">
        <v>74</v>
      </c>
      <c r="E173" t="s">
        <v>69</v>
      </c>
      <c r="F173" s="2">
        <v>0.55769999999999997</v>
      </c>
      <c r="G173" s="2">
        <v>0.79749999999999999</v>
      </c>
      <c r="H173" s="14">
        <f t="shared" si="12"/>
        <v>0</v>
      </c>
      <c r="I173" s="5">
        <v>12250000</v>
      </c>
      <c r="J173">
        <v>3</v>
      </c>
      <c r="K173" s="6">
        <v>0.09</v>
      </c>
      <c r="L173" s="6">
        <v>0</v>
      </c>
      <c r="M173" t="str">
        <f t="shared" si="17"/>
        <v>SUB</v>
      </c>
      <c r="N173" t="s">
        <v>75</v>
      </c>
      <c r="O173" t="str">
        <f>VLOOKUP(Table1[[#This Row],[SCHEMATIC TYPE]],'SCHEMATIC Lookup'!$B$1:$C$5,2)</f>
        <v>Mezzanine Loan</v>
      </c>
      <c r="P173" s="8">
        <v>5100000</v>
      </c>
      <c r="Q173" t="s">
        <v>19</v>
      </c>
      <c r="R173" t="s">
        <v>72</v>
      </c>
      <c r="S173" t="s">
        <v>19</v>
      </c>
      <c r="T173" t="s">
        <v>19</v>
      </c>
      <c r="U173" s="12" t="s">
        <v>230</v>
      </c>
      <c r="V173" s="12" t="s">
        <v>231</v>
      </c>
      <c r="W173" s="11">
        <v>24</v>
      </c>
      <c r="X173" s="2">
        <f t="shared" si="14"/>
        <v>0.55769999999999997</v>
      </c>
      <c r="Y173" s="5">
        <f t="shared" si="15"/>
        <v>12250000</v>
      </c>
      <c r="Z173" s="5">
        <f t="shared" si="16"/>
        <v>12250000</v>
      </c>
    </row>
    <row r="174" spans="1:26" x14ac:dyDescent="0.25">
      <c r="A174">
        <v>11930</v>
      </c>
      <c r="B174">
        <v>103</v>
      </c>
      <c r="C174">
        <v>2006</v>
      </c>
      <c r="D174" t="s">
        <v>74</v>
      </c>
      <c r="E174" t="s">
        <v>69</v>
      </c>
      <c r="F174" s="2">
        <v>0.41548821631979904</v>
      </c>
      <c r="G174" s="2">
        <v>0.47000000004193215</v>
      </c>
      <c r="H174" s="14">
        <f t="shared" si="12"/>
        <v>0</v>
      </c>
      <c r="I174" s="5">
        <v>200000000</v>
      </c>
      <c r="J174">
        <v>1</v>
      </c>
      <c r="K174" s="6">
        <v>8.9999999999999993E-3</v>
      </c>
      <c r="L174" s="6">
        <v>0</v>
      </c>
      <c r="M174" t="str">
        <f t="shared" si="17"/>
        <v>SUB</v>
      </c>
      <c r="N174" t="s">
        <v>75</v>
      </c>
      <c r="O174" t="str">
        <f>VLOOKUP(Table1[[#This Row],[SCHEMATIC TYPE]],'SCHEMATIC Lookup'!$B$1:$C$5,2)</f>
        <v>Mezzanine Loan</v>
      </c>
      <c r="P174" s="8">
        <v>4769610940.4255304</v>
      </c>
      <c r="Q174" t="s">
        <v>19</v>
      </c>
      <c r="R174" t="s">
        <v>79</v>
      </c>
      <c r="S174" t="s">
        <v>19</v>
      </c>
      <c r="T174" t="s">
        <v>19</v>
      </c>
      <c r="U174" s="12" t="s">
        <v>232</v>
      </c>
      <c r="V174" s="12" t="s">
        <v>240</v>
      </c>
      <c r="W174" s="11">
        <v>57.921971252566735</v>
      </c>
      <c r="X174" s="2">
        <f t="shared" si="14"/>
        <v>0.41548821631979904</v>
      </c>
      <c r="Y174" s="5">
        <f t="shared" si="15"/>
        <v>200000000</v>
      </c>
      <c r="Z174" s="5">
        <f t="shared" si="16"/>
        <v>200000000</v>
      </c>
    </row>
    <row r="175" spans="1:26" x14ac:dyDescent="0.25">
      <c r="A175">
        <v>11940</v>
      </c>
      <c r="B175">
        <v>103</v>
      </c>
      <c r="C175">
        <v>2007</v>
      </c>
      <c r="D175" t="s">
        <v>74</v>
      </c>
      <c r="E175" t="s">
        <v>69</v>
      </c>
      <c r="F175" s="2">
        <v>0.41548821631979904</v>
      </c>
      <c r="G175" s="2">
        <v>0.47000000004193215</v>
      </c>
      <c r="H175" s="14">
        <f t="shared" si="12"/>
        <v>0</v>
      </c>
      <c r="I175" s="5">
        <v>60662726.259999998</v>
      </c>
      <c r="J175">
        <v>1</v>
      </c>
      <c r="K175" s="6">
        <v>8.9999999999999993E-3</v>
      </c>
      <c r="L175" s="6">
        <v>0</v>
      </c>
      <c r="M175" t="str">
        <f t="shared" si="17"/>
        <v>SUB</v>
      </c>
      <c r="N175" t="s">
        <v>75</v>
      </c>
      <c r="O175" t="str">
        <f>VLOOKUP(Table1[[#This Row],[SCHEMATIC TYPE]],'SCHEMATIC Lookup'!$B$1:$C$5,2)</f>
        <v>Mezzanine Loan</v>
      </c>
      <c r="P175" s="8">
        <v>4769610940.4255304</v>
      </c>
      <c r="Q175" t="s">
        <v>19</v>
      </c>
      <c r="R175" t="s">
        <v>79</v>
      </c>
      <c r="S175" t="s">
        <v>19</v>
      </c>
      <c r="T175" t="s">
        <v>19</v>
      </c>
      <c r="U175" s="12" t="s">
        <v>232</v>
      </c>
      <c r="V175" s="12" t="s">
        <v>240</v>
      </c>
      <c r="W175" s="11">
        <v>55.786447638603697</v>
      </c>
      <c r="X175" s="2">
        <f t="shared" si="14"/>
        <v>0.41548821631979904</v>
      </c>
      <c r="Y175" s="5">
        <f t="shared" si="15"/>
        <v>60662726.259999998</v>
      </c>
      <c r="Z175" s="5">
        <f t="shared" si="16"/>
        <v>60662726.259999998</v>
      </c>
    </row>
    <row r="176" spans="1:26" x14ac:dyDescent="0.25">
      <c r="A176">
        <v>11951</v>
      </c>
      <c r="B176">
        <v>103</v>
      </c>
      <c r="C176">
        <v>2004</v>
      </c>
      <c r="D176" t="s">
        <v>76</v>
      </c>
      <c r="E176" t="s">
        <v>77</v>
      </c>
      <c r="F176" s="2">
        <v>0.56999999999999995</v>
      </c>
      <c r="G176" s="2">
        <v>0.65</v>
      </c>
      <c r="H176" s="14">
        <f t="shared" si="12"/>
        <v>0</v>
      </c>
      <c r="I176" s="5">
        <v>34000000</v>
      </c>
      <c r="J176">
        <v>1</v>
      </c>
      <c r="K176" s="6">
        <v>5.6910000000000002E-2</v>
      </c>
      <c r="L176" s="6">
        <v>0</v>
      </c>
      <c r="M176" t="str">
        <f t="shared" si="17"/>
        <v>SUB</v>
      </c>
      <c r="N176" t="s">
        <v>78</v>
      </c>
      <c r="O176" t="str">
        <f>VLOOKUP(Table1[[#This Row],[SCHEMATIC TYPE]],'SCHEMATIC Lookup'!$B$1:$C$5,2)</f>
        <v>Sub. Tranche of Senior</v>
      </c>
      <c r="P176" s="8">
        <v>427000000</v>
      </c>
      <c r="Q176" t="s">
        <v>19</v>
      </c>
      <c r="R176" t="s">
        <v>82</v>
      </c>
      <c r="S176" t="s">
        <v>19</v>
      </c>
      <c r="T176" t="s">
        <v>19</v>
      </c>
      <c r="U176" s="12" t="s">
        <v>230</v>
      </c>
      <c r="V176" s="12" t="s">
        <v>234</v>
      </c>
      <c r="W176" s="11">
        <v>80.624229979466122</v>
      </c>
      <c r="X176" s="2">
        <f t="shared" si="14"/>
        <v>0.56999999999999995</v>
      </c>
      <c r="Y176" s="5">
        <f t="shared" si="15"/>
        <v>34000000</v>
      </c>
      <c r="Z176" s="5">
        <f t="shared" si="16"/>
        <v>34000000</v>
      </c>
    </row>
    <row r="177" spans="1:26" x14ac:dyDescent="0.25">
      <c r="A177">
        <v>11952</v>
      </c>
      <c r="B177">
        <v>103</v>
      </c>
      <c r="C177">
        <v>2004</v>
      </c>
      <c r="D177" t="s">
        <v>76</v>
      </c>
      <c r="E177" t="s">
        <v>77</v>
      </c>
      <c r="F177" s="2">
        <v>0.65</v>
      </c>
      <c r="G177" s="2">
        <v>0.7</v>
      </c>
      <c r="H177" s="14">
        <f t="shared" si="12"/>
        <v>0</v>
      </c>
      <c r="I177" s="5">
        <v>21000000</v>
      </c>
      <c r="J177">
        <v>1</v>
      </c>
      <c r="K177" s="6">
        <v>6.5939999999999999E-2</v>
      </c>
      <c r="L177" s="6">
        <v>0</v>
      </c>
      <c r="M177" t="str">
        <f t="shared" si="17"/>
        <v>SUB</v>
      </c>
      <c r="N177" t="s">
        <v>78</v>
      </c>
      <c r="O177" t="str">
        <f>VLOOKUP(Table1[[#This Row],[SCHEMATIC TYPE]],'SCHEMATIC Lookup'!$B$1:$C$5,2)</f>
        <v>Sub. Tranche of Senior</v>
      </c>
      <c r="P177" s="8">
        <v>427000000</v>
      </c>
      <c r="Q177" t="s">
        <v>19</v>
      </c>
      <c r="R177" t="s">
        <v>82</v>
      </c>
      <c r="S177" t="s">
        <v>19</v>
      </c>
      <c r="T177" t="s">
        <v>19</v>
      </c>
      <c r="U177" s="12" t="s">
        <v>239</v>
      </c>
      <c r="V177" s="12" t="s">
        <v>233</v>
      </c>
      <c r="W177" s="11">
        <v>80.624229979466122</v>
      </c>
      <c r="X177" s="2">
        <f t="shared" si="14"/>
        <v>0.65</v>
      </c>
      <c r="Y177" s="5">
        <f t="shared" si="15"/>
        <v>21000000</v>
      </c>
      <c r="Z177" s="5">
        <f t="shared" si="16"/>
        <v>21000000</v>
      </c>
    </row>
    <row r="178" spans="1:26" x14ac:dyDescent="0.25">
      <c r="A178">
        <v>11970</v>
      </c>
      <c r="B178">
        <v>183</v>
      </c>
      <c r="C178">
        <v>2012</v>
      </c>
      <c r="D178" t="s">
        <v>74</v>
      </c>
      <c r="E178" t="s">
        <v>77</v>
      </c>
      <c r="F178" s="2">
        <v>0.51410183441237967</v>
      </c>
      <c r="G178" s="2">
        <v>0.7702487038441046</v>
      </c>
      <c r="H178" s="14">
        <f t="shared" si="12"/>
        <v>0</v>
      </c>
      <c r="I178" s="5">
        <v>8500000</v>
      </c>
      <c r="J178">
        <v>2</v>
      </c>
      <c r="K178" s="6">
        <v>0.18</v>
      </c>
      <c r="L178" s="6">
        <v>0</v>
      </c>
      <c r="M178" t="str">
        <f t="shared" si="17"/>
        <v>SUB</v>
      </c>
      <c r="N178" t="s">
        <v>75</v>
      </c>
      <c r="O178" t="str">
        <f>VLOOKUP(Table1[[#This Row],[SCHEMATIC TYPE]],'SCHEMATIC Lookup'!$B$1:$C$5,2)</f>
        <v>Mezzanine Loan</v>
      </c>
      <c r="P178" s="8">
        <v>33184087</v>
      </c>
      <c r="Q178" t="s">
        <v>71</v>
      </c>
      <c r="R178" t="s">
        <v>80</v>
      </c>
      <c r="S178" t="s">
        <v>71</v>
      </c>
      <c r="T178" t="s">
        <v>71</v>
      </c>
      <c r="U178" s="12" t="s">
        <v>236</v>
      </c>
      <c r="V178" s="12" t="s">
        <v>231</v>
      </c>
      <c r="W178" s="11">
        <v>35</v>
      </c>
      <c r="X178" s="2">
        <f t="shared" si="14"/>
        <v>0.51410183441237967</v>
      </c>
      <c r="Y178" s="5">
        <f t="shared" si="15"/>
        <v>8500000</v>
      </c>
      <c r="Z178" s="5">
        <f t="shared" si="16"/>
        <v>8500000</v>
      </c>
    </row>
    <row r="179" spans="1:26" x14ac:dyDescent="0.25">
      <c r="A179">
        <v>11980</v>
      </c>
      <c r="B179">
        <v>119</v>
      </c>
      <c r="C179">
        <v>2015</v>
      </c>
      <c r="D179" t="s">
        <v>68</v>
      </c>
      <c r="E179" t="s">
        <v>69</v>
      </c>
      <c r="F179" s="2">
        <v>0.54</v>
      </c>
      <c r="G179" s="2">
        <v>0.72</v>
      </c>
      <c r="H179" s="14">
        <f t="shared" si="12"/>
        <v>0</v>
      </c>
      <c r="I179" s="5">
        <v>7399999.9999999981</v>
      </c>
      <c r="J179">
        <v>2</v>
      </c>
      <c r="K179" s="6">
        <v>0.1028</v>
      </c>
      <c r="L179" s="6">
        <v>0.77249999999999996</v>
      </c>
      <c r="M179" t="str">
        <f t="shared" si="17"/>
        <v>SUBL</v>
      </c>
      <c r="N179" t="s">
        <v>70</v>
      </c>
      <c r="O179" t="str">
        <f>VLOOKUP(Table1[[#This Row],[SCHEMATIC TYPE]],'SCHEMATIC Lookup'!$B$1:$C$5,2)</f>
        <v>Leveraged Whole Loan</v>
      </c>
      <c r="P179" s="8">
        <v>51000000</v>
      </c>
      <c r="Q179" t="s">
        <v>71</v>
      </c>
      <c r="R179" t="s">
        <v>73</v>
      </c>
      <c r="S179" t="s">
        <v>71</v>
      </c>
      <c r="T179" t="s">
        <v>71</v>
      </c>
      <c r="U179" s="12" t="s">
        <v>236</v>
      </c>
      <c r="V179" s="12" t="s">
        <v>233</v>
      </c>
      <c r="W179" s="11">
        <v>60</v>
      </c>
      <c r="X179" s="2">
        <f t="shared" si="14"/>
        <v>0.54</v>
      </c>
      <c r="Y179" s="5">
        <f t="shared" si="15"/>
        <v>7399999.9999999981</v>
      </c>
      <c r="Z179" s="5">
        <f t="shared" si="16"/>
        <v>29600000.000000004</v>
      </c>
    </row>
    <row r="180" spans="1:26" x14ac:dyDescent="0.25">
      <c r="A180">
        <v>11990</v>
      </c>
      <c r="B180">
        <v>220</v>
      </c>
      <c r="C180">
        <v>2014</v>
      </c>
      <c r="D180" t="s">
        <v>74</v>
      </c>
      <c r="E180" t="s">
        <v>69</v>
      </c>
      <c r="F180" s="2">
        <v>0.47099999999999997</v>
      </c>
      <c r="G180" s="2">
        <v>0.72199999999999998</v>
      </c>
      <c r="H180" s="14">
        <f t="shared" si="12"/>
        <v>0</v>
      </c>
      <c r="I180" s="5">
        <v>15000000</v>
      </c>
      <c r="J180">
        <v>1</v>
      </c>
      <c r="K180" s="6">
        <v>7.5999999999999998E-2</v>
      </c>
      <c r="L180" s="6">
        <v>0</v>
      </c>
      <c r="M180" t="str">
        <f t="shared" si="17"/>
        <v>SUB</v>
      </c>
      <c r="N180" t="s">
        <v>75</v>
      </c>
      <c r="O180" t="str">
        <f>VLOOKUP(Table1[[#This Row],[SCHEMATIC TYPE]],'SCHEMATIC Lookup'!$B$1:$C$5,2)</f>
        <v>Mezzanine Loan</v>
      </c>
      <c r="P180" s="8">
        <v>76000000</v>
      </c>
      <c r="Q180" t="s">
        <v>71</v>
      </c>
      <c r="R180" t="s">
        <v>73</v>
      </c>
      <c r="S180" t="s">
        <v>71</v>
      </c>
      <c r="T180" t="s">
        <v>71</v>
      </c>
      <c r="U180" s="12" t="s">
        <v>232</v>
      </c>
      <c r="V180" s="12" t="s">
        <v>233</v>
      </c>
      <c r="W180" s="11">
        <v>24</v>
      </c>
      <c r="X180" s="2">
        <f t="shared" si="14"/>
        <v>0.47099999999999997</v>
      </c>
      <c r="Y180" s="5">
        <f t="shared" si="15"/>
        <v>15000000</v>
      </c>
      <c r="Z180" s="5">
        <f t="shared" si="16"/>
        <v>15000000</v>
      </c>
    </row>
    <row r="181" spans="1:26" x14ac:dyDescent="0.25">
      <c r="A181">
        <v>12000</v>
      </c>
      <c r="B181">
        <v>103</v>
      </c>
      <c r="C181">
        <v>2009</v>
      </c>
      <c r="D181" t="s">
        <v>85</v>
      </c>
      <c r="E181" t="s">
        <v>77</v>
      </c>
      <c r="F181" s="2">
        <v>0.55000000000000004</v>
      </c>
      <c r="G181" s="2">
        <v>0.8</v>
      </c>
      <c r="H181" s="14">
        <f t="shared" si="12"/>
        <v>0</v>
      </c>
      <c r="I181" s="5">
        <v>25105052</v>
      </c>
      <c r="J181">
        <v>1</v>
      </c>
      <c r="K181" s="6">
        <v>0.06</v>
      </c>
      <c r="L181" s="6">
        <v>0</v>
      </c>
      <c r="M181" t="str">
        <f t="shared" si="17"/>
        <v>SUB</v>
      </c>
      <c r="N181" t="s">
        <v>84</v>
      </c>
      <c r="O181" t="str">
        <f>VLOOKUP(Table1[[#This Row],[SCHEMATIC TYPE]],'SCHEMATIC Lookup'!$B$1:$C$5,2)</f>
        <v>Other Subordinate</v>
      </c>
      <c r="P181" s="8">
        <v>99997000</v>
      </c>
      <c r="Q181" t="s">
        <v>19</v>
      </c>
      <c r="R181" t="s">
        <v>82</v>
      </c>
      <c r="S181" t="s">
        <v>19</v>
      </c>
      <c r="T181" t="s">
        <v>19</v>
      </c>
      <c r="U181" s="12" t="s">
        <v>230</v>
      </c>
      <c r="V181" s="12" t="s">
        <v>237</v>
      </c>
      <c r="W181" s="11">
        <v>36.008213552361397</v>
      </c>
      <c r="X181" s="2">
        <f t="shared" si="14"/>
        <v>0.55000000000000004</v>
      </c>
      <c r="Y181" s="5">
        <f t="shared" si="15"/>
        <v>25105052</v>
      </c>
      <c r="Z181" s="5">
        <f t="shared" si="16"/>
        <v>25105052</v>
      </c>
    </row>
    <row r="182" spans="1:26" x14ac:dyDescent="0.25">
      <c r="A182">
        <v>12010</v>
      </c>
      <c r="B182">
        <v>119</v>
      </c>
      <c r="C182">
        <v>2015</v>
      </c>
      <c r="D182" t="s">
        <v>68</v>
      </c>
      <c r="E182" t="s">
        <v>69</v>
      </c>
      <c r="F182" s="2">
        <v>0.5</v>
      </c>
      <c r="G182" s="2">
        <v>0.71</v>
      </c>
      <c r="H182" s="14">
        <f t="shared" si="12"/>
        <v>0</v>
      </c>
      <c r="I182" s="5">
        <v>19500000</v>
      </c>
      <c r="J182">
        <v>2</v>
      </c>
      <c r="K182" s="6">
        <v>0.111</v>
      </c>
      <c r="L182" s="6">
        <v>0.7</v>
      </c>
      <c r="M182" t="str">
        <f t="shared" si="17"/>
        <v>SUBL</v>
      </c>
      <c r="N182" t="s">
        <v>70</v>
      </c>
      <c r="O182" t="str">
        <f>VLOOKUP(Table1[[#This Row],[SCHEMATIC TYPE]],'SCHEMATIC Lookup'!$B$1:$C$5,2)</f>
        <v>Leveraged Whole Loan</v>
      </c>
      <c r="P182" s="8">
        <v>91800000</v>
      </c>
      <c r="Q182" t="s">
        <v>71</v>
      </c>
      <c r="R182" t="s">
        <v>73</v>
      </c>
      <c r="S182" t="s">
        <v>71</v>
      </c>
      <c r="T182" t="s">
        <v>71</v>
      </c>
      <c r="U182" s="12" t="s">
        <v>236</v>
      </c>
      <c r="V182" s="12" t="s">
        <v>233</v>
      </c>
      <c r="W182" s="11">
        <v>60</v>
      </c>
      <c r="X182" s="2">
        <f t="shared" si="14"/>
        <v>0.5</v>
      </c>
      <c r="Y182" s="5">
        <f t="shared" si="15"/>
        <v>19500000</v>
      </c>
      <c r="Z182" s="5">
        <f t="shared" si="16"/>
        <v>65928571.42857144</v>
      </c>
    </row>
    <row r="183" spans="1:26" x14ac:dyDescent="0.25">
      <c r="A183">
        <v>12020</v>
      </c>
      <c r="B183">
        <v>183</v>
      </c>
      <c r="C183">
        <v>2011</v>
      </c>
      <c r="D183" t="s">
        <v>74</v>
      </c>
      <c r="E183" t="s">
        <v>77</v>
      </c>
      <c r="F183" s="2">
        <v>0.54423756563245829</v>
      </c>
      <c r="G183" s="2">
        <v>0.77693446300715996</v>
      </c>
      <c r="H183" s="14">
        <f t="shared" si="12"/>
        <v>0</v>
      </c>
      <c r="I183" s="5">
        <v>9750000</v>
      </c>
      <c r="J183">
        <v>2</v>
      </c>
      <c r="K183" s="6">
        <v>0.16</v>
      </c>
      <c r="L183" s="6">
        <v>0</v>
      </c>
      <c r="M183" t="str">
        <f t="shared" si="17"/>
        <v>SUB</v>
      </c>
      <c r="N183" t="s">
        <v>75</v>
      </c>
      <c r="O183" t="str">
        <f>VLOOKUP(Table1[[#This Row],[SCHEMATIC TYPE]],'SCHEMATIC Lookup'!$B$1:$C$5,2)</f>
        <v>Mezzanine Loan</v>
      </c>
      <c r="P183" s="8">
        <v>41900000</v>
      </c>
      <c r="Q183" t="s">
        <v>71</v>
      </c>
      <c r="R183" t="s">
        <v>80</v>
      </c>
      <c r="S183" t="s">
        <v>71</v>
      </c>
      <c r="T183" t="s">
        <v>71</v>
      </c>
      <c r="U183" s="12" t="s">
        <v>236</v>
      </c>
      <c r="V183" s="12" t="s">
        <v>231</v>
      </c>
      <c r="W183" s="11">
        <v>36</v>
      </c>
      <c r="X183" s="2">
        <f t="shared" si="14"/>
        <v>0.54423756563245829</v>
      </c>
      <c r="Y183" s="5">
        <f t="shared" si="15"/>
        <v>9750000</v>
      </c>
      <c r="Z183" s="5">
        <f t="shared" si="16"/>
        <v>9750000</v>
      </c>
    </row>
    <row r="184" spans="1:26" x14ac:dyDescent="0.25">
      <c r="A184">
        <v>12030</v>
      </c>
      <c r="B184">
        <v>119</v>
      </c>
      <c r="C184">
        <v>2016</v>
      </c>
      <c r="D184" t="s">
        <v>68</v>
      </c>
      <c r="E184" t="s">
        <v>69</v>
      </c>
      <c r="F184" s="2">
        <v>0.38</v>
      </c>
      <c r="G184" s="2">
        <v>0.51</v>
      </c>
      <c r="H184" s="14">
        <f t="shared" si="12"/>
        <v>0</v>
      </c>
      <c r="I184" s="5">
        <v>6375000</v>
      </c>
      <c r="J184">
        <v>5</v>
      </c>
      <c r="K184" s="6">
        <v>7.5800000000000006E-2</v>
      </c>
      <c r="L184" s="6">
        <v>0.75</v>
      </c>
      <c r="M184" t="str">
        <f t="shared" si="17"/>
        <v>SUBL</v>
      </c>
      <c r="N184" t="s">
        <v>70</v>
      </c>
      <c r="O184" t="str">
        <f>VLOOKUP(Table1[[#This Row],[SCHEMATIC TYPE]],'SCHEMATIC Lookup'!$B$1:$C$5,2)</f>
        <v>Leveraged Whole Loan</v>
      </c>
      <c r="P184" s="8">
        <v>49700000</v>
      </c>
      <c r="Q184" t="s">
        <v>71</v>
      </c>
      <c r="R184" t="s">
        <v>73</v>
      </c>
      <c r="S184" t="s">
        <v>71</v>
      </c>
      <c r="T184" t="s">
        <v>71</v>
      </c>
      <c r="U184" s="12" t="s">
        <v>238</v>
      </c>
      <c r="V184" s="12" t="s">
        <v>240</v>
      </c>
      <c r="W184" s="11">
        <v>46</v>
      </c>
      <c r="X184" s="2">
        <f t="shared" si="14"/>
        <v>0.38</v>
      </c>
      <c r="Y184" s="5">
        <f t="shared" si="15"/>
        <v>6375000</v>
      </c>
      <c r="Z184" s="5">
        <f t="shared" si="16"/>
        <v>25009615.384615388</v>
      </c>
    </row>
    <row r="185" spans="1:26" x14ac:dyDescent="0.25">
      <c r="A185">
        <v>12040</v>
      </c>
      <c r="B185">
        <v>103</v>
      </c>
      <c r="C185">
        <v>2005</v>
      </c>
      <c r="D185" t="s">
        <v>76</v>
      </c>
      <c r="E185" t="s">
        <v>77</v>
      </c>
      <c r="F185" s="2">
        <v>0.49726722058391165</v>
      </c>
      <c r="G185" s="2">
        <v>0.65100000000000002</v>
      </c>
      <c r="H185" s="14">
        <f t="shared" si="12"/>
        <v>0</v>
      </c>
      <c r="I185" s="5">
        <v>15000000</v>
      </c>
      <c r="J185">
        <v>3</v>
      </c>
      <c r="K185" s="6">
        <v>4.87E-2</v>
      </c>
      <c r="L185" s="6">
        <v>0</v>
      </c>
      <c r="M185" t="str">
        <f t="shared" si="17"/>
        <v>SUB</v>
      </c>
      <c r="N185" t="s">
        <v>78</v>
      </c>
      <c r="O185" t="str">
        <f>VLOOKUP(Table1[[#This Row],[SCHEMATIC TYPE]],'SCHEMATIC Lookup'!$B$1:$C$5,2)</f>
        <v>Sub. Tranche of Senior</v>
      </c>
      <c r="P185" s="8">
        <v>15000000</v>
      </c>
      <c r="Q185" t="s">
        <v>19</v>
      </c>
      <c r="R185" t="s">
        <v>79</v>
      </c>
      <c r="S185" t="s">
        <v>19</v>
      </c>
      <c r="T185" t="s">
        <v>19</v>
      </c>
      <c r="U185" s="12" t="s">
        <v>232</v>
      </c>
      <c r="V185" s="12" t="s">
        <v>234</v>
      </c>
      <c r="W185" s="11">
        <v>59.03901437371664</v>
      </c>
      <c r="X185" s="2">
        <f t="shared" si="14"/>
        <v>0.49726722058391165</v>
      </c>
      <c r="Y185" s="5">
        <f t="shared" si="15"/>
        <v>15000000</v>
      </c>
      <c r="Z185" s="5">
        <f t="shared" si="16"/>
        <v>15000000</v>
      </c>
    </row>
    <row r="186" spans="1:26" x14ac:dyDescent="0.25">
      <c r="A186">
        <v>12050</v>
      </c>
      <c r="B186">
        <v>103</v>
      </c>
      <c r="C186">
        <v>2005</v>
      </c>
      <c r="D186" t="s">
        <v>76</v>
      </c>
      <c r="E186" t="s">
        <v>77</v>
      </c>
      <c r="F186" s="2">
        <v>0.49726722058391165</v>
      </c>
      <c r="G186" s="2">
        <v>0.65100000000000002</v>
      </c>
      <c r="H186" s="14">
        <f t="shared" si="12"/>
        <v>0</v>
      </c>
      <c r="I186" s="5">
        <v>10000000</v>
      </c>
      <c r="J186">
        <v>3</v>
      </c>
      <c r="K186" s="6">
        <v>5.0700000000000002E-2</v>
      </c>
      <c r="L186" s="6">
        <v>0</v>
      </c>
      <c r="M186" t="str">
        <f t="shared" si="17"/>
        <v>SUB</v>
      </c>
      <c r="N186" t="s">
        <v>78</v>
      </c>
      <c r="O186" t="str">
        <f>VLOOKUP(Table1[[#This Row],[SCHEMATIC TYPE]],'SCHEMATIC Lookup'!$B$1:$C$5,2)</f>
        <v>Sub. Tranche of Senior</v>
      </c>
      <c r="P186" s="8">
        <v>10000000</v>
      </c>
      <c r="Q186" t="s">
        <v>19</v>
      </c>
      <c r="R186" t="s">
        <v>79</v>
      </c>
      <c r="S186" t="s">
        <v>19</v>
      </c>
      <c r="T186" t="s">
        <v>19</v>
      </c>
      <c r="U186" s="12" t="s">
        <v>232</v>
      </c>
      <c r="V186" s="12" t="s">
        <v>234</v>
      </c>
      <c r="W186" s="11">
        <v>59.03901437371664</v>
      </c>
      <c r="X186" s="2">
        <f t="shared" si="14"/>
        <v>0.49726722058391165</v>
      </c>
      <c r="Y186" s="5">
        <f t="shared" si="15"/>
        <v>10000000</v>
      </c>
      <c r="Z186" s="5">
        <f t="shared" si="16"/>
        <v>10000000</v>
      </c>
    </row>
    <row r="187" spans="1:26" x14ac:dyDescent="0.25">
      <c r="A187">
        <v>12060</v>
      </c>
      <c r="B187">
        <v>103</v>
      </c>
      <c r="C187">
        <v>2005</v>
      </c>
      <c r="D187" t="s">
        <v>76</v>
      </c>
      <c r="E187" t="s">
        <v>77</v>
      </c>
      <c r="F187" s="2">
        <v>0.44101210729867413</v>
      </c>
      <c r="G187" s="2">
        <v>0.5714285714285714</v>
      </c>
      <c r="H187" s="14">
        <f t="shared" si="12"/>
        <v>0</v>
      </c>
      <c r="I187" s="5">
        <v>15000000</v>
      </c>
      <c r="J187">
        <v>3</v>
      </c>
      <c r="K187" s="6">
        <v>4.87E-2</v>
      </c>
      <c r="L187" s="6">
        <v>0</v>
      </c>
      <c r="M187" t="str">
        <f t="shared" si="17"/>
        <v>SUB</v>
      </c>
      <c r="N187" t="s">
        <v>78</v>
      </c>
      <c r="O187" t="str">
        <f>VLOOKUP(Table1[[#This Row],[SCHEMATIC TYPE]],'SCHEMATIC Lookup'!$B$1:$C$5,2)</f>
        <v>Sub. Tranche of Senior</v>
      </c>
      <c r="P187" s="8">
        <v>630000000</v>
      </c>
      <c r="Q187" t="s">
        <v>19</v>
      </c>
      <c r="R187" t="s">
        <v>79</v>
      </c>
      <c r="S187" t="s">
        <v>19</v>
      </c>
      <c r="T187" t="s">
        <v>19</v>
      </c>
      <c r="U187" s="12" t="s">
        <v>232</v>
      </c>
      <c r="V187" s="12" t="s">
        <v>230</v>
      </c>
      <c r="W187" s="11">
        <v>59.03901437371664</v>
      </c>
      <c r="X187" s="2">
        <f t="shared" si="14"/>
        <v>0.44101210729867413</v>
      </c>
      <c r="Y187" s="5">
        <f t="shared" si="15"/>
        <v>15000000</v>
      </c>
      <c r="Z187" s="5">
        <f t="shared" si="16"/>
        <v>15000000</v>
      </c>
    </row>
    <row r="188" spans="1:26" x14ac:dyDescent="0.25">
      <c r="A188">
        <v>12070</v>
      </c>
      <c r="B188">
        <v>103</v>
      </c>
      <c r="C188">
        <v>2005</v>
      </c>
      <c r="D188" t="s">
        <v>76</v>
      </c>
      <c r="E188" t="s">
        <v>77</v>
      </c>
      <c r="F188" s="2">
        <v>0.52921452875840902</v>
      </c>
      <c r="G188" s="2">
        <v>0.65079365079365081</v>
      </c>
      <c r="H188" s="14">
        <f t="shared" si="12"/>
        <v>0</v>
      </c>
      <c r="I188" s="5">
        <v>15000000</v>
      </c>
      <c r="J188">
        <v>3</v>
      </c>
      <c r="K188" s="6">
        <v>5.0700000000000002E-2</v>
      </c>
      <c r="L188" s="6">
        <v>0</v>
      </c>
      <c r="M188" t="str">
        <f t="shared" si="17"/>
        <v>SUB</v>
      </c>
      <c r="N188" t="s">
        <v>78</v>
      </c>
      <c r="O188" t="str">
        <f>VLOOKUP(Table1[[#This Row],[SCHEMATIC TYPE]],'SCHEMATIC Lookup'!$B$1:$C$5,2)</f>
        <v>Sub. Tranche of Senior</v>
      </c>
      <c r="P188" s="8">
        <v>630000000</v>
      </c>
      <c r="Q188" t="s">
        <v>19</v>
      </c>
      <c r="R188" t="s">
        <v>79</v>
      </c>
      <c r="S188" t="s">
        <v>19</v>
      </c>
      <c r="T188" t="s">
        <v>19</v>
      </c>
      <c r="U188" s="12" t="s">
        <v>236</v>
      </c>
      <c r="V188" s="12" t="s">
        <v>234</v>
      </c>
      <c r="W188" s="11">
        <v>59.03901437371664</v>
      </c>
      <c r="X188" s="2">
        <f t="shared" si="14"/>
        <v>0.52921452875840902</v>
      </c>
      <c r="Y188" s="5">
        <f t="shared" si="15"/>
        <v>15000000</v>
      </c>
      <c r="Z188" s="5">
        <f t="shared" si="16"/>
        <v>15000000</v>
      </c>
    </row>
    <row r="189" spans="1:26" x14ac:dyDescent="0.25">
      <c r="A189">
        <v>12080</v>
      </c>
      <c r="B189">
        <v>119</v>
      </c>
      <c r="C189">
        <v>2012</v>
      </c>
      <c r="D189" t="s">
        <v>74</v>
      </c>
      <c r="E189" t="s">
        <v>69</v>
      </c>
      <c r="F189" s="2">
        <v>0.65</v>
      </c>
      <c r="G189" s="2">
        <v>0.72</v>
      </c>
      <c r="H189" s="14">
        <f t="shared" si="12"/>
        <v>0</v>
      </c>
      <c r="I189" s="5">
        <v>40000000</v>
      </c>
      <c r="J189">
        <v>4</v>
      </c>
      <c r="K189" s="6">
        <v>9.2299999999999993E-2</v>
      </c>
      <c r="L189" s="6">
        <v>0</v>
      </c>
      <c r="M189" t="str">
        <f t="shared" si="17"/>
        <v>SUB</v>
      </c>
      <c r="N189" t="s">
        <v>75</v>
      </c>
      <c r="O189" t="str">
        <f>VLOOKUP(Table1[[#This Row],[SCHEMATIC TYPE]],'SCHEMATIC Lookup'!$B$1:$C$5,2)</f>
        <v>Mezzanine Loan</v>
      </c>
      <c r="P189" s="8">
        <v>534300000</v>
      </c>
      <c r="Q189" t="s">
        <v>71</v>
      </c>
      <c r="R189" t="s">
        <v>73</v>
      </c>
      <c r="S189" t="s">
        <v>71</v>
      </c>
      <c r="T189" t="s">
        <v>71</v>
      </c>
      <c r="U189" s="12" t="s">
        <v>239</v>
      </c>
      <c r="V189" s="12" t="s">
        <v>233</v>
      </c>
      <c r="W189" s="11">
        <v>61</v>
      </c>
      <c r="X189" s="2">
        <f t="shared" si="14"/>
        <v>0.65</v>
      </c>
      <c r="Y189" s="5">
        <f t="shared" si="15"/>
        <v>40000000</v>
      </c>
      <c r="Z189" s="5">
        <f t="shared" si="16"/>
        <v>40000000</v>
      </c>
    </row>
    <row r="190" spans="1:26" x14ac:dyDescent="0.25">
      <c r="A190">
        <v>12090</v>
      </c>
      <c r="B190">
        <v>220</v>
      </c>
      <c r="C190">
        <v>2012</v>
      </c>
      <c r="D190" t="s">
        <v>74</v>
      </c>
      <c r="E190" t="s">
        <v>69</v>
      </c>
      <c r="F190" s="2">
        <v>0.59340000000000004</v>
      </c>
      <c r="G190" s="2">
        <v>0.77400000000000002</v>
      </c>
      <c r="H190" s="14">
        <f t="shared" si="12"/>
        <v>0</v>
      </c>
      <c r="I190" s="5">
        <v>17500000</v>
      </c>
      <c r="J190">
        <v>5</v>
      </c>
      <c r="K190" s="6">
        <v>0.107</v>
      </c>
      <c r="L190" s="6">
        <v>0</v>
      </c>
      <c r="M190" t="str">
        <f t="shared" si="17"/>
        <v>SUB</v>
      </c>
      <c r="N190" t="s">
        <v>75</v>
      </c>
      <c r="O190" t="str">
        <f>VLOOKUP(Table1[[#This Row],[SCHEMATIC TYPE]],'SCHEMATIC Lookup'!$B$1:$C$5,2)</f>
        <v>Mezzanine Loan</v>
      </c>
      <c r="P190" s="8">
        <v>105000000</v>
      </c>
      <c r="Q190" t="s">
        <v>19</v>
      </c>
      <c r="R190" t="s">
        <v>72</v>
      </c>
      <c r="S190" t="s">
        <v>19</v>
      </c>
      <c r="T190" t="s">
        <v>19</v>
      </c>
      <c r="U190" s="12" t="s">
        <v>230</v>
      </c>
      <c r="V190" s="12" t="s">
        <v>231</v>
      </c>
      <c r="W190" s="11">
        <v>24</v>
      </c>
      <c r="X190" s="2">
        <f t="shared" si="14"/>
        <v>0.59340000000000004</v>
      </c>
      <c r="Y190" s="5">
        <f t="shared" si="15"/>
        <v>17500000</v>
      </c>
      <c r="Z190" s="5">
        <f t="shared" si="16"/>
        <v>17500000</v>
      </c>
    </row>
    <row r="191" spans="1:26" x14ac:dyDescent="0.25">
      <c r="A191">
        <v>12100</v>
      </c>
      <c r="B191">
        <v>183</v>
      </c>
      <c r="C191">
        <v>2012</v>
      </c>
      <c r="D191" t="s">
        <v>74</v>
      </c>
      <c r="E191" t="s">
        <v>77</v>
      </c>
      <c r="F191" s="2">
        <v>0.59657482390234162</v>
      </c>
      <c r="G191" s="2">
        <v>0.73975278163890357</v>
      </c>
      <c r="H191" s="14">
        <f t="shared" si="12"/>
        <v>0</v>
      </c>
      <c r="I191" s="5">
        <v>10200000</v>
      </c>
      <c r="J191">
        <v>2</v>
      </c>
      <c r="K191" s="6">
        <v>0.14499999999999999</v>
      </c>
      <c r="L191" s="6">
        <v>0</v>
      </c>
      <c r="M191" t="str">
        <f t="shared" si="17"/>
        <v>SUB</v>
      </c>
      <c r="N191" t="s">
        <v>75</v>
      </c>
      <c r="O191" t="str">
        <f>VLOOKUP(Table1[[#This Row],[SCHEMATIC TYPE]],'SCHEMATIC Lookup'!$B$1:$C$5,2)</f>
        <v>Mezzanine Loan</v>
      </c>
      <c r="P191" s="8">
        <v>71240016</v>
      </c>
      <c r="Q191" t="s">
        <v>71</v>
      </c>
      <c r="R191" t="s">
        <v>80</v>
      </c>
      <c r="S191" t="s">
        <v>71</v>
      </c>
      <c r="T191" t="s">
        <v>71</v>
      </c>
      <c r="U191" s="12" t="s">
        <v>230</v>
      </c>
      <c r="V191" s="12" t="s">
        <v>233</v>
      </c>
      <c r="W191" s="11">
        <v>36</v>
      </c>
      <c r="X191" s="2">
        <f t="shared" si="14"/>
        <v>0.59657482390234162</v>
      </c>
      <c r="Y191" s="5">
        <f t="shared" si="15"/>
        <v>10200000</v>
      </c>
      <c r="Z191" s="5">
        <f t="shared" si="16"/>
        <v>10200000</v>
      </c>
    </row>
    <row r="192" spans="1:26" x14ac:dyDescent="0.25">
      <c r="A192">
        <v>12110</v>
      </c>
      <c r="B192">
        <v>183</v>
      </c>
      <c r="C192">
        <v>2010</v>
      </c>
      <c r="D192" t="s">
        <v>89</v>
      </c>
      <c r="E192" t="s">
        <v>77</v>
      </c>
      <c r="F192" s="2">
        <v>0</v>
      </c>
      <c r="G192" s="2">
        <v>0.8989090630562131</v>
      </c>
      <c r="H192" s="14">
        <f t="shared" si="12"/>
        <v>0</v>
      </c>
      <c r="I192" s="5">
        <v>21500000</v>
      </c>
      <c r="J192">
        <v>4</v>
      </c>
      <c r="K192" s="6">
        <v>8.8800000000000004E-2</v>
      </c>
      <c r="L192" s="6">
        <v>0</v>
      </c>
      <c r="M192" t="str">
        <f t="shared" si="17"/>
        <v>SENIOR</v>
      </c>
      <c r="N192" t="s">
        <v>90</v>
      </c>
      <c r="O192" t="str">
        <f>VLOOKUP(Table1[[#This Row],[SCHEMATIC TYPE]],'SCHEMATIC Lookup'!$B$1:$C$5,2)</f>
        <v>Senior Whole Loan</v>
      </c>
      <c r="P192" s="8">
        <v>28650000</v>
      </c>
      <c r="Q192" t="s">
        <v>71</v>
      </c>
      <c r="R192" t="s">
        <v>80</v>
      </c>
      <c r="S192" t="s">
        <v>71</v>
      </c>
      <c r="T192" t="s">
        <v>71</v>
      </c>
      <c r="U192" s="12" t="s">
        <v>238</v>
      </c>
      <c r="V192" s="12" t="s">
        <v>237</v>
      </c>
      <c r="W192" s="11">
        <v>17</v>
      </c>
      <c r="X192" s="2">
        <f t="shared" si="14"/>
        <v>0</v>
      </c>
      <c r="Y192" s="5">
        <f t="shared" si="15"/>
        <v>21500000</v>
      </c>
      <c r="Z192" s="5">
        <f t="shared" si="16"/>
        <v>21500000</v>
      </c>
    </row>
    <row r="193" spans="1:26" x14ac:dyDescent="0.25">
      <c r="A193">
        <v>12130</v>
      </c>
      <c r="B193">
        <v>183</v>
      </c>
      <c r="C193">
        <v>2012</v>
      </c>
      <c r="D193" t="s">
        <v>89</v>
      </c>
      <c r="E193" t="s">
        <v>77</v>
      </c>
      <c r="F193" s="2">
        <v>0</v>
      </c>
      <c r="G193" s="2">
        <v>0.81031326701258632</v>
      </c>
      <c r="H193" s="14">
        <f t="shared" si="12"/>
        <v>0</v>
      </c>
      <c r="I193" s="5">
        <v>18810818</v>
      </c>
      <c r="J193">
        <v>1</v>
      </c>
      <c r="K193" s="6">
        <v>8.7100000000000011E-2</v>
      </c>
      <c r="L193" s="6">
        <v>0</v>
      </c>
      <c r="M193" t="str">
        <f t="shared" si="17"/>
        <v>SENIOR</v>
      </c>
      <c r="N193" t="s">
        <v>90</v>
      </c>
      <c r="O193" t="str">
        <f>VLOOKUP(Table1[[#This Row],[SCHEMATIC TYPE]],'SCHEMATIC Lookup'!$B$1:$C$5,2)</f>
        <v>Senior Whole Loan</v>
      </c>
      <c r="P193" s="8">
        <v>23214254</v>
      </c>
      <c r="Q193" t="s">
        <v>71</v>
      </c>
      <c r="R193" t="s">
        <v>80</v>
      </c>
      <c r="S193" t="s">
        <v>71</v>
      </c>
      <c r="T193" t="s">
        <v>71</v>
      </c>
      <c r="U193" s="12" t="s">
        <v>238</v>
      </c>
      <c r="V193" s="12" t="s">
        <v>237</v>
      </c>
      <c r="W193" s="11">
        <v>18</v>
      </c>
      <c r="X193" s="2">
        <f t="shared" si="14"/>
        <v>0</v>
      </c>
      <c r="Y193" s="5">
        <f t="shared" si="15"/>
        <v>18810818</v>
      </c>
      <c r="Z193" s="5">
        <f t="shared" si="16"/>
        <v>18810818</v>
      </c>
    </row>
    <row r="194" spans="1:26" x14ac:dyDescent="0.25">
      <c r="A194">
        <v>12160</v>
      </c>
      <c r="B194">
        <v>183</v>
      </c>
      <c r="C194">
        <v>2013</v>
      </c>
      <c r="D194" t="s">
        <v>74</v>
      </c>
      <c r="E194" t="s">
        <v>77</v>
      </c>
      <c r="F194" s="2">
        <v>0.4626374855548564</v>
      </c>
      <c r="G194" s="2">
        <v>0.69227617774274153</v>
      </c>
      <c r="H194" s="14">
        <f t="shared" si="12"/>
        <v>0</v>
      </c>
      <c r="I194" s="5">
        <v>16500000</v>
      </c>
      <c r="J194">
        <v>2</v>
      </c>
      <c r="K194" s="6">
        <v>0.13250000000000001</v>
      </c>
      <c r="L194" s="6">
        <v>0</v>
      </c>
      <c r="M194" t="str">
        <f t="shared" si="17"/>
        <v>SUB</v>
      </c>
      <c r="N194" t="s">
        <v>75</v>
      </c>
      <c r="O194" t="str">
        <f>VLOOKUP(Table1[[#This Row],[SCHEMATIC TYPE]],'SCHEMATIC Lookup'!$B$1:$C$5,2)</f>
        <v>Mezzanine Loan</v>
      </c>
      <c r="P194" s="8">
        <v>71852003</v>
      </c>
      <c r="Q194" t="s">
        <v>71</v>
      </c>
      <c r="R194" t="s">
        <v>80</v>
      </c>
      <c r="S194" t="s">
        <v>71</v>
      </c>
      <c r="T194" t="s">
        <v>71</v>
      </c>
      <c r="U194" s="12" t="s">
        <v>232</v>
      </c>
      <c r="V194" s="12" t="s">
        <v>234</v>
      </c>
      <c r="W194" s="11">
        <v>36</v>
      </c>
      <c r="X194" s="2">
        <f t="shared" si="14"/>
        <v>0.4626374855548564</v>
      </c>
      <c r="Y194" s="5">
        <f t="shared" si="15"/>
        <v>16500000</v>
      </c>
      <c r="Z194" s="5">
        <f t="shared" si="16"/>
        <v>16500000</v>
      </c>
    </row>
    <row r="195" spans="1:26" x14ac:dyDescent="0.25">
      <c r="A195">
        <v>12180</v>
      </c>
      <c r="B195">
        <v>220</v>
      </c>
      <c r="C195">
        <v>2014</v>
      </c>
      <c r="D195" t="s">
        <v>74</v>
      </c>
      <c r="E195" t="s">
        <v>69</v>
      </c>
      <c r="F195" s="2">
        <v>0.61799999999999999</v>
      </c>
      <c r="G195" s="2">
        <v>0.76200000000000001</v>
      </c>
      <c r="H195" s="14">
        <f t="shared" si="12"/>
        <v>0</v>
      </c>
      <c r="I195" s="5">
        <v>35000000</v>
      </c>
      <c r="J195">
        <v>3</v>
      </c>
      <c r="K195" s="6">
        <v>7.4999999999999997E-2</v>
      </c>
      <c r="L195" s="6">
        <v>0</v>
      </c>
      <c r="M195" t="str">
        <f t="shared" si="17"/>
        <v>SUB</v>
      </c>
      <c r="N195" t="s">
        <v>75</v>
      </c>
      <c r="O195" t="str">
        <f>VLOOKUP(Table1[[#This Row],[SCHEMATIC TYPE]],'SCHEMATIC Lookup'!$B$1:$C$5,2)</f>
        <v>Mezzanine Loan</v>
      </c>
      <c r="P195" s="8">
        <v>289600000</v>
      </c>
      <c r="Q195" t="s">
        <v>71</v>
      </c>
      <c r="R195" t="s">
        <v>72</v>
      </c>
      <c r="S195" t="s">
        <v>71</v>
      </c>
      <c r="T195" t="s">
        <v>71</v>
      </c>
      <c r="U195" s="12" t="s">
        <v>235</v>
      </c>
      <c r="V195" s="12" t="s">
        <v>231</v>
      </c>
      <c r="W195" s="11">
        <v>36</v>
      </c>
      <c r="X195" s="2">
        <f t="shared" si="14"/>
        <v>0.61799999999999999</v>
      </c>
      <c r="Y195" s="5">
        <f t="shared" si="15"/>
        <v>35000000</v>
      </c>
      <c r="Z195" s="5">
        <f t="shared" si="16"/>
        <v>35000000</v>
      </c>
    </row>
    <row r="196" spans="1:26" x14ac:dyDescent="0.25">
      <c r="A196">
        <v>12190</v>
      </c>
      <c r="B196">
        <v>220</v>
      </c>
      <c r="C196">
        <v>2013</v>
      </c>
      <c r="D196" t="s">
        <v>74</v>
      </c>
      <c r="E196" t="s">
        <v>69</v>
      </c>
      <c r="F196" s="2">
        <v>0.53807947019867552</v>
      </c>
      <c r="G196" s="2">
        <v>0.66225165562913912</v>
      </c>
      <c r="H196" s="14">
        <f t="shared" si="12"/>
        <v>0</v>
      </c>
      <c r="I196" s="5">
        <v>37500000</v>
      </c>
      <c r="J196">
        <v>5</v>
      </c>
      <c r="K196" s="6">
        <v>8.5999999999999993E-2</v>
      </c>
      <c r="L196" s="6">
        <v>0</v>
      </c>
      <c r="M196" t="str">
        <f t="shared" si="17"/>
        <v>SUB</v>
      </c>
      <c r="N196" t="s">
        <v>75</v>
      </c>
      <c r="O196" t="str">
        <f>VLOOKUP(Table1[[#This Row],[SCHEMATIC TYPE]],'SCHEMATIC Lookup'!$B$1:$C$5,2)</f>
        <v>Mezzanine Loan</v>
      </c>
      <c r="P196" s="8">
        <v>327000000</v>
      </c>
      <c r="Q196" t="s">
        <v>19</v>
      </c>
      <c r="R196" t="s">
        <v>72</v>
      </c>
      <c r="S196" t="s">
        <v>19</v>
      </c>
      <c r="T196" t="s">
        <v>19</v>
      </c>
      <c r="U196" s="12" t="s">
        <v>236</v>
      </c>
      <c r="V196" s="12" t="s">
        <v>234</v>
      </c>
      <c r="W196" s="11">
        <v>24</v>
      </c>
      <c r="X196" s="2">
        <f t="shared" si="14"/>
        <v>0.53807947019867552</v>
      </c>
      <c r="Y196" s="5">
        <f t="shared" si="15"/>
        <v>37500000</v>
      </c>
      <c r="Z196" s="5">
        <f t="shared" si="16"/>
        <v>37500000</v>
      </c>
    </row>
    <row r="197" spans="1:26" x14ac:dyDescent="0.25">
      <c r="A197">
        <v>12200</v>
      </c>
      <c r="B197">
        <v>103</v>
      </c>
      <c r="C197">
        <v>2005</v>
      </c>
      <c r="D197" t="s">
        <v>85</v>
      </c>
      <c r="E197" t="s">
        <v>77</v>
      </c>
      <c r="F197" s="15">
        <v>0</v>
      </c>
      <c r="G197" s="2">
        <v>0</v>
      </c>
      <c r="H197" s="14">
        <f t="shared" si="12"/>
        <v>1</v>
      </c>
      <c r="I197" s="16">
        <v>21500000</v>
      </c>
      <c r="J197">
        <v>1</v>
      </c>
      <c r="K197" s="6">
        <v>5.5100000000000003E-2</v>
      </c>
      <c r="L197" s="6">
        <v>0</v>
      </c>
      <c r="M197" s="17" t="s">
        <v>95</v>
      </c>
      <c r="N197" s="17" t="s">
        <v>84</v>
      </c>
      <c r="O197" s="17" t="str">
        <f>VLOOKUP(Table1[[#This Row],[SCHEMATIC TYPE]],'SCHEMATIC Lookup'!$B$1:$C$5,2)</f>
        <v>Other Subordinate</v>
      </c>
      <c r="P197" t="s">
        <v>79</v>
      </c>
      <c r="Q197" t="s">
        <v>79</v>
      </c>
      <c r="R197" t="s">
        <v>79</v>
      </c>
      <c r="S197" t="s">
        <v>79</v>
      </c>
      <c r="T197" t="s">
        <v>79</v>
      </c>
      <c r="U197" s="12" t="s">
        <v>103</v>
      </c>
      <c r="V197" s="12" t="s">
        <v>103</v>
      </c>
      <c r="W197" s="11">
        <v>95</v>
      </c>
      <c r="X197" s="2">
        <f t="shared" si="14"/>
        <v>0</v>
      </c>
      <c r="Y197" s="5">
        <f t="shared" si="15"/>
        <v>21500000</v>
      </c>
      <c r="Z197" s="5">
        <f t="shared" si="16"/>
        <v>21500000</v>
      </c>
    </row>
    <row r="198" spans="1:26" x14ac:dyDescent="0.25">
      <c r="A198">
        <v>12210</v>
      </c>
      <c r="B198">
        <v>103</v>
      </c>
      <c r="C198">
        <v>2005</v>
      </c>
      <c r="D198" t="s">
        <v>76</v>
      </c>
      <c r="E198" t="s">
        <v>77</v>
      </c>
      <c r="F198" s="15">
        <v>0</v>
      </c>
      <c r="G198" s="2">
        <v>0</v>
      </c>
      <c r="H198" s="14">
        <f t="shared" si="12"/>
        <v>1</v>
      </c>
      <c r="I198" s="18">
        <v>127469052.78</v>
      </c>
      <c r="J198">
        <v>1</v>
      </c>
      <c r="K198" s="6">
        <v>7.4200000000000002E-2</v>
      </c>
      <c r="L198" s="6">
        <v>0</v>
      </c>
      <c r="M198" s="17" t="s">
        <v>95</v>
      </c>
      <c r="N198" t="s">
        <v>78</v>
      </c>
      <c r="O198" t="str">
        <f>VLOOKUP(Table1[[#This Row],[SCHEMATIC TYPE]],'SCHEMATIC Lookup'!$B$1:$C$5,2)</f>
        <v>Sub. Tranche of Senior</v>
      </c>
      <c r="P198" t="s">
        <v>79</v>
      </c>
      <c r="Q198" t="s">
        <v>79</v>
      </c>
      <c r="R198" t="s">
        <v>79</v>
      </c>
      <c r="S198" t="s">
        <v>79</v>
      </c>
      <c r="T198" t="s">
        <v>79</v>
      </c>
      <c r="U198" s="12" t="s">
        <v>103</v>
      </c>
      <c r="V198" s="12" t="s">
        <v>103</v>
      </c>
      <c r="W198" s="19">
        <v>144</v>
      </c>
      <c r="X198" s="2">
        <f t="shared" si="14"/>
        <v>0</v>
      </c>
      <c r="Y198" s="5">
        <f t="shared" si="15"/>
        <v>127469052.78</v>
      </c>
      <c r="Z198" s="5">
        <f t="shared" si="16"/>
        <v>127469052.78</v>
      </c>
    </row>
    <row r="199" spans="1:26" x14ac:dyDescent="0.25">
      <c r="A199">
        <v>12220</v>
      </c>
      <c r="B199">
        <v>183</v>
      </c>
      <c r="C199">
        <v>2016</v>
      </c>
      <c r="D199" t="s">
        <v>96</v>
      </c>
      <c r="E199" t="s">
        <v>69</v>
      </c>
      <c r="F199" s="2">
        <v>0</v>
      </c>
      <c r="G199" s="2">
        <v>0.79385414366092044</v>
      </c>
      <c r="H199" s="14">
        <f t="shared" ref="H199:H262" si="18">(G199=F199)*1</f>
        <v>0</v>
      </c>
      <c r="I199" s="5">
        <v>54500000</v>
      </c>
      <c r="J199">
        <v>2</v>
      </c>
      <c r="K199" s="6">
        <v>5.3150000000000003E-2</v>
      </c>
      <c r="L199" s="6">
        <v>0.5</v>
      </c>
      <c r="M199" t="str">
        <f t="shared" ref="M199:M217" si="19">IF(AND(H199=0,OR(F199&gt;0,L199&gt;0)),"SUB",IF(AND(H199=0,F199=0),"SENIOR","BAD"))&amp;IF(L199&gt;0,"L","")</f>
        <v>SUBL</v>
      </c>
      <c r="N199" t="s">
        <v>70</v>
      </c>
      <c r="O199" t="str">
        <f>VLOOKUP(Table1[[#This Row],[SCHEMATIC TYPE]],'SCHEMATIC Lookup'!$B$1:$C$5,2)</f>
        <v>Leveraged Whole Loan</v>
      </c>
      <c r="P199" s="8">
        <v>68652409.810030073</v>
      </c>
      <c r="Q199" t="s">
        <v>71</v>
      </c>
      <c r="R199" t="s">
        <v>73</v>
      </c>
      <c r="S199" t="s">
        <v>71</v>
      </c>
      <c r="T199" t="s">
        <v>71</v>
      </c>
      <c r="U199" s="12" t="s">
        <v>238</v>
      </c>
      <c r="V199" s="12" t="s">
        <v>231</v>
      </c>
      <c r="W199" s="11">
        <v>36</v>
      </c>
      <c r="X199" s="2">
        <f t="shared" ref="X199:X262" si="20">IF(F199=0,L199*G199,F199)</f>
        <v>0.39692707183046022</v>
      </c>
      <c r="Y199" s="5">
        <f t="shared" ref="Y199:Y262" si="21">IF(AND(F199=0,X199&gt;0),I199*(1-L199),I199)</f>
        <v>27250000</v>
      </c>
      <c r="Z199" s="5">
        <f t="shared" ref="Z199:Z262" si="22">IF(AND(L199&gt;0,F199&lt;&gt;0),I199/((G199-F199)/G199),I199)</f>
        <v>54500000</v>
      </c>
    </row>
    <row r="200" spans="1:26" x14ac:dyDescent="0.25">
      <c r="A200">
        <v>12230</v>
      </c>
      <c r="B200">
        <v>183</v>
      </c>
      <c r="C200">
        <v>2012</v>
      </c>
      <c r="D200" t="s">
        <v>96</v>
      </c>
      <c r="E200" t="s">
        <v>69</v>
      </c>
      <c r="F200" s="2">
        <v>0.25889326082113145</v>
      </c>
      <c r="G200" s="2">
        <v>0.77675746520818145</v>
      </c>
      <c r="H200" s="14">
        <f t="shared" si="18"/>
        <v>0</v>
      </c>
      <c r="I200" s="5">
        <v>57000000</v>
      </c>
      <c r="J200">
        <v>1</v>
      </c>
      <c r="K200" s="6">
        <v>7.0000000000000007E-2</v>
      </c>
      <c r="L200" s="6">
        <v>0.33329999699680335</v>
      </c>
      <c r="M200" t="str">
        <f t="shared" si="19"/>
        <v>SUBL</v>
      </c>
      <c r="N200" t="s">
        <v>70</v>
      </c>
      <c r="O200" t="str">
        <f>VLOOKUP(Table1[[#This Row],[SCHEMATIC TYPE]],'SCHEMATIC Lookup'!$B$1:$C$5,2)</f>
        <v>Leveraged Whole Loan</v>
      </c>
      <c r="P200" s="8">
        <v>73381979</v>
      </c>
      <c r="Q200" t="s">
        <v>71</v>
      </c>
      <c r="R200" t="s">
        <v>73</v>
      </c>
      <c r="S200" t="s">
        <v>71</v>
      </c>
      <c r="T200" t="s">
        <v>71</v>
      </c>
      <c r="U200" s="12" t="s">
        <v>238</v>
      </c>
      <c r="V200" s="12" t="s">
        <v>231</v>
      </c>
      <c r="W200" s="11">
        <v>60</v>
      </c>
      <c r="X200" s="2">
        <f t="shared" si="20"/>
        <v>0.25889326082113145</v>
      </c>
      <c r="Y200" s="5">
        <f t="shared" si="21"/>
        <v>57000000</v>
      </c>
      <c r="Z200" s="5">
        <f t="shared" si="22"/>
        <v>85495724.828617841</v>
      </c>
    </row>
    <row r="201" spans="1:26" x14ac:dyDescent="0.25">
      <c r="A201">
        <v>12240</v>
      </c>
      <c r="B201">
        <v>183</v>
      </c>
      <c r="C201">
        <v>2014</v>
      </c>
      <c r="D201" t="s">
        <v>83</v>
      </c>
      <c r="E201" t="s">
        <v>77</v>
      </c>
      <c r="F201" s="2">
        <v>0.5541760367447236</v>
      </c>
      <c r="G201" s="2">
        <v>0.72611806011719648</v>
      </c>
      <c r="H201" s="14">
        <f t="shared" si="18"/>
        <v>0</v>
      </c>
      <c r="I201" s="5">
        <v>110796015.12</v>
      </c>
      <c r="J201">
        <v>1</v>
      </c>
      <c r="K201" s="6">
        <v>0.13350000000000001</v>
      </c>
      <c r="L201" s="6">
        <v>0</v>
      </c>
      <c r="M201" t="str">
        <f t="shared" si="19"/>
        <v>SUB</v>
      </c>
      <c r="N201" t="s">
        <v>84</v>
      </c>
      <c r="O201" t="str">
        <f>VLOOKUP(Table1[[#This Row],[SCHEMATIC TYPE]],'SCHEMATIC Lookup'!$B$1:$C$5,2)</f>
        <v>Other Subordinate</v>
      </c>
      <c r="P201" s="8">
        <v>644380082</v>
      </c>
      <c r="Q201" t="s">
        <v>71</v>
      </c>
      <c r="R201" t="s">
        <v>80</v>
      </c>
      <c r="S201" t="s">
        <v>71</v>
      </c>
      <c r="T201" t="s">
        <v>71</v>
      </c>
      <c r="U201" s="12" t="s">
        <v>230</v>
      </c>
      <c r="V201" s="12" t="s">
        <v>233</v>
      </c>
      <c r="W201" s="11">
        <v>37</v>
      </c>
      <c r="X201" s="2">
        <f t="shared" si="20"/>
        <v>0.5541760367447236</v>
      </c>
      <c r="Y201" s="5">
        <f t="shared" si="21"/>
        <v>110796015.12</v>
      </c>
      <c r="Z201" s="5">
        <f t="shared" si="22"/>
        <v>110796015.12</v>
      </c>
    </row>
    <row r="202" spans="1:26" x14ac:dyDescent="0.25">
      <c r="A202">
        <v>12250</v>
      </c>
      <c r="B202">
        <v>119</v>
      </c>
      <c r="C202">
        <v>2017</v>
      </c>
      <c r="D202" t="s">
        <v>68</v>
      </c>
      <c r="E202" t="s">
        <v>69</v>
      </c>
      <c r="F202" s="2">
        <v>0.58772274850410766</v>
      </c>
      <c r="G202" s="2">
        <v>0.77300000000000002</v>
      </c>
      <c r="H202" s="14">
        <f t="shared" si="18"/>
        <v>0</v>
      </c>
      <c r="I202" s="5">
        <v>12550000</v>
      </c>
      <c r="J202">
        <v>1</v>
      </c>
      <c r="K202" s="6">
        <v>9.0999999999999998E-2</v>
      </c>
      <c r="L202" s="6">
        <v>0.75</v>
      </c>
      <c r="M202" t="str">
        <f t="shared" si="19"/>
        <v>SUBL</v>
      </c>
      <c r="N202" t="s">
        <v>70</v>
      </c>
      <c r="O202" t="str">
        <f>VLOOKUP(Table1[[#This Row],[SCHEMATIC TYPE]],'SCHEMATIC Lookup'!$B$1:$C$5,2)</f>
        <v>Leveraged Whole Loan</v>
      </c>
      <c r="P202" s="8">
        <v>68422398.953181818</v>
      </c>
      <c r="Q202" t="s">
        <v>71</v>
      </c>
      <c r="R202" t="s">
        <v>73</v>
      </c>
      <c r="S202" t="s">
        <v>71</v>
      </c>
      <c r="T202" t="s">
        <v>71</v>
      </c>
      <c r="U202" s="12" t="s">
        <v>230</v>
      </c>
      <c r="V202" s="12" t="s">
        <v>231</v>
      </c>
      <c r="W202" s="11">
        <v>61</v>
      </c>
      <c r="X202" s="2">
        <f t="shared" si="20"/>
        <v>0.58772274850410766</v>
      </c>
      <c r="Y202" s="5">
        <f t="shared" si="21"/>
        <v>12550000</v>
      </c>
      <c r="Z202" s="5">
        <f t="shared" si="22"/>
        <v>52360178.714196205</v>
      </c>
    </row>
    <row r="203" spans="1:26" x14ac:dyDescent="0.25">
      <c r="A203">
        <v>12260</v>
      </c>
      <c r="B203">
        <v>119</v>
      </c>
      <c r="C203">
        <v>2017</v>
      </c>
      <c r="D203" t="s">
        <v>68</v>
      </c>
      <c r="E203" t="s">
        <v>69</v>
      </c>
      <c r="F203" s="2">
        <v>0.5228595463747403</v>
      </c>
      <c r="G203" s="2">
        <v>0.7060706384447617</v>
      </c>
      <c r="H203" s="14">
        <f t="shared" si="18"/>
        <v>0</v>
      </c>
      <c r="I203" s="5">
        <v>17500000</v>
      </c>
      <c r="J203">
        <v>1</v>
      </c>
      <c r="K203" s="6">
        <v>0.10050000000000001</v>
      </c>
      <c r="L203" s="6">
        <v>0.75</v>
      </c>
      <c r="M203" t="str">
        <f t="shared" si="19"/>
        <v>SUBL</v>
      </c>
      <c r="N203" t="s">
        <v>70</v>
      </c>
      <c r="O203" t="str">
        <f>VLOOKUP(Table1[[#This Row],[SCHEMATIC TYPE]],'SCHEMATIC Lookup'!$B$1:$C$5,2)</f>
        <v>Leveraged Whole Loan</v>
      </c>
      <c r="P203" s="8">
        <v>100514000</v>
      </c>
      <c r="Q203" t="s">
        <v>71</v>
      </c>
      <c r="R203" t="s">
        <v>73</v>
      </c>
      <c r="S203" t="s">
        <v>71</v>
      </c>
      <c r="T203" t="s">
        <v>71</v>
      </c>
      <c r="U203" s="12" t="s">
        <v>236</v>
      </c>
      <c r="V203" s="12" t="s">
        <v>233</v>
      </c>
      <c r="W203" s="11">
        <v>61</v>
      </c>
      <c r="X203" s="2">
        <f t="shared" si="20"/>
        <v>0.5228595463747403</v>
      </c>
      <c r="Y203" s="5">
        <f t="shared" si="21"/>
        <v>17500000</v>
      </c>
      <c r="Z203" s="5">
        <f t="shared" si="22"/>
        <v>67442620.603237838</v>
      </c>
    </row>
    <row r="204" spans="1:26" x14ac:dyDescent="0.25">
      <c r="A204">
        <v>12270</v>
      </c>
      <c r="B204">
        <v>119</v>
      </c>
      <c r="C204">
        <v>2017</v>
      </c>
      <c r="D204" t="s">
        <v>74</v>
      </c>
      <c r="E204" t="s">
        <v>69</v>
      </c>
      <c r="F204" s="2">
        <v>0.56823554344196547</v>
      </c>
      <c r="G204" s="2">
        <v>0.78615223849134441</v>
      </c>
      <c r="H204" s="14">
        <f t="shared" si="18"/>
        <v>0</v>
      </c>
      <c r="I204" s="5">
        <v>24604011.000000007</v>
      </c>
      <c r="J204">
        <v>1</v>
      </c>
      <c r="K204" s="6">
        <v>0.1</v>
      </c>
      <c r="L204" s="6">
        <v>0</v>
      </c>
      <c r="M204" t="str">
        <f t="shared" si="19"/>
        <v>SUB</v>
      </c>
      <c r="N204" t="s">
        <v>75</v>
      </c>
      <c r="O204" t="str">
        <f>VLOOKUP(Table1[[#This Row],[SCHEMATIC TYPE]],'SCHEMATIC Lookup'!$B$1:$C$5,2)</f>
        <v>Mezzanine Loan</v>
      </c>
      <c r="P204" s="8">
        <v>181372655.38714024</v>
      </c>
      <c r="Q204" t="s">
        <v>71</v>
      </c>
      <c r="R204" t="s">
        <v>72</v>
      </c>
      <c r="S204" t="s">
        <v>71</v>
      </c>
      <c r="T204" t="s">
        <v>71</v>
      </c>
      <c r="U204" s="12" t="s">
        <v>230</v>
      </c>
      <c r="V204" s="12" t="s">
        <v>231</v>
      </c>
      <c r="W204" s="11">
        <v>60</v>
      </c>
      <c r="X204" s="2">
        <f t="shared" si="20"/>
        <v>0.56823554344196547</v>
      </c>
      <c r="Y204" s="5">
        <f t="shared" si="21"/>
        <v>24604011.000000007</v>
      </c>
      <c r="Z204" s="5">
        <f t="shared" si="22"/>
        <v>24604011.000000007</v>
      </c>
    </row>
    <row r="205" spans="1:26" x14ac:dyDescent="0.25">
      <c r="A205">
        <v>12280</v>
      </c>
      <c r="B205">
        <v>119</v>
      </c>
      <c r="C205">
        <v>2017</v>
      </c>
      <c r="D205" t="s">
        <v>68</v>
      </c>
      <c r="E205" t="s">
        <v>69</v>
      </c>
      <c r="F205" s="2">
        <v>0.52752680248089856</v>
      </c>
      <c r="G205" s="2">
        <v>0.79661256257467417</v>
      </c>
      <c r="H205" s="14">
        <f t="shared" si="18"/>
        <v>0</v>
      </c>
      <c r="I205" s="5">
        <v>29190000</v>
      </c>
      <c r="J205">
        <v>1</v>
      </c>
      <c r="K205" s="6">
        <v>0.10500000000000001</v>
      </c>
      <c r="L205" s="6">
        <v>0.70000000000000007</v>
      </c>
      <c r="M205" t="str">
        <f t="shared" si="19"/>
        <v>SUBL</v>
      </c>
      <c r="N205" t="s">
        <v>70</v>
      </c>
      <c r="O205" t="str">
        <f>VLOOKUP(Table1[[#This Row],[SCHEMATIC TYPE]],'SCHEMATIC Lookup'!$B$1:$C$5,2)</f>
        <v>Leveraged Whole Loan</v>
      </c>
      <c r="P205" s="8">
        <v>129096598</v>
      </c>
      <c r="Q205" t="s">
        <v>71</v>
      </c>
      <c r="R205" t="s">
        <v>73</v>
      </c>
      <c r="S205" t="s">
        <v>71</v>
      </c>
      <c r="T205" t="s">
        <v>71</v>
      </c>
      <c r="U205" s="12" t="s">
        <v>236</v>
      </c>
      <c r="V205" s="12" t="s">
        <v>231</v>
      </c>
      <c r="W205" s="11">
        <v>61</v>
      </c>
      <c r="X205" s="2">
        <f t="shared" si="20"/>
        <v>0.52752680248089856</v>
      </c>
      <c r="Y205" s="5">
        <f t="shared" si="21"/>
        <v>29190000</v>
      </c>
      <c r="Z205" s="5">
        <f t="shared" si="22"/>
        <v>86415277.766653627</v>
      </c>
    </row>
    <row r="206" spans="1:26" x14ac:dyDescent="0.25">
      <c r="A206">
        <v>12290</v>
      </c>
      <c r="B206">
        <v>119</v>
      </c>
      <c r="C206">
        <v>2017</v>
      </c>
      <c r="D206" t="s">
        <v>68</v>
      </c>
      <c r="E206" t="s">
        <v>69</v>
      </c>
      <c r="F206" s="2">
        <v>0.50307043819230512</v>
      </c>
      <c r="G206" s="2">
        <v>0.79512013627415479</v>
      </c>
      <c r="H206" s="14">
        <f t="shared" si="18"/>
        <v>0</v>
      </c>
      <c r="I206" s="5">
        <v>22750000</v>
      </c>
      <c r="J206">
        <v>2</v>
      </c>
      <c r="K206" s="6">
        <v>9.0499999999999997E-2</v>
      </c>
      <c r="L206" s="6">
        <v>0.75</v>
      </c>
      <c r="M206" t="str">
        <f t="shared" si="19"/>
        <v>SUBL</v>
      </c>
      <c r="N206" t="s">
        <v>70</v>
      </c>
      <c r="O206" t="str">
        <f>VLOOKUP(Table1[[#This Row],[SCHEMATIC TYPE]],'SCHEMATIC Lookup'!$B$1:$C$5,2)</f>
        <v>Leveraged Whole Loan</v>
      </c>
      <c r="P206" s="8">
        <v>135315242</v>
      </c>
      <c r="Q206" t="s">
        <v>71</v>
      </c>
      <c r="R206" t="s">
        <v>72</v>
      </c>
      <c r="S206" t="s">
        <v>71</v>
      </c>
      <c r="T206" t="s">
        <v>71</v>
      </c>
      <c r="U206" s="12" t="s">
        <v>236</v>
      </c>
      <c r="V206" s="12" t="s">
        <v>231</v>
      </c>
      <c r="W206" s="11">
        <v>36</v>
      </c>
      <c r="X206" s="2">
        <f t="shared" si="20"/>
        <v>0.50307043819230512</v>
      </c>
      <c r="Y206" s="5">
        <f t="shared" si="21"/>
        <v>22750000</v>
      </c>
      <c r="Z206" s="5">
        <f t="shared" si="22"/>
        <v>61938030.475783661</v>
      </c>
    </row>
    <row r="207" spans="1:26" x14ac:dyDescent="0.25">
      <c r="A207">
        <v>12300</v>
      </c>
      <c r="B207">
        <v>119</v>
      </c>
      <c r="C207">
        <v>2017</v>
      </c>
      <c r="D207" t="s">
        <v>74</v>
      </c>
      <c r="E207" t="s">
        <v>69</v>
      </c>
      <c r="F207" s="2">
        <v>0.59574049717509492</v>
      </c>
      <c r="G207" s="2">
        <v>0.7735087461738942</v>
      </c>
      <c r="H207" s="14">
        <f t="shared" si="18"/>
        <v>0</v>
      </c>
      <c r="I207" s="5">
        <v>10000000</v>
      </c>
      <c r="J207">
        <v>2</v>
      </c>
      <c r="K207" s="6">
        <v>9.7600000000000006E-2</v>
      </c>
      <c r="L207" s="6">
        <v>0</v>
      </c>
      <c r="M207" t="str">
        <f t="shared" si="19"/>
        <v>SUB</v>
      </c>
      <c r="N207" t="s">
        <v>75</v>
      </c>
      <c r="O207" t="str">
        <f>VLOOKUP(Table1[[#This Row],[SCHEMATIC TYPE]],'SCHEMATIC Lookup'!$B$1:$C$5,2)</f>
        <v>Mezzanine Loan</v>
      </c>
      <c r="P207" s="8">
        <v>65456800</v>
      </c>
      <c r="Q207" t="s">
        <v>71</v>
      </c>
      <c r="R207" t="s">
        <v>73</v>
      </c>
      <c r="S207" t="s">
        <v>71</v>
      </c>
      <c r="T207" t="s">
        <v>71</v>
      </c>
      <c r="U207" s="12" t="s">
        <v>230</v>
      </c>
      <c r="V207" s="12" t="s">
        <v>231</v>
      </c>
      <c r="W207" s="11">
        <v>60</v>
      </c>
      <c r="X207" s="2">
        <f t="shared" si="20"/>
        <v>0.59574049717509492</v>
      </c>
      <c r="Y207" s="5">
        <f t="shared" si="21"/>
        <v>10000000</v>
      </c>
      <c r="Z207" s="5">
        <f t="shared" si="22"/>
        <v>10000000</v>
      </c>
    </row>
    <row r="208" spans="1:26" x14ac:dyDescent="0.25">
      <c r="A208">
        <v>12310</v>
      </c>
      <c r="B208">
        <v>119</v>
      </c>
      <c r="C208">
        <v>2017</v>
      </c>
      <c r="D208" t="s">
        <v>68</v>
      </c>
      <c r="E208" t="s">
        <v>69</v>
      </c>
      <c r="F208" s="2">
        <v>0.62043950746261145</v>
      </c>
      <c r="G208" s="2">
        <v>0.82725267661681523</v>
      </c>
      <c r="H208" s="14">
        <f t="shared" si="18"/>
        <v>0</v>
      </c>
      <c r="I208" s="5">
        <v>17625000</v>
      </c>
      <c r="J208">
        <v>1</v>
      </c>
      <c r="K208" s="6">
        <v>8.4000000000000005E-2</v>
      </c>
      <c r="L208" s="6">
        <v>0.75</v>
      </c>
      <c r="M208" t="str">
        <f t="shared" si="19"/>
        <v>SUBL</v>
      </c>
      <c r="N208" t="s">
        <v>70</v>
      </c>
      <c r="O208" t="str">
        <f>VLOOKUP(Table1[[#This Row],[SCHEMATIC TYPE]],'SCHEMATIC Lookup'!$B$1:$C$5,2)</f>
        <v>Leveraged Whole Loan</v>
      </c>
      <c r="P208" s="8">
        <v>100142441</v>
      </c>
      <c r="Q208" t="s">
        <v>71</v>
      </c>
      <c r="R208" t="s">
        <v>72</v>
      </c>
      <c r="S208" t="s">
        <v>71</v>
      </c>
      <c r="T208" t="s">
        <v>71</v>
      </c>
      <c r="U208" s="12" t="s">
        <v>235</v>
      </c>
      <c r="V208" s="12" t="s">
        <v>237</v>
      </c>
      <c r="W208" s="11">
        <v>36</v>
      </c>
      <c r="X208" s="2">
        <f t="shared" si="20"/>
        <v>0.62043950746261145</v>
      </c>
      <c r="Y208" s="5">
        <f t="shared" si="21"/>
        <v>17625000</v>
      </c>
      <c r="Z208" s="5">
        <f t="shared" si="22"/>
        <v>70500000.000000015</v>
      </c>
    </row>
    <row r="209" spans="1:26" x14ac:dyDescent="0.25">
      <c r="A209">
        <v>12320</v>
      </c>
      <c r="B209">
        <v>119</v>
      </c>
      <c r="C209">
        <v>2017</v>
      </c>
      <c r="D209" t="s">
        <v>68</v>
      </c>
      <c r="E209" t="s">
        <v>69</v>
      </c>
      <c r="F209" s="2">
        <v>0.57383064886154778</v>
      </c>
      <c r="G209" s="2">
        <v>0.78900150709061567</v>
      </c>
      <c r="H209" s="14">
        <f t="shared" si="18"/>
        <v>0</v>
      </c>
      <c r="I209" s="5">
        <v>11750000</v>
      </c>
      <c r="J209">
        <v>3</v>
      </c>
      <c r="K209" s="6">
        <v>9.2085106382978732E-2</v>
      </c>
      <c r="L209" s="6">
        <v>0.76500000000000012</v>
      </c>
      <c r="M209" t="str">
        <f t="shared" si="19"/>
        <v>SUBL</v>
      </c>
      <c r="N209" t="s">
        <v>70</v>
      </c>
      <c r="O209" t="str">
        <f>VLOOKUP(Table1[[#This Row],[SCHEMATIC TYPE]],'SCHEMATIC Lookup'!$B$1:$C$5,2)</f>
        <v>Leveraged Whole Loan</v>
      </c>
      <c r="P209" s="8">
        <v>66716717.258119985</v>
      </c>
      <c r="Q209" t="s">
        <v>71</v>
      </c>
      <c r="R209" t="s">
        <v>72</v>
      </c>
      <c r="S209" t="s">
        <v>71</v>
      </c>
      <c r="T209" t="s">
        <v>71</v>
      </c>
      <c r="U209" s="12" t="s">
        <v>230</v>
      </c>
      <c r="V209" s="12" t="s">
        <v>231</v>
      </c>
      <c r="W209" s="11">
        <v>62</v>
      </c>
      <c r="X209" s="2">
        <f t="shared" si="20"/>
        <v>0.57383064886154778</v>
      </c>
      <c r="Y209" s="5">
        <f t="shared" si="21"/>
        <v>11750000</v>
      </c>
      <c r="Z209" s="5">
        <f t="shared" si="22"/>
        <v>43085610.126837924</v>
      </c>
    </row>
    <row r="210" spans="1:26" x14ac:dyDescent="0.25">
      <c r="A210">
        <v>12330</v>
      </c>
      <c r="B210">
        <v>119</v>
      </c>
      <c r="C210">
        <v>2017</v>
      </c>
      <c r="D210" t="s">
        <v>74</v>
      </c>
      <c r="E210" t="s">
        <v>69</v>
      </c>
      <c r="F210" s="2">
        <v>0.54328796915817279</v>
      </c>
      <c r="G210" s="2">
        <v>0.75680000000000003</v>
      </c>
      <c r="H210" s="14">
        <f t="shared" si="18"/>
        <v>0</v>
      </c>
      <c r="I210" s="5">
        <v>22601950</v>
      </c>
      <c r="J210">
        <v>1</v>
      </c>
      <c r="K210" s="6">
        <v>0.1075</v>
      </c>
      <c r="L210" s="6">
        <v>0</v>
      </c>
      <c r="M210" t="str">
        <f t="shared" si="19"/>
        <v>SUB</v>
      </c>
      <c r="N210" t="s">
        <v>75</v>
      </c>
      <c r="O210" t="str">
        <f>VLOOKUP(Table1[[#This Row],[SCHEMATIC TYPE]],'SCHEMATIC Lookup'!$B$1:$C$5,2)</f>
        <v>Mezzanine Loan</v>
      </c>
      <c r="P210" s="8">
        <v>120588969</v>
      </c>
      <c r="Q210" t="s">
        <v>71</v>
      </c>
      <c r="R210" t="s">
        <v>72</v>
      </c>
      <c r="S210" t="s">
        <v>71</v>
      </c>
      <c r="T210" t="s">
        <v>71</v>
      </c>
      <c r="U210" s="12" t="s">
        <v>236</v>
      </c>
      <c r="V210" s="12" t="s">
        <v>231</v>
      </c>
      <c r="W210" s="11">
        <v>60</v>
      </c>
      <c r="X210" s="2">
        <f t="shared" si="20"/>
        <v>0.54328796915817279</v>
      </c>
      <c r="Y210" s="5">
        <f t="shared" si="21"/>
        <v>22601950</v>
      </c>
      <c r="Z210" s="5">
        <f t="shared" si="22"/>
        <v>22601950</v>
      </c>
    </row>
    <row r="211" spans="1:26" x14ac:dyDescent="0.25">
      <c r="A211">
        <v>12340</v>
      </c>
      <c r="B211">
        <v>183</v>
      </c>
      <c r="C211">
        <v>2017</v>
      </c>
      <c r="D211" t="s">
        <v>96</v>
      </c>
      <c r="E211" t="s">
        <v>69</v>
      </c>
      <c r="F211" s="2">
        <v>0</v>
      </c>
      <c r="G211" s="2">
        <v>0.76369670956181379</v>
      </c>
      <c r="H211" s="14">
        <f t="shared" si="18"/>
        <v>0</v>
      </c>
      <c r="I211" s="5">
        <v>24000000</v>
      </c>
      <c r="J211">
        <v>2</v>
      </c>
      <c r="K211" s="6">
        <v>4.2500000000000003E-2</v>
      </c>
      <c r="L211" s="6">
        <v>0.5</v>
      </c>
      <c r="M211" t="str">
        <f t="shared" si="19"/>
        <v>SUBL</v>
      </c>
      <c r="N211" t="s">
        <v>70</v>
      </c>
      <c r="O211" t="str">
        <f>VLOOKUP(Table1[[#This Row],[SCHEMATIC TYPE]],'SCHEMATIC Lookup'!$B$1:$C$5,2)</f>
        <v>Leveraged Whole Loan</v>
      </c>
      <c r="P211" s="8">
        <v>31426088</v>
      </c>
      <c r="Q211" t="s">
        <v>71</v>
      </c>
      <c r="R211" t="s">
        <v>72</v>
      </c>
      <c r="S211" t="s">
        <v>71</v>
      </c>
      <c r="T211" t="s">
        <v>71</v>
      </c>
      <c r="U211" s="12" t="s">
        <v>238</v>
      </c>
      <c r="V211" s="12" t="s">
        <v>231</v>
      </c>
      <c r="W211" s="11">
        <v>36</v>
      </c>
      <c r="X211" s="2">
        <f t="shared" si="20"/>
        <v>0.3818483547809069</v>
      </c>
      <c r="Y211" s="5">
        <f t="shared" si="21"/>
        <v>12000000</v>
      </c>
      <c r="Z211" s="5">
        <f t="shared" si="22"/>
        <v>24000000</v>
      </c>
    </row>
    <row r="212" spans="1:26" x14ac:dyDescent="0.25">
      <c r="A212">
        <v>12350</v>
      </c>
      <c r="B212">
        <v>183</v>
      </c>
      <c r="C212">
        <v>2017</v>
      </c>
      <c r="D212" t="s">
        <v>96</v>
      </c>
      <c r="E212" t="s">
        <v>69</v>
      </c>
      <c r="F212" s="2">
        <v>0</v>
      </c>
      <c r="G212" s="2">
        <v>0.68292852246201374</v>
      </c>
      <c r="H212" s="14">
        <f t="shared" si="18"/>
        <v>0</v>
      </c>
      <c r="I212" s="5">
        <v>78700000</v>
      </c>
      <c r="J212">
        <v>1</v>
      </c>
      <c r="K212" s="6">
        <v>3.6499999999999998E-2</v>
      </c>
      <c r="L212" s="6">
        <v>0.625</v>
      </c>
      <c r="M212" t="str">
        <f t="shared" si="19"/>
        <v>SUBL</v>
      </c>
      <c r="N212" t="s">
        <v>70</v>
      </c>
      <c r="O212" t="str">
        <f>VLOOKUP(Table1[[#This Row],[SCHEMATIC TYPE]],'SCHEMATIC Lookup'!$B$1:$C$5,2)</f>
        <v>Leveraged Whole Loan</v>
      </c>
      <c r="P212" s="8">
        <v>115239000</v>
      </c>
      <c r="Q212" t="s">
        <v>71</v>
      </c>
      <c r="R212" t="s">
        <v>73</v>
      </c>
      <c r="S212" t="s">
        <v>71</v>
      </c>
      <c r="T212" t="s">
        <v>71</v>
      </c>
      <c r="U212" s="12" t="s">
        <v>232</v>
      </c>
      <c r="V212" s="12" t="s">
        <v>234</v>
      </c>
      <c r="W212" s="11">
        <v>60</v>
      </c>
      <c r="X212" s="2">
        <f t="shared" si="20"/>
        <v>0.42683032653875858</v>
      </c>
      <c r="Y212" s="5">
        <f t="shared" si="21"/>
        <v>29512500</v>
      </c>
      <c r="Z212" s="5">
        <f t="shared" si="22"/>
        <v>78700000</v>
      </c>
    </row>
    <row r="213" spans="1:26" x14ac:dyDescent="0.25">
      <c r="A213">
        <v>12360</v>
      </c>
      <c r="B213">
        <v>183</v>
      </c>
      <c r="C213">
        <v>2017</v>
      </c>
      <c r="D213" t="s">
        <v>96</v>
      </c>
      <c r="E213" t="s">
        <v>69</v>
      </c>
      <c r="F213" s="2">
        <v>0</v>
      </c>
      <c r="G213" s="2">
        <v>0.6125628430773058</v>
      </c>
      <c r="H213" s="14">
        <f t="shared" si="18"/>
        <v>0</v>
      </c>
      <c r="I213" s="5">
        <v>60000000</v>
      </c>
      <c r="J213">
        <v>1</v>
      </c>
      <c r="K213" s="6">
        <v>3.3500000000000002E-2</v>
      </c>
      <c r="L213" s="6">
        <v>0.68333333333333335</v>
      </c>
      <c r="M213" t="str">
        <f t="shared" si="19"/>
        <v>SUBL</v>
      </c>
      <c r="N213" t="s">
        <v>70</v>
      </c>
      <c r="O213" t="str">
        <f>VLOOKUP(Table1[[#This Row],[SCHEMATIC TYPE]],'SCHEMATIC Lookup'!$B$1:$C$5,2)</f>
        <v>Leveraged Whole Loan</v>
      </c>
      <c r="P213" s="8">
        <v>97949134</v>
      </c>
      <c r="Q213" t="s">
        <v>86</v>
      </c>
      <c r="R213" t="s">
        <v>72</v>
      </c>
      <c r="S213" t="s">
        <v>71</v>
      </c>
      <c r="T213" t="s">
        <v>88</v>
      </c>
      <c r="U213" s="12" t="s">
        <v>232</v>
      </c>
      <c r="V213" s="12" t="s">
        <v>235</v>
      </c>
      <c r="W213" s="11">
        <v>36</v>
      </c>
      <c r="X213" s="2">
        <f t="shared" si="20"/>
        <v>0.41858460943615899</v>
      </c>
      <c r="Y213" s="5">
        <f t="shared" si="21"/>
        <v>19000000</v>
      </c>
      <c r="Z213" s="5">
        <f t="shared" si="22"/>
        <v>60000000</v>
      </c>
    </row>
    <row r="214" spans="1:26" x14ac:dyDescent="0.25">
      <c r="A214">
        <v>12370</v>
      </c>
      <c r="B214">
        <v>183</v>
      </c>
      <c r="C214">
        <v>2017</v>
      </c>
      <c r="D214" t="s">
        <v>96</v>
      </c>
      <c r="E214" t="s">
        <v>69</v>
      </c>
      <c r="F214" s="2">
        <v>0</v>
      </c>
      <c r="G214" s="2">
        <v>0.62376647181321665</v>
      </c>
      <c r="H214" s="14">
        <f t="shared" si="18"/>
        <v>0</v>
      </c>
      <c r="I214" s="5">
        <v>104000000</v>
      </c>
      <c r="J214">
        <v>2</v>
      </c>
      <c r="K214" s="6">
        <v>4.4999999999999998E-2</v>
      </c>
      <c r="L214" s="6">
        <v>0.57692307692307687</v>
      </c>
      <c r="M214" t="str">
        <f t="shared" si="19"/>
        <v>SUBL</v>
      </c>
      <c r="N214" t="s">
        <v>70</v>
      </c>
      <c r="O214" t="str">
        <f>VLOOKUP(Table1[[#This Row],[SCHEMATIC TYPE]],'SCHEMATIC Lookup'!$B$1:$C$5,2)</f>
        <v>Leveraged Whole Loan</v>
      </c>
      <c r="P214" s="8">
        <v>166729064</v>
      </c>
      <c r="Q214" t="s">
        <v>97</v>
      </c>
      <c r="R214" t="s">
        <v>82</v>
      </c>
      <c r="S214" t="s">
        <v>71</v>
      </c>
      <c r="T214" t="s">
        <v>88</v>
      </c>
      <c r="U214" s="12" t="s">
        <v>238</v>
      </c>
      <c r="V214" s="12" t="s">
        <v>235</v>
      </c>
      <c r="W214" s="11">
        <v>36</v>
      </c>
      <c r="X214" s="2">
        <f t="shared" si="20"/>
        <v>0.35986527219993264</v>
      </c>
      <c r="Y214" s="5">
        <f t="shared" si="21"/>
        <v>44000000.000000007</v>
      </c>
      <c r="Z214" s="5">
        <f t="shared" si="22"/>
        <v>104000000</v>
      </c>
    </row>
    <row r="215" spans="1:26" x14ac:dyDescent="0.25">
      <c r="A215">
        <v>12380</v>
      </c>
      <c r="B215">
        <v>183</v>
      </c>
      <c r="C215">
        <v>2017</v>
      </c>
      <c r="D215" t="s">
        <v>96</v>
      </c>
      <c r="E215" t="s">
        <v>69</v>
      </c>
      <c r="F215" s="2">
        <v>0</v>
      </c>
      <c r="G215" s="2">
        <v>0.72767247287354564</v>
      </c>
      <c r="H215" s="14">
        <f t="shared" si="18"/>
        <v>0</v>
      </c>
      <c r="I215" s="5">
        <v>32500000</v>
      </c>
      <c r="J215">
        <v>2</v>
      </c>
      <c r="K215" s="6">
        <v>3.5999999999999997E-2</v>
      </c>
      <c r="L215" s="6">
        <v>0.62</v>
      </c>
      <c r="M215" t="str">
        <f t="shared" si="19"/>
        <v>SUBL</v>
      </c>
      <c r="N215" t="s">
        <v>70</v>
      </c>
      <c r="O215" t="str">
        <f>VLOOKUP(Table1[[#This Row],[SCHEMATIC TYPE]],'SCHEMATIC Lookup'!$B$1:$C$5,2)</f>
        <v>Leveraged Whole Loan</v>
      </c>
      <c r="P215" s="8">
        <v>44662951</v>
      </c>
      <c r="Q215" t="s">
        <v>97</v>
      </c>
      <c r="R215" t="s">
        <v>73</v>
      </c>
      <c r="S215" t="s">
        <v>71</v>
      </c>
      <c r="T215" t="s">
        <v>88</v>
      </c>
      <c r="U215" s="12" t="s">
        <v>232</v>
      </c>
      <c r="V215" s="12" t="s">
        <v>233</v>
      </c>
      <c r="W215" s="11">
        <v>36</v>
      </c>
      <c r="X215" s="2">
        <f t="shared" si="20"/>
        <v>0.45115693318159827</v>
      </c>
      <c r="Y215" s="5">
        <f t="shared" si="21"/>
        <v>12350000</v>
      </c>
      <c r="Z215" s="5">
        <f t="shared" si="22"/>
        <v>32500000</v>
      </c>
    </row>
    <row r="216" spans="1:26" x14ac:dyDescent="0.25">
      <c r="A216">
        <v>12390</v>
      </c>
      <c r="B216">
        <v>183</v>
      </c>
      <c r="C216">
        <v>2017</v>
      </c>
      <c r="D216" t="s">
        <v>89</v>
      </c>
      <c r="E216" t="s">
        <v>91</v>
      </c>
      <c r="F216" s="2">
        <v>0</v>
      </c>
      <c r="G216" s="2">
        <v>0.79100000000000004</v>
      </c>
      <c r="H216" s="14">
        <f t="shared" si="18"/>
        <v>0</v>
      </c>
      <c r="I216" s="5">
        <v>165000000</v>
      </c>
      <c r="J216">
        <v>5</v>
      </c>
      <c r="K216" s="6">
        <v>7.0000000000000007E-2</v>
      </c>
      <c r="L216" s="6">
        <v>0</v>
      </c>
      <c r="M216" t="str">
        <f t="shared" si="19"/>
        <v>SENIOR</v>
      </c>
      <c r="N216" t="s">
        <v>90</v>
      </c>
      <c r="O216" t="str">
        <f>VLOOKUP(Table1[[#This Row],[SCHEMATIC TYPE]],'SCHEMATIC Lookup'!$B$1:$C$5,2)</f>
        <v>Senior Whole Loan</v>
      </c>
      <c r="P216" s="8">
        <v>280291212</v>
      </c>
      <c r="Q216" t="s">
        <v>71</v>
      </c>
      <c r="R216" t="s">
        <v>80</v>
      </c>
      <c r="S216" t="s">
        <v>71</v>
      </c>
      <c r="T216" t="s">
        <v>71</v>
      </c>
      <c r="U216" s="12" t="s">
        <v>238</v>
      </c>
      <c r="V216" s="12" t="s">
        <v>231</v>
      </c>
      <c r="W216" s="11">
        <v>60</v>
      </c>
      <c r="X216" s="2">
        <f t="shared" si="20"/>
        <v>0</v>
      </c>
      <c r="Y216" s="5">
        <f t="shared" si="21"/>
        <v>165000000</v>
      </c>
      <c r="Z216" s="5">
        <f t="shared" si="22"/>
        <v>165000000</v>
      </c>
    </row>
    <row r="217" spans="1:26" x14ac:dyDescent="0.25">
      <c r="A217">
        <v>12400</v>
      </c>
      <c r="B217">
        <v>183</v>
      </c>
      <c r="C217">
        <v>2017</v>
      </c>
      <c r="D217" t="s">
        <v>89</v>
      </c>
      <c r="E217" t="s">
        <v>91</v>
      </c>
      <c r="F217" s="2">
        <v>0</v>
      </c>
      <c r="G217" s="2">
        <v>0.74880389205373887</v>
      </c>
      <c r="H217" s="14">
        <f t="shared" si="18"/>
        <v>0</v>
      </c>
      <c r="I217" s="5">
        <v>68700000</v>
      </c>
      <c r="J217">
        <v>3</v>
      </c>
      <c r="K217" s="6">
        <v>4.2500000000000003E-2</v>
      </c>
      <c r="L217" s="6">
        <v>0</v>
      </c>
      <c r="M217" t="str">
        <f t="shared" si="19"/>
        <v>SENIOR</v>
      </c>
      <c r="N217" t="s">
        <v>90</v>
      </c>
      <c r="O217" t="str">
        <f>VLOOKUP(Table1[[#This Row],[SCHEMATIC TYPE]],'SCHEMATIC Lookup'!$B$1:$C$5,2)</f>
        <v>Senior Whole Loan</v>
      </c>
      <c r="P217" s="8">
        <v>91746318</v>
      </c>
      <c r="Q217" t="s">
        <v>71</v>
      </c>
      <c r="R217" t="s">
        <v>80</v>
      </c>
      <c r="S217" t="s">
        <v>71</v>
      </c>
      <c r="T217" t="s">
        <v>71</v>
      </c>
      <c r="U217" s="12" t="s">
        <v>238</v>
      </c>
      <c r="V217" s="12" t="s">
        <v>233</v>
      </c>
      <c r="W217" s="11">
        <v>36</v>
      </c>
      <c r="X217" s="2">
        <f t="shared" si="20"/>
        <v>0</v>
      </c>
      <c r="Y217" s="5">
        <f t="shared" si="21"/>
        <v>68700000</v>
      </c>
      <c r="Z217" s="5">
        <f t="shared" si="22"/>
        <v>68700000</v>
      </c>
    </row>
    <row r="218" spans="1:26" x14ac:dyDescent="0.25">
      <c r="A218">
        <v>12410</v>
      </c>
      <c r="B218">
        <v>103</v>
      </c>
      <c r="C218">
        <v>2017</v>
      </c>
      <c r="D218" t="s">
        <v>83</v>
      </c>
      <c r="E218" t="s">
        <v>77</v>
      </c>
      <c r="F218" s="2">
        <v>0.65</v>
      </c>
      <c r="G218" s="2">
        <v>0.81069999999999998</v>
      </c>
      <c r="H218" s="14">
        <f t="shared" si="18"/>
        <v>0</v>
      </c>
      <c r="I218" s="5">
        <v>75000000</v>
      </c>
      <c r="J218">
        <v>1</v>
      </c>
      <c r="K218" s="6">
        <v>0.09</v>
      </c>
      <c r="L218" s="6">
        <v>0</v>
      </c>
      <c r="M218" s="17" t="s">
        <v>95</v>
      </c>
      <c r="N218" s="17" t="s">
        <v>84</v>
      </c>
      <c r="O218" s="17" t="str">
        <f>VLOOKUP(Table1[[#This Row],[SCHEMATIC TYPE]],'SCHEMATIC Lookup'!$B$1:$C$5,2)</f>
        <v>Other Subordinate</v>
      </c>
      <c r="P218" s="8">
        <v>467500000</v>
      </c>
      <c r="Q218" t="s">
        <v>79</v>
      </c>
      <c r="R218" t="s">
        <v>79</v>
      </c>
      <c r="S218" t="s">
        <v>79</v>
      </c>
      <c r="T218" t="s">
        <v>79</v>
      </c>
      <c r="U218" s="12" t="s">
        <v>239</v>
      </c>
      <c r="V218" s="12" t="s">
        <v>237</v>
      </c>
      <c r="W218" s="11">
        <v>96.131506849315059</v>
      </c>
      <c r="X218" s="2">
        <f t="shared" si="20"/>
        <v>0.65</v>
      </c>
      <c r="Y218" s="5">
        <f t="shared" si="21"/>
        <v>75000000</v>
      </c>
      <c r="Z218" s="5">
        <f t="shared" si="22"/>
        <v>75000000</v>
      </c>
    </row>
    <row r="219" spans="1:26" x14ac:dyDescent="0.25">
      <c r="A219">
        <v>12420</v>
      </c>
      <c r="B219">
        <v>103</v>
      </c>
      <c r="C219">
        <v>2017</v>
      </c>
      <c r="D219" t="s">
        <v>83</v>
      </c>
      <c r="E219" t="s">
        <v>69</v>
      </c>
      <c r="F219" s="15">
        <v>0.47420000000000001</v>
      </c>
      <c r="G219" s="2">
        <v>0.47420000000000001</v>
      </c>
      <c r="H219" s="14">
        <f t="shared" si="18"/>
        <v>1</v>
      </c>
      <c r="I219" s="5">
        <v>4417900</v>
      </c>
      <c r="J219">
        <v>5</v>
      </c>
      <c r="K219" s="6">
        <v>0.12</v>
      </c>
      <c r="L219" s="6">
        <v>0</v>
      </c>
      <c r="M219" s="17" t="s">
        <v>95</v>
      </c>
      <c r="N219" s="17" t="s">
        <v>84</v>
      </c>
      <c r="O219" s="17" t="str">
        <f>VLOOKUP(Table1[[#This Row],[SCHEMATIC TYPE]],'SCHEMATIC Lookup'!$B$1:$C$5,2)</f>
        <v>Other Subordinate</v>
      </c>
      <c r="P219" s="8">
        <v>812000000</v>
      </c>
      <c r="Q219" t="s">
        <v>79</v>
      </c>
      <c r="R219" t="s">
        <v>79</v>
      </c>
      <c r="S219" t="s">
        <v>79</v>
      </c>
      <c r="T219" t="s">
        <v>79</v>
      </c>
      <c r="U219" s="12" t="s">
        <v>103</v>
      </c>
      <c r="V219" s="12" t="s">
        <v>103</v>
      </c>
      <c r="W219" s="11">
        <v>20.909589041095888</v>
      </c>
      <c r="X219" s="2">
        <f t="shared" si="20"/>
        <v>0.47420000000000001</v>
      </c>
      <c r="Y219" s="5">
        <f t="shared" si="21"/>
        <v>4417900</v>
      </c>
      <c r="Z219" s="5">
        <f t="shared" si="22"/>
        <v>4417900</v>
      </c>
    </row>
    <row r="220" spans="1:26" x14ac:dyDescent="0.25">
      <c r="A220">
        <v>12430</v>
      </c>
      <c r="B220">
        <v>103</v>
      </c>
      <c r="C220">
        <v>2017</v>
      </c>
      <c r="D220" t="s">
        <v>83</v>
      </c>
      <c r="E220" t="s">
        <v>77</v>
      </c>
      <c r="F220" s="15">
        <v>0.47</v>
      </c>
      <c r="G220" s="2">
        <v>0.47</v>
      </c>
      <c r="H220" s="14">
        <f t="shared" si="18"/>
        <v>1</v>
      </c>
      <c r="I220" s="5">
        <v>26500000</v>
      </c>
      <c r="J220">
        <v>2</v>
      </c>
      <c r="K220" s="6">
        <v>0.04</v>
      </c>
      <c r="L220" s="6">
        <v>0</v>
      </c>
      <c r="M220" s="17" t="s">
        <v>95</v>
      </c>
      <c r="N220" s="17" t="s">
        <v>84</v>
      </c>
      <c r="O220" s="17" t="str">
        <f>VLOOKUP(Table1[[#This Row],[SCHEMATIC TYPE]],'SCHEMATIC Lookup'!$B$1:$C$5,2)</f>
        <v>Other Subordinate</v>
      </c>
      <c r="P220" s="8">
        <v>130460000</v>
      </c>
      <c r="Q220" t="s">
        <v>79</v>
      </c>
      <c r="R220" t="s">
        <v>79</v>
      </c>
      <c r="S220" t="s">
        <v>79</v>
      </c>
      <c r="T220" t="s">
        <v>79</v>
      </c>
      <c r="U220" s="12" t="s">
        <v>103</v>
      </c>
      <c r="V220" s="12" t="s">
        <v>103</v>
      </c>
      <c r="W220" s="11">
        <v>60.032876712328765</v>
      </c>
      <c r="X220" s="2">
        <f t="shared" si="20"/>
        <v>0.47</v>
      </c>
      <c r="Y220" s="5">
        <f t="shared" si="21"/>
        <v>26500000</v>
      </c>
      <c r="Z220" s="5">
        <f t="shared" si="22"/>
        <v>26500000</v>
      </c>
    </row>
    <row r="221" spans="1:26" x14ac:dyDescent="0.25">
      <c r="A221">
        <v>12440</v>
      </c>
      <c r="B221">
        <v>103</v>
      </c>
      <c r="C221">
        <v>2017</v>
      </c>
      <c r="D221" t="s">
        <v>76</v>
      </c>
      <c r="E221" t="s">
        <v>77</v>
      </c>
      <c r="F221" s="2">
        <v>0.61</v>
      </c>
      <c r="G221" s="2">
        <v>0.67479999999999996</v>
      </c>
      <c r="H221" s="14">
        <f t="shared" si="18"/>
        <v>0</v>
      </c>
      <c r="I221" s="5">
        <v>4500000</v>
      </c>
      <c r="J221">
        <v>1</v>
      </c>
      <c r="K221" s="6">
        <v>0.1</v>
      </c>
      <c r="L221" s="6">
        <v>0</v>
      </c>
      <c r="M221" t="str">
        <f t="shared" ref="M221:M252" si="23">IF(AND(H221=0,OR(F221&gt;0,L221&gt;0)),"SUB",IF(AND(H221=0,F221=0),"SENIOR","BAD"))&amp;IF(L221&gt;0,"L","")</f>
        <v>SUB</v>
      </c>
      <c r="N221" t="s">
        <v>78</v>
      </c>
      <c r="O221" t="str">
        <f>VLOOKUP(Table1[[#This Row],[SCHEMATIC TYPE]],'SCHEMATIC Lookup'!$B$1:$C$5,2)</f>
        <v>Sub. Tranche of Senior</v>
      </c>
      <c r="P221" s="8">
        <v>74100000</v>
      </c>
      <c r="Q221" t="s">
        <v>79</v>
      </c>
      <c r="R221" t="s">
        <v>79</v>
      </c>
      <c r="S221" t="s">
        <v>79</v>
      </c>
      <c r="T221" t="s">
        <v>79</v>
      </c>
      <c r="U221" s="12" t="s">
        <v>235</v>
      </c>
      <c r="V221" s="12" t="s">
        <v>234</v>
      </c>
      <c r="W221" s="11">
        <v>72.131506849315059</v>
      </c>
      <c r="X221" s="2">
        <f t="shared" si="20"/>
        <v>0.61</v>
      </c>
      <c r="Y221" s="5">
        <f t="shared" si="21"/>
        <v>4500000</v>
      </c>
      <c r="Z221" s="5">
        <f t="shared" si="22"/>
        <v>4500000</v>
      </c>
    </row>
    <row r="222" spans="1:26" x14ac:dyDescent="0.25">
      <c r="A222">
        <v>12450</v>
      </c>
      <c r="B222">
        <v>183</v>
      </c>
      <c r="C222">
        <v>2017</v>
      </c>
      <c r="D222" t="s">
        <v>98</v>
      </c>
      <c r="E222" t="s">
        <v>91</v>
      </c>
      <c r="F222" s="2">
        <v>0</v>
      </c>
      <c r="G222" s="2">
        <v>0.73735041494073028</v>
      </c>
      <c r="H222" s="14">
        <f t="shared" si="18"/>
        <v>0</v>
      </c>
      <c r="I222" s="18">
        <v>31000000</v>
      </c>
      <c r="J222">
        <v>4</v>
      </c>
      <c r="K222" s="6">
        <v>8.8999999999999996E-2</v>
      </c>
      <c r="L222" s="6">
        <v>0</v>
      </c>
      <c r="M222" t="str">
        <f t="shared" si="23"/>
        <v>SENIOR</v>
      </c>
      <c r="N222" t="s">
        <v>90</v>
      </c>
      <c r="O222" t="str">
        <f>VLOOKUP(Table1[[#This Row],[SCHEMATIC TYPE]],'SCHEMATIC Lookup'!$B$1:$C$5,2)</f>
        <v>Senior Whole Loan</v>
      </c>
      <c r="P222" s="8">
        <v>23055523.744930007</v>
      </c>
      <c r="Q222" t="s">
        <v>71</v>
      </c>
      <c r="R222" t="s">
        <v>80</v>
      </c>
      <c r="S222" t="s">
        <v>71</v>
      </c>
      <c r="T222" t="s">
        <v>71</v>
      </c>
      <c r="U222" s="12" t="s">
        <v>238</v>
      </c>
      <c r="V222" s="12" t="s">
        <v>233</v>
      </c>
      <c r="W222" s="11">
        <v>36</v>
      </c>
      <c r="X222" s="2">
        <f t="shared" si="20"/>
        <v>0</v>
      </c>
      <c r="Y222" s="5">
        <f t="shared" si="21"/>
        <v>31000000</v>
      </c>
      <c r="Z222" s="5">
        <f t="shared" si="22"/>
        <v>31000000</v>
      </c>
    </row>
    <row r="223" spans="1:26" x14ac:dyDescent="0.25">
      <c r="A223">
        <v>12460</v>
      </c>
      <c r="B223">
        <v>183</v>
      </c>
      <c r="C223">
        <v>2017</v>
      </c>
      <c r="D223" t="s">
        <v>83</v>
      </c>
      <c r="E223" t="s">
        <v>77</v>
      </c>
      <c r="F223" s="2">
        <v>0.5638903292125752</v>
      </c>
      <c r="G223" s="2">
        <v>0.76392626030914346</v>
      </c>
      <c r="H223" s="14">
        <f t="shared" si="18"/>
        <v>0</v>
      </c>
      <c r="I223" s="5">
        <v>8450000</v>
      </c>
      <c r="J223">
        <v>2</v>
      </c>
      <c r="K223" s="6">
        <v>0.13</v>
      </c>
      <c r="L223" s="6">
        <v>0</v>
      </c>
      <c r="M223" t="str">
        <f t="shared" si="23"/>
        <v>SUB</v>
      </c>
      <c r="N223" t="s">
        <v>84</v>
      </c>
      <c r="O223" t="str">
        <f>VLOOKUP(Table1[[#This Row],[SCHEMATIC TYPE]],'SCHEMATIC Lookup'!$B$1:$C$5,2)</f>
        <v>Other Subordinate</v>
      </c>
      <c r="P223" s="8">
        <v>42242410.919269927</v>
      </c>
      <c r="Q223" t="s">
        <v>71</v>
      </c>
      <c r="R223" t="s">
        <v>80</v>
      </c>
      <c r="S223" t="s">
        <v>71</v>
      </c>
      <c r="T223" t="s">
        <v>71</v>
      </c>
      <c r="U223" s="12" t="s">
        <v>230</v>
      </c>
      <c r="V223" s="12" t="s">
        <v>231</v>
      </c>
      <c r="W223" s="11">
        <v>51</v>
      </c>
      <c r="X223" s="2">
        <f t="shared" si="20"/>
        <v>0.5638903292125752</v>
      </c>
      <c r="Y223" s="5">
        <f t="shared" si="21"/>
        <v>8450000</v>
      </c>
      <c r="Z223" s="5">
        <f t="shared" si="22"/>
        <v>8450000</v>
      </c>
    </row>
    <row r="224" spans="1:26" x14ac:dyDescent="0.25">
      <c r="A224">
        <v>12470</v>
      </c>
      <c r="B224">
        <v>183</v>
      </c>
      <c r="C224">
        <v>2017</v>
      </c>
      <c r="D224" t="s">
        <v>96</v>
      </c>
      <c r="E224" t="s">
        <v>69</v>
      </c>
      <c r="F224" s="2">
        <v>0</v>
      </c>
      <c r="G224" s="2">
        <v>0.77698104113969135</v>
      </c>
      <c r="H224" s="14">
        <f t="shared" si="18"/>
        <v>0</v>
      </c>
      <c r="I224" s="5">
        <v>145000000</v>
      </c>
      <c r="J224">
        <v>5</v>
      </c>
      <c r="K224" s="6">
        <v>4.1000000000000002E-2</v>
      </c>
      <c r="L224" s="6">
        <v>0.6</v>
      </c>
      <c r="M224" t="str">
        <f t="shared" si="23"/>
        <v>SUBL</v>
      </c>
      <c r="N224" t="s">
        <v>70</v>
      </c>
      <c r="O224" t="str">
        <f>VLOOKUP(Table1[[#This Row],[SCHEMATIC TYPE]],'SCHEMATIC Lookup'!$B$1:$C$5,2)</f>
        <v>Leveraged Whole Loan</v>
      </c>
      <c r="P224" s="8">
        <v>186619740.15133122</v>
      </c>
      <c r="Q224" t="s">
        <v>97</v>
      </c>
      <c r="R224" t="s">
        <v>82</v>
      </c>
      <c r="S224" t="s">
        <v>71</v>
      </c>
      <c r="T224" t="s">
        <v>88</v>
      </c>
      <c r="U224" s="12" t="s">
        <v>232</v>
      </c>
      <c r="V224" s="12" t="s">
        <v>231</v>
      </c>
      <c r="W224" s="11">
        <v>60</v>
      </c>
      <c r="X224" s="2">
        <f t="shared" si="20"/>
        <v>0.46618862468381478</v>
      </c>
      <c r="Y224" s="5">
        <f t="shared" si="21"/>
        <v>58000000</v>
      </c>
      <c r="Z224" s="5">
        <f t="shared" si="22"/>
        <v>145000000</v>
      </c>
    </row>
    <row r="225" spans="1:26" x14ac:dyDescent="0.25">
      <c r="A225">
        <v>12480</v>
      </c>
      <c r="B225">
        <v>183</v>
      </c>
      <c r="C225">
        <v>2017</v>
      </c>
      <c r="D225" t="s">
        <v>96</v>
      </c>
      <c r="E225" t="s">
        <v>69</v>
      </c>
      <c r="F225" s="2">
        <v>0</v>
      </c>
      <c r="G225" s="2">
        <v>0.78585262773848052</v>
      </c>
      <c r="H225" s="14">
        <f t="shared" si="18"/>
        <v>0</v>
      </c>
      <c r="I225" s="5">
        <v>19880000</v>
      </c>
      <c r="J225">
        <v>2</v>
      </c>
      <c r="K225" s="6">
        <v>4.4999999999999998E-2</v>
      </c>
      <c r="L225" s="6">
        <v>0.528169014084507</v>
      </c>
      <c r="M225" t="str">
        <f t="shared" si="23"/>
        <v>SUBL</v>
      </c>
      <c r="N225" t="s">
        <v>70</v>
      </c>
      <c r="O225" t="str">
        <f>VLOOKUP(Table1[[#This Row],[SCHEMATIC TYPE]],'SCHEMATIC Lookup'!$B$1:$C$5,2)</f>
        <v>Leveraged Whole Loan</v>
      </c>
      <c r="P225" s="8">
        <v>25297364.032758255</v>
      </c>
      <c r="Q225" t="s">
        <v>71</v>
      </c>
      <c r="R225" t="s">
        <v>80</v>
      </c>
      <c r="S225" t="s">
        <v>71</v>
      </c>
      <c r="T225" t="s">
        <v>71</v>
      </c>
      <c r="U225" s="12" t="s">
        <v>232</v>
      </c>
      <c r="V225" s="12" t="s">
        <v>231</v>
      </c>
      <c r="W225" s="11">
        <v>18</v>
      </c>
      <c r="X225" s="2">
        <f t="shared" si="20"/>
        <v>0.41506300760835235</v>
      </c>
      <c r="Y225" s="5">
        <f t="shared" si="21"/>
        <v>9380000</v>
      </c>
      <c r="Z225" s="5">
        <f t="shared" si="22"/>
        <v>19880000</v>
      </c>
    </row>
    <row r="226" spans="1:26" x14ac:dyDescent="0.25">
      <c r="A226">
        <v>12490</v>
      </c>
      <c r="B226">
        <v>183</v>
      </c>
      <c r="C226">
        <v>2017</v>
      </c>
      <c r="D226" t="s">
        <v>89</v>
      </c>
      <c r="E226" t="s">
        <v>69</v>
      </c>
      <c r="F226" s="2">
        <v>0</v>
      </c>
      <c r="G226" s="2">
        <v>0.75679182978394954</v>
      </c>
      <c r="H226" s="14">
        <f t="shared" si="18"/>
        <v>0</v>
      </c>
      <c r="I226" s="5">
        <v>50200000</v>
      </c>
      <c r="J226">
        <v>1</v>
      </c>
      <c r="K226" s="6">
        <v>3.4521912350597608E-2</v>
      </c>
      <c r="L226" s="6">
        <v>0.60956175298804782</v>
      </c>
      <c r="M226" t="str">
        <f t="shared" si="23"/>
        <v>SUBL</v>
      </c>
      <c r="N226" t="s">
        <v>70</v>
      </c>
      <c r="O226" t="str">
        <f>VLOOKUP(Table1[[#This Row],[SCHEMATIC TYPE]],'SCHEMATIC Lookup'!$B$1:$C$5,2)</f>
        <v>Leveraged Whole Loan</v>
      </c>
      <c r="P226" s="8">
        <v>66332640</v>
      </c>
      <c r="Q226" t="s">
        <v>97</v>
      </c>
      <c r="R226" t="s">
        <v>82</v>
      </c>
      <c r="S226" t="s">
        <v>71</v>
      </c>
      <c r="T226" t="s">
        <v>88</v>
      </c>
      <c r="U226" s="12" t="s">
        <v>232</v>
      </c>
      <c r="V226" s="12" t="s">
        <v>231</v>
      </c>
      <c r="W226" s="11">
        <v>36</v>
      </c>
      <c r="X226" s="2">
        <f t="shared" si="20"/>
        <v>0.4613113544101366</v>
      </c>
      <c r="Y226" s="5">
        <f t="shared" si="21"/>
        <v>19600000</v>
      </c>
      <c r="Z226" s="5">
        <f t="shared" si="22"/>
        <v>50200000</v>
      </c>
    </row>
    <row r="227" spans="1:26" x14ac:dyDescent="0.25">
      <c r="A227">
        <v>12500</v>
      </c>
      <c r="B227">
        <v>183</v>
      </c>
      <c r="C227">
        <v>2017</v>
      </c>
      <c r="D227" t="s">
        <v>96</v>
      </c>
      <c r="E227" t="s">
        <v>69</v>
      </c>
      <c r="F227" s="2">
        <v>0.44790419434692935</v>
      </c>
      <c r="G227" s="2">
        <v>0.74666930999343151</v>
      </c>
      <c r="H227" s="14">
        <f t="shared" si="18"/>
        <v>0</v>
      </c>
      <c r="I227" s="5">
        <v>115000000</v>
      </c>
      <c r="J227">
        <v>1</v>
      </c>
      <c r="K227" s="6">
        <v>3.2500000000000001E-2</v>
      </c>
      <c r="L227" s="6">
        <v>0.6</v>
      </c>
      <c r="M227" t="str">
        <f t="shared" si="23"/>
        <v>SUBL</v>
      </c>
      <c r="N227" t="s">
        <v>70</v>
      </c>
      <c r="O227" t="str">
        <f>VLOOKUP(Table1[[#This Row],[SCHEMATIC TYPE]],'SCHEMATIC Lookup'!$B$1:$C$5,2)</f>
        <v>Leveraged Whole Loan</v>
      </c>
      <c r="P227" s="8">
        <v>154017311.89542484</v>
      </c>
      <c r="Q227" t="s">
        <v>97</v>
      </c>
      <c r="R227" t="s">
        <v>82</v>
      </c>
      <c r="S227" t="s">
        <v>71</v>
      </c>
      <c r="T227" t="s">
        <v>88</v>
      </c>
      <c r="U227" s="12" t="s">
        <v>232</v>
      </c>
      <c r="V227" s="12" t="s">
        <v>233</v>
      </c>
      <c r="W227" s="11">
        <v>36</v>
      </c>
      <c r="X227" s="2">
        <f t="shared" si="20"/>
        <v>0.44790419434692935</v>
      </c>
      <c r="Y227" s="5">
        <f t="shared" si="21"/>
        <v>115000000</v>
      </c>
      <c r="Z227" s="5">
        <f t="shared" si="22"/>
        <v>287406280.56068677</v>
      </c>
    </row>
    <row r="228" spans="1:26" x14ac:dyDescent="0.25">
      <c r="A228">
        <v>12510</v>
      </c>
      <c r="B228">
        <v>183</v>
      </c>
      <c r="C228">
        <v>2017</v>
      </c>
      <c r="D228" t="s">
        <v>96</v>
      </c>
      <c r="E228" t="s">
        <v>69</v>
      </c>
      <c r="F228" s="2">
        <v>0</v>
      </c>
      <c r="G228" s="2">
        <v>0.7231161429893993</v>
      </c>
      <c r="H228" s="14">
        <f t="shared" si="18"/>
        <v>0</v>
      </c>
      <c r="I228" s="5">
        <v>140000000</v>
      </c>
      <c r="J228">
        <v>2</v>
      </c>
      <c r="K228" s="6">
        <v>3.2500000000000001E-2</v>
      </c>
      <c r="L228" s="6">
        <v>0.65</v>
      </c>
      <c r="M228" t="str">
        <f t="shared" si="23"/>
        <v>SUBL</v>
      </c>
      <c r="N228" t="s">
        <v>70</v>
      </c>
      <c r="O228" t="str">
        <f>VLOOKUP(Table1[[#This Row],[SCHEMATIC TYPE]],'SCHEMATIC Lookup'!$B$1:$C$5,2)</f>
        <v>Leveraged Whole Loan</v>
      </c>
      <c r="P228" s="8">
        <v>193606520</v>
      </c>
      <c r="Q228" t="s">
        <v>97</v>
      </c>
      <c r="R228" t="s">
        <v>82</v>
      </c>
      <c r="S228" t="s">
        <v>71</v>
      </c>
      <c r="T228" t="s">
        <v>88</v>
      </c>
      <c r="U228" s="12" t="s">
        <v>232</v>
      </c>
      <c r="V228" s="12" t="s">
        <v>233</v>
      </c>
      <c r="W228" s="11">
        <v>36</v>
      </c>
      <c r="X228" s="2">
        <f t="shared" si="20"/>
        <v>0.47002549294310958</v>
      </c>
      <c r="Y228" s="5">
        <f t="shared" si="21"/>
        <v>49000000</v>
      </c>
      <c r="Z228" s="5">
        <f t="shared" si="22"/>
        <v>140000000</v>
      </c>
    </row>
    <row r="229" spans="1:26" x14ac:dyDescent="0.25">
      <c r="A229">
        <v>12520</v>
      </c>
      <c r="B229">
        <v>183</v>
      </c>
      <c r="C229">
        <v>2017</v>
      </c>
      <c r="D229" t="s">
        <v>96</v>
      </c>
      <c r="E229" t="s">
        <v>69</v>
      </c>
      <c r="F229" s="2">
        <v>0</v>
      </c>
      <c r="G229" s="2">
        <v>0.61684099278501647</v>
      </c>
      <c r="H229" s="14">
        <f t="shared" si="18"/>
        <v>0</v>
      </c>
      <c r="I229" s="5">
        <v>51000000</v>
      </c>
      <c r="J229">
        <v>3</v>
      </c>
      <c r="K229" s="6">
        <v>4.7500000000000001E-2</v>
      </c>
      <c r="L229" s="6">
        <v>0.5892857142857143</v>
      </c>
      <c r="M229" t="str">
        <f t="shared" si="23"/>
        <v>SUBL</v>
      </c>
      <c r="N229" t="s">
        <v>70</v>
      </c>
      <c r="O229" t="str">
        <f>VLOOKUP(Table1[[#This Row],[SCHEMATIC TYPE]],'SCHEMATIC Lookup'!$B$1:$C$5,2)</f>
        <v>Leveraged Whole Loan</v>
      </c>
      <c r="P229" s="8">
        <v>82679330</v>
      </c>
      <c r="Q229" t="s">
        <v>97</v>
      </c>
      <c r="R229" t="s">
        <v>82</v>
      </c>
      <c r="S229" t="s">
        <v>71</v>
      </c>
      <c r="T229" t="s">
        <v>88</v>
      </c>
      <c r="U229" s="12" t="s">
        <v>238</v>
      </c>
      <c r="V229" s="12" t="s">
        <v>235</v>
      </c>
      <c r="W229" s="11">
        <v>36</v>
      </c>
      <c r="X229" s="2">
        <f t="shared" si="20"/>
        <v>0.36349558503402757</v>
      </c>
      <c r="Y229" s="5">
        <f t="shared" si="21"/>
        <v>20946428.571428571</v>
      </c>
      <c r="Z229" s="5">
        <f t="shared" si="22"/>
        <v>51000000</v>
      </c>
    </row>
    <row r="230" spans="1:26" x14ac:dyDescent="0.25">
      <c r="A230">
        <v>12530</v>
      </c>
      <c r="B230">
        <v>119</v>
      </c>
      <c r="C230">
        <v>2017</v>
      </c>
      <c r="D230" t="s">
        <v>74</v>
      </c>
      <c r="E230" t="s">
        <v>69</v>
      </c>
      <c r="F230" s="2">
        <v>0.60899999999999999</v>
      </c>
      <c r="G230" s="2">
        <v>0.76100000000000001</v>
      </c>
      <c r="H230" s="14">
        <f t="shared" si="18"/>
        <v>0</v>
      </c>
      <c r="I230" s="5">
        <v>26200000</v>
      </c>
      <c r="J230">
        <v>2</v>
      </c>
      <c r="K230" s="6">
        <v>8.7499999999999994E-2</v>
      </c>
      <c r="L230" s="6">
        <v>0</v>
      </c>
      <c r="M230" t="str">
        <f t="shared" si="23"/>
        <v>SUB</v>
      </c>
      <c r="N230" t="s">
        <v>75</v>
      </c>
      <c r="O230" t="str">
        <f>VLOOKUP(Table1[[#This Row],[SCHEMATIC TYPE]],'SCHEMATIC Lookup'!$B$1:$C$5,2)</f>
        <v>Mezzanine Loan</v>
      </c>
      <c r="P230" s="8">
        <v>172193825</v>
      </c>
      <c r="Q230" t="s">
        <v>71</v>
      </c>
      <c r="R230" t="s">
        <v>72</v>
      </c>
      <c r="S230" t="s">
        <v>71</v>
      </c>
      <c r="T230" t="s">
        <v>71</v>
      </c>
      <c r="U230" s="12" t="s">
        <v>235</v>
      </c>
      <c r="V230" s="12" t="s">
        <v>231</v>
      </c>
      <c r="W230" s="11">
        <v>37</v>
      </c>
      <c r="X230" s="2">
        <f t="shared" si="20"/>
        <v>0.60899999999999999</v>
      </c>
      <c r="Y230" s="5">
        <f t="shared" si="21"/>
        <v>26200000</v>
      </c>
      <c r="Z230" s="5">
        <f t="shared" si="22"/>
        <v>26200000</v>
      </c>
    </row>
    <row r="231" spans="1:26" x14ac:dyDescent="0.25">
      <c r="A231">
        <v>12540</v>
      </c>
      <c r="B231">
        <v>119</v>
      </c>
      <c r="C231">
        <v>2017</v>
      </c>
      <c r="D231" t="s">
        <v>74</v>
      </c>
      <c r="E231" t="s">
        <v>69</v>
      </c>
      <c r="F231" s="2">
        <v>0.55850604009496507</v>
      </c>
      <c r="G231" s="2">
        <v>0.6570659295234883</v>
      </c>
      <c r="H231" s="14">
        <f t="shared" si="18"/>
        <v>0</v>
      </c>
      <c r="I231" s="5">
        <v>17690544.030000001</v>
      </c>
      <c r="J231">
        <v>1</v>
      </c>
      <c r="K231" s="6">
        <v>8.6669999999999997E-2</v>
      </c>
      <c r="L231" s="6">
        <v>0</v>
      </c>
      <c r="M231" t="str">
        <f t="shared" si="23"/>
        <v>SUB</v>
      </c>
      <c r="N231" t="s">
        <v>75</v>
      </c>
      <c r="O231" t="str">
        <f>VLOOKUP(Table1[[#This Row],[SCHEMATIC TYPE]],'SCHEMATIC Lookup'!$B$1:$C$5,2)</f>
        <v>Mezzanine Loan</v>
      </c>
      <c r="P231" s="8">
        <v>179490299.07170689</v>
      </c>
      <c r="Q231" t="s">
        <v>71</v>
      </c>
      <c r="R231" t="s">
        <v>72</v>
      </c>
      <c r="S231" t="s">
        <v>71</v>
      </c>
      <c r="T231" t="s">
        <v>71</v>
      </c>
      <c r="U231" s="12" t="s">
        <v>230</v>
      </c>
      <c r="V231" s="12" t="s">
        <v>234</v>
      </c>
      <c r="W231" s="11">
        <v>48</v>
      </c>
      <c r="X231" s="2">
        <f t="shared" si="20"/>
        <v>0.55850604009496507</v>
      </c>
      <c r="Y231" s="5">
        <f t="shared" si="21"/>
        <v>17690544.030000001</v>
      </c>
      <c r="Z231" s="5">
        <f t="shared" si="22"/>
        <v>17690544.030000001</v>
      </c>
    </row>
    <row r="232" spans="1:26" x14ac:dyDescent="0.25">
      <c r="A232">
        <v>12550</v>
      </c>
      <c r="B232">
        <v>119</v>
      </c>
      <c r="C232">
        <v>2017</v>
      </c>
      <c r="D232" t="s">
        <v>68</v>
      </c>
      <c r="E232" t="s">
        <v>69</v>
      </c>
      <c r="F232" s="2">
        <v>0.62268246720956311</v>
      </c>
      <c r="G232" s="2">
        <v>0.77835308401195391</v>
      </c>
      <c r="H232" s="14">
        <f t="shared" si="18"/>
        <v>0</v>
      </c>
      <c r="I232" s="5">
        <v>12751100.399999999</v>
      </c>
      <c r="J232">
        <v>1</v>
      </c>
      <c r="K232" s="6">
        <v>0.1</v>
      </c>
      <c r="L232" s="6">
        <v>0.4</v>
      </c>
      <c r="M232" t="str">
        <f t="shared" si="23"/>
        <v>SUBL</v>
      </c>
      <c r="N232" t="s">
        <v>70</v>
      </c>
      <c r="O232" t="str">
        <f>VLOOKUP(Table1[[#This Row],[SCHEMATIC TYPE]],'SCHEMATIC Lookup'!$B$1:$C$5,2)</f>
        <v>Leveraged Whole Loan</v>
      </c>
      <c r="P232" s="8">
        <v>81910772</v>
      </c>
      <c r="Q232" t="s">
        <v>71</v>
      </c>
      <c r="R232" t="s">
        <v>72</v>
      </c>
      <c r="S232" t="s">
        <v>71</v>
      </c>
      <c r="T232" t="s">
        <v>71</v>
      </c>
      <c r="U232" s="12" t="s">
        <v>235</v>
      </c>
      <c r="V232" s="12" t="s">
        <v>231</v>
      </c>
      <c r="W232" s="11">
        <v>61</v>
      </c>
      <c r="X232" s="2">
        <f t="shared" si="20"/>
        <v>0.62268246720956311</v>
      </c>
      <c r="Y232" s="5">
        <f t="shared" si="21"/>
        <v>12751100.399999999</v>
      </c>
      <c r="Z232" s="5">
        <f t="shared" si="22"/>
        <v>63755501.999999978</v>
      </c>
    </row>
    <row r="233" spans="1:26" x14ac:dyDescent="0.25">
      <c r="A233">
        <v>12560</v>
      </c>
      <c r="B233">
        <v>119</v>
      </c>
      <c r="C233">
        <v>2017</v>
      </c>
      <c r="D233" t="s">
        <v>68</v>
      </c>
      <c r="E233" t="s">
        <v>69</v>
      </c>
      <c r="F233" s="2">
        <v>0.42489999999999994</v>
      </c>
      <c r="G233" s="2">
        <v>0.60699999999999998</v>
      </c>
      <c r="H233" s="14">
        <f t="shared" si="18"/>
        <v>0</v>
      </c>
      <c r="I233" s="5">
        <v>40007700</v>
      </c>
      <c r="J233">
        <v>6</v>
      </c>
      <c r="K233" s="6">
        <v>8.5000000000000006E-2</v>
      </c>
      <c r="L233" s="6">
        <v>0.7</v>
      </c>
      <c r="M233" t="str">
        <f t="shared" si="23"/>
        <v>SUBL</v>
      </c>
      <c r="N233" t="s">
        <v>70</v>
      </c>
      <c r="O233" t="str">
        <f>VLOOKUP(Table1[[#This Row],[SCHEMATIC TYPE]],'SCHEMATIC Lookup'!$B$1:$C$5,2)</f>
        <v>Leveraged Whole Loan</v>
      </c>
      <c r="P233" s="8">
        <v>219742153</v>
      </c>
      <c r="Q233" t="s">
        <v>71</v>
      </c>
      <c r="R233" t="s">
        <v>72</v>
      </c>
      <c r="S233" t="s">
        <v>71</v>
      </c>
      <c r="T233" t="s">
        <v>71</v>
      </c>
      <c r="U233" s="12" t="s">
        <v>232</v>
      </c>
      <c r="V233" s="12" t="s">
        <v>235</v>
      </c>
      <c r="W233" s="11">
        <v>61</v>
      </c>
      <c r="X233" s="2">
        <f t="shared" si="20"/>
        <v>0.42489999999999994</v>
      </c>
      <c r="Y233" s="5">
        <f t="shared" si="21"/>
        <v>40007700</v>
      </c>
      <c r="Z233" s="5">
        <f t="shared" si="22"/>
        <v>133358999.99999996</v>
      </c>
    </row>
    <row r="234" spans="1:26" x14ac:dyDescent="0.25">
      <c r="A234">
        <v>12570</v>
      </c>
      <c r="B234">
        <v>119</v>
      </c>
      <c r="C234">
        <v>2017</v>
      </c>
      <c r="D234" t="s">
        <v>68</v>
      </c>
      <c r="E234" t="s">
        <v>69</v>
      </c>
      <c r="F234" s="2">
        <v>0.50023852207076747</v>
      </c>
      <c r="G234" s="2">
        <v>0.71462646010109632</v>
      </c>
      <c r="H234" s="14">
        <f t="shared" si="18"/>
        <v>0</v>
      </c>
      <c r="I234" s="5">
        <v>16539600</v>
      </c>
      <c r="J234">
        <v>1</v>
      </c>
      <c r="K234" s="6">
        <v>8.43E-2</v>
      </c>
      <c r="L234" s="6">
        <v>0.7</v>
      </c>
      <c r="M234" t="str">
        <f t="shared" si="23"/>
        <v>SUBL</v>
      </c>
      <c r="N234" t="s">
        <v>70</v>
      </c>
      <c r="O234" t="str">
        <f>VLOOKUP(Table1[[#This Row],[SCHEMATIC TYPE]],'SCHEMATIC Lookup'!$B$1:$C$5,2)</f>
        <v>Leveraged Whole Loan</v>
      </c>
      <c r="P234" s="8">
        <v>77147997</v>
      </c>
      <c r="Q234" t="s">
        <v>71</v>
      </c>
      <c r="R234" t="s">
        <v>72</v>
      </c>
      <c r="S234" t="s">
        <v>71</v>
      </c>
      <c r="T234" t="s">
        <v>71</v>
      </c>
      <c r="U234" s="12" t="s">
        <v>236</v>
      </c>
      <c r="V234" s="12" t="s">
        <v>233</v>
      </c>
      <c r="W234" s="11">
        <v>61</v>
      </c>
      <c r="X234" s="2">
        <f t="shared" si="20"/>
        <v>0.50023852207076747</v>
      </c>
      <c r="Y234" s="5">
        <f t="shared" si="21"/>
        <v>16539600</v>
      </c>
      <c r="Z234" s="5">
        <f t="shared" si="22"/>
        <v>55132000.000000015</v>
      </c>
    </row>
    <row r="235" spans="1:26" x14ac:dyDescent="0.25">
      <c r="A235">
        <v>12580</v>
      </c>
      <c r="B235">
        <v>119</v>
      </c>
      <c r="C235">
        <v>2017</v>
      </c>
      <c r="D235" t="s">
        <v>68</v>
      </c>
      <c r="E235" t="s">
        <v>69</v>
      </c>
      <c r="F235" s="2">
        <v>0.48734518000916283</v>
      </c>
      <c r="G235" s="2">
        <v>0.69620740001308978</v>
      </c>
      <c r="H235" s="14">
        <f t="shared" si="18"/>
        <v>0</v>
      </c>
      <c r="I235" s="5">
        <v>39000000</v>
      </c>
      <c r="J235">
        <v>2</v>
      </c>
      <c r="K235" s="6">
        <v>9.5000000000000001E-2</v>
      </c>
      <c r="L235" s="6">
        <v>0.7</v>
      </c>
      <c r="M235" t="str">
        <f t="shared" si="23"/>
        <v>SUBL</v>
      </c>
      <c r="N235" t="s">
        <v>70</v>
      </c>
      <c r="O235" t="str">
        <f>VLOOKUP(Table1[[#This Row],[SCHEMATIC TYPE]],'SCHEMATIC Lookup'!$B$1:$C$5,2)</f>
        <v>Leveraged Whole Loan</v>
      </c>
      <c r="P235" s="8">
        <v>186725967</v>
      </c>
      <c r="Q235" t="s">
        <v>71</v>
      </c>
      <c r="R235" t="s">
        <v>72</v>
      </c>
      <c r="S235" t="s">
        <v>71</v>
      </c>
      <c r="T235" t="s">
        <v>71</v>
      </c>
      <c r="U235" s="12" t="s">
        <v>232</v>
      </c>
      <c r="V235" s="12" t="s">
        <v>234</v>
      </c>
      <c r="W235" s="11">
        <v>85</v>
      </c>
      <c r="X235" s="2">
        <f t="shared" si="20"/>
        <v>0.48734518000916283</v>
      </c>
      <c r="Y235" s="5">
        <f t="shared" si="21"/>
        <v>39000000</v>
      </c>
      <c r="Z235" s="5">
        <f t="shared" si="22"/>
        <v>129999999.99999999</v>
      </c>
    </row>
    <row r="236" spans="1:26" x14ac:dyDescent="0.25">
      <c r="A236">
        <v>12590</v>
      </c>
      <c r="B236">
        <v>119</v>
      </c>
      <c r="C236">
        <v>2017</v>
      </c>
      <c r="D236" t="s">
        <v>68</v>
      </c>
      <c r="E236" t="s">
        <v>69</v>
      </c>
      <c r="F236" s="2">
        <v>0.53510685726217311</v>
      </c>
      <c r="G236" s="2">
        <v>0.751697728058767</v>
      </c>
      <c r="H236" s="14">
        <f t="shared" si="18"/>
        <v>0</v>
      </c>
      <c r="I236" s="5">
        <v>8500000</v>
      </c>
      <c r="J236">
        <v>2</v>
      </c>
      <c r="K236" s="6">
        <v>9.2499999999999999E-2</v>
      </c>
      <c r="L236" s="6">
        <v>0.7</v>
      </c>
      <c r="M236" t="str">
        <f t="shared" si="23"/>
        <v>SUBL</v>
      </c>
      <c r="N236" t="s">
        <v>70</v>
      </c>
      <c r="O236" t="str">
        <f>VLOOKUP(Table1[[#This Row],[SCHEMATIC TYPE]],'SCHEMATIC Lookup'!$B$1:$C$5,2)</f>
        <v>Leveraged Whole Loan</v>
      </c>
      <c r="P236" s="8">
        <v>39244498.01941362</v>
      </c>
      <c r="Q236" t="s">
        <v>71</v>
      </c>
      <c r="R236" t="s">
        <v>72</v>
      </c>
      <c r="S236" t="s">
        <v>71</v>
      </c>
      <c r="T236" t="s">
        <v>71</v>
      </c>
      <c r="U236" s="12" t="s">
        <v>236</v>
      </c>
      <c r="V236" s="12" t="s">
        <v>231</v>
      </c>
      <c r="W236" s="11">
        <v>36</v>
      </c>
      <c r="X236" s="2">
        <f t="shared" si="20"/>
        <v>0.53510685726217311</v>
      </c>
      <c r="Y236" s="5">
        <f t="shared" si="21"/>
        <v>8500000</v>
      </c>
      <c r="Z236" s="5">
        <f t="shared" si="22"/>
        <v>29500000</v>
      </c>
    </row>
    <row r="237" spans="1:26" x14ac:dyDescent="0.25">
      <c r="A237">
        <v>12600</v>
      </c>
      <c r="B237">
        <v>119</v>
      </c>
      <c r="C237">
        <v>2017</v>
      </c>
      <c r="D237" t="s">
        <v>74</v>
      </c>
      <c r="E237" t="s">
        <v>69</v>
      </c>
      <c r="F237" s="2">
        <v>0.55409850270505157</v>
      </c>
      <c r="G237" s="2">
        <v>0.73879800360673542</v>
      </c>
      <c r="H237" s="14">
        <f t="shared" si="18"/>
        <v>0</v>
      </c>
      <c r="I237" s="5">
        <v>34220000</v>
      </c>
      <c r="J237">
        <v>1</v>
      </c>
      <c r="K237" s="6">
        <v>8.3000000000000004E-2</v>
      </c>
      <c r="L237" s="6">
        <v>0</v>
      </c>
      <c r="M237" t="str">
        <f t="shared" si="23"/>
        <v>SUB</v>
      </c>
      <c r="N237" t="s">
        <v>75</v>
      </c>
      <c r="O237" t="str">
        <f>VLOOKUP(Table1[[#This Row],[SCHEMATIC TYPE]],'SCHEMATIC Lookup'!$B$1:$C$5,2)</f>
        <v>Mezzanine Loan</v>
      </c>
      <c r="P237" s="8">
        <v>185273917</v>
      </c>
      <c r="Q237" t="s">
        <v>71</v>
      </c>
      <c r="R237" t="s">
        <v>72</v>
      </c>
      <c r="S237" t="s">
        <v>71</v>
      </c>
      <c r="T237" t="s">
        <v>71</v>
      </c>
      <c r="U237" s="12" t="s">
        <v>230</v>
      </c>
      <c r="V237" s="12" t="s">
        <v>233</v>
      </c>
      <c r="W237" s="11">
        <v>60</v>
      </c>
      <c r="X237" s="2">
        <f t="shared" si="20"/>
        <v>0.55409850270505157</v>
      </c>
      <c r="Y237" s="5">
        <f t="shared" si="21"/>
        <v>34220000</v>
      </c>
      <c r="Z237" s="5">
        <f t="shared" si="22"/>
        <v>34220000</v>
      </c>
    </row>
    <row r="238" spans="1:26" x14ac:dyDescent="0.25">
      <c r="A238">
        <v>12610</v>
      </c>
      <c r="B238">
        <v>119</v>
      </c>
      <c r="C238">
        <v>2017</v>
      </c>
      <c r="D238" t="s">
        <v>68</v>
      </c>
      <c r="E238" t="s">
        <v>69</v>
      </c>
      <c r="F238" s="2">
        <v>0.48103503487507099</v>
      </c>
      <c r="G238" s="2">
        <v>0.66349659982768416</v>
      </c>
      <c r="H238" s="14">
        <f t="shared" si="18"/>
        <v>0</v>
      </c>
      <c r="I238" s="5">
        <v>7364500</v>
      </c>
      <c r="J238">
        <v>1</v>
      </c>
      <c r="K238" s="6">
        <v>8.1000000000000003E-2</v>
      </c>
      <c r="L238" s="6">
        <v>0.75</v>
      </c>
      <c r="M238" t="str">
        <f t="shared" si="23"/>
        <v>SUBL</v>
      </c>
      <c r="N238" t="s">
        <v>70</v>
      </c>
      <c r="O238" t="str">
        <f>VLOOKUP(Table1[[#This Row],[SCHEMATIC TYPE]],'SCHEMATIC Lookup'!$B$1:$C$5,2)</f>
        <v>Leveraged Whole Loan</v>
      </c>
      <c r="P238" s="8">
        <v>40361925</v>
      </c>
      <c r="Q238" t="s">
        <v>71</v>
      </c>
      <c r="R238" t="s">
        <v>73</v>
      </c>
      <c r="S238" t="s">
        <v>71</v>
      </c>
      <c r="T238" t="s">
        <v>71</v>
      </c>
      <c r="U238" s="12" t="s">
        <v>232</v>
      </c>
      <c r="V238" s="12" t="s">
        <v>234</v>
      </c>
      <c r="W238" s="11">
        <v>37</v>
      </c>
      <c r="X238" s="2">
        <f t="shared" si="20"/>
        <v>0.48103503487507099</v>
      </c>
      <c r="Y238" s="5">
        <f t="shared" si="21"/>
        <v>7364500</v>
      </c>
      <c r="Z238" s="5">
        <f t="shared" si="22"/>
        <v>26779999.999999996</v>
      </c>
    </row>
    <row r="239" spans="1:26" x14ac:dyDescent="0.25">
      <c r="A239">
        <v>12620</v>
      </c>
      <c r="B239">
        <v>119</v>
      </c>
      <c r="C239">
        <v>2017</v>
      </c>
      <c r="D239" t="s">
        <v>74</v>
      </c>
      <c r="E239" t="s">
        <v>69</v>
      </c>
      <c r="F239" s="2">
        <v>0.50800000000000001</v>
      </c>
      <c r="G239" s="2">
        <v>0.67700000000000005</v>
      </c>
      <c r="H239" s="14">
        <f t="shared" si="18"/>
        <v>0</v>
      </c>
      <c r="I239" s="5">
        <v>11130000</v>
      </c>
      <c r="J239">
        <v>1</v>
      </c>
      <c r="K239" s="6">
        <v>9.1999999999999998E-2</v>
      </c>
      <c r="L239" s="6">
        <v>0</v>
      </c>
      <c r="M239" t="str">
        <f t="shared" si="23"/>
        <v>SUB</v>
      </c>
      <c r="N239" t="s">
        <v>75</v>
      </c>
      <c r="O239" t="str">
        <f>VLOOKUP(Table1[[#This Row],[SCHEMATIC TYPE]],'SCHEMATIC Lookup'!$B$1:$C$5,2)</f>
        <v>Mezzanine Loan</v>
      </c>
      <c r="P239" s="8">
        <v>65776176</v>
      </c>
      <c r="Q239" t="s">
        <v>71</v>
      </c>
      <c r="R239" t="s">
        <v>73</v>
      </c>
      <c r="S239" t="s">
        <v>71</v>
      </c>
      <c r="T239" t="s">
        <v>71</v>
      </c>
      <c r="U239" s="12" t="s">
        <v>236</v>
      </c>
      <c r="V239" s="12" t="s">
        <v>234</v>
      </c>
      <c r="W239" s="11">
        <v>61</v>
      </c>
      <c r="X239" s="2">
        <f t="shared" si="20"/>
        <v>0.50800000000000001</v>
      </c>
      <c r="Y239" s="5">
        <f t="shared" si="21"/>
        <v>11130000</v>
      </c>
      <c r="Z239" s="5">
        <f t="shared" si="22"/>
        <v>11130000</v>
      </c>
    </row>
    <row r="240" spans="1:26" x14ac:dyDescent="0.25">
      <c r="A240">
        <v>12630</v>
      </c>
      <c r="B240">
        <v>119</v>
      </c>
      <c r="C240">
        <v>2017</v>
      </c>
      <c r="D240" t="s">
        <v>74</v>
      </c>
      <c r="E240" t="s">
        <v>69</v>
      </c>
      <c r="F240" s="2">
        <v>0.6208841316900795</v>
      </c>
      <c r="G240" s="2">
        <v>0.73045191963538769</v>
      </c>
      <c r="H240" s="14">
        <f t="shared" si="18"/>
        <v>0</v>
      </c>
      <c r="I240" s="5">
        <v>14400000</v>
      </c>
      <c r="J240">
        <v>1</v>
      </c>
      <c r="K240" s="6">
        <v>8.5000000000000006E-2</v>
      </c>
      <c r="L240" s="6">
        <v>0</v>
      </c>
      <c r="M240" t="str">
        <f t="shared" si="23"/>
        <v>SUB</v>
      </c>
      <c r="N240" t="s">
        <v>75</v>
      </c>
      <c r="O240" t="str">
        <f>VLOOKUP(Table1[[#This Row],[SCHEMATIC TYPE]],'SCHEMATIC Lookup'!$B$1:$C$5,2)</f>
        <v>Mezzanine Loan</v>
      </c>
      <c r="P240" s="8">
        <v>128479983.06789589</v>
      </c>
      <c r="Q240" t="s">
        <v>71</v>
      </c>
      <c r="R240" t="s">
        <v>73</v>
      </c>
      <c r="S240" t="s">
        <v>71</v>
      </c>
      <c r="T240" t="s">
        <v>71</v>
      </c>
      <c r="U240" s="12" t="s">
        <v>235</v>
      </c>
      <c r="V240" s="12" t="s">
        <v>233</v>
      </c>
      <c r="W240" s="11">
        <v>61</v>
      </c>
      <c r="X240" s="2">
        <f t="shared" si="20"/>
        <v>0.6208841316900795</v>
      </c>
      <c r="Y240" s="5">
        <f t="shared" si="21"/>
        <v>14400000</v>
      </c>
      <c r="Z240" s="5">
        <f t="shared" si="22"/>
        <v>14400000</v>
      </c>
    </row>
    <row r="241" spans="1:26" x14ac:dyDescent="0.25">
      <c r="A241">
        <v>12640</v>
      </c>
      <c r="B241">
        <v>119</v>
      </c>
      <c r="C241">
        <v>2017</v>
      </c>
      <c r="D241" t="s">
        <v>68</v>
      </c>
      <c r="E241" t="s">
        <v>69</v>
      </c>
      <c r="F241" s="2">
        <v>0.4879992764848835</v>
      </c>
      <c r="G241" s="2">
        <v>0.69714182354983356</v>
      </c>
      <c r="H241" s="14">
        <f t="shared" si="18"/>
        <v>0</v>
      </c>
      <c r="I241" s="5">
        <v>8961000</v>
      </c>
      <c r="J241">
        <v>1</v>
      </c>
      <c r="K241" s="6">
        <v>0.1043</v>
      </c>
      <c r="L241" s="6">
        <v>0.7</v>
      </c>
      <c r="M241" t="str">
        <f t="shared" si="23"/>
        <v>SUBL</v>
      </c>
      <c r="N241" t="s">
        <v>70</v>
      </c>
      <c r="O241" t="str">
        <f>VLOOKUP(Table1[[#This Row],[SCHEMATIC TYPE]],'SCHEMATIC Lookup'!$B$1:$C$5,2)</f>
        <v>Leveraged Whole Loan</v>
      </c>
      <c r="P241" s="8">
        <v>42846375</v>
      </c>
      <c r="Q241" t="s">
        <v>71</v>
      </c>
      <c r="R241" t="s">
        <v>73</v>
      </c>
      <c r="S241" t="s">
        <v>71</v>
      </c>
      <c r="T241" t="s">
        <v>71</v>
      </c>
      <c r="U241" s="12" t="s">
        <v>232</v>
      </c>
      <c r="V241" s="12" t="s">
        <v>234</v>
      </c>
      <c r="W241" s="11">
        <v>60</v>
      </c>
      <c r="X241" s="2">
        <f t="shared" si="20"/>
        <v>0.4879992764848835</v>
      </c>
      <c r="Y241" s="5">
        <f t="shared" si="21"/>
        <v>8961000</v>
      </c>
      <c r="Z241" s="5">
        <f t="shared" si="22"/>
        <v>29870000</v>
      </c>
    </row>
    <row r="242" spans="1:26" x14ac:dyDescent="0.25">
      <c r="A242">
        <v>12650</v>
      </c>
      <c r="B242">
        <v>183</v>
      </c>
      <c r="C242">
        <v>2018</v>
      </c>
      <c r="D242" t="s">
        <v>96</v>
      </c>
      <c r="E242" t="s">
        <v>69</v>
      </c>
      <c r="F242" s="2">
        <v>0</v>
      </c>
      <c r="G242" s="2">
        <v>0.68463958872764064</v>
      </c>
      <c r="H242" s="14">
        <f t="shared" si="18"/>
        <v>0</v>
      </c>
      <c r="I242" s="5">
        <v>111200000</v>
      </c>
      <c r="J242">
        <v>5</v>
      </c>
      <c r="K242" s="6">
        <v>3.95E-2</v>
      </c>
      <c r="L242" s="6">
        <v>0.6</v>
      </c>
      <c r="M242" t="str">
        <f t="shared" si="23"/>
        <v>SUBL</v>
      </c>
      <c r="N242" t="s">
        <v>70</v>
      </c>
      <c r="O242" t="str">
        <f>VLOOKUP(Table1[[#This Row],[SCHEMATIC TYPE]],'SCHEMATIC Lookup'!$B$1:$C$5,2)</f>
        <v>Leveraged Whole Loan</v>
      </c>
      <c r="P242" s="8">
        <v>162421224</v>
      </c>
      <c r="Q242" t="s">
        <v>19</v>
      </c>
      <c r="R242" t="s">
        <v>82</v>
      </c>
      <c r="S242" t="s">
        <v>19</v>
      </c>
      <c r="T242" t="s">
        <v>19</v>
      </c>
      <c r="U242" s="12" t="s">
        <v>232</v>
      </c>
      <c r="V242" s="12" t="s">
        <v>234</v>
      </c>
      <c r="W242" s="11">
        <v>36</v>
      </c>
      <c r="X242" s="2">
        <f t="shared" si="20"/>
        <v>0.41078375323658439</v>
      </c>
      <c r="Y242" s="5">
        <f t="shared" si="21"/>
        <v>44480000</v>
      </c>
      <c r="Z242" s="5">
        <f t="shared" si="22"/>
        <v>111200000</v>
      </c>
    </row>
    <row r="243" spans="1:26" x14ac:dyDescent="0.25">
      <c r="A243">
        <v>12660</v>
      </c>
      <c r="B243">
        <v>183</v>
      </c>
      <c r="C243">
        <v>2018</v>
      </c>
      <c r="D243" t="s">
        <v>96</v>
      </c>
      <c r="E243" t="s">
        <v>69</v>
      </c>
      <c r="F243" s="2">
        <v>0</v>
      </c>
      <c r="G243" s="2">
        <v>0.73062844010377226</v>
      </c>
      <c r="H243" s="14">
        <f t="shared" si="18"/>
        <v>0</v>
      </c>
      <c r="I243" s="5">
        <v>47000000</v>
      </c>
      <c r="J243">
        <v>2</v>
      </c>
      <c r="K243" s="6">
        <v>3.2000000000000001E-2</v>
      </c>
      <c r="L243" s="6">
        <v>0.5957446808510638</v>
      </c>
      <c r="M243" t="str">
        <f t="shared" si="23"/>
        <v>SUBL</v>
      </c>
      <c r="N243" t="s">
        <v>70</v>
      </c>
      <c r="O243" t="str">
        <f>VLOOKUP(Table1[[#This Row],[SCHEMATIC TYPE]],'SCHEMATIC Lookup'!$B$1:$C$5,2)</f>
        <v>Leveraged Whole Loan</v>
      </c>
      <c r="P243" s="8">
        <v>64328183</v>
      </c>
      <c r="Q243" t="s">
        <v>19</v>
      </c>
      <c r="R243" t="s">
        <v>82</v>
      </c>
      <c r="S243" t="s">
        <v>19</v>
      </c>
      <c r="T243" t="s">
        <v>19</v>
      </c>
      <c r="U243" s="12" t="s">
        <v>232</v>
      </c>
      <c r="V243" s="12" t="s">
        <v>233</v>
      </c>
      <c r="W243" s="11">
        <v>36</v>
      </c>
      <c r="X243" s="2">
        <f t="shared" si="20"/>
        <v>0.4352680068703324</v>
      </c>
      <c r="Y243" s="5">
        <f t="shared" si="21"/>
        <v>19000000</v>
      </c>
      <c r="Z243" s="5">
        <f t="shared" si="22"/>
        <v>47000000</v>
      </c>
    </row>
    <row r="244" spans="1:26" x14ac:dyDescent="0.25">
      <c r="A244">
        <v>12670</v>
      </c>
      <c r="B244">
        <v>183</v>
      </c>
      <c r="C244">
        <v>2018</v>
      </c>
      <c r="D244" t="s">
        <v>96</v>
      </c>
      <c r="E244" t="s">
        <v>69</v>
      </c>
      <c r="F244" s="2">
        <v>0</v>
      </c>
      <c r="G244" s="2">
        <v>0.80092641050201685</v>
      </c>
      <c r="H244" s="14">
        <f t="shared" si="18"/>
        <v>0</v>
      </c>
      <c r="I244" s="5">
        <v>19000000</v>
      </c>
      <c r="J244">
        <v>2</v>
      </c>
      <c r="K244" s="6">
        <v>4.4999999999999998E-2</v>
      </c>
      <c r="L244" s="6">
        <v>0.532258064516129</v>
      </c>
      <c r="M244" t="str">
        <f t="shared" si="23"/>
        <v>SUBL</v>
      </c>
      <c r="N244" t="s">
        <v>70</v>
      </c>
      <c r="O244" t="str">
        <f>VLOOKUP(Table1[[#This Row],[SCHEMATIC TYPE]],'SCHEMATIC Lookup'!$B$1:$C$5,2)</f>
        <v>Leveraged Whole Loan</v>
      </c>
      <c r="P244" s="8">
        <v>23722529</v>
      </c>
      <c r="Q244" t="s">
        <v>19</v>
      </c>
      <c r="R244" t="s">
        <v>82</v>
      </c>
      <c r="S244" t="s">
        <v>19</v>
      </c>
      <c r="T244" t="s">
        <v>19</v>
      </c>
      <c r="U244" s="12" t="s">
        <v>232</v>
      </c>
      <c r="V244" s="12" t="s">
        <v>237</v>
      </c>
      <c r="W244" s="11">
        <v>36</v>
      </c>
      <c r="X244" s="2">
        <f t="shared" si="20"/>
        <v>0.42629954107365409</v>
      </c>
      <c r="Y244" s="5">
        <f t="shared" si="21"/>
        <v>8887096.7741935495</v>
      </c>
      <c r="Z244" s="5">
        <f t="shared" si="22"/>
        <v>19000000</v>
      </c>
    </row>
    <row r="245" spans="1:26" x14ac:dyDescent="0.25">
      <c r="A245">
        <v>12680</v>
      </c>
      <c r="B245">
        <v>119</v>
      </c>
      <c r="C245">
        <v>2018</v>
      </c>
      <c r="D245" t="s">
        <v>74</v>
      </c>
      <c r="E245" t="s">
        <v>69</v>
      </c>
      <c r="F245" s="2">
        <v>0.58127616626884093</v>
      </c>
      <c r="G245" s="2">
        <v>0.74150966126459028</v>
      </c>
      <c r="H245" s="14">
        <f t="shared" si="18"/>
        <v>0</v>
      </c>
      <c r="I245" s="5">
        <v>16126000.000000007</v>
      </c>
      <c r="J245">
        <v>5</v>
      </c>
      <c r="K245" s="6">
        <v>8.8325000000000001E-2</v>
      </c>
      <c r="L245" s="6">
        <v>0</v>
      </c>
      <c r="M245" t="str">
        <f t="shared" si="23"/>
        <v>SUB</v>
      </c>
      <c r="N245" t="s">
        <v>75</v>
      </c>
      <c r="O245" t="str">
        <f>VLOOKUP(Table1[[#This Row],[SCHEMATIC TYPE]],'SCHEMATIC Lookup'!$B$1:$C$5,2)</f>
        <v>Mezzanine Loan</v>
      </c>
      <c r="P245" s="8">
        <v>100640630.72722591</v>
      </c>
      <c r="Q245" t="s">
        <v>71</v>
      </c>
      <c r="R245" t="s">
        <v>73</v>
      </c>
      <c r="S245" t="s">
        <v>71</v>
      </c>
      <c r="T245" t="s">
        <v>71</v>
      </c>
      <c r="U245" s="12" t="s">
        <v>230</v>
      </c>
      <c r="V245" s="12" t="s">
        <v>233</v>
      </c>
      <c r="W245" s="11">
        <v>36</v>
      </c>
      <c r="X245" s="2">
        <f t="shared" si="20"/>
        <v>0.58127616626884093</v>
      </c>
      <c r="Y245" s="5">
        <f t="shared" si="21"/>
        <v>16126000.000000007</v>
      </c>
      <c r="Z245" s="5">
        <f t="shared" si="22"/>
        <v>16126000.000000007</v>
      </c>
    </row>
    <row r="246" spans="1:26" x14ac:dyDescent="0.25">
      <c r="A246">
        <v>12690</v>
      </c>
      <c r="B246">
        <v>119</v>
      </c>
      <c r="C246">
        <v>2018</v>
      </c>
      <c r="D246" t="s">
        <v>68</v>
      </c>
      <c r="E246" t="s">
        <v>69</v>
      </c>
      <c r="F246" s="2">
        <v>0.51587871999160861</v>
      </c>
      <c r="G246" s="2">
        <v>0.68783829332214486</v>
      </c>
      <c r="H246" s="14">
        <f t="shared" si="18"/>
        <v>0</v>
      </c>
      <c r="I246" s="5">
        <v>10175500</v>
      </c>
      <c r="J246">
        <v>5</v>
      </c>
      <c r="K246" s="6">
        <v>8.8600000000000012E-2</v>
      </c>
      <c r="L246" s="6">
        <v>0.71783121146286744</v>
      </c>
      <c r="M246" t="str">
        <f t="shared" si="23"/>
        <v>SUBL</v>
      </c>
      <c r="N246" t="s">
        <v>70</v>
      </c>
      <c r="O246" t="str">
        <f>VLOOKUP(Table1[[#This Row],[SCHEMATIC TYPE]],'SCHEMATIC Lookup'!$B$1:$C$5,2)</f>
        <v>Leveraged Whole Loan</v>
      </c>
      <c r="P246" s="8">
        <v>51488005.452574387</v>
      </c>
      <c r="Q246" t="s">
        <v>71</v>
      </c>
      <c r="R246" t="s">
        <v>73</v>
      </c>
      <c r="S246" t="s">
        <v>71</v>
      </c>
      <c r="T246" t="s">
        <v>71</v>
      </c>
      <c r="U246" s="12" t="s">
        <v>236</v>
      </c>
      <c r="V246" s="12" t="s">
        <v>234</v>
      </c>
      <c r="W246" s="11">
        <v>36</v>
      </c>
      <c r="X246" s="2">
        <f t="shared" si="20"/>
        <v>0.51587871999160861</v>
      </c>
      <c r="Y246" s="5">
        <f t="shared" si="21"/>
        <v>10175500</v>
      </c>
      <c r="Z246" s="5">
        <f t="shared" si="22"/>
        <v>40701999.999999993</v>
      </c>
    </row>
    <row r="247" spans="1:26" x14ac:dyDescent="0.25">
      <c r="A247">
        <v>12700</v>
      </c>
      <c r="B247">
        <v>119</v>
      </c>
      <c r="C247">
        <v>2018</v>
      </c>
      <c r="D247" t="s">
        <v>74</v>
      </c>
      <c r="E247" t="s">
        <v>69</v>
      </c>
      <c r="F247" s="2">
        <v>0.6105808972721124</v>
      </c>
      <c r="G247" s="2">
        <v>0.68886049948648576</v>
      </c>
      <c r="H247" s="14">
        <f t="shared" si="18"/>
        <v>0</v>
      </c>
      <c r="I247" s="5">
        <v>25000000</v>
      </c>
      <c r="J247">
        <v>5</v>
      </c>
      <c r="K247" s="6">
        <v>8.3500000000000005E-2</v>
      </c>
      <c r="L247" s="6">
        <v>0</v>
      </c>
      <c r="M247" t="str">
        <f t="shared" si="23"/>
        <v>SUB</v>
      </c>
      <c r="N247" t="s">
        <v>75</v>
      </c>
      <c r="O247" t="str">
        <f>VLOOKUP(Table1[[#This Row],[SCHEMATIC TYPE]],'SCHEMATIC Lookup'!$B$1:$C$5,2)</f>
        <v>Mezzanine Loan</v>
      </c>
      <c r="P247" s="8">
        <v>319368000</v>
      </c>
      <c r="Q247" t="s">
        <v>71</v>
      </c>
      <c r="R247" t="s">
        <v>72</v>
      </c>
      <c r="S247" t="s">
        <v>71</v>
      </c>
      <c r="T247" t="s">
        <v>71</v>
      </c>
      <c r="U247" s="12" t="s">
        <v>235</v>
      </c>
      <c r="V247" s="12" t="s">
        <v>234</v>
      </c>
      <c r="W247" s="11">
        <v>37</v>
      </c>
      <c r="X247" s="2">
        <f t="shared" si="20"/>
        <v>0.6105808972721124</v>
      </c>
      <c r="Y247" s="5">
        <f t="shared" si="21"/>
        <v>25000000</v>
      </c>
      <c r="Z247" s="5">
        <f t="shared" si="22"/>
        <v>25000000</v>
      </c>
    </row>
    <row r="248" spans="1:26" x14ac:dyDescent="0.25">
      <c r="A248">
        <v>12710</v>
      </c>
      <c r="B248">
        <v>119</v>
      </c>
      <c r="C248">
        <v>2018</v>
      </c>
      <c r="D248" t="s">
        <v>68</v>
      </c>
      <c r="E248" t="s">
        <v>69</v>
      </c>
      <c r="F248" s="2">
        <v>0.55920404324925688</v>
      </c>
      <c r="G248" s="2">
        <v>0.74560539099900913</v>
      </c>
      <c r="H248" s="14">
        <f t="shared" si="18"/>
        <v>0</v>
      </c>
      <c r="I248" s="5">
        <v>9738975</v>
      </c>
      <c r="J248">
        <v>6</v>
      </c>
      <c r="K248" s="6">
        <v>8.8999999999999996E-2</v>
      </c>
      <c r="L248" s="6">
        <v>0.75</v>
      </c>
      <c r="M248" t="str">
        <f t="shared" si="23"/>
        <v>SUBL</v>
      </c>
      <c r="N248" t="s">
        <v>70</v>
      </c>
      <c r="O248" t="str">
        <f>VLOOKUP(Table1[[#This Row],[SCHEMATIC TYPE]],'SCHEMATIC Lookup'!$B$1:$C$5,2)</f>
        <v>Leveraged Whole Loan</v>
      </c>
      <c r="P248" s="8">
        <v>52247342.187003806</v>
      </c>
      <c r="Q248" t="s">
        <v>71</v>
      </c>
      <c r="R248" t="s">
        <v>72</v>
      </c>
      <c r="S248" t="s">
        <v>71</v>
      </c>
      <c r="T248" t="s">
        <v>71</v>
      </c>
      <c r="U248" s="12" t="s">
        <v>230</v>
      </c>
      <c r="V248" s="12" t="s">
        <v>233</v>
      </c>
      <c r="W248" s="11">
        <v>60</v>
      </c>
      <c r="X248" s="2">
        <f t="shared" si="20"/>
        <v>0.55920404324925688</v>
      </c>
      <c r="Y248" s="5">
        <f t="shared" si="21"/>
        <v>9738975</v>
      </c>
      <c r="Z248" s="5">
        <f t="shared" si="22"/>
        <v>38955900.000000007</v>
      </c>
    </row>
    <row r="249" spans="1:26" x14ac:dyDescent="0.25">
      <c r="A249">
        <v>12720</v>
      </c>
      <c r="B249">
        <v>183</v>
      </c>
      <c r="C249">
        <v>2018</v>
      </c>
      <c r="D249" t="s">
        <v>96</v>
      </c>
      <c r="E249" t="s">
        <v>69</v>
      </c>
      <c r="F249" s="2">
        <v>0</v>
      </c>
      <c r="G249" s="2">
        <v>0.77980872721220496</v>
      </c>
      <c r="H249" s="14">
        <f t="shared" si="18"/>
        <v>0</v>
      </c>
      <c r="I249" s="5">
        <v>267120000</v>
      </c>
      <c r="J249">
        <v>1</v>
      </c>
      <c r="K249" s="6">
        <v>2.9499999999999998E-2</v>
      </c>
      <c r="L249" s="6">
        <v>0.52952702702702703</v>
      </c>
      <c r="M249" t="str">
        <f t="shared" si="23"/>
        <v>SUBL</v>
      </c>
      <c r="N249" t="s">
        <v>70</v>
      </c>
      <c r="O249" t="str">
        <f>VLOOKUP(Table1[[#This Row],[SCHEMATIC TYPE]],'SCHEMATIC Lookup'!$B$1:$C$5,2)</f>
        <v>Leveraged Whole Loan</v>
      </c>
      <c r="P249" s="5">
        <v>342545538</v>
      </c>
      <c r="Q249" s="5" t="s">
        <v>86</v>
      </c>
      <c r="R249" t="s">
        <v>73</v>
      </c>
      <c r="S249" t="s">
        <v>71</v>
      </c>
      <c r="T249" s="5" t="s">
        <v>88</v>
      </c>
      <c r="U249" s="12" t="s">
        <v>232</v>
      </c>
      <c r="V249" s="12" t="s">
        <v>231</v>
      </c>
      <c r="W249" s="11">
        <v>48</v>
      </c>
      <c r="X249" s="2">
        <f t="shared" si="20"/>
        <v>0.41292979697040882</v>
      </c>
      <c r="Y249" s="5">
        <f t="shared" si="21"/>
        <v>125672740.54054055</v>
      </c>
      <c r="Z249" s="5">
        <f t="shared" si="22"/>
        <v>267120000</v>
      </c>
    </row>
    <row r="250" spans="1:26" x14ac:dyDescent="0.25">
      <c r="A250">
        <v>12730</v>
      </c>
      <c r="B250">
        <v>183</v>
      </c>
      <c r="C250">
        <v>2018</v>
      </c>
      <c r="D250" t="s">
        <v>96</v>
      </c>
      <c r="E250" t="s">
        <v>69</v>
      </c>
      <c r="F250" s="2">
        <v>0</v>
      </c>
      <c r="G250" s="2">
        <v>0.5500280312647603</v>
      </c>
      <c r="H250" s="14">
        <f t="shared" si="18"/>
        <v>0</v>
      </c>
      <c r="I250" s="5">
        <v>38460000</v>
      </c>
      <c r="J250">
        <v>2</v>
      </c>
      <c r="K250" s="6">
        <v>0.03</v>
      </c>
      <c r="L250" s="6">
        <v>0.6500260010400416</v>
      </c>
      <c r="M250" t="str">
        <f t="shared" si="23"/>
        <v>SUBL</v>
      </c>
      <c r="N250" t="s">
        <v>70</v>
      </c>
      <c r="O250" t="str">
        <f>VLOOKUP(Table1[[#This Row],[SCHEMATIC TYPE]],'SCHEMATIC Lookup'!$B$1:$C$5,2)</f>
        <v>Leveraged Whole Loan</v>
      </c>
      <c r="P250" s="5">
        <v>69923709</v>
      </c>
      <c r="Q250" s="5" t="s">
        <v>86</v>
      </c>
      <c r="R250" t="s">
        <v>82</v>
      </c>
      <c r="S250" t="s">
        <v>71</v>
      </c>
      <c r="T250" s="5" t="s">
        <v>88</v>
      </c>
      <c r="U250" s="12" t="s">
        <v>238</v>
      </c>
      <c r="V250" s="12" t="s">
        <v>230</v>
      </c>
      <c r="W250" s="11">
        <v>36</v>
      </c>
      <c r="X250" s="2">
        <f t="shared" si="20"/>
        <v>0.35753252162295912</v>
      </c>
      <c r="Y250" s="5">
        <f t="shared" si="21"/>
        <v>13460000</v>
      </c>
      <c r="Z250" s="5">
        <f t="shared" si="22"/>
        <v>38460000</v>
      </c>
    </row>
    <row r="251" spans="1:26" x14ac:dyDescent="0.25">
      <c r="A251">
        <v>12740</v>
      </c>
      <c r="B251">
        <v>183</v>
      </c>
      <c r="C251">
        <v>2018</v>
      </c>
      <c r="D251" t="s">
        <v>98</v>
      </c>
      <c r="E251" t="s">
        <v>91</v>
      </c>
      <c r="F251" s="2">
        <v>0</v>
      </c>
      <c r="G251" s="2">
        <v>0.73712342575448608</v>
      </c>
      <c r="H251" s="14">
        <f t="shared" si="18"/>
        <v>0</v>
      </c>
      <c r="I251" s="5">
        <v>36630000</v>
      </c>
      <c r="J251">
        <v>7</v>
      </c>
      <c r="K251" s="6">
        <v>9.2999999999999999E-2</v>
      </c>
      <c r="L251" s="6">
        <v>0</v>
      </c>
      <c r="M251" t="str">
        <f t="shared" si="23"/>
        <v>SENIOR</v>
      </c>
      <c r="N251" t="s">
        <v>90</v>
      </c>
      <c r="O251" t="str">
        <f>VLOOKUP(Table1[[#This Row],[SCHEMATIC TYPE]],'SCHEMATIC Lookup'!$B$1:$C$5,2)</f>
        <v>Senior Whole Loan</v>
      </c>
      <c r="P251" s="5">
        <v>49693170.397491023</v>
      </c>
      <c r="Q251" t="s">
        <v>71</v>
      </c>
      <c r="R251" t="s">
        <v>80</v>
      </c>
      <c r="S251" t="s">
        <v>71</v>
      </c>
      <c r="T251" t="s">
        <v>88</v>
      </c>
      <c r="U251" s="12" t="s">
        <v>238</v>
      </c>
      <c r="V251" s="12" t="s">
        <v>233</v>
      </c>
      <c r="W251" s="11">
        <v>60</v>
      </c>
      <c r="X251" s="2">
        <f t="shared" si="20"/>
        <v>0</v>
      </c>
      <c r="Y251" s="5">
        <f t="shared" si="21"/>
        <v>36630000</v>
      </c>
      <c r="Z251" s="5">
        <f t="shared" si="22"/>
        <v>36630000</v>
      </c>
    </row>
    <row r="252" spans="1:26" x14ac:dyDescent="0.25">
      <c r="A252">
        <v>12750</v>
      </c>
      <c r="B252">
        <v>236</v>
      </c>
      <c r="C252">
        <v>2017</v>
      </c>
      <c r="D252" t="s">
        <v>99</v>
      </c>
      <c r="E252" t="s">
        <v>69</v>
      </c>
      <c r="F252" s="2">
        <v>0</v>
      </c>
      <c r="G252" s="2">
        <v>0.62</v>
      </c>
      <c r="H252" s="14">
        <f t="shared" si="18"/>
        <v>0</v>
      </c>
      <c r="I252" s="5">
        <v>26843300</v>
      </c>
      <c r="J252">
        <v>6</v>
      </c>
      <c r="K252" s="6">
        <v>4.7500000000000007E-2</v>
      </c>
      <c r="L252" s="6">
        <v>0.5</v>
      </c>
      <c r="M252" t="str">
        <f t="shared" si="23"/>
        <v>SUBL</v>
      </c>
      <c r="N252" t="s">
        <v>70</v>
      </c>
      <c r="O252" t="str">
        <f>VLOOKUP(Table1[[#This Row],[SCHEMATIC TYPE]],'SCHEMATIC Lookup'!$B$1:$C$5,2)</f>
        <v>Leveraged Whole Loan</v>
      </c>
      <c r="P252" s="5">
        <v>36771643.83561644</v>
      </c>
      <c r="Q252" s="5" t="s">
        <v>100</v>
      </c>
      <c r="R252" t="s">
        <v>101</v>
      </c>
      <c r="S252" t="s">
        <v>71</v>
      </c>
      <c r="T252" s="5" t="s">
        <v>88</v>
      </c>
      <c r="U252" s="12" t="s">
        <v>238</v>
      </c>
      <c r="V252" s="12" t="s">
        <v>235</v>
      </c>
      <c r="W252" s="11">
        <v>36</v>
      </c>
      <c r="X252" s="2">
        <f t="shared" si="20"/>
        <v>0.31</v>
      </c>
      <c r="Y252" s="5">
        <f t="shared" si="21"/>
        <v>13421650</v>
      </c>
      <c r="Z252" s="5">
        <f t="shared" si="22"/>
        <v>26843300</v>
      </c>
    </row>
    <row r="253" spans="1:26" x14ac:dyDescent="0.25">
      <c r="A253">
        <v>12760</v>
      </c>
      <c r="B253">
        <v>236</v>
      </c>
      <c r="C253">
        <v>2018</v>
      </c>
      <c r="D253" t="s">
        <v>99</v>
      </c>
      <c r="E253" t="s">
        <v>69</v>
      </c>
      <c r="F253" s="2">
        <v>0</v>
      </c>
      <c r="G253" s="2">
        <v>0.56999999999999995</v>
      </c>
      <c r="H253" s="14">
        <f t="shared" si="18"/>
        <v>0</v>
      </c>
      <c r="I253" s="5">
        <v>119100000</v>
      </c>
      <c r="J253">
        <v>6</v>
      </c>
      <c r="K253" s="6">
        <v>4.4000000000000004E-2</v>
      </c>
      <c r="L253" s="6">
        <v>0.5</v>
      </c>
      <c r="M253" t="str">
        <f t="shared" ref="M253:M271" si="24">IF(AND(H253=0,OR(F253&gt;0,L253&gt;0)),"SUB",IF(AND(H253=0,F253=0),"SENIOR","BAD"))&amp;IF(L253&gt;0,"L","")</f>
        <v>SUBL</v>
      </c>
      <c r="N253" t="s">
        <v>70</v>
      </c>
      <c r="O253" t="str">
        <f>VLOOKUP(Table1[[#This Row],[SCHEMATIC TYPE]],'SCHEMATIC Lookup'!$B$1:$C$5,2)</f>
        <v>Leveraged Whole Loan</v>
      </c>
      <c r="P253" s="5">
        <v>195100000</v>
      </c>
      <c r="Q253" s="5" t="s">
        <v>100</v>
      </c>
      <c r="R253" t="s">
        <v>101</v>
      </c>
      <c r="S253" t="s">
        <v>71</v>
      </c>
      <c r="T253" s="5" t="s">
        <v>88</v>
      </c>
      <c r="U253" s="12" t="s">
        <v>238</v>
      </c>
      <c r="V253" s="12" t="s">
        <v>230</v>
      </c>
      <c r="W253" s="11">
        <v>36</v>
      </c>
      <c r="X253" s="2">
        <f t="shared" si="20"/>
        <v>0.28499999999999998</v>
      </c>
      <c r="Y253" s="5">
        <f t="shared" si="21"/>
        <v>59550000</v>
      </c>
      <c r="Z253" s="5">
        <f t="shared" si="22"/>
        <v>119100000</v>
      </c>
    </row>
    <row r="254" spans="1:26" x14ac:dyDescent="0.25">
      <c r="A254">
        <v>12770</v>
      </c>
      <c r="B254">
        <v>236</v>
      </c>
      <c r="C254">
        <v>2013</v>
      </c>
      <c r="D254" t="s">
        <v>99</v>
      </c>
      <c r="E254" t="s">
        <v>69</v>
      </c>
      <c r="F254" s="2">
        <v>0</v>
      </c>
      <c r="G254" s="2">
        <v>0.56999999999999995</v>
      </c>
      <c r="H254" s="14">
        <f t="shared" si="18"/>
        <v>0</v>
      </c>
      <c r="I254" s="5">
        <v>16500000</v>
      </c>
      <c r="J254">
        <v>5</v>
      </c>
      <c r="K254" s="6">
        <v>0.14860619469026548</v>
      </c>
      <c r="L254" s="6">
        <v>0.54800000000000004</v>
      </c>
      <c r="M254" t="str">
        <f t="shared" si="24"/>
        <v>SUBL</v>
      </c>
      <c r="N254" t="s">
        <v>70</v>
      </c>
      <c r="O254" t="str">
        <f>VLOOKUP(Table1[[#This Row],[SCHEMATIC TYPE]],'SCHEMATIC Lookup'!$B$1:$C$5,2)</f>
        <v>Leveraged Whole Loan</v>
      </c>
      <c r="P254" s="5">
        <v>17500000</v>
      </c>
      <c r="Q254" s="5" t="s">
        <v>100</v>
      </c>
      <c r="R254" t="s">
        <v>101</v>
      </c>
      <c r="S254" t="s">
        <v>71</v>
      </c>
      <c r="T254" s="5" t="s">
        <v>88</v>
      </c>
      <c r="U254" s="12" t="s">
        <v>238</v>
      </c>
      <c r="V254" s="12" t="s">
        <v>230</v>
      </c>
      <c r="W254" s="11">
        <v>60</v>
      </c>
      <c r="X254" s="2">
        <f t="shared" si="20"/>
        <v>0.31235999999999997</v>
      </c>
      <c r="Y254" s="5">
        <f t="shared" si="21"/>
        <v>7457999.9999999991</v>
      </c>
      <c r="Z254" s="5">
        <f t="shared" si="22"/>
        <v>16500000</v>
      </c>
    </row>
    <row r="255" spans="1:26" x14ac:dyDescent="0.25">
      <c r="A255">
        <v>12780</v>
      </c>
      <c r="B255">
        <v>236</v>
      </c>
      <c r="C255">
        <v>2013</v>
      </c>
      <c r="D255" t="s">
        <v>99</v>
      </c>
      <c r="E255" t="s">
        <v>69</v>
      </c>
      <c r="F255" s="2">
        <v>0</v>
      </c>
      <c r="G255" s="2">
        <v>0.43</v>
      </c>
      <c r="H255" s="14">
        <f t="shared" si="18"/>
        <v>0</v>
      </c>
      <c r="I255" s="5">
        <v>17400000</v>
      </c>
      <c r="J255">
        <v>5</v>
      </c>
      <c r="K255" s="6">
        <v>0.13356222222222225</v>
      </c>
      <c r="L255" s="6">
        <v>0.55000000000000004</v>
      </c>
      <c r="M255" t="str">
        <f t="shared" si="24"/>
        <v>SUBL</v>
      </c>
      <c r="N255" t="s">
        <v>70</v>
      </c>
      <c r="O255" t="str">
        <f>VLOOKUP(Table1[[#This Row],[SCHEMATIC TYPE]],'SCHEMATIC Lookup'!$B$1:$C$5,2)</f>
        <v>Leveraged Whole Loan</v>
      </c>
      <c r="P255" s="5">
        <v>27100000</v>
      </c>
      <c r="Q255" s="5" t="s">
        <v>100</v>
      </c>
      <c r="R255" t="s">
        <v>101</v>
      </c>
      <c r="S255" t="s">
        <v>71</v>
      </c>
      <c r="T255" s="5" t="s">
        <v>88</v>
      </c>
      <c r="U255" s="12" t="s">
        <v>238</v>
      </c>
      <c r="V255" s="12" t="s">
        <v>240</v>
      </c>
      <c r="W255" s="11">
        <v>36</v>
      </c>
      <c r="X255" s="2">
        <f t="shared" si="20"/>
        <v>0.23650000000000002</v>
      </c>
      <c r="Y255" s="5">
        <f t="shared" si="21"/>
        <v>7829999.9999999991</v>
      </c>
      <c r="Z255" s="5">
        <f t="shared" si="22"/>
        <v>17400000</v>
      </c>
    </row>
    <row r="256" spans="1:26" x14ac:dyDescent="0.25">
      <c r="A256">
        <v>12790</v>
      </c>
      <c r="B256">
        <v>236</v>
      </c>
      <c r="C256">
        <v>2013</v>
      </c>
      <c r="D256" t="s">
        <v>99</v>
      </c>
      <c r="E256" t="s">
        <v>69</v>
      </c>
      <c r="F256" s="2">
        <v>0</v>
      </c>
      <c r="G256" s="2">
        <v>0.53</v>
      </c>
      <c r="H256" s="14">
        <f t="shared" si="18"/>
        <v>0</v>
      </c>
      <c r="I256" s="5">
        <v>18000000</v>
      </c>
      <c r="J256">
        <v>1</v>
      </c>
      <c r="K256" s="6">
        <v>9.5508849557522132E-2</v>
      </c>
      <c r="L256" s="6">
        <v>0.54800000000000004</v>
      </c>
      <c r="M256" t="str">
        <f t="shared" si="24"/>
        <v>SUBL</v>
      </c>
      <c r="N256" t="s">
        <v>70</v>
      </c>
      <c r="O256" t="str">
        <f>VLOOKUP(Table1[[#This Row],[SCHEMATIC TYPE]],'SCHEMATIC Lookup'!$B$1:$C$5,2)</f>
        <v>Leveraged Whole Loan</v>
      </c>
      <c r="P256" s="5">
        <v>26200000</v>
      </c>
      <c r="Q256" s="5" t="s">
        <v>100</v>
      </c>
      <c r="R256" t="s">
        <v>101</v>
      </c>
      <c r="S256" t="s">
        <v>71</v>
      </c>
      <c r="T256" s="5" t="s">
        <v>88</v>
      </c>
      <c r="U256" s="12" t="s">
        <v>238</v>
      </c>
      <c r="V256" s="12" t="s">
        <v>240</v>
      </c>
      <c r="W256" s="11">
        <v>36</v>
      </c>
      <c r="X256" s="2">
        <f t="shared" si="20"/>
        <v>0.29044000000000003</v>
      </c>
      <c r="Y256" s="5">
        <f t="shared" si="21"/>
        <v>8135999.9999999991</v>
      </c>
      <c r="Z256" s="5">
        <f t="shared" si="22"/>
        <v>18000000</v>
      </c>
    </row>
    <row r="257" spans="1:26" x14ac:dyDescent="0.25">
      <c r="A257">
        <v>12800</v>
      </c>
      <c r="B257">
        <v>236</v>
      </c>
      <c r="C257">
        <v>2013</v>
      </c>
      <c r="D257" t="s">
        <v>99</v>
      </c>
      <c r="E257" t="s">
        <v>69</v>
      </c>
      <c r="F257" s="2">
        <v>0</v>
      </c>
      <c r="G257" s="2">
        <v>0.65</v>
      </c>
      <c r="H257" s="14">
        <f t="shared" si="18"/>
        <v>0</v>
      </c>
      <c r="I257" s="5">
        <v>18900000</v>
      </c>
      <c r="J257">
        <v>5</v>
      </c>
      <c r="K257" s="6">
        <v>9.5000000000000001E-2</v>
      </c>
      <c r="L257" s="6">
        <v>0.5</v>
      </c>
      <c r="M257" t="str">
        <f t="shared" si="24"/>
        <v>SUBL</v>
      </c>
      <c r="N257" t="s">
        <v>70</v>
      </c>
      <c r="O257" t="str">
        <f>VLOOKUP(Table1[[#This Row],[SCHEMATIC TYPE]],'SCHEMATIC Lookup'!$B$1:$C$5,2)</f>
        <v>Leveraged Whole Loan</v>
      </c>
      <c r="P257" s="5">
        <v>22500000</v>
      </c>
      <c r="Q257" s="5" t="s">
        <v>100</v>
      </c>
      <c r="R257" t="s">
        <v>101</v>
      </c>
      <c r="S257" t="s">
        <v>71</v>
      </c>
      <c r="T257" s="5" t="s">
        <v>88</v>
      </c>
      <c r="U257" s="12" t="s">
        <v>238</v>
      </c>
      <c r="V257" s="12" t="s">
        <v>234</v>
      </c>
      <c r="W257" s="11">
        <v>48</v>
      </c>
      <c r="X257" s="2">
        <f t="shared" si="20"/>
        <v>0.32500000000000001</v>
      </c>
      <c r="Y257" s="5">
        <f t="shared" si="21"/>
        <v>9450000</v>
      </c>
      <c r="Z257" s="5">
        <f t="shared" si="22"/>
        <v>18900000</v>
      </c>
    </row>
    <row r="258" spans="1:26" x14ac:dyDescent="0.25">
      <c r="A258">
        <v>12810</v>
      </c>
      <c r="B258">
        <v>236</v>
      </c>
      <c r="C258">
        <v>2013</v>
      </c>
      <c r="D258" t="s">
        <v>99</v>
      </c>
      <c r="E258" t="s">
        <v>69</v>
      </c>
      <c r="F258" s="2">
        <v>0</v>
      </c>
      <c r="G258" s="2">
        <v>0.7</v>
      </c>
      <c r="H258" s="14">
        <f t="shared" si="18"/>
        <v>0</v>
      </c>
      <c r="I258" s="5">
        <v>25748000</v>
      </c>
      <c r="J258">
        <v>1</v>
      </c>
      <c r="K258" s="6">
        <v>9.4402654867256644E-2</v>
      </c>
      <c r="L258" s="6">
        <v>0.54800000000000004</v>
      </c>
      <c r="M258" t="str">
        <f t="shared" si="24"/>
        <v>SUBL</v>
      </c>
      <c r="N258" t="s">
        <v>70</v>
      </c>
      <c r="O258" t="str">
        <f>VLOOKUP(Table1[[#This Row],[SCHEMATIC TYPE]],'SCHEMATIC Lookup'!$B$1:$C$5,2)</f>
        <v>Leveraged Whole Loan</v>
      </c>
      <c r="P258" s="5">
        <v>22371069</v>
      </c>
      <c r="Q258" s="5" t="s">
        <v>100</v>
      </c>
      <c r="R258" t="s">
        <v>101</v>
      </c>
      <c r="S258" t="s">
        <v>71</v>
      </c>
      <c r="T258" s="5" t="s">
        <v>88</v>
      </c>
      <c r="U258" s="12" t="s">
        <v>238</v>
      </c>
      <c r="V258" s="12" t="s">
        <v>233</v>
      </c>
      <c r="W258" s="11">
        <v>36</v>
      </c>
      <c r="X258" s="2">
        <f t="shared" si="20"/>
        <v>0.3836</v>
      </c>
      <c r="Y258" s="5">
        <f t="shared" si="21"/>
        <v>11638095.999999998</v>
      </c>
      <c r="Z258" s="5">
        <f t="shared" si="22"/>
        <v>25748000</v>
      </c>
    </row>
    <row r="259" spans="1:26" x14ac:dyDescent="0.25">
      <c r="A259">
        <v>12820</v>
      </c>
      <c r="B259">
        <v>236</v>
      </c>
      <c r="C259">
        <v>2013</v>
      </c>
      <c r="D259" t="s">
        <v>99</v>
      </c>
      <c r="E259" t="s">
        <v>69</v>
      </c>
      <c r="F259" s="2">
        <v>0</v>
      </c>
      <c r="G259" s="2">
        <v>0.54</v>
      </c>
      <c r="H259" s="14">
        <f t="shared" si="18"/>
        <v>0</v>
      </c>
      <c r="I259" s="5">
        <v>30000000</v>
      </c>
      <c r="J259">
        <v>5</v>
      </c>
      <c r="K259" s="6">
        <v>7.7499999999999999E-2</v>
      </c>
      <c r="L259" s="6">
        <v>0.4</v>
      </c>
      <c r="M259" t="str">
        <f t="shared" si="24"/>
        <v>SUBL</v>
      </c>
      <c r="N259" t="s">
        <v>70</v>
      </c>
      <c r="O259" t="str">
        <f>VLOOKUP(Table1[[#This Row],[SCHEMATIC TYPE]],'SCHEMATIC Lookup'!$B$1:$C$5,2)</f>
        <v>Leveraged Whole Loan</v>
      </c>
      <c r="P259" s="5">
        <v>90100000</v>
      </c>
      <c r="Q259" s="5" t="s">
        <v>100</v>
      </c>
      <c r="R259" t="s">
        <v>101</v>
      </c>
      <c r="S259" t="s">
        <v>71</v>
      </c>
      <c r="T259" s="5" t="s">
        <v>88</v>
      </c>
      <c r="U259" s="12" t="s">
        <v>238</v>
      </c>
      <c r="V259" s="12" t="s">
        <v>240</v>
      </c>
      <c r="W259" s="11">
        <v>36</v>
      </c>
      <c r="X259" s="2">
        <f t="shared" si="20"/>
        <v>0.21600000000000003</v>
      </c>
      <c r="Y259" s="5">
        <f t="shared" si="21"/>
        <v>18000000</v>
      </c>
      <c r="Z259" s="5">
        <f t="shared" si="22"/>
        <v>30000000</v>
      </c>
    </row>
    <row r="260" spans="1:26" x14ac:dyDescent="0.25">
      <c r="A260">
        <v>12830</v>
      </c>
      <c r="B260">
        <v>236</v>
      </c>
      <c r="C260">
        <v>2012</v>
      </c>
      <c r="D260" t="s">
        <v>99</v>
      </c>
      <c r="E260" t="s">
        <v>69</v>
      </c>
      <c r="F260" s="2">
        <v>0</v>
      </c>
      <c r="G260" s="2">
        <v>0.66</v>
      </c>
      <c r="H260" s="14">
        <f t="shared" si="18"/>
        <v>0</v>
      </c>
      <c r="I260" s="5">
        <v>35000000</v>
      </c>
      <c r="J260">
        <v>5</v>
      </c>
      <c r="K260" s="6">
        <v>7.5999999999999998E-2</v>
      </c>
      <c r="L260" s="6">
        <v>0.4</v>
      </c>
      <c r="M260" t="str">
        <f t="shared" si="24"/>
        <v>SUBL</v>
      </c>
      <c r="N260" t="s">
        <v>70</v>
      </c>
      <c r="O260" t="str">
        <f>VLOOKUP(Table1[[#This Row],[SCHEMATIC TYPE]],'SCHEMATIC Lookup'!$B$1:$C$5,2)</f>
        <v>Leveraged Whole Loan</v>
      </c>
      <c r="P260" s="5">
        <v>35000000</v>
      </c>
      <c r="Q260" s="5" t="s">
        <v>100</v>
      </c>
      <c r="R260" t="s">
        <v>101</v>
      </c>
      <c r="S260" t="s">
        <v>71</v>
      </c>
      <c r="T260" s="5" t="s">
        <v>88</v>
      </c>
      <c r="U260" s="12" t="s">
        <v>238</v>
      </c>
      <c r="V260" s="12" t="s">
        <v>234</v>
      </c>
      <c r="W260" s="11">
        <v>36</v>
      </c>
      <c r="X260" s="2">
        <f t="shared" si="20"/>
        <v>0.26400000000000001</v>
      </c>
      <c r="Y260" s="5">
        <f t="shared" si="21"/>
        <v>21000000</v>
      </c>
      <c r="Z260" s="5">
        <f t="shared" si="22"/>
        <v>35000000</v>
      </c>
    </row>
    <row r="261" spans="1:26" x14ac:dyDescent="0.25">
      <c r="A261">
        <v>12840</v>
      </c>
      <c r="B261">
        <v>236</v>
      </c>
      <c r="C261">
        <v>2013</v>
      </c>
      <c r="D261" t="s">
        <v>99</v>
      </c>
      <c r="E261" t="s">
        <v>69</v>
      </c>
      <c r="F261" s="2">
        <v>0</v>
      </c>
      <c r="G261" s="2">
        <v>0.66</v>
      </c>
      <c r="H261" s="14">
        <f t="shared" si="18"/>
        <v>0</v>
      </c>
      <c r="I261" s="5">
        <v>50500000</v>
      </c>
      <c r="J261">
        <v>5</v>
      </c>
      <c r="K261" s="6">
        <v>0.10546460176991151</v>
      </c>
      <c r="L261" s="6">
        <v>0.54800000000000004</v>
      </c>
      <c r="M261" t="str">
        <f t="shared" si="24"/>
        <v>SUBL</v>
      </c>
      <c r="N261" t="s">
        <v>70</v>
      </c>
      <c r="O261" t="str">
        <f>VLOOKUP(Table1[[#This Row],[SCHEMATIC TYPE]],'SCHEMATIC Lookup'!$B$1:$C$5,2)</f>
        <v>Leveraged Whole Loan</v>
      </c>
      <c r="P261" s="5">
        <v>68000000</v>
      </c>
      <c r="Q261" s="5" t="s">
        <v>100</v>
      </c>
      <c r="R261" t="s">
        <v>101</v>
      </c>
      <c r="S261" t="s">
        <v>71</v>
      </c>
      <c r="T261" s="5" t="s">
        <v>88</v>
      </c>
      <c r="U261" s="12" t="s">
        <v>238</v>
      </c>
      <c r="V261" s="12" t="s">
        <v>234</v>
      </c>
      <c r="W261" s="11">
        <v>36</v>
      </c>
      <c r="X261" s="2">
        <f t="shared" si="20"/>
        <v>0.36168000000000006</v>
      </c>
      <c r="Y261" s="5">
        <f t="shared" si="21"/>
        <v>22825999.999999996</v>
      </c>
      <c r="Z261" s="5">
        <f t="shared" si="22"/>
        <v>50500000</v>
      </c>
    </row>
    <row r="262" spans="1:26" x14ac:dyDescent="0.25">
      <c r="A262">
        <v>12850</v>
      </c>
      <c r="B262">
        <v>236</v>
      </c>
      <c r="C262">
        <v>2012</v>
      </c>
      <c r="D262" t="s">
        <v>99</v>
      </c>
      <c r="E262" t="s">
        <v>69</v>
      </c>
      <c r="F262" s="2">
        <v>0</v>
      </c>
      <c r="G262" s="2">
        <v>0.5</v>
      </c>
      <c r="H262" s="14">
        <f t="shared" si="18"/>
        <v>0</v>
      </c>
      <c r="I262" s="5">
        <v>52500000</v>
      </c>
      <c r="J262">
        <v>2</v>
      </c>
      <c r="K262" s="6">
        <v>0.11</v>
      </c>
      <c r="L262" s="6">
        <v>0.5</v>
      </c>
      <c r="M262" t="str">
        <f t="shared" si="24"/>
        <v>SUBL</v>
      </c>
      <c r="N262" t="s">
        <v>70</v>
      </c>
      <c r="O262" t="str">
        <f>VLOOKUP(Table1[[#This Row],[SCHEMATIC TYPE]],'SCHEMATIC Lookup'!$B$1:$C$5,2)</f>
        <v>Leveraged Whole Loan</v>
      </c>
      <c r="P262" s="5">
        <v>60000000</v>
      </c>
      <c r="Q262" s="5" t="s">
        <v>100</v>
      </c>
      <c r="R262" t="s">
        <v>101</v>
      </c>
      <c r="S262" t="s">
        <v>71</v>
      </c>
      <c r="T262" s="5" t="s">
        <v>88</v>
      </c>
      <c r="U262" s="12" t="s">
        <v>238</v>
      </c>
      <c r="V262" s="12" t="s">
        <v>240</v>
      </c>
      <c r="W262" s="11">
        <v>60</v>
      </c>
      <c r="X262" s="2">
        <f t="shared" si="20"/>
        <v>0.25</v>
      </c>
      <c r="Y262" s="5">
        <f t="shared" si="21"/>
        <v>26250000</v>
      </c>
      <c r="Z262" s="5">
        <f t="shared" si="22"/>
        <v>52500000</v>
      </c>
    </row>
    <row r="263" spans="1:26" x14ac:dyDescent="0.25">
      <c r="A263">
        <v>12860</v>
      </c>
      <c r="B263">
        <v>236</v>
      </c>
      <c r="C263">
        <v>2013</v>
      </c>
      <c r="D263" t="s">
        <v>99</v>
      </c>
      <c r="E263" t="s">
        <v>69</v>
      </c>
      <c r="F263" s="2">
        <v>0</v>
      </c>
      <c r="G263" s="2">
        <v>0.7</v>
      </c>
      <c r="H263" s="14">
        <f t="shared" ref="H263:H326" si="25">(G263=F263)*1</f>
        <v>0</v>
      </c>
      <c r="I263" s="5">
        <v>54218274</v>
      </c>
      <c r="J263">
        <v>3</v>
      </c>
      <c r="K263" s="6">
        <v>9.9933628318584072E-2</v>
      </c>
      <c r="L263" s="6">
        <v>0.54800000000000004</v>
      </c>
      <c r="M263" t="str">
        <f t="shared" si="24"/>
        <v>SUBL</v>
      </c>
      <c r="N263" t="s">
        <v>70</v>
      </c>
      <c r="O263" t="str">
        <f>VLOOKUP(Table1[[#This Row],[SCHEMATIC TYPE]],'SCHEMATIC Lookup'!$B$1:$C$5,2)</f>
        <v>Leveraged Whole Loan</v>
      </c>
      <c r="P263" s="5">
        <v>35000000</v>
      </c>
      <c r="Q263" s="5" t="s">
        <v>100</v>
      </c>
      <c r="R263" t="s">
        <v>101</v>
      </c>
      <c r="S263" t="s">
        <v>71</v>
      </c>
      <c r="T263" s="5" t="s">
        <v>88</v>
      </c>
      <c r="U263" s="12" t="s">
        <v>238</v>
      </c>
      <c r="V263" s="12" t="s">
        <v>233</v>
      </c>
      <c r="W263" s="11">
        <v>36</v>
      </c>
      <c r="X263" s="2">
        <f t="shared" ref="X263:X326" si="26">IF(F263=0,L263*G263,F263)</f>
        <v>0.3836</v>
      </c>
      <c r="Y263" s="5">
        <f t="shared" ref="Y263:Y326" si="27">IF(AND(F263=0,X263&gt;0),I263*(1-L263),I263)</f>
        <v>24506659.847999997</v>
      </c>
      <c r="Z263" s="5">
        <f t="shared" ref="Z263:Z326" si="28">IF(AND(L263&gt;0,F263&lt;&gt;0),I263/((G263-F263)/G263),I263)</f>
        <v>54218274</v>
      </c>
    </row>
    <row r="264" spans="1:26" x14ac:dyDescent="0.25">
      <c r="A264">
        <v>12870</v>
      </c>
      <c r="B264">
        <v>236</v>
      </c>
      <c r="C264">
        <v>2012</v>
      </c>
      <c r="D264" t="s">
        <v>99</v>
      </c>
      <c r="E264" t="s">
        <v>69</v>
      </c>
      <c r="F264" s="2">
        <v>0</v>
      </c>
      <c r="G264" s="2">
        <v>0.51</v>
      </c>
      <c r="H264" s="14">
        <f t="shared" si="25"/>
        <v>0</v>
      </c>
      <c r="I264" s="5">
        <v>56180000</v>
      </c>
      <c r="J264">
        <v>1</v>
      </c>
      <c r="K264" s="6">
        <v>8.2500000000000004E-2</v>
      </c>
      <c r="L264" s="6">
        <v>0.5</v>
      </c>
      <c r="M264" t="str">
        <f t="shared" si="24"/>
        <v>SUBL</v>
      </c>
      <c r="N264" t="s">
        <v>70</v>
      </c>
      <c r="O264" t="str">
        <f>VLOOKUP(Table1[[#This Row],[SCHEMATIC TYPE]],'SCHEMATIC Lookup'!$B$1:$C$5,2)</f>
        <v>Leveraged Whole Loan</v>
      </c>
      <c r="P264" s="5">
        <v>91400000</v>
      </c>
      <c r="Q264" s="5" t="s">
        <v>100</v>
      </c>
      <c r="R264" t="s">
        <v>101</v>
      </c>
      <c r="S264" t="s">
        <v>71</v>
      </c>
      <c r="T264" s="5" t="s">
        <v>88</v>
      </c>
      <c r="U264" s="12" t="s">
        <v>238</v>
      </c>
      <c r="V264" s="12" t="s">
        <v>240</v>
      </c>
      <c r="W264" s="11">
        <v>36</v>
      </c>
      <c r="X264" s="2">
        <f t="shared" si="26"/>
        <v>0.255</v>
      </c>
      <c r="Y264" s="5">
        <f t="shared" si="27"/>
        <v>28090000</v>
      </c>
      <c r="Z264" s="5">
        <f t="shared" si="28"/>
        <v>56180000</v>
      </c>
    </row>
    <row r="265" spans="1:26" x14ac:dyDescent="0.25">
      <c r="A265">
        <v>12930</v>
      </c>
      <c r="B265">
        <v>119</v>
      </c>
      <c r="C265">
        <v>2018</v>
      </c>
      <c r="D265" t="s">
        <v>74</v>
      </c>
      <c r="E265" t="s">
        <v>69</v>
      </c>
      <c r="F265" s="2">
        <v>0.55349752910924699</v>
      </c>
      <c r="G265" s="2">
        <v>0.71528911454118072</v>
      </c>
      <c r="H265" s="14">
        <f t="shared" si="25"/>
        <v>0</v>
      </c>
      <c r="I265" s="5">
        <v>19000000</v>
      </c>
      <c r="J265">
        <v>5</v>
      </c>
      <c r="K265" s="6">
        <v>8.5394736842105259E-2</v>
      </c>
      <c r="L265" s="6">
        <v>0</v>
      </c>
      <c r="M265" t="str">
        <f t="shared" si="24"/>
        <v>SUB</v>
      </c>
      <c r="N265" t="s">
        <v>75</v>
      </c>
      <c r="O265" t="str">
        <f>VLOOKUP(Table1[[#This Row],[SCHEMATIC TYPE]],'SCHEMATIC Lookup'!$B$1:$C$5,2)</f>
        <v>Mezzanine Loan</v>
      </c>
      <c r="P265" s="5">
        <v>117435031.92255548</v>
      </c>
      <c r="Q265" s="5" t="s">
        <v>71</v>
      </c>
      <c r="R265" t="s">
        <v>73</v>
      </c>
      <c r="S265" t="s">
        <v>71</v>
      </c>
      <c r="T265" s="5" t="s">
        <v>88</v>
      </c>
      <c r="U265" s="12" t="s">
        <v>230</v>
      </c>
      <c r="V265" s="12" t="s">
        <v>233</v>
      </c>
      <c r="W265" s="11">
        <v>36</v>
      </c>
      <c r="X265" s="2">
        <f t="shared" si="26"/>
        <v>0.55349752910924699</v>
      </c>
      <c r="Y265" s="5">
        <f t="shared" si="27"/>
        <v>19000000</v>
      </c>
      <c r="Z265" s="5">
        <f t="shared" si="28"/>
        <v>19000000</v>
      </c>
    </row>
    <row r="266" spans="1:26" x14ac:dyDescent="0.25">
      <c r="A266">
        <v>12940</v>
      </c>
      <c r="B266">
        <v>119</v>
      </c>
      <c r="C266">
        <v>2018</v>
      </c>
      <c r="D266" t="s">
        <v>74</v>
      </c>
      <c r="E266" t="s">
        <v>69</v>
      </c>
      <c r="F266" s="2">
        <v>0.50680482513661207</v>
      </c>
      <c r="G266" s="2">
        <v>0.64480874316939896</v>
      </c>
      <c r="H266" s="14">
        <f t="shared" si="25"/>
        <v>0</v>
      </c>
      <c r="I266" s="5">
        <v>25254717</v>
      </c>
      <c r="J266">
        <v>1</v>
      </c>
      <c r="K266" s="6">
        <v>8.4736842105263152E-2</v>
      </c>
      <c r="L266" s="6">
        <v>0</v>
      </c>
      <c r="M266" t="str">
        <f t="shared" si="24"/>
        <v>SUB</v>
      </c>
      <c r="N266" t="s">
        <v>75</v>
      </c>
      <c r="O266" t="str">
        <f>VLOOKUP(Table1[[#This Row],[SCHEMATIC TYPE]],'SCHEMATIC Lookup'!$B$1:$C$5,2)</f>
        <v>Mezzanine Loan</v>
      </c>
      <c r="P266" s="5">
        <v>183000000</v>
      </c>
      <c r="Q266" s="5" t="s">
        <v>71</v>
      </c>
      <c r="R266" t="s">
        <v>79</v>
      </c>
      <c r="S266" t="s">
        <v>71</v>
      </c>
      <c r="T266" s="5" t="s">
        <v>88</v>
      </c>
      <c r="U266" s="12" t="s">
        <v>236</v>
      </c>
      <c r="V266" s="12" t="s">
        <v>235</v>
      </c>
      <c r="W266" s="11">
        <v>60</v>
      </c>
      <c r="X266" s="2">
        <f t="shared" si="26"/>
        <v>0.50680482513661207</v>
      </c>
      <c r="Y266" s="5">
        <f t="shared" si="27"/>
        <v>25254717</v>
      </c>
      <c r="Z266" s="5">
        <f t="shared" si="28"/>
        <v>25254717</v>
      </c>
    </row>
    <row r="267" spans="1:26" x14ac:dyDescent="0.25">
      <c r="A267">
        <v>12950</v>
      </c>
      <c r="B267">
        <v>119</v>
      </c>
      <c r="C267">
        <v>2018</v>
      </c>
      <c r="D267" t="s">
        <v>68</v>
      </c>
      <c r="E267" t="s">
        <v>69</v>
      </c>
      <c r="F267" s="2">
        <v>0.57866544785713769</v>
      </c>
      <c r="G267" s="2">
        <v>0.77155393047618359</v>
      </c>
      <c r="H267" s="14">
        <f t="shared" si="25"/>
        <v>0</v>
      </c>
      <c r="I267" s="5">
        <v>30310750</v>
      </c>
      <c r="J267">
        <v>1</v>
      </c>
      <c r="K267" s="6">
        <v>8.1000000000000003E-2</v>
      </c>
      <c r="L267" s="6">
        <v>0.75</v>
      </c>
      <c r="M267" t="str">
        <f t="shared" si="24"/>
        <v>SUBL</v>
      </c>
      <c r="N267" t="s">
        <v>70</v>
      </c>
      <c r="O267" t="str">
        <f>VLOOKUP(Table1[[#This Row],[SCHEMATIC TYPE]],'SCHEMATIC Lookup'!$B$1:$C$5,2)</f>
        <v>Leveraged Whole Loan</v>
      </c>
      <c r="P267" s="5">
        <v>157141316</v>
      </c>
      <c r="Q267" s="5" t="s">
        <v>71</v>
      </c>
      <c r="R267" t="s">
        <v>72</v>
      </c>
      <c r="S267" t="s">
        <v>71</v>
      </c>
      <c r="T267" s="5" t="s">
        <v>88</v>
      </c>
      <c r="U267" s="12" t="s">
        <v>230</v>
      </c>
      <c r="V267" s="12" t="s">
        <v>231</v>
      </c>
      <c r="W267" s="11">
        <v>61</v>
      </c>
      <c r="X267" s="2">
        <f t="shared" si="26"/>
        <v>0.57866544785713769</v>
      </c>
      <c r="Y267" s="5">
        <f t="shared" si="27"/>
        <v>30310750</v>
      </c>
      <c r="Z267" s="5">
        <f t="shared" si="28"/>
        <v>121243000</v>
      </c>
    </row>
    <row r="268" spans="1:26" x14ac:dyDescent="0.25">
      <c r="A268">
        <v>12960</v>
      </c>
      <c r="B268">
        <v>119</v>
      </c>
      <c r="C268">
        <v>2018</v>
      </c>
      <c r="D268" t="s">
        <v>68</v>
      </c>
      <c r="E268" t="s">
        <v>69</v>
      </c>
      <c r="F268" s="2">
        <v>0.59710673531298908</v>
      </c>
      <c r="G268" s="2">
        <v>0.7463834191412364</v>
      </c>
      <c r="H268" s="14">
        <f t="shared" si="25"/>
        <v>0</v>
      </c>
      <c r="I268" s="5">
        <v>51000000</v>
      </c>
      <c r="J268">
        <v>1</v>
      </c>
      <c r="K268" s="6">
        <v>8.1500000000000003E-2</v>
      </c>
      <c r="L268" s="6">
        <v>0.75</v>
      </c>
      <c r="M268" t="str">
        <f t="shared" si="24"/>
        <v>SUBL</v>
      </c>
      <c r="N268" t="s">
        <v>70</v>
      </c>
      <c r="O268" t="str">
        <f>VLOOKUP(Table1[[#This Row],[SCHEMATIC TYPE]],'SCHEMATIC Lookup'!$B$1:$C$5,2)</f>
        <v>Leveraged Whole Loan</v>
      </c>
      <c r="P268" s="5">
        <v>68329492.177999988</v>
      </c>
      <c r="Q268" t="s">
        <v>71</v>
      </c>
      <c r="R268" t="s">
        <v>73</v>
      </c>
      <c r="S268" t="s">
        <v>71</v>
      </c>
      <c r="T268" t="s">
        <v>88</v>
      </c>
      <c r="U268" s="12" t="s">
        <v>230</v>
      </c>
      <c r="V268" s="12" t="s">
        <v>233</v>
      </c>
      <c r="W268" s="11">
        <v>60</v>
      </c>
      <c r="X268" s="2">
        <f t="shared" si="26"/>
        <v>0.59710673531298908</v>
      </c>
      <c r="Y268" s="5">
        <f t="shared" si="27"/>
        <v>51000000</v>
      </c>
      <c r="Z268" s="5">
        <f t="shared" si="28"/>
        <v>254999999.99999991</v>
      </c>
    </row>
    <row r="269" spans="1:26" x14ac:dyDescent="0.25">
      <c r="A269">
        <v>12970</v>
      </c>
      <c r="B269">
        <v>119</v>
      </c>
      <c r="C269">
        <v>2018</v>
      </c>
      <c r="D269" t="s">
        <v>68</v>
      </c>
      <c r="E269" t="s">
        <v>69</v>
      </c>
      <c r="F269" s="2">
        <v>0.48780487804878048</v>
      </c>
      <c r="G269" s="2">
        <v>0.65040650406504064</v>
      </c>
      <c r="H269" s="14">
        <f t="shared" si="25"/>
        <v>0</v>
      </c>
      <c r="I269" s="5">
        <v>11500000</v>
      </c>
      <c r="J269">
        <v>1</v>
      </c>
      <c r="K269" s="6">
        <v>9.2499999999999999E-2</v>
      </c>
      <c r="L269" s="6">
        <v>0.75</v>
      </c>
      <c r="M269" t="str">
        <f t="shared" si="24"/>
        <v>SUBL</v>
      </c>
      <c r="N269" t="s">
        <v>70</v>
      </c>
      <c r="O269" t="str">
        <f>VLOOKUP(Table1[[#This Row],[SCHEMATIC TYPE]],'SCHEMATIC Lookup'!$B$1:$C$5,2)</f>
        <v>Leveraged Whole Loan</v>
      </c>
      <c r="P269" s="5">
        <v>61500000</v>
      </c>
      <c r="Q269" s="5" t="s">
        <v>71</v>
      </c>
      <c r="R269" t="s">
        <v>72</v>
      </c>
      <c r="S269" t="s">
        <v>71</v>
      </c>
      <c r="T269" s="5" t="s">
        <v>88</v>
      </c>
      <c r="U269" s="12" t="s">
        <v>232</v>
      </c>
      <c r="V269" s="12" t="s">
        <v>234</v>
      </c>
      <c r="W269" s="11">
        <v>60</v>
      </c>
      <c r="X269" s="2">
        <f t="shared" si="26"/>
        <v>0.48780487804878048</v>
      </c>
      <c r="Y269" s="5">
        <f t="shared" si="27"/>
        <v>11500000</v>
      </c>
      <c r="Z269" s="5">
        <f t="shared" si="28"/>
        <v>46000000</v>
      </c>
    </row>
    <row r="270" spans="1:26" x14ac:dyDescent="0.25">
      <c r="A270">
        <v>12980</v>
      </c>
      <c r="B270">
        <v>119</v>
      </c>
      <c r="C270">
        <v>2018</v>
      </c>
      <c r="D270" t="s">
        <v>68</v>
      </c>
      <c r="E270" t="s">
        <v>69</v>
      </c>
      <c r="F270" s="2">
        <v>0.58935074493076922</v>
      </c>
      <c r="G270" s="2">
        <v>0.78580099324102559</v>
      </c>
      <c r="H270" s="14">
        <f t="shared" si="25"/>
        <v>0</v>
      </c>
      <c r="I270" s="5">
        <v>13750000</v>
      </c>
      <c r="J270">
        <v>6</v>
      </c>
      <c r="K270" s="6">
        <v>8.5500000000000007E-2</v>
      </c>
      <c r="L270" s="6">
        <v>0.75</v>
      </c>
      <c r="M270" t="str">
        <f t="shared" si="24"/>
        <v>SUBL</v>
      </c>
      <c r="N270" t="s">
        <v>70</v>
      </c>
      <c r="O270" t="str">
        <f>VLOOKUP(Table1[[#This Row],[SCHEMATIC TYPE]],'SCHEMATIC Lookup'!$B$1:$C$5,2)</f>
        <v>Leveraged Whole Loan</v>
      </c>
      <c r="P270" s="5">
        <v>70000000</v>
      </c>
      <c r="Q270" s="5" t="s">
        <v>71</v>
      </c>
      <c r="R270" t="s">
        <v>72</v>
      </c>
      <c r="S270" t="s">
        <v>71</v>
      </c>
      <c r="T270" s="5" t="s">
        <v>88</v>
      </c>
      <c r="U270" s="12" t="s">
        <v>230</v>
      </c>
      <c r="V270" s="12" t="s">
        <v>231</v>
      </c>
      <c r="W270" s="11">
        <v>36</v>
      </c>
      <c r="X270" s="2">
        <f t="shared" si="26"/>
        <v>0.58935074493076922</v>
      </c>
      <c r="Y270" s="5">
        <f t="shared" si="27"/>
        <v>13750000</v>
      </c>
      <c r="Z270" s="5">
        <f t="shared" si="28"/>
        <v>55000000.000000007</v>
      </c>
    </row>
    <row r="271" spans="1:26" x14ac:dyDescent="0.25">
      <c r="A271">
        <v>12990</v>
      </c>
      <c r="B271">
        <v>119</v>
      </c>
      <c r="C271">
        <v>2018</v>
      </c>
      <c r="D271" t="s">
        <v>68</v>
      </c>
      <c r="E271" t="s">
        <v>69</v>
      </c>
      <c r="F271" s="2">
        <v>0.578368999421631</v>
      </c>
      <c r="G271" s="2">
        <v>0.74609600925390396</v>
      </c>
      <c r="H271" s="14">
        <f t="shared" si="25"/>
        <v>0</v>
      </c>
      <c r="I271" s="5">
        <v>30690000</v>
      </c>
      <c r="J271">
        <v>1</v>
      </c>
      <c r="K271" s="6">
        <v>8.0699999999999994E-2</v>
      </c>
      <c r="L271" s="6">
        <v>0.77500000000000002</v>
      </c>
      <c r="M271" t="str">
        <f t="shared" si="24"/>
        <v>SUBL</v>
      </c>
      <c r="N271" t="s">
        <v>70</v>
      </c>
      <c r="O271" t="str">
        <f>VLOOKUP(Table1[[#This Row],[SCHEMATIC TYPE]],'SCHEMATIC Lookup'!$B$1:$C$5,2)</f>
        <v>Leveraged Whole Loan</v>
      </c>
      <c r="P271" s="5">
        <v>172900000</v>
      </c>
      <c r="Q271" s="5" t="s">
        <v>71</v>
      </c>
      <c r="R271" t="s">
        <v>73</v>
      </c>
      <c r="S271" t="s">
        <v>71</v>
      </c>
      <c r="T271" s="5" t="s">
        <v>88</v>
      </c>
      <c r="U271" s="12" t="s">
        <v>230</v>
      </c>
      <c r="V271" s="12" t="s">
        <v>233</v>
      </c>
      <c r="W271" s="11">
        <v>60</v>
      </c>
      <c r="X271" s="2">
        <f t="shared" si="26"/>
        <v>0.578368999421631</v>
      </c>
      <c r="Y271" s="5">
        <f t="shared" si="27"/>
        <v>30690000</v>
      </c>
      <c r="Z271" s="5">
        <f t="shared" si="28"/>
        <v>136517586.20689657</v>
      </c>
    </row>
    <row r="272" spans="1:26" x14ac:dyDescent="0.25">
      <c r="A272">
        <v>13000</v>
      </c>
      <c r="B272">
        <v>103</v>
      </c>
      <c r="C272">
        <v>2018</v>
      </c>
      <c r="D272" t="s">
        <v>74</v>
      </c>
      <c r="E272" t="s">
        <v>69</v>
      </c>
      <c r="F272" s="15">
        <v>0</v>
      </c>
      <c r="G272" s="2">
        <v>0</v>
      </c>
      <c r="H272" s="14">
        <f t="shared" si="25"/>
        <v>1</v>
      </c>
      <c r="I272" s="5">
        <v>40000000</v>
      </c>
      <c r="J272" t="s">
        <v>100</v>
      </c>
      <c r="K272" s="6" t="s">
        <v>103</v>
      </c>
      <c r="L272" s="6">
        <v>0</v>
      </c>
      <c r="M272" s="17" t="s">
        <v>95</v>
      </c>
      <c r="N272" s="17" t="s">
        <v>75</v>
      </c>
      <c r="O272" s="17" t="str">
        <f>VLOOKUP(Table1[[#This Row],[SCHEMATIC TYPE]],'SCHEMATIC Lookup'!$B$1:$C$5,2)</f>
        <v>Mezzanine Loan</v>
      </c>
      <c r="P272" s="5">
        <v>261455562</v>
      </c>
      <c r="Q272" s="5" t="s">
        <v>100</v>
      </c>
      <c r="R272" s="5" t="s">
        <v>100</v>
      </c>
      <c r="S272" t="s">
        <v>79</v>
      </c>
      <c r="T272" s="5" t="s">
        <v>88</v>
      </c>
      <c r="U272" s="12" t="s">
        <v>103</v>
      </c>
      <c r="V272" s="12" t="s">
        <v>103</v>
      </c>
      <c r="W272" s="11">
        <v>0</v>
      </c>
      <c r="X272" s="2">
        <f t="shared" si="26"/>
        <v>0</v>
      </c>
      <c r="Y272" s="5">
        <f t="shared" si="27"/>
        <v>40000000</v>
      </c>
      <c r="Z272" s="5">
        <f t="shared" si="28"/>
        <v>40000000</v>
      </c>
    </row>
    <row r="273" spans="1:26" x14ac:dyDescent="0.25">
      <c r="A273">
        <v>13010</v>
      </c>
      <c r="B273">
        <v>103</v>
      </c>
      <c r="C273">
        <v>2017</v>
      </c>
      <c r="D273" t="s">
        <v>83</v>
      </c>
      <c r="E273" t="s">
        <v>77</v>
      </c>
      <c r="F273" s="15">
        <v>0</v>
      </c>
      <c r="G273" s="2">
        <v>0</v>
      </c>
      <c r="H273" s="14">
        <f t="shared" si="25"/>
        <v>1</v>
      </c>
      <c r="I273" s="5">
        <v>210000000</v>
      </c>
      <c r="J273">
        <v>1</v>
      </c>
      <c r="K273" s="6">
        <v>0.08</v>
      </c>
      <c r="L273" s="6">
        <v>0</v>
      </c>
      <c r="M273" s="17" t="s">
        <v>95</v>
      </c>
      <c r="N273" s="17" t="s">
        <v>84</v>
      </c>
      <c r="O273" s="17" t="str">
        <f>VLOOKUP(Table1[[#This Row],[SCHEMATIC TYPE]],'SCHEMATIC Lookup'!$B$1:$C$5,2)</f>
        <v>Other Subordinate</v>
      </c>
      <c r="P273" s="5">
        <v>852000000</v>
      </c>
      <c r="Q273" s="5" t="s">
        <v>100</v>
      </c>
      <c r="R273" s="5" t="s">
        <v>100</v>
      </c>
      <c r="S273" t="s">
        <v>79</v>
      </c>
      <c r="T273" s="5" t="s">
        <v>88</v>
      </c>
      <c r="U273" s="12" t="s">
        <v>103</v>
      </c>
      <c r="V273" s="12" t="s">
        <v>103</v>
      </c>
      <c r="W273" s="11">
        <v>0</v>
      </c>
      <c r="X273" s="2">
        <f t="shared" si="26"/>
        <v>0</v>
      </c>
      <c r="Y273" s="5">
        <f t="shared" si="27"/>
        <v>210000000</v>
      </c>
      <c r="Z273" s="5">
        <f t="shared" si="28"/>
        <v>210000000</v>
      </c>
    </row>
    <row r="274" spans="1:26" x14ac:dyDescent="0.25">
      <c r="A274">
        <v>13020</v>
      </c>
      <c r="B274">
        <v>103</v>
      </c>
      <c r="C274">
        <v>2017</v>
      </c>
      <c r="D274" t="s">
        <v>83</v>
      </c>
      <c r="E274" t="s">
        <v>77</v>
      </c>
      <c r="F274" s="15">
        <v>0</v>
      </c>
      <c r="G274" s="2">
        <v>0</v>
      </c>
      <c r="H274" s="14">
        <f t="shared" si="25"/>
        <v>1</v>
      </c>
      <c r="I274" s="5">
        <v>20000000</v>
      </c>
      <c r="J274">
        <v>5</v>
      </c>
      <c r="K274" s="6">
        <v>0.124</v>
      </c>
      <c r="L274" s="6">
        <v>0</v>
      </c>
      <c r="M274" s="17" t="s">
        <v>95</v>
      </c>
      <c r="N274" s="17" t="s">
        <v>84</v>
      </c>
      <c r="O274" s="17" t="str">
        <f>VLOOKUP(Table1[[#This Row],[SCHEMATIC TYPE]],'SCHEMATIC Lookup'!$B$1:$C$5,2)</f>
        <v>Other Subordinate</v>
      </c>
      <c r="P274" s="5">
        <v>117000000</v>
      </c>
      <c r="Q274" s="5" t="s">
        <v>100</v>
      </c>
      <c r="R274" s="5" t="s">
        <v>100</v>
      </c>
      <c r="S274" t="s">
        <v>79</v>
      </c>
      <c r="T274" s="5" t="s">
        <v>88</v>
      </c>
      <c r="U274" s="12" t="s">
        <v>103</v>
      </c>
      <c r="V274" s="12" t="s">
        <v>103</v>
      </c>
      <c r="W274" s="11">
        <v>0</v>
      </c>
      <c r="X274" s="2">
        <f t="shared" si="26"/>
        <v>0</v>
      </c>
      <c r="Y274" s="5">
        <f t="shared" si="27"/>
        <v>20000000</v>
      </c>
      <c r="Z274" s="5">
        <f t="shared" si="28"/>
        <v>20000000</v>
      </c>
    </row>
    <row r="275" spans="1:26" x14ac:dyDescent="0.25">
      <c r="A275">
        <v>13030</v>
      </c>
      <c r="B275">
        <v>183</v>
      </c>
      <c r="C275">
        <v>2018</v>
      </c>
      <c r="D275" t="s">
        <v>96</v>
      </c>
      <c r="E275" t="s">
        <v>69</v>
      </c>
      <c r="F275" s="2">
        <v>0</v>
      </c>
      <c r="G275" s="2">
        <v>0.68313189700472943</v>
      </c>
      <c r="H275" s="14">
        <f t="shared" si="25"/>
        <v>0</v>
      </c>
      <c r="I275" s="5">
        <v>130000000</v>
      </c>
      <c r="J275">
        <v>3</v>
      </c>
      <c r="K275" s="6">
        <v>2.8500000000000001E-2</v>
      </c>
      <c r="L275" s="6">
        <v>0.52</v>
      </c>
      <c r="M275" t="str">
        <f t="shared" ref="M275:M306" si="29">IF(AND(H275=0,OR(F275&gt;0,L275&gt;0)),"SUB",IF(AND(H275=0,F275=0),"SENIOR","BAD"))&amp;IF(L275&gt;0,"L","")</f>
        <v>SUBL</v>
      </c>
      <c r="N275" t="s">
        <v>70</v>
      </c>
      <c r="O275" t="str">
        <f>VLOOKUP(Table1[[#This Row],[SCHEMATIC TYPE]],'SCHEMATIC Lookup'!$B$1:$C$5,2)</f>
        <v>Leveraged Whole Loan</v>
      </c>
      <c r="P275" s="5">
        <v>190300000</v>
      </c>
      <c r="Q275" s="5" t="s">
        <v>86</v>
      </c>
      <c r="R275" t="s">
        <v>82</v>
      </c>
      <c r="S275" t="s">
        <v>71</v>
      </c>
      <c r="T275" s="5" t="s">
        <v>88</v>
      </c>
      <c r="U275" s="12" t="s">
        <v>238</v>
      </c>
      <c r="V275" s="12" t="s">
        <v>234</v>
      </c>
      <c r="W275" s="11">
        <v>36</v>
      </c>
      <c r="X275" s="2">
        <f t="shared" si="26"/>
        <v>0.3552285864424593</v>
      </c>
      <c r="Y275" s="5">
        <f t="shared" si="27"/>
        <v>62400000</v>
      </c>
      <c r="Z275" s="5">
        <f t="shared" si="28"/>
        <v>130000000</v>
      </c>
    </row>
    <row r="276" spans="1:26" x14ac:dyDescent="0.25">
      <c r="A276">
        <v>13040</v>
      </c>
      <c r="B276">
        <v>183</v>
      </c>
      <c r="C276">
        <v>2018</v>
      </c>
      <c r="D276" t="s">
        <v>96</v>
      </c>
      <c r="E276" t="s">
        <v>69</v>
      </c>
      <c r="F276" s="2">
        <v>0</v>
      </c>
      <c r="G276" s="2">
        <v>0.7404128729438697</v>
      </c>
      <c r="H276" s="14">
        <f t="shared" si="25"/>
        <v>0</v>
      </c>
      <c r="I276" s="5">
        <v>37562500</v>
      </c>
      <c r="J276">
        <v>2</v>
      </c>
      <c r="K276" s="6">
        <v>2.5000000000000001E-2</v>
      </c>
      <c r="L276" s="6">
        <v>0.66080564045773349</v>
      </c>
      <c r="M276" t="str">
        <f t="shared" si="29"/>
        <v>SUBL</v>
      </c>
      <c r="N276" t="s">
        <v>70</v>
      </c>
      <c r="O276" t="str">
        <f>VLOOKUP(Table1[[#This Row],[SCHEMATIC TYPE]],'SCHEMATIC Lookup'!$B$1:$C$5,2)</f>
        <v>Leveraged Whole Loan</v>
      </c>
      <c r="P276" s="5">
        <v>50731830</v>
      </c>
      <c r="Q276" t="s">
        <v>71</v>
      </c>
      <c r="R276" t="s">
        <v>73</v>
      </c>
      <c r="S276" t="s">
        <v>71</v>
      </c>
      <c r="T276" t="s">
        <v>88</v>
      </c>
      <c r="U276" s="12" t="s">
        <v>232</v>
      </c>
      <c r="V276" s="12" t="s">
        <v>233</v>
      </c>
      <c r="W276" s="11">
        <v>36</v>
      </c>
      <c r="X276" s="2">
        <f t="shared" si="26"/>
        <v>0.48926900270882429</v>
      </c>
      <c r="Y276" s="5">
        <f t="shared" si="27"/>
        <v>12740988.130306385</v>
      </c>
      <c r="Z276" s="5">
        <f t="shared" si="28"/>
        <v>37562500</v>
      </c>
    </row>
    <row r="277" spans="1:26" x14ac:dyDescent="0.25">
      <c r="A277">
        <v>13050</v>
      </c>
      <c r="B277">
        <v>183</v>
      </c>
      <c r="C277">
        <v>2018</v>
      </c>
      <c r="D277" t="s">
        <v>96</v>
      </c>
      <c r="E277" t="s">
        <v>69</v>
      </c>
      <c r="F277" s="2">
        <v>0</v>
      </c>
      <c r="G277" s="2">
        <v>0.69562346881142967</v>
      </c>
      <c r="H277" s="14">
        <f t="shared" si="25"/>
        <v>0</v>
      </c>
      <c r="I277" s="5">
        <v>42575000</v>
      </c>
      <c r="J277">
        <v>2</v>
      </c>
      <c r="K277" s="6">
        <v>2.1999999999999999E-2</v>
      </c>
      <c r="L277" s="6">
        <v>0.64999591309453908</v>
      </c>
      <c r="M277" t="str">
        <f t="shared" si="29"/>
        <v>SUBL</v>
      </c>
      <c r="N277" t="s">
        <v>70</v>
      </c>
      <c r="O277" t="str">
        <f>VLOOKUP(Table1[[#This Row],[SCHEMATIC TYPE]],'SCHEMATIC Lookup'!$B$1:$C$5,2)</f>
        <v>Leveraged Whole Loan</v>
      </c>
      <c r="P277" s="5">
        <v>61204088</v>
      </c>
      <c r="Q277" t="s">
        <v>71</v>
      </c>
      <c r="R277" t="s">
        <v>73</v>
      </c>
      <c r="S277" t="s">
        <v>71</v>
      </c>
      <c r="T277" t="s">
        <v>88</v>
      </c>
      <c r="U277" s="12" t="s">
        <v>232</v>
      </c>
      <c r="V277" s="12" t="s">
        <v>234</v>
      </c>
      <c r="W277" s="11">
        <v>48</v>
      </c>
      <c r="X277" s="2">
        <f t="shared" si="26"/>
        <v>0.45215241178007587</v>
      </c>
      <c r="Y277" s="5">
        <f t="shared" si="27"/>
        <v>14901423.999999998</v>
      </c>
      <c r="Z277" s="5">
        <f t="shared" si="28"/>
        <v>42575000</v>
      </c>
    </row>
    <row r="278" spans="1:26" x14ac:dyDescent="0.25">
      <c r="A278">
        <v>13060</v>
      </c>
      <c r="B278">
        <v>183</v>
      </c>
      <c r="C278">
        <v>2018</v>
      </c>
      <c r="D278" t="s">
        <v>96</v>
      </c>
      <c r="E278" t="s">
        <v>69</v>
      </c>
      <c r="F278" s="2">
        <v>0</v>
      </c>
      <c r="G278" s="2">
        <v>0.7372807054126449</v>
      </c>
      <c r="H278" s="14">
        <f t="shared" si="25"/>
        <v>0</v>
      </c>
      <c r="I278" s="5">
        <v>72660000</v>
      </c>
      <c r="J278">
        <v>1</v>
      </c>
      <c r="K278" s="6">
        <v>2.5000000000000001E-2</v>
      </c>
      <c r="L278" s="6">
        <v>0.63734629203132198</v>
      </c>
      <c r="M278" t="str">
        <f t="shared" si="29"/>
        <v>SUBL</v>
      </c>
      <c r="N278" t="s">
        <v>70</v>
      </c>
      <c r="O278" t="str">
        <f>VLOOKUP(Table1[[#This Row],[SCHEMATIC TYPE]],'SCHEMATIC Lookup'!$B$1:$C$5,2)</f>
        <v>Leveraged Whole Loan</v>
      </c>
      <c r="P278" s="5">
        <v>98551338</v>
      </c>
      <c r="Q278" t="s">
        <v>71</v>
      </c>
      <c r="R278" t="s">
        <v>73</v>
      </c>
      <c r="S278" t="s">
        <v>71</v>
      </c>
      <c r="T278" t="s">
        <v>88</v>
      </c>
      <c r="U278" s="12" t="s">
        <v>232</v>
      </c>
      <c r="V278" s="12" t="s">
        <v>233</v>
      </c>
      <c r="W278" s="11">
        <v>60</v>
      </c>
      <c r="X278" s="2">
        <f t="shared" si="26"/>
        <v>0.46990312378098664</v>
      </c>
      <c r="Y278" s="5">
        <f t="shared" si="27"/>
        <v>26350418.421004146</v>
      </c>
      <c r="Z278" s="5">
        <f t="shared" si="28"/>
        <v>72660000</v>
      </c>
    </row>
    <row r="279" spans="1:26" x14ac:dyDescent="0.25">
      <c r="A279">
        <v>13070</v>
      </c>
      <c r="B279">
        <v>183</v>
      </c>
      <c r="C279">
        <v>2018</v>
      </c>
      <c r="D279" t="s">
        <v>96</v>
      </c>
      <c r="E279" t="s">
        <v>69</v>
      </c>
      <c r="F279" s="2">
        <v>0</v>
      </c>
      <c r="G279" s="2">
        <v>0.67653214868512135</v>
      </c>
      <c r="H279" s="14">
        <f t="shared" si="25"/>
        <v>0</v>
      </c>
      <c r="I279" s="5">
        <v>102100000</v>
      </c>
      <c r="J279">
        <v>7</v>
      </c>
      <c r="K279" s="6">
        <v>4.4999999999999998E-2</v>
      </c>
      <c r="L279" s="6">
        <v>0.50930460714285719</v>
      </c>
      <c r="M279" t="str">
        <f t="shared" si="29"/>
        <v>SUBL</v>
      </c>
      <c r="N279" t="s">
        <v>70</v>
      </c>
      <c r="O279" t="str">
        <f>VLOOKUP(Table1[[#This Row],[SCHEMATIC TYPE]],'SCHEMATIC Lookup'!$B$1:$C$5,2)</f>
        <v>Leveraged Whole Loan</v>
      </c>
      <c r="P279" s="5">
        <v>150916701</v>
      </c>
      <c r="Q279" t="s">
        <v>71</v>
      </c>
      <c r="R279" t="s">
        <v>73</v>
      </c>
      <c r="S279" t="s">
        <v>71</v>
      </c>
      <c r="T279" t="s">
        <v>88</v>
      </c>
      <c r="U279" s="12" t="s">
        <v>238</v>
      </c>
      <c r="V279" s="12" t="s">
        <v>234</v>
      </c>
      <c r="W279" s="11">
        <v>36</v>
      </c>
      <c r="X279" s="2">
        <f t="shared" si="26"/>
        <v>0.34456094020558875</v>
      </c>
      <c r="Y279" s="5">
        <f t="shared" si="27"/>
        <v>50099999.610714279</v>
      </c>
      <c r="Z279" s="5">
        <f t="shared" si="28"/>
        <v>102100000</v>
      </c>
    </row>
    <row r="280" spans="1:26" x14ac:dyDescent="0.25">
      <c r="A280">
        <v>13080</v>
      </c>
      <c r="B280">
        <v>183</v>
      </c>
      <c r="C280">
        <v>2018</v>
      </c>
      <c r="D280" t="s">
        <v>96</v>
      </c>
      <c r="E280" t="s">
        <v>69</v>
      </c>
      <c r="F280" s="2">
        <v>0</v>
      </c>
      <c r="G280" s="2">
        <v>0.67712021653737631</v>
      </c>
      <c r="H280" s="14">
        <f t="shared" si="25"/>
        <v>0</v>
      </c>
      <c r="I280" s="5">
        <v>43000000</v>
      </c>
      <c r="J280">
        <v>2</v>
      </c>
      <c r="K280" s="6">
        <v>2.35E-2</v>
      </c>
      <c r="L280" s="6">
        <v>0.59722222222222221</v>
      </c>
      <c r="M280" t="str">
        <f t="shared" si="29"/>
        <v>SUBL</v>
      </c>
      <c r="N280" t="s">
        <v>70</v>
      </c>
      <c r="O280" t="str">
        <f>VLOOKUP(Table1[[#This Row],[SCHEMATIC TYPE]],'SCHEMATIC Lookup'!$B$1:$C$5,2)</f>
        <v>Leveraged Whole Loan</v>
      </c>
      <c r="P280" s="5">
        <v>63504233</v>
      </c>
      <c r="Q280" t="s">
        <v>71</v>
      </c>
      <c r="R280" t="s">
        <v>73</v>
      </c>
      <c r="S280" t="s">
        <v>71</v>
      </c>
      <c r="T280" t="s">
        <v>88</v>
      </c>
      <c r="U280" s="12" t="s">
        <v>232</v>
      </c>
      <c r="V280" s="12" t="s">
        <v>234</v>
      </c>
      <c r="W280" s="11">
        <v>48</v>
      </c>
      <c r="X280" s="2">
        <f t="shared" si="26"/>
        <v>0.40439124043204416</v>
      </c>
      <c r="Y280" s="5">
        <f t="shared" si="27"/>
        <v>17319444.444444444</v>
      </c>
      <c r="Z280" s="5">
        <f t="shared" si="28"/>
        <v>43000000</v>
      </c>
    </row>
    <row r="281" spans="1:26" x14ac:dyDescent="0.25">
      <c r="A281">
        <v>13090</v>
      </c>
      <c r="B281">
        <v>183</v>
      </c>
      <c r="C281">
        <v>2018</v>
      </c>
      <c r="D281" t="s">
        <v>74</v>
      </c>
      <c r="E281" t="s">
        <v>104</v>
      </c>
      <c r="F281" s="2">
        <v>0.62826272236241476</v>
      </c>
      <c r="G281" s="2">
        <v>0.72491852580278626</v>
      </c>
      <c r="H281" s="14">
        <f t="shared" si="25"/>
        <v>0</v>
      </c>
      <c r="I281" s="5">
        <v>20000000</v>
      </c>
      <c r="J281">
        <v>2</v>
      </c>
      <c r="K281" s="6">
        <v>4.2999999999999997E-2</v>
      </c>
      <c r="L281" s="6">
        <v>0</v>
      </c>
      <c r="M281" t="str">
        <f t="shared" si="29"/>
        <v>SUB</v>
      </c>
      <c r="N281" t="s">
        <v>75</v>
      </c>
      <c r="O281" t="str">
        <f>VLOOKUP(Table1[[#This Row],[SCHEMATIC TYPE]],'SCHEMATIC Lookup'!$B$1:$C$5,2)</f>
        <v>Mezzanine Loan</v>
      </c>
      <c r="P281" s="5">
        <v>206919805</v>
      </c>
      <c r="Q281" s="5" t="s">
        <v>86</v>
      </c>
      <c r="R281" t="s">
        <v>105</v>
      </c>
      <c r="S281" t="s">
        <v>71</v>
      </c>
      <c r="T281" s="5" t="s">
        <v>88</v>
      </c>
      <c r="U281" s="12" t="s">
        <v>235</v>
      </c>
      <c r="V281" s="12" t="s">
        <v>233</v>
      </c>
      <c r="W281" s="11">
        <v>24</v>
      </c>
      <c r="X281" s="2">
        <f t="shared" si="26"/>
        <v>0.62826272236241476</v>
      </c>
      <c r="Y281" s="5">
        <f t="shared" si="27"/>
        <v>20000000</v>
      </c>
      <c r="Z281" s="5">
        <f t="shared" si="28"/>
        <v>20000000</v>
      </c>
    </row>
    <row r="282" spans="1:26" x14ac:dyDescent="0.25">
      <c r="A282">
        <v>13100</v>
      </c>
      <c r="B282">
        <v>183</v>
      </c>
      <c r="C282">
        <v>2018</v>
      </c>
      <c r="D282" t="s">
        <v>96</v>
      </c>
      <c r="E282" t="s">
        <v>69</v>
      </c>
      <c r="F282" s="2">
        <v>0</v>
      </c>
      <c r="G282" s="2">
        <v>0.65571624225893366</v>
      </c>
      <c r="H282" s="14">
        <f t="shared" si="25"/>
        <v>0</v>
      </c>
      <c r="I282" s="5">
        <v>35600000</v>
      </c>
      <c r="J282">
        <v>2</v>
      </c>
      <c r="K282" s="6">
        <v>3.5000000000000003E-2</v>
      </c>
      <c r="L282" s="6">
        <v>0.54900000000000004</v>
      </c>
      <c r="M282" t="str">
        <f t="shared" si="29"/>
        <v>SUBL</v>
      </c>
      <c r="N282" t="s">
        <v>70</v>
      </c>
      <c r="O282" t="str">
        <f>VLOOKUP(Table1[[#This Row],[SCHEMATIC TYPE]],'SCHEMATIC Lookup'!$B$1:$C$5,2)</f>
        <v>Leveraged Whole Loan</v>
      </c>
      <c r="P282" s="5">
        <v>54291777</v>
      </c>
      <c r="Q282" t="s">
        <v>71</v>
      </c>
      <c r="R282" s="5" t="s">
        <v>106</v>
      </c>
      <c r="S282" t="s">
        <v>71</v>
      </c>
      <c r="T282" t="s">
        <v>88</v>
      </c>
      <c r="U282" s="12" t="s">
        <v>238</v>
      </c>
      <c r="V282" s="12" t="s">
        <v>234</v>
      </c>
      <c r="W282" s="11">
        <v>36</v>
      </c>
      <c r="X282" s="2">
        <f t="shared" si="26"/>
        <v>0.3599882170001546</v>
      </c>
      <c r="Y282" s="5">
        <f t="shared" si="27"/>
        <v>16055599.999999998</v>
      </c>
      <c r="Z282" s="5">
        <f t="shared" si="28"/>
        <v>35600000</v>
      </c>
    </row>
    <row r="283" spans="1:26" x14ac:dyDescent="0.25">
      <c r="A283">
        <v>13110</v>
      </c>
      <c r="B283">
        <v>183</v>
      </c>
      <c r="C283">
        <v>2018</v>
      </c>
      <c r="D283" t="s">
        <v>96</v>
      </c>
      <c r="E283" t="s">
        <v>69</v>
      </c>
      <c r="F283" s="2">
        <v>0</v>
      </c>
      <c r="G283" s="2">
        <v>0.75143291211657082</v>
      </c>
      <c r="H283" s="14">
        <f t="shared" si="25"/>
        <v>0</v>
      </c>
      <c r="I283" s="5">
        <v>48000000</v>
      </c>
      <c r="J283">
        <v>3</v>
      </c>
      <c r="K283" s="6">
        <v>2.5000000000000001E-2</v>
      </c>
      <c r="L283" s="6">
        <v>0.6</v>
      </c>
      <c r="M283" t="str">
        <f t="shared" si="29"/>
        <v>SUBL</v>
      </c>
      <c r="N283" t="s">
        <v>70</v>
      </c>
      <c r="O283" t="str">
        <f>VLOOKUP(Table1[[#This Row],[SCHEMATIC TYPE]],'SCHEMATIC Lookup'!$B$1:$C$5,2)</f>
        <v>Leveraged Whole Loan</v>
      </c>
      <c r="P283" s="5">
        <v>63877958</v>
      </c>
      <c r="Q283" s="5" t="s">
        <v>86</v>
      </c>
      <c r="R283" s="5" t="s">
        <v>82</v>
      </c>
      <c r="S283" t="s">
        <v>71</v>
      </c>
      <c r="T283" s="5" t="s">
        <v>88</v>
      </c>
      <c r="U283" s="12" t="s">
        <v>232</v>
      </c>
      <c r="V283" s="12" t="s">
        <v>231</v>
      </c>
      <c r="W283" s="11">
        <v>36</v>
      </c>
      <c r="X283" s="2">
        <f t="shared" si="26"/>
        <v>0.45085974726994249</v>
      </c>
      <c r="Y283" s="5">
        <f t="shared" si="27"/>
        <v>19200000</v>
      </c>
      <c r="Z283" s="5">
        <f t="shared" si="28"/>
        <v>48000000</v>
      </c>
    </row>
    <row r="284" spans="1:26" x14ac:dyDescent="0.25">
      <c r="A284">
        <v>13120</v>
      </c>
      <c r="B284">
        <v>183</v>
      </c>
      <c r="C284">
        <v>2018</v>
      </c>
      <c r="D284" t="s">
        <v>96</v>
      </c>
      <c r="E284" t="s">
        <v>69</v>
      </c>
      <c r="F284" s="2">
        <v>0</v>
      </c>
      <c r="G284" s="2">
        <v>0.7781259910547933</v>
      </c>
      <c r="H284" s="14">
        <f t="shared" si="25"/>
        <v>0</v>
      </c>
      <c r="I284" s="5">
        <v>27360000</v>
      </c>
      <c r="J284">
        <v>3</v>
      </c>
      <c r="K284" s="6">
        <v>2.5000000000000001E-2</v>
      </c>
      <c r="L284" s="6">
        <v>0.52</v>
      </c>
      <c r="M284" t="str">
        <f t="shared" si="29"/>
        <v>SUBL</v>
      </c>
      <c r="N284" t="s">
        <v>70</v>
      </c>
      <c r="O284" t="str">
        <f>VLOOKUP(Table1[[#This Row],[SCHEMATIC TYPE]],'SCHEMATIC Lookup'!$B$1:$C$5,2)</f>
        <v>Leveraged Whole Loan</v>
      </c>
      <c r="P284" s="5">
        <v>35161401</v>
      </c>
      <c r="Q284" s="5" t="s">
        <v>86</v>
      </c>
      <c r="R284" s="5" t="s">
        <v>82</v>
      </c>
      <c r="S284" t="s">
        <v>71</v>
      </c>
      <c r="T284" s="5" t="s">
        <v>88</v>
      </c>
      <c r="U284" s="12" t="s">
        <v>232</v>
      </c>
      <c r="V284" s="12" t="s">
        <v>231</v>
      </c>
      <c r="W284" s="11">
        <v>36</v>
      </c>
      <c r="X284" s="2">
        <f t="shared" si="26"/>
        <v>0.4046255153484925</v>
      </c>
      <c r="Y284" s="5">
        <f t="shared" si="27"/>
        <v>13132800</v>
      </c>
      <c r="Z284" s="5">
        <f t="shared" si="28"/>
        <v>27360000</v>
      </c>
    </row>
    <row r="285" spans="1:26" x14ac:dyDescent="0.25">
      <c r="A285">
        <v>13130</v>
      </c>
      <c r="B285">
        <v>183</v>
      </c>
      <c r="C285">
        <v>2018</v>
      </c>
      <c r="D285" t="s">
        <v>96</v>
      </c>
      <c r="E285" t="s">
        <v>69</v>
      </c>
      <c r="F285" s="2">
        <v>0</v>
      </c>
      <c r="G285" s="2">
        <v>0.75835065291016046</v>
      </c>
      <c r="H285" s="14">
        <f t="shared" si="25"/>
        <v>0</v>
      </c>
      <c r="I285" s="5">
        <v>239600000</v>
      </c>
      <c r="J285">
        <v>1</v>
      </c>
      <c r="K285" s="6">
        <v>2.1999999999999999E-2</v>
      </c>
      <c r="L285" s="6">
        <v>0.53</v>
      </c>
      <c r="M285" t="str">
        <f t="shared" si="29"/>
        <v>SUBL</v>
      </c>
      <c r="N285" t="s">
        <v>70</v>
      </c>
      <c r="O285" t="str">
        <f>VLOOKUP(Table1[[#This Row],[SCHEMATIC TYPE]],'SCHEMATIC Lookup'!$B$1:$C$5,2)</f>
        <v>Leveraged Whole Loan</v>
      </c>
      <c r="P285" s="5">
        <v>315948828</v>
      </c>
      <c r="Q285" s="5" t="s">
        <v>86</v>
      </c>
      <c r="R285" s="5" t="s">
        <v>82</v>
      </c>
      <c r="S285" t="s">
        <v>71</v>
      </c>
      <c r="T285" s="5" t="s">
        <v>88</v>
      </c>
      <c r="U285" s="12" t="s">
        <v>232</v>
      </c>
      <c r="V285" s="12" t="s">
        <v>231</v>
      </c>
      <c r="W285" s="11">
        <v>60</v>
      </c>
      <c r="X285" s="2">
        <f t="shared" si="26"/>
        <v>0.40192584604238507</v>
      </c>
      <c r="Y285" s="5">
        <f t="shared" si="27"/>
        <v>112612000</v>
      </c>
      <c r="Z285" s="5">
        <f t="shared" si="28"/>
        <v>239600000</v>
      </c>
    </row>
    <row r="286" spans="1:26" x14ac:dyDescent="0.25">
      <c r="A286">
        <v>13140</v>
      </c>
      <c r="B286">
        <v>183</v>
      </c>
      <c r="C286">
        <v>2018</v>
      </c>
      <c r="D286" t="s">
        <v>96</v>
      </c>
      <c r="E286" t="s">
        <v>69</v>
      </c>
      <c r="F286" s="2">
        <v>0</v>
      </c>
      <c r="G286" s="2">
        <v>0.7</v>
      </c>
      <c r="H286" s="14">
        <f t="shared" si="25"/>
        <v>0</v>
      </c>
      <c r="I286" s="5">
        <v>150000000</v>
      </c>
      <c r="J286">
        <v>4</v>
      </c>
      <c r="K286" s="6">
        <v>2.2499999999999999E-2</v>
      </c>
      <c r="L286" s="6">
        <v>0.6</v>
      </c>
      <c r="M286" t="str">
        <f t="shared" si="29"/>
        <v>SUBL</v>
      </c>
      <c r="N286" t="s">
        <v>70</v>
      </c>
      <c r="O286" t="str">
        <f>VLOOKUP(Table1[[#This Row],[SCHEMATIC TYPE]],'SCHEMATIC Lookup'!$B$1:$C$5,2)</f>
        <v>Leveraged Whole Loan</v>
      </c>
      <c r="P286" s="5">
        <v>190392950</v>
      </c>
      <c r="Q286" s="5" t="s">
        <v>86</v>
      </c>
      <c r="R286" s="5" t="s">
        <v>82</v>
      </c>
      <c r="S286" t="s">
        <v>71</v>
      </c>
      <c r="T286" s="5" t="s">
        <v>88</v>
      </c>
      <c r="U286" s="12" t="s">
        <v>232</v>
      </c>
      <c r="V286" s="12" t="s">
        <v>233</v>
      </c>
      <c r="W286" s="11">
        <v>60</v>
      </c>
      <c r="X286" s="2">
        <f t="shared" si="26"/>
        <v>0.42</v>
      </c>
      <c r="Y286" s="5">
        <f t="shared" si="27"/>
        <v>60000000</v>
      </c>
      <c r="Z286" s="5">
        <f t="shared" si="28"/>
        <v>150000000</v>
      </c>
    </row>
    <row r="287" spans="1:26" x14ac:dyDescent="0.25">
      <c r="A287">
        <v>13150</v>
      </c>
      <c r="B287">
        <v>183</v>
      </c>
      <c r="C287">
        <v>2018</v>
      </c>
      <c r="D287" t="s">
        <v>96</v>
      </c>
      <c r="E287" t="s">
        <v>69</v>
      </c>
      <c r="F287" s="2">
        <v>0</v>
      </c>
      <c r="G287" s="2">
        <v>0.78837051045856865</v>
      </c>
      <c r="H287" s="14">
        <f t="shared" si="25"/>
        <v>0</v>
      </c>
      <c r="I287" s="5">
        <v>93880000</v>
      </c>
      <c r="J287">
        <v>2</v>
      </c>
      <c r="K287" s="6">
        <v>2.4E-2</v>
      </c>
      <c r="L287" s="6">
        <v>0.65</v>
      </c>
      <c r="M287" t="str">
        <f t="shared" si="29"/>
        <v>SUBL</v>
      </c>
      <c r="N287" t="s">
        <v>70</v>
      </c>
      <c r="O287" t="str">
        <f>VLOOKUP(Table1[[#This Row],[SCHEMATIC TYPE]],'SCHEMATIC Lookup'!$B$1:$C$5,2)</f>
        <v>Leveraged Whole Loan</v>
      </c>
      <c r="P287" s="5">
        <v>119081065</v>
      </c>
      <c r="Q287" s="5" t="s">
        <v>86</v>
      </c>
      <c r="R287" s="5" t="s">
        <v>82</v>
      </c>
      <c r="S287" t="s">
        <v>71</v>
      </c>
      <c r="T287" s="5" t="s">
        <v>88</v>
      </c>
      <c r="U287" s="12" t="s">
        <v>236</v>
      </c>
      <c r="V287" s="12" t="s">
        <v>231</v>
      </c>
      <c r="W287" s="11">
        <v>60</v>
      </c>
      <c r="X287" s="2">
        <f t="shared" si="26"/>
        <v>0.51244083179806965</v>
      </c>
      <c r="Y287" s="5">
        <f t="shared" si="27"/>
        <v>32857999.999999996</v>
      </c>
      <c r="Z287" s="5">
        <f t="shared" si="28"/>
        <v>93880000</v>
      </c>
    </row>
    <row r="288" spans="1:26" x14ac:dyDescent="0.25">
      <c r="A288">
        <v>13160</v>
      </c>
      <c r="B288">
        <v>183</v>
      </c>
      <c r="C288">
        <v>2018</v>
      </c>
      <c r="D288" t="s">
        <v>96</v>
      </c>
      <c r="E288" t="s">
        <v>69</v>
      </c>
      <c r="F288" s="2">
        <v>0</v>
      </c>
      <c r="G288" s="2">
        <v>0.70643223749395334</v>
      </c>
      <c r="H288" s="14">
        <f t="shared" si="25"/>
        <v>0</v>
      </c>
      <c r="I288" s="5">
        <v>41900000</v>
      </c>
      <c r="J288">
        <v>2</v>
      </c>
      <c r="K288" s="6">
        <v>2.4E-2</v>
      </c>
      <c r="L288" s="6">
        <v>0.6</v>
      </c>
      <c r="M288" t="str">
        <f t="shared" si="29"/>
        <v>SUBL</v>
      </c>
      <c r="N288" t="s">
        <v>70</v>
      </c>
      <c r="O288" t="str">
        <f>VLOOKUP(Table1[[#This Row],[SCHEMATIC TYPE]],'SCHEMATIC Lookup'!$B$1:$C$5,2)</f>
        <v>Leveraged Whole Loan</v>
      </c>
      <c r="P288" s="5">
        <v>59312129</v>
      </c>
      <c r="Q288" s="5" t="s">
        <v>86</v>
      </c>
      <c r="R288" s="5" t="s">
        <v>82</v>
      </c>
      <c r="S288" t="s">
        <v>71</v>
      </c>
      <c r="T288" s="5" t="s">
        <v>88</v>
      </c>
      <c r="U288" s="12" t="s">
        <v>232</v>
      </c>
      <c r="V288" s="12" t="s">
        <v>233</v>
      </c>
      <c r="W288" s="11">
        <v>48</v>
      </c>
      <c r="X288" s="2">
        <f t="shared" si="26"/>
        <v>0.42385934249637197</v>
      </c>
      <c r="Y288" s="5">
        <f t="shared" si="27"/>
        <v>16760000</v>
      </c>
      <c r="Z288" s="5">
        <f t="shared" si="28"/>
        <v>41900000</v>
      </c>
    </row>
    <row r="289" spans="1:26" x14ac:dyDescent="0.25">
      <c r="A289">
        <v>13170</v>
      </c>
      <c r="B289">
        <v>183</v>
      </c>
      <c r="C289">
        <v>2018</v>
      </c>
      <c r="D289" t="s">
        <v>96</v>
      </c>
      <c r="E289" t="s">
        <v>69</v>
      </c>
      <c r="F289" s="2">
        <v>0</v>
      </c>
      <c r="G289" s="2">
        <v>0.66205251095762585</v>
      </c>
      <c r="H289" s="14">
        <f t="shared" si="25"/>
        <v>0</v>
      </c>
      <c r="I289" s="5">
        <v>50400000</v>
      </c>
      <c r="J289">
        <v>2</v>
      </c>
      <c r="K289" s="6">
        <v>2.4500000000000001E-2</v>
      </c>
      <c r="L289" s="6">
        <v>0.65</v>
      </c>
      <c r="M289" t="str">
        <f t="shared" si="29"/>
        <v>SUBL</v>
      </c>
      <c r="N289" t="s">
        <v>70</v>
      </c>
      <c r="O289" t="str">
        <f>VLOOKUP(Table1[[#This Row],[SCHEMATIC TYPE]],'SCHEMATIC Lookup'!$B$1:$C$5,2)</f>
        <v>Leveraged Whole Loan</v>
      </c>
      <c r="P289" s="5">
        <v>76126892</v>
      </c>
      <c r="Q289" s="5" t="s">
        <v>86</v>
      </c>
      <c r="R289" s="5" t="s">
        <v>82</v>
      </c>
      <c r="S289" t="s">
        <v>71</v>
      </c>
      <c r="T289" s="5" t="s">
        <v>88</v>
      </c>
      <c r="U289" s="12" t="s">
        <v>232</v>
      </c>
      <c r="V289" s="12" t="s">
        <v>234</v>
      </c>
      <c r="W289" s="11">
        <v>60</v>
      </c>
      <c r="X289" s="2">
        <f t="shared" si="26"/>
        <v>0.4303341321224568</v>
      </c>
      <c r="Y289" s="5">
        <f t="shared" si="27"/>
        <v>17640000</v>
      </c>
      <c r="Z289" s="5">
        <f t="shared" si="28"/>
        <v>50400000</v>
      </c>
    </row>
    <row r="290" spans="1:26" x14ac:dyDescent="0.25">
      <c r="A290">
        <v>13180</v>
      </c>
      <c r="B290">
        <v>183</v>
      </c>
      <c r="C290">
        <v>2018</v>
      </c>
      <c r="D290" t="s">
        <v>96</v>
      </c>
      <c r="E290" t="s">
        <v>69</v>
      </c>
      <c r="F290" s="2">
        <v>0</v>
      </c>
      <c r="G290" s="2">
        <v>0.70014453461332948</v>
      </c>
      <c r="H290" s="14">
        <f t="shared" si="25"/>
        <v>0</v>
      </c>
      <c r="I290" s="5">
        <v>39780000</v>
      </c>
      <c r="J290">
        <v>2</v>
      </c>
      <c r="K290" s="6">
        <v>2.35E-2</v>
      </c>
      <c r="L290" s="6">
        <v>0.6</v>
      </c>
      <c r="M290" t="str">
        <f t="shared" si="29"/>
        <v>SUBL</v>
      </c>
      <c r="N290" t="s">
        <v>70</v>
      </c>
      <c r="O290" t="str">
        <f>VLOOKUP(Table1[[#This Row],[SCHEMATIC TYPE]],'SCHEMATIC Lookup'!$B$1:$C$5,2)</f>
        <v>Leveraged Whole Loan</v>
      </c>
      <c r="P290" s="5">
        <v>56816840</v>
      </c>
      <c r="Q290" s="5" t="s">
        <v>86</v>
      </c>
      <c r="R290" s="5" t="s">
        <v>82</v>
      </c>
      <c r="S290" t="s">
        <v>71</v>
      </c>
      <c r="T290" s="5" t="s">
        <v>88</v>
      </c>
      <c r="U290" s="12" t="s">
        <v>232</v>
      </c>
      <c r="V290" s="12" t="s">
        <v>233</v>
      </c>
      <c r="W290" s="11">
        <v>36</v>
      </c>
      <c r="X290" s="2">
        <f t="shared" si="26"/>
        <v>0.42008672076799769</v>
      </c>
      <c r="Y290" s="5">
        <f t="shared" si="27"/>
        <v>15912000</v>
      </c>
      <c r="Z290" s="5">
        <f t="shared" si="28"/>
        <v>39780000</v>
      </c>
    </row>
    <row r="291" spans="1:26" x14ac:dyDescent="0.25">
      <c r="A291">
        <v>13190</v>
      </c>
      <c r="B291">
        <v>183</v>
      </c>
      <c r="C291">
        <v>2018</v>
      </c>
      <c r="D291" t="s">
        <v>98</v>
      </c>
      <c r="E291" t="s">
        <v>91</v>
      </c>
      <c r="F291" s="2">
        <v>0</v>
      </c>
      <c r="G291" s="2">
        <v>0.68500000000000005</v>
      </c>
      <c r="H291" s="14">
        <f t="shared" si="25"/>
        <v>0</v>
      </c>
      <c r="I291" s="5">
        <v>27900000</v>
      </c>
      <c r="J291">
        <v>4</v>
      </c>
      <c r="K291" s="6">
        <v>9.7000000000000003E-2</v>
      </c>
      <c r="L291" s="6">
        <v>0</v>
      </c>
      <c r="M291" t="str">
        <f t="shared" si="29"/>
        <v>SENIOR</v>
      </c>
      <c r="N291" t="s">
        <v>90</v>
      </c>
      <c r="O291" t="str">
        <f>VLOOKUP(Table1[[#This Row],[SCHEMATIC TYPE]],'SCHEMATIC Lookup'!$B$1:$C$5,2)</f>
        <v>Senior Whole Loan</v>
      </c>
      <c r="P291" s="5">
        <v>43420156</v>
      </c>
      <c r="Q291" t="s">
        <v>71</v>
      </c>
      <c r="R291" s="5" t="s">
        <v>80</v>
      </c>
      <c r="S291" t="s">
        <v>71</v>
      </c>
      <c r="T291" t="s">
        <v>71</v>
      </c>
      <c r="U291" s="12" t="s">
        <v>238</v>
      </c>
      <c r="V291" s="12" t="s">
        <v>234</v>
      </c>
      <c r="W291" s="11">
        <v>36</v>
      </c>
      <c r="X291" s="2">
        <f t="shared" si="26"/>
        <v>0</v>
      </c>
      <c r="Y291" s="5">
        <f t="shared" si="27"/>
        <v>27900000</v>
      </c>
      <c r="Z291" s="5">
        <f t="shared" si="28"/>
        <v>27900000</v>
      </c>
    </row>
    <row r="292" spans="1:26" x14ac:dyDescent="0.25">
      <c r="A292">
        <v>13200</v>
      </c>
      <c r="B292">
        <v>183</v>
      </c>
      <c r="C292">
        <v>2018</v>
      </c>
      <c r="D292" t="s">
        <v>98</v>
      </c>
      <c r="E292" t="s">
        <v>91</v>
      </c>
      <c r="F292" s="2">
        <v>0</v>
      </c>
      <c r="G292" s="2">
        <v>0.84</v>
      </c>
      <c r="H292" s="14">
        <f t="shared" si="25"/>
        <v>0</v>
      </c>
      <c r="I292" s="5">
        <v>34300000</v>
      </c>
      <c r="J292">
        <v>4</v>
      </c>
      <c r="K292" s="6">
        <v>7.4999999999999997E-2</v>
      </c>
      <c r="L292" s="6">
        <v>0</v>
      </c>
      <c r="M292" t="str">
        <f t="shared" si="29"/>
        <v>SENIOR</v>
      </c>
      <c r="N292" t="s">
        <v>90</v>
      </c>
      <c r="O292" t="str">
        <f>VLOOKUP(Table1[[#This Row],[SCHEMATIC TYPE]],'SCHEMATIC Lookup'!$B$1:$C$5,2)</f>
        <v>Senior Whole Loan</v>
      </c>
      <c r="P292" s="5">
        <v>47753150</v>
      </c>
      <c r="Q292" t="s">
        <v>71</v>
      </c>
      <c r="R292" s="5" t="s">
        <v>80</v>
      </c>
      <c r="S292" t="s">
        <v>71</v>
      </c>
      <c r="T292" t="s">
        <v>71</v>
      </c>
      <c r="U292" s="12" t="s">
        <v>238</v>
      </c>
      <c r="V292" s="12" t="s">
        <v>237</v>
      </c>
      <c r="W292" s="11">
        <v>36</v>
      </c>
      <c r="X292" s="2">
        <f t="shared" si="26"/>
        <v>0</v>
      </c>
      <c r="Y292" s="5">
        <f t="shared" si="27"/>
        <v>34300000</v>
      </c>
      <c r="Z292" s="5">
        <f t="shared" si="28"/>
        <v>34300000</v>
      </c>
    </row>
    <row r="293" spans="1:26" x14ac:dyDescent="0.25">
      <c r="A293">
        <v>13210</v>
      </c>
      <c r="B293">
        <v>183</v>
      </c>
      <c r="C293">
        <v>2018</v>
      </c>
      <c r="D293" t="s">
        <v>83</v>
      </c>
      <c r="E293" t="s">
        <v>77</v>
      </c>
      <c r="F293" s="2">
        <v>0.51782739991511462</v>
      </c>
      <c r="G293" s="2">
        <v>0.69164061034487434</v>
      </c>
      <c r="H293" s="14">
        <f t="shared" si="25"/>
        <v>0</v>
      </c>
      <c r="I293" s="5">
        <v>18159129.25</v>
      </c>
      <c r="J293">
        <v>2</v>
      </c>
      <c r="K293" s="6">
        <v>0.12</v>
      </c>
      <c r="L293" s="6">
        <v>0</v>
      </c>
      <c r="M293" t="str">
        <f t="shared" si="29"/>
        <v>SUB</v>
      </c>
      <c r="N293" t="s">
        <v>84</v>
      </c>
      <c r="O293" t="str">
        <f>VLOOKUP(Table1[[#This Row],[SCHEMATIC TYPE]],'SCHEMATIC Lookup'!$B$1:$C$5,2)</f>
        <v>Other Subordinate</v>
      </c>
      <c r="P293" s="5">
        <v>104474966</v>
      </c>
      <c r="Q293" t="s">
        <v>71</v>
      </c>
      <c r="R293" s="5" t="s">
        <v>107</v>
      </c>
      <c r="S293" t="s">
        <v>71</v>
      </c>
      <c r="T293" t="s">
        <v>71</v>
      </c>
      <c r="U293" s="12" t="s">
        <v>236</v>
      </c>
      <c r="V293" s="12" t="s">
        <v>234</v>
      </c>
      <c r="W293" s="11" t="s">
        <v>103</v>
      </c>
      <c r="X293" s="2">
        <f t="shared" si="26"/>
        <v>0.51782739991511462</v>
      </c>
      <c r="Y293" s="5">
        <f t="shared" si="27"/>
        <v>18159129.25</v>
      </c>
      <c r="Z293" s="5">
        <f t="shared" si="28"/>
        <v>18159129.25</v>
      </c>
    </row>
    <row r="294" spans="1:26" x14ac:dyDescent="0.25">
      <c r="A294">
        <v>13220</v>
      </c>
      <c r="B294">
        <v>219</v>
      </c>
      <c r="C294">
        <v>2016</v>
      </c>
      <c r="D294" t="s">
        <v>74</v>
      </c>
      <c r="E294" t="s">
        <v>77</v>
      </c>
      <c r="F294" s="2">
        <v>0.46</v>
      </c>
      <c r="G294" s="2">
        <v>0.6</v>
      </c>
      <c r="H294" s="14">
        <f t="shared" si="25"/>
        <v>0</v>
      </c>
      <c r="I294" s="5">
        <v>9200000</v>
      </c>
      <c r="J294">
        <v>2</v>
      </c>
      <c r="K294" s="6">
        <v>9.35E-2</v>
      </c>
      <c r="L294" s="6">
        <v>0</v>
      </c>
      <c r="M294" t="str">
        <f t="shared" si="29"/>
        <v>SUB</v>
      </c>
      <c r="N294" t="s">
        <v>75</v>
      </c>
      <c r="O294" t="str">
        <f>VLOOKUP(Table1[[#This Row],[SCHEMATIC TYPE]],'SCHEMATIC Lookup'!$B$1:$C$5,2)</f>
        <v>Mezzanine Loan</v>
      </c>
      <c r="P294" s="5">
        <v>64700000</v>
      </c>
      <c r="Q294" s="5" t="s">
        <v>108</v>
      </c>
      <c r="R294" s="5" t="s">
        <v>109</v>
      </c>
      <c r="S294" t="s">
        <v>71</v>
      </c>
      <c r="T294" s="5" t="s">
        <v>108</v>
      </c>
      <c r="U294" s="12" t="s">
        <v>232</v>
      </c>
      <c r="V294" s="12" t="s">
        <v>235</v>
      </c>
      <c r="W294" s="11">
        <v>60</v>
      </c>
      <c r="X294" s="2">
        <f t="shared" si="26"/>
        <v>0.46</v>
      </c>
      <c r="Y294" s="5">
        <f t="shared" si="27"/>
        <v>9200000</v>
      </c>
      <c r="Z294" s="5">
        <f t="shared" si="28"/>
        <v>9200000</v>
      </c>
    </row>
    <row r="295" spans="1:26" x14ac:dyDescent="0.25">
      <c r="A295">
        <v>13230</v>
      </c>
      <c r="B295">
        <v>219</v>
      </c>
      <c r="C295">
        <v>2016</v>
      </c>
      <c r="D295" t="s">
        <v>74</v>
      </c>
      <c r="E295" t="s">
        <v>77</v>
      </c>
      <c r="F295" s="2">
        <v>0.39404553415061294</v>
      </c>
      <c r="G295" s="2">
        <v>0.50788091068301222</v>
      </c>
      <c r="H295" s="14">
        <f t="shared" si="25"/>
        <v>0</v>
      </c>
      <c r="I295" s="5">
        <v>6500000</v>
      </c>
      <c r="J295">
        <v>2</v>
      </c>
      <c r="K295" s="6">
        <v>8.1000000000000003E-2</v>
      </c>
      <c r="L295" s="6">
        <v>0</v>
      </c>
      <c r="M295" t="str">
        <f t="shared" si="29"/>
        <v>SUB</v>
      </c>
      <c r="N295" t="s">
        <v>75</v>
      </c>
      <c r="O295" t="str">
        <f>VLOOKUP(Table1[[#This Row],[SCHEMATIC TYPE]],'SCHEMATIC Lookup'!$B$1:$C$5,2)</f>
        <v>Mezzanine Loan</v>
      </c>
      <c r="P295" s="5">
        <v>57100000</v>
      </c>
      <c r="Q295" s="5" t="s">
        <v>110</v>
      </c>
      <c r="R295" s="5" t="s">
        <v>109</v>
      </c>
      <c r="S295" t="s">
        <v>19</v>
      </c>
      <c r="T295" s="5" t="s">
        <v>19</v>
      </c>
      <c r="U295" s="12" t="s">
        <v>238</v>
      </c>
      <c r="V295" s="12" t="s">
        <v>240</v>
      </c>
      <c r="W295" s="11">
        <v>48</v>
      </c>
      <c r="X295" s="2">
        <f t="shared" si="26"/>
        <v>0.39404553415061294</v>
      </c>
      <c r="Y295" s="5">
        <f t="shared" si="27"/>
        <v>6500000</v>
      </c>
      <c r="Z295" s="5">
        <f t="shared" si="28"/>
        <v>6500000</v>
      </c>
    </row>
    <row r="296" spans="1:26" x14ac:dyDescent="0.25">
      <c r="A296">
        <v>13240</v>
      </c>
      <c r="B296">
        <v>219</v>
      </c>
      <c r="C296">
        <v>2017</v>
      </c>
      <c r="D296" t="s">
        <v>74</v>
      </c>
      <c r="E296" t="s">
        <v>69</v>
      </c>
      <c r="F296" s="2">
        <v>0.63551401869158874</v>
      </c>
      <c r="G296" s="2">
        <v>0.75233644859813087</v>
      </c>
      <c r="H296" s="14">
        <f t="shared" si="25"/>
        <v>0</v>
      </c>
      <c r="I296" s="5">
        <v>10000000</v>
      </c>
      <c r="J296">
        <v>4</v>
      </c>
      <c r="K296" s="6">
        <v>9.4399999999999998E-2</v>
      </c>
      <c r="L296" s="6">
        <v>0</v>
      </c>
      <c r="M296" t="str">
        <f t="shared" si="29"/>
        <v>SUB</v>
      </c>
      <c r="N296" t="s">
        <v>75</v>
      </c>
      <c r="O296" t="str">
        <f>VLOOKUP(Table1[[#This Row],[SCHEMATIC TYPE]],'SCHEMATIC Lookup'!$B$1:$C$5,2)</f>
        <v>Mezzanine Loan</v>
      </c>
      <c r="P296" s="5">
        <v>85600000</v>
      </c>
      <c r="Q296" s="5" t="s">
        <v>108</v>
      </c>
      <c r="R296" s="5" t="s">
        <v>105</v>
      </c>
      <c r="S296" t="s">
        <v>71</v>
      </c>
      <c r="T296" s="5" t="s">
        <v>108</v>
      </c>
      <c r="U296" s="12" t="s">
        <v>235</v>
      </c>
      <c r="V296" s="12" t="s">
        <v>231</v>
      </c>
      <c r="W296" s="11">
        <v>60</v>
      </c>
      <c r="X296" s="2">
        <f t="shared" si="26"/>
        <v>0.63551401869158874</v>
      </c>
      <c r="Y296" s="5">
        <f t="shared" si="27"/>
        <v>10000000</v>
      </c>
      <c r="Z296" s="5">
        <f t="shared" si="28"/>
        <v>10000000</v>
      </c>
    </row>
    <row r="297" spans="1:26" x14ac:dyDescent="0.25">
      <c r="A297">
        <v>13250</v>
      </c>
      <c r="B297">
        <v>219</v>
      </c>
      <c r="C297">
        <v>2015</v>
      </c>
      <c r="D297" t="s">
        <v>74</v>
      </c>
      <c r="E297" t="s">
        <v>77</v>
      </c>
      <c r="F297" s="2">
        <v>0.67380952380952386</v>
      </c>
      <c r="G297" s="2">
        <v>0.84047619047619049</v>
      </c>
      <c r="H297" s="14">
        <f t="shared" si="25"/>
        <v>0</v>
      </c>
      <c r="I297" s="5">
        <v>7000000</v>
      </c>
      <c r="J297">
        <v>1</v>
      </c>
      <c r="K297" s="6">
        <v>0.11</v>
      </c>
      <c r="L297" s="6">
        <v>0</v>
      </c>
      <c r="M297" t="str">
        <f t="shared" si="29"/>
        <v>SUB</v>
      </c>
      <c r="N297" t="s">
        <v>75</v>
      </c>
      <c r="O297" t="str">
        <f>VLOOKUP(Table1[[#This Row],[SCHEMATIC TYPE]],'SCHEMATIC Lookup'!$B$1:$C$5,2)</f>
        <v>Mezzanine Loan</v>
      </c>
      <c r="P297" s="5">
        <v>42000000</v>
      </c>
      <c r="Q297" s="5" t="s">
        <v>110</v>
      </c>
      <c r="R297" s="5" t="s">
        <v>111</v>
      </c>
      <c r="S297" t="s">
        <v>19</v>
      </c>
      <c r="T297" s="5" t="s">
        <v>19</v>
      </c>
      <c r="U297" s="12" t="s">
        <v>239</v>
      </c>
      <c r="V297" s="12" t="s">
        <v>237</v>
      </c>
      <c r="W297" s="11">
        <v>84</v>
      </c>
      <c r="X297" s="2">
        <f t="shared" si="26"/>
        <v>0.67380952380952386</v>
      </c>
      <c r="Y297" s="5">
        <f t="shared" si="27"/>
        <v>7000000</v>
      </c>
      <c r="Z297" s="5">
        <f t="shared" si="28"/>
        <v>7000000</v>
      </c>
    </row>
    <row r="298" spans="1:26" x14ac:dyDescent="0.25">
      <c r="A298">
        <v>13260</v>
      </c>
      <c r="B298">
        <v>219</v>
      </c>
      <c r="C298">
        <v>2017</v>
      </c>
      <c r="D298" t="s">
        <v>74</v>
      </c>
      <c r="E298" t="s">
        <v>69</v>
      </c>
      <c r="F298" s="2">
        <v>0.72499999999999998</v>
      </c>
      <c r="G298" s="2">
        <v>0.8</v>
      </c>
      <c r="H298" s="14">
        <f t="shared" si="25"/>
        <v>0</v>
      </c>
      <c r="I298" s="5">
        <v>20000000</v>
      </c>
      <c r="J298">
        <v>5</v>
      </c>
      <c r="K298" s="6">
        <v>8.5000000000000006E-2</v>
      </c>
      <c r="L298" s="6">
        <v>0</v>
      </c>
      <c r="M298" t="str">
        <f t="shared" si="29"/>
        <v>SUB</v>
      </c>
      <c r="N298" t="s">
        <v>75</v>
      </c>
      <c r="O298" t="str">
        <f>VLOOKUP(Table1[[#This Row],[SCHEMATIC TYPE]],'SCHEMATIC Lookup'!$B$1:$C$5,2)</f>
        <v>Mezzanine Loan</v>
      </c>
      <c r="P298" s="5">
        <v>277200000</v>
      </c>
      <c r="Q298" s="5" t="s">
        <v>108</v>
      </c>
      <c r="R298" s="5" t="s">
        <v>109</v>
      </c>
      <c r="S298" t="s">
        <v>71</v>
      </c>
      <c r="T298" s="5" t="s">
        <v>108</v>
      </c>
      <c r="U298" s="12" t="s">
        <v>239</v>
      </c>
      <c r="V298" s="12" t="s">
        <v>237</v>
      </c>
      <c r="W298" s="11">
        <v>24</v>
      </c>
      <c r="X298" s="2">
        <f t="shared" si="26"/>
        <v>0.72499999999999998</v>
      </c>
      <c r="Y298" s="5">
        <f t="shared" si="27"/>
        <v>20000000</v>
      </c>
      <c r="Z298" s="5">
        <f t="shared" si="28"/>
        <v>20000000</v>
      </c>
    </row>
    <row r="299" spans="1:26" x14ac:dyDescent="0.25">
      <c r="A299">
        <v>13270</v>
      </c>
      <c r="B299">
        <v>219</v>
      </c>
      <c r="C299">
        <v>2018</v>
      </c>
      <c r="D299" t="s">
        <v>74</v>
      </c>
      <c r="E299" t="s">
        <v>69</v>
      </c>
      <c r="F299" s="2">
        <v>0.74490513000702741</v>
      </c>
      <c r="G299" s="2">
        <v>0.85734364019676734</v>
      </c>
      <c r="H299" s="14">
        <f t="shared" si="25"/>
        <v>0</v>
      </c>
      <c r="I299" s="5">
        <v>25000000</v>
      </c>
      <c r="J299">
        <v>6</v>
      </c>
      <c r="K299" s="6">
        <v>0.05</v>
      </c>
      <c r="L299" s="6">
        <v>0</v>
      </c>
      <c r="M299" t="str">
        <f t="shared" si="29"/>
        <v>SUB</v>
      </c>
      <c r="N299" t="s">
        <v>75</v>
      </c>
      <c r="O299" t="str">
        <f>VLOOKUP(Table1[[#This Row],[SCHEMATIC TYPE]],'SCHEMATIC Lookup'!$B$1:$C$5,2)</f>
        <v>Mezzanine Loan</v>
      </c>
      <c r="P299" s="5">
        <v>355750000</v>
      </c>
      <c r="Q299" t="s">
        <v>19</v>
      </c>
      <c r="R299" s="5" t="s">
        <v>109</v>
      </c>
      <c r="S299" t="s">
        <v>19</v>
      </c>
      <c r="T299" t="s">
        <v>19</v>
      </c>
      <c r="U299" s="12" t="s">
        <v>239</v>
      </c>
      <c r="V299" s="12" t="s">
        <v>237</v>
      </c>
      <c r="W299" s="11">
        <v>24</v>
      </c>
      <c r="X299" s="2">
        <f t="shared" si="26"/>
        <v>0.74490513000702741</v>
      </c>
      <c r="Y299" s="5">
        <f t="shared" si="27"/>
        <v>25000000</v>
      </c>
      <c r="Z299" s="5">
        <f t="shared" si="28"/>
        <v>25000000</v>
      </c>
    </row>
    <row r="300" spans="1:26" x14ac:dyDescent="0.25">
      <c r="A300">
        <v>13280</v>
      </c>
      <c r="B300">
        <v>219</v>
      </c>
      <c r="C300">
        <v>2013</v>
      </c>
      <c r="D300" t="s">
        <v>74</v>
      </c>
      <c r="E300" t="s">
        <v>77</v>
      </c>
      <c r="F300" s="2">
        <v>0.54</v>
      </c>
      <c r="G300" s="2">
        <v>0.65</v>
      </c>
      <c r="H300" s="14">
        <f t="shared" si="25"/>
        <v>0</v>
      </c>
      <c r="I300" s="5">
        <v>20000000</v>
      </c>
      <c r="J300">
        <v>5</v>
      </c>
      <c r="K300" s="6">
        <v>9.7500000000000003E-2</v>
      </c>
      <c r="L300" s="6">
        <v>0</v>
      </c>
      <c r="M300" t="str">
        <f t="shared" si="29"/>
        <v>SUB</v>
      </c>
      <c r="N300" t="s">
        <v>75</v>
      </c>
      <c r="O300" t="str">
        <f>VLOOKUP(Table1[[#This Row],[SCHEMATIC TYPE]],'SCHEMATIC Lookup'!$B$1:$C$5,2)</f>
        <v>Mezzanine Loan</v>
      </c>
      <c r="P300" s="5">
        <v>200000000</v>
      </c>
      <c r="Q300" t="s">
        <v>19</v>
      </c>
      <c r="R300" s="5" t="s">
        <v>111</v>
      </c>
      <c r="S300" t="s">
        <v>19</v>
      </c>
      <c r="T300" t="s">
        <v>19</v>
      </c>
      <c r="U300" s="12" t="s">
        <v>236</v>
      </c>
      <c r="V300" s="12" t="s">
        <v>234</v>
      </c>
      <c r="W300" s="11">
        <v>120</v>
      </c>
      <c r="X300" s="2">
        <f t="shared" si="26"/>
        <v>0.54</v>
      </c>
      <c r="Y300" s="5">
        <f t="shared" si="27"/>
        <v>20000000</v>
      </c>
      <c r="Z300" s="5">
        <f t="shared" si="28"/>
        <v>20000000</v>
      </c>
    </row>
    <row r="301" spans="1:26" x14ac:dyDescent="0.25">
      <c r="A301">
        <v>13290</v>
      </c>
      <c r="B301">
        <v>219</v>
      </c>
      <c r="C301">
        <v>2017</v>
      </c>
      <c r="D301" t="s">
        <v>76</v>
      </c>
      <c r="E301" t="s">
        <v>69</v>
      </c>
      <c r="F301" s="2">
        <v>0.69</v>
      </c>
      <c r="G301" s="2">
        <v>0.78</v>
      </c>
      <c r="H301" s="14">
        <f t="shared" si="25"/>
        <v>0</v>
      </c>
      <c r="I301" s="5">
        <v>20000000</v>
      </c>
      <c r="J301">
        <v>2</v>
      </c>
      <c r="K301" s="6">
        <v>6.5000000000000002E-2</v>
      </c>
      <c r="L301" s="6">
        <v>0</v>
      </c>
      <c r="M301" t="str">
        <f t="shared" si="29"/>
        <v>SUB</v>
      </c>
      <c r="N301" t="s">
        <v>78</v>
      </c>
      <c r="O301" t="str">
        <f>VLOOKUP(Table1[[#This Row],[SCHEMATIC TYPE]],'SCHEMATIC Lookup'!$B$1:$C$5,2)</f>
        <v>Sub. Tranche of Senior</v>
      </c>
      <c r="P301" s="5">
        <v>227300000</v>
      </c>
      <c r="Q301" t="s">
        <v>19</v>
      </c>
      <c r="R301" s="5" t="s">
        <v>111</v>
      </c>
      <c r="S301" t="s">
        <v>19</v>
      </c>
      <c r="T301" t="s">
        <v>19</v>
      </c>
      <c r="U301" s="12" t="s">
        <v>239</v>
      </c>
      <c r="V301" s="12" t="s">
        <v>231</v>
      </c>
      <c r="W301" s="11">
        <v>24</v>
      </c>
      <c r="X301" s="2">
        <f t="shared" si="26"/>
        <v>0.69</v>
      </c>
      <c r="Y301" s="5">
        <f t="shared" si="27"/>
        <v>20000000</v>
      </c>
      <c r="Z301" s="5">
        <f t="shared" si="28"/>
        <v>20000000</v>
      </c>
    </row>
    <row r="302" spans="1:26" x14ac:dyDescent="0.25">
      <c r="A302">
        <v>13300</v>
      </c>
      <c r="B302">
        <v>219</v>
      </c>
      <c r="C302">
        <v>2015</v>
      </c>
      <c r="D302" t="s">
        <v>74</v>
      </c>
      <c r="E302" t="s">
        <v>77</v>
      </c>
      <c r="F302" s="2">
        <v>0.71699999999999997</v>
      </c>
      <c r="G302" s="2">
        <v>0.81899999999999995</v>
      </c>
      <c r="H302" s="14">
        <f t="shared" si="25"/>
        <v>0</v>
      </c>
      <c r="I302" s="5">
        <v>25000000</v>
      </c>
      <c r="J302">
        <v>5</v>
      </c>
      <c r="K302" s="6">
        <v>0.1</v>
      </c>
      <c r="L302" s="6">
        <v>0</v>
      </c>
      <c r="M302" t="str">
        <f t="shared" si="29"/>
        <v>SUB</v>
      </c>
      <c r="N302" t="s">
        <v>75</v>
      </c>
      <c r="O302" t="str">
        <f>VLOOKUP(Table1[[#This Row],[SCHEMATIC TYPE]],'SCHEMATIC Lookup'!$B$1:$C$5,2)</f>
        <v>Mezzanine Loan</v>
      </c>
      <c r="P302" s="5">
        <v>221882000</v>
      </c>
      <c r="Q302" t="s">
        <v>19</v>
      </c>
      <c r="R302" s="5" t="s">
        <v>111</v>
      </c>
      <c r="S302" t="s">
        <v>19</v>
      </c>
      <c r="T302" t="s">
        <v>19</v>
      </c>
      <c r="U302" s="12" t="s">
        <v>239</v>
      </c>
      <c r="V302" s="12" t="s">
        <v>237</v>
      </c>
      <c r="W302" s="11">
        <v>120</v>
      </c>
      <c r="X302" s="2">
        <f t="shared" si="26"/>
        <v>0.71699999999999997</v>
      </c>
      <c r="Y302" s="5">
        <f t="shared" si="27"/>
        <v>25000000</v>
      </c>
      <c r="Z302" s="5">
        <f t="shared" si="28"/>
        <v>25000000</v>
      </c>
    </row>
    <row r="303" spans="1:26" x14ac:dyDescent="0.25">
      <c r="A303">
        <v>13310</v>
      </c>
      <c r="B303">
        <v>119</v>
      </c>
      <c r="C303">
        <v>2018</v>
      </c>
      <c r="D303" t="s">
        <v>112</v>
      </c>
      <c r="E303" t="s">
        <v>69</v>
      </c>
      <c r="F303" s="2">
        <v>0.50025979584883817</v>
      </c>
      <c r="G303" s="2">
        <v>0.65823657348531339</v>
      </c>
      <c r="H303" s="14">
        <f t="shared" si="25"/>
        <v>0</v>
      </c>
      <c r="I303" s="5">
        <v>15600000</v>
      </c>
      <c r="J303">
        <v>1</v>
      </c>
      <c r="K303" s="6">
        <v>7.0250000000000007E-2</v>
      </c>
      <c r="L303" s="6">
        <v>0.75</v>
      </c>
      <c r="M303" t="str">
        <f t="shared" si="29"/>
        <v>SUBL</v>
      </c>
      <c r="N303" t="s">
        <v>70</v>
      </c>
      <c r="O303" t="str">
        <f>VLOOKUP(Table1[[#This Row],[SCHEMATIC TYPE]],'SCHEMATIC Lookup'!$B$1:$C$5,2)</f>
        <v>Leveraged Whole Loan</v>
      </c>
      <c r="P303" s="5">
        <v>98748691</v>
      </c>
      <c r="Q303" t="s">
        <v>71</v>
      </c>
      <c r="R303" s="5" t="s">
        <v>79</v>
      </c>
      <c r="S303" t="s">
        <v>71</v>
      </c>
      <c r="T303" t="s">
        <v>71</v>
      </c>
      <c r="U303" s="12" t="s">
        <v>236</v>
      </c>
      <c r="V303" s="12" t="s">
        <v>234</v>
      </c>
      <c r="W303" s="11">
        <v>37</v>
      </c>
      <c r="X303" s="2">
        <f t="shared" si="26"/>
        <v>0.50025979584883817</v>
      </c>
      <c r="Y303" s="5">
        <f t="shared" si="27"/>
        <v>15600000</v>
      </c>
      <c r="Z303" s="5">
        <f t="shared" si="28"/>
        <v>64999999.999999993</v>
      </c>
    </row>
    <row r="304" spans="1:26" x14ac:dyDescent="0.25">
      <c r="A304">
        <v>13320</v>
      </c>
      <c r="B304">
        <v>119</v>
      </c>
      <c r="C304">
        <v>2018</v>
      </c>
      <c r="D304" t="s">
        <v>74</v>
      </c>
      <c r="E304" t="s">
        <v>69</v>
      </c>
      <c r="F304" s="2">
        <v>0.60622196801278627</v>
      </c>
      <c r="G304" s="2">
        <v>0.75576744022814202</v>
      </c>
      <c r="H304" s="14">
        <f t="shared" si="25"/>
        <v>0</v>
      </c>
      <c r="I304" s="5">
        <v>18600000</v>
      </c>
      <c r="J304">
        <v>2</v>
      </c>
      <c r="K304" s="6">
        <v>6.701075268817204E-2</v>
      </c>
      <c r="L304" s="6">
        <v>0</v>
      </c>
      <c r="M304" t="str">
        <f t="shared" si="29"/>
        <v>SUB</v>
      </c>
      <c r="N304" t="s">
        <v>75</v>
      </c>
      <c r="O304" t="str">
        <f>VLOOKUP(Table1[[#This Row],[SCHEMATIC TYPE]],'SCHEMATIC Lookup'!$B$1:$C$5,2)</f>
        <v>Mezzanine Loan</v>
      </c>
      <c r="P304" s="5">
        <v>124376885</v>
      </c>
      <c r="Q304" t="s">
        <v>71</v>
      </c>
      <c r="R304" s="5" t="s">
        <v>79</v>
      </c>
      <c r="S304" t="s">
        <v>71</v>
      </c>
      <c r="T304" t="s">
        <v>71</v>
      </c>
      <c r="U304" s="12" t="s">
        <v>235</v>
      </c>
      <c r="V304" s="12" t="s">
        <v>231</v>
      </c>
      <c r="W304" s="11">
        <v>37</v>
      </c>
      <c r="X304" s="2">
        <f t="shared" si="26"/>
        <v>0.60622196801278627</v>
      </c>
      <c r="Y304" s="5">
        <f t="shared" si="27"/>
        <v>18600000</v>
      </c>
      <c r="Z304" s="5">
        <f t="shared" si="28"/>
        <v>18600000</v>
      </c>
    </row>
    <row r="305" spans="1:26" x14ac:dyDescent="0.25">
      <c r="A305">
        <v>13330</v>
      </c>
      <c r="B305">
        <v>119</v>
      </c>
      <c r="C305">
        <v>2018</v>
      </c>
      <c r="D305" t="s">
        <v>74</v>
      </c>
      <c r="E305" t="s">
        <v>69</v>
      </c>
      <c r="F305" s="2">
        <v>0.48570035725484551</v>
      </c>
      <c r="G305" s="2">
        <v>0.60712544656855694</v>
      </c>
      <c r="H305" s="14">
        <f t="shared" si="25"/>
        <v>0</v>
      </c>
      <c r="I305" s="5">
        <v>14200000</v>
      </c>
      <c r="J305">
        <v>2</v>
      </c>
      <c r="K305" s="6">
        <v>7.9000000000000001E-2</v>
      </c>
      <c r="L305" s="6">
        <v>0</v>
      </c>
      <c r="M305" t="str">
        <f t="shared" si="29"/>
        <v>SUB</v>
      </c>
      <c r="N305" t="s">
        <v>75</v>
      </c>
      <c r="O305" t="str">
        <f>VLOOKUP(Table1[[#This Row],[SCHEMATIC TYPE]],'SCHEMATIC Lookup'!$B$1:$C$5,2)</f>
        <v>Mezzanine Loan</v>
      </c>
      <c r="P305" s="5">
        <v>116944530</v>
      </c>
      <c r="Q305" t="s">
        <v>71</v>
      </c>
      <c r="R305" s="5" t="s">
        <v>79</v>
      </c>
      <c r="S305" t="s">
        <v>71</v>
      </c>
      <c r="T305" t="s">
        <v>71</v>
      </c>
      <c r="U305" s="12" t="s">
        <v>232</v>
      </c>
      <c r="V305" s="12" t="s">
        <v>235</v>
      </c>
      <c r="W305" s="11">
        <v>37</v>
      </c>
      <c r="X305" s="2">
        <f t="shared" si="26"/>
        <v>0.48570035725484551</v>
      </c>
      <c r="Y305" s="5">
        <f t="shared" si="27"/>
        <v>14200000</v>
      </c>
      <c r="Z305" s="5">
        <f t="shared" si="28"/>
        <v>14200000</v>
      </c>
    </row>
    <row r="306" spans="1:26" x14ac:dyDescent="0.25">
      <c r="A306">
        <v>13340</v>
      </c>
      <c r="B306">
        <v>119</v>
      </c>
      <c r="C306">
        <v>2018</v>
      </c>
      <c r="D306" t="s">
        <v>74</v>
      </c>
      <c r="E306" t="s">
        <v>69</v>
      </c>
      <c r="F306" s="2">
        <v>0.56094855354212125</v>
      </c>
      <c r="G306" s="2">
        <v>0.77669799721216792</v>
      </c>
      <c r="H306" s="14">
        <f t="shared" si="25"/>
        <v>0</v>
      </c>
      <c r="I306" s="5">
        <v>25000000</v>
      </c>
      <c r="J306">
        <v>2</v>
      </c>
      <c r="K306" s="6">
        <v>6.54E-2</v>
      </c>
      <c r="L306" s="6">
        <v>0</v>
      </c>
      <c r="M306" t="str">
        <f t="shared" si="29"/>
        <v>SUB</v>
      </c>
      <c r="N306" t="s">
        <v>75</v>
      </c>
      <c r="O306" t="str">
        <f>VLOOKUP(Table1[[#This Row],[SCHEMATIC TYPE]],'SCHEMATIC Lookup'!$B$1:$C$5,2)</f>
        <v>Mezzanine Loan</v>
      </c>
      <c r="P306" s="5">
        <v>115875153.95049359</v>
      </c>
      <c r="Q306" t="s">
        <v>71</v>
      </c>
      <c r="R306" s="5" t="s">
        <v>79</v>
      </c>
      <c r="S306" t="s">
        <v>71</v>
      </c>
      <c r="T306" t="s">
        <v>71</v>
      </c>
      <c r="U306" s="12" t="s">
        <v>230</v>
      </c>
      <c r="V306" s="12" t="s">
        <v>231</v>
      </c>
      <c r="W306" s="11">
        <v>37</v>
      </c>
      <c r="X306" s="2">
        <f t="shared" si="26"/>
        <v>0.56094855354212125</v>
      </c>
      <c r="Y306" s="5">
        <f t="shared" si="27"/>
        <v>25000000</v>
      </c>
      <c r="Z306" s="5">
        <f t="shared" si="28"/>
        <v>25000000</v>
      </c>
    </row>
    <row r="307" spans="1:26" x14ac:dyDescent="0.25">
      <c r="A307">
        <v>13350</v>
      </c>
      <c r="B307">
        <v>119</v>
      </c>
      <c r="C307">
        <v>2018</v>
      </c>
      <c r="D307" t="s">
        <v>74</v>
      </c>
      <c r="E307" t="s">
        <v>69</v>
      </c>
      <c r="F307" s="2">
        <v>0.64816775394832804</v>
      </c>
      <c r="G307" s="2">
        <v>0.84177630382899749</v>
      </c>
      <c r="H307" s="14">
        <f t="shared" si="25"/>
        <v>0</v>
      </c>
      <c r="I307" s="5">
        <v>8237450</v>
      </c>
      <c r="J307">
        <v>1</v>
      </c>
      <c r="K307" s="6">
        <v>6.9999999999999993E-2</v>
      </c>
      <c r="L307" s="6">
        <v>0</v>
      </c>
      <c r="M307" t="str">
        <f t="shared" ref="M307:M338" si="30">IF(AND(H307=0,OR(F307&gt;0,L307&gt;0)),"SUB",IF(AND(H307=0,F307=0),"SENIOR","BAD"))&amp;IF(L307&gt;0,"L","")</f>
        <v>SUB</v>
      </c>
      <c r="N307" t="s">
        <v>75</v>
      </c>
      <c r="O307" t="str">
        <f>VLOOKUP(Table1[[#This Row],[SCHEMATIC TYPE]],'SCHEMATIC Lookup'!$B$1:$C$5,2)</f>
        <v>Mezzanine Loan</v>
      </c>
      <c r="P307" s="5">
        <v>42546933</v>
      </c>
      <c r="Q307" t="s">
        <v>71</v>
      </c>
      <c r="R307" s="5" t="s">
        <v>79</v>
      </c>
      <c r="S307" t="s">
        <v>71</v>
      </c>
      <c r="T307" t="s">
        <v>71</v>
      </c>
      <c r="U307" s="12" t="s">
        <v>235</v>
      </c>
      <c r="V307" s="12" t="s">
        <v>237</v>
      </c>
      <c r="W307" s="11">
        <v>36</v>
      </c>
      <c r="X307" s="2">
        <f t="shared" si="26"/>
        <v>0.64816775394832804</v>
      </c>
      <c r="Y307" s="5">
        <f t="shared" si="27"/>
        <v>8237450</v>
      </c>
      <c r="Z307" s="5">
        <f t="shared" si="28"/>
        <v>8237450</v>
      </c>
    </row>
    <row r="308" spans="1:26" x14ac:dyDescent="0.25">
      <c r="A308">
        <v>13360</v>
      </c>
      <c r="B308">
        <v>119</v>
      </c>
      <c r="C308">
        <v>2018</v>
      </c>
      <c r="D308" t="s">
        <v>74</v>
      </c>
      <c r="E308" t="s">
        <v>69</v>
      </c>
      <c r="F308" s="2">
        <v>0.60777367245562675</v>
      </c>
      <c r="G308" s="2">
        <v>0.7597170905695334</v>
      </c>
      <c r="H308" s="14">
        <f t="shared" si="25"/>
        <v>0</v>
      </c>
      <c r="I308" s="5">
        <v>34300000</v>
      </c>
      <c r="J308">
        <v>6</v>
      </c>
      <c r="K308" s="6">
        <v>7.2499999999999995E-2</v>
      </c>
      <c r="L308" s="6">
        <v>0</v>
      </c>
      <c r="M308" t="str">
        <f t="shared" si="30"/>
        <v>SUB</v>
      </c>
      <c r="N308" t="s">
        <v>75</v>
      </c>
      <c r="O308" t="str">
        <f>VLOOKUP(Table1[[#This Row],[SCHEMATIC TYPE]],'SCHEMATIC Lookup'!$B$1:$C$5,2)</f>
        <v>Mezzanine Loan</v>
      </c>
      <c r="P308" s="5">
        <v>225741927</v>
      </c>
      <c r="Q308" t="s">
        <v>71</v>
      </c>
      <c r="R308" s="5" t="s">
        <v>79</v>
      </c>
      <c r="S308" t="s">
        <v>71</v>
      </c>
      <c r="T308" t="s">
        <v>71</v>
      </c>
      <c r="U308" s="12" t="s">
        <v>235</v>
      </c>
      <c r="V308" s="12" t="s">
        <v>231</v>
      </c>
      <c r="W308" s="11">
        <v>36</v>
      </c>
      <c r="X308" s="2">
        <f t="shared" si="26"/>
        <v>0.60777367245562675</v>
      </c>
      <c r="Y308" s="5">
        <f t="shared" si="27"/>
        <v>34300000</v>
      </c>
      <c r="Z308" s="5">
        <f t="shared" si="28"/>
        <v>34300000</v>
      </c>
    </row>
    <row r="309" spans="1:26" x14ac:dyDescent="0.25">
      <c r="A309">
        <v>13370</v>
      </c>
      <c r="B309">
        <v>183</v>
      </c>
      <c r="C309">
        <v>2019</v>
      </c>
      <c r="D309" t="s">
        <v>96</v>
      </c>
      <c r="E309" t="s">
        <v>69</v>
      </c>
      <c r="F309" s="2">
        <v>0</v>
      </c>
      <c r="G309" s="2">
        <v>0.71693488894198742</v>
      </c>
      <c r="H309" s="14">
        <f t="shared" si="25"/>
        <v>0</v>
      </c>
      <c r="I309" s="5">
        <v>48067000</v>
      </c>
      <c r="J309">
        <v>4</v>
      </c>
      <c r="K309" s="6">
        <v>2.75E-2</v>
      </c>
      <c r="L309" s="6">
        <v>0</v>
      </c>
      <c r="M309" t="str">
        <f t="shared" si="30"/>
        <v>SENIOR</v>
      </c>
      <c r="N309" t="s">
        <v>90</v>
      </c>
      <c r="O309" t="str">
        <f>VLOOKUP(Table1[[#This Row],[SCHEMATIC TYPE]],'SCHEMATIC Lookup'!$B$1:$C$5,2)</f>
        <v>Senior Whole Loan</v>
      </c>
      <c r="P309" s="5">
        <v>67045140</v>
      </c>
      <c r="Q309" s="5" t="s">
        <v>86</v>
      </c>
      <c r="R309" s="5" t="s">
        <v>82</v>
      </c>
      <c r="S309" t="s">
        <v>71</v>
      </c>
      <c r="T309" s="5" t="s">
        <v>88</v>
      </c>
      <c r="U309" s="12" t="s">
        <v>238</v>
      </c>
      <c r="V309" s="12" t="s">
        <v>233</v>
      </c>
      <c r="W309" s="11">
        <v>48</v>
      </c>
      <c r="X309" s="2">
        <f t="shared" si="26"/>
        <v>0</v>
      </c>
      <c r="Y309" s="5">
        <f t="shared" si="27"/>
        <v>48067000</v>
      </c>
      <c r="Z309" s="5">
        <f t="shared" si="28"/>
        <v>48067000</v>
      </c>
    </row>
    <row r="310" spans="1:26" x14ac:dyDescent="0.25">
      <c r="A310">
        <v>13380</v>
      </c>
      <c r="B310">
        <v>183</v>
      </c>
      <c r="C310">
        <v>2019</v>
      </c>
      <c r="D310" t="s">
        <v>96</v>
      </c>
      <c r="E310" t="s">
        <v>69</v>
      </c>
      <c r="F310" s="2">
        <v>0</v>
      </c>
      <c r="G310" s="2">
        <v>0.74081034604617135</v>
      </c>
      <c r="H310" s="14">
        <f t="shared" si="25"/>
        <v>0</v>
      </c>
      <c r="I310" s="5">
        <v>32000000</v>
      </c>
      <c r="J310">
        <v>2</v>
      </c>
      <c r="K310" s="6">
        <v>2.4500000000000001E-2</v>
      </c>
      <c r="L310" s="6">
        <v>0.65</v>
      </c>
      <c r="M310" t="str">
        <f t="shared" si="30"/>
        <v>SUBL</v>
      </c>
      <c r="N310" t="s">
        <v>70</v>
      </c>
      <c r="O310" t="str">
        <f>VLOOKUP(Table1[[#This Row],[SCHEMATIC TYPE]],'SCHEMATIC Lookup'!$B$1:$C$5,2)</f>
        <v>Leveraged Whole Loan</v>
      </c>
      <c r="P310" s="5">
        <v>43195941</v>
      </c>
      <c r="Q310" s="5" t="s">
        <v>86</v>
      </c>
      <c r="R310" s="5" t="s">
        <v>82</v>
      </c>
      <c r="S310" s="5" t="s">
        <v>71</v>
      </c>
      <c r="T310" s="5" t="s">
        <v>88</v>
      </c>
      <c r="U310" s="12" t="s">
        <v>232</v>
      </c>
      <c r="V310" s="12" t="s">
        <v>233</v>
      </c>
      <c r="W310" s="11">
        <v>48</v>
      </c>
      <c r="X310" s="2">
        <f t="shared" si="26"/>
        <v>0.48152672493001142</v>
      </c>
      <c r="Y310" s="5">
        <f t="shared" si="27"/>
        <v>11200000</v>
      </c>
      <c r="Z310" s="5">
        <f t="shared" si="28"/>
        <v>32000000</v>
      </c>
    </row>
    <row r="311" spans="1:26" x14ac:dyDescent="0.25">
      <c r="A311">
        <v>13390</v>
      </c>
      <c r="B311">
        <v>183</v>
      </c>
      <c r="C311">
        <v>2019</v>
      </c>
      <c r="D311" t="s">
        <v>98</v>
      </c>
      <c r="E311" t="s">
        <v>69</v>
      </c>
      <c r="F311" s="2">
        <v>0</v>
      </c>
      <c r="G311" s="2">
        <v>0.72842128822545837</v>
      </c>
      <c r="H311" s="14">
        <f t="shared" si="25"/>
        <v>0</v>
      </c>
      <c r="I311" s="5">
        <v>54000000</v>
      </c>
      <c r="J311">
        <v>5</v>
      </c>
      <c r="K311" s="6">
        <v>3.2006296296296297E-2</v>
      </c>
      <c r="L311" s="6">
        <v>0.6</v>
      </c>
      <c r="M311" t="str">
        <f t="shared" si="30"/>
        <v>SUBL</v>
      </c>
      <c r="N311" t="s">
        <v>70</v>
      </c>
      <c r="O311" t="str">
        <f>VLOOKUP(Table1[[#This Row],[SCHEMATIC TYPE]],'SCHEMATIC Lookup'!$B$1:$C$5,2)</f>
        <v>Leveraged Whole Loan</v>
      </c>
      <c r="P311" s="5">
        <v>74132924</v>
      </c>
      <c r="Q311" s="5" t="s">
        <v>86</v>
      </c>
      <c r="R311" s="5" t="s">
        <v>82</v>
      </c>
      <c r="S311" s="5" t="s">
        <v>71</v>
      </c>
      <c r="T311" s="5" t="s">
        <v>88</v>
      </c>
      <c r="U311" s="12" t="s">
        <v>232</v>
      </c>
      <c r="V311" s="12" t="s">
        <v>233</v>
      </c>
      <c r="W311" s="11">
        <v>36</v>
      </c>
      <c r="X311" s="2">
        <f t="shared" si="26"/>
        <v>0.437052772935275</v>
      </c>
      <c r="Y311" s="5">
        <f t="shared" si="27"/>
        <v>21600000</v>
      </c>
      <c r="Z311" s="5">
        <f t="shared" si="28"/>
        <v>54000000</v>
      </c>
    </row>
    <row r="312" spans="1:26" x14ac:dyDescent="0.25">
      <c r="A312">
        <v>13400</v>
      </c>
      <c r="B312">
        <v>183</v>
      </c>
      <c r="C312">
        <v>2019</v>
      </c>
      <c r="D312" t="s">
        <v>96</v>
      </c>
      <c r="E312" t="s">
        <v>69</v>
      </c>
      <c r="F312" s="2">
        <v>0</v>
      </c>
      <c r="G312" s="2">
        <v>0.75058158397044183</v>
      </c>
      <c r="H312" s="14">
        <f t="shared" si="25"/>
        <v>0</v>
      </c>
      <c r="I312" s="5">
        <v>33750000</v>
      </c>
      <c r="J312">
        <v>2</v>
      </c>
      <c r="K312" s="6">
        <v>2.5000000000000001E-2</v>
      </c>
      <c r="L312" s="6">
        <v>0.65</v>
      </c>
      <c r="M312" t="str">
        <f t="shared" si="30"/>
        <v>SUBL</v>
      </c>
      <c r="N312" t="s">
        <v>70</v>
      </c>
      <c r="O312" t="str">
        <f>VLOOKUP(Table1[[#This Row],[SCHEMATIC TYPE]],'SCHEMATIC Lookup'!$B$1:$C$5,2)</f>
        <v>Leveraged Whole Loan</v>
      </c>
      <c r="P312" s="5">
        <v>44965132</v>
      </c>
      <c r="Q312" s="5" t="s">
        <v>86</v>
      </c>
      <c r="R312" s="5" t="s">
        <v>82</v>
      </c>
      <c r="S312" s="5" t="s">
        <v>71</v>
      </c>
      <c r="T312" s="5" t="s">
        <v>88</v>
      </c>
      <c r="U312" s="12" t="s">
        <v>232</v>
      </c>
      <c r="V312" s="12" t="s">
        <v>231</v>
      </c>
      <c r="W312" s="11">
        <v>36</v>
      </c>
      <c r="X312" s="2">
        <f t="shared" si="26"/>
        <v>0.48787802958078719</v>
      </c>
      <c r="Y312" s="5">
        <f t="shared" si="27"/>
        <v>11812500</v>
      </c>
      <c r="Z312" s="5">
        <f t="shared" si="28"/>
        <v>33750000</v>
      </c>
    </row>
    <row r="313" spans="1:26" x14ac:dyDescent="0.25">
      <c r="A313">
        <v>13410</v>
      </c>
      <c r="B313">
        <v>183</v>
      </c>
      <c r="C313">
        <v>2019</v>
      </c>
      <c r="D313" t="s">
        <v>96</v>
      </c>
      <c r="E313" t="s">
        <v>69</v>
      </c>
      <c r="F313" s="2">
        <v>0</v>
      </c>
      <c r="G313" s="2">
        <v>0.69030848456653626</v>
      </c>
      <c r="H313" s="14">
        <f t="shared" si="25"/>
        <v>0</v>
      </c>
      <c r="I313" s="5">
        <v>36700000</v>
      </c>
      <c r="J313">
        <v>2</v>
      </c>
      <c r="K313" s="6">
        <v>2.5999999999999999E-2</v>
      </c>
      <c r="L313" s="6">
        <v>0.6</v>
      </c>
      <c r="M313" t="str">
        <f t="shared" si="30"/>
        <v>SUBL</v>
      </c>
      <c r="N313" t="s">
        <v>70</v>
      </c>
      <c r="O313" t="str">
        <f>VLOOKUP(Table1[[#This Row],[SCHEMATIC TYPE]],'SCHEMATIC Lookup'!$B$1:$C$5,2)</f>
        <v>Leveraged Whole Loan</v>
      </c>
      <c r="P313" s="5">
        <v>53164637</v>
      </c>
      <c r="Q313" s="5" t="s">
        <v>86</v>
      </c>
      <c r="R313" s="5" t="s">
        <v>82</v>
      </c>
      <c r="S313" s="5" t="s">
        <v>71</v>
      </c>
      <c r="T313" s="5" t="s">
        <v>88</v>
      </c>
      <c r="U313" s="12" t="s">
        <v>232</v>
      </c>
      <c r="V313" s="12" t="s">
        <v>234</v>
      </c>
      <c r="W313" s="11">
        <v>48</v>
      </c>
      <c r="X313" s="2">
        <f t="shared" si="26"/>
        <v>0.41418509073992177</v>
      </c>
      <c r="Y313" s="5">
        <f t="shared" si="27"/>
        <v>14680000</v>
      </c>
      <c r="Z313" s="5">
        <f t="shared" si="28"/>
        <v>36700000</v>
      </c>
    </row>
    <row r="314" spans="1:26" x14ac:dyDescent="0.25">
      <c r="A314">
        <v>13420</v>
      </c>
      <c r="B314">
        <v>183</v>
      </c>
      <c r="C314">
        <v>2019</v>
      </c>
      <c r="D314" t="s">
        <v>96</v>
      </c>
      <c r="E314" t="s">
        <v>69</v>
      </c>
      <c r="F314" s="2">
        <v>0</v>
      </c>
      <c r="G314" s="2">
        <v>0.62416134874078066</v>
      </c>
      <c r="H314" s="14">
        <f t="shared" si="25"/>
        <v>0</v>
      </c>
      <c r="I314" s="5">
        <v>32730000</v>
      </c>
      <c r="J314">
        <v>4</v>
      </c>
      <c r="K314" s="6">
        <v>2.5000000000000001E-2</v>
      </c>
      <c r="L314" s="6">
        <v>0.55000000000000004</v>
      </c>
      <c r="M314" t="str">
        <f t="shared" si="30"/>
        <v>SUBL</v>
      </c>
      <c r="N314" t="s">
        <v>70</v>
      </c>
      <c r="O314" t="str">
        <f>VLOOKUP(Table1[[#This Row],[SCHEMATIC TYPE]],'SCHEMATIC Lookup'!$B$1:$C$5,2)</f>
        <v>Leveraged Whole Loan</v>
      </c>
      <c r="P314" s="5">
        <v>52438364</v>
      </c>
      <c r="Q314" s="5" t="s">
        <v>86</v>
      </c>
      <c r="R314" s="5" t="s">
        <v>82</v>
      </c>
      <c r="S314" s="5" t="s">
        <v>71</v>
      </c>
      <c r="T314" s="5" t="s">
        <v>88</v>
      </c>
      <c r="U314" s="12" t="s">
        <v>238</v>
      </c>
      <c r="V314" s="12" t="s">
        <v>235</v>
      </c>
      <c r="W314" s="11">
        <v>36</v>
      </c>
      <c r="X314" s="2">
        <f t="shared" si="26"/>
        <v>0.34328874180742941</v>
      </c>
      <c r="Y314" s="5">
        <f t="shared" si="27"/>
        <v>14728499.999999998</v>
      </c>
      <c r="Z314" s="5">
        <f t="shared" si="28"/>
        <v>32730000</v>
      </c>
    </row>
    <row r="315" spans="1:26" x14ac:dyDescent="0.25">
      <c r="A315">
        <v>13430</v>
      </c>
      <c r="B315">
        <v>183</v>
      </c>
      <c r="C315">
        <v>2019</v>
      </c>
      <c r="D315" t="s">
        <v>96</v>
      </c>
      <c r="E315" t="s">
        <v>69</v>
      </c>
      <c r="F315" s="2">
        <v>0</v>
      </c>
      <c r="G315" s="2">
        <v>0.68517370830165814</v>
      </c>
      <c r="H315" s="14">
        <f t="shared" si="25"/>
        <v>0</v>
      </c>
      <c r="I315" s="5">
        <v>85000000</v>
      </c>
      <c r="J315">
        <v>1</v>
      </c>
      <c r="K315" s="6">
        <v>2.35E-2</v>
      </c>
      <c r="L315" s="6">
        <v>0.59</v>
      </c>
      <c r="M315" t="str">
        <f t="shared" si="30"/>
        <v>SUBL</v>
      </c>
      <c r="N315" t="s">
        <v>70</v>
      </c>
      <c r="O315" t="str">
        <f>VLOOKUP(Table1[[#This Row],[SCHEMATIC TYPE]],'SCHEMATIC Lookup'!$B$1:$C$5,2)</f>
        <v>Leveraged Whole Loan</v>
      </c>
      <c r="P315" s="5">
        <v>124056132</v>
      </c>
      <c r="Q315" s="5" t="s">
        <v>86</v>
      </c>
      <c r="R315" s="5" t="s">
        <v>82</v>
      </c>
      <c r="S315" s="5" t="s">
        <v>71</v>
      </c>
      <c r="T315" s="5" t="s">
        <v>88</v>
      </c>
      <c r="U315" s="12" t="s">
        <v>232</v>
      </c>
      <c r="V315" s="12" t="s">
        <v>234</v>
      </c>
      <c r="W315" s="11">
        <v>48</v>
      </c>
      <c r="X315" s="2">
        <f t="shared" si="26"/>
        <v>0.4042524878979783</v>
      </c>
      <c r="Y315" s="5">
        <f t="shared" si="27"/>
        <v>34850000</v>
      </c>
      <c r="Z315" s="5">
        <f t="shared" si="28"/>
        <v>85000000</v>
      </c>
    </row>
    <row r="316" spans="1:26" x14ac:dyDescent="0.25">
      <c r="A316">
        <v>13440</v>
      </c>
      <c r="B316">
        <v>183</v>
      </c>
      <c r="C316">
        <v>2019</v>
      </c>
      <c r="D316" t="s">
        <v>83</v>
      </c>
      <c r="E316" t="s">
        <v>77</v>
      </c>
      <c r="F316" s="2">
        <v>0.60698265525463146</v>
      </c>
      <c r="G316" s="2">
        <v>0.73705692019124036</v>
      </c>
      <c r="H316" s="14">
        <f t="shared" si="25"/>
        <v>0</v>
      </c>
      <c r="I316" s="5">
        <v>11186063.550000001</v>
      </c>
      <c r="J316">
        <v>2</v>
      </c>
      <c r="K316" s="6">
        <v>0.12</v>
      </c>
      <c r="L316" s="6">
        <v>0</v>
      </c>
      <c r="M316" t="str">
        <f t="shared" si="30"/>
        <v>SUB</v>
      </c>
      <c r="N316" t="s">
        <v>84</v>
      </c>
      <c r="O316" t="str">
        <f>VLOOKUP(Table1[[#This Row],[SCHEMATIC TYPE]],'SCHEMATIC Lookup'!$B$1:$C$5,2)</f>
        <v>Other Subordinate</v>
      </c>
      <c r="P316" s="5">
        <v>85997515</v>
      </c>
      <c r="Q316" t="s">
        <v>71</v>
      </c>
      <c r="R316" s="5" t="s">
        <v>113</v>
      </c>
      <c r="S316" s="5" t="s">
        <v>71</v>
      </c>
      <c r="T316" t="s">
        <v>71</v>
      </c>
      <c r="U316" s="12" t="s">
        <v>235</v>
      </c>
      <c r="V316" s="12" t="s">
        <v>233</v>
      </c>
      <c r="W316" s="11" t="s">
        <v>100</v>
      </c>
      <c r="X316" s="2">
        <f t="shared" si="26"/>
        <v>0.60698265525463146</v>
      </c>
      <c r="Y316" s="5">
        <f t="shared" si="27"/>
        <v>11186063.550000001</v>
      </c>
      <c r="Z316" s="5">
        <f t="shared" si="28"/>
        <v>11186063.550000001</v>
      </c>
    </row>
    <row r="317" spans="1:26" x14ac:dyDescent="0.25">
      <c r="A317">
        <v>13450</v>
      </c>
      <c r="B317">
        <v>183</v>
      </c>
      <c r="C317">
        <v>2019</v>
      </c>
      <c r="D317" t="s">
        <v>83</v>
      </c>
      <c r="E317" t="s">
        <v>77</v>
      </c>
      <c r="F317" s="2">
        <v>0.57229652466780512</v>
      </c>
      <c r="G317" s="2">
        <v>0.70927436968718505</v>
      </c>
      <c r="H317" s="14">
        <f t="shared" si="25"/>
        <v>0</v>
      </c>
      <c r="I317" s="5">
        <v>12685427</v>
      </c>
      <c r="J317">
        <v>2</v>
      </c>
      <c r="K317" s="6">
        <v>0.12</v>
      </c>
      <c r="L317" s="6">
        <v>0</v>
      </c>
      <c r="M317" t="str">
        <f t="shared" si="30"/>
        <v>SUB</v>
      </c>
      <c r="N317" t="s">
        <v>84</v>
      </c>
      <c r="O317" t="str">
        <f>VLOOKUP(Table1[[#This Row],[SCHEMATIC TYPE]],'SCHEMATIC Lookup'!$B$1:$C$5,2)</f>
        <v>Other Subordinate</v>
      </c>
      <c r="P317" s="5">
        <v>92609334</v>
      </c>
      <c r="Q317" t="s">
        <v>71</v>
      </c>
      <c r="R317" s="5" t="s">
        <v>113</v>
      </c>
      <c r="S317" s="5" t="s">
        <v>71</v>
      </c>
      <c r="T317" t="s">
        <v>71</v>
      </c>
      <c r="U317" s="12" t="s">
        <v>230</v>
      </c>
      <c r="V317" s="12" t="s">
        <v>233</v>
      </c>
      <c r="W317" s="11" t="s">
        <v>100</v>
      </c>
      <c r="X317" s="2">
        <f t="shared" si="26"/>
        <v>0.57229652466780512</v>
      </c>
      <c r="Y317" s="5">
        <f t="shared" si="27"/>
        <v>12685427</v>
      </c>
      <c r="Z317" s="5">
        <f t="shared" si="28"/>
        <v>12685427</v>
      </c>
    </row>
    <row r="318" spans="1:26" x14ac:dyDescent="0.25">
      <c r="A318">
        <v>13460</v>
      </c>
      <c r="B318">
        <v>183</v>
      </c>
      <c r="C318">
        <v>2019</v>
      </c>
      <c r="D318" t="s">
        <v>98</v>
      </c>
      <c r="E318" t="s">
        <v>91</v>
      </c>
      <c r="F318" s="2">
        <v>0</v>
      </c>
      <c r="G318" s="2">
        <v>0.76548236475275744</v>
      </c>
      <c r="H318" s="14">
        <f t="shared" si="25"/>
        <v>0</v>
      </c>
      <c r="I318" s="5">
        <v>13050000</v>
      </c>
      <c r="J318">
        <v>7</v>
      </c>
      <c r="K318" s="6">
        <v>9.2999999999999999E-2</v>
      </c>
      <c r="L318" s="6">
        <v>0</v>
      </c>
      <c r="M318" t="str">
        <f t="shared" si="30"/>
        <v>SENIOR</v>
      </c>
      <c r="N318" t="s">
        <v>90</v>
      </c>
      <c r="O318" t="str">
        <f>VLOOKUP(Table1[[#This Row],[SCHEMATIC TYPE]],'SCHEMATIC Lookup'!$B$1:$C$5,2)</f>
        <v>Senior Whole Loan</v>
      </c>
      <c r="P318" s="5">
        <v>17048074</v>
      </c>
      <c r="Q318" t="s">
        <v>71</v>
      </c>
      <c r="R318" s="5" t="s">
        <v>113</v>
      </c>
      <c r="S318" s="5" t="s">
        <v>71</v>
      </c>
      <c r="T318" t="s">
        <v>71</v>
      </c>
      <c r="U318" s="12" t="s">
        <v>238</v>
      </c>
      <c r="V318" s="12" t="s">
        <v>231</v>
      </c>
      <c r="W318" s="11">
        <v>60</v>
      </c>
      <c r="X318" s="2">
        <f t="shared" si="26"/>
        <v>0</v>
      </c>
      <c r="Y318" s="5">
        <f t="shared" si="27"/>
        <v>13050000</v>
      </c>
      <c r="Z318" s="5">
        <f t="shared" si="28"/>
        <v>13050000</v>
      </c>
    </row>
    <row r="319" spans="1:26" x14ac:dyDescent="0.25">
      <c r="A319">
        <v>13470</v>
      </c>
      <c r="B319">
        <v>165</v>
      </c>
      <c r="C319">
        <v>2018</v>
      </c>
      <c r="D319" t="s">
        <v>74</v>
      </c>
      <c r="E319" t="s">
        <v>77</v>
      </c>
      <c r="F319" s="2">
        <v>0.56000000000000005</v>
      </c>
      <c r="G319" s="2">
        <v>0.7</v>
      </c>
      <c r="H319" s="14">
        <f t="shared" si="25"/>
        <v>0</v>
      </c>
      <c r="I319" s="5">
        <v>62500000</v>
      </c>
      <c r="J319">
        <v>1</v>
      </c>
      <c r="K319" s="6">
        <v>6.6250000000000003E-2</v>
      </c>
      <c r="L319" s="6">
        <v>0</v>
      </c>
      <c r="M319" t="str">
        <f t="shared" si="30"/>
        <v>SUB</v>
      </c>
      <c r="N319" t="s">
        <v>75</v>
      </c>
      <c r="O319" t="str">
        <f>VLOOKUP(Table1[[#This Row],[SCHEMATIC TYPE]],'SCHEMATIC Lookup'!$B$1:$C$5,2)</f>
        <v>Mezzanine Loan</v>
      </c>
      <c r="P319" s="5">
        <v>422000000</v>
      </c>
      <c r="Q319" s="5" t="s">
        <v>97</v>
      </c>
      <c r="R319" s="5" t="s">
        <v>73</v>
      </c>
      <c r="S319" t="s">
        <v>71</v>
      </c>
      <c r="T319" s="5" t="s">
        <v>88</v>
      </c>
      <c r="U319" s="12" t="s">
        <v>230</v>
      </c>
      <c r="V319" s="12" t="s">
        <v>233</v>
      </c>
      <c r="W319" s="11">
        <v>48</v>
      </c>
      <c r="X319" s="2">
        <f t="shared" si="26"/>
        <v>0.56000000000000005</v>
      </c>
      <c r="Y319" s="5">
        <f t="shared" si="27"/>
        <v>62500000</v>
      </c>
      <c r="Z319" s="5">
        <f t="shared" si="28"/>
        <v>62500000</v>
      </c>
    </row>
    <row r="320" spans="1:26" x14ac:dyDescent="0.25">
      <c r="A320">
        <v>13480</v>
      </c>
      <c r="B320">
        <v>165</v>
      </c>
      <c r="C320">
        <v>2018</v>
      </c>
      <c r="D320" t="s">
        <v>96</v>
      </c>
      <c r="E320" t="s">
        <v>77</v>
      </c>
      <c r="F320" s="2">
        <v>0</v>
      </c>
      <c r="G320" s="2">
        <v>0.6</v>
      </c>
      <c r="H320" s="14">
        <f t="shared" si="25"/>
        <v>0</v>
      </c>
      <c r="I320" s="5">
        <v>39000000</v>
      </c>
      <c r="J320">
        <v>3</v>
      </c>
      <c r="K320" s="6">
        <v>7.46E-2</v>
      </c>
      <c r="L320" s="6">
        <v>0</v>
      </c>
      <c r="M320" t="str">
        <f t="shared" si="30"/>
        <v>SENIOR</v>
      </c>
      <c r="N320" t="s">
        <v>90</v>
      </c>
      <c r="O320" t="str">
        <f>VLOOKUP(Table1[[#This Row],[SCHEMATIC TYPE]],'SCHEMATIC Lookup'!$B$1:$C$5,2)</f>
        <v>Senior Whole Loan</v>
      </c>
      <c r="P320" s="5">
        <v>65000000</v>
      </c>
      <c r="Q320" t="s">
        <v>19</v>
      </c>
      <c r="R320" t="s">
        <v>72</v>
      </c>
      <c r="S320" t="s">
        <v>19</v>
      </c>
      <c r="T320" t="s">
        <v>19</v>
      </c>
      <c r="U320" s="12" t="s">
        <v>238</v>
      </c>
      <c r="V320" s="12" t="s">
        <v>235</v>
      </c>
      <c r="W320" s="11">
        <v>84</v>
      </c>
      <c r="X320" s="2">
        <f t="shared" si="26"/>
        <v>0</v>
      </c>
      <c r="Y320" s="5">
        <f t="shared" si="27"/>
        <v>39000000</v>
      </c>
      <c r="Z320" s="5">
        <f t="shared" si="28"/>
        <v>39000000</v>
      </c>
    </row>
    <row r="321" spans="1:26" x14ac:dyDescent="0.25">
      <c r="A321">
        <v>13490</v>
      </c>
      <c r="B321">
        <v>165</v>
      </c>
      <c r="C321">
        <v>2014</v>
      </c>
      <c r="D321" t="s">
        <v>74</v>
      </c>
      <c r="E321" t="s">
        <v>77</v>
      </c>
      <c r="F321" s="2">
        <v>0.46</v>
      </c>
      <c r="G321" s="2">
        <v>0.56000000000000005</v>
      </c>
      <c r="H321" s="14">
        <f t="shared" si="25"/>
        <v>0</v>
      </c>
      <c r="I321" s="5">
        <v>40000000</v>
      </c>
      <c r="J321">
        <v>1</v>
      </c>
      <c r="K321" s="6">
        <v>8.8200000000000001E-2</v>
      </c>
      <c r="L321" s="6">
        <v>0</v>
      </c>
      <c r="M321" t="str">
        <f t="shared" si="30"/>
        <v>SUB</v>
      </c>
      <c r="N321" t="s">
        <v>75</v>
      </c>
      <c r="O321" t="str">
        <f>VLOOKUP(Table1[[#This Row],[SCHEMATIC TYPE]],'SCHEMATIC Lookup'!$B$1:$C$5,2)</f>
        <v>Mezzanine Loan</v>
      </c>
      <c r="P321" s="5">
        <v>390000000</v>
      </c>
      <c r="Q321" t="s">
        <v>19</v>
      </c>
      <c r="R321" t="s">
        <v>72</v>
      </c>
      <c r="S321" t="s">
        <v>19</v>
      </c>
      <c r="T321" t="s">
        <v>19</v>
      </c>
      <c r="U321" s="12" t="s">
        <v>232</v>
      </c>
      <c r="V321" s="12" t="s">
        <v>230</v>
      </c>
      <c r="W321" s="11">
        <v>120</v>
      </c>
      <c r="X321" s="2">
        <f t="shared" si="26"/>
        <v>0.46</v>
      </c>
      <c r="Y321" s="5">
        <f t="shared" si="27"/>
        <v>40000000</v>
      </c>
      <c r="Z321" s="5">
        <f t="shared" si="28"/>
        <v>40000000</v>
      </c>
    </row>
    <row r="322" spans="1:26" x14ac:dyDescent="0.25">
      <c r="A322">
        <v>13500</v>
      </c>
      <c r="B322">
        <v>165</v>
      </c>
      <c r="C322">
        <v>2016</v>
      </c>
      <c r="D322" t="s">
        <v>74</v>
      </c>
      <c r="E322" t="s">
        <v>77</v>
      </c>
      <c r="F322" s="2">
        <v>0.54</v>
      </c>
      <c r="G322" s="2">
        <v>0.78</v>
      </c>
      <c r="H322" s="14">
        <f t="shared" si="25"/>
        <v>0</v>
      </c>
      <c r="I322" s="5">
        <v>42500000</v>
      </c>
      <c r="J322">
        <v>2</v>
      </c>
      <c r="K322" s="6">
        <v>7.7499999999999999E-2</v>
      </c>
      <c r="L322" s="6">
        <v>0</v>
      </c>
      <c r="M322" t="str">
        <f t="shared" si="30"/>
        <v>SUB</v>
      </c>
      <c r="N322" t="s">
        <v>75</v>
      </c>
      <c r="O322" t="str">
        <f>VLOOKUP(Table1[[#This Row],[SCHEMATIC TYPE]],'SCHEMATIC Lookup'!$B$1:$C$5,2)</f>
        <v>Mezzanine Loan</v>
      </c>
      <c r="P322" s="5">
        <v>178440000</v>
      </c>
      <c r="Q322" t="s">
        <v>19</v>
      </c>
      <c r="R322" t="s">
        <v>82</v>
      </c>
      <c r="S322" t="s">
        <v>19</v>
      </c>
      <c r="T322" t="s">
        <v>19</v>
      </c>
      <c r="U322" s="12" t="s">
        <v>236</v>
      </c>
      <c r="V322" s="12" t="s">
        <v>231</v>
      </c>
      <c r="W322" s="11">
        <v>60</v>
      </c>
      <c r="X322" s="2">
        <f t="shared" si="26"/>
        <v>0.54</v>
      </c>
      <c r="Y322" s="5">
        <f t="shared" si="27"/>
        <v>42500000</v>
      </c>
      <c r="Z322" s="5">
        <f t="shared" si="28"/>
        <v>42500000</v>
      </c>
    </row>
    <row r="323" spans="1:26" x14ac:dyDescent="0.25">
      <c r="A323">
        <v>13510</v>
      </c>
      <c r="B323">
        <v>165</v>
      </c>
      <c r="C323">
        <v>2016</v>
      </c>
      <c r="D323" t="s">
        <v>96</v>
      </c>
      <c r="E323" t="s">
        <v>77</v>
      </c>
      <c r="F323" s="2">
        <v>0</v>
      </c>
      <c r="G323" s="2">
        <v>0.6</v>
      </c>
      <c r="H323" s="14">
        <f t="shared" si="25"/>
        <v>0</v>
      </c>
      <c r="I323" s="5">
        <v>90000000</v>
      </c>
      <c r="J323">
        <v>5</v>
      </c>
      <c r="K323" s="6">
        <v>0.04</v>
      </c>
      <c r="L323" s="6">
        <v>0</v>
      </c>
      <c r="M323" t="str">
        <f t="shared" si="30"/>
        <v>SENIOR</v>
      </c>
      <c r="N323" t="s">
        <v>90</v>
      </c>
      <c r="O323" t="str">
        <f>VLOOKUP(Table1[[#This Row],[SCHEMATIC TYPE]],'SCHEMATIC Lookup'!$B$1:$C$5,2)</f>
        <v>Senior Whole Loan</v>
      </c>
      <c r="P323" s="5">
        <v>150000000</v>
      </c>
      <c r="Q323" t="s">
        <v>19</v>
      </c>
      <c r="R323" t="s">
        <v>73</v>
      </c>
      <c r="S323" t="s">
        <v>19</v>
      </c>
      <c r="T323" t="s">
        <v>19</v>
      </c>
      <c r="U323" s="12" t="s">
        <v>238</v>
      </c>
      <c r="V323" s="12" t="s">
        <v>235</v>
      </c>
      <c r="W323" s="11">
        <v>120</v>
      </c>
      <c r="X323" s="2">
        <f t="shared" si="26"/>
        <v>0</v>
      </c>
      <c r="Y323" s="5">
        <f t="shared" si="27"/>
        <v>90000000</v>
      </c>
      <c r="Z323" s="5">
        <f t="shared" si="28"/>
        <v>90000000</v>
      </c>
    </row>
    <row r="324" spans="1:26" x14ac:dyDescent="0.25">
      <c r="A324">
        <v>13520</v>
      </c>
      <c r="B324">
        <v>165</v>
      </c>
      <c r="C324">
        <v>2016</v>
      </c>
      <c r="D324" t="s">
        <v>102</v>
      </c>
      <c r="E324" t="s">
        <v>77</v>
      </c>
      <c r="F324" s="2">
        <v>0.35499999999999998</v>
      </c>
      <c r="G324" s="2">
        <v>0.51800000000000002</v>
      </c>
      <c r="H324" s="14">
        <f t="shared" si="25"/>
        <v>0</v>
      </c>
      <c r="I324" s="5">
        <v>195000000</v>
      </c>
      <c r="J324">
        <v>1</v>
      </c>
      <c r="K324" s="6">
        <v>5.1249999999999997E-2</v>
      </c>
      <c r="L324" s="6">
        <v>0</v>
      </c>
      <c r="M324" t="str">
        <f t="shared" si="30"/>
        <v>SUB</v>
      </c>
      <c r="N324" t="s">
        <v>75</v>
      </c>
      <c r="O324" t="str">
        <f>VLOOKUP(Table1[[#This Row],[SCHEMATIC TYPE]],'SCHEMATIC Lookup'!$B$1:$C$5,2)</f>
        <v>Mezzanine Loan</v>
      </c>
      <c r="P324" s="5">
        <v>1198000000</v>
      </c>
      <c r="Q324" t="s">
        <v>19</v>
      </c>
      <c r="R324" t="s">
        <v>73</v>
      </c>
      <c r="S324" t="s">
        <v>19</v>
      </c>
      <c r="T324" t="s">
        <v>19</v>
      </c>
      <c r="U324" s="12" t="s">
        <v>238</v>
      </c>
      <c r="V324" s="12" t="s">
        <v>240</v>
      </c>
      <c r="W324" s="11">
        <v>147</v>
      </c>
      <c r="X324" s="2">
        <f t="shared" si="26"/>
        <v>0.35499999999999998</v>
      </c>
      <c r="Y324" s="5">
        <f t="shared" si="27"/>
        <v>195000000</v>
      </c>
      <c r="Z324" s="5">
        <f t="shared" si="28"/>
        <v>195000000</v>
      </c>
    </row>
    <row r="325" spans="1:26" x14ac:dyDescent="0.25">
      <c r="A325">
        <v>13530</v>
      </c>
      <c r="B325">
        <v>165</v>
      </c>
      <c r="C325">
        <v>2016</v>
      </c>
      <c r="D325" t="s">
        <v>102</v>
      </c>
      <c r="E325" t="s">
        <v>77</v>
      </c>
      <c r="F325" s="2">
        <v>0.54639453663297122</v>
      </c>
      <c r="G325" s="2">
        <v>0.67248558354827237</v>
      </c>
      <c r="H325" s="14">
        <f t="shared" si="25"/>
        <v>0</v>
      </c>
      <c r="I325" s="5">
        <v>75000000</v>
      </c>
      <c r="J325">
        <v>1</v>
      </c>
      <c r="K325" s="6">
        <v>6.25E-2</v>
      </c>
      <c r="L325" s="6">
        <v>0</v>
      </c>
      <c r="M325" t="str">
        <f t="shared" si="30"/>
        <v>SUB</v>
      </c>
      <c r="N325" t="s">
        <v>75</v>
      </c>
      <c r="O325" t="str">
        <f>VLOOKUP(Table1[[#This Row],[SCHEMATIC TYPE]],'SCHEMATIC Lookup'!$B$1:$C$5,2)</f>
        <v>Mezzanine Loan</v>
      </c>
      <c r="P325" s="5">
        <v>594808290</v>
      </c>
      <c r="Q325" t="s">
        <v>19</v>
      </c>
      <c r="R325" t="s">
        <v>82</v>
      </c>
      <c r="S325" t="s">
        <v>19</v>
      </c>
      <c r="T325" t="s">
        <v>19</v>
      </c>
      <c r="U325" s="12" t="s">
        <v>236</v>
      </c>
      <c r="V325" s="12" t="s">
        <v>234</v>
      </c>
      <c r="W325" s="11">
        <v>119</v>
      </c>
      <c r="X325" s="2">
        <f t="shared" si="26"/>
        <v>0.54639453663297122</v>
      </c>
      <c r="Y325" s="5">
        <f t="shared" si="27"/>
        <v>75000000</v>
      </c>
      <c r="Z325" s="5">
        <f t="shared" si="28"/>
        <v>75000000</v>
      </c>
    </row>
    <row r="326" spans="1:26" x14ac:dyDescent="0.25">
      <c r="A326">
        <v>13540</v>
      </c>
      <c r="B326">
        <v>165</v>
      </c>
      <c r="C326">
        <v>2016</v>
      </c>
      <c r="D326" t="s">
        <v>102</v>
      </c>
      <c r="E326" t="s">
        <v>77</v>
      </c>
      <c r="F326" s="2">
        <v>0.65</v>
      </c>
      <c r="G326" s="2">
        <v>0.85</v>
      </c>
      <c r="H326" s="14">
        <f t="shared" si="25"/>
        <v>0</v>
      </c>
      <c r="I326" s="5">
        <v>48800000</v>
      </c>
      <c r="J326">
        <v>1</v>
      </c>
      <c r="K326" s="6">
        <v>7.2499999999999995E-2</v>
      </c>
      <c r="L326" s="6">
        <v>0</v>
      </c>
      <c r="M326" t="str">
        <f t="shared" si="30"/>
        <v>SUB</v>
      </c>
      <c r="N326" t="s">
        <v>75</v>
      </c>
      <c r="O326" t="str">
        <f>VLOOKUP(Table1[[#This Row],[SCHEMATIC TYPE]],'SCHEMATIC Lookup'!$B$1:$C$5,2)</f>
        <v>Mezzanine Loan</v>
      </c>
      <c r="P326" s="5">
        <v>244000000</v>
      </c>
      <c r="Q326" t="s">
        <v>19</v>
      </c>
      <c r="R326" t="s">
        <v>73</v>
      </c>
      <c r="S326" t="s">
        <v>19</v>
      </c>
      <c r="T326" t="s">
        <v>19</v>
      </c>
      <c r="U326" s="12" t="s">
        <v>239</v>
      </c>
      <c r="V326" s="12" t="s">
        <v>237</v>
      </c>
      <c r="W326" s="11">
        <v>35</v>
      </c>
      <c r="X326" s="2">
        <f t="shared" si="26"/>
        <v>0.65</v>
      </c>
      <c r="Y326" s="5">
        <f t="shared" si="27"/>
        <v>48800000</v>
      </c>
      <c r="Z326" s="5">
        <f t="shared" si="28"/>
        <v>48800000</v>
      </c>
    </row>
    <row r="327" spans="1:26" x14ac:dyDescent="0.25">
      <c r="A327">
        <v>13550</v>
      </c>
      <c r="B327">
        <v>165</v>
      </c>
      <c r="C327">
        <v>2016</v>
      </c>
      <c r="D327" t="s">
        <v>102</v>
      </c>
      <c r="E327" t="s">
        <v>77</v>
      </c>
      <c r="F327" s="2">
        <v>0.23</v>
      </c>
      <c r="G327" s="2">
        <v>0.5</v>
      </c>
      <c r="H327" s="14">
        <f t="shared" ref="H327:H390" si="31">(G327=F327)*1</f>
        <v>0</v>
      </c>
      <c r="I327" s="5">
        <v>355328004.75</v>
      </c>
      <c r="J327">
        <v>3</v>
      </c>
      <c r="K327" s="6">
        <v>5.5E-2</v>
      </c>
      <c r="L327" s="6">
        <v>0</v>
      </c>
      <c r="M327" t="str">
        <f t="shared" si="30"/>
        <v>SUB</v>
      </c>
      <c r="N327" t="s">
        <v>75</v>
      </c>
      <c r="O327" t="str">
        <f>VLOOKUP(Table1[[#This Row],[SCHEMATIC TYPE]],'SCHEMATIC Lookup'!$B$1:$C$5,2)</f>
        <v>Mezzanine Loan</v>
      </c>
      <c r="P327" s="5">
        <v>1300000000</v>
      </c>
      <c r="Q327" t="s">
        <v>19</v>
      </c>
      <c r="R327" t="s">
        <v>72</v>
      </c>
      <c r="S327" t="s">
        <v>19</v>
      </c>
      <c r="T327" t="s">
        <v>19</v>
      </c>
      <c r="U327" s="12" t="s">
        <v>238</v>
      </c>
      <c r="V327" s="12" t="s">
        <v>240</v>
      </c>
      <c r="W327" s="11">
        <v>120</v>
      </c>
      <c r="X327" s="2">
        <f t="shared" ref="X327:X390" si="32">IF(F327=0,L327*G327,F327)</f>
        <v>0.23</v>
      </c>
      <c r="Y327" s="5">
        <f t="shared" ref="Y327:Y390" si="33">IF(AND(F327=0,X327&gt;0),I327*(1-L327),I327)</f>
        <v>355328004.75</v>
      </c>
      <c r="Z327" s="5">
        <f t="shared" ref="Z327:Z390" si="34">IF(AND(L327&gt;0,F327&lt;&gt;0),I327/((G327-F327)/G327),I327)</f>
        <v>355328004.75</v>
      </c>
    </row>
    <row r="328" spans="1:26" x14ac:dyDescent="0.25">
      <c r="A328">
        <v>13560</v>
      </c>
      <c r="B328">
        <v>219</v>
      </c>
      <c r="C328">
        <v>2019</v>
      </c>
      <c r="D328" t="s">
        <v>74</v>
      </c>
      <c r="E328" t="s">
        <v>69</v>
      </c>
      <c r="F328" s="2">
        <v>0.69299999999999995</v>
      </c>
      <c r="G328" s="2">
        <v>0.99199999999999999</v>
      </c>
      <c r="H328" s="14">
        <f t="shared" si="31"/>
        <v>0</v>
      </c>
      <c r="I328" s="5">
        <v>105000000</v>
      </c>
      <c r="J328">
        <v>4</v>
      </c>
      <c r="K328" s="6">
        <v>4.4999999999999998E-2</v>
      </c>
      <c r="L328" s="6">
        <v>0</v>
      </c>
      <c r="M328" t="str">
        <f t="shared" si="30"/>
        <v>SUB</v>
      </c>
      <c r="N328" t="s">
        <v>75</v>
      </c>
      <c r="O328" t="str">
        <f>VLOOKUP(Table1[[#This Row],[SCHEMATIC TYPE]],'SCHEMATIC Lookup'!$B$1:$C$5,2)</f>
        <v>Mezzanine Loan</v>
      </c>
      <c r="P328" s="5">
        <v>1107093617</v>
      </c>
      <c r="Q328" t="s">
        <v>19</v>
      </c>
      <c r="R328" s="5" t="s">
        <v>73</v>
      </c>
      <c r="S328" t="s">
        <v>19</v>
      </c>
      <c r="T328" t="s">
        <v>19</v>
      </c>
      <c r="U328" s="12" t="s">
        <v>239</v>
      </c>
      <c r="V328" s="12" t="s">
        <v>237</v>
      </c>
      <c r="W328" s="11">
        <v>24</v>
      </c>
      <c r="X328" s="2">
        <f t="shared" si="32"/>
        <v>0.69299999999999995</v>
      </c>
      <c r="Y328" s="5">
        <f t="shared" si="33"/>
        <v>105000000</v>
      </c>
      <c r="Z328" s="5">
        <f t="shared" si="34"/>
        <v>105000000</v>
      </c>
    </row>
    <row r="329" spans="1:26" x14ac:dyDescent="0.25">
      <c r="A329">
        <v>13570</v>
      </c>
      <c r="B329">
        <v>298</v>
      </c>
      <c r="C329">
        <v>2017</v>
      </c>
      <c r="D329" t="s">
        <v>102</v>
      </c>
      <c r="E329" t="s">
        <v>69</v>
      </c>
      <c r="F329" s="2">
        <v>0.66600000000000004</v>
      </c>
      <c r="G329" s="2">
        <v>0.71799999999999997</v>
      </c>
      <c r="H329" s="14">
        <f t="shared" si="31"/>
        <v>0</v>
      </c>
      <c r="I329" s="5">
        <v>45800000</v>
      </c>
      <c r="J329">
        <v>1</v>
      </c>
      <c r="K329" s="6">
        <v>7.2499999999999995E-2</v>
      </c>
      <c r="L329" s="6">
        <v>0</v>
      </c>
      <c r="M329" t="str">
        <f t="shared" si="30"/>
        <v>SUB</v>
      </c>
      <c r="N329" t="s">
        <v>75</v>
      </c>
      <c r="O329" t="str">
        <f>VLOOKUP(Table1[[#This Row],[SCHEMATIC TYPE]],'SCHEMATIC Lookup'!$B$1:$C$5,2)</f>
        <v>Mezzanine Loan</v>
      </c>
      <c r="P329" s="5">
        <v>833315000</v>
      </c>
      <c r="Q329" s="5" t="s">
        <v>114</v>
      </c>
      <c r="R329" s="5" t="s">
        <v>82</v>
      </c>
      <c r="S329" t="s">
        <v>19</v>
      </c>
      <c r="T329" s="5" t="s">
        <v>19</v>
      </c>
      <c r="U329" s="12" t="s">
        <v>239</v>
      </c>
      <c r="V329" s="12" t="s">
        <v>233</v>
      </c>
      <c r="W329" s="11">
        <v>48</v>
      </c>
      <c r="X329" s="2">
        <f t="shared" si="32"/>
        <v>0.66600000000000004</v>
      </c>
      <c r="Y329" s="5">
        <f t="shared" si="33"/>
        <v>45800000</v>
      </c>
      <c r="Z329" s="5">
        <f t="shared" si="34"/>
        <v>45800000</v>
      </c>
    </row>
    <row r="330" spans="1:26" x14ac:dyDescent="0.25">
      <c r="A330">
        <v>13580</v>
      </c>
      <c r="B330">
        <v>298</v>
      </c>
      <c r="C330">
        <v>2017</v>
      </c>
      <c r="D330" t="s">
        <v>74</v>
      </c>
      <c r="E330" t="s">
        <v>77</v>
      </c>
      <c r="F330" s="2">
        <v>0.54900000000000004</v>
      </c>
      <c r="G330" s="2">
        <v>0.67500000000000004</v>
      </c>
      <c r="H330" s="14">
        <f t="shared" si="31"/>
        <v>0</v>
      </c>
      <c r="I330" s="5">
        <v>66500000</v>
      </c>
      <c r="J330">
        <v>5</v>
      </c>
      <c r="K330" s="6">
        <v>7.4999999999999997E-2</v>
      </c>
      <c r="L330" s="6">
        <v>0</v>
      </c>
      <c r="M330" t="str">
        <f t="shared" si="30"/>
        <v>SUB</v>
      </c>
      <c r="N330" t="s">
        <v>75</v>
      </c>
      <c r="O330" t="str">
        <f>VLOOKUP(Table1[[#This Row],[SCHEMATIC TYPE]],'SCHEMATIC Lookup'!$B$1:$C$5,2)</f>
        <v>Mezzanine Loan</v>
      </c>
      <c r="P330" s="5">
        <v>326044000</v>
      </c>
      <c r="Q330" s="5" t="s">
        <v>114</v>
      </c>
      <c r="R330" s="5" t="s">
        <v>82</v>
      </c>
      <c r="S330" t="s">
        <v>19</v>
      </c>
      <c r="T330" s="5" t="s">
        <v>19</v>
      </c>
      <c r="U330" s="12" t="s">
        <v>236</v>
      </c>
      <c r="V330" s="12" t="s">
        <v>234</v>
      </c>
      <c r="W330" s="11">
        <v>56</v>
      </c>
      <c r="X330" s="2">
        <f t="shared" si="32"/>
        <v>0.54900000000000004</v>
      </c>
      <c r="Y330" s="5">
        <f t="shared" si="33"/>
        <v>66500000</v>
      </c>
      <c r="Z330" s="5">
        <f t="shared" si="34"/>
        <v>66500000</v>
      </c>
    </row>
    <row r="331" spans="1:26" x14ac:dyDescent="0.25">
      <c r="A331">
        <v>13590</v>
      </c>
      <c r="B331">
        <v>298</v>
      </c>
      <c r="C331">
        <v>2018</v>
      </c>
      <c r="D331" t="s">
        <v>74</v>
      </c>
      <c r="E331" t="s">
        <v>69</v>
      </c>
      <c r="F331" s="2">
        <v>0.68200000000000005</v>
      </c>
      <c r="G331" s="2">
        <v>0.80100000000000005</v>
      </c>
      <c r="H331" s="14">
        <f t="shared" si="31"/>
        <v>0</v>
      </c>
      <c r="I331" s="5">
        <v>40000000</v>
      </c>
      <c r="J331">
        <v>2</v>
      </c>
      <c r="K331" s="6">
        <v>6.5000000000000002E-2</v>
      </c>
      <c r="L331" s="6">
        <v>0</v>
      </c>
      <c r="M331" t="str">
        <f t="shared" si="30"/>
        <v>SUB</v>
      </c>
      <c r="N331" t="s">
        <v>75</v>
      </c>
      <c r="O331" t="str">
        <f>VLOOKUP(Table1[[#This Row],[SCHEMATIC TYPE]],'SCHEMATIC Lookup'!$B$1:$C$5,2)</f>
        <v>Mezzanine Loan</v>
      </c>
      <c r="P331" s="5">
        <v>383915000</v>
      </c>
      <c r="Q331" s="5" t="s">
        <v>19</v>
      </c>
      <c r="R331" s="5" t="s">
        <v>82</v>
      </c>
      <c r="S331" t="s">
        <v>19</v>
      </c>
      <c r="T331" s="5" t="s">
        <v>19</v>
      </c>
      <c r="U331" s="12" t="s">
        <v>239</v>
      </c>
      <c r="V331" s="12" t="s">
        <v>237</v>
      </c>
      <c r="W331" s="11">
        <v>24</v>
      </c>
      <c r="X331" s="2">
        <f t="shared" si="32"/>
        <v>0.68200000000000005</v>
      </c>
      <c r="Y331" s="5">
        <f t="shared" si="33"/>
        <v>40000000</v>
      </c>
      <c r="Z331" s="5">
        <f t="shared" si="34"/>
        <v>40000000</v>
      </c>
    </row>
    <row r="332" spans="1:26" x14ac:dyDescent="0.25">
      <c r="A332">
        <v>13600</v>
      </c>
      <c r="B332">
        <v>298</v>
      </c>
      <c r="C332">
        <v>2017</v>
      </c>
      <c r="D332" t="s">
        <v>74</v>
      </c>
      <c r="E332" t="s">
        <v>77</v>
      </c>
      <c r="F332" s="2">
        <v>0.63</v>
      </c>
      <c r="G332" s="2">
        <v>0.67500000000000004</v>
      </c>
      <c r="H332" s="14">
        <f t="shared" si="31"/>
        <v>0</v>
      </c>
      <c r="I332" s="5">
        <v>45970000</v>
      </c>
      <c r="J332">
        <v>1</v>
      </c>
      <c r="K332" s="6">
        <v>9.5750000000000002E-2</v>
      </c>
      <c r="L332" s="6">
        <v>0</v>
      </c>
      <c r="M332" t="str">
        <f t="shared" si="30"/>
        <v>SUB</v>
      </c>
      <c r="N332" t="s">
        <v>75</v>
      </c>
      <c r="O332" t="str">
        <f>VLOOKUP(Table1[[#This Row],[SCHEMATIC TYPE]],'SCHEMATIC Lookup'!$B$1:$C$5,2)</f>
        <v>Mezzanine Loan</v>
      </c>
      <c r="P332" s="5">
        <v>363998000</v>
      </c>
      <c r="Q332" s="5" t="s">
        <v>19</v>
      </c>
      <c r="R332" s="5" t="s">
        <v>82</v>
      </c>
      <c r="S332" t="s">
        <v>19</v>
      </c>
      <c r="T332" s="5" t="s">
        <v>19</v>
      </c>
      <c r="U332" s="12" t="s">
        <v>235</v>
      </c>
      <c r="V332" s="12" t="s">
        <v>234</v>
      </c>
      <c r="W332" s="11">
        <v>120</v>
      </c>
      <c r="X332" s="2">
        <f t="shared" si="32"/>
        <v>0.63</v>
      </c>
      <c r="Y332" s="5">
        <f t="shared" si="33"/>
        <v>45970000</v>
      </c>
      <c r="Z332" s="5">
        <f t="shared" si="34"/>
        <v>45970000</v>
      </c>
    </row>
    <row r="333" spans="1:26" x14ac:dyDescent="0.25">
      <c r="A333">
        <v>13610</v>
      </c>
      <c r="B333">
        <v>298</v>
      </c>
      <c r="C333">
        <v>2017</v>
      </c>
      <c r="D333" t="s">
        <v>74</v>
      </c>
      <c r="E333" t="s">
        <v>77</v>
      </c>
      <c r="F333" s="2">
        <v>0.57199999999999995</v>
      </c>
      <c r="G333" s="2">
        <v>0.71299999999999997</v>
      </c>
      <c r="H333" s="14">
        <f t="shared" si="31"/>
        <v>0</v>
      </c>
      <c r="I333" s="5">
        <v>10500000</v>
      </c>
      <c r="J333">
        <v>1</v>
      </c>
      <c r="K333" s="6">
        <v>7.0000000000000007E-2</v>
      </c>
      <c r="L333" s="6">
        <v>0</v>
      </c>
      <c r="M333" t="str">
        <f t="shared" si="30"/>
        <v>SUB</v>
      </c>
      <c r="N333" t="s">
        <v>75</v>
      </c>
      <c r="O333" t="str">
        <f>VLOOKUP(Table1[[#This Row],[SCHEMATIC TYPE]],'SCHEMATIC Lookup'!$B$1:$C$5,2)</f>
        <v>Mezzanine Loan</v>
      </c>
      <c r="P333" s="5">
        <v>74300000</v>
      </c>
      <c r="Q333" s="5" t="s">
        <v>19</v>
      </c>
      <c r="R333" s="5" t="s">
        <v>82</v>
      </c>
      <c r="S333" t="s">
        <v>19</v>
      </c>
      <c r="T333" s="5" t="s">
        <v>19</v>
      </c>
      <c r="U333" s="12" t="s">
        <v>230</v>
      </c>
      <c r="V333" s="12" t="s">
        <v>233</v>
      </c>
      <c r="W333" s="11">
        <v>120</v>
      </c>
      <c r="X333" s="2">
        <f t="shared" si="32"/>
        <v>0.57199999999999995</v>
      </c>
      <c r="Y333" s="5">
        <f t="shared" si="33"/>
        <v>10500000</v>
      </c>
      <c r="Z333" s="5">
        <f t="shared" si="34"/>
        <v>10500000</v>
      </c>
    </row>
    <row r="334" spans="1:26" x14ac:dyDescent="0.25">
      <c r="A334">
        <v>13620</v>
      </c>
      <c r="B334">
        <v>298</v>
      </c>
      <c r="C334">
        <v>2017</v>
      </c>
      <c r="D334" t="s">
        <v>74</v>
      </c>
      <c r="E334" t="s">
        <v>69</v>
      </c>
      <c r="F334" s="2">
        <v>0.65</v>
      </c>
      <c r="G334" s="2">
        <v>0.69899999999999995</v>
      </c>
      <c r="H334" s="14">
        <f t="shared" si="31"/>
        <v>0</v>
      </c>
      <c r="I334" s="5">
        <v>50000000</v>
      </c>
      <c r="J334">
        <v>5</v>
      </c>
      <c r="K334" s="6">
        <v>6.1499999999999999E-2</v>
      </c>
      <c r="L334" s="6">
        <v>0</v>
      </c>
      <c r="M334" t="str">
        <f t="shared" si="30"/>
        <v>SUB</v>
      </c>
      <c r="N334" t="s">
        <v>75</v>
      </c>
      <c r="O334" t="str">
        <f>VLOOKUP(Table1[[#This Row],[SCHEMATIC TYPE]],'SCHEMATIC Lookup'!$B$1:$C$5,2)</f>
        <v>Mezzanine Loan</v>
      </c>
      <c r="P334" s="18">
        <v>1032714000</v>
      </c>
      <c r="Q334" s="5" t="s">
        <v>19</v>
      </c>
      <c r="R334" s="5" t="s">
        <v>82</v>
      </c>
      <c r="S334" t="s">
        <v>19</v>
      </c>
      <c r="T334" s="5" t="s">
        <v>19</v>
      </c>
      <c r="U334" s="12" t="s">
        <v>239</v>
      </c>
      <c r="V334" s="12" t="s">
        <v>234</v>
      </c>
      <c r="W334" s="11">
        <v>24</v>
      </c>
      <c r="X334" s="2">
        <f t="shared" si="32"/>
        <v>0.65</v>
      </c>
      <c r="Y334" s="5">
        <f t="shared" si="33"/>
        <v>50000000</v>
      </c>
      <c r="Z334" s="5">
        <f t="shared" si="34"/>
        <v>50000000</v>
      </c>
    </row>
    <row r="335" spans="1:26" x14ac:dyDescent="0.25">
      <c r="A335">
        <v>13630</v>
      </c>
      <c r="B335">
        <v>298</v>
      </c>
      <c r="C335">
        <v>2014</v>
      </c>
      <c r="D335" t="s">
        <v>74</v>
      </c>
      <c r="E335" t="s">
        <v>77</v>
      </c>
      <c r="F335" s="2">
        <v>0.46200000000000002</v>
      </c>
      <c r="G335" s="2">
        <v>0.64400000000000002</v>
      </c>
      <c r="H335" s="14">
        <f t="shared" si="31"/>
        <v>0</v>
      </c>
      <c r="I335" s="5">
        <v>35000000</v>
      </c>
      <c r="J335">
        <v>5</v>
      </c>
      <c r="K335" s="6">
        <v>7.2499999999999995E-2</v>
      </c>
      <c r="L335" s="6">
        <v>0</v>
      </c>
      <c r="M335" t="str">
        <f t="shared" si="30"/>
        <v>SUB</v>
      </c>
      <c r="N335" t="s">
        <v>75</v>
      </c>
      <c r="O335" t="str">
        <f>VLOOKUP(Table1[[#This Row],[SCHEMATIC TYPE]],'SCHEMATIC Lookup'!$B$1:$C$5,2)</f>
        <v>Mezzanine Loan</v>
      </c>
      <c r="P335" s="5">
        <v>195000000</v>
      </c>
      <c r="Q335" s="5" t="s">
        <v>19</v>
      </c>
      <c r="R335" s="5" t="s">
        <v>82</v>
      </c>
      <c r="S335" t="s">
        <v>19</v>
      </c>
      <c r="T335" s="5" t="s">
        <v>19</v>
      </c>
      <c r="U335" s="12" t="s">
        <v>232</v>
      </c>
      <c r="V335" s="12" t="s">
        <v>235</v>
      </c>
      <c r="W335" s="11">
        <v>120</v>
      </c>
      <c r="X335" s="2">
        <f t="shared" si="32"/>
        <v>0.46200000000000002</v>
      </c>
      <c r="Y335" s="5">
        <f t="shared" si="33"/>
        <v>35000000</v>
      </c>
      <c r="Z335" s="5">
        <f t="shared" si="34"/>
        <v>35000000</v>
      </c>
    </row>
    <row r="336" spans="1:26" x14ac:dyDescent="0.25">
      <c r="A336">
        <v>13640</v>
      </c>
      <c r="B336">
        <v>298</v>
      </c>
      <c r="C336">
        <v>2017</v>
      </c>
      <c r="D336" t="s">
        <v>74</v>
      </c>
      <c r="E336" t="s">
        <v>77</v>
      </c>
      <c r="F336" s="2">
        <v>0.58499999999999996</v>
      </c>
      <c r="G336" s="2">
        <v>0.73099999999999998</v>
      </c>
      <c r="H336" s="14">
        <f t="shared" si="31"/>
        <v>0</v>
      </c>
      <c r="I336" s="5">
        <v>30125000</v>
      </c>
      <c r="J336">
        <v>1</v>
      </c>
      <c r="K336" s="6">
        <v>4.3299999999999998E-2</v>
      </c>
      <c r="L336" s="6">
        <v>0</v>
      </c>
      <c r="M336" t="str">
        <f t="shared" si="30"/>
        <v>SUB</v>
      </c>
      <c r="N336" t="s">
        <v>75</v>
      </c>
      <c r="O336" t="str">
        <f>VLOOKUP(Table1[[#This Row],[SCHEMATIC TYPE]],'SCHEMATIC Lookup'!$B$1:$C$5,2)</f>
        <v>Mezzanine Loan</v>
      </c>
      <c r="P336" s="5">
        <v>206100000</v>
      </c>
      <c r="Q336" s="5" t="s">
        <v>19</v>
      </c>
      <c r="R336" s="5" t="s">
        <v>82</v>
      </c>
      <c r="S336" t="s">
        <v>19</v>
      </c>
      <c r="T336" s="5" t="s">
        <v>19</v>
      </c>
      <c r="U336" s="12" t="s">
        <v>230</v>
      </c>
      <c r="V336" s="12" t="s">
        <v>233</v>
      </c>
      <c r="W336" s="11">
        <v>120</v>
      </c>
      <c r="X336" s="2">
        <f t="shared" si="32"/>
        <v>0.58499999999999996</v>
      </c>
      <c r="Y336" s="5">
        <f t="shared" si="33"/>
        <v>30125000</v>
      </c>
      <c r="Z336" s="5">
        <f t="shared" si="34"/>
        <v>30125000</v>
      </c>
    </row>
    <row r="337" spans="1:26" x14ac:dyDescent="0.25">
      <c r="A337">
        <v>13650</v>
      </c>
      <c r="B337">
        <v>298</v>
      </c>
      <c r="C337">
        <v>2016</v>
      </c>
      <c r="D337" t="s">
        <v>74</v>
      </c>
      <c r="E337" t="s">
        <v>77</v>
      </c>
      <c r="F337" s="2">
        <v>0.61699999999999999</v>
      </c>
      <c r="G337" s="2">
        <v>0.75</v>
      </c>
      <c r="H337" s="14">
        <f t="shared" si="31"/>
        <v>0</v>
      </c>
      <c r="I337" s="5">
        <v>40000000</v>
      </c>
      <c r="J337">
        <v>1</v>
      </c>
      <c r="K337" s="6">
        <v>6.5000000000000002E-2</v>
      </c>
      <c r="L337" s="6">
        <v>0</v>
      </c>
      <c r="M337" t="str">
        <f t="shared" si="30"/>
        <v>SUB</v>
      </c>
      <c r="N337" t="s">
        <v>75</v>
      </c>
      <c r="O337" t="str">
        <f>VLOOKUP(Table1[[#This Row],[SCHEMATIC TYPE]],'SCHEMATIC Lookup'!$B$1:$C$5,2)</f>
        <v>Mezzanine Loan</v>
      </c>
      <c r="P337" s="5">
        <v>311100000</v>
      </c>
      <c r="Q337" s="5" t="s">
        <v>19</v>
      </c>
      <c r="R337" s="5" t="s">
        <v>82</v>
      </c>
      <c r="S337" t="s">
        <v>19</v>
      </c>
      <c r="T337" s="5" t="s">
        <v>19</v>
      </c>
      <c r="U337" s="12" t="s">
        <v>235</v>
      </c>
      <c r="V337" s="12" t="s">
        <v>231</v>
      </c>
      <c r="W337" s="11">
        <v>120</v>
      </c>
      <c r="X337" s="2">
        <f t="shared" si="32"/>
        <v>0.61699999999999999</v>
      </c>
      <c r="Y337" s="5">
        <f t="shared" si="33"/>
        <v>40000000</v>
      </c>
      <c r="Z337" s="5">
        <f t="shared" si="34"/>
        <v>40000000</v>
      </c>
    </row>
    <row r="338" spans="1:26" x14ac:dyDescent="0.25">
      <c r="A338">
        <v>13660</v>
      </c>
      <c r="B338">
        <v>298</v>
      </c>
      <c r="C338">
        <v>2016</v>
      </c>
      <c r="D338" t="s">
        <v>74</v>
      </c>
      <c r="E338" t="s">
        <v>77</v>
      </c>
      <c r="F338" s="2">
        <v>0.64100000000000001</v>
      </c>
      <c r="G338" s="2">
        <v>0.74399999999999999</v>
      </c>
      <c r="H338" s="14">
        <f t="shared" si="31"/>
        <v>0</v>
      </c>
      <c r="I338" s="5">
        <v>20000000</v>
      </c>
      <c r="J338">
        <v>1</v>
      </c>
      <c r="K338" s="6">
        <v>6.8500000000000005E-2</v>
      </c>
      <c r="L338" s="6">
        <v>0</v>
      </c>
      <c r="M338" t="str">
        <f t="shared" si="30"/>
        <v>SUB</v>
      </c>
      <c r="N338" t="s">
        <v>75</v>
      </c>
      <c r="O338" t="str">
        <f>VLOOKUP(Table1[[#This Row],[SCHEMATIC TYPE]],'SCHEMATIC Lookup'!$B$1:$C$5,2)</f>
        <v>Mezzanine Loan</v>
      </c>
      <c r="P338" s="5">
        <v>195000000</v>
      </c>
      <c r="Q338" s="5" t="s">
        <v>19</v>
      </c>
      <c r="R338" s="5" t="s">
        <v>82</v>
      </c>
      <c r="S338" t="s">
        <v>19</v>
      </c>
      <c r="T338" s="5" t="s">
        <v>19</v>
      </c>
      <c r="U338" s="12" t="s">
        <v>235</v>
      </c>
      <c r="V338" s="12" t="s">
        <v>233</v>
      </c>
      <c r="W338" s="11">
        <v>120</v>
      </c>
      <c r="X338" s="2">
        <f t="shared" si="32"/>
        <v>0.64100000000000001</v>
      </c>
      <c r="Y338" s="5">
        <f t="shared" si="33"/>
        <v>20000000</v>
      </c>
      <c r="Z338" s="5">
        <f t="shared" si="34"/>
        <v>20000000</v>
      </c>
    </row>
    <row r="339" spans="1:26" x14ac:dyDescent="0.25">
      <c r="A339">
        <v>13670</v>
      </c>
      <c r="B339">
        <v>298</v>
      </c>
      <c r="C339">
        <v>2014</v>
      </c>
      <c r="D339" t="s">
        <v>74</v>
      </c>
      <c r="E339" t="s">
        <v>69</v>
      </c>
      <c r="F339" s="2">
        <v>0.50800000000000001</v>
      </c>
      <c r="G339" s="2">
        <v>0.78900000000000003</v>
      </c>
      <c r="H339" s="14">
        <f t="shared" si="31"/>
        <v>0</v>
      </c>
      <c r="I339" s="5">
        <v>37500000</v>
      </c>
      <c r="J339">
        <v>5</v>
      </c>
      <c r="K339" s="6">
        <v>8.7499999999999994E-2</v>
      </c>
      <c r="L339" s="6">
        <v>0</v>
      </c>
      <c r="M339" t="str">
        <f t="shared" ref="M339:M370" si="35">IF(AND(H339=0,OR(F339&gt;0,L339&gt;0)),"SUB",IF(AND(H339=0,F339=0),"SENIOR","BAD"))&amp;IF(L339&gt;0,"L","")</f>
        <v>SUB</v>
      </c>
      <c r="N339" t="s">
        <v>75</v>
      </c>
      <c r="O339" t="str">
        <f>VLOOKUP(Table1[[#This Row],[SCHEMATIC TYPE]],'SCHEMATIC Lookup'!$B$1:$C$5,2)</f>
        <v>Mezzanine Loan</v>
      </c>
      <c r="P339" s="5">
        <v>142000000</v>
      </c>
      <c r="Q339" s="5" t="s">
        <v>19</v>
      </c>
      <c r="R339" s="5" t="s">
        <v>82</v>
      </c>
      <c r="S339" t="s">
        <v>19</v>
      </c>
      <c r="T339" s="5" t="s">
        <v>19</v>
      </c>
      <c r="U339" s="12" t="s">
        <v>236</v>
      </c>
      <c r="V339" s="12" t="s">
        <v>231</v>
      </c>
      <c r="W339" s="11">
        <v>12</v>
      </c>
      <c r="X339" s="2">
        <f t="shared" si="32"/>
        <v>0.50800000000000001</v>
      </c>
      <c r="Y339" s="5">
        <f t="shared" si="33"/>
        <v>37500000</v>
      </c>
      <c r="Z339" s="5">
        <f t="shared" si="34"/>
        <v>37500000</v>
      </c>
    </row>
    <row r="340" spans="1:26" x14ac:dyDescent="0.25">
      <c r="A340">
        <v>13680</v>
      </c>
      <c r="B340">
        <v>298</v>
      </c>
      <c r="C340">
        <v>2014</v>
      </c>
      <c r="D340" t="s">
        <v>102</v>
      </c>
      <c r="E340" t="s">
        <v>69</v>
      </c>
      <c r="F340" s="2">
        <v>0.57899999999999996</v>
      </c>
      <c r="G340" s="2">
        <v>0.76100000000000001</v>
      </c>
      <c r="H340" s="14">
        <f t="shared" si="31"/>
        <v>0</v>
      </c>
      <c r="I340" s="5">
        <v>18000000</v>
      </c>
      <c r="J340">
        <v>1</v>
      </c>
      <c r="K340" s="6">
        <v>8.7499999999999994E-2</v>
      </c>
      <c r="L340" s="6">
        <v>0</v>
      </c>
      <c r="M340" t="str">
        <f t="shared" si="35"/>
        <v>SUB</v>
      </c>
      <c r="N340" t="s">
        <v>75</v>
      </c>
      <c r="O340" t="str">
        <f>VLOOKUP(Table1[[#This Row],[SCHEMATIC TYPE]],'SCHEMATIC Lookup'!$B$1:$C$5,2)</f>
        <v>Mezzanine Loan</v>
      </c>
      <c r="P340" s="5">
        <v>98500000</v>
      </c>
      <c r="Q340" s="5" t="s">
        <v>19</v>
      </c>
      <c r="R340" s="5" t="s">
        <v>73</v>
      </c>
      <c r="S340" t="s">
        <v>19</v>
      </c>
      <c r="T340" s="5" t="s">
        <v>19</v>
      </c>
      <c r="U340" s="12" t="s">
        <v>230</v>
      </c>
      <c r="V340" s="12" t="s">
        <v>231</v>
      </c>
      <c r="W340" s="11">
        <v>48</v>
      </c>
      <c r="X340" s="2">
        <f t="shared" si="32"/>
        <v>0.57899999999999996</v>
      </c>
      <c r="Y340" s="5">
        <f t="shared" si="33"/>
        <v>18000000</v>
      </c>
      <c r="Z340" s="5">
        <f t="shared" si="34"/>
        <v>18000000</v>
      </c>
    </row>
    <row r="341" spans="1:26" x14ac:dyDescent="0.25">
      <c r="A341">
        <v>13690</v>
      </c>
      <c r="B341">
        <v>298</v>
      </c>
      <c r="C341">
        <v>2014</v>
      </c>
      <c r="D341" t="s">
        <v>74</v>
      </c>
      <c r="E341" t="s">
        <v>77</v>
      </c>
      <c r="F341" s="2">
        <v>0.69</v>
      </c>
      <c r="G341" s="2">
        <v>0.8</v>
      </c>
      <c r="H341" s="14">
        <f t="shared" si="31"/>
        <v>0</v>
      </c>
      <c r="I341" s="5">
        <v>20000000</v>
      </c>
      <c r="J341">
        <v>5</v>
      </c>
      <c r="K341" s="6">
        <v>7.7499999999999999E-2</v>
      </c>
      <c r="L341" s="6">
        <v>0</v>
      </c>
      <c r="M341" t="str">
        <f t="shared" si="35"/>
        <v>SUB</v>
      </c>
      <c r="N341" t="s">
        <v>75</v>
      </c>
      <c r="O341" t="str">
        <f>VLOOKUP(Table1[[#This Row],[SCHEMATIC TYPE]],'SCHEMATIC Lookup'!$B$1:$C$5,2)</f>
        <v>Mezzanine Loan</v>
      </c>
      <c r="P341" s="5">
        <v>175000000</v>
      </c>
      <c r="Q341" s="5" t="s">
        <v>19</v>
      </c>
      <c r="R341" s="5" t="s">
        <v>82</v>
      </c>
      <c r="S341" t="s">
        <v>19</v>
      </c>
      <c r="T341" s="5" t="s">
        <v>19</v>
      </c>
      <c r="U341" s="12" t="s">
        <v>239</v>
      </c>
      <c r="V341" s="12" t="s">
        <v>237</v>
      </c>
      <c r="W341" s="11">
        <v>120</v>
      </c>
      <c r="X341" s="2">
        <f t="shared" si="32"/>
        <v>0.69</v>
      </c>
      <c r="Y341" s="5">
        <f t="shared" si="33"/>
        <v>20000000</v>
      </c>
      <c r="Z341" s="5">
        <f t="shared" si="34"/>
        <v>20000000</v>
      </c>
    </row>
    <row r="342" spans="1:26" x14ac:dyDescent="0.25">
      <c r="A342">
        <v>13700</v>
      </c>
      <c r="B342">
        <v>119</v>
      </c>
      <c r="C342">
        <v>2018</v>
      </c>
      <c r="D342" t="s">
        <v>96</v>
      </c>
      <c r="E342" t="s">
        <v>69</v>
      </c>
      <c r="F342" s="2">
        <v>0.56527875307480202</v>
      </c>
      <c r="G342" s="2">
        <v>0.73486237899724249</v>
      </c>
      <c r="H342" s="14">
        <f t="shared" si="31"/>
        <v>0</v>
      </c>
      <c r="I342" s="5">
        <v>37174038.461538449</v>
      </c>
      <c r="J342">
        <v>1</v>
      </c>
      <c r="K342" s="6">
        <v>5.0299999999999997E-2</v>
      </c>
      <c r="L342" s="6">
        <v>0.75</v>
      </c>
      <c r="M342" t="str">
        <f t="shared" si="35"/>
        <v>SUBL</v>
      </c>
      <c r="N342" t="s">
        <v>70</v>
      </c>
      <c r="O342" t="str">
        <f>VLOOKUP(Table1[[#This Row],[SCHEMATIC TYPE]],'SCHEMATIC Lookup'!$B$1:$C$5,2)</f>
        <v>Leveraged Whole Loan</v>
      </c>
      <c r="P342" s="5">
        <v>219207711</v>
      </c>
      <c r="Q342" s="5" t="s">
        <v>71</v>
      </c>
      <c r="R342" s="5" t="s">
        <v>79</v>
      </c>
      <c r="S342" s="5" t="s">
        <v>71</v>
      </c>
      <c r="T342" s="5" t="s">
        <v>71</v>
      </c>
      <c r="U342" s="12" t="s">
        <v>230</v>
      </c>
      <c r="V342" s="12" t="s">
        <v>233</v>
      </c>
      <c r="W342" s="11">
        <v>36</v>
      </c>
      <c r="X342" s="2">
        <f t="shared" si="32"/>
        <v>0.56527875307480202</v>
      </c>
      <c r="Y342" s="5">
        <f t="shared" si="33"/>
        <v>37174038.461538449</v>
      </c>
      <c r="Z342" s="5">
        <f t="shared" si="34"/>
        <v>161087500.00000003</v>
      </c>
    </row>
    <row r="343" spans="1:26" x14ac:dyDescent="0.25">
      <c r="A343">
        <v>13710</v>
      </c>
      <c r="B343">
        <v>119</v>
      </c>
      <c r="C343">
        <v>2018</v>
      </c>
      <c r="D343" t="s">
        <v>102</v>
      </c>
      <c r="E343" t="s">
        <v>69</v>
      </c>
      <c r="F343" s="2">
        <v>0.63465865204694671</v>
      </c>
      <c r="G343" s="2">
        <v>0.77997768919788313</v>
      </c>
      <c r="H343" s="14">
        <f t="shared" si="31"/>
        <v>0</v>
      </c>
      <c r="I343" s="5">
        <v>24500000</v>
      </c>
      <c r="J343">
        <v>2</v>
      </c>
      <c r="K343" s="6">
        <v>5.04E-2</v>
      </c>
      <c r="L343" s="6">
        <v>0</v>
      </c>
      <c r="M343" t="str">
        <f t="shared" si="35"/>
        <v>SUB</v>
      </c>
      <c r="N343" t="s">
        <v>75</v>
      </c>
      <c r="O343" t="str">
        <f>VLOOKUP(Table1[[#This Row],[SCHEMATIC TYPE]],'SCHEMATIC Lookup'!$B$1:$C$5,2)</f>
        <v>Mezzanine Loan</v>
      </c>
      <c r="P343" s="5">
        <v>168594566</v>
      </c>
      <c r="Q343" s="5" t="s">
        <v>71</v>
      </c>
      <c r="R343" s="5" t="s">
        <v>79</v>
      </c>
      <c r="S343" t="s">
        <v>71</v>
      </c>
      <c r="T343" s="5" t="s">
        <v>71</v>
      </c>
      <c r="U343" s="12" t="s">
        <v>235</v>
      </c>
      <c r="V343" s="12" t="s">
        <v>231</v>
      </c>
      <c r="W343" s="11">
        <v>37</v>
      </c>
      <c r="X343" s="2">
        <f t="shared" si="32"/>
        <v>0.63465865204694671</v>
      </c>
      <c r="Y343" s="5">
        <f t="shared" si="33"/>
        <v>24500000</v>
      </c>
      <c r="Z343" s="5">
        <f t="shared" si="34"/>
        <v>24500000</v>
      </c>
    </row>
    <row r="344" spans="1:26" x14ac:dyDescent="0.25">
      <c r="A344">
        <v>13720</v>
      </c>
      <c r="B344">
        <v>119</v>
      </c>
      <c r="C344">
        <v>2019</v>
      </c>
      <c r="D344" t="s">
        <v>96</v>
      </c>
      <c r="E344" t="s">
        <v>69</v>
      </c>
      <c r="F344" s="2">
        <v>0.47622847123635231</v>
      </c>
      <c r="G344" s="2">
        <v>0.65236776881692105</v>
      </c>
      <c r="H344" s="14">
        <f t="shared" si="31"/>
        <v>0</v>
      </c>
      <c r="I344" s="5">
        <v>14742000</v>
      </c>
      <c r="J344">
        <v>1</v>
      </c>
      <c r="K344" s="6">
        <v>7.4099999999999999E-2</v>
      </c>
      <c r="L344" s="6">
        <f>Table1[[#This Row],[LowerLTV1]]/Table1[[#This Row],[UpperAttach]]</f>
        <v>0.72999999999999987</v>
      </c>
      <c r="M344" t="str">
        <f t="shared" si="35"/>
        <v>SUBL</v>
      </c>
      <c r="N344" t="s">
        <v>70</v>
      </c>
      <c r="O344" t="str">
        <f>VLOOKUP(Table1[[#This Row],[SCHEMATIC TYPE]],'SCHEMATIC Lookup'!$B$1:$C$5,2)</f>
        <v>Leveraged Whole Loan</v>
      </c>
      <c r="P344" s="5">
        <v>83695122</v>
      </c>
      <c r="Q344" s="5" t="s">
        <v>71</v>
      </c>
      <c r="R344" s="5" t="s">
        <v>79</v>
      </c>
      <c r="S344" t="s">
        <v>71</v>
      </c>
      <c r="T344" s="5" t="s">
        <v>71</v>
      </c>
      <c r="U344" s="12" t="s">
        <v>232</v>
      </c>
      <c r="V344" s="12" t="s">
        <v>234</v>
      </c>
      <c r="W344" s="11">
        <v>37</v>
      </c>
      <c r="X344" s="2">
        <f t="shared" si="32"/>
        <v>0.47622847123635231</v>
      </c>
      <c r="Y344" s="5">
        <f t="shared" si="33"/>
        <v>14742000</v>
      </c>
      <c r="Z344" s="5">
        <f t="shared" si="34"/>
        <v>54599999.999999985</v>
      </c>
    </row>
    <row r="345" spans="1:26" x14ac:dyDescent="0.25">
      <c r="A345">
        <v>13730</v>
      </c>
      <c r="B345">
        <v>119</v>
      </c>
      <c r="C345">
        <v>2019</v>
      </c>
      <c r="D345" t="s">
        <v>96</v>
      </c>
      <c r="E345" t="s">
        <v>69</v>
      </c>
      <c r="F345" s="2">
        <v>0.57759217533700824</v>
      </c>
      <c r="G345" s="2">
        <v>0.72199021917126016</v>
      </c>
      <c r="H345" s="14">
        <f t="shared" si="31"/>
        <v>0</v>
      </c>
      <c r="I345" s="5">
        <v>21234428.199999988</v>
      </c>
      <c r="J345">
        <v>1</v>
      </c>
      <c r="K345" s="6">
        <v>6.3299999999999995E-2</v>
      </c>
      <c r="L345" s="6">
        <f>Table1[[#This Row],[LowerLTV1]]/Table1[[#This Row],[UpperAttach]]</f>
        <v>0.80000000000000016</v>
      </c>
      <c r="M345" t="str">
        <f t="shared" si="35"/>
        <v>SUBL</v>
      </c>
      <c r="N345" t="s">
        <v>70</v>
      </c>
      <c r="O345" t="str">
        <f>VLOOKUP(Table1[[#This Row],[SCHEMATIC TYPE]],'SCHEMATIC Lookup'!$B$1:$C$5,2)</f>
        <v>Leveraged Whole Loan</v>
      </c>
      <c r="P345" s="5">
        <v>147054819</v>
      </c>
      <c r="Q345" s="5" t="s">
        <v>71</v>
      </c>
      <c r="R345" s="5" t="s">
        <v>79</v>
      </c>
      <c r="S345" t="s">
        <v>71</v>
      </c>
      <c r="T345" s="5" t="s">
        <v>71</v>
      </c>
      <c r="U345" s="12" t="s">
        <v>230</v>
      </c>
      <c r="V345" s="12" t="s">
        <v>233</v>
      </c>
      <c r="W345" s="11">
        <v>37</v>
      </c>
      <c r="X345" s="2">
        <f t="shared" si="32"/>
        <v>0.57759217533700824</v>
      </c>
      <c r="Y345" s="5">
        <f t="shared" si="33"/>
        <v>21234428.199999988</v>
      </c>
      <c r="Z345" s="5">
        <f t="shared" si="34"/>
        <v>106172141.00000003</v>
      </c>
    </row>
    <row r="346" spans="1:26" x14ac:dyDescent="0.25">
      <c r="A346">
        <v>13740</v>
      </c>
      <c r="B346">
        <v>119</v>
      </c>
      <c r="C346">
        <v>2019</v>
      </c>
      <c r="D346" t="s">
        <v>96</v>
      </c>
      <c r="E346" t="s">
        <v>69</v>
      </c>
      <c r="F346" s="2">
        <v>0.61962723082250726</v>
      </c>
      <c r="G346" s="2">
        <v>0.77453403852813407</v>
      </c>
      <c r="H346" s="14">
        <f t="shared" si="31"/>
        <v>0</v>
      </c>
      <c r="I346" s="5">
        <v>12691000</v>
      </c>
      <c r="J346">
        <v>1</v>
      </c>
      <c r="K346" s="6">
        <v>2.5000000000000001E-2</v>
      </c>
      <c r="L346" s="6">
        <f>Table1[[#This Row],[LowerLTV1]]/Table1[[#This Row],[UpperAttach]]</f>
        <v>0.8</v>
      </c>
      <c r="M346" t="str">
        <f t="shared" si="35"/>
        <v>SUBL</v>
      </c>
      <c r="N346" t="s">
        <v>70</v>
      </c>
      <c r="O346" t="str">
        <f>VLOOKUP(Table1[[#This Row],[SCHEMATIC TYPE]],'SCHEMATIC Lookup'!$B$1:$C$5,2)</f>
        <v>Leveraged Whole Loan</v>
      </c>
      <c r="P346" s="5">
        <v>81926677</v>
      </c>
      <c r="Q346" s="5" t="s">
        <v>71</v>
      </c>
      <c r="R346" s="5" t="s">
        <v>79</v>
      </c>
      <c r="S346" t="s">
        <v>71</v>
      </c>
      <c r="T346" s="5" t="s">
        <v>71</v>
      </c>
      <c r="U346" s="12" t="s">
        <v>235</v>
      </c>
      <c r="V346" s="12" t="s">
        <v>231</v>
      </c>
      <c r="W346" s="11">
        <v>36</v>
      </c>
      <c r="X346" s="2">
        <f t="shared" si="32"/>
        <v>0.61962723082250726</v>
      </c>
      <c r="Y346" s="5">
        <f t="shared" si="33"/>
        <v>12691000</v>
      </c>
      <c r="Z346" s="5">
        <f t="shared" si="34"/>
        <v>63455000</v>
      </c>
    </row>
    <row r="347" spans="1:26" x14ac:dyDescent="0.25">
      <c r="A347">
        <v>13790</v>
      </c>
      <c r="B347">
        <v>219</v>
      </c>
      <c r="C347">
        <v>2019</v>
      </c>
      <c r="D347" t="s">
        <v>102</v>
      </c>
      <c r="E347" t="s">
        <v>69</v>
      </c>
      <c r="F347" s="2">
        <v>0.78102228494206372</v>
      </c>
      <c r="G347" s="2">
        <v>0.86986303077202787</v>
      </c>
      <c r="H347" s="14">
        <f t="shared" si="31"/>
        <v>0</v>
      </c>
      <c r="I347" s="5">
        <v>20600000</v>
      </c>
      <c r="J347">
        <v>4</v>
      </c>
      <c r="K347" s="6">
        <v>6.5000000000000002E-2</v>
      </c>
      <c r="L347" s="6">
        <v>0</v>
      </c>
      <c r="M347" t="str">
        <f t="shared" si="35"/>
        <v>SUB</v>
      </c>
      <c r="N347" t="s">
        <v>75</v>
      </c>
      <c r="O347" t="str">
        <f>VLOOKUP(Table1[[#This Row],[SCHEMATIC TYPE]],'SCHEMATIC Lookup'!$B$1:$C$5,2)</f>
        <v>Mezzanine Loan</v>
      </c>
      <c r="P347" s="5">
        <v>463751172</v>
      </c>
      <c r="Q347" s="5" t="s">
        <v>19</v>
      </c>
      <c r="R347" s="5" t="s">
        <v>73</v>
      </c>
      <c r="S347" t="s">
        <v>19</v>
      </c>
      <c r="T347" s="5" t="s">
        <v>19</v>
      </c>
      <c r="U347" s="12" t="s">
        <v>239</v>
      </c>
      <c r="V347" s="12" t="s">
        <v>237</v>
      </c>
      <c r="W347" s="11">
        <v>24</v>
      </c>
      <c r="X347" s="2">
        <f t="shared" si="32"/>
        <v>0.78102228494206372</v>
      </c>
      <c r="Y347" s="5">
        <f t="shared" si="33"/>
        <v>20600000</v>
      </c>
      <c r="Z347" s="5">
        <f t="shared" si="34"/>
        <v>20600000</v>
      </c>
    </row>
    <row r="348" spans="1:26" x14ac:dyDescent="0.25">
      <c r="A348">
        <v>13800</v>
      </c>
      <c r="B348">
        <v>183</v>
      </c>
      <c r="C348">
        <v>2019</v>
      </c>
      <c r="D348" t="s">
        <v>96</v>
      </c>
      <c r="E348" t="s">
        <v>69</v>
      </c>
      <c r="F348" s="2">
        <v>0</v>
      </c>
      <c r="G348" s="2">
        <v>0.36</v>
      </c>
      <c r="H348" s="14">
        <f t="shared" si="31"/>
        <v>0</v>
      </c>
      <c r="I348" s="5">
        <v>80700000</v>
      </c>
      <c r="J348">
        <v>2</v>
      </c>
      <c r="K348" s="6">
        <v>2.8000000000000001E-2</v>
      </c>
      <c r="L348" s="6">
        <v>0.6</v>
      </c>
      <c r="M348" t="str">
        <f t="shared" si="35"/>
        <v>SUBL</v>
      </c>
      <c r="N348" t="s">
        <v>70</v>
      </c>
      <c r="O348" t="str">
        <f>VLOOKUP(Table1[[#This Row],[SCHEMATIC TYPE]],'SCHEMATIC Lookup'!$B$1:$C$5,2)</f>
        <v>Leveraged Whole Loan</v>
      </c>
      <c r="P348" s="5">
        <v>226328397</v>
      </c>
      <c r="Q348" s="5" t="s">
        <v>71</v>
      </c>
      <c r="R348" s="5" t="s">
        <v>82</v>
      </c>
      <c r="S348" t="s">
        <v>71</v>
      </c>
      <c r="T348" s="5" t="s">
        <v>71</v>
      </c>
      <c r="U348" s="12" t="s">
        <v>238</v>
      </c>
      <c r="V348" s="12" t="s">
        <v>238</v>
      </c>
      <c r="W348" s="11">
        <v>36</v>
      </c>
      <c r="X348" s="2">
        <f t="shared" si="32"/>
        <v>0.216</v>
      </c>
      <c r="Y348" s="5">
        <f t="shared" si="33"/>
        <v>32280000</v>
      </c>
      <c r="Z348" s="5">
        <f t="shared" si="34"/>
        <v>80700000</v>
      </c>
    </row>
    <row r="349" spans="1:26" x14ac:dyDescent="0.25">
      <c r="A349">
        <v>13810</v>
      </c>
      <c r="B349">
        <v>183</v>
      </c>
      <c r="C349">
        <v>2019</v>
      </c>
      <c r="D349" t="s">
        <v>96</v>
      </c>
      <c r="E349" t="s">
        <v>69</v>
      </c>
      <c r="F349" s="2">
        <v>0</v>
      </c>
      <c r="G349" s="2">
        <v>0.64673013391842471</v>
      </c>
      <c r="H349" s="14">
        <f t="shared" si="31"/>
        <v>0</v>
      </c>
      <c r="I349" s="5">
        <v>45584000</v>
      </c>
      <c r="J349">
        <v>1</v>
      </c>
      <c r="K349" s="6">
        <v>2.75E-2</v>
      </c>
      <c r="L349" s="6">
        <v>0.6</v>
      </c>
      <c r="M349" t="str">
        <f t="shared" si="35"/>
        <v>SUBL</v>
      </c>
      <c r="N349" t="s">
        <v>70</v>
      </c>
      <c r="O349" t="str">
        <f>VLOOKUP(Table1[[#This Row],[SCHEMATIC TYPE]],'SCHEMATIC Lookup'!$B$1:$C$5,2)</f>
        <v>Leveraged Whole Loan</v>
      </c>
      <c r="P349" s="5">
        <v>70483804</v>
      </c>
      <c r="Q349" s="5" t="s">
        <v>86</v>
      </c>
      <c r="R349" s="5" t="s">
        <v>82</v>
      </c>
      <c r="S349" t="s">
        <v>71</v>
      </c>
      <c r="T349" s="5" t="s">
        <v>88</v>
      </c>
      <c r="U349" s="12" t="s">
        <v>238</v>
      </c>
      <c r="V349" s="12" t="s">
        <v>235</v>
      </c>
      <c r="W349" s="11">
        <v>48</v>
      </c>
      <c r="X349" s="2">
        <f t="shared" si="32"/>
        <v>0.3880380803510548</v>
      </c>
      <c r="Y349" s="5">
        <f t="shared" si="33"/>
        <v>18233600</v>
      </c>
      <c r="Z349" s="5">
        <f t="shared" si="34"/>
        <v>45584000</v>
      </c>
    </row>
    <row r="350" spans="1:26" x14ac:dyDescent="0.25">
      <c r="A350">
        <v>13820</v>
      </c>
      <c r="B350">
        <v>183</v>
      </c>
      <c r="C350">
        <v>2019</v>
      </c>
      <c r="D350" t="s">
        <v>74</v>
      </c>
      <c r="E350" t="s">
        <v>69</v>
      </c>
      <c r="F350" s="2">
        <v>0.51582301110502793</v>
      </c>
      <c r="G350" s="2">
        <v>0.73021195009555506</v>
      </c>
      <c r="H350" s="14">
        <f t="shared" si="31"/>
        <v>0</v>
      </c>
      <c r="I350" s="5">
        <v>66500000</v>
      </c>
      <c r="J350">
        <v>1</v>
      </c>
      <c r="K350" s="6">
        <v>3.9300000000000002E-2</v>
      </c>
      <c r="L350" s="6">
        <v>0</v>
      </c>
      <c r="M350" t="str">
        <f t="shared" si="35"/>
        <v>SUB</v>
      </c>
      <c r="N350" t="s">
        <v>75</v>
      </c>
      <c r="O350" t="str">
        <f>VLOOKUP(Table1[[#This Row],[SCHEMATIC TYPE]],'SCHEMATIC Lookup'!$B$1:$C$5,2)</f>
        <v>Mezzanine Loan</v>
      </c>
      <c r="P350" s="5">
        <v>310183913</v>
      </c>
      <c r="Q350" s="5" t="s">
        <v>86</v>
      </c>
      <c r="R350" s="5" t="s">
        <v>82</v>
      </c>
      <c r="S350" t="s">
        <v>71</v>
      </c>
      <c r="T350" s="5" t="s">
        <v>88</v>
      </c>
      <c r="U350" s="12" t="s">
        <v>236</v>
      </c>
      <c r="V350" s="12" t="s">
        <v>233</v>
      </c>
      <c r="W350" s="11">
        <v>36</v>
      </c>
      <c r="X350" s="2">
        <f t="shared" si="32"/>
        <v>0.51582301110502793</v>
      </c>
      <c r="Y350" s="5">
        <f t="shared" si="33"/>
        <v>66500000</v>
      </c>
      <c r="Z350" s="5">
        <f t="shared" si="34"/>
        <v>66500000</v>
      </c>
    </row>
    <row r="351" spans="1:26" x14ac:dyDescent="0.25">
      <c r="A351">
        <v>13830</v>
      </c>
      <c r="B351">
        <v>183</v>
      </c>
      <c r="C351">
        <v>2019</v>
      </c>
      <c r="D351" t="s">
        <v>96</v>
      </c>
      <c r="E351" t="s">
        <v>69</v>
      </c>
      <c r="F351" s="2">
        <v>0</v>
      </c>
      <c r="G351" s="2">
        <v>0.70338559967438208</v>
      </c>
      <c r="H351" s="14">
        <f t="shared" si="31"/>
        <v>0</v>
      </c>
      <c r="I351" s="5">
        <v>110600000</v>
      </c>
      <c r="J351">
        <v>1</v>
      </c>
      <c r="K351" s="6">
        <v>2.1499999999999998E-2</v>
      </c>
      <c r="L351" s="6">
        <v>0.65</v>
      </c>
      <c r="M351" t="str">
        <f t="shared" si="35"/>
        <v>SUBL</v>
      </c>
      <c r="N351" t="s">
        <v>70</v>
      </c>
      <c r="O351" t="str">
        <f>VLOOKUP(Table1[[#This Row],[SCHEMATIC TYPE]],'SCHEMATIC Lookup'!$B$1:$C$5,2)</f>
        <v>Leveraged Whole Loan</v>
      </c>
      <c r="P351" s="5">
        <v>157239500</v>
      </c>
      <c r="Q351" s="5" t="s">
        <v>86</v>
      </c>
      <c r="R351" s="5" t="s">
        <v>82</v>
      </c>
      <c r="S351" t="s">
        <v>71</v>
      </c>
      <c r="T351" s="5" t="s">
        <v>88</v>
      </c>
      <c r="U351" s="12" t="s">
        <v>232</v>
      </c>
      <c r="V351" s="12" t="s">
        <v>233</v>
      </c>
      <c r="W351" s="11">
        <v>48</v>
      </c>
      <c r="X351" s="2">
        <f t="shared" si="32"/>
        <v>0.45720063978834835</v>
      </c>
      <c r="Y351" s="5">
        <f t="shared" si="33"/>
        <v>38710000</v>
      </c>
      <c r="Z351" s="5">
        <f t="shared" si="34"/>
        <v>110600000</v>
      </c>
    </row>
    <row r="352" spans="1:26" x14ac:dyDescent="0.25">
      <c r="A352">
        <v>14000</v>
      </c>
      <c r="B352">
        <v>183</v>
      </c>
      <c r="C352">
        <v>2018</v>
      </c>
      <c r="D352" t="s">
        <v>96</v>
      </c>
      <c r="E352" t="s">
        <v>69</v>
      </c>
      <c r="F352" s="2">
        <v>0</v>
      </c>
      <c r="G352" s="2">
        <v>0.80322361440354484</v>
      </c>
      <c r="H352" s="14">
        <f t="shared" si="31"/>
        <v>0</v>
      </c>
      <c r="I352" s="5">
        <v>104000000</v>
      </c>
      <c r="J352">
        <v>2</v>
      </c>
      <c r="K352" s="6">
        <v>2.7E-2</v>
      </c>
      <c r="L352" s="6">
        <v>0.6</v>
      </c>
      <c r="M352" t="str">
        <f t="shared" si="35"/>
        <v>SUBL</v>
      </c>
      <c r="N352" t="s">
        <v>70</v>
      </c>
      <c r="O352" t="str">
        <f>VLOOKUP(Table1[[#This Row],[SCHEMATIC TYPE]],'SCHEMATIC Lookup'!$B$1:$C$5,2)</f>
        <v>Leveraged Whole Loan</v>
      </c>
      <c r="P352" s="5">
        <v>129478265</v>
      </c>
      <c r="Q352" s="5" t="s">
        <v>97</v>
      </c>
      <c r="R352" s="5" t="s">
        <v>82</v>
      </c>
      <c r="S352" t="s">
        <v>71</v>
      </c>
      <c r="T352" s="5" t="s">
        <v>88</v>
      </c>
      <c r="U352" s="12" t="s">
        <v>232</v>
      </c>
      <c r="V352" s="12" t="s">
        <v>237</v>
      </c>
      <c r="W352" s="11">
        <v>48</v>
      </c>
      <c r="X352" s="2">
        <f t="shared" si="32"/>
        <v>0.4819341686421269</v>
      </c>
      <c r="Y352" s="5">
        <f t="shared" si="33"/>
        <v>41600000</v>
      </c>
      <c r="Z352" s="5">
        <f t="shared" si="34"/>
        <v>104000000</v>
      </c>
    </row>
    <row r="353" spans="1:26" x14ac:dyDescent="0.25">
      <c r="A353">
        <v>14010</v>
      </c>
      <c r="B353">
        <v>119</v>
      </c>
      <c r="C353">
        <v>2018</v>
      </c>
      <c r="D353" t="s">
        <v>74</v>
      </c>
      <c r="E353" t="s">
        <v>69</v>
      </c>
      <c r="F353" s="2">
        <v>0.60079999963073749</v>
      </c>
      <c r="G353" s="2">
        <v>0.75099999953842189</v>
      </c>
      <c r="H353" s="14">
        <f t="shared" si="31"/>
        <v>0</v>
      </c>
      <c r="I353" s="5">
        <v>12040000</v>
      </c>
      <c r="J353">
        <v>1</v>
      </c>
      <c r="K353" s="6">
        <v>7.0000000000000007E-2</v>
      </c>
      <c r="L353" s="6">
        <v>0</v>
      </c>
      <c r="M353" t="str">
        <f t="shared" si="35"/>
        <v>SUB</v>
      </c>
      <c r="N353" t="s">
        <v>75</v>
      </c>
      <c r="O353" t="str">
        <f>VLOOKUP(Table1[[#This Row],[SCHEMATIC TYPE]],'SCHEMATIC Lookup'!$B$1:$C$5,2)</f>
        <v>Mezzanine Loan</v>
      </c>
      <c r="P353" s="5">
        <v>80159787</v>
      </c>
      <c r="Q353" s="5" t="s">
        <v>71</v>
      </c>
      <c r="R353" s="5" t="s">
        <v>100</v>
      </c>
      <c r="S353" t="s">
        <v>71</v>
      </c>
      <c r="T353" s="5" t="s">
        <v>71</v>
      </c>
      <c r="U353" s="12" t="s">
        <v>235</v>
      </c>
      <c r="V353" s="12" t="s">
        <v>231</v>
      </c>
      <c r="W353" s="11">
        <v>36.032876712328772</v>
      </c>
      <c r="X353" s="2">
        <f t="shared" si="32"/>
        <v>0.60079999963073749</v>
      </c>
      <c r="Y353" s="5">
        <f t="shared" si="33"/>
        <v>12040000</v>
      </c>
      <c r="Z353" s="5">
        <f t="shared" si="34"/>
        <v>12040000</v>
      </c>
    </row>
    <row r="354" spans="1:26" x14ac:dyDescent="0.25">
      <c r="A354">
        <v>14020</v>
      </c>
      <c r="B354">
        <v>119</v>
      </c>
      <c r="C354">
        <v>2018</v>
      </c>
      <c r="D354" t="s">
        <v>96</v>
      </c>
      <c r="E354" t="s">
        <v>69</v>
      </c>
      <c r="F354" s="2">
        <v>0.58275778939981326</v>
      </c>
      <c r="G354" s="2">
        <v>0.77701038586641769</v>
      </c>
      <c r="H354" s="14">
        <f t="shared" si="31"/>
        <v>0</v>
      </c>
      <c r="I354" s="5">
        <v>28775000</v>
      </c>
      <c r="J354">
        <v>2</v>
      </c>
      <c r="K354" s="6">
        <v>8.066666666666665E-2</v>
      </c>
      <c r="L354" s="6">
        <v>0.75</v>
      </c>
      <c r="M354" t="str">
        <f t="shared" si="35"/>
        <v>SUBL</v>
      </c>
      <c r="N354" t="s">
        <v>70</v>
      </c>
      <c r="O354" t="str">
        <f>VLOOKUP(Table1[[#This Row],[SCHEMATIC TYPE]],'SCHEMATIC Lookup'!$B$1:$C$5,2)</f>
        <v>Leveraged Whole Loan</v>
      </c>
      <c r="P354" s="5">
        <v>148131868.11094671</v>
      </c>
      <c r="Q354" s="5" t="s">
        <v>71</v>
      </c>
      <c r="R354" s="5" t="s">
        <v>100</v>
      </c>
      <c r="S354" t="s">
        <v>71</v>
      </c>
      <c r="T354" s="5" t="s">
        <v>71</v>
      </c>
      <c r="U354" s="12" t="s">
        <v>230</v>
      </c>
      <c r="V354" s="12" t="s">
        <v>231</v>
      </c>
      <c r="W354" s="11">
        <v>60</v>
      </c>
      <c r="X354" s="2">
        <f t="shared" si="32"/>
        <v>0.58275778939981326</v>
      </c>
      <c r="Y354" s="5">
        <f t="shared" si="33"/>
        <v>28775000</v>
      </c>
      <c r="Z354" s="5">
        <f t="shared" si="34"/>
        <v>115100000</v>
      </c>
    </row>
    <row r="355" spans="1:26" x14ac:dyDescent="0.25">
      <c r="A355">
        <v>14170</v>
      </c>
      <c r="B355">
        <v>270</v>
      </c>
      <c r="C355">
        <v>2016</v>
      </c>
      <c r="D355" t="s">
        <v>96</v>
      </c>
      <c r="E355" t="s">
        <v>77</v>
      </c>
      <c r="F355" s="2">
        <v>0</v>
      </c>
      <c r="G355" s="2">
        <v>0.68950214541777688</v>
      </c>
      <c r="H355" s="14">
        <f t="shared" si="31"/>
        <v>0</v>
      </c>
      <c r="I355" s="5">
        <v>11521580.85</v>
      </c>
      <c r="J355">
        <v>2</v>
      </c>
      <c r="K355" s="6">
        <v>4.1500000000000002E-2</v>
      </c>
      <c r="L355" s="6">
        <v>0</v>
      </c>
      <c r="M355" t="str">
        <f t="shared" si="35"/>
        <v>SENIOR</v>
      </c>
      <c r="N355" t="s">
        <v>90</v>
      </c>
      <c r="O355" t="str">
        <f>VLOOKUP(Table1[[#This Row],[SCHEMATIC TYPE]],'SCHEMATIC Lookup'!$B$1:$C$5,2)</f>
        <v>Senior Whole Loan</v>
      </c>
      <c r="P355" s="5">
        <v>16710000.000099998</v>
      </c>
      <c r="Q355" s="5" t="s">
        <v>86</v>
      </c>
      <c r="R355" s="5" t="s">
        <v>115</v>
      </c>
      <c r="S355" t="s">
        <v>19</v>
      </c>
      <c r="T355" s="5" t="s">
        <v>88</v>
      </c>
      <c r="U355" s="12" t="s">
        <v>238</v>
      </c>
      <c r="V355" s="12" t="s">
        <v>234</v>
      </c>
      <c r="W355" s="11">
        <v>54</v>
      </c>
      <c r="X355" s="2">
        <f t="shared" si="32"/>
        <v>0</v>
      </c>
      <c r="Y355" s="5">
        <f t="shared" si="33"/>
        <v>11521580.85</v>
      </c>
      <c r="Z355" s="5">
        <f t="shared" si="34"/>
        <v>11521580.85</v>
      </c>
    </row>
    <row r="356" spans="1:26" x14ac:dyDescent="0.25">
      <c r="A356">
        <v>14180</v>
      </c>
      <c r="B356">
        <v>270</v>
      </c>
      <c r="C356">
        <v>2016</v>
      </c>
      <c r="D356" t="s">
        <v>96</v>
      </c>
      <c r="E356" t="s">
        <v>77</v>
      </c>
      <c r="F356" s="2">
        <v>0</v>
      </c>
      <c r="G356" s="2">
        <v>0.68033527849056619</v>
      </c>
      <c r="H356" s="14">
        <f t="shared" si="31"/>
        <v>0</v>
      </c>
      <c r="I356" s="5">
        <v>18028884.880000003</v>
      </c>
      <c r="J356">
        <v>2</v>
      </c>
      <c r="K356" s="6">
        <v>4.3799999999999999E-2</v>
      </c>
      <c r="L356" s="6">
        <v>0</v>
      </c>
      <c r="M356" t="str">
        <f t="shared" si="35"/>
        <v>SENIOR</v>
      </c>
      <c r="N356" t="s">
        <v>90</v>
      </c>
      <c r="O356" t="str">
        <f>VLOOKUP(Table1[[#This Row],[SCHEMATIC TYPE]],'SCHEMATIC Lookup'!$B$1:$C$5,2)</f>
        <v>Senior Whole Loan</v>
      </c>
      <c r="P356" s="5">
        <v>26499999.999999996</v>
      </c>
      <c r="Q356" s="5" t="s">
        <v>86</v>
      </c>
      <c r="R356" s="5" t="s">
        <v>115</v>
      </c>
      <c r="S356" t="s">
        <v>19</v>
      </c>
      <c r="T356" s="5" t="s">
        <v>88</v>
      </c>
      <c r="U356" s="12" t="s">
        <v>238</v>
      </c>
      <c r="V356" s="12" t="s">
        <v>234</v>
      </c>
      <c r="W356" s="11">
        <v>57</v>
      </c>
      <c r="X356" s="2">
        <f t="shared" si="32"/>
        <v>0</v>
      </c>
      <c r="Y356" s="5">
        <f t="shared" si="33"/>
        <v>18028884.880000003</v>
      </c>
      <c r="Z356" s="5">
        <f t="shared" si="34"/>
        <v>18028884.880000003</v>
      </c>
    </row>
    <row r="357" spans="1:26" x14ac:dyDescent="0.25">
      <c r="A357">
        <v>14190</v>
      </c>
      <c r="B357">
        <v>270</v>
      </c>
      <c r="C357">
        <v>2016</v>
      </c>
      <c r="D357" t="s">
        <v>96</v>
      </c>
      <c r="E357" t="s">
        <v>77</v>
      </c>
      <c r="F357" s="2">
        <v>0</v>
      </c>
      <c r="G357" s="2">
        <v>0.6680039488195999</v>
      </c>
      <c r="H357" s="14">
        <f t="shared" si="31"/>
        <v>0</v>
      </c>
      <c r="I357" s="5">
        <v>11356067.129999999</v>
      </c>
      <c r="J357">
        <v>2</v>
      </c>
      <c r="K357" s="6">
        <v>4.48E-2</v>
      </c>
      <c r="L357" s="6">
        <v>0</v>
      </c>
      <c r="M357" t="str">
        <f t="shared" si="35"/>
        <v>SENIOR</v>
      </c>
      <c r="N357" t="s">
        <v>90</v>
      </c>
      <c r="O357" t="str">
        <f>VLOOKUP(Table1[[#This Row],[SCHEMATIC TYPE]],'SCHEMATIC Lookup'!$B$1:$C$5,2)</f>
        <v>Senior Whole Loan</v>
      </c>
      <c r="P357" s="5">
        <v>17000000.000100002</v>
      </c>
      <c r="Q357" s="5" t="s">
        <v>86</v>
      </c>
      <c r="R357" s="5" t="s">
        <v>115</v>
      </c>
      <c r="S357" t="s">
        <v>19</v>
      </c>
      <c r="T357" s="5" t="s">
        <v>88</v>
      </c>
      <c r="U357" s="12" t="s">
        <v>238</v>
      </c>
      <c r="V357" s="12" t="s">
        <v>234</v>
      </c>
      <c r="W357" s="11">
        <v>57</v>
      </c>
      <c r="X357" s="2">
        <f t="shared" si="32"/>
        <v>0</v>
      </c>
      <c r="Y357" s="5">
        <f t="shared" si="33"/>
        <v>11356067.129999999</v>
      </c>
      <c r="Z357" s="5">
        <f t="shared" si="34"/>
        <v>11356067.129999999</v>
      </c>
    </row>
    <row r="358" spans="1:26" x14ac:dyDescent="0.25">
      <c r="A358">
        <v>14210</v>
      </c>
      <c r="B358">
        <v>270</v>
      </c>
      <c r="C358">
        <v>2017</v>
      </c>
      <c r="D358" t="s">
        <v>96</v>
      </c>
      <c r="E358" t="s">
        <v>69</v>
      </c>
      <c r="F358" s="2">
        <v>0</v>
      </c>
      <c r="G358" s="2">
        <v>0.75</v>
      </c>
      <c r="H358" s="14">
        <f t="shared" si="31"/>
        <v>0</v>
      </c>
      <c r="I358" s="5">
        <v>9300000</v>
      </c>
      <c r="J358">
        <v>3</v>
      </c>
      <c r="K358" s="6">
        <v>5.5800000000000002E-2</v>
      </c>
      <c r="L358" s="6">
        <v>0</v>
      </c>
      <c r="M358" t="str">
        <f t="shared" si="35"/>
        <v>SENIOR</v>
      </c>
      <c r="N358" t="s">
        <v>90</v>
      </c>
      <c r="O358" t="str">
        <f>VLOOKUP(Table1[[#This Row],[SCHEMATIC TYPE]],'SCHEMATIC Lookup'!$B$1:$C$5,2)</f>
        <v>Senior Whole Loan</v>
      </c>
      <c r="P358" s="5">
        <v>21650000</v>
      </c>
      <c r="Q358" s="5" t="s">
        <v>86</v>
      </c>
      <c r="R358" s="5" t="s">
        <v>82</v>
      </c>
      <c r="S358" t="s">
        <v>71</v>
      </c>
      <c r="T358" s="5" t="s">
        <v>88</v>
      </c>
      <c r="U358" s="12" t="s">
        <v>238</v>
      </c>
      <c r="V358" s="12" t="s">
        <v>231</v>
      </c>
      <c r="W358" s="11">
        <v>36</v>
      </c>
      <c r="X358" s="2">
        <f t="shared" si="32"/>
        <v>0</v>
      </c>
      <c r="Y358" s="5">
        <f t="shared" si="33"/>
        <v>9300000</v>
      </c>
      <c r="Z358" s="5">
        <f t="shared" si="34"/>
        <v>9300000</v>
      </c>
    </row>
    <row r="359" spans="1:26" x14ac:dyDescent="0.25">
      <c r="A359">
        <v>14230</v>
      </c>
      <c r="B359">
        <v>270</v>
      </c>
      <c r="C359">
        <v>2018</v>
      </c>
      <c r="D359" t="s">
        <v>96</v>
      </c>
      <c r="E359" t="s">
        <v>69</v>
      </c>
      <c r="F359" s="2">
        <v>0</v>
      </c>
      <c r="G359" s="2">
        <v>0.59933333333334982</v>
      </c>
      <c r="H359" s="14">
        <f t="shared" si="31"/>
        <v>0</v>
      </c>
      <c r="I359" s="5">
        <v>35960000.000000991</v>
      </c>
      <c r="J359">
        <v>1</v>
      </c>
      <c r="K359" s="6">
        <v>4.3099999999999999E-2</v>
      </c>
      <c r="L359" s="6">
        <v>0</v>
      </c>
      <c r="M359" t="str">
        <f t="shared" si="35"/>
        <v>SENIOR</v>
      </c>
      <c r="N359" t="s">
        <v>90</v>
      </c>
      <c r="O359" t="str">
        <f>VLOOKUP(Table1[[#This Row],[SCHEMATIC TYPE]],'SCHEMATIC Lookup'!$B$1:$C$5,2)</f>
        <v>Senior Whole Loan</v>
      </c>
      <c r="P359" s="5">
        <v>60000000</v>
      </c>
      <c r="Q359" s="5" t="s">
        <v>86</v>
      </c>
      <c r="R359" s="5" t="s">
        <v>73</v>
      </c>
      <c r="S359" t="s">
        <v>71</v>
      </c>
      <c r="T359" s="5" t="s">
        <v>88</v>
      </c>
      <c r="U359" s="12" t="s">
        <v>238</v>
      </c>
      <c r="V359" s="12" t="s">
        <v>230</v>
      </c>
      <c r="W359" s="11">
        <v>36</v>
      </c>
      <c r="X359" s="2">
        <f t="shared" si="32"/>
        <v>0</v>
      </c>
      <c r="Y359" s="5">
        <f t="shared" si="33"/>
        <v>35960000.000000991</v>
      </c>
      <c r="Z359" s="5">
        <f t="shared" si="34"/>
        <v>35960000.000000991</v>
      </c>
    </row>
    <row r="360" spans="1:26" x14ac:dyDescent="0.25">
      <c r="A360">
        <v>14260</v>
      </c>
      <c r="B360">
        <v>270</v>
      </c>
      <c r="C360">
        <v>2018</v>
      </c>
      <c r="D360" t="s">
        <v>96</v>
      </c>
      <c r="E360" t="s">
        <v>69</v>
      </c>
      <c r="F360" s="2">
        <v>0</v>
      </c>
      <c r="G360" s="2">
        <v>0.75000000000000011</v>
      </c>
      <c r="H360" s="14">
        <f t="shared" si="31"/>
        <v>0</v>
      </c>
      <c r="I360" s="5">
        <v>12500000</v>
      </c>
      <c r="J360">
        <v>3</v>
      </c>
      <c r="K360" s="6">
        <v>4.0599999999999997E-2</v>
      </c>
      <c r="L360" s="6">
        <v>0</v>
      </c>
      <c r="M360" t="str">
        <f t="shared" si="35"/>
        <v>SENIOR</v>
      </c>
      <c r="N360" t="s">
        <v>90</v>
      </c>
      <c r="O360" t="str">
        <f>VLOOKUP(Table1[[#This Row],[SCHEMATIC TYPE]],'SCHEMATIC Lookup'!$B$1:$C$5,2)</f>
        <v>Senior Whole Loan</v>
      </c>
      <c r="P360" s="5">
        <v>24500000</v>
      </c>
      <c r="Q360" s="5" t="s">
        <v>86</v>
      </c>
      <c r="R360" s="5" t="s">
        <v>82</v>
      </c>
      <c r="S360" t="s">
        <v>71</v>
      </c>
      <c r="T360" s="5" t="s">
        <v>88</v>
      </c>
      <c r="U360" s="12" t="s">
        <v>238</v>
      </c>
      <c r="V360" s="12" t="s">
        <v>231</v>
      </c>
      <c r="W360" s="11">
        <v>24</v>
      </c>
      <c r="X360" s="2">
        <f t="shared" si="32"/>
        <v>0</v>
      </c>
      <c r="Y360" s="5">
        <f t="shared" si="33"/>
        <v>12500000</v>
      </c>
      <c r="Z360" s="5">
        <f t="shared" si="34"/>
        <v>12500000</v>
      </c>
    </row>
    <row r="361" spans="1:26" x14ac:dyDescent="0.25">
      <c r="A361">
        <v>14270</v>
      </c>
      <c r="B361">
        <v>270</v>
      </c>
      <c r="C361">
        <v>2018</v>
      </c>
      <c r="D361" t="s">
        <v>96</v>
      </c>
      <c r="E361" t="s">
        <v>69</v>
      </c>
      <c r="F361" s="2">
        <v>0</v>
      </c>
      <c r="G361" s="2">
        <v>0.75000000000000011</v>
      </c>
      <c r="H361" s="14">
        <f t="shared" si="31"/>
        <v>0</v>
      </c>
      <c r="I361" s="5">
        <v>10000000</v>
      </c>
      <c r="J361">
        <v>1</v>
      </c>
      <c r="K361" s="6">
        <v>4.8800000000000003E-2</v>
      </c>
      <c r="L361" s="6">
        <v>0</v>
      </c>
      <c r="M361" t="str">
        <f t="shared" si="35"/>
        <v>SENIOR</v>
      </c>
      <c r="N361" t="s">
        <v>90</v>
      </c>
      <c r="O361" t="str">
        <f>VLOOKUP(Table1[[#This Row],[SCHEMATIC TYPE]],'SCHEMATIC Lookup'!$B$1:$C$5,2)</f>
        <v>Senior Whole Loan</v>
      </c>
      <c r="P361" s="5">
        <v>16500000</v>
      </c>
      <c r="Q361" s="5" t="s">
        <v>86</v>
      </c>
      <c r="R361" s="5" t="s">
        <v>82</v>
      </c>
      <c r="S361" t="s">
        <v>71</v>
      </c>
      <c r="T361" s="5" t="s">
        <v>88</v>
      </c>
      <c r="U361" s="12" t="s">
        <v>238</v>
      </c>
      <c r="V361" s="12" t="s">
        <v>231</v>
      </c>
      <c r="W361" s="11">
        <v>48</v>
      </c>
      <c r="X361" s="2">
        <f t="shared" si="32"/>
        <v>0</v>
      </c>
      <c r="Y361" s="5">
        <f t="shared" si="33"/>
        <v>10000000</v>
      </c>
      <c r="Z361" s="5">
        <f t="shared" si="34"/>
        <v>10000000</v>
      </c>
    </row>
    <row r="362" spans="1:26" x14ac:dyDescent="0.25">
      <c r="A362">
        <v>14300</v>
      </c>
      <c r="B362">
        <v>270</v>
      </c>
      <c r="C362">
        <v>2018</v>
      </c>
      <c r="D362" t="s">
        <v>96</v>
      </c>
      <c r="E362" t="s">
        <v>69</v>
      </c>
      <c r="F362" s="2">
        <v>0</v>
      </c>
      <c r="G362" s="2">
        <v>0.63829787234042556</v>
      </c>
      <c r="H362" s="14">
        <f t="shared" si="31"/>
        <v>0</v>
      </c>
      <c r="I362" s="5">
        <v>15000000</v>
      </c>
      <c r="J362">
        <v>7</v>
      </c>
      <c r="K362" s="6">
        <v>3.7100000000000001E-2</v>
      </c>
      <c r="L362" s="6">
        <v>0</v>
      </c>
      <c r="M362" t="str">
        <f t="shared" si="35"/>
        <v>SENIOR</v>
      </c>
      <c r="N362" t="s">
        <v>90</v>
      </c>
      <c r="O362" t="str">
        <f>VLOOKUP(Table1[[#This Row],[SCHEMATIC TYPE]],'SCHEMATIC Lookup'!$B$1:$C$5,2)</f>
        <v>Senior Whole Loan</v>
      </c>
      <c r="P362" s="5">
        <v>24500000</v>
      </c>
      <c r="Q362" s="5" t="s">
        <v>86</v>
      </c>
      <c r="R362" s="5" t="s">
        <v>79</v>
      </c>
      <c r="S362" t="s">
        <v>71</v>
      </c>
      <c r="T362" s="5" t="s">
        <v>88</v>
      </c>
      <c r="U362" s="12" t="s">
        <v>238</v>
      </c>
      <c r="V362" s="12" t="s">
        <v>235</v>
      </c>
      <c r="W362" s="11">
        <v>36</v>
      </c>
      <c r="X362" s="2">
        <f t="shared" si="32"/>
        <v>0</v>
      </c>
      <c r="Y362" s="5">
        <f t="shared" si="33"/>
        <v>15000000</v>
      </c>
      <c r="Z362" s="5">
        <f t="shared" si="34"/>
        <v>15000000</v>
      </c>
    </row>
    <row r="363" spans="1:26" x14ac:dyDescent="0.25">
      <c r="A363">
        <v>14310</v>
      </c>
      <c r="B363">
        <v>270</v>
      </c>
      <c r="C363">
        <v>2018</v>
      </c>
      <c r="D363" t="s">
        <v>96</v>
      </c>
      <c r="E363" t="s">
        <v>69</v>
      </c>
      <c r="F363" s="2">
        <v>0</v>
      </c>
      <c r="G363" s="2">
        <v>0.75215422812910759</v>
      </c>
      <c r="H363" s="14">
        <f t="shared" si="31"/>
        <v>0</v>
      </c>
      <c r="I363" s="5">
        <v>23772999.309999991</v>
      </c>
      <c r="J363">
        <v>2</v>
      </c>
      <c r="K363" s="6">
        <v>3.4099999999999998E-2</v>
      </c>
      <c r="L363" s="6">
        <v>0</v>
      </c>
      <c r="M363" t="str">
        <f t="shared" si="35"/>
        <v>SENIOR</v>
      </c>
      <c r="N363" t="s">
        <v>90</v>
      </c>
      <c r="O363" t="str">
        <f>VLOOKUP(Table1[[#This Row],[SCHEMATIC TYPE]],'SCHEMATIC Lookup'!$B$1:$C$5,2)</f>
        <v>Senior Whole Loan</v>
      </c>
      <c r="P363" s="5">
        <v>36600000</v>
      </c>
      <c r="Q363" s="5" t="s">
        <v>86</v>
      </c>
      <c r="R363" s="5" t="s">
        <v>73</v>
      </c>
      <c r="S363" t="s">
        <v>71</v>
      </c>
      <c r="T363" s="5" t="s">
        <v>88</v>
      </c>
      <c r="U363" s="12" t="s">
        <v>238</v>
      </c>
      <c r="V363" s="12" t="s">
        <v>231</v>
      </c>
      <c r="W363" s="11">
        <v>36</v>
      </c>
      <c r="X363" s="2">
        <f t="shared" si="32"/>
        <v>0</v>
      </c>
      <c r="Y363" s="5">
        <f t="shared" si="33"/>
        <v>23772999.309999991</v>
      </c>
      <c r="Z363" s="5">
        <f t="shared" si="34"/>
        <v>23772999.309999991</v>
      </c>
    </row>
    <row r="364" spans="1:26" x14ac:dyDescent="0.25">
      <c r="A364">
        <v>14320</v>
      </c>
      <c r="B364">
        <v>270</v>
      </c>
      <c r="C364">
        <v>2018</v>
      </c>
      <c r="D364" t="s">
        <v>96</v>
      </c>
      <c r="E364" t="s">
        <v>69</v>
      </c>
      <c r="F364" s="2">
        <v>0</v>
      </c>
      <c r="G364" s="2">
        <v>0.73750000000000004</v>
      </c>
      <c r="H364" s="14">
        <f t="shared" si="31"/>
        <v>0</v>
      </c>
      <c r="I364" s="5">
        <v>31000000</v>
      </c>
      <c r="J364">
        <v>2</v>
      </c>
      <c r="K364" s="6">
        <v>0.03</v>
      </c>
      <c r="L364" s="6">
        <v>0</v>
      </c>
      <c r="M364" t="str">
        <f t="shared" si="35"/>
        <v>SENIOR</v>
      </c>
      <c r="N364" t="s">
        <v>90</v>
      </c>
      <c r="O364" t="str">
        <f>VLOOKUP(Table1[[#This Row],[SCHEMATIC TYPE]],'SCHEMATIC Lookup'!$B$1:$C$5,2)</f>
        <v>Senior Whole Loan</v>
      </c>
      <c r="P364" s="5">
        <v>37000000</v>
      </c>
      <c r="Q364" s="5" t="s">
        <v>86</v>
      </c>
      <c r="R364" s="5" t="s">
        <v>73</v>
      </c>
      <c r="S364" t="s">
        <v>71</v>
      </c>
      <c r="T364" s="5" t="s">
        <v>88</v>
      </c>
      <c r="U364" s="12" t="s">
        <v>238</v>
      </c>
      <c r="V364" s="12" t="s">
        <v>233</v>
      </c>
      <c r="W364" s="11">
        <v>36</v>
      </c>
      <c r="X364" s="2">
        <f t="shared" si="32"/>
        <v>0</v>
      </c>
      <c r="Y364" s="5">
        <f t="shared" si="33"/>
        <v>31000000</v>
      </c>
      <c r="Z364" s="5">
        <f t="shared" si="34"/>
        <v>31000000</v>
      </c>
    </row>
    <row r="365" spans="1:26" x14ac:dyDescent="0.25">
      <c r="A365">
        <v>14340</v>
      </c>
      <c r="B365">
        <v>270</v>
      </c>
      <c r="C365">
        <v>2018</v>
      </c>
      <c r="D365" t="s">
        <v>96</v>
      </c>
      <c r="E365" t="s">
        <v>69</v>
      </c>
      <c r="F365" s="2">
        <v>0</v>
      </c>
      <c r="G365" s="2">
        <v>0.75574647887323942</v>
      </c>
      <c r="H365" s="14">
        <f t="shared" si="31"/>
        <v>0</v>
      </c>
      <c r="I365" s="5">
        <v>29000000</v>
      </c>
      <c r="J365">
        <v>2</v>
      </c>
      <c r="K365" s="6">
        <v>0.03</v>
      </c>
      <c r="L365" s="6">
        <v>0</v>
      </c>
      <c r="M365" t="str">
        <f t="shared" si="35"/>
        <v>SENIOR</v>
      </c>
      <c r="N365" t="s">
        <v>90</v>
      </c>
      <c r="O365" t="str">
        <f>VLOOKUP(Table1[[#This Row],[SCHEMATIC TYPE]],'SCHEMATIC Lookup'!$B$1:$C$5,2)</f>
        <v>Senior Whole Loan</v>
      </c>
      <c r="P365" s="5">
        <v>42000000</v>
      </c>
      <c r="Q365" s="5" t="s">
        <v>86</v>
      </c>
      <c r="R365" s="5" t="s">
        <v>73</v>
      </c>
      <c r="S365" t="s">
        <v>71</v>
      </c>
      <c r="T365" s="5" t="s">
        <v>88</v>
      </c>
      <c r="U365" s="12" t="s">
        <v>238</v>
      </c>
      <c r="V365" s="12" t="s">
        <v>231</v>
      </c>
      <c r="W365" s="11">
        <v>36</v>
      </c>
      <c r="X365" s="2">
        <f t="shared" si="32"/>
        <v>0</v>
      </c>
      <c r="Y365" s="5">
        <f t="shared" si="33"/>
        <v>29000000</v>
      </c>
      <c r="Z365" s="5">
        <f t="shared" si="34"/>
        <v>29000000</v>
      </c>
    </row>
    <row r="366" spans="1:26" x14ac:dyDescent="0.25">
      <c r="A366">
        <v>14350</v>
      </c>
      <c r="B366">
        <v>270</v>
      </c>
      <c r="C366">
        <v>2018</v>
      </c>
      <c r="D366" t="s">
        <v>96</v>
      </c>
      <c r="E366" t="s">
        <v>69</v>
      </c>
      <c r="F366" s="2">
        <v>0</v>
      </c>
      <c r="G366" s="2">
        <v>0.72674418604651159</v>
      </c>
      <c r="H366" s="14">
        <f t="shared" si="31"/>
        <v>0</v>
      </c>
      <c r="I366" s="5">
        <v>45750000</v>
      </c>
      <c r="J366">
        <v>2</v>
      </c>
      <c r="K366" s="6">
        <v>2.8500000000000001E-2</v>
      </c>
      <c r="L366" s="6">
        <v>0</v>
      </c>
      <c r="M366" t="str">
        <f t="shared" si="35"/>
        <v>SENIOR</v>
      </c>
      <c r="N366" t="s">
        <v>90</v>
      </c>
      <c r="O366" t="str">
        <f>VLOOKUP(Table1[[#This Row],[SCHEMATIC TYPE]],'SCHEMATIC Lookup'!$B$1:$C$5,2)</f>
        <v>Senior Whole Loan</v>
      </c>
      <c r="P366" s="5">
        <v>66500000</v>
      </c>
      <c r="Q366" s="5" t="s">
        <v>86</v>
      </c>
      <c r="R366" s="5" t="s">
        <v>73</v>
      </c>
      <c r="S366" t="s">
        <v>71</v>
      </c>
      <c r="T366" s="5" t="s">
        <v>88</v>
      </c>
      <c r="U366" s="12" t="s">
        <v>238</v>
      </c>
      <c r="V366" s="12" t="s">
        <v>233</v>
      </c>
      <c r="W366" s="11">
        <v>36</v>
      </c>
      <c r="X366" s="2">
        <f t="shared" si="32"/>
        <v>0</v>
      </c>
      <c r="Y366" s="5">
        <f t="shared" si="33"/>
        <v>45750000</v>
      </c>
      <c r="Z366" s="5">
        <f t="shared" si="34"/>
        <v>45750000</v>
      </c>
    </row>
    <row r="367" spans="1:26" x14ac:dyDescent="0.25">
      <c r="A367">
        <v>14360</v>
      </c>
      <c r="B367">
        <v>270</v>
      </c>
      <c r="C367">
        <v>2018</v>
      </c>
      <c r="D367" t="s">
        <v>96</v>
      </c>
      <c r="E367" t="s">
        <v>69</v>
      </c>
      <c r="F367" s="2">
        <v>0</v>
      </c>
      <c r="G367" s="2">
        <v>0.68</v>
      </c>
      <c r="H367" s="14">
        <f t="shared" si="31"/>
        <v>0</v>
      </c>
      <c r="I367" s="5">
        <v>14300000</v>
      </c>
      <c r="J367">
        <v>2</v>
      </c>
      <c r="K367" s="6">
        <v>3.0499999999999999E-2</v>
      </c>
      <c r="L367" s="6">
        <v>0</v>
      </c>
      <c r="M367" t="str">
        <f t="shared" si="35"/>
        <v>SENIOR</v>
      </c>
      <c r="N367" t="s">
        <v>90</v>
      </c>
      <c r="O367" t="str">
        <f>VLOOKUP(Table1[[#This Row],[SCHEMATIC TYPE]],'SCHEMATIC Lookup'!$B$1:$C$5,2)</f>
        <v>Senior Whole Loan</v>
      </c>
      <c r="P367" s="5">
        <v>22000000</v>
      </c>
      <c r="Q367" s="5" t="s">
        <v>86</v>
      </c>
      <c r="R367" s="5" t="s">
        <v>73</v>
      </c>
      <c r="S367" t="s">
        <v>71</v>
      </c>
      <c r="T367" s="5" t="s">
        <v>88</v>
      </c>
      <c r="U367" s="12" t="s">
        <v>238</v>
      </c>
      <c r="V367" s="12" t="s">
        <v>234</v>
      </c>
      <c r="W367" s="11">
        <v>36</v>
      </c>
      <c r="X367" s="2">
        <f t="shared" si="32"/>
        <v>0</v>
      </c>
      <c r="Y367" s="5">
        <f t="shared" si="33"/>
        <v>14300000</v>
      </c>
      <c r="Z367" s="5">
        <f t="shared" si="34"/>
        <v>14300000</v>
      </c>
    </row>
    <row r="368" spans="1:26" x14ac:dyDescent="0.25">
      <c r="A368">
        <v>14370</v>
      </c>
      <c r="B368">
        <v>270</v>
      </c>
      <c r="C368">
        <v>2018</v>
      </c>
      <c r="D368" t="s">
        <v>96</v>
      </c>
      <c r="E368" t="s">
        <v>69</v>
      </c>
      <c r="F368" s="2">
        <v>0</v>
      </c>
      <c r="G368" s="2">
        <v>0.72399999999999998</v>
      </c>
      <c r="H368" s="14">
        <f t="shared" si="31"/>
        <v>0</v>
      </c>
      <c r="I368" s="5">
        <v>20500000</v>
      </c>
      <c r="J368">
        <v>2</v>
      </c>
      <c r="K368" s="6">
        <v>0.03</v>
      </c>
      <c r="L368" s="6">
        <v>0</v>
      </c>
      <c r="M368" t="str">
        <f t="shared" si="35"/>
        <v>SENIOR</v>
      </c>
      <c r="N368" t="s">
        <v>90</v>
      </c>
      <c r="O368" t="str">
        <f>VLOOKUP(Table1[[#This Row],[SCHEMATIC TYPE]],'SCHEMATIC Lookup'!$B$1:$C$5,2)</f>
        <v>Senior Whole Loan</v>
      </c>
      <c r="P368" s="5">
        <v>32500000</v>
      </c>
      <c r="Q368" s="5" t="s">
        <v>86</v>
      </c>
      <c r="R368" s="5" t="s">
        <v>73</v>
      </c>
      <c r="S368" t="s">
        <v>71</v>
      </c>
      <c r="T368" s="5" t="s">
        <v>88</v>
      </c>
      <c r="U368" s="12" t="s">
        <v>238</v>
      </c>
      <c r="V368" s="12" t="s">
        <v>233</v>
      </c>
      <c r="W368" s="11">
        <v>36</v>
      </c>
      <c r="X368" s="2">
        <f t="shared" si="32"/>
        <v>0</v>
      </c>
      <c r="Y368" s="5">
        <f t="shared" si="33"/>
        <v>20500000</v>
      </c>
      <c r="Z368" s="5">
        <f t="shared" si="34"/>
        <v>20500000</v>
      </c>
    </row>
    <row r="369" spans="1:26" x14ac:dyDescent="0.25">
      <c r="A369">
        <v>14380</v>
      </c>
      <c r="B369">
        <v>270</v>
      </c>
      <c r="C369">
        <v>2017</v>
      </c>
      <c r="D369" t="s">
        <v>96</v>
      </c>
      <c r="E369" t="s">
        <v>69</v>
      </c>
      <c r="F369" s="2">
        <v>0</v>
      </c>
      <c r="G369" s="2">
        <v>0.75</v>
      </c>
      <c r="H369" s="14">
        <f t="shared" si="31"/>
        <v>0</v>
      </c>
      <c r="I369" s="5">
        <v>20955890.989999998</v>
      </c>
      <c r="J369">
        <v>2</v>
      </c>
      <c r="K369" s="6">
        <v>3.73E-2</v>
      </c>
      <c r="L369" s="6">
        <v>0</v>
      </c>
      <c r="M369" t="str">
        <f t="shared" si="35"/>
        <v>SENIOR</v>
      </c>
      <c r="N369" t="s">
        <v>90</v>
      </c>
      <c r="O369" t="str">
        <f>VLOOKUP(Table1[[#This Row],[SCHEMATIC TYPE]],'SCHEMATIC Lookup'!$B$1:$C$5,2)</f>
        <v>Senior Whole Loan</v>
      </c>
      <c r="P369" s="5">
        <v>35175000</v>
      </c>
      <c r="Q369" s="5" t="s">
        <v>86</v>
      </c>
      <c r="R369" s="5" t="s">
        <v>73</v>
      </c>
      <c r="S369" t="s">
        <v>71</v>
      </c>
      <c r="T369" s="5" t="s">
        <v>88</v>
      </c>
      <c r="U369" s="12" t="s">
        <v>238</v>
      </c>
      <c r="V369" s="12" t="s">
        <v>231</v>
      </c>
      <c r="W369" s="11">
        <v>24</v>
      </c>
      <c r="X369" s="2">
        <f t="shared" si="32"/>
        <v>0</v>
      </c>
      <c r="Y369" s="5">
        <f t="shared" si="33"/>
        <v>20955890.989999998</v>
      </c>
      <c r="Z369" s="5">
        <f t="shared" si="34"/>
        <v>20955890.989999998</v>
      </c>
    </row>
    <row r="370" spans="1:26" x14ac:dyDescent="0.25">
      <c r="A370">
        <v>14390</v>
      </c>
      <c r="B370">
        <v>270</v>
      </c>
      <c r="C370">
        <v>2017</v>
      </c>
      <c r="D370" t="s">
        <v>96</v>
      </c>
      <c r="E370" t="s">
        <v>69</v>
      </c>
      <c r="F370" s="2">
        <v>0</v>
      </c>
      <c r="G370" s="2">
        <v>0.75</v>
      </c>
      <c r="H370" s="14">
        <f t="shared" si="31"/>
        <v>0</v>
      </c>
      <c r="I370" s="5">
        <v>729040.01</v>
      </c>
      <c r="J370">
        <v>2</v>
      </c>
      <c r="K370" s="6">
        <v>3.73E-2</v>
      </c>
      <c r="L370" s="6">
        <v>0</v>
      </c>
      <c r="M370" t="str">
        <f t="shared" si="35"/>
        <v>SENIOR</v>
      </c>
      <c r="N370" t="s">
        <v>90</v>
      </c>
      <c r="O370" t="str">
        <f>VLOOKUP(Table1[[#This Row],[SCHEMATIC TYPE]],'SCHEMATIC Lookup'!$B$1:$C$5,2)</f>
        <v>Senior Whole Loan</v>
      </c>
      <c r="P370" s="5">
        <v>972053.34666666668</v>
      </c>
      <c r="Q370" s="5" t="s">
        <v>86</v>
      </c>
      <c r="R370" s="5" t="s">
        <v>73</v>
      </c>
      <c r="S370" t="s">
        <v>71</v>
      </c>
      <c r="T370" s="5" t="s">
        <v>88</v>
      </c>
      <c r="U370" s="12" t="s">
        <v>238</v>
      </c>
      <c r="V370" s="12" t="s">
        <v>231</v>
      </c>
      <c r="W370" s="11">
        <v>24</v>
      </c>
      <c r="X370" s="2">
        <f t="shared" si="32"/>
        <v>0</v>
      </c>
      <c r="Y370" s="5">
        <f t="shared" si="33"/>
        <v>729040.01</v>
      </c>
      <c r="Z370" s="5">
        <f t="shared" si="34"/>
        <v>729040.01</v>
      </c>
    </row>
    <row r="371" spans="1:26" x14ac:dyDescent="0.25">
      <c r="A371">
        <v>14400</v>
      </c>
      <c r="B371">
        <v>270</v>
      </c>
      <c r="C371">
        <v>2016</v>
      </c>
      <c r="D371" t="s">
        <v>96</v>
      </c>
      <c r="E371" t="s">
        <v>77</v>
      </c>
      <c r="F371" s="2">
        <v>0</v>
      </c>
      <c r="G371" s="2">
        <v>0.52500000000000002</v>
      </c>
      <c r="H371" s="14">
        <f t="shared" si="31"/>
        <v>0</v>
      </c>
      <c r="I371" s="5">
        <v>25600000.009999998</v>
      </c>
      <c r="J371">
        <v>1</v>
      </c>
      <c r="K371" s="6">
        <v>4.4999999999999998E-2</v>
      </c>
      <c r="L371" s="6">
        <v>0</v>
      </c>
      <c r="M371" t="str">
        <f t="shared" ref="M371:M402" si="36">IF(AND(H371=0,OR(F371&gt;0,L371&gt;0)),"SUB",IF(AND(H371=0,F371=0),"SENIOR","BAD"))&amp;IF(L371&gt;0,"L","")</f>
        <v>SENIOR</v>
      </c>
      <c r="N371" t="s">
        <v>90</v>
      </c>
      <c r="O371" t="str">
        <f>VLOOKUP(Table1[[#This Row],[SCHEMATIC TYPE]],'SCHEMATIC Lookup'!$B$1:$C$5,2)</f>
        <v>Senior Whole Loan</v>
      </c>
      <c r="P371" s="5">
        <v>58500000</v>
      </c>
      <c r="Q371" s="5" t="s">
        <v>86</v>
      </c>
      <c r="R371" s="5" t="s">
        <v>73</v>
      </c>
      <c r="S371" t="s">
        <v>71</v>
      </c>
      <c r="T371" s="5" t="s">
        <v>88</v>
      </c>
      <c r="U371" s="12" t="s">
        <v>238</v>
      </c>
      <c r="V371" s="12" t="s">
        <v>240</v>
      </c>
      <c r="W371" s="11">
        <v>36</v>
      </c>
      <c r="X371" s="2">
        <f t="shared" si="32"/>
        <v>0</v>
      </c>
      <c r="Y371" s="5">
        <f t="shared" si="33"/>
        <v>25600000.009999998</v>
      </c>
      <c r="Z371" s="5">
        <f t="shared" si="34"/>
        <v>25600000.009999998</v>
      </c>
    </row>
    <row r="372" spans="1:26" x14ac:dyDescent="0.25">
      <c r="A372">
        <v>14420</v>
      </c>
      <c r="B372">
        <v>270</v>
      </c>
      <c r="C372">
        <v>2017</v>
      </c>
      <c r="D372" t="s">
        <v>96</v>
      </c>
      <c r="E372" t="s">
        <v>69</v>
      </c>
      <c r="F372" s="2">
        <v>0</v>
      </c>
      <c r="G372" s="2">
        <v>0.59670580614157787</v>
      </c>
      <c r="H372" s="14">
        <f t="shared" si="31"/>
        <v>0</v>
      </c>
      <c r="I372" s="5">
        <v>16125000.01</v>
      </c>
      <c r="J372">
        <v>1</v>
      </c>
      <c r="K372" s="6">
        <v>4.3099999999999999E-2</v>
      </c>
      <c r="L372" s="6">
        <v>0</v>
      </c>
      <c r="M372" t="str">
        <f t="shared" si="36"/>
        <v>SENIOR</v>
      </c>
      <c r="N372" t="s">
        <v>90</v>
      </c>
      <c r="O372" t="str">
        <f>VLOOKUP(Table1[[#This Row],[SCHEMATIC TYPE]],'SCHEMATIC Lookup'!$B$1:$C$5,2)</f>
        <v>Senior Whole Loan</v>
      </c>
      <c r="P372" s="5">
        <v>38600000</v>
      </c>
      <c r="Q372" s="5" t="s">
        <v>86</v>
      </c>
      <c r="R372" s="5" t="s">
        <v>82</v>
      </c>
      <c r="S372" t="s">
        <v>71</v>
      </c>
      <c r="T372" s="5" t="s">
        <v>88</v>
      </c>
      <c r="U372" s="12" t="s">
        <v>238</v>
      </c>
      <c r="V372" s="12" t="s">
        <v>230</v>
      </c>
      <c r="W372" s="11">
        <v>36</v>
      </c>
      <c r="X372" s="2">
        <f t="shared" si="32"/>
        <v>0</v>
      </c>
      <c r="Y372" s="5">
        <f t="shared" si="33"/>
        <v>16125000.01</v>
      </c>
      <c r="Z372" s="5">
        <f t="shared" si="34"/>
        <v>16125000.01</v>
      </c>
    </row>
    <row r="373" spans="1:26" x14ac:dyDescent="0.25">
      <c r="A373">
        <v>14460</v>
      </c>
      <c r="B373">
        <v>270</v>
      </c>
      <c r="C373">
        <v>2015</v>
      </c>
      <c r="D373" t="s">
        <v>76</v>
      </c>
      <c r="E373" t="s">
        <v>77</v>
      </c>
      <c r="F373" s="2">
        <v>0.41505791505791501</v>
      </c>
      <c r="G373" s="2">
        <v>0.58108108135135128</v>
      </c>
      <c r="H373" s="14">
        <f t="shared" si="31"/>
        <v>0</v>
      </c>
      <c r="I373" s="5">
        <v>6142857.1600000001</v>
      </c>
      <c r="J373">
        <v>1</v>
      </c>
      <c r="K373" s="6">
        <v>8.5000000000000006E-2</v>
      </c>
      <c r="L373" s="6">
        <v>0</v>
      </c>
      <c r="M373" t="str">
        <f t="shared" si="36"/>
        <v>SUB</v>
      </c>
      <c r="N373" t="s">
        <v>78</v>
      </c>
      <c r="O373" t="str">
        <f>VLOOKUP(Table1[[#This Row],[SCHEMATIC TYPE]],'SCHEMATIC Lookup'!$B$1:$C$5,2)</f>
        <v>Sub. Tranche of Senior</v>
      </c>
      <c r="P373" s="5">
        <v>37000000</v>
      </c>
      <c r="Q373" s="5" t="s">
        <v>86</v>
      </c>
      <c r="R373" s="5" t="s">
        <v>73</v>
      </c>
      <c r="S373" t="s">
        <v>71</v>
      </c>
      <c r="T373" s="5" t="s">
        <v>88</v>
      </c>
      <c r="U373" s="12" t="s">
        <v>232</v>
      </c>
      <c r="V373" s="12" t="s">
        <v>230</v>
      </c>
      <c r="W373" s="11">
        <v>48</v>
      </c>
      <c r="X373" s="2">
        <f t="shared" si="32"/>
        <v>0.41505791505791501</v>
      </c>
      <c r="Y373" s="5">
        <f t="shared" si="33"/>
        <v>6142857.1600000001</v>
      </c>
      <c r="Z373" s="5">
        <f t="shared" si="34"/>
        <v>6142857.1600000001</v>
      </c>
    </row>
    <row r="374" spans="1:26" x14ac:dyDescent="0.25">
      <c r="A374">
        <v>14550</v>
      </c>
      <c r="B374">
        <v>270</v>
      </c>
      <c r="C374">
        <v>2016</v>
      </c>
      <c r="D374" t="s">
        <v>96</v>
      </c>
      <c r="E374" t="s">
        <v>77</v>
      </c>
      <c r="F374" s="2">
        <v>0</v>
      </c>
      <c r="G374" s="2">
        <v>0.75</v>
      </c>
      <c r="H374" s="14">
        <f t="shared" si="31"/>
        <v>0</v>
      </c>
      <c r="I374" s="5">
        <v>12200000</v>
      </c>
      <c r="J374">
        <v>3</v>
      </c>
      <c r="K374" s="6">
        <v>5.9499999999999997E-2</v>
      </c>
      <c r="L374" s="6">
        <v>0</v>
      </c>
      <c r="M374" t="str">
        <f t="shared" si="36"/>
        <v>SENIOR</v>
      </c>
      <c r="N374" t="s">
        <v>90</v>
      </c>
      <c r="O374" t="str">
        <f>VLOOKUP(Table1[[#This Row],[SCHEMATIC TYPE]],'SCHEMATIC Lookup'!$B$1:$C$5,2)</f>
        <v>Senior Whole Loan</v>
      </c>
      <c r="P374" s="5">
        <v>22600000</v>
      </c>
      <c r="Q374" s="5" t="s">
        <v>86</v>
      </c>
      <c r="R374" s="5" t="s">
        <v>82</v>
      </c>
      <c r="S374" t="s">
        <v>19</v>
      </c>
      <c r="T374" s="5" t="s">
        <v>88</v>
      </c>
      <c r="U374" s="12" t="s">
        <v>238</v>
      </c>
      <c r="V374" s="12" t="s">
        <v>231</v>
      </c>
      <c r="W374" s="11">
        <v>36</v>
      </c>
      <c r="X374" s="2">
        <f t="shared" si="32"/>
        <v>0</v>
      </c>
      <c r="Y374" s="5">
        <f t="shared" si="33"/>
        <v>12200000</v>
      </c>
      <c r="Z374" s="5">
        <f t="shared" si="34"/>
        <v>12200000</v>
      </c>
    </row>
    <row r="375" spans="1:26" x14ac:dyDescent="0.25">
      <c r="A375">
        <v>14560</v>
      </c>
      <c r="B375">
        <v>270</v>
      </c>
      <c r="C375">
        <v>2016</v>
      </c>
      <c r="D375" t="s">
        <v>96</v>
      </c>
      <c r="E375" t="s">
        <v>77</v>
      </c>
      <c r="F375" s="2">
        <v>0</v>
      </c>
      <c r="G375" s="2">
        <v>0.75</v>
      </c>
      <c r="H375" s="14">
        <f t="shared" si="31"/>
        <v>0</v>
      </c>
      <c r="I375" s="5">
        <v>12999999.999999998</v>
      </c>
      <c r="J375">
        <v>3</v>
      </c>
      <c r="K375" s="6">
        <v>5.9499999999999997E-2</v>
      </c>
      <c r="L375" s="6">
        <v>0</v>
      </c>
      <c r="M375" t="str">
        <f t="shared" si="36"/>
        <v>SENIOR</v>
      </c>
      <c r="N375" t="s">
        <v>90</v>
      </c>
      <c r="O375" t="str">
        <f>VLOOKUP(Table1[[#This Row],[SCHEMATIC TYPE]],'SCHEMATIC Lookup'!$B$1:$C$5,2)</f>
        <v>Senior Whole Loan</v>
      </c>
      <c r="P375" s="5">
        <v>24075000</v>
      </c>
      <c r="Q375" s="5" t="s">
        <v>86</v>
      </c>
      <c r="R375" s="5" t="s">
        <v>82</v>
      </c>
      <c r="S375" t="s">
        <v>19</v>
      </c>
      <c r="T375" s="5" t="s">
        <v>88</v>
      </c>
      <c r="U375" s="12" t="s">
        <v>238</v>
      </c>
      <c r="V375" s="12" t="s">
        <v>231</v>
      </c>
      <c r="W375" s="11">
        <v>36</v>
      </c>
      <c r="X375" s="2">
        <f t="shared" si="32"/>
        <v>0</v>
      </c>
      <c r="Y375" s="5">
        <f t="shared" si="33"/>
        <v>12999999.999999998</v>
      </c>
      <c r="Z375" s="5">
        <f t="shared" si="34"/>
        <v>12999999.999999998</v>
      </c>
    </row>
    <row r="376" spans="1:26" x14ac:dyDescent="0.25">
      <c r="A376">
        <v>14570</v>
      </c>
      <c r="B376">
        <v>270</v>
      </c>
      <c r="C376">
        <v>2016</v>
      </c>
      <c r="D376" t="s">
        <v>96</v>
      </c>
      <c r="E376" t="s">
        <v>77</v>
      </c>
      <c r="F376" s="2">
        <v>0</v>
      </c>
      <c r="G376" s="2">
        <v>0.75</v>
      </c>
      <c r="H376" s="14">
        <f t="shared" si="31"/>
        <v>0</v>
      </c>
      <c r="I376" s="5">
        <v>1800000</v>
      </c>
      <c r="J376">
        <v>3</v>
      </c>
      <c r="K376" s="6">
        <v>5.9499999999999997E-2</v>
      </c>
      <c r="L376" s="6">
        <v>0</v>
      </c>
      <c r="M376" t="str">
        <f t="shared" si="36"/>
        <v>SENIOR</v>
      </c>
      <c r="N376" t="s">
        <v>90</v>
      </c>
      <c r="O376" t="str">
        <f>VLOOKUP(Table1[[#This Row],[SCHEMATIC TYPE]],'SCHEMATIC Lookup'!$B$1:$C$5,2)</f>
        <v>Senior Whole Loan</v>
      </c>
      <c r="P376" s="5">
        <v>3333000</v>
      </c>
      <c r="Q376" s="5" t="s">
        <v>86</v>
      </c>
      <c r="R376" s="5" t="s">
        <v>82</v>
      </c>
      <c r="S376" t="s">
        <v>19</v>
      </c>
      <c r="T376" s="5" t="s">
        <v>88</v>
      </c>
      <c r="U376" s="12" t="s">
        <v>238</v>
      </c>
      <c r="V376" s="12" t="s">
        <v>231</v>
      </c>
      <c r="W376" s="11">
        <v>36</v>
      </c>
      <c r="X376" s="2">
        <f t="shared" si="32"/>
        <v>0</v>
      </c>
      <c r="Y376" s="5">
        <f t="shared" si="33"/>
        <v>1800000</v>
      </c>
      <c r="Z376" s="5">
        <f t="shared" si="34"/>
        <v>1800000</v>
      </c>
    </row>
    <row r="377" spans="1:26" x14ac:dyDescent="0.25">
      <c r="A377">
        <v>14580</v>
      </c>
      <c r="B377">
        <v>270</v>
      </c>
      <c r="C377">
        <v>2017</v>
      </c>
      <c r="D377" t="s">
        <v>96</v>
      </c>
      <c r="E377" t="s">
        <v>69</v>
      </c>
      <c r="F377" s="2">
        <v>0</v>
      </c>
      <c r="G377" s="2">
        <v>0.75000000000000011</v>
      </c>
      <c r="H377" s="14">
        <f t="shared" si="31"/>
        <v>0</v>
      </c>
      <c r="I377" s="5">
        <v>24060000</v>
      </c>
      <c r="J377">
        <v>2</v>
      </c>
      <c r="K377" s="6">
        <v>3.5499999999999997E-2</v>
      </c>
      <c r="L377" s="6">
        <v>0</v>
      </c>
      <c r="M377" t="str">
        <f t="shared" si="36"/>
        <v>SENIOR</v>
      </c>
      <c r="N377" t="s">
        <v>90</v>
      </c>
      <c r="O377" t="str">
        <f>VLOOKUP(Table1[[#This Row],[SCHEMATIC TYPE]],'SCHEMATIC Lookup'!$B$1:$C$5,2)</f>
        <v>Senior Whole Loan</v>
      </c>
      <c r="P377" s="5">
        <v>40800000</v>
      </c>
      <c r="Q377" s="5" t="s">
        <v>86</v>
      </c>
      <c r="R377" s="5" t="s">
        <v>73</v>
      </c>
      <c r="S377" t="s">
        <v>71</v>
      </c>
      <c r="T377" s="5" t="s">
        <v>88</v>
      </c>
      <c r="U377" s="12" t="s">
        <v>238</v>
      </c>
      <c r="V377" s="12" t="s">
        <v>231</v>
      </c>
      <c r="W377" s="11">
        <v>36</v>
      </c>
      <c r="X377" s="2">
        <f t="shared" si="32"/>
        <v>0</v>
      </c>
      <c r="Y377" s="5">
        <f t="shared" si="33"/>
        <v>24060000</v>
      </c>
      <c r="Z377" s="5">
        <f t="shared" si="34"/>
        <v>24060000</v>
      </c>
    </row>
    <row r="378" spans="1:26" x14ac:dyDescent="0.25">
      <c r="A378">
        <v>14590</v>
      </c>
      <c r="B378">
        <v>270</v>
      </c>
      <c r="C378">
        <v>2017</v>
      </c>
      <c r="D378" t="s">
        <v>96</v>
      </c>
      <c r="E378" t="s">
        <v>69</v>
      </c>
      <c r="F378" s="2">
        <v>0</v>
      </c>
      <c r="G378" s="2">
        <v>0.75000000000000011</v>
      </c>
      <c r="H378" s="14">
        <f t="shared" si="31"/>
        <v>0</v>
      </c>
      <c r="I378" s="5">
        <v>2439999.9200000004</v>
      </c>
      <c r="J378">
        <v>2</v>
      </c>
      <c r="K378" s="6">
        <v>3.5499999999999997E-2</v>
      </c>
      <c r="L378" s="6">
        <v>0</v>
      </c>
      <c r="M378" t="str">
        <f t="shared" si="36"/>
        <v>SENIOR</v>
      </c>
      <c r="N378" t="s">
        <v>90</v>
      </c>
      <c r="O378" t="str">
        <f>VLOOKUP(Table1[[#This Row],[SCHEMATIC TYPE]],'SCHEMATIC Lookup'!$B$1:$C$5,2)</f>
        <v>Senior Whole Loan</v>
      </c>
      <c r="P378" s="5">
        <v>3253333.226666667</v>
      </c>
      <c r="Q378" s="5" t="s">
        <v>86</v>
      </c>
      <c r="R378" s="5" t="s">
        <v>73</v>
      </c>
      <c r="S378" t="s">
        <v>71</v>
      </c>
      <c r="T378" s="5" t="s">
        <v>88</v>
      </c>
      <c r="U378" s="12" t="s">
        <v>238</v>
      </c>
      <c r="V378" s="12" t="s">
        <v>231</v>
      </c>
      <c r="W378" s="11">
        <v>36</v>
      </c>
      <c r="X378" s="2">
        <f t="shared" si="32"/>
        <v>0</v>
      </c>
      <c r="Y378" s="5">
        <f t="shared" si="33"/>
        <v>2439999.9200000004</v>
      </c>
      <c r="Z378" s="5">
        <f t="shared" si="34"/>
        <v>2439999.9200000004</v>
      </c>
    </row>
    <row r="379" spans="1:26" x14ac:dyDescent="0.25">
      <c r="A379">
        <v>14660</v>
      </c>
      <c r="B379">
        <v>219</v>
      </c>
      <c r="C379">
        <v>2019</v>
      </c>
      <c r="D379" t="s">
        <v>74</v>
      </c>
      <c r="E379" t="s">
        <v>77</v>
      </c>
      <c r="F379" s="2">
        <v>0.72299999999999998</v>
      </c>
      <c r="G379" s="2">
        <v>0.79700000000000004</v>
      </c>
      <c r="H379" s="14">
        <f t="shared" si="31"/>
        <v>0</v>
      </c>
      <c r="I379" s="5">
        <v>18000000</v>
      </c>
      <c r="J379">
        <v>1</v>
      </c>
      <c r="K379" s="6">
        <v>9.1399999999999995E-2</v>
      </c>
      <c r="L379" s="6">
        <v>0</v>
      </c>
      <c r="M379" t="str">
        <f t="shared" si="36"/>
        <v>SUB</v>
      </c>
      <c r="N379" t="s">
        <v>75</v>
      </c>
      <c r="O379" t="str">
        <f>VLOOKUP(Table1[[#This Row],[SCHEMATIC TYPE]],'SCHEMATIC Lookup'!$B$1:$C$5,2)</f>
        <v>Mezzanine Loan</v>
      </c>
      <c r="P379" s="5">
        <v>231117000</v>
      </c>
      <c r="Q379" s="5" t="s">
        <v>19</v>
      </c>
      <c r="R379" s="5" t="s">
        <v>82</v>
      </c>
      <c r="S379" t="s">
        <v>19</v>
      </c>
      <c r="T379" s="5" t="s">
        <v>19</v>
      </c>
      <c r="U379" s="12" t="s">
        <v>239</v>
      </c>
      <c r="V379" s="12" t="s">
        <v>231</v>
      </c>
      <c r="W379" s="11">
        <v>60</v>
      </c>
      <c r="X379" s="2">
        <f t="shared" si="32"/>
        <v>0.72299999999999998</v>
      </c>
      <c r="Y379" s="5">
        <f t="shared" si="33"/>
        <v>18000000</v>
      </c>
      <c r="Z379" s="5">
        <f t="shared" si="34"/>
        <v>18000000</v>
      </c>
    </row>
    <row r="380" spans="1:26" x14ac:dyDescent="0.25">
      <c r="A380">
        <v>14670</v>
      </c>
      <c r="B380">
        <v>220</v>
      </c>
      <c r="C380">
        <v>2017</v>
      </c>
      <c r="D380" t="s">
        <v>96</v>
      </c>
      <c r="E380" t="s">
        <v>69</v>
      </c>
      <c r="F380" s="2">
        <v>0</v>
      </c>
      <c r="G380" s="2">
        <v>0.69799999999999995</v>
      </c>
      <c r="H380" s="14">
        <f t="shared" si="31"/>
        <v>0</v>
      </c>
      <c r="I380" s="5">
        <v>33000000</v>
      </c>
      <c r="J380">
        <v>3</v>
      </c>
      <c r="K380" s="6">
        <v>0.04</v>
      </c>
      <c r="L380" s="6">
        <v>0.71350000000000002</v>
      </c>
      <c r="M380" t="str">
        <f t="shared" si="36"/>
        <v>SUBL</v>
      </c>
      <c r="N380" t="s">
        <v>70</v>
      </c>
      <c r="O380" t="str">
        <f>VLOOKUP(Table1[[#This Row],[SCHEMATIC TYPE]],'SCHEMATIC Lookup'!$B$1:$C$5,2)</f>
        <v>Leveraged Whole Loan</v>
      </c>
      <c r="P380" s="5">
        <v>44140000</v>
      </c>
      <c r="Q380" s="5" t="s">
        <v>116</v>
      </c>
      <c r="R380" s="5" t="s">
        <v>79</v>
      </c>
      <c r="S380" t="s">
        <v>71</v>
      </c>
      <c r="T380" s="5" t="s">
        <v>88</v>
      </c>
      <c r="U380" s="12" t="s">
        <v>232</v>
      </c>
      <c r="V380" s="12" t="s">
        <v>234</v>
      </c>
      <c r="W380">
        <v>24</v>
      </c>
      <c r="X380" s="2">
        <f t="shared" si="32"/>
        <v>0.49802299999999999</v>
      </c>
      <c r="Y380" s="5">
        <f t="shared" si="33"/>
        <v>9454500</v>
      </c>
      <c r="Z380" s="5">
        <f t="shared" si="34"/>
        <v>33000000</v>
      </c>
    </row>
    <row r="381" spans="1:26" x14ac:dyDescent="0.25">
      <c r="A381">
        <v>14680</v>
      </c>
      <c r="B381">
        <v>220</v>
      </c>
      <c r="C381">
        <v>2017</v>
      </c>
      <c r="D381" t="s">
        <v>96</v>
      </c>
      <c r="E381" t="s">
        <v>69</v>
      </c>
      <c r="F381" s="2">
        <v>0</v>
      </c>
      <c r="G381" s="2">
        <v>0.68799999999999994</v>
      </c>
      <c r="H381" s="14">
        <f t="shared" si="31"/>
        <v>0</v>
      </c>
      <c r="I381" s="5">
        <v>32000000</v>
      </c>
      <c r="J381">
        <v>2</v>
      </c>
      <c r="K381" s="6">
        <v>0.03</v>
      </c>
      <c r="L381" s="6">
        <v>0.75</v>
      </c>
      <c r="M381" t="str">
        <f t="shared" si="36"/>
        <v>SUBL</v>
      </c>
      <c r="N381" t="s">
        <v>70</v>
      </c>
      <c r="O381" t="str">
        <f>VLOOKUP(Table1[[#This Row],[SCHEMATIC TYPE]],'SCHEMATIC Lookup'!$B$1:$C$5,2)</f>
        <v>Leveraged Whole Loan</v>
      </c>
      <c r="P381" s="5">
        <v>46480000</v>
      </c>
      <c r="Q381" s="5" t="s">
        <v>117</v>
      </c>
      <c r="R381" s="5" t="s">
        <v>79</v>
      </c>
      <c r="S381" t="s">
        <v>71</v>
      </c>
      <c r="T381" s="5" t="s">
        <v>88</v>
      </c>
      <c r="U381" s="12" t="s">
        <v>236</v>
      </c>
      <c r="V381" s="12" t="s">
        <v>234</v>
      </c>
      <c r="W381">
        <v>36</v>
      </c>
      <c r="X381" s="2">
        <f t="shared" si="32"/>
        <v>0.51600000000000001</v>
      </c>
      <c r="Y381" s="5">
        <f t="shared" si="33"/>
        <v>8000000</v>
      </c>
      <c r="Z381" s="5">
        <f t="shared" si="34"/>
        <v>32000000</v>
      </c>
    </row>
    <row r="382" spans="1:26" x14ac:dyDescent="0.25">
      <c r="A382">
        <v>14690</v>
      </c>
      <c r="B382">
        <v>220</v>
      </c>
      <c r="C382">
        <v>2019</v>
      </c>
      <c r="D382" t="s">
        <v>96</v>
      </c>
      <c r="E382" t="s">
        <v>69</v>
      </c>
      <c r="F382" s="2">
        <v>0</v>
      </c>
      <c r="G382" s="2">
        <v>0.66400000000000003</v>
      </c>
      <c r="H382" s="14">
        <f t="shared" si="31"/>
        <v>0</v>
      </c>
      <c r="I382" s="5">
        <v>50764000</v>
      </c>
      <c r="J382">
        <v>1</v>
      </c>
      <c r="K382" s="6">
        <v>2.5000000000000001E-2</v>
      </c>
      <c r="L382" s="6">
        <v>0.65</v>
      </c>
      <c r="M382" t="str">
        <f t="shared" si="36"/>
        <v>SUBL</v>
      </c>
      <c r="N382" t="s">
        <v>70</v>
      </c>
      <c r="O382" t="str">
        <f>VLOOKUP(Table1[[#This Row],[SCHEMATIC TYPE]],'SCHEMATIC Lookup'!$B$1:$C$5,2)</f>
        <v>Leveraged Whole Loan</v>
      </c>
      <c r="P382" s="5">
        <v>76500000</v>
      </c>
      <c r="Q382" s="5" t="s">
        <v>117</v>
      </c>
      <c r="R382" s="5" t="s">
        <v>79</v>
      </c>
      <c r="S382" t="s">
        <v>71</v>
      </c>
      <c r="T382" s="5" t="s">
        <v>88</v>
      </c>
      <c r="U382" s="12" t="s">
        <v>232</v>
      </c>
      <c r="V382" s="12" t="s">
        <v>234</v>
      </c>
      <c r="W382">
        <v>48</v>
      </c>
      <c r="X382" s="2">
        <f t="shared" si="32"/>
        <v>0.43160000000000004</v>
      </c>
      <c r="Y382" s="5">
        <f t="shared" si="33"/>
        <v>17767400</v>
      </c>
      <c r="Z382" s="5">
        <f t="shared" si="34"/>
        <v>50764000</v>
      </c>
    </row>
    <row r="383" spans="1:26" x14ac:dyDescent="0.25">
      <c r="A383">
        <v>14700</v>
      </c>
      <c r="B383">
        <v>220</v>
      </c>
      <c r="C383">
        <v>2019</v>
      </c>
      <c r="D383" t="s">
        <v>96</v>
      </c>
      <c r="E383" t="s">
        <v>69</v>
      </c>
      <c r="F383" s="2">
        <v>0</v>
      </c>
      <c r="G383" s="2">
        <v>0.70599999999999996</v>
      </c>
      <c r="H383" s="14">
        <f t="shared" si="31"/>
        <v>0</v>
      </c>
      <c r="I383" s="5">
        <v>37675000</v>
      </c>
      <c r="J383">
        <v>2</v>
      </c>
      <c r="K383" s="6">
        <v>2.6499999999999999E-2</v>
      </c>
      <c r="L383" s="6">
        <v>0.7</v>
      </c>
      <c r="M383" t="str">
        <f t="shared" si="36"/>
        <v>SUBL</v>
      </c>
      <c r="N383" t="s">
        <v>70</v>
      </c>
      <c r="O383" t="str">
        <f>VLOOKUP(Table1[[#This Row],[SCHEMATIC TYPE]],'SCHEMATIC Lookup'!$B$1:$C$5,2)</f>
        <v>Leveraged Whole Loan</v>
      </c>
      <c r="P383" s="5">
        <v>53330000</v>
      </c>
      <c r="Q383" s="5" t="s">
        <v>116</v>
      </c>
      <c r="R383" s="5" t="s">
        <v>79</v>
      </c>
      <c r="S383" t="s">
        <v>71</v>
      </c>
      <c r="T383" s="5" t="s">
        <v>88</v>
      </c>
      <c r="U383" s="12" t="s">
        <v>232</v>
      </c>
      <c r="V383" s="12" t="s">
        <v>233</v>
      </c>
      <c r="W383">
        <v>36</v>
      </c>
      <c r="X383" s="2">
        <f t="shared" si="32"/>
        <v>0.49419999999999992</v>
      </c>
      <c r="Y383" s="5">
        <f t="shared" si="33"/>
        <v>11302500.000000002</v>
      </c>
      <c r="Z383" s="5">
        <f t="shared" si="34"/>
        <v>37675000</v>
      </c>
    </row>
    <row r="384" spans="1:26" x14ac:dyDescent="0.25">
      <c r="A384">
        <v>14710</v>
      </c>
      <c r="B384">
        <v>220</v>
      </c>
      <c r="C384">
        <v>2019</v>
      </c>
      <c r="D384" t="s">
        <v>96</v>
      </c>
      <c r="E384" t="s">
        <v>69</v>
      </c>
      <c r="F384" s="2">
        <v>0</v>
      </c>
      <c r="G384" s="2">
        <v>0.66</v>
      </c>
      <c r="H384" s="14">
        <f t="shared" si="31"/>
        <v>0</v>
      </c>
      <c r="I384" s="5">
        <v>33650000</v>
      </c>
      <c r="J384">
        <v>2</v>
      </c>
      <c r="K384" s="6">
        <v>2.2499999999999999E-2</v>
      </c>
      <c r="L384" s="6">
        <v>0.65</v>
      </c>
      <c r="M384" t="str">
        <f t="shared" si="36"/>
        <v>SUBL</v>
      </c>
      <c r="N384" t="s">
        <v>70</v>
      </c>
      <c r="O384" t="str">
        <f>VLOOKUP(Table1[[#This Row],[SCHEMATIC TYPE]],'SCHEMATIC Lookup'!$B$1:$C$5,2)</f>
        <v>Leveraged Whole Loan</v>
      </c>
      <c r="P384" s="5">
        <v>51000000</v>
      </c>
      <c r="Q384" s="5" t="s">
        <v>117</v>
      </c>
      <c r="R384" s="5" t="s">
        <v>79</v>
      </c>
      <c r="S384" t="s">
        <v>71</v>
      </c>
      <c r="T384" s="5" t="s">
        <v>88</v>
      </c>
      <c r="U384" s="12" t="s">
        <v>232</v>
      </c>
      <c r="V384" s="12" t="s">
        <v>234</v>
      </c>
      <c r="W384">
        <v>36</v>
      </c>
      <c r="X384" s="2">
        <f t="shared" si="32"/>
        <v>0.42900000000000005</v>
      </c>
      <c r="Y384" s="5">
        <f t="shared" si="33"/>
        <v>11777500</v>
      </c>
      <c r="Z384" s="5">
        <f t="shared" si="34"/>
        <v>33650000</v>
      </c>
    </row>
    <row r="385" spans="1:26" x14ac:dyDescent="0.25">
      <c r="A385">
        <v>14720</v>
      </c>
      <c r="B385">
        <v>220</v>
      </c>
      <c r="C385">
        <v>2018</v>
      </c>
      <c r="D385" t="s">
        <v>96</v>
      </c>
      <c r="E385" t="s">
        <v>69</v>
      </c>
      <c r="F385" s="2">
        <v>0</v>
      </c>
      <c r="G385" s="2">
        <v>0.70899999999999996</v>
      </c>
      <c r="H385" s="14">
        <f t="shared" si="31"/>
        <v>0</v>
      </c>
      <c r="I385" s="5">
        <v>26020000</v>
      </c>
      <c r="J385">
        <v>2</v>
      </c>
      <c r="K385" s="6">
        <v>2.7E-2</v>
      </c>
      <c r="L385" s="6">
        <v>0.69775455397055486</v>
      </c>
      <c r="M385" t="str">
        <f t="shared" si="36"/>
        <v>SUBL</v>
      </c>
      <c r="N385" t="s">
        <v>70</v>
      </c>
      <c r="O385" t="str">
        <f>VLOOKUP(Table1[[#This Row],[SCHEMATIC TYPE]],'SCHEMATIC Lookup'!$B$1:$C$5,2)</f>
        <v>Leveraged Whole Loan</v>
      </c>
      <c r="P385" s="5">
        <v>36700000</v>
      </c>
      <c r="Q385" s="5" t="s">
        <v>117</v>
      </c>
      <c r="R385" s="5" t="s">
        <v>79</v>
      </c>
      <c r="S385" t="s">
        <v>71</v>
      </c>
      <c r="T385" s="5" t="s">
        <v>88</v>
      </c>
      <c r="U385" s="12" t="s">
        <v>232</v>
      </c>
      <c r="V385" s="12" t="s">
        <v>233</v>
      </c>
      <c r="W385">
        <v>36</v>
      </c>
      <c r="X385" s="2">
        <f t="shared" si="32"/>
        <v>0.49470797876512335</v>
      </c>
      <c r="Y385" s="5">
        <f t="shared" si="33"/>
        <v>7864426.505686163</v>
      </c>
      <c r="Z385" s="5">
        <f t="shared" si="34"/>
        <v>26020000</v>
      </c>
    </row>
    <row r="386" spans="1:26" x14ac:dyDescent="0.25">
      <c r="A386">
        <v>14730</v>
      </c>
      <c r="B386">
        <v>220</v>
      </c>
      <c r="C386">
        <v>2018</v>
      </c>
      <c r="D386" t="s">
        <v>96</v>
      </c>
      <c r="E386" t="s">
        <v>77</v>
      </c>
      <c r="F386" s="2">
        <v>0</v>
      </c>
      <c r="G386" s="2">
        <v>0.60899999999999999</v>
      </c>
      <c r="H386" s="14">
        <f t="shared" si="31"/>
        <v>0</v>
      </c>
      <c r="I386" s="5">
        <v>50260000</v>
      </c>
      <c r="J386">
        <v>4</v>
      </c>
      <c r="K386" s="6">
        <v>4.7500000000000001E-2</v>
      </c>
      <c r="L386" s="6">
        <v>0</v>
      </c>
      <c r="M386" t="str">
        <f t="shared" si="36"/>
        <v>SENIOR</v>
      </c>
      <c r="N386" t="s">
        <v>90</v>
      </c>
      <c r="O386" t="str">
        <f>VLOOKUP(Table1[[#This Row],[SCHEMATIC TYPE]],'SCHEMATIC Lookup'!$B$1:$C$5,2)</f>
        <v>Senior Whole Loan</v>
      </c>
      <c r="P386" s="5">
        <v>82500000</v>
      </c>
      <c r="Q386" s="5" t="s">
        <v>116</v>
      </c>
      <c r="R386" s="5" t="s">
        <v>79</v>
      </c>
      <c r="S386" t="s">
        <v>71</v>
      </c>
      <c r="T386" s="5" t="s">
        <v>88</v>
      </c>
      <c r="U386" s="12" t="s">
        <v>238</v>
      </c>
      <c r="V386" s="12" t="s">
        <v>235</v>
      </c>
      <c r="W386">
        <v>36</v>
      </c>
      <c r="X386" s="2">
        <f t="shared" si="32"/>
        <v>0</v>
      </c>
      <c r="Y386" s="5">
        <f t="shared" si="33"/>
        <v>50260000</v>
      </c>
      <c r="Z386" s="5">
        <f t="shared" si="34"/>
        <v>50260000</v>
      </c>
    </row>
    <row r="387" spans="1:26" x14ac:dyDescent="0.25">
      <c r="A387">
        <v>14740</v>
      </c>
      <c r="B387">
        <v>220</v>
      </c>
      <c r="C387">
        <v>2018</v>
      </c>
      <c r="D387" t="s">
        <v>96</v>
      </c>
      <c r="E387" t="s">
        <v>69</v>
      </c>
      <c r="F387" s="2">
        <v>0</v>
      </c>
      <c r="G387" s="2">
        <v>0.63600000000000001</v>
      </c>
      <c r="H387" s="14">
        <f t="shared" si="31"/>
        <v>0</v>
      </c>
      <c r="I387" s="5">
        <v>35000000</v>
      </c>
      <c r="J387">
        <v>5</v>
      </c>
      <c r="K387" s="6">
        <v>3.2500000000000001E-2</v>
      </c>
      <c r="L387" s="6">
        <v>0.6</v>
      </c>
      <c r="M387" t="str">
        <f t="shared" si="36"/>
        <v>SUBL</v>
      </c>
      <c r="N387" t="s">
        <v>70</v>
      </c>
      <c r="O387" t="str">
        <f>VLOOKUP(Table1[[#This Row],[SCHEMATIC TYPE]],'SCHEMATIC Lookup'!$B$1:$C$5,2)</f>
        <v>Leveraged Whole Loan</v>
      </c>
      <c r="P387" s="5">
        <v>55000000</v>
      </c>
      <c r="Q387" s="5" t="s">
        <v>116</v>
      </c>
      <c r="R387" s="5" t="s">
        <v>79</v>
      </c>
      <c r="S387" t="s">
        <v>71</v>
      </c>
      <c r="T387" s="5" t="s">
        <v>88</v>
      </c>
      <c r="U387" s="12" t="s">
        <v>238</v>
      </c>
      <c r="V387" s="12" t="s">
        <v>235</v>
      </c>
      <c r="W387">
        <v>36</v>
      </c>
      <c r="X387" s="2">
        <f t="shared" si="32"/>
        <v>0.38159999999999999</v>
      </c>
      <c r="Y387" s="5">
        <f t="shared" si="33"/>
        <v>14000000</v>
      </c>
      <c r="Z387" s="5">
        <f t="shared" si="34"/>
        <v>35000000</v>
      </c>
    </row>
    <row r="388" spans="1:26" x14ac:dyDescent="0.25">
      <c r="A388">
        <v>14750</v>
      </c>
      <c r="B388">
        <v>220</v>
      </c>
      <c r="C388">
        <v>2018</v>
      </c>
      <c r="D388" t="s">
        <v>96</v>
      </c>
      <c r="E388" t="s">
        <v>69</v>
      </c>
      <c r="F388" s="2">
        <v>0</v>
      </c>
      <c r="G388" s="2">
        <v>0.67400000000000004</v>
      </c>
      <c r="H388" s="14">
        <f t="shared" si="31"/>
        <v>0</v>
      </c>
      <c r="I388" s="5">
        <v>64600000</v>
      </c>
      <c r="J388">
        <v>1</v>
      </c>
      <c r="K388" s="6">
        <v>2.4500000000000001E-2</v>
      </c>
      <c r="L388" s="6">
        <v>0.65</v>
      </c>
      <c r="M388" t="str">
        <f t="shared" si="36"/>
        <v>SUBL</v>
      </c>
      <c r="N388" t="s">
        <v>70</v>
      </c>
      <c r="O388" t="str">
        <f>VLOOKUP(Table1[[#This Row],[SCHEMATIC TYPE]],'SCHEMATIC Lookup'!$B$1:$C$5,2)</f>
        <v>Leveraged Whole Loan</v>
      </c>
      <c r="P388" s="5">
        <v>94330000</v>
      </c>
      <c r="Q388" s="5" t="s">
        <v>117</v>
      </c>
      <c r="R388" s="5" t="s">
        <v>79</v>
      </c>
      <c r="S388" t="s">
        <v>71</v>
      </c>
      <c r="T388" s="5" t="s">
        <v>88</v>
      </c>
      <c r="U388" s="12" t="s">
        <v>232</v>
      </c>
      <c r="V388" s="12" t="s">
        <v>234</v>
      </c>
      <c r="W388">
        <v>48</v>
      </c>
      <c r="X388" s="2">
        <f t="shared" si="32"/>
        <v>0.43810000000000004</v>
      </c>
      <c r="Y388" s="5">
        <f t="shared" si="33"/>
        <v>22610000</v>
      </c>
      <c r="Z388" s="5">
        <f t="shared" si="34"/>
        <v>64600000</v>
      </c>
    </row>
    <row r="389" spans="1:26" x14ac:dyDescent="0.25">
      <c r="A389">
        <v>14760</v>
      </c>
      <c r="B389">
        <v>220</v>
      </c>
      <c r="C389">
        <v>2019</v>
      </c>
      <c r="D389" t="s">
        <v>96</v>
      </c>
      <c r="E389" t="s">
        <v>69</v>
      </c>
      <c r="F389" s="2">
        <v>0</v>
      </c>
      <c r="G389" s="2">
        <v>0.73299999999999998</v>
      </c>
      <c r="H389" s="14">
        <f t="shared" si="31"/>
        <v>0</v>
      </c>
      <c r="I389" s="5">
        <v>105000000</v>
      </c>
      <c r="J389">
        <v>2</v>
      </c>
      <c r="K389" s="6">
        <v>2.1999999999999999E-2</v>
      </c>
      <c r="L389" s="6">
        <v>0.75</v>
      </c>
      <c r="M389" t="str">
        <f t="shared" si="36"/>
        <v>SUBL</v>
      </c>
      <c r="N389" t="s">
        <v>70</v>
      </c>
      <c r="O389" t="str">
        <f>VLOOKUP(Table1[[#This Row],[SCHEMATIC TYPE]],'SCHEMATIC Lookup'!$B$1:$C$5,2)</f>
        <v>Leveraged Whole Loan</v>
      </c>
      <c r="P389" s="5">
        <v>143300000</v>
      </c>
      <c r="Q389" s="5" t="s">
        <v>116</v>
      </c>
      <c r="R389" s="5" t="s">
        <v>79</v>
      </c>
      <c r="S389" t="s">
        <v>71</v>
      </c>
      <c r="T389" s="5" t="s">
        <v>88</v>
      </c>
      <c r="U389" s="12" t="s">
        <v>236</v>
      </c>
      <c r="V389" s="12" t="s">
        <v>233</v>
      </c>
      <c r="W389">
        <v>36</v>
      </c>
      <c r="X389" s="2">
        <f t="shared" si="32"/>
        <v>0.54974999999999996</v>
      </c>
      <c r="Y389" s="5">
        <f t="shared" si="33"/>
        <v>26250000</v>
      </c>
      <c r="Z389" s="5">
        <f t="shared" si="34"/>
        <v>105000000</v>
      </c>
    </row>
    <row r="390" spans="1:26" x14ac:dyDescent="0.25">
      <c r="A390">
        <v>14770</v>
      </c>
      <c r="B390">
        <v>220</v>
      </c>
      <c r="C390">
        <v>2019</v>
      </c>
      <c r="D390" t="s">
        <v>96</v>
      </c>
      <c r="E390" t="s">
        <v>69</v>
      </c>
      <c r="F390" s="2">
        <v>0</v>
      </c>
      <c r="G390" s="2">
        <v>0.48299999999999998</v>
      </c>
      <c r="H390" s="14">
        <f t="shared" si="31"/>
        <v>0</v>
      </c>
      <c r="I390" s="5">
        <v>55500000</v>
      </c>
      <c r="J390">
        <v>7</v>
      </c>
      <c r="K390" s="6">
        <v>2.75E-2</v>
      </c>
      <c r="L390" s="6">
        <v>0</v>
      </c>
      <c r="M390" t="str">
        <f t="shared" si="36"/>
        <v>SENIOR</v>
      </c>
      <c r="N390" t="s">
        <v>90</v>
      </c>
      <c r="O390" t="str">
        <f>VLOOKUP(Table1[[#This Row],[SCHEMATIC TYPE]],'SCHEMATIC Lookup'!$B$1:$C$5,2)</f>
        <v>Senior Whole Loan</v>
      </c>
      <c r="P390" s="5">
        <v>110050000</v>
      </c>
      <c r="Q390" s="5" t="s">
        <v>116</v>
      </c>
      <c r="R390" s="5" t="s">
        <v>79</v>
      </c>
      <c r="S390" t="s">
        <v>71</v>
      </c>
      <c r="T390" s="5" t="s">
        <v>88</v>
      </c>
      <c r="U390" s="12" t="s">
        <v>238</v>
      </c>
      <c r="V390" s="12" t="s">
        <v>240</v>
      </c>
      <c r="W390">
        <v>36</v>
      </c>
      <c r="X390" s="2">
        <f t="shared" si="32"/>
        <v>0</v>
      </c>
      <c r="Y390" s="5">
        <f t="shared" si="33"/>
        <v>55500000</v>
      </c>
      <c r="Z390" s="5">
        <f t="shared" si="34"/>
        <v>55500000</v>
      </c>
    </row>
    <row r="391" spans="1:26" x14ac:dyDescent="0.25">
      <c r="A391">
        <v>14780</v>
      </c>
      <c r="B391">
        <v>220</v>
      </c>
      <c r="C391">
        <v>2019</v>
      </c>
      <c r="D391" t="s">
        <v>96</v>
      </c>
      <c r="E391" t="s">
        <v>69</v>
      </c>
      <c r="F391" s="2">
        <v>0</v>
      </c>
      <c r="G391" s="2">
        <v>0.71599999999999997</v>
      </c>
      <c r="H391" s="14">
        <f t="shared" ref="H391:H454" si="37">(G391=F391)*1</f>
        <v>0</v>
      </c>
      <c r="I391" s="5">
        <v>51000000</v>
      </c>
      <c r="J391">
        <v>6</v>
      </c>
      <c r="K391" s="6">
        <v>2.4E-2</v>
      </c>
      <c r="L391" s="6">
        <v>0.7</v>
      </c>
      <c r="M391" t="str">
        <f t="shared" si="36"/>
        <v>SUBL</v>
      </c>
      <c r="N391" t="s">
        <v>70</v>
      </c>
      <c r="O391" t="str">
        <f>VLOOKUP(Table1[[#This Row],[SCHEMATIC TYPE]],'SCHEMATIC Lookup'!$B$1:$C$5,2)</f>
        <v>Leveraged Whole Loan</v>
      </c>
      <c r="P391" s="5">
        <v>71000000</v>
      </c>
      <c r="Q391" s="5" t="s">
        <v>19</v>
      </c>
      <c r="R391" s="5" t="s">
        <v>79</v>
      </c>
      <c r="S391" t="s">
        <v>71</v>
      </c>
      <c r="T391" s="5" t="s">
        <v>19</v>
      </c>
      <c r="U391" s="12" t="s">
        <v>236</v>
      </c>
      <c r="V391" s="12" t="s">
        <v>233</v>
      </c>
      <c r="W391">
        <v>36</v>
      </c>
      <c r="X391" s="2">
        <f t="shared" ref="X391:X454" si="38">IF(F391=0,L391*G391,F391)</f>
        <v>0.50119999999999998</v>
      </c>
      <c r="Y391" s="5">
        <f t="shared" ref="Y391:Y454" si="39">IF(AND(F391=0,X391&gt;0),I391*(1-L391),I391)</f>
        <v>15300000.000000002</v>
      </c>
      <c r="Z391" s="5">
        <f t="shared" ref="Z391:Z454" si="40">IF(AND(L391&gt;0,F391&lt;&gt;0),I391/((G391-F391)/G391),I391)</f>
        <v>51000000</v>
      </c>
    </row>
    <row r="392" spans="1:26" x14ac:dyDescent="0.25">
      <c r="A392">
        <v>14790</v>
      </c>
      <c r="B392">
        <v>220</v>
      </c>
      <c r="C392">
        <v>2017</v>
      </c>
      <c r="D392" t="s">
        <v>96</v>
      </c>
      <c r="E392" t="s">
        <v>69</v>
      </c>
      <c r="F392" s="2">
        <v>0</v>
      </c>
      <c r="G392" s="2">
        <v>0.67300000000000004</v>
      </c>
      <c r="H392" s="14">
        <f t="shared" si="37"/>
        <v>0</v>
      </c>
      <c r="I392" s="5">
        <v>80000000</v>
      </c>
      <c r="J392">
        <v>1</v>
      </c>
      <c r="K392" s="6">
        <v>3.3000000000000002E-2</v>
      </c>
      <c r="L392" s="6">
        <v>0.7</v>
      </c>
      <c r="M392" t="str">
        <f t="shared" si="36"/>
        <v>SUBL</v>
      </c>
      <c r="N392" t="s">
        <v>70</v>
      </c>
      <c r="O392" t="str">
        <f>VLOOKUP(Table1[[#This Row],[SCHEMATIC TYPE]],'SCHEMATIC Lookup'!$B$1:$C$5,2)</f>
        <v>Leveraged Whole Loan</v>
      </c>
      <c r="P392" s="5">
        <v>115400000</v>
      </c>
      <c r="Q392" s="5" t="s">
        <v>116</v>
      </c>
      <c r="R392" s="5" t="s">
        <v>79</v>
      </c>
      <c r="S392" t="s">
        <v>71</v>
      </c>
      <c r="T392" s="5" t="s">
        <v>88</v>
      </c>
      <c r="U392" s="12" t="s">
        <v>232</v>
      </c>
      <c r="V392" s="12" t="s">
        <v>234</v>
      </c>
      <c r="W392">
        <v>36</v>
      </c>
      <c r="X392" s="2">
        <f t="shared" si="38"/>
        <v>0.47110000000000002</v>
      </c>
      <c r="Y392" s="5">
        <f t="shared" si="39"/>
        <v>24000000.000000004</v>
      </c>
      <c r="Z392" s="5">
        <f t="shared" si="40"/>
        <v>80000000</v>
      </c>
    </row>
    <row r="393" spans="1:26" x14ac:dyDescent="0.25">
      <c r="A393">
        <v>14800</v>
      </c>
      <c r="B393">
        <v>220</v>
      </c>
      <c r="C393">
        <v>2018</v>
      </c>
      <c r="D393" t="s">
        <v>96</v>
      </c>
      <c r="E393" t="s">
        <v>69</v>
      </c>
      <c r="F393" s="2">
        <v>0</v>
      </c>
      <c r="G393" s="2">
        <v>0.66800000000000004</v>
      </c>
      <c r="H393" s="14">
        <f t="shared" si="37"/>
        <v>0</v>
      </c>
      <c r="I393" s="5">
        <v>51000000</v>
      </c>
      <c r="J393">
        <v>2</v>
      </c>
      <c r="K393" s="6">
        <v>2.5499999999999998E-2</v>
      </c>
      <c r="L393" s="6">
        <v>0.65</v>
      </c>
      <c r="M393" t="str">
        <f t="shared" si="36"/>
        <v>SUBL</v>
      </c>
      <c r="N393" t="s">
        <v>70</v>
      </c>
      <c r="O393" t="str">
        <f>VLOOKUP(Table1[[#This Row],[SCHEMATIC TYPE]],'SCHEMATIC Lookup'!$B$1:$C$5,2)</f>
        <v>Leveraged Whole Loan</v>
      </c>
      <c r="P393" s="5">
        <v>76400000</v>
      </c>
      <c r="Q393" s="5" t="s">
        <v>116</v>
      </c>
      <c r="R393" s="5" t="s">
        <v>79</v>
      </c>
      <c r="S393" t="s">
        <v>71</v>
      </c>
      <c r="T393" s="5" t="s">
        <v>88</v>
      </c>
      <c r="U393" s="12" t="s">
        <v>232</v>
      </c>
      <c r="V393" s="12" t="s">
        <v>234</v>
      </c>
      <c r="W393">
        <v>36</v>
      </c>
      <c r="X393" s="2">
        <f t="shared" si="38"/>
        <v>0.43420000000000003</v>
      </c>
      <c r="Y393" s="5">
        <f t="shared" si="39"/>
        <v>17850000</v>
      </c>
      <c r="Z393" s="5">
        <f t="shared" si="40"/>
        <v>51000000</v>
      </c>
    </row>
    <row r="394" spans="1:26" x14ac:dyDescent="0.25">
      <c r="A394">
        <v>14810</v>
      </c>
      <c r="B394">
        <v>220</v>
      </c>
      <c r="C394">
        <v>2018</v>
      </c>
      <c r="D394" t="s">
        <v>96</v>
      </c>
      <c r="E394" t="s">
        <v>69</v>
      </c>
      <c r="F394" s="2">
        <v>0</v>
      </c>
      <c r="G394" s="2">
        <v>0.67400000000000004</v>
      </c>
      <c r="H394" s="14">
        <f t="shared" si="37"/>
        <v>0</v>
      </c>
      <c r="I394" s="5">
        <v>24930000</v>
      </c>
      <c r="J394">
        <v>6</v>
      </c>
      <c r="K394" s="6">
        <v>2.4500000000000001E-2</v>
      </c>
      <c r="L394" s="6">
        <v>0</v>
      </c>
      <c r="M394" t="str">
        <f t="shared" si="36"/>
        <v>SENIOR</v>
      </c>
      <c r="N394" t="s">
        <v>90</v>
      </c>
      <c r="O394" t="str">
        <f>VLOOKUP(Table1[[#This Row],[SCHEMATIC TYPE]],'SCHEMATIC Lookup'!$B$1:$C$5,2)</f>
        <v>Senior Whole Loan</v>
      </c>
      <c r="P394" s="5">
        <v>37000000</v>
      </c>
      <c r="Q394" s="5" t="s">
        <v>116</v>
      </c>
      <c r="R394" s="5" t="s">
        <v>79</v>
      </c>
      <c r="S394" t="s">
        <v>71</v>
      </c>
      <c r="T394" s="5" t="s">
        <v>88</v>
      </c>
      <c r="U394" s="12" t="s">
        <v>238</v>
      </c>
      <c r="V394" s="12" t="s">
        <v>234</v>
      </c>
      <c r="W394">
        <v>36</v>
      </c>
      <c r="X394" s="2">
        <f t="shared" si="38"/>
        <v>0</v>
      </c>
      <c r="Y394" s="5">
        <f t="shared" si="39"/>
        <v>24930000</v>
      </c>
      <c r="Z394" s="5">
        <f t="shared" si="40"/>
        <v>24930000</v>
      </c>
    </row>
    <row r="395" spans="1:26" x14ac:dyDescent="0.25">
      <c r="A395">
        <v>14820</v>
      </c>
      <c r="B395">
        <v>220</v>
      </c>
      <c r="C395">
        <v>2018</v>
      </c>
      <c r="D395" t="s">
        <v>96</v>
      </c>
      <c r="E395" t="s">
        <v>69</v>
      </c>
      <c r="F395" s="2">
        <v>0</v>
      </c>
      <c r="G395" s="2">
        <v>0.58799999999999997</v>
      </c>
      <c r="H395" s="14">
        <f t="shared" si="37"/>
        <v>0</v>
      </c>
      <c r="I395" s="5">
        <v>27830000</v>
      </c>
      <c r="J395">
        <v>4</v>
      </c>
      <c r="K395" s="6">
        <v>3.7499999999999999E-2</v>
      </c>
      <c r="L395" s="6">
        <v>0.47</v>
      </c>
      <c r="M395" t="str">
        <f t="shared" si="36"/>
        <v>SUBL</v>
      </c>
      <c r="N395" t="s">
        <v>70</v>
      </c>
      <c r="O395" t="str">
        <f>VLOOKUP(Table1[[#This Row],[SCHEMATIC TYPE]],'SCHEMATIC Lookup'!$B$1:$C$5,2)</f>
        <v>Leveraged Whole Loan</v>
      </c>
      <c r="P395" s="5">
        <v>47300000</v>
      </c>
      <c r="Q395" s="5" t="s">
        <v>117</v>
      </c>
      <c r="R395" s="5" t="s">
        <v>79</v>
      </c>
      <c r="S395" t="s">
        <v>71</v>
      </c>
      <c r="T395" s="5" t="s">
        <v>88</v>
      </c>
      <c r="U395" s="12" t="s">
        <v>238</v>
      </c>
      <c r="V395" s="12" t="s">
        <v>230</v>
      </c>
      <c r="W395">
        <v>36</v>
      </c>
      <c r="X395" s="2">
        <f t="shared" si="38"/>
        <v>0.27635999999999999</v>
      </c>
      <c r="Y395" s="5">
        <f t="shared" si="39"/>
        <v>14749900</v>
      </c>
      <c r="Z395" s="5">
        <f t="shared" si="40"/>
        <v>27830000</v>
      </c>
    </row>
    <row r="396" spans="1:26" x14ac:dyDescent="0.25">
      <c r="A396">
        <v>14830</v>
      </c>
      <c r="B396">
        <v>220</v>
      </c>
      <c r="C396">
        <v>2018</v>
      </c>
      <c r="D396" t="s">
        <v>96</v>
      </c>
      <c r="E396" t="s">
        <v>69</v>
      </c>
      <c r="F396" s="2">
        <v>0</v>
      </c>
      <c r="G396" s="2">
        <v>0.7</v>
      </c>
      <c r="H396" s="14">
        <f t="shared" si="37"/>
        <v>0</v>
      </c>
      <c r="I396" s="5">
        <v>37000000</v>
      </c>
      <c r="J396">
        <v>6</v>
      </c>
      <c r="K396" s="6">
        <v>2.9000000000000001E-2</v>
      </c>
      <c r="L396" s="6">
        <v>0.6</v>
      </c>
      <c r="M396" t="str">
        <f t="shared" si="36"/>
        <v>SUBL</v>
      </c>
      <c r="N396" t="s">
        <v>70</v>
      </c>
      <c r="O396" t="str">
        <f>VLOOKUP(Table1[[#This Row],[SCHEMATIC TYPE]],'SCHEMATIC Lookup'!$B$1:$C$5,2)</f>
        <v>Leveraged Whole Loan</v>
      </c>
      <c r="P396" s="5">
        <v>53200000</v>
      </c>
      <c r="Q396" s="5" t="s">
        <v>116</v>
      </c>
      <c r="R396" s="5" t="s">
        <v>73</v>
      </c>
      <c r="S396" t="s">
        <v>71</v>
      </c>
      <c r="T396" s="5" t="s">
        <v>88</v>
      </c>
      <c r="U396" s="12" t="s">
        <v>232</v>
      </c>
      <c r="V396" s="12" t="s">
        <v>233</v>
      </c>
      <c r="W396">
        <v>36</v>
      </c>
      <c r="X396" s="2">
        <f t="shared" si="38"/>
        <v>0.42</v>
      </c>
      <c r="Y396" s="5">
        <f t="shared" si="39"/>
        <v>14800000</v>
      </c>
      <c r="Z396" s="5">
        <f t="shared" si="40"/>
        <v>37000000</v>
      </c>
    </row>
    <row r="397" spans="1:26" x14ac:dyDescent="0.25">
      <c r="A397">
        <v>14840</v>
      </c>
      <c r="B397">
        <v>220</v>
      </c>
      <c r="C397">
        <v>2018</v>
      </c>
      <c r="D397" t="s">
        <v>96</v>
      </c>
      <c r="E397" t="s">
        <v>69</v>
      </c>
      <c r="F397" s="2">
        <v>0</v>
      </c>
      <c r="G397" s="2">
        <v>0.8</v>
      </c>
      <c r="H397" s="14">
        <f t="shared" si="37"/>
        <v>0</v>
      </c>
      <c r="I397" s="5">
        <v>35000000</v>
      </c>
      <c r="J397">
        <v>2</v>
      </c>
      <c r="K397" s="6">
        <v>2.8000000000000001E-2</v>
      </c>
      <c r="L397" s="6">
        <v>0.6</v>
      </c>
      <c r="M397" t="str">
        <f t="shared" si="36"/>
        <v>SUBL</v>
      </c>
      <c r="N397" t="s">
        <v>70</v>
      </c>
      <c r="O397" t="str">
        <f>VLOOKUP(Table1[[#This Row],[SCHEMATIC TYPE]],'SCHEMATIC Lookup'!$B$1:$C$5,2)</f>
        <v>Leveraged Whole Loan</v>
      </c>
      <c r="P397" s="5">
        <v>50000000</v>
      </c>
      <c r="Q397" s="5" t="s">
        <v>117</v>
      </c>
      <c r="R397" s="5" t="s">
        <v>100</v>
      </c>
      <c r="S397" t="s">
        <v>71</v>
      </c>
      <c r="T397" s="5" t="s">
        <v>88</v>
      </c>
      <c r="U397" s="12" t="s">
        <v>232</v>
      </c>
      <c r="V397" s="12" t="s">
        <v>237</v>
      </c>
      <c r="W397">
        <v>36</v>
      </c>
      <c r="X397" s="2">
        <f t="shared" si="38"/>
        <v>0.48</v>
      </c>
      <c r="Y397" s="5">
        <f t="shared" si="39"/>
        <v>14000000</v>
      </c>
      <c r="Z397" s="5">
        <f t="shared" si="40"/>
        <v>35000000</v>
      </c>
    </row>
    <row r="398" spans="1:26" x14ac:dyDescent="0.25">
      <c r="A398">
        <v>14850</v>
      </c>
      <c r="B398">
        <v>220</v>
      </c>
      <c r="C398">
        <v>2018</v>
      </c>
      <c r="D398" t="s">
        <v>96</v>
      </c>
      <c r="E398" t="s">
        <v>69</v>
      </c>
      <c r="F398" s="2">
        <v>0</v>
      </c>
      <c r="G398" s="2">
        <v>0.624</v>
      </c>
      <c r="H398" s="14">
        <f t="shared" si="37"/>
        <v>0</v>
      </c>
      <c r="I398" s="5">
        <v>92385000</v>
      </c>
      <c r="J398">
        <v>1</v>
      </c>
      <c r="K398" s="6">
        <v>2.7199999999999998E-2</v>
      </c>
      <c r="L398" s="6">
        <v>0.6</v>
      </c>
      <c r="M398" t="str">
        <f t="shared" si="36"/>
        <v>SUBL</v>
      </c>
      <c r="N398" t="s">
        <v>70</v>
      </c>
      <c r="O398" t="str">
        <f>VLOOKUP(Table1[[#This Row],[SCHEMATIC TYPE]],'SCHEMATIC Lookup'!$B$1:$C$5,2)</f>
        <v>Leveraged Whole Loan</v>
      </c>
      <c r="P398" s="5">
        <v>154000000</v>
      </c>
      <c r="Q398" s="5" t="s">
        <v>116</v>
      </c>
      <c r="R398" s="5" t="s">
        <v>100</v>
      </c>
      <c r="S398" t="s">
        <v>71</v>
      </c>
      <c r="T398" s="5" t="s">
        <v>88</v>
      </c>
      <c r="U398" s="12" t="s">
        <v>238</v>
      </c>
      <c r="V398" s="12" t="s">
        <v>235</v>
      </c>
      <c r="W398">
        <v>36</v>
      </c>
      <c r="X398" s="2">
        <f t="shared" si="38"/>
        <v>0.37440000000000001</v>
      </c>
      <c r="Y398" s="5">
        <f t="shared" si="39"/>
        <v>36954000</v>
      </c>
      <c r="Z398" s="5">
        <f t="shared" si="40"/>
        <v>92385000</v>
      </c>
    </row>
    <row r="399" spans="1:26" x14ac:dyDescent="0.25">
      <c r="A399">
        <v>14860</v>
      </c>
      <c r="B399">
        <v>220</v>
      </c>
      <c r="C399">
        <v>2018</v>
      </c>
      <c r="D399" t="s">
        <v>96</v>
      </c>
      <c r="E399" t="s">
        <v>69</v>
      </c>
      <c r="F399" s="2">
        <v>0</v>
      </c>
      <c r="G399" s="2">
        <v>0.69899999999999995</v>
      </c>
      <c r="H399" s="14">
        <f t="shared" si="37"/>
        <v>0</v>
      </c>
      <c r="I399" s="5">
        <v>65000000</v>
      </c>
      <c r="J399">
        <v>2</v>
      </c>
      <c r="K399" s="6">
        <v>2.93E-2</v>
      </c>
      <c r="L399" s="6">
        <v>0.6</v>
      </c>
      <c r="M399" t="str">
        <f t="shared" si="36"/>
        <v>SUBL</v>
      </c>
      <c r="N399" t="s">
        <v>70</v>
      </c>
      <c r="O399" t="str">
        <f>VLOOKUP(Table1[[#This Row],[SCHEMATIC TYPE]],'SCHEMATIC Lookup'!$B$1:$C$5,2)</f>
        <v>Leveraged Whole Loan</v>
      </c>
      <c r="P399" s="5">
        <v>93100000</v>
      </c>
      <c r="Q399" s="5" t="s">
        <v>116</v>
      </c>
      <c r="R399" s="5" t="s">
        <v>100</v>
      </c>
      <c r="S399" t="s">
        <v>71</v>
      </c>
      <c r="T399" s="5" t="s">
        <v>88</v>
      </c>
      <c r="U399" s="12" t="s">
        <v>232</v>
      </c>
      <c r="V399" s="12" t="s">
        <v>234</v>
      </c>
      <c r="W399">
        <v>36</v>
      </c>
      <c r="X399" s="2">
        <f t="shared" si="38"/>
        <v>0.41939999999999994</v>
      </c>
      <c r="Y399" s="5">
        <f t="shared" si="39"/>
        <v>26000000</v>
      </c>
      <c r="Z399" s="5">
        <f t="shared" si="40"/>
        <v>65000000</v>
      </c>
    </row>
    <row r="400" spans="1:26" x14ac:dyDescent="0.25">
      <c r="A400">
        <v>14870</v>
      </c>
      <c r="B400">
        <v>220</v>
      </c>
      <c r="C400">
        <v>2018</v>
      </c>
      <c r="D400" t="s">
        <v>96</v>
      </c>
      <c r="E400" t="s">
        <v>69</v>
      </c>
      <c r="F400" s="2">
        <v>0</v>
      </c>
      <c r="G400" s="2">
        <v>0.63400000000000001</v>
      </c>
      <c r="H400" s="14">
        <f t="shared" si="37"/>
        <v>0</v>
      </c>
      <c r="I400" s="5">
        <v>125357000</v>
      </c>
      <c r="J400">
        <v>7</v>
      </c>
      <c r="K400" s="6">
        <v>3.5000000000000003E-2</v>
      </c>
      <c r="L400" s="6">
        <v>0.41133789086601347</v>
      </c>
      <c r="M400" t="str">
        <f t="shared" si="36"/>
        <v>SUBL</v>
      </c>
      <c r="N400" t="s">
        <v>70</v>
      </c>
      <c r="O400" t="str">
        <f>VLOOKUP(Table1[[#This Row],[SCHEMATIC TYPE]],'SCHEMATIC Lookup'!$B$1:$C$5,2)</f>
        <v>Leveraged Whole Loan</v>
      </c>
      <c r="P400" s="5">
        <v>230150000</v>
      </c>
      <c r="Q400" s="5" t="s">
        <v>116</v>
      </c>
      <c r="R400" s="5" t="s">
        <v>100</v>
      </c>
      <c r="S400" t="s">
        <v>71</v>
      </c>
      <c r="T400" s="5" t="s">
        <v>88</v>
      </c>
      <c r="U400" s="12" t="s">
        <v>238</v>
      </c>
      <c r="V400" s="12" t="s">
        <v>235</v>
      </c>
      <c r="W400">
        <v>36</v>
      </c>
      <c r="X400" s="2">
        <f t="shared" si="38"/>
        <v>0.26078822280905256</v>
      </c>
      <c r="Y400" s="5">
        <f t="shared" si="39"/>
        <v>73792916.014709145</v>
      </c>
      <c r="Z400" s="5">
        <f t="shared" si="40"/>
        <v>125357000</v>
      </c>
    </row>
    <row r="401" spans="1:26" x14ac:dyDescent="0.25">
      <c r="A401">
        <v>14880</v>
      </c>
      <c r="B401">
        <v>220</v>
      </c>
      <c r="C401">
        <v>2018</v>
      </c>
      <c r="D401" t="s">
        <v>74</v>
      </c>
      <c r="E401" t="s">
        <v>69</v>
      </c>
      <c r="F401" s="2">
        <v>0.35499999999999998</v>
      </c>
      <c r="G401" s="2">
        <v>0.47399999999999998</v>
      </c>
      <c r="H401" s="14">
        <f t="shared" si="37"/>
        <v>0</v>
      </c>
      <c r="I401" s="5">
        <v>25000000</v>
      </c>
      <c r="J401">
        <v>1</v>
      </c>
      <c r="K401" s="6">
        <v>6.25E-2</v>
      </c>
      <c r="L401" s="6">
        <v>0</v>
      </c>
      <c r="M401" t="str">
        <f t="shared" si="36"/>
        <v>SUB</v>
      </c>
      <c r="N401" t="s">
        <v>75</v>
      </c>
      <c r="O401" t="str">
        <f>VLOOKUP(Table1[[#This Row],[SCHEMATIC TYPE]],'SCHEMATIC Lookup'!$B$1:$C$5,2)</f>
        <v>Mezzanine Loan</v>
      </c>
      <c r="P401" s="5">
        <v>211000000</v>
      </c>
      <c r="Q401" s="5" t="s">
        <v>116</v>
      </c>
      <c r="R401" s="5" t="s">
        <v>100</v>
      </c>
      <c r="S401" t="s">
        <v>71</v>
      </c>
      <c r="T401" s="5" t="s">
        <v>88</v>
      </c>
      <c r="U401" s="12" t="s">
        <v>238</v>
      </c>
      <c r="V401" s="12" t="s">
        <v>240</v>
      </c>
      <c r="W401">
        <v>36</v>
      </c>
      <c r="X401" s="2">
        <f t="shared" si="38"/>
        <v>0.35499999999999998</v>
      </c>
      <c r="Y401" s="5">
        <f t="shared" si="39"/>
        <v>25000000</v>
      </c>
      <c r="Z401" s="5">
        <f t="shared" si="40"/>
        <v>25000000</v>
      </c>
    </row>
    <row r="402" spans="1:26" x14ac:dyDescent="0.25">
      <c r="A402">
        <v>14890</v>
      </c>
      <c r="B402">
        <v>220</v>
      </c>
      <c r="C402">
        <v>2018</v>
      </c>
      <c r="D402" t="s">
        <v>96</v>
      </c>
      <c r="E402" t="s">
        <v>69</v>
      </c>
      <c r="F402" s="2">
        <v>0</v>
      </c>
      <c r="G402" s="2">
        <v>0.76100000000000001</v>
      </c>
      <c r="H402" s="14">
        <f t="shared" si="37"/>
        <v>0</v>
      </c>
      <c r="I402" s="5">
        <v>34000000</v>
      </c>
      <c r="J402">
        <v>2</v>
      </c>
      <c r="K402" s="6">
        <v>2.2499999999999999E-2</v>
      </c>
      <c r="L402" s="6">
        <v>0.65</v>
      </c>
      <c r="M402" t="str">
        <f t="shared" si="36"/>
        <v>SUBL</v>
      </c>
      <c r="N402" t="s">
        <v>70</v>
      </c>
      <c r="O402" t="str">
        <f>VLOOKUP(Table1[[#This Row],[SCHEMATIC TYPE]],'SCHEMATIC Lookup'!$B$1:$C$5,2)</f>
        <v>Leveraged Whole Loan</v>
      </c>
      <c r="P402" s="5">
        <v>48000000</v>
      </c>
      <c r="Q402" s="5" t="s">
        <v>116</v>
      </c>
      <c r="R402" s="5" t="s">
        <v>100</v>
      </c>
      <c r="S402" t="s">
        <v>71</v>
      </c>
      <c r="T402" s="5" t="s">
        <v>88</v>
      </c>
      <c r="U402" s="12" t="s">
        <v>232</v>
      </c>
      <c r="V402" s="12" t="s">
        <v>231</v>
      </c>
      <c r="W402">
        <v>36</v>
      </c>
      <c r="X402" s="2">
        <f t="shared" si="38"/>
        <v>0.49465000000000003</v>
      </c>
      <c r="Y402" s="5">
        <f t="shared" si="39"/>
        <v>11900000</v>
      </c>
      <c r="Z402" s="5">
        <f t="shared" si="40"/>
        <v>34000000</v>
      </c>
    </row>
    <row r="403" spans="1:26" x14ac:dyDescent="0.25">
      <c r="A403">
        <v>14900</v>
      </c>
      <c r="B403">
        <v>220</v>
      </c>
      <c r="C403">
        <v>2018</v>
      </c>
      <c r="D403" t="s">
        <v>96</v>
      </c>
      <c r="E403" t="s">
        <v>69</v>
      </c>
      <c r="F403" s="2">
        <v>0</v>
      </c>
      <c r="G403" s="2">
        <v>0.61799999999999999</v>
      </c>
      <c r="H403" s="14">
        <f t="shared" si="37"/>
        <v>0</v>
      </c>
      <c r="I403" s="5">
        <v>88300000</v>
      </c>
      <c r="J403">
        <v>1</v>
      </c>
      <c r="K403" s="6">
        <v>2.35E-2</v>
      </c>
      <c r="L403" s="6">
        <v>0.65</v>
      </c>
      <c r="M403" t="str">
        <f t="shared" ref="M403:M434" si="41">IF(AND(H403=0,OR(F403&gt;0,L403&gt;0)),"SUB",IF(AND(H403=0,F403=0),"SENIOR","BAD"))&amp;IF(L403&gt;0,"L","")</f>
        <v>SUBL</v>
      </c>
      <c r="N403" t="s">
        <v>70</v>
      </c>
      <c r="O403" t="str">
        <f>VLOOKUP(Table1[[#This Row],[SCHEMATIC TYPE]],'SCHEMATIC Lookup'!$B$1:$C$5,2)</f>
        <v>Leveraged Whole Loan</v>
      </c>
      <c r="P403" s="5">
        <v>142300000</v>
      </c>
      <c r="Q403" s="5" t="s">
        <v>117</v>
      </c>
      <c r="R403" s="5" t="s">
        <v>100</v>
      </c>
      <c r="S403" t="s">
        <v>71</v>
      </c>
      <c r="T403" s="5" t="s">
        <v>88</v>
      </c>
      <c r="U403" s="12" t="s">
        <v>232</v>
      </c>
      <c r="V403" s="12" t="s">
        <v>235</v>
      </c>
      <c r="W403">
        <v>48</v>
      </c>
      <c r="X403" s="2">
        <f t="shared" si="38"/>
        <v>0.4017</v>
      </c>
      <c r="Y403" s="5">
        <f t="shared" si="39"/>
        <v>30904999.999999996</v>
      </c>
      <c r="Z403" s="5">
        <f t="shared" si="40"/>
        <v>88300000</v>
      </c>
    </row>
    <row r="404" spans="1:26" x14ac:dyDescent="0.25">
      <c r="A404">
        <v>14910</v>
      </c>
      <c r="B404">
        <v>220</v>
      </c>
      <c r="C404">
        <v>2019</v>
      </c>
      <c r="D404" t="s">
        <v>96</v>
      </c>
      <c r="E404" t="s">
        <v>69</v>
      </c>
      <c r="F404" s="2">
        <v>0</v>
      </c>
      <c r="G404" s="2">
        <v>0.65600000000000003</v>
      </c>
      <c r="H404" s="14">
        <f t="shared" si="37"/>
        <v>0</v>
      </c>
      <c r="I404" s="5">
        <v>40000000</v>
      </c>
      <c r="J404">
        <v>2</v>
      </c>
      <c r="K404" s="6">
        <v>2.35E-2</v>
      </c>
      <c r="L404" s="6">
        <v>0.7</v>
      </c>
      <c r="M404" t="str">
        <f t="shared" si="41"/>
        <v>SUBL</v>
      </c>
      <c r="N404" t="s">
        <v>70</v>
      </c>
      <c r="O404" t="str">
        <f>VLOOKUP(Table1[[#This Row],[SCHEMATIC TYPE]],'SCHEMATIC Lookup'!$B$1:$C$5,2)</f>
        <v>Leveraged Whole Loan</v>
      </c>
      <c r="P404" s="5">
        <v>61000000</v>
      </c>
      <c r="Q404" s="5" t="s">
        <v>116</v>
      </c>
      <c r="R404" s="5" t="s">
        <v>100</v>
      </c>
      <c r="S404" t="s">
        <v>71</v>
      </c>
      <c r="T404" s="5" t="s">
        <v>88</v>
      </c>
      <c r="U404" s="12" t="s">
        <v>232</v>
      </c>
      <c r="V404" s="12" t="s">
        <v>234</v>
      </c>
      <c r="W404">
        <v>48</v>
      </c>
      <c r="X404" s="2">
        <f t="shared" si="38"/>
        <v>0.4592</v>
      </c>
      <c r="Y404" s="5">
        <f t="shared" si="39"/>
        <v>12000000.000000002</v>
      </c>
      <c r="Z404" s="5">
        <f t="shared" si="40"/>
        <v>40000000</v>
      </c>
    </row>
    <row r="405" spans="1:26" x14ac:dyDescent="0.25">
      <c r="A405">
        <v>14920</v>
      </c>
      <c r="B405">
        <v>220</v>
      </c>
      <c r="C405">
        <v>2019</v>
      </c>
      <c r="D405" t="s">
        <v>96</v>
      </c>
      <c r="E405" t="s">
        <v>69</v>
      </c>
      <c r="F405" s="2">
        <v>0</v>
      </c>
      <c r="G405" s="2">
        <v>0.65900000000000003</v>
      </c>
      <c r="H405" s="14">
        <f t="shared" si="37"/>
        <v>0</v>
      </c>
      <c r="I405" s="5">
        <v>78905000</v>
      </c>
      <c r="J405">
        <v>2</v>
      </c>
      <c r="K405" s="6">
        <v>2.2499999999999999E-2</v>
      </c>
      <c r="L405" s="6">
        <v>0.7</v>
      </c>
      <c r="M405" t="str">
        <f t="shared" si="41"/>
        <v>SUBL</v>
      </c>
      <c r="N405" t="s">
        <v>70</v>
      </c>
      <c r="O405" t="str">
        <f>VLOOKUP(Table1[[#This Row],[SCHEMATIC TYPE]],'SCHEMATIC Lookup'!$B$1:$C$5,2)</f>
        <v>Leveraged Whole Loan</v>
      </c>
      <c r="P405" s="5">
        <v>119700000</v>
      </c>
      <c r="Q405" s="5" t="s">
        <v>117</v>
      </c>
      <c r="R405" s="5" t="s">
        <v>100</v>
      </c>
      <c r="S405" t="s">
        <v>71</v>
      </c>
      <c r="T405" s="5" t="s">
        <v>88</v>
      </c>
      <c r="U405" s="12" t="s">
        <v>232</v>
      </c>
      <c r="V405" s="12" t="s">
        <v>234</v>
      </c>
      <c r="W405">
        <v>36</v>
      </c>
      <c r="X405" s="2">
        <f t="shared" si="38"/>
        <v>0.46129999999999999</v>
      </c>
      <c r="Y405" s="5">
        <f t="shared" si="39"/>
        <v>23671500.000000004</v>
      </c>
      <c r="Z405" s="5">
        <f t="shared" si="40"/>
        <v>78905000</v>
      </c>
    </row>
    <row r="406" spans="1:26" x14ac:dyDescent="0.25">
      <c r="A406">
        <v>14930</v>
      </c>
      <c r="B406">
        <v>220</v>
      </c>
      <c r="C406">
        <v>2018</v>
      </c>
      <c r="D406" t="s">
        <v>96</v>
      </c>
      <c r="E406" t="s">
        <v>69</v>
      </c>
      <c r="F406" s="2">
        <v>0</v>
      </c>
      <c r="G406" s="2">
        <v>0.58799999999999997</v>
      </c>
      <c r="H406" s="14">
        <f t="shared" si="37"/>
        <v>0</v>
      </c>
      <c r="I406" s="5">
        <v>55000000</v>
      </c>
      <c r="J406">
        <v>2</v>
      </c>
      <c r="K406" s="6">
        <v>2.1000000000000001E-2</v>
      </c>
      <c r="L406" s="6">
        <v>0.65</v>
      </c>
      <c r="M406" t="str">
        <f t="shared" si="41"/>
        <v>SUBL</v>
      </c>
      <c r="N406" t="s">
        <v>70</v>
      </c>
      <c r="O406" t="str">
        <f>VLOOKUP(Table1[[#This Row],[SCHEMATIC TYPE]],'SCHEMATIC Lookup'!$B$1:$C$5,2)</f>
        <v>Leveraged Whole Loan</v>
      </c>
      <c r="P406" s="5">
        <v>93600000</v>
      </c>
      <c r="Q406" t="s">
        <v>116</v>
      </c>
      <c r="R406" s="5" t="s">
        <v>100</v>
      </c>
      <c r="S406" t="s">
        <v>71</v>
      </c>
      <c r="T406" s="5" t="s">
        <v>88</v>
      </c>
      <c r="U406" s="12" t="s">
        <v>238</v>
      </c>
      <c r="V406" s="12" t="s">
        <v>230</v>
      </c>
      <c r="W406">
        <v>48</v>
      </c>
      <c r="X406" s="2">
        <f t="shared" si="38"/>
        <v>0.38219999999999998</v>
      </c>
      <c r="Y406" s="5">
        <f t="shared" si="39"/>
        <v>19250000</v>
      </c>
      <c r="Z406" s="5">
        <f t="shared" si="40"/>
        <v>55000000</v>
      </c>
    </row>
    <row r="407" spans="1:26" x14ac:dyDescent="0.25">
      <c r="A407">
        <v>14940</v>
      </c>
      <c r="B407">
        <v>220</v>
      </c>
      <c r="C407">
        <v>2018</v>
      </c>
      <c r="D407" t="s">
        <v>96</v>
      </c>
      <c r="E407" t="s">
        <v>69</v>
      </c>
      <c r="F407" s="2">
        <v>0</v>
      </c>
      <c r="G407" s="2">
        <v>0.53100000000000003</v>
      </c>
      <c r="H407" s="14">
        <f t="shared" si="37"/>
        <v>0</v>
      </c>
      <c r="I407" s="5">
        <v>88450000</v>
      </c>
      <c r="J407">
        <v>6</v>
      </c>
      <c r="K407" s="6">
        <v>2.1999999999999999E-2</v>
      </c>
      <c r="L407" s="6">
        <v>0.6</v>
      </c>
      <c r="M407" t="str">
        <f t="shared" si="41"/>
        <v>SUBL</v>
      </c>
      <c r="N407" t="s">
        <v>70</v>
      </c>
      <c r="O407" t="str">
        <f>VLOOKUP(Table1[[#This Row],[SCHEMATIC TYPE]],'SCHEMATIC Lookup'!$B$1:$C$5,2)</f>
        <v>Leveraged Whole Loan</v>
      </c>
      <c r="P407" s="5">
        <v>160000000</v>
      </c>
      <c r="Q407" t="s">
        <v>117</v>
      </c>
      <c r="R407" s="5" t="s">
        <v>100</v>
      </c>
      <c r="S407" t="s">
        <v>71</v>
      </c>
      <c r="T407" t="s">
        <v>88</v>
      </c>
      <c r="U407" s="12" t="s">
        <v>238</v>
      </c>
      <c r="V407" s="12" t="s">
        <v>240</v>
      </c>
      <c r="W407">
        <v>36</v>
      </c>
      <c r="X407" s="2">
        <f t="shared" si="38"/>
        <v>0.31859999999999999</v>
      </c>
      <c r="Y407" s="5">
        <f t="shared" si="39"/>
        <v>35380000</v>
      </c>
      <c r="Z407" s="5">
        <f t="shared" si="40"/>
        <v>88450000</v>
      </c>
    </row>
    <row r="408" spans="1:26" x14ac:dyDescent="0.25">
      <c r="A408">
        <v>14950</v>
      </c>
      <c r="B408">
        <v>220</v>
      </c>
      <c r="C408">
        <v>2018</v>
      </c>
      <c r="D408" t="s">
        <v>74</v>
      </c>
      <c r="E408" t="s">
        <v>69</v>
      </c>
      <c r="F408" s="2">
        <v>0.34599999999999997</v>
      </c>
      <c r="G408" s="2">
        <v>0.40799999999999997</v>
      </c>
      <c r="H408" s="14">
        <f t="shared" si="37"/>
        <v>0</v>
      </c>
      <c r="I408" s="5">
        <v>35000000</v>
      </c>
      <c r="J408">
        <v>6</v>
      </c>
      <c r="K408" s="6">
        <v>0.05</v>
      </c>
      <c r="L408" s="6">
        <v>0</v>
      </c>
      <c r="M408" t="str">
        <f t="shared" si="41"/>
        <v>SUB</v>
      </c>
      <c r="N408" t="s">
        <v>75</v>
      </c>
      <c r="O408" t="str">
        <f>VLOOKUP(Table1[[#This Row],[SCHEMATIC TYPE]],'SCHEMATIC Lookup'!$B$1:$C$5,2)</f>
        <v>Mezzanine Loan</v>
      </c>
      <c r="P408" s="5">
        <v>572000000</v>
      </c>
      <c r="Q408" t="s">
        <v>118</v>
      </c>
      <c r="R408" s="5" t="s">
        <v>100</v>
      </c>
      <c r="S408" t="s">
        <v>71</v>
      </c>
      <c r="T408" t="s">
        <v>88</v>
      </c>
      <c r="U408" s="12" t="s">
        <v>238</v>
      </c>
      <c r="V408" s="12" t="s">
        <v>240</v>
      </c>
      <c r="W408">
        <v>24</v>
      </c>
      <c r="X408" s="2">
        <f t="shared" si="38"/>
        <v>0.34599999999999997</v>
      </c>
      <c r="Y408" s="5">
        <f t="shared" si="39"/>
        <v>35000000</v>
      </c>
      <c r="Z408" s="5">
        <f t="shared" si="40"/>
        <v>35000000</v>
      </c>
    </row>
    <row r="409" spans="1:26" x14ac:dyDescent="0.25">
      <c r="A409">
        <v>14960</v>
      </c>
      <c r="B409">
        <v>220</v>
      </c>
      <c r="C409">
        <v>2019</v>
      </c>
      <c r="D409" t="s">
        <v>96</v>
      </c>
      <c r="E409" t="s">
        <v>69</v>
      </c>
      <c r="F409" s="2">
        <v>0</v>
      </c>
      <c r="G409" s="2">
        <v>0.60299999999999998</v>
      </c>
      <c r="H409" s="14">
        <f t="shared" si="37"/>
        <v>0</v>
      </c>
      <c r="I409" s="5">
        <v>16000000</v>
      </c>
      <c r="J409">
        <v>6</v>
      </c>
      <c r="K409" s="6">
        <v>2.75E-2</v>
      </c>
      <c r="L409" s="6">
        <v>0.7</v>
      </c>
      <c r="M409" t="str">
        <f t="shared" si="41"/>
        <v>SUBL</v>
      </c>
      <c r="N409" t="s">
        <v>70</v>
      </c>
      <c r="O409" t="str">
        <f>VLOOKUP(Table1[[#This Row],[SCHEMATIC TYPE]],'SCHEMATIC Lookup'!$B$1:$C$5,2)</f>
        <v>Leveraged Whole Loan</v>
      </c>
      <c r="P409" s="5">
        <v>26000000</v>
      </c>
      <c r="Q409" t="s">
        <v>116</v>
      </c>
      <c r="R409" s="5" t="s">
        <v>100</v>
      </c>
      <c r="S409" t="s">
        <v>71</v>
      </c>
      <c r="T409" t="s">
        <v>88</v>
      </c>
      <c r="U409" s="12" t="s">
        <v>232</v>
      </c>
      <c r="V409" s="12" t="s">
        <v>235</v>
      </c>
      <c r="W409">
        <v>36</v>
      </c>
      <c r="X409" s="2">
        <f t="shared" si="38"/>
        <v>0.42209999999999998</v>
      </c>
      <c r="Y409" s="5">
        <f t="shared" si="39"/>
        <v>4800000.0000000009</v>
      </c>
      <c r="Z409" s="5">
        <f t="shared" si="40"/>
        <v>16000000</v>
      </c>
    </row>
    <row r="410" spans="1:26" x14ac:dyDescent="0.25">
      <c r="A410">
        <v>14970</v>
      </c>
      <c r="B410">
        <v>220</v>
      </c>
      <c r="C410">
        <v>2019</v>
      </c>
      <c r="D410" t="s">
        <v>96</v>
      </c>
      <c r="E410" t="s">
        <v>69</v>
      </c>
      <c r="F410" s="2">
        <v>0</v>
      </c>
      <c r="G410" s="2">
        <v>0.73599999999999999</v>
      </c>
      <c r="H410" s="14">
        <f t="shared" si="37"/>
        <v>0</v>
      </c>
      <c r="I410" s="5">
        <v>32500000</v>
      </c>
      <c r="J410">
        <v>4</v>
      </c>
      <c r="K410" s="6">
        <v>2.3E-2</v>
      </c>
      <c r="L410" s="6">
        <v>0.65</v>
      </c>
      <c r="M410" t="str">
        <f t="shared" si="41"/>
        <v>SUBL</v>
      </c>
      <c r="N410" t="s">
        <v>70</v>
      </c>
      <c r="O410" t="str">
        <f>VLOOKUP(Table1[[#This Row],[SCHEMATIC TYPE]],'SCHEMATIC Lookup'!$B$1:$C$5,2)</f>
        <v>Leveraged Whole Loan</v>
      </c>
      <c r="P410" s="5">
        <v>44170000</v>
      </c>
      <c r="Q410" t="s">
        <v>117</v>
      </c>
      <c r="R410" s="5" t="s">
        <v>100</v>
      </c>
      <c r="S410" t="s">
        <v>71</v>
      </c>
      <c r="T410" t="s">
        <v>88</v>
      </c>
      <c r="U410" s="12" t="s">
        <v>232</v>
      </c>
      <c r="V410" s="12" t="s">
        <v>233</v>
      </c>
      <c r="W410">
        <v>36</v>
      </c>
      <c r="X410" s="2">
        <f t="shared" si="38"/>
        <v>0.47839999999999999</v>
      </c>
      <c r="Y410" s="5">
        <f t="shared" si="39"/>
        <v>11375000</v>
      </c>
      <c r="Z410" s="5">
        <f t="shared" si="40"/>
        <v>32500000</v>
      </c>
    </row>
    <row r="411" spans="1:26" x14ac:dyDescent="0.25">
      <c r="A411">
        <v>14980</v>
      </c>
      <c r="B411">
        <v>220</v>
      </c>
      <c r="C411">
        <v>2019</v>
      </c>
      <c r="D411" t="s">
        <v>96</v>
      </c>
      <c r="E411" t="s">
        <v>69</v>
      </c>
      <c r="F411" s="2">
        <v>0</v>
      </c>
      <c r="G411" s="2">
        <v>0.63500000000000001</v>
      </c>
      <c r="H411" s="14">
        <f t="shared" si="37"/>
        <v>0</v>
      </c>
      <c r="I411" s="5">
        <v>75000000</v>
      </c>
      <c r="J411">
        <v>2</v>
      </c>
      <c r="K411" s="6">
        <v>2.5499999999999998E-2</v>
      </c>
      <c r="L411" s="6">
        <v>0.7</v>
      </c>
      <c r="M411" t="str">
        <f t="shared" si="41"/>
        <v>SUBL</v>
      </c>
      <c r="N411" t="s">
        <v>70</v>
      </c>
      <c r="O411" t="str">
        <f>VLOOKUP(Table1[[#This Row],[SCHEMATIC TYPE]],'SCHEMATIC Lookup'!$B$1:$C$5,2)</f>
        <v>Leveraged Whole Loan</v>
      </c>
      <c r="P411" s="5">
        <v>119500000</v>
      </c>
      <c r="Q411" t="s">
        <v>116</v>
      </c>
      <c r="R411" s="5" t="s">
        <v>100</v>
      </c>
      <c r="S411" t="s">
        <v>71</v>
      </c>
      <c r="T411" t="s">
        <v>88</v>
      </c>
      <c r="U411" s="12" t="s">
        <v>232</v>
      </c>
      <c r="V411" s="12" t="s">
        <v>235</v>
      </c>
      <c r="W411">
        <v>36</v>
      </c>
      <c r="X411" s="2">
        <f t="shared" si="38"/>
        <v>0.44449999999999995</v>
      </c>
      <c r="Y411" s="5">
        <f t="shared" si="39"/>
        <v>22500000.000000004</v>
      </c>
      <c r="Z411" s="5">
        <f t="shared" si="40"/>
        <v>75000000</v>
      </c>
    </row>
    <row r="412" spans="1:26" x14ac:dyDescent="0.25">
      <c r="A412">
        <v>14990</v>
      </c>
      <c r="B412">
        <v>220</v>
      </c>
      <c r="C412">
        <v>2019</v>
      </c>
      <c r="D412" t="s">
        <v>96</v>
      </c>
      <c r="E412" t="s">
        <v>69</v>
      </c>
      <c r="F412" s="2">
        <v>0</v>
      </c>
      <c r="G412" s="2">
        <v>0.64524647887323938</v>
      </c>
      <c r="H412" s="14">
        <f t="shared" si="37"/>
        <v>0</v>
      </c>
      <c r="I412" s="5">
        <v>36650000</v>
      </c>
      <c r="J412">
        <v>2</v>
      </c>
      <c r="K412" s="6">
        <v>2.5000000000000001E-2</v>
      </c>
      <c r="L412" s="6">
        <v>0.7</v>
      </c>
      <c r="M412" t="str">
        <f t="shared" si="41"/>
        <v>SUBL</v>
      </c>
      <c r="N412" t="s">
        <v>70</v>
      </c>
      <c r="O412" t="str">
        <f>VLOOKUP(Table1[[#This Row],[SCHEMATIC TYPE]],'SCHEMATIC Lookup'!$B$1:$C$5,2)</f>
        <v>Leveraged Whole Loan</v>
      </c>
      <c r="P412" s="5">
        <v>56800000</v>
      </c>
      <c r="Q412" t="s">
        <v>19</v>
      </c>
      <c r="R412" s="5" t="s">
        <v>100</v>
      </c>
      <c r="S412" t="s">
        <v>71</v>
      </c>
      <c r="T412" t="s">
        <v>19</v>
      </c>
      <c r="U412" s="12" t="s">
        <v>232</v>
      </c>
      <c r="V412" s="12" t="s">
        <v>235</v>
      </c>
      <c r="W412">
        <v>36</v>
      </c>
      <c r="X412" s="2">
        <f t="shared" si="38"/>
        <v>0.45167253521126755</v>
      </c>
      <c r="Y412" s="5">
        <f t="shared" si="39"/>
        <v>10995000.000000002</v>
      </c>
      <c r="Z412" s="5">
        <f t="shared" si="40"/>
        <v>36650000</v>
      </c>
    </row>
    <row r="413" spans="1:26" x14ac:dyDescent="0.25">
      <c r="A413">
        <v>15000</v>
      </c>
      <c r="B413">
        <v>220</v>
      </c>
      <c r="C413">
        <v>2019</v>
      </c>
      <c r="D413" t="s">
        <v>96</v>
      </c>
      <c r="E413" t="s">
        <v>69</v>
      </c>
      <c r="F413" s="2">
        <v>0</v>
      </c>
      <c r="G413" s="2">
        <v>0.72824156305506216</v>
      </c>
      <c r="H413" s="14">
        <f t="shared" si="37"/>
        <v>0</v>
      </c>
      <c r="I413" s="5">
        <v>123000000</v>
      </c>
      <c r="J413">
        <v>1</v>
      </c>
      <c r="K413" s="6">
        <v>2.1250000000000002E-2</v>
      </c>
      <c r="L413" s="6">
        <v>0.7</v>
      </c>
      <c r="M413" t="str">
        <f t="shared" si="41"/>
        <v>SUBL</v>
      </c>
      <c r="N413" t="s">
        <v>70</v>
      </c>
      <c r="O413" t="str">
        <f>VLOOKUP(Table1[[#This Row],[SCHEMATIC TYPE]],'SCHEMATIC Lookup'!$B$1:$C$5,2)</f>
        <v>Leveraged Whole Loan</v>
      </c>
      <c r="P413" s="5">
        <v>168900000</v>
      </c>
      <c r="Q413" t="s">
        <v>117</v>
      </c>
      <c r="R413" s="5" t="s">
        <v>100</v>
      </c>
      <c r="S413" t="s">
        <v>71</v>
      </c>
      <c r="T413" t="s">
        <v>88</v>
      </c>
      <c r="U413" s="12" t="s">
        <v>236</v>
      </c>
      <c r="V413" s="12" t="s">
        <v>233</v>
      </c>
      <c r="W413">
        <v>48</v>
      </c>
      <c r="X413" s="2">
        <f t="shared" si="38"/>
        <v>0.50976909413854343</v>
      </c>
      <c r="Y413" s="5">
        <f t="shared" si="39"/>
        <v>36900000.000000007</v>
      </c>
      <c r="Z413" s="5">
        <f t="shared" si="40"/>
        <v>123000000</v>
      </c>
    </row>
    <row r="414" spans="1:26" x14ac:dyDescent="0.25">
      <c r="A414">
        <v>15010</v>
      </c>
      <c r="B414">
        <v>220</v>
      </c>
      <c r="C414">
        <v>2019</v>
      </c>
      <c r="D414" t="s">
        <v>96</v>
      </c>
      <c r="E414" t="s">
        <v>69</v>
      </c>
      <c r="F414" s="2">
        <v>0</v>
      </c>
      <c r="G414" s="2">
        <v>0.70087463556851315</v>
      </c>
      <c r="H414" s="14">
        <f t="shared" si="37"/>
        <v>0</v>
      </c>
      <c r="I414" s="5">
        <v>36060000</v>
      </c>
      <c r="J414">
        <v>1</v>
      </c>
      <c r="K414" s="6">
        <v>2.8500000000000001E-2</v>
      </c>
      <c r="L414" s="6">
        <v>0.7</v>
      </c>
      <c r="M414" t="str">
        <f t="shared" si="41"/>
        <v>SUBL</v>
      </c>
      <c r="N414" t="s">
        <v>70</v>
      </c>
      <c r="O414" t="str">
        <f>VLOOKUP(Table1[[#This Row],[SCHEMATIC TYPE]],'SCHEMATIC Lookup'!$B$1:$C$5,2)</f>
        <v>Leveraged Whole Loan</v>
      </c>
      <c r="P414" s="5">
        <v>51450000</v>
      </c>
      <c r="Q414" t="s">
        <v>116</v>
      </c>
      <c r="R414" s="5" t="s">
        <v>100</v>
      </c>
      <c r="S414" t="s">
        <v>71</v>
      </c>
      <c r="T414" t="s">
        <v>88</v>
      </c>
      <c r="U414" s="12" t="s">
        <v>232</v>
      </c>
      <c r="V414" s="12" t="s">
        <v>233</v>
      </c>
      <c r="W414">
        <v>36</v>
      </c>
      <c r="X414" s="2">
        <f t="shared" si="38"/>
        <v>0.49061224489795918</v>
      </c>
      <c r="Y414" s="5">
        <f t="shared" si="39"/>
        <v>10818000.000000002</v>
      </c>
      <c r="Z414" s="5">
        <f t="shared" si="40"/>
        <v>36060000</v>
      </c>
    </row>
    <row r="415" spans="1:26" x14ac:dyDescent="0.25">
      <c r="A415">
        <v>15020</v>
      </c>
      <c r="B415">
        <v>220</v>
      </c>
      <c r="C415">
        <v>2019</v>
      </c>
      <c r="D415" t="s">
        <v>96</v>
      </c>
      <c r="E415" t="s">
        <v>69</v>
      </c>
      <c r="F415" s="2">
        <v>0</v>
      </c>
      <c r="G415" s="2">
        <v>0.6330275229357798</v>
      </c>
      <c r="H415" s="14">
        <f t="shared" si="37"/>
        <v>0</v>
      </c>
      <c r="I415" s="5">
        <v>69000000</v>
      </c>
      <c r="J415">
        <v>2</v>
      </c>
      <c r="K415" s="6">
        <v>2.1000000000000001E-2</v>
      </c>
      <c r="L415" s="6">
        <v>0</v>
      </c>
      <c r="M415" t="str">
        <f t="shared" si="41"/>
        <v>SENIOR</v>
      </c>
      <c r="N415" t="s">
        <v>90</v>
      </c>
      <c r="O415" t="str">
        <f>VLOOKUP(Table1[[#This Row],[SCHEMATIC TYPE]],'SCHEMATIC Lookup'!$B$1:$C$5,2)</f>
        <v>Senior Whole Loan</v>
      </c>
      <c r="P415" s="5">
        <v>109000000</v>
      </c>
      <c r="Q415" t="s">
        <v>116</v>
      </c>
      <c r="R415" s="5" t="s">
        <v>100</v>
      </c>
      <c r="S415" t="s">
        <v>71</v>
      </c>
      <c r="T415" t="s">
        <v>88</v>
      </c>
      <c r="U415" s="12" t="s">
        <v>238</v>
      </c>
      <c r="V415" s="12" t="s">
        <v>235</v>
      </c>
      <c r="W415">
        <v>48</v>
      </c>
      <c r="X415" s="2">
        <f t="shared" si="38"/>
        <v>0</v>
      </c>
      <c r="Y415" s="5">
        <f t="shared" si="39"/>
        <v>69000000</v>
      </c>
      <c r="Z415" s="5">
        <f t="shared" si="40"/>
        <v>69000000</v>
      </c>
    </row>
    <row r="416" spans="1:26" x14ac:dyDescent="0.25">
      <c r="A416">
        <v>15030</v>
      </c>
      <c r="B416">
        <v>220</v>
      </c>
      <c r="C416">
        <v>2017</v>
      </c>
      <c r="D416" t="s">
        <v>89</v>
      </c>
      <c r="E416" t="s">
        <v>69</v>
      </c>
      <c r="F416" s="2">
        <v>0</v>
      </c>
      <c r="G416" s="2">
        <v>0.71299999999999997</v>
      </c>
      <c r="H416" s="14">
        <f t="shared" si="37"/>
        <v>0</v>
      </c>
      <c r="I416" s="5">
        <v>45487703</v>
      </c>
      <c r="J416">
        <v>3</v>
      </c>
      <c r="K416" s="6">
        <v>3.4299999999999997E-2</v>
      </c>
      <c r="L416" s="6">
        <v>0.65</v>
      </c>
      <c r="M416" t="str">
        <f t="shared" si="41"/>
        <v>SUBL</v>
      </c>
      <c r="N416" t="s">
        <v>70</v>
      </c>
      <c r="O416" t="str">
        <f>VLOOKUP(Table1[[#This Row],[SCHEMATIC TYPE]],'SCHEMATIC Lookup'!$B$1:$C$5,2)</f>
        <v>Leveraged Whole Loan</v>
      </c>
      <c r="P416" s="5">
        <v>54600000</v>
      </c>
      <c r="Q416" t="s">
        <v>116</v>
      </c>
      <c r="R416" s="5" t="s">
        <v>100</v>
      </c>
      <c r="S416" t="s">
        <v>71</v>
      </c>
      <c r="T416" t="s">
        <v>88</v>
      </c>
      <c r="U416" s="12" t="s">
        <v>232</v>
      </c>
      <c r="V416" s="12" t="s">
        <v>233</v>
      </c>
      <c r="W416">
        <v>36</v>
      </c>
      <c r="X416" s="2">
        <f t="shared" si="38"/>
        <v>0.46344999999999997</v>
      </c>
      <c r="Y416" s="5">
        <f t="shared" si="39"/>
        <v>15920696.049999999</v>
      </c>
      <c r="Z416" s="5">
        <f t="shared" si="40"/>
        <v>45487703</v>
      </c>
    </row>
    <row r="417" spans="1:26" x14ac:dyDescent="0.25">
      <c r="A417">
        <v>15040</v>
      </c>
      <c r="B417">
        <v>183</v>
      </c>
      <c r="C417">
        <v>2019</v>
      </c>
      <c r="D417" t="s">
        <v>96</v>
      </c>
      <c r="E417" t="s">
        <v>69</v>
      </c>
      <c r="F417" s="2">
        <v>0</v>
      </c>
      <c r="G417" s="2">
        <v>0.8855984528335904</v>
      </c>
      <c r="H417" s="14">
        <f t="shared" si="37"/>
        <v>0</v>
      </c>
      <c r="I417" s="5">
        <v>58100000</v>
      </c>
      <c r="J417">
        <v>1</v>
      </c>
      <c r="K417" s="6">
        <v>2.3E-2</v>
      </c>
      <c r="L417" s="6">
        <v>0.65</v>
      </c>
      <c r="M417" t="str">
        <f t="shared" si="41"/>
        <v>SUBL</v>
      </c>
      <c r="N417" t="s">
        <v>70</v>
      </c>
      <c r="O417" t="str">
        <f>VLOOKUP(Table1[[#This Row],[SCHEMATIC TYPE]],'SCHEMATIC Lookup'!$B$1:$C$5,2)</f>
        <v>Leveraged Whole Loan</v>
      </c>
      <c r="P417" s="5">
        <v>65605354</v>
      </c>
      <c r="Q417" t="s">
        <v>86</v>
      </c>
      <c r="R417" s="5" t="s">
        <v>100</v>
      </c>
      <c r="S417" t="s">
        <v>71</v>
      </c>
      <c r="T417" t="s">
        <v>88</v>
      </c>
      <c r="U417" s="12" t="s">
        <v>230</v>
      </c>
      <c r="V417" s="12" t="s">
        <v>237</v>
      </c>
      <c r="W417">
        <v>24</v>
      </c>
      <c r="X417" s="2">
        <f t="shared" si="38"/>
        <v>0.57563899434183374</v>
      </c>
      <c r="Y417" s="5">
        <f t="shared" si="39"/>
        <v>20335000</v>
      </c>
      <c r="Z417" s="5">
        <f t="shared" si="40"/>
        <v>58100000</v>
      </c>
    </row>
    <row r="418" spans="1:26" x14ac:dyDescent="0.25">
      <c r="A418">
        <v>15050</v>
      </c>
      <c r="B418">
        <v>183</v>
      </c>
      <c r="C418">
        <v>2019</v>
      </c>
      <c r="D418" t="s">
        <v>96</v>
      </c>
      <c r="E418" t="s">
        <v>69</v>
      </c>
      <c r="F418" s="2">
        <v>0</v>
      </c>
      <c r="G418" s="2">
        <v>0.77928914199100885</v>
      </c>
      <c r="H418" s="14">
        <f t="shared" si="37"/>
        <v>0</v>
      </c>
      <c r="I418" s="5">
        <v>47510000</v>
      </c>
      <c r="J418">
        <v>2</v>
      </c>
      <c r="K418" s="6">
        <v>2.1000000000000001E-2</v>
      </c>
      <c r="L418" s="6">
        <v>0.52</v>
      </c>
      <c r="M418" t="str">
        <f t="shared" si="41"/>
        <v>SUBL</v>
      </c>
      <c r="N418" t="s">
        <v>70</v>
      </c>
      <c r="O418" t="str">
        <f>VLOOKUP(Table1[[#This Row],[SCHEMATIC TYPE]],'SCHEMATIC Lookup'!$B$1:$C$5,2)</f>
        <v>Leveraged Whole Loan</v>
      </c>
      <c r="P418" s="5">
        <v>60965818</v>
      </c>
      <c r="Q418" t="s">
        <v>86</v>
      </c>
      <c r="R418" s="5" t="s">
        <v>100</v>
      </c>
      <c r="S418" t="s">
        <v>71</v>
      </c>
      <c r="T418" t="s">
        <v>88</v>
      </c>
      <c r="U418" s="12" t="s">
        <v>232</v>
      </c>
      <c r="V418" s="12" t="s">
        <v>231</v>
      </c>
      <c r="W418">
        <v>36</v>
      </c>
      <c r="X418" s="2">
        <f t="shared" si="38"/>
        <v>0.40523035383532463</v>
      </c>
      <c r="Y418" s="5">
        <f t="shared" si="39"/>
        <v>22804800</v>
      </c>
      <c r="Z418" s="5">
        <f t="shared" si="40"/>
        <v>47510000</v>
      </c>
    </row>
    <row r="419" spans="1:26" x14ac:dyDescent="0.25">
      <c r="A419">
        <v>15060</v>
      </c>
      <c r="B419">
        <v>183</v>
      </c>
      <c r="C419">
        <v>2019</v>
      </c>
      <c r="D419" t="s">
        <v>96</v>
      </c>
      <c r="E419" t="s">
        <v>69</v>
      </c>
      <c r="F419" s="2">
        <v>0</v>
      </c>
      <c r="G419" s="2">
        <v>0.73277256853476069</v>
      </c>
      <c r="H419" s="14">
        <f t="shared" si="37"/>
        <v>0</v>
      </c>
      <c r="I419" s="5">
        <v>29810000</v>
      </c>
      <c r="J419">
        <v>1</v>
      </c>
      <c r="K419" s="6">
        <v>2.4E-2</v>
      </c>
      <c r="L419" s="6">
        <v>0.65</v>
      </c>
      <c r="M419" t="str">
        <f t="shared" si="41"/>
        <v>SUBL</v>
      </c>
      <c r="N419" t="s">
        <v>70</v>
      </c>
      <c r="O419" t="str">
        <f>VLOOKUP(Table1[[#This Row],[SCHEMATIC TYPE]],'SCHEMATIC Lookup'!$B$1:$C$5,2)</f>
        <v>Leveraged Whole Loan</v>
      </c>
      <c r="P419" s="5">
        <v>40681108</v>
      </c>
      <c r="Q419" t="s">
        <v>86</v>
      </c>
      <c r="R419" s="5" t="s">
        <v>100</v>
      </c>
      <c r="S419" t="s">
        <v>71</v>
      </c>
      <c r="T419" t="s">
        <v>88</v>
      </c>
      <c r="U419" s="12" t="s">
        <v>232</v>
      </c>
      <c r="V419" s="12" t="s">
        <v>233</v>
      </c>
      <c r="W419">
        <v>36</v>
      </c>
      <c r="X419" s="2">
        <f t="shared" si="38"/>
        <v>0.47630216954759447</v>
      </c>
      <c r="Y419" s="5">
        <f t="shared" si="39"/>
        <v>10433500</v>
      </c>
      <c r="Z419" s="5">
        <f t="shared" si="40"/>
        <v>29810000</v>
      </c>
    </row>
    <row r="420" spans="1:26" x14ac:dyDescent="0.25">
      <c r="A420">
        <v>15070</v>
      </c>
      <c r="B420">
        <v>183</v>
      </c>
      <c r="C420">
        <v>2019</v>
      </c>
      <c r="D420" t="s">
        <v>89</v>
      </c>
      <c r="E420" t="s">
        <v>69</v>
      </c>
      <c r="F420" s="2">
        <v>0</v>
      </c>
      <c r="G420" s="2">
        <v>0.81573023255813959</v>
      </c>
      <c r="H420" s="14">
        <f t="shared" si="37"/>
        <v>0</v>
      </c>
      <c r="I420" s="5">
        <v>87691000</v>
      </c>
      <c r="J420">
        <v>2</v>
      </c>
      <c r="K420" s="6">
        <v>0.02</v>
      </c>
      <c r="L420" s="6">
        <v>0.7</v>
      </c>
      <c r="M420" t="str">
        <f t="shared" si="41"/>
        <v>SUBL</v>
      </c>
      <c r="N420" t="s">
        <v>70</v>
      </c>
      <c r="O420" t="str">
        <f>VLOOKUP(Table1[[#This Row],[SCHEMATIC TYPE]],'SCHEMATIC Lookup'!$B$1:$C$5,2)</f>
        <v>Leveraged Whole Loan</v>
      </c>
      <c r="P420" s="5">
        <v>129297734</v>
      </c>
      <c r="Q420" t="s">
        <v>86</v>
      </c>
      <c r="R420" s="5" t="s">
        <v>100</v>
      </c>
      <c r="S420" t="s">
        <v>71</v>
      </c>
      <c r="T420" t="s">
        <v>88</v>
      </c>
      <c r="U420" s="12" t="s">
        <v>230</v>
      </c>
      <c r="V420" s="12" t="s">
        <v>237</v>
      </c>
      <c r="W420">
        <v>60</v>
      </c>
      <c r="X420" s="2">
        <f t="shared" si="38"/>
        <v>0.57101116279069764</v>
      </c>
      <c r="Y420" s="5">
        <f t="shared" si="39"/>
        <v>26307300.000000004</v>
      </c>
      <c r="Z420" s="5">
        <f t="shared" si="40"/>
        <v>87691000</v>
      </c>
    </row>
    <row r="421" spans="1:26" x14ac:dyDescent="0.25">
      <c r="A421">
        <v>15350</v>
      </c>
      <c r="B421">
        <v>219</v>
      </c>
      <c r="C421">
        <v>2019</v>
      </c>
      <c r="D421" t="s">
        <v>74</v>
      </c>
      <c r="E421" t="s">
        <v>77</v>
      </c>
      <c r="F421" s="2">
        <v>0.73399999999999999</v>
      </c>
      <c r="G421" s="2">
        <v>0.90159999999999996</v>
      </c>
      <c r="H421" s="14">
        <f t="shared" si="37"/>
        <v>0</v>
      </c>
      <c r="I421" s="5">
        <v>40000000</v>
      </c>
      <c r="J421">
        <v>2</v>
      </c>
      <c r="K421" s="6">
        <v>6.6250000000000003E-2</v>
      </c>
      <c r="L421" s="6">
        <v>0</v>
      </c>
      <c r="M421" t="str">
        <f t="shared" si="41"/>
        <v>SUB</v>
      </c>
      <c r="N421" t="s">
        <v>75</v>
      </c>
      <c r="O421" t="str">
        <f>VLOOKUP(Table1[[#This Row],[SCHEMATIC TYPE]],'SCHEMATIC Lookup'!$B$1:$C$5,2)</f>
        <v>Mezzanine Loan</v>
      </c>
      <c r="P421" s="5">
        <v>293000000</v>
      </c>
      <c r="Q421" t="s">
        <v>119</v>
      </c>
      <c r="R421" s="5" t="s">
        <v>100</v>
      </c>
      <c r="S421" t="s">
        <v>19</v>
      </c>
      <c r="T421" t="s">
        <v>19</v>
      </c>
      <c r="U421" s="12" t="s">
        <v>239</v>
      </c>
      <c r="V421" s="12" t="s">
        <v>237</v>
      </c>
      <c r="W421">
        <v>84</v>
      </c>
      <c r="X421" s="2">
        <f t="shared" si="38"/>
        <v>0.73399999999999999</v>
      </c>
      <c r="Y421" s="5">
        <f t="shared" si="39"/>
        <v>40000000</v>
      </c>
      <c r="Z421" s="5">
        <f t="shared" si="40"/>
        <v>40000000</v>
      </c>
    </row>
    <row r="422" spans="1:26" x14ac:dyDescent="0.25">
      <c r="A422">
        <v>15360</v>
      </c>
      <c r="B422">
        <v>219</v>
      </c>
      <c r="C422">
        <v>2019</v>
      </c>
      <c r="D422" t="s">
        <v>74</v>
      </c>
      <c r="E422" t="s">
        <v>77</v>
      </c>
      <c r="F422" s="2">
        <v>0.51860571428571434</v>
      </c>
      <c r="G422" s="2">
        <v>0.6878171428571429</v>
      </c>
      <c r="H422" s="14">
        <f t="shared" si="37"/>
        <v>0</v>
      </c>
      <c r="I422" s="5">
        <v>14806000</v>
      </c>
      <c r="J422">
        <v>2</v>
      </c>
      <c r="K422" s="6">
        <v>0.105</v>
      </c>
      <c r="L422" s="6">
        <v>0</v>
      </c>
      <c r="M422" t="str">
        <f t="shared" si="41"/>
        <v>SUB</v>
      </c>
      <c r="N422" t="s">
        <v>75</v>
      </c>
      <c r="O422" t="str">
        <f>VLOOKUP(Table1[[#This Row],[SCHEMATIC TYPE]],'SCHEMATIC Lookup'!$B$1:$C$5,2)</f>
        <v>Mezzanine Loan</v>
      </c>
      <c r="P422" s="5">
        <v>87500000</v>
      </c>
      <c r="Q422" t="s">
        <v>71</v>
      </c>
      <c r="R422" s="5" t="s">
        <v>100</v>
      </c>
      <c r="S422" t="s">
        <v>71</v>
      </c>
      <c r="T422" t="s">
        <v>71</v>
      </c>
      <c r="U422" s="12" t="s">
        <v>236</v>
      </c>
      <c r="V422" s="12" t="s">
        <v>234</v>
      </c>
      <c r="W422">
        <v>42</v>
      </c>
      <c r="X422" s="2">
        <f t="shared" si="38"/>
        <v>0.51860571428571434</v>
      </c>
      <c r="Y422" s="5">
        <f t="shared" si="39"/>
        <v>14806000</v>
      </c>
      <c r="Z422" s="5">
        <f t="shared" si="40"/>
        <v>14806000</v>
      </c>
    </row>
    <row r="423" spans="1:26" x14ac:dyDescent="0.25">
      <c r="A423">
        <v>15370</v>
      </c>
      <c r="B423">
        <v>220</v>
      </c>
      <c r="C423">
        <v>2019</v>
      </c>
      <c r="D423" t="s">
        <v>96</v>
      </c>
      <c r="E423" t="s">
        <v>69</v>
      </c>
      <c r="F423" s="2">
        <v>0</v>
      </c>
      <c r="G423" s="2">
        <v>0.73</v>
      </c>
      <c r="H423" s="14">
        <f t="shared" si="37"/>
        <v>0</v>
      </c>
      <c r="I423" s="5">
        <v>122350000</v>
      </c>
      <c r="J423">
        <v>1</v>
      </c>
      <c r="K423" s="6">
        <v>2.9499999999999998E-2</v>
      </c>
      <c r="L423" s="6">
        <v>0</v>
      </c>
      <c r="M423" t="str">
        <f t="shared" si="41"/>
        <v>SENIOR</v>
      </c>
      <c r="N423" t="s">
        <v>90</v>
      </c>
      <c r="O423" t="str">
        <f>VLOOKUP(Table1[[#This Row],[SCHEMATIC TYPE]],'SCHEMATIC Lookup'!$B$1:$C$5,2)</f>
        <v>Senior Whole Loan</v>
      </c>
      <c r="P423" s="5">
        <v>130000000</v>
      </c>
      <c r="Q423" t="s">
        <v>116</v>
      </c>
      <c r="R423" s="5" t="s">
        <v>100</v>
      </c>
      <c r="S423" t="s">
        <v>71</v>
      </c>
      <c r="T423" t="s">
        <v>88</v>
      </c>
      <c r="U423" s="12" t="s">
        <v>238</v>
      </c>
      <c r="V423" s="12" t="s">
        <v>233</v>
      </c>
      <c r="W423" s="11">
        <v>36</v>
      </c>
      <c r="X423" s="2">
        <f t="shared" si="38"/>
        <v>0</v>
      </c>
      <c r="Y423" s="5">
        <f t="shared" si="39"/>
        <v>122350000</v>
      </c>
      <c r="Z423" s="5">
        <f t="shared" si="40"/>
        <v>122350000</v>
      </c>
    </row>
    <row r="424" spans="1:26" x14ac:dyDescent="0.25">
      <c r="A424">
        <v>15380</v>
      </c>
      <c r="B424">
        <v>220</v>
      </c>
      <c r="C424">
        <v>2019</v>
      </c>
      <c r="D424" t="s">
        <v>96</v>
      </c>
      <c r="E424" t="s">
        <v>69</v>
      </c>
      <c r="F424" s="2">
        <v>0</v>
      </c>
      <c r="G424" s="2">
        <v>0.74</v>
      </c>
      <c r="H424" s="14">
        <f t="shared" si="37"/>
        <v>0</v>
      </c>
      <c r="I424" s="5">
        <v>38430000</v>
      </c>
      <c r="J424">
        <v>2</v>
      </c>
      <c r="K424" s="6">
        <v>2.3E-2</v>
      </c>
      <c r="L424" s="6">
        <v>0.65</v>
      </c>
      <c r="M424" t="str">
        <f t="shared" si="41"/>
        <v>SUBL</v>
      </c>
      <c r="N424" t="s">
        <v>70</v>
      </c>
      <c r="O424" t="str">
        <f>VLOOKUP(Table1[[#This Row],[SCHEMATIC TYPE]],'SCHEMATIC Lookup'!$B$1:$C$5,2)</f>
        <v>Leveraged Whole Loan</v>
      </c>
      <c r="P424" s="5">
        <v>47000000</v>
      </c>
      <c r="Q424" t="s">
        <v>119</v>
      </c>
      <c r="R424" s="5" t="s">
        <v>100</v>
      </c>
      <c r="S424" t="s">
        <v>19</v>
      </c>
      <c r="T424" t="s">
        <v>19</v>
      </c>
      <c r="U424" s="12" t="s">
        <v>232</v>
      </c>
      <c r="V424" s="12" t="s">
        <v>233</v>
      </c>
      <c r="W424" s="11">
        <v>36</v>
      </c>
      <c r="X424" s="2">
        <f t="shared" si="38"/>
        <v>0.48099999999999998</v>
      </c>
      <c r="Y424" s="5">
        <f t="shared" si="39"/>
        <v>13450500</v>
      </c>
      <c r="Z424" s="5">
        <f t="shared" si="40"/>
        <v>38430000</v>
      </c>
    </row>
    <row r="425" spans="1:26" x14ac:dyDescent="0.25">
      <c r="A425">
        <v>15390</v>
      </c>
      <c r="B425">
        <v>220</v>
      </c>
      <c r="C425">
        <v>2019</v>
      </c>
      <c r="D425" t="s">
        <v>96</v>
      </c>
      <c r="E425" t="s">
        <v>69</v>
      </c>
      <c r="F425" s="2">
        <v>0</v>
      </c>
      <c r="G425" s="2">
        <v>0.65</v>
      </c>
      <c r="H425" s="14">
        <f t="shared" si="37"/>
        <v>0</v>
      </c>
      <c r="I425" s="5">
        <v>45710000</v>
      </c>
      <c r="J425">
        <v>2</v>
      </c>
      <c r="K425" s="6">
        <v>2.4299999999999999E-2</v>
      </c>
      <c r="L425" s="6">
        <v>0.7</v>
      </c>
      <c r="M425" t="str">
        <f t="shared" si="41"/>
        <v>SUBL</v>
      </c>
      <c r="N425" t="s">
        <v>70</v>
      </c>
      <c r="O425" t="str">
        <f>VLOOKUP(Table1[[#This Row],[SCHEMATIC TYPE]],'SCHEMATIC Lookup'!$B$1:$C$5,2)</f>
        <v>Leveraged Whole Loan</v>
      </c>
      <c r="P425" s="5">
        <v>54250000</v>
      </c>
      <c r="Q425" t="s">
        <v>117</v>
      </c>
      <c r="R425" s="5" t="s">
        <v>100</v>
      </c>
      <c r="S425" t="s">
        <v>71</v>
      </c>
      <c r="T425" t="s">
        <v>88</v>
      </c>
      <c r="U425" s="12" t="s">
        <v>232</v>
      </c>
      <c r="V425" s="12" t="s">
        <v>234</v>
      </c>
      <c r="W425">
        <v>36</v>
      </c>
      <c r="X425" s="2">
        <f t="shared" si="38"/>
        <v>0.45499999999999996</v>
      </c>
      <c r="Y425" s="5">
        <f t="shared" si="39"/>
        <v>13713000.000000002</v>
      </c>
      <c r="Z425" s="5">
        <f t="shared" si="40"/>
        <v>45710000</v>
      </c>
    </row>
    <row r="426" spans="1:26" x14ac:dyDescent="0.25">
      <c r="A426">
        <v>15400</v>
      </c>
      <c r="B426">
        <v>220</v>
      </c>
      <c r="C426">
        <v>2019</v>
      </c>
      <c r="D426" t="s">
        <v>96</v>
      </c>
      <c r="E426" t="s">
        <v>69</v>
      </c>
      <c r="F426" s="2">
        <v>0</v>
      </c>
      <c r="G426" s="2">
        <v>0.56000000000000005</v>
      </c>
      <c r="H426" s="14">
        <f t="shared" si="37"/>
        <v>0</v>
      </c>
      <c r="I426" s="5">
        <v>25812000</v>
      </c>
      <c r="J426">
        <v>4</v>
      </c>
      <c r="K426" s="6">
        <v>2.3300000000000001E-2</v>
      </c>
      <c r="L426" s="6">
        <v>0</v>
      </c>
      <c r="M426" t="str">
        <f t="shared" si="41"/>
        <v>SENIOR</v>
      </c>
      <c r="N426" t="s">
        <v>90</v>
      </c>
      <c r="O426" t="str">
        <f>VLOOKUP(Table1[[#This Row],[SCHEMATIC TYPE]],'SCHEMATIC Lookup'!$B$1:$C$5,2)</f>
        <v>Senior Whole Loan</v>
      </c>
      <c r="P426" s="5">
        <v>40700000</v>
      </c>
      <c r="Q426" t="s">
        <v>116</v>
      </c>
      <c r="R426" s="5" t="s">
        <v>100</v>
      </c>
      <c r="S426" t="s">
        <v>71</v>
      </c>
      <c r="T426" t="s">
        <v>88</v>
      </c>
      <c r="U426" s="12" t="s">
        <v>238</v>
      </c>
      <c r="V426" s="12" t="s">
        <v>230</v>
      </c>
      <c r="W426">
        <v>36</v>
      </c>
      <c r="X426" s="2">
        <f t="shared" si="38"/>
        <v>0</v>
      </c>
      <c r="Y426" s="5">
        <f t="shared" si="39"/>
        <v>25812000</v>
      </c>
      <c r="Z426" s="5">
        <f t="shared" si="40"/>
        <v>25812000</v>
      </c>
    </row>
    <row r="427" spans="1:26" x14ac:dyDescent="0.25">
      <c r="A427">
        <v>15410</v>
      </c>
      <c r="B427">
        <v>220</v>
      </c>
      <c r="C427">
        <v>2019</v>
      </c>
      <c r="D427" t="s">
        <v>96</v>
      </c>
      <c r="E427" t="s">
        <v>69</v>
      </c>
      <c r="F427" s="2">
        <v>0</v>
      </c>
      <c r="G427" s="2">
        <v>0.7</v>
      </c>
      <c r="H427" s="14">
        <f t="shared" si="37"/>
        <v>0</v>
      </c>
      <c r="I427" s="5">
        <v>64000000</v>
      </c>
      <c r="J427">
        <v>2</v>
      </c>
      <c r="K427" s="6">
        <v>2.4E-2</v>
      </c>
      <c r="L427" s="6">
        <v>0.7</v>
      </c>
      <c r="M427" t="str">
        <f t="shared" si="41"/>
        <v>SUBL</v>
      </c>
      <c r="N427" t="s">
        <v>70</v>
      </c>
      <c r="O427" t="str">
        <f>VLOOKUP(Table1[[#This Row],[SCHEMATIC TYPE]],'SCHEMATIC Lookup'!$B$1:$C$5,2)</f>
        <v>Leveraged Whole Loan</v>
      </c>
      <c r="P427" s="5">
        <v>91500000</v>
      </c>
      <c r="Q427" t="s">
        <v>19</v>
      </c>
      <c r="R427" s="5" t="s">
        <v>100</v>
      </c>
      <c r="S427" t="s">
        <v>19</v>
      </c>
      <c r="T427" t="s">
        <v>19</v>
      </c>
      <c r="U427" s="12" t="s">
        <v>232</v>
      </c>
      <c r="V427" s="12" t="s">
        <v>233</v>
      </c>
      <c r="W427">
        <v>48</v>
      </c>
      <c r="X427" s="2">
        <f t="shared" si="38"/>
        <v>0.48999999999999994</v>
      </c>
      <c r="Y427" s="5">
        <f t="shared" si="39"/>
        <v>19200000.000000004</v>
      </c>
      <c r="Z427" s="5">
        <f t="shared" si="40"/>
        <v>64000000</v>
      </c>
    </row>
    <row r="428" spans="1:26" x14ac:dyDescent="0.25">
      <c r="A428">
        <v>15420</v>
      </c>
      <c r="B428">
        <v>183</v>
      </c>
      <c r="C428">
        <v>2019</v>
      </c>
      <c r="D428" t="s">
        <v>96</v>
      </c>
      <c r="E428" t="s">
        <v>69</v>
      </c>
      <c r="F428" s="2">
        <v>0</v>
      </c>
      <c r="G428" s="2">
        <v>0.7</v>
      </c>
      <c r="H428" s="14">
        <f t="shared" si="37"/>
        <v>0</v>
      </c>
      <c r="I428" s="5">
        <v>44630000</v>
      </c>
      <c r="J428">
        <v>2</v>
      </c>
      <c r="K428" s="6">
        <v>2.1999999999999999E-2</v>
      </c>
      <c r="L428" s="2">
        <v>0.65</v>
      </c>
      <c r="M428" t="str">
        <f t="shared" si="41"/>
        <v>SUBL</v>
      </c>
      <c r="N428" t="s">
        <v>70</v>
      </c>
      <c r="O428" t="str">
        <f>VLOOKUP(Table1[[#This Row],[SCHEMATIC TYPE]],'SCHEMATIC Lookup'!$B$1:$C$5,2)</f>
        <v>Leveraged Whole Loan</v>
      </c>
      <c r="P428" s="5">
        <v>64132638</v>
      </c>
      <c r="Q428" t="s">
        <v>86</v>
      </c>
      <c r="R428" t="s">
        <v>82</v>
      </c>
      <c r="S428" t="s">
        <v>71</v>
      </c>
      <c r="T428" t="s">
        <v>88</v>
      </c>
      <c r="U428" s="12" t="s">
        <v>232</v>
      </c>
      <c r="V428" s="12" t="s">
        <v>233</v>
      </c>
      <c r="W428">
        <v>48</v>
      </c>
      <c r="X428" s="2">
        <f t="shared" si="38"/>
        <v>0.45499999999999996</v>
      </c>
      <c r="Y428" s="5">
        <f t="shared" si="39"/>
        <v>15620499.999999998</v>
      </c>
      <c r="Z428" s="5">
        <f t="shared" si="40"/>
        <v>44630000</v>
      </c>
    </row>
    <row r="429" spans="1:26" x14ac:dyDescent="0.25">
      <c r="A429">
        <v>15430</v>
      </c>
      <c r="B429">
        <v>183</v>
      </c>
      <c r="C429">
        <v>2019</v>
      </c>
      <c r="D429" t="s">
        <v>96</v>
      </c>
      <c r="E429" t="s">
        <v>69</v>
      </c>
      <c r="F429" s="2">
        <v>0</v>
      </c>
      <c r="G429" s="2">
        <v>0.69</v>
      </c>
      <c r="H429" s="14">
        <f t="shared" si="37"/>
        <v>0</v>
      </c>
      <c r="I429" s="5">
        <v>56905000</v>
      </c>
      <c r="J429">
        <v>2</v>
      </c>
      <c r="K429" s="6">
        <v>2.1000000000000001E-2</v>
      </c>
      <c r="L429" s="2">
        <v>0.65</v>
      </c>
      <c r="M429" t="str">
        <f t="shared" si="41"/>
        <v>SUBL</v>
      </c>
      <c r="N429" t="s">
        <v>70</v>
      </c>
      <c r="O429" t="str">
        <f>VLOOKUP(Table1[[#This Row],[SCHEMATIC TYPE]],'SCHEMATIC Lookup'!$B$1:$C$5,2)</f>
        <v>Leveraged Whole Loan</v>
      </c>
      <c r="P429" s="5">
        <v>82692301</v>
      </c>
      <c r="Q429" t="s">
        <v>86</v>
      </c>
      <c r="R429" t="s">
        <v>82</v>
      </c>
      <c r="S429" t="s">
        <v>71</v>
      </c>
      <c r="T429" t="s">
        <v>88</v>
      </c>
      <c r="U429" s="12" t="s">
        <v>232</v>
      </c>
      <c r="V429" s="12" t="s">
        <v>234</v>
      </c>
      <c r="W429">
        <v>36</v>
      </c>
      <c r="X429" s="2">
        <f t="shared" si="38"/>
        <v>0.44849999999999995</v>
      </c>
      <c r="Y429" s="5">
        <f t="shared" si="39"/>
        <v>19916750</v>
      </c>
      <c r="Z429" s="5">
        <f t="shared" si="40"/>
        <v>56905000</v>
      </c>
    </row>
    <row r="430" spans="1:26" x14ac:dyDescent="0.25">
      <c r="A430">
        <v>15440</v>
      </c>
      <c r="B430">
        <v>183</v>
      </c>
      <c r="C430">
        <v>2019</v>
      </c>
      <c r="D430" t="s">
        <v>96</v>
      </c>
      <c r="E430" t="s">
        <v>69</v>
      </c>
      <c r="F430" s="2">
        <v>0</v>
      </c>
      <c r="G430" s="2">
        <v>0.7</v>
      </c>
      <c r="H430" s="14">
        <f t="shared" si="37"/>
        <v>0</v>
      </c>
      <c r="I430" s="5">
        <v>25500000</v>
      </c>
      <c r="J430">
        <v>2</v>
      </c>
      <c r="K430" s="6">
        <v>2.1499999999999998E-2</v>
      </c>
      <c r="L430" s="2">
        <v>0.65</v>
      </c>
      <c r="M430" t="str">
        <f t="shared" si="41"/>
        <v>SUBL</v>
      </c>
      <c r="N430" t="s">
        <v>70</v>
      </c>
      <c r="O430" t="str">
        <f>VLOOKUP(Table1[[#This Row],[SCHEMATIC TYPE]],'SCHEMATIC Lookup'!$B$1:$C$5,2)</f>
        <v>Leveraged Whole Loan</v>
      </c>
      <c r="P430" s="5">
        <v>36546709</v>
      </c>
      <c r="Q430" t="s">
        <v>86</v>
      </c>
      <c r="R430" t="s">
        <v>82</v>
      </c>
      <c r="S430" t="s">
        <v>71</v>
      </c>
      <c r="T430" t="s">
        <v>88</v>
      </c>
      <c r="U430" s="12" t="s">
        <v>232</v>
      </c>
      <c r="V430" s="12" t="s">
        <v>233</v>
      </c>
      <c r="W430">
        <v>48</v>
      </c>
      <c r="X430" s="2">
        <f t="shared" si="38"/>
        <v>0.45499999999999996</v>
      </c>
      <c r="Y430" s="5">
        <f t="shared" si="39"/>
        <v>8925000</v>
      </c>
      <c r="Z430" s="5">
        <f t="shared" si="40"/>
        <v>25500000</v>
      </c>
    </row>
    <row r="431" spans="1:26" x14ac:dyDescent="0.25">
      <c r="A431">
        <v>15450</v>
      </c>
      <c r="B431">
        <v>183</v>
      </c>
      <c r="C431">
        <v>2019</v>
      </c>
      <c r="D431" t="s">
        <v>96</v>
      </c>
      <c r="E431" t="s">
        <v>69</v>
      </c>
      <c r="F431" s="2">
        <v>0</v>
      </c>
      <c r="G431" s="2">
        <v>0.67</v>
      </c>
      <c r="H431" s="14">
        <f t="shared" si="37"/>
        <v>0</v>
      </c>
      <c r="I431" s="5">
        <v>30000000</v>
      </c>
      <c r="J431">
        <v>2</v>
      </c>
      <c r="K431" s="6">
        <v>2.1499999999999998E-2</v>
      </c>
      <c r="L431" s="2">
        <v>0.65</v>
      </c>
      <c r="M431" t="str">
        <f t="shared" si="41"/>
        <v>SUBL</v>
      </c>
      <c r="N431" t="s">
        <v>70</v>
      </c>
      <c r="O431" t="str">
        <f>VLOOKUP(Table1[[#This Row],[SCHEMATIC TYPE]],'SCHEMATIC Lookup'!$B$1:$C$5,2)</f>
        <v>Leveraged Whole Loan</v>
      </c>
      <c r="P431" s="5">
        <v>52403452</v>
      </c>
      <c r="Q431" t="s">
        <v>86</v>
      </c>
      <c r="R431" t="s">
        <v>82</v>
      </c>
      <c r="S431" t="s">
        <v>71</v>
      </c>
      <c r="T431" t="s">
        <v>88</v>
      </c>
      <c r="U431" s="12" t="s">
        <v>232</v>
      </c>
      <c r="V431" s="12" t="s">
        <v>234</v>
      </c>
      <c r="W431">
        <v>36</v>
      </c>
      <c r="X431" s="2">
        <f t="shared" si="38"/>
        <v>0.43550000000000005</v>
      </c>
      <c r="Y431" s="5">
        <f t="shared" si="39"/>
        <v>10500000</v>
      </c>
      <c r="Z431" s="5">
        <f t="shared" si="40"/>
        <v>30000000</v>
      </c>
    </row>
    <row r="432" spans="1:26" x14ac:dyDescent="0.25">
      <c r="A432">
        <v>15460</v>
      </c>
      <c r="B432">
        <v>183</v>
      </c>
      <c r="C432">
        <v>2019</v>
      </c>
      <c r="D432" t="s">
        <v>96</v>
      </c>
      <c r="E432" t="s">
        <v>69</v>
      </c>
      <c r="F432" s="2">
        <v>0</v>
      </c>
      <c r="G432" s="2">
        <v>0.69</v>
      </c>
      <c r="H432" s="14">
        <f t="shared" si="37"/>
        <v>0</v>
      </c>
      <c r="I432" s="5">
        <v>87110000</v>
      </c>
      <c r="J432">
        <v>1</v>
      </c>
      <c r="K432" s="6">
        <v>2.4E-2</v>
      </c>
      <c r="L432" s="2">
        <v>0.6</v>
      </c>
      <c r="M432" t="str">
        <f t="shared" si="41"/>
        <v>SUBL</v>
      </c>
      <c r="N432" t="s">
        <v>70</v>
      </c>
      <c r="O432" t="str">
        <f>VLOOKUP(Table1[[#This Row],[SCHEMATIC TYPE]],'SCHEMATIC Lookup'!$B$1:$C$5,2)</f>
        <v>Leveraged Whole Loan</v>
      </c>
      <c r="P432" s="5">
        <v>126208099</v>
      </c>
      <c r="Q432" t="s">
        <v>86</v>
      </c>
      <c r="R432" t="s">
        <v>82</v>
      </c>
      <c r="S432" t="s">
        <v>71</v>
      </c>
      <c r="T432" t="s">
        <v>88</v>
      </c>
      <c r="U432" s="12" t="s">
        <v>232</v>
      </c>
      <c r="V432" s="12" t="s">
        <v>234</v>
      </c>
      <c r="W432">
        <v>36</v>
      </c>
      <c r="X432" s="2">
        <f t="shared" si="38"/>
        <v>0.41399999999999998</v>
      </c>
      <c r="Y432" s="5">
        <f t="shared" si="39"/>
        <v>34844000</v>
      </c>
      <c r="Z432" s="5">
        <f t="shared" si="40"/>
        <v>87110000</v>
      </c>
    </row>
    <row r="433" spans="1:26" x14ac:dyDescent="0.25">
      <c r="A433">
        <v>15470</v>
      </c>
      <c r="B433">
        <v>183</v>
      </c>
      <c r="C433">
        <v>2019</v>
      </c>
      <c r="D433" t="s">
        <v>96</v>
      </c>
      <c r="E433" t="s">
        <v>69</v>
      </c>
      <c r="F433" s="2">
        <v>0</v>
      </c>
      <c r="G433" s="2">
        <v>0.75</v>
      </c>
      <c r="H433" s="14">
        <f t="shared" si="37"/>
        <v>0</v>
      </c>
      <c r="I433" s="5">
        <v>85500000</v>
      </c>
      <c r="J433">
        <v>2</v>
      </c>
      <c r="K433" s="6">
        <v>2.2499999999999999E-2</v>
      </c>
      <c r="L433" s="2">
        <v>0</v>
      </c>
      <c r="M433" t="str">
        <f t="shared" si="41"/>
        <v>SENIOR</v>
      </c>
      <c r="N433" t="s">
        <v>90</v>
      </c>
      <c r="O433" t="str">
        <f>VLOOKUP(Table1[[#This Row],[SCHEMATIC TYPE]],'SCHEMATIC Lookup'!$B$1:$C$5,2)</f>
        <v>Senior Whole Loan</v>
      </c>
      <c r="P433" s="5">
        <v>134194312</v>
      </c>
      <c r="Q433" t="s">
        <v>86</v>
      </c>
      <c r="R433" t="s">
        <v>82</v>
      </c>
      <c r="S433" t="s">
        <v>71</v>
      </c>
      <c r="T433" t="s">
        <v>88</v>
      </c>
      <c r="U433" s="12" t="s">
        <v>238</v>
      </c>
      <c r="V433" s="12" t="s">
        <v>231</v>
      </c>
      <c r="W433">
        <v>48</v>
      </c>
      <c r="X433" s="2">
        <f t="shared" si="38"/>
        <v>0</v>
      </c>
      <c r="Y433" s="5">
        <f t="shared" si="39"/>
        <v>85500000</v>
      </c>
      <c r="Z433" s="5">
        <f t="shared" si="40"/>
        <v>85500000</v>
      </c>
    </row>
    <row r="434" spans="1:26" x14ac:dyDescent="0.25">
      <c r="A434">
        <v>15480</v>
      </c>
      <c r="B434">
        <v>183</v>
      </c>
      <c r="C434">
        <v>2019</v>
      </c>
      <c r="D434" t="s">
        <v>96</v>
      </c>
      <c r="E434" t="s">
        <v>69</v>
      </c>
      <c r="F434" s="2">
        <v>0</v>
      </c>
      <c r="G434" s="2">
        <v>0.68</v>
      </c>
      <c r="H434" s="14">
        <f t="shared" si="37"/>
        <v>0</v>
      </c>
      <c r="I434" s="5">
        <v>68160000</v>
      </c>
      <c r="J434">
        <v>2</v>
      </c>
      <c r="K434" s="6">
        <v>2.1000000000000001E-2</v>
      </c>
      <c r="L434" s="2">
        <v>0.7</v>
      </c>
      <c r="M434" t="str">
        <f t="shared" si="41"/>
        <v>SUBL</v>
      </c>
      <c r="N434" t="s">
        <v>70</v>
      </c>
      <c r="O434" t="str">
        <f>VLOOKUP(Table1[[#This Row],[SCHEMATIC TYPE]],'SCHEMATIC Lookup'!$B$1:$C$5,2)</f>
        <v>Leveraged Whole Loan</v>
      </c>
      <c r="P434" s="5">
        <v>114453512</v>
      </c>
      <c r="Q434" t="s">
        <v>86</v>
      </c>
      <c r="R434" t="s">
        <v>82</v>
      </c>
      <c r="S434" t="s">
        <v>71</v>
      </c>
      <c r="T434" t="s">
        <v>88</v>
      </c>
      <c r="U434" s="12" t="s">
        <v>232</v>
      </c>
      <c r="V434" s="12" t="s">
        <v>234</v>
      </c>
      <c r="W434">
        <v>36</v>
      </c>
      <c r="X434" s="2">
        <f t="shared" si="38"/>
        <v>0.47599999999999998</v>
      </c>
      <c r="Y434" s="5">
        <f t="shared" si="39"/>
        <v>20448000.000000004</v>
      </c>
      <c r="Z434" s="5">
        <f t="shared" si="40"/>
        <v>68160000</v>
      </c>
    </row>
    <row r="435" spans="1:26" x14ac:dyDescent="0.25">
      <c r="A435">
        <v>15490</v>
      </c>
      <c r="B435">
        <v>183</v>
      </c>
      <c r="C435">
        <v>2019</v>
      </c>
      <c r="D435" t="s">
        <v>96</v>
      </c>
      <c r="E435" t="s">
        <v>69</v>
      </c>
      <c r="F435" s="2">
        <v>0</v>
      </c>
      <c r="G435" s="2">
        <v>0.68</v>
      </c>
      <c r="H435" s="14">
        <f t="shared" si="37"/>
        <v>0</v>
      </c>
      <c r="I435" s="5">
        <v>62250000</v>
      </c>
      <c r="J435">
        <v>2</v>
      </c>
      <c r="K435" s="6">
        <v>2.35E-2</v>
      </c>
      <c r="L435" s="2">
        <v>0.65</v>
      </c>
      <c r="M435" t="str">
        <f t="shared" ref="M435:M466" si="42">IF(AND(H435=0,OR(F435&gt;0,L435&gt;0)),"SUB",IF(AND(H435=0,F435=0),"SENIOR","BAD"))&amp;IF(L435&gt;0,"L","")</f>
        <v>SUBL</v>
      </c>
      <c r="N435" t="s">
        <v>70</v>
      </c>
      <c r="O435" t="str">
        <f>VLOOKUP(Table1[[#This Row],[SCHEMATIC TYPE]],'SCHEMATIC Lookup'!$B$1:$C$5,2)</f>
        <v>Leveraged Whole Loan</v>
      </c>
      <c r="P435" s="5">
        <v>96459165</v>
      </c>
      <c r="Q435" t="s">
        <v>86</v>
      </c>
      <c r="R435" t="s">
        <v>82</v>
      </c>
      <c r="S435" t="s">
        <v>71</v>
      </c>
      <c r="T435" t="s">
        <v>88</v>
      </c>
      <c r="U435" s="12" t="s">
        <v>232</v>
      </c>
      <c r="V435" s="12" t="s">
        <v>234</v>
      </c>
      <c r="W435">
        <v>36</v>
      </c>
      <c r="X435" s="2">
        <f t="shared" si="38"/>
        <v>0.44200000000000006</v>
      </c>
      <c r="Y435" s="5">
        <f t="shared" si="39"/>
        <v>21787500</v>
      </c>
      <c r="Z435" s="5">
        <f t="shared" si="40"/>
        <v>62250000</v>
      </c>
    </row>
    <row r="436" spans="1:26" x14ac:dyDescent="0.25">
      <c r="A436">
        <v>15500</v>
      </c>
      <c r="B436">
        <v>183</v>
      </c>
      <c r="C436">
        <v>2019</v>
      </c>
      <c r="D436" t="s">
        <v>96</v>
      </c>
      <c r="E436" t="s">
        <v>69</v>
      </c>
      <c r="F436" s="2">
        <v>0</v>
      </c>
      <c r="G436" s="2">
        <v>0.67</v>
      </c>
      <c r="H436" s="14">
        <f t="shared" si="37"/>
        <v>0</v>
      </c>
      <c r="I436" s="5">
        <v>52500000</v>
      </c>
      <c r="J436">
        <v>2</v>
      </c>
      <c r="K436" s="6">
        <v>2.1000000000000001E-2</v>
      </c>
      <c r="L436" s="2">
        <v>0.65</v>
      </c>
      <c r="M436" t="str">
        <f t="shared" si="42"/>
        <v>SUBL</v>
      </c>
      <c r="N436" t="s">
        <v>70</v>
      </c>
      <c r="O436" t="str">
        <f>VLOOKUP(Table1[[#This Row],[SCHEMATIC TYPE]],'SCHEMATIC Lookup'!$B$1:$C$5,2)</f>
        <v>Leveraged Whole Loan</v>
      </c>
      <c r="P436" s="5">
        <v>88258845</v>
      </c>
      <c r="Q436" t="s">
        <v>86</v>
      </c>
      <c r="R436" t="s">
        <v>82</v>
      </c>
      <c r="S436" t="s">
        <v>71</v>
      </c>
      <c r="T436" t="s">
        <v>88</v>
      </c>
      <c r="U436" s="12" t="s">
        <v>232</v>
      </c>
      <c r="V436" s="12" t="s">
        <v>234</v>
      </c>
      <c r="W436">
        <v>48</v>
      </c>
      <c r="X436" s="2">
        <f t="shared" si="38"/>
        <v>0.43550000000000005</v>
      </c>
      <c r="Y436" s="5">
        <f t="shared" si="39"/>
        <v>18375000</v>
      </c>
      <c r="Z436" s="5">
        <f t="shared" si="40"/>
        <v>52500000</v>
      </c>
    </row>
    <row r="437" spans="1:26" x14ac:dyDescent="0.25">
      <c r="A437">
        <v>15510</v>
      </c>
      <c r="B437">
        <v>183</v>
      </c>
      <c r="C437">
        <v>2019</v>
      </c>
      <c r="D437" t="s">
        <v>96</v>
      </c>
      <c r="E437" t="s">
        <v>69</v>
      </c>
      <c r="F437" s="2">
        <v>0</v>
      </c>
      <c r="G437" s="2">
        <v>0.64</v>
      </c>
      <c r="H437" s="14">
        <f t="shared" si="37"/>
        <v>0</v>
      </c>
      <c r="I437" s="5">
        <v>200000000</v>
      </c>
      <c r="J437">
        <v>1</v>
      </c>
      <c r="K437" s="6">
        <v>2.3E-2</v>
      </c>
      <c r="L437" s="2">
        <v>0.72</v>
      </c>
      <c r="M437" t="str">
        <f t="shared" si="42"/>
        <v>SUBL</v>
      </c>
      <c r="N437" t="s">
        <v>70</v>
      </c>
      <c r="O437" t="str">
        <f>VLOOKUP(Table1[[#This Row],[SCHEMATIC TYPE]],'SCHEMATIC Lookup'!$B$1:$C$5,2)</f>
        <v>Leveraged Whole Loan</v>
      </c>
      <c r="P437" s="5">
        <v>310796033</v>
      </c>
      <c r="Q437" t="s">
        <v>86</v>
      </c>
      <c r="R437" t="s">
        <v>82</v>
      </c>
      <c r="S437" t="s">
        <v>71</v>
      </c>
      <c r="T437" t="s">
        <v>88</v>
      </c>
      <c r="U437" s="12" t="s">
        <v>232</v>
      </c>
      <c r="V437" s="12" t="s">
        <v>235</v>
      </c>
      <c r="W437">
        <v>36</v>
      </c>
      <c r="X437" s="2">
        <f t="shared" si="38"/>
        <v>0.46079999999999999</v>
      </c>
      <c r="Y437" s="5">
        <f t="shared" si="39"/>
        <v>56000000.000000007</v>
      </c>
      <c r="Z437" s="5">
        <f t="shared" si="40"/>
        <v>200000000</v>
      </c>
    </row>
    <row r="438" spans="1:26" x14ac:dyDescent="0.25">
      <c r="A438">
        <v>15520</v>
      </c>
      <c r="B438">
        <v>183</v>
      </c>
      <c r="C438">
        <v>2019</v>
      </c>
      <c r="D438" t="s">
        <v>96</v>
      </c>
      <c r="E438" t="s">
        <v>69</v>
      </c>
      <c r="F438" s="2">
        <v>0</v>
      </c>
      <c r="G438" s="2">
        <v>0.68</v>
      </c>
      <c r="H438" s="14">
        <f t="shared" si="37"/>
        <v>0</v>
      </c>
      <c r="I438" s="5">
        <v>93100000</v>
      </c>
      <c r="J438">
        <v>1</v>
      </c>
      <c r="K438" s="6">
        <v>2.9499999999999998E-2</v>
      </c>
      <c r="L438" s="2">
        <v>0.65</v>
      </c>
      <c r="M438" t="str">
        <f t="shared" si="42"/>
        <v>SUBL</v>
      </c>
      <c r="N438" t="s">
        <v>70</v>
      </c>
      <c r="O438" t="str">
        <f>VLOOKUP(Table1[[#This Row],[SCHEMATIC TYPE]],'SCHEMATIC Lookup'!$B$1:$C$5,2)</f>
        <v>Leveraged Whole Loan</v>
      </c>
      <c r="P438" s="5">
        <v>137447835</v>
      </c>
      <c r="Q438" t="s">
        <v>86</v>
      </c>
      <c r="R438" t="s">
        <v>80</v>
      </c>
      <c r="S438" t="s">
        <v>71</v>
      </c>
      <c r="T438" t="s">
        <v>88</v>
      </c>
      <c r="U438" s="12" t="s">
        <v>232</v>
      </c>
      <c r="V438" s="12" t="s">
        <v>234</v>
      </c>
      <c r="W438">
        <v>60</v>
      </c>
      <c r="X438" s="2">
        <f t="shared" si="38"/>
        <v>0.44200000000000006</v>
      </c>
      <c r="Y438" s="5">
        <f t="shared" si="39"/>
        <v>32584999.999999996</v>
      </c>
      <c r="Z438" s="5">
        <f t="shared" si="40"/>
        <v>93100000</v>
      </c>
    </row>
    <row r="439" spans="1:26" x14ac:dyDescent="0.25">
      <c r="A439">
        <v>15530</v>
      </c>
      <c r="B439">
        <v>183</v>
      </c>
      <c r="C439">
        <v>2019</v>
      </c>
      <c r="D439" t="s">
        <v>83</v>
      </c>
      <c r="E439" t="s">
        <v>77</v>
      </c>
      <c r="F439" s="2">
        <v>0.13</v>
      </c>
      <c r="G439" s="2">
        <v>0.33</v>
      </c>
      <c r="H439" s="14">
        <f t="shared" si="37"/>
        <v>0</v>
      </c>
      <c r="I439" s="5">
        <v>30000000</v>
      </c>
      <c r="J439">
        <v>2</v>
      </c>
      <c r="K439" s="6">
        <v>9.5000000000000001E-2</v>
      </c>
      <c r="L439" s="6">
        <v>0</v>
      </c>
      <c r="M439" t="str">
        <f t="shared" si="42"/>
        <v>SUB</v>
      </c>
      <c r="N439" t="s">
        <v>84</v>
      </c>
      <c r="O439" t="str">
        <f>VLOOKUP(Table1[[#This Row],[SCHEMATIC TYPE]],'SCHEMATIC Lookup'!$B$1:$C$5,2)</f>
        <v>Other Subordinate</v>
      </c>
      <c r="P439" s="5">
        <v>231886918</v>
      </c>
      <c r="Q439" s="5" t="s">
        <v>71</v>
      </c>
      <c r="R439" t="s">
        <v>80</v>
      </c>
      <c r="S439" t="s">
        <v>71</v>
      </c>
      <c r="T439" t="s">
        <v>71</v>
      </c>
      <c r="U439" s="12" t="s">
        <v>238</v>
      </c>
      <c r="V439" s="12" t="s">
        <v>238</v>
      </c>
      <c r="W439" s="11" t="s">
        <v>100</v>
      </c>
      <c r="X439" s="2">
        <f t="shared" si="38"/>
        <v>0.13</v>
      </c>
      <c r="Y439" s="5">
        <f t="shared" si="39"/>
        <v>30000000</v>
      </c>
      <c r="Z439" s="5">
        <f t="shared" si="40"/>
        <v>30000000</v>
      </c>
    </row>
    <row r="440" spans="1:26" x14ac:dyDescent="0.25">
      <c r="A440">
        <v>15540</v>
      </c>
      <c r="B440">
        <v>212</v>
      </c>
      <c r="C440">
        <v>2016</v>
      </c>
      <c r="D440" t="s">
        <v>112</v>
      </c>
      <c r="E440" t="s">
        <v>69</v>
      </c>
      <c r="F440" s="2">
        <v>0</v>
      </c>
      <c r="G440" s="2">
        <v>0.72</v>
      </c>
      <c r="H440" s="14">
        <f t="shared" si="37"/>
        <v>0</v>
      </c>
      <c r="I440" s="5">
        <v>82625000</v>
      </c>
      <c r="J440">
        <v>1</v>
      </c>
      <c r="K440" s="6">
        <v>4.0500000000000001E-2</v>
      </c>
      <c r="L440" s="2">
        <v>0</v>
      </c>
      <c r="M440" t="str">
        <f t="shared" si="42"/>
        <v>SENIOR</v>
      </c>
      <c r="N440" t="s">
        <v>90</v>
      </c>
      <c r="O440" t="str">
        <f>VLOOKUP(Table1[[#This Row],[SCHEMATIC TYPE]],'SCHEMATIC Lookup'!$B$1:$C$5,2)</f>
        <v>Senior Whole Loan</v>
      </c>
      <c r="P440" s="5">
        <v>119746000</v>
      </c>
      <c r="Q440" t="s">
        <v>86</v>
      </c>
      <c r="R440" t="s">
        <v>73</v>
      </c>
      <c r="S440" t="s">
        <v>71</v>
      </c>
      <c r="T440" t="s">
        <v>88</v>
      </c>
      <c r="U440" s="12" t="s">
        <v>238</v>
      </c>
      <c r="V440" s="12" t="s">
        <v>233</v>
      </c>
      <c r="W440" s="11">
        <v>60</v>
      </c>
      <c r="X440" s="2">
        <f t="shared" si="38"/>
        <v>0</v>
      </c>
      <c r="Y440" s="5">
        <f t="shared" si="39"/>
        <v>82625000</v>
      </c>
      <c r="Z440" s="5">
        <f t="shared" si="40"/>
        <v>82625000</v>
      </c>
    </row>
    <row r="441" spans="1:26" x14ac:dyDescent="0.25">
      <c r="A441">
        <v>15550</v>
      </c>
      <c r="B441">
        <v>212</v>
      </c>
      <c r="C441">
        <v>2020</v>
      </c>
      <c r="D441" t="s">
        <v>74</v>
      </c>
      <c r="E441" t="s">
        <v>69</v>
      </c>
      <c r="F441" s="2">
        <v>0.52</v>
      </c>
      <c r="G441" s="2">
        <v>0.75</v>
      </c>
      <c r="H441" s="14">
        <f t="shared" si="37"/>
        <v>0</v>
      </c>
      <c r="I441" s="5">
        <v>37520000</v>
      </c>
      <c r="J441">
        <v>1</v>
      </c>
      <c r="K441" s="6">
        <v>5.2499999999999998E-2</v>
      </c>
      <c r="L441" s="2">
        <v>0</v>
      </c>
      <c r="M441" t="str">
        <f t="shared" si="42"/>
        <v>SUB</v>
      </c>
      <c r="N441" t="s">
        <v>75</v>
      </c>
      <c r="O441" t="str">
        <f>VLOOKUP(Table1[[#This Row],[SCHEMATIC TYPE]],'SCHEMATIC Lookup'!$B$1:$C$5,2)</f>
        <v>Mezzanine Loan</v>
      </c>
      <c r="P441" s="5">
        <v>163093000</v>
      </c>
      <c r="Q441" t="s">
        <v>71</v>
      </c>
      <c r="R441" t="s">
        <v>73</v>
      </c>
      <c r="S441" t="s">
        <v>71</v>
      </c>
      <c r="T441" t="s">
        <v>71</v>
      </c>
      <c r="U441" s="12" t="s">
        <v>236</v>
      </c>
      <c r="V441" s="12" t="s">
        <v>231</v>
      </c>
      <c r="W441" s="11">
        <v>60</v>
      </c>
      <c r="X441" s="2">
        <f t="shared" si="38"/>
        <v>0.52</v>
      </c>
      <c r="Y441" s="5">
        <f t="shared" si="39"/>
        <v>37520000</v>
      </c>
      <c r="Z441" s="5">
        <f t="shared" si="40"/>
        <v>37520000</v>
      </c>
    </row>
    <row r="442" spans="1:26" x14ac:dyDescent="0.25">
      <c r="A442">
        <v>15560</v>
      </c>
      <c r="B442">
        <v>212</v>
      </c>
      <c r="C442">
        <v>2019</v>
      </c>
      <c r="D442" t="s">
        <v>74</v>
      </c>
      <c r="E442" t="s">
        <v>69</v>
      </c>
      <c r="F442" s="2">
        <v>0.5</v>
      </c>
      <c r="G442" s="2">
        <v>0.76</v>
      </c>
      <c r="H442" s="14">
        <f t="shared" si="37"/>
        <v>0</v>
      </c>
      <c r="I442" s="5">
        <v>50000000</v>
      </c>
      <c r="J442">
        <v>4</v>
      </c>
      <c r="K442" s="6">
        <v>4.3999999999999997E-2</v>
      </c>
      <c r="L442" s="2">
        <v>0</v>
      </c>
      <c r="M442" t="str">
        <f t="shared" si="42"/>
        <v>SUB</v>
      </c>
      <c r="N442" t="s">
        <v>75</v>
      </c>
      <c r="O442" t="str">
        <f>VLOOKUP(Table1[[#This Row],[SCHEMATIC TYPE]],'SCHEMATIC Lookup'!$B$1:$C$5,2)</f>
        <v>Mezzanine Loan</v>
      </c>
      <c r="P442" s="5">
        <v>604156000</v>
      </c>
      <c r="Q442" t="s">
        <v>19</v>
      </c>
      <c r="R442" t="s">
        <v>82</v>
      </c>
      <c r="S442" t="s">
        <v>19</v>
      </c>
      <c r="T442" t="s">
        <v>19</v>
      </c>
      <c r="U442" s="12" t="s">
        <v>236</v>
      </c>
      <c r="V442" s="12" t="s">
        <v>231</v>
      </c>
      <c r="W442" s="11">
        <v>22</v>
      </c>
      <c r="X442" s="2">
        <f t="shared" si="38"/>
        <v>0.5</v>
      </c>
      <c r="Y442" s="5">
        <f t="shared" si="39"/>
        <v>50000000</v>
      </c>
      <c r="Z442" s="5">
        <f t="shared" si="40"/>
        <v>50000000</v>
      </c>
    </row>
    <row r="443" spans="1:26" x14ac:dyDescent="0.25">
      <c r="A443">
        <v>15570</v>
      </c>
      <c r="B443">
        <v>212</v>
      </c>
      <c r="C443">
        <v>2019</v>
      </c>
      <c r="D443" t="s">
        <v>74</v>
      </c>
      <c r="E443" t="s">
        <v>69</v>
      </c>
      <c r="F443" s="2">
        <v>0.57999999999999996</v>
      </c>
      <c r="G443" s="2">
        <v>0.7</v>
      </c>
      <c r="H443" s="14">
        <f t="shared" si="37"/>
        <v>0</v>
      </c>
      <c r="I443" s="5">
        <v>29290454</v>
      </c>
      <c r="J443">
        <v>1</v>
      </c>
      <c r="K443" s="6">
        <v>5.28E-2</v>
      </c>
      <c r="L443" s="2">
        <v>0</v>
      </c>
      <c r="M443" t="str">
        <f t="shared" si="42"/>
        <v>SUB</v>
      </c>
      <c r="N443" t="s">
        <v>75</v>
      </c>
      <c r="O443" t="str">
        <f>VLOOKUP(Table1[[#This Row],[SCHEMATIC TYPE]],'SCHEMATIC Lookup'!$B$1:$C$5,2)</f>
        <v>Mezzanine Loan</v>
      </c>
      <c r="P443" s="5">
        <v>246743000</v>
      </c>
      <c r="Q443" t="s">
        <v>19</v>
      </c>
      <c r="R443" t="s">
        <v>73</v>
      </c>
      <c r="S443" t="s">
        <v>19</v>
      </c>
      <c r="T443" t="s">
        <v>19</v>
      </c>
      <c r="U443" s="12" t="s">
        <v>230</v>
      </c>
      <c r="V443" s="12" t="s">
        <v>233</v>
      </c>
      <c r="W443" s="11">
        <v>60</v>
      </c>
      <c r="X443" s="2">
        <f t="shared" si="38"/>
        <v>0.57999999999999996</v>
      </c>
      <c r="Y443" s="5">
        <f t="shared" si="39"/>
        <v>29290454</v>
      </c>
      <c r="Z443" s="5">
        <f t="shared" si="40"/>
        <v>29290454</v>
      </c>
    </row>
    <row r="444" spans="1:26" x14ac:dyDescent="0.25">
      <c r="A444">
        <v>15580</v>
      </c>
      <c r="B444">
        <v>212</v>
      </c>
      <c r="C444">
        <v>2013</v>
      </c>
      <c r="D444" t="s">
        <v>74</v>
      </c>
      <c r="E444" t="s">
        <v>77</v>
      </c>
      <c r="F444" s="2">
        <v>0.65</v>
      </c>
      <c r="G444" s="2">
        <v>0.75</v>
      </c>
      <c r="H444" s="14">
        <f t="shared" si="37"/>
        <v>0</v>
      </c>
      <c r="I444" s="5">
        <v>15000000</v>
      </c>
      <c r="J444">
        <v>1</v>
      </c>
      <c r="K444" s="6">
        <v>9.2499999999999999E-2</v>
      </c>
      <c r="L444" s="2">
        <v>0</v>
      </c>
      <c r="M444" t="str">
        <f t="shared" si="42"/>
        <v>SUB</v>
      </c>
      <c r="N444" t="s">
        <v>75</v>
      </c>
      <c r="O444" t="str">
        <f>VLOOKUP(Table1[[#This Row],[SCHEMATIC TYPE]],'SCHEMATIC Lookup'!$B$1:$C$5,2)</f>
        <v>Mezzanine Loan</v>
      </c>
      <c r="P444" s="5">
        <v>167281567</v>
      </c>
      <c r="Q444" t="s">
        <v>71</v>
      </c>
      <c r="R444" t="s">
        <v>73</v>
      </c>
      <c r="S444" t="s">
        <v>71</v>
      </c>
      <c r="T444" t="s">
        <v>88</v>
      </c>
      <c r="U444" s="12" t="s">
        <v>239</v>
      </c>
      <c r="V444" s="12" t="s">
        <v>231</v>
      </c>
      <c r="W444" s="11">
        <v>120</v>
      </c>
      <c r="X444" s="2">
        <f t="shared" si="38"/>
        <v>0.65</v>
      </c>
      <c r="Y444" s="5">
        <f t="shared" si="39"/>
        <v>15000000</v>
      </c>
      <c r="Z444" s="5">
        <f t="shared" si="40"/>
        <v>15000000</v>
      </c>
    </row>
    <row r="445" spans="1:26" x14ac:dyDescent="0.25">
      <c r="A445">
        <v>15590</v>
      </c>
      <c r="B445">
        <v>212</v>
      </c>
      <c r="C445">
        <v>2019</v>
      </c>
      <c r="D445" t="s">
        <v>112</v>
      </c>
      <c r="E445" t="s">
        <v>69</v>
      </c>
      <c r="F445" s="2">
        <v>0</v>
      </c>
      <c r="G445" s="2">
        <v>0.75</v>
      </c>
      <c r="H445" s="14">
        <f t="shared" si="37"/>
        <v>0</v>
      </c>
      <c r="I445" s="5">
        <v>126432000</v>
      </c>
      <c r="J445">
        <v>4</v>
      </c>
      <c r="K445" s="6">
        <v>2.2499999999999999E-2</v>
      </c>
      <c r="L445" s="2">
        <v>0</v>
      </c>
      <c r="M445" t="str">
        <f t="shared" si="42"/>
        <v>SENIOR</v>
      </c>
      <c r="N445" t="s">
        <v>90</v>
      </c>
      <c r="O445" t="str">
        <f>VLOOKUP(Table1[[#This Row],[SCHEMATIC TYPE]],'SCHEMATIC Lookup'!$B$1:$C$5,2)</f>
        <v>Senior Whole Loan</v>
      </c>
      <c r="P445" s="5">
        <v>219090830</v>
      </c>
      <c r="Q445" t="s">
        <v>71</v>
      </c>
      <c r="R445" t="s">
        <v>73</v>
      </c>
      <c r="S445" t="s">
        <v>71</v>
      </c>
      <c r="T445" t="s">
        <v>71</v>
      </c>
      <c r="U445" s="12" t="s">
        <v>238</v>
      </c>
      <c r="V445" s="12" t="s">
        <v>231</v>
      </c>
      <c r="W445" s="11">
        <v>60</v>
      </c>
      <c r="X445" s="2">
        <f t="shared" si="38"/>
        <v>0</v>
      </c>
      <c r="Y445" s="5">
        <f t="shared" si="39"/>
        <v>126432000</v>
      </c>
      <c r="Z445" s="5">
        <f t="shared" si="40"/>
        <v>126432000</v>
      </c>
    </row>
    <row r="446" spans="1:26" x14ac:dyDescent="0.25">
      <c r="A446">
        <v>15600</v>
      </c>
      <c r="B446">
        <v>212</v>
      </c>
      <c r="C446">
        <v>2019</v>
      </c>
      <c r="D446" t="s">
        <v>112</v>
      </c>
      <c r="E446" t="s">
        <v>69</v>
      </c>
      <c r="F446" s="2">
        <v>0</v>
      </c>
      <c r="G446" s="2">
        <v>0.7</v>
      </c>
      <c r="H446" s="14">
        <f t="shared" si="37"/>
        <v>0</v>
      </c>
      <c r="I446" s="5">
        <v>211000000</v>
      </c>
      <c r="J446">
        <v>1</v>
      </c>
      <c r="K446" s="6">
        <v>2.1499999999999998E-2</v>
      </c>
      <c r="L446" s="2">
        <v>0</v>
      </c>
      <c r="M446" t="str">
        <f t="shared" si="42"/>
        <v>SENIOR</v>
      </c>
      <c r="N446" t="s">
        <v>90</v>
      </c>
      <c r="O446" t="str">
        <f>VLOOKUP(Table1[[#This Row],[SCHEMATIC TYPE]],'SCHEMATIC Lookup'!$B$1:$C$5,2)</f>
        <v>Senior Whole Loan</v>
      </c>
      <c r="P446" s="5">
        <v>288250000</v>
      </c>
      <c r="Q446" t="s">
        <v>71</v>
      </c>
      <c r="R446" t="s">
        <v>73</v>
      </c>
      <c r="S446" t="s">
        <v>71</v>
      </c>
      <c r="T446" t="s">
        <v>71</v>
      </c>
      <c r="U446" s="12" t="s">
        <v>238</v>
      </c>
      <c r="V446" s="12" t="s">
        <v>233</v>
      </c>
      <c r="W446" s="11">
        <v>36</v>
      </c>
      <c r="X446" s="2">
        <f t="shared" si="38"/>
        <v>0</v>
      </c>
      <c r="Y446" s="5">
        <f t="shared" si="39"/>
        <v>211000000</v>
      </c>
      <c r="Z446" s="5">
        <f t="shared" si="40"/>
        <v>211000000</v>
      </c>
    </row>
    <row r="447" spans="1:26" x14ac:dyDescent="0.25">
      <c r="A447">
        <v>15610</v>
      </c>
      <c r="B447">
        <v>212</v>
      </c>
      <c r="C447">
        <v>2016</v>
      </c>
      <c r="D447" t="s">
        <v>268</v>
      </c>
      <c r="E447" t="s">
        <v>69</v>
      </c>
      <c r="F447" s="2">
        <v>0</v>
      </c>
      <c r="G447" s="2">
        <v>0.68</v>
      </c>
      <c r="H447" s="14">
        <f t="shared" si="37"/>
        <v>0</v>
      </c>
      <c r="I447" s="5">
        <v>230400000</v>
      </c>
      <c r="J447">
        <v>1</v>
      </c>
      <c r="K447" s="6">
        <v>2.75E-2</v>
      </c>
      <c r="L447" s="2">
        <v>0</v>
      </c>
      <c r="M447" t="str">
        <f t="shared" si="42"/>
        <v>SENIOR</v>
      </c>
      <c r="N447" t="s">
        <v>90</v>
      </c>
      <c r="O447" t="str">
        <f>VLOOKUP(Table1[[#This Row],[SCHEMATIC TYPE]],'SCHEMATIC Lookup'!$B$1:$C$5,2)</f>
        <v>Senior Whole Loan</v>
      </c>
      <c r="P447" s="5">
        <v>341522000</v>
      </c>
      <c r="Q447" t="s">
        <v>71</v>
      </c>
      <c r="R447" t="s">
        <v>73</v>
      </c>
      <c r="S447" t="s">
        <v>71</v>
      </c>
      <c r="T447" t="s">
        <v>71</v>
      </c>
      <c r="U447" s="12" t="s">
        <v>238</v>
      </c>
      <c r="V447" s="12" t="s">
        <v>234</v>
      </c>
      <c r="W447" s="11">
        <v>60</v>
      </c>
      <c r="X447" s="2">
        <f t="shared" si="38"/>
        <v>0</v>
      </c>
      <c r="Y447" s="5">
        <f t="shared" si="39"/>
        <v>230400000</v>
      </c>
      <c r="Z447" s="5">
        <f t="shared" si="40"/>
        <v>230400000</v>
      </c>
    </row>
    <row r="448" spans="1:26" x14ac:dyDescent="0.25">
      <c r="A448">
        <v>15620</v>
      </c>
      <c r="B448">
        <v>212</v>
      </c>
      <c r="C448">
        <v>2017</v>
      </c>
      <c r="D448" t="s">
        <v>112</v>
      </c>
      <c r="E448" t="s">
        <v>69</v>
      </c>
      <c r="F448" s="2">
        <v>0</v>
      </c>
      <c r="G448" s="2">
        <v>0.76</v>
      </c>
      <c r="H448" s="14">
        <f t="shared" si="37"/>
        <v>0</v>
      </c>
      <c r="I448" s="5">
        <v>85000000</v>
      </c>
      <c r="J448">
        <v>1</v>
      </c>
      <c r="K448" s="6">
        <v>2.8500000000000001E-2</v>
      </c>
      <c r="L448" s="2">
        <v>0</v>
      </c>
      <c r="M448" t="str">
        <f t="shared" si="42"/>
        <v>SENIOR</v>
      </c>
      <c r="N448" t="s">
        <v>90</v>
      </c>
      <c r="O448" t="str">
        <f>VLOOKUP(Table1[[#This Row],[SCHEMATIC TYPE]],'SCHEMATIC Lookup'!$B$1:$C$5,2)</f>
        <v>Senior Whole Loan</v>
      </c>
      <c r="P448" s="5">
        <v>116245000</v>
      </c>
      <c r="Q448" t="s">
        <v>71</v>
      </c>
      <c r="R448" t="s">
        <v>73</v>
      </c>
      <c r="S448" t="s">
        <v>71</v>
      </c>
      <c r="T448" t="s">
        <v>71</v>
      </c>
      <c r="U448" s="12" t="s">
        <v>238</v>
      </c>
      <c r="V448" s="12" t="s">
        <v>231</v>
      </c>
      <c r="W448" s="11">
        <v>60</v>
      </c>
      <c r="X448" s="2">
        <f t="shared" si="38"/>
        <v>0</v>
      </c>
      <c r="Y448" s="5">
        <f t="shared" si="39"/>
        <v>85000000</v>
      </c>
      <c r="Z448" s="5">
        <f t="shared" si="40"/>
        <v>85000000</v>
      </c>
    </row>
    <row r="449" spans="1:26" x14ac:dyDescent="0.25">
      <c r="A449">
        <v>15630</v>
      </c>
      <c r="B449">
        <v>212</v>
      </c>
      <c r="C449">
        <v>2019</v>
      </c>
      <c r="D449" t="s">
        <v>96</v>
      </c>
      <c r="E449" t="s">
        <v>69</v>
      </c>
      <c r="F449" s="2">
        <v>0</v>
      </c>
      <c r="G449" s="2">
        <v>0.55000000000000004</v>
      </c>
      <c r="H449" s="14">
        <f t="shared" si="37"/>
        <v>0</v>
      </c>
      <c r="I449" s="5">
        <v>250000000</v>
      </c>
      <c r="J449">
        <v>2</v>
      </c>
      <c r="K449" s="6">
        <v>2.5499999999999998E-2</v>
      </c>
      <c r="L449" s="2">
        <v>0</v>
      </c>
      <c r="M449" t="str">
        <f t="shared" si="42"/>
        <v>SENIOR</v>
      </c>
      <c r="N449" t="s">
        <v>90</v>
      </c>
      <c r="O449" t="str">
        <f>VLOOKUP(Table1[[#This Row],[SCHEMATIC TYPE]],'SCHEMATIC Lookup'!$B$1:$C$5,2)</f>
        <v>Senior Whole Loan</v>
      </c>
      <c r="P449" s="5">
        <v>363600000</v>
      </c>
      <c r="Q449" t="s">
        <v>71</v>
      </c>
      <c r="R449" t="s">
        <v>73</v>
      </c>
      <c r="S449" t="s">
        <v>71</v>
      </c>
      <c r="T449" t="s">
        <v>71</v>
      </c>
      <c r="U449" s="12" t="s">
        <v>238</v>
      </c>
      <c r="V449" s="12" t="s">
        <v>230</v>
      </c>
      <c r="W449" s="11">
        <v>36</v>
      </c>
      <c r="X449" s="2">
        <f t="shared" si="38"/>
        <v>0</v>
      </c>
      <c r="Y449" s="5">
        <f t="shared" si="39"/>
        <v>250000000</v>
      </c>
      <c r="Z449" s="5">
        <f t="shared" si="40"/>
        <v>250000000</v>
      </c>
    </row>
    <row r="450" spans="1:26" x14ac:dyDescent="0.25">
      <c r="A450">
        <v>15640</v>
      </c>
      <c r="B450">
        <v>183</v>
      </c>
      <c r="C450">
        <v>2020</v>
      </c>
      <c r="D450" t="s">
        <v>96</v>
      </c>
      <c r="E450" t="s">
        <v>69</v>
      </c>
      <c r="F450" s="2">
        <v>0</v>
      </c>
      <c r="G450" s="2">
        <v>0.68</v>
      </c>
      <c r="H450" s="14">
        <f t="shared" si="37"/>
        <v>0</v>
      </c>
      <c r="I450" s="5">
        <v>42000000</v>
      </c>
      <c r="J450">
        <v>2</v>
      </c>
      <c r="K450" s="6">
        <v>2.2499999999999999E-2</v>
      </c>
      <c r="L450" s="2">
        <v>0.5</v>
      </c>
      <c r="M450" t="str">
        <f t="shared" si="42"/>
        <v>SUBL</v>
      </c>
      <c r="N450" t="s">
        <v>70</v>
      </c>
      <c r="O450" t="str">
        <f>VLOOKUP(Table1[[#This Row],[SCHEMATIC TYPE]],'SCHEMATIC Lookup'!$B$1:$C$5,2)</f>
        <v>Leveraged Whole Loan</v>
      </c>
      <c r="P450" s="5">
        <v>71631048</v>
      </c>
      <c r="Q450" t="s">
        <v>86</v>
      </c>
      <c r="R450" t="s">
        <v>73</v>
      </c>
      <c r="S450" t="s">
        <v>71</v>
      </c>
      <c r="T450" t="s">
        <v>88</v>
      </c>
      <c r="U450" s="12" t="s">
        <v>238</v>
      </c>
      <c r="V450" s="12" t="s">
        <v>234</v>
      </c>
      <c r="W450">
        <v>48</v>
      </c>
      <c r="X450" s="2">
        <f t="shared" si="38"/>
        <v>0.34</v>
      </c>
      <c r="Y450" s="5">
        <f t="shared" si="39"/>
        <v>21000000</v>
      </c>
      <c r="Z450" s="5">
        <f t="shared" si="40"/>
        <v>42000000</v>
      </c>
    </row>
    <row r="451" spans="1:26" x14ac:dyDescent="0.25">
      <c r="A451">
        <v>15650</v>
      </c>
      <c r="B451">
        <v>183</v>
      </c>
      <c r="C451">
        <v>2020</v>
      </c>
      <c r="D451" t="s">
        <v>96</v>
      </c>
      <c r="E451" t="s">
        <v>69</v>
      </c>
      <c r="F451" s="2">
        <v>0</v>
      </c>
      <c r="G451" s="2">
        <v>0.64500000000000002</v>
      </c>
      <c r="H451" s="14">
        <f t="shared" si="37"/>
        <v>0</v>
      </c>
      <c r="I451" s="5">
        <v>15500000</v>
      </c>
      <c r="J451">
        <v>7</v>
      </c>
      <c r="K451" s="6">
        <v>2.9000000000000001E-2</v>
      </c>
      <c r="L451" s="2">
        <v>0</v>
      </c>
      <c r="M451" t="str">
        <f t="shared" si="42"/>
        <v>SENIOR</v>
      </c>
      <c r="N451" t="s">
        <v>90</v>
      </c>
      <c r="O451" t="str">
        <f>VLOOKUP(Table1[[#This Row],[SCHEMATIC TYPE]],'SCHEMATIC Lookup'!$B$1:$C$5,2)</f>
        <v>Senior Whole Loan</v>
      </c>
      <c r="P451" s="5">
        <v>28368487</v>
      </c>
      <c r="Q451" t="s">
        <v>86</v>
      </c>
      <c r="R451" t="s">
        <v>73</v>
      </c>
      <c r="S451" t="s">
        <v>71</v>
      </c>
      <c r="T451" t="s">
        <v>88</v>
      </c>
      <c r="U451" s="12" t="s">
        <v>238</v>
      </c>
      <c r="V451" s="12" t="s">
        <v>235</v>
      </c>
      <c r="W451">
        <v>48</v>
      </c>
      <c r="X451" s="2">
        <f t="shared" si="38"/>
        <v>0</v>
      </c>
      <c r="Y451" s="5">
        <f t="shared" si="39"/>
        <v>15500000</v>
      </c>
      <c r="Z451" s="5">
        <f t="shared" si="40"/>
        <v>15500000</v>
      </c>
    </row>
    <row r="452" spans="1:26" x14ac:dyDescent="0.25">
      <c r="A452">
        <v>15660</v>
      </c>
      <c r="B452">
        <v>183</v>
      </c>
      <c r="C452">
        <v>2020</v>
      </c>
      <c r="D452" t="s">
        <v>89</v>
      </c>
      <c r="E452" t="s">
        <v>69</v>
      </c>
      <c r="F452" s="2">
        <v>0</v>
      </c>
      <c r="G452" s="2">
        <v>0.69</v>
      </c>
      <c r="H452" s="14">
        <f t="shared" si="37"/>
        <v>0</v>
      </c>
      <c r="I452" s="5">
        <v>47225000</v>
      </c>
      <c r="J452">
        <v>2</v>
      </c>
      <c r="K452" s="6">
        <v>2.2499999999999999E-2</v>
      </c>
      <c r="L452" s="2">
        <v>0.5</v>
      </c>
      <c r="M452" t="str">
        <f t="shared" si="42"/>
        <v>SUBL</v>
      </c>
      <c r="N452" t="s">
        <v>70</v>
      </c>
      <c r="O452" t="str">
        <f>VLOOKUP(Table1[[#This Row],[SCHEMATIC TYPE]],'SCHEMATIC Lookup'!$B$1:$C$5,2)</f>
        <v>Leveraged Whole Loan</v>
      </c>
      <c r="P452" s="5">
        <v>77309523</v>
      </c>
      <c r="Q452" t="s">
        <v>86</v>
      </c>
      <c r="R452" t="s">
        <v>82</v>
      </c>
      <c r="S452" t="s">
        <v>71</v>
      </c>
      <c r="T452" t="s">
        <v>88</v>
      </c>
      <c r="U452" s="12" t="s">
        <v>238</v>
      </c>
      <c r="V452" s="12" t="s">
        <v>234</v>
      </c>
      <c r="W452">
        <v>60</v>
      </c>
      <c r="X452" s="2">
        <f t="shared" si="38"/>
        <v>0.34499999999999997</v>
      </c>
      <c r="Y452" s="5">
        <f t="shared" si="39"/>
        <v>23612500</v>
      </c>
      <c r="Z452" s="5">
        <f t="shared" si="40"/>
        <v>47225000</v>
      </c>
    </row>
    <row r="453" spans="1:26" x14ac:dyDescent="0.25">
      <c r="A453">
        <v>15670</v>
      </c>
      <c r="B453">
        <v>103</v>
      </c>
      <c r="C453">
        <v>2019</v>
      </c>
      <c r="D453" t="s">
        <v>76</v>
      </c>
      <c r="E453" t="s">
        <v>69</v>
      </c>
      <c r="F453" s="2">
        <v>0.58360000000000001</v>
      </c>
      <c r="G453" s="2">
        <v>0.62609999999999999</v>
      </c>
      <c r="H453" s="14">
        <f t="shared" si="37"/>
        <v>0</v>
      </c>
      <c r="I453" s="5">
        <v>17650000</v>
      </c>
      <c r="J453">
        <v>1</v>
      </c>
      <c r="K453" s="6" t="s">
        <v>103</v>
      </c>
      <c r="L453" s="2">
        <v>0</v>
      </c>
      <c r="M453" t="str">
        <f t="shared" si="42"/>
        <v>SUB</v>
      </c>
      <c r="N453" t="s">
        <v>78</v>
      </c>
      <c r="O453" s="47" t="str">
        <f>VLOOKUP(Table1[[#This Row],[SCHEMATIC TYPE]],'SCHEMATIC Lookup'!$B$1:$C$5,2)</f>
        <v>Sub. Tranche of Senior</v>
      </c>
      <c r="P453" s="5" t="s">
        <v>79</v>
      </c>
      <c r="Q453" t="s">
        <v>79</v>
      </c>
      <c r="R453" t="s">
        <v>79</v>
      </c>
      <c r="S453" t="s">
        <v>79</v>
      </c>
      <c r="T453" t="s">
        <v>79</v>
      </c>
      <c r="U453" s="12" t="s">
        <v>230</v>
      </c>
      <c r="V453" s="12" t="s">
        <v>235</v>
      </c>
      <c r="W453" t="s">
        <v>100</v>
      </c>
      <c r="X453" s="2">
        <f t="shared" si="38"/>
        <v>0.58360000000000001</v>
      </c>
      <c r="Y453" s="5">
        <f t="shared" si="39"/>
        <v>17650000</v>
      </c>
      <c r="Z453" s="5">
        <f t="shared" si="40"/>
        <v>17650000</v>
      </c>
    </row>
    <row r="454" spans="1:26" x14ac:dyDescent="0.25">
      <c r="A454">
        <v>15680</v>
      </c>
      <c r="B454">
        <v>103</v>
      </c>
      <c r="C454">
        <v>2019</v>
      </c>
      <c r="D454" t="s">
        <v>76</v>
      </c>
      <c r="E454" t="s">
        <v>77</v>
      </c>
      <c r="F454" s="2">
        <v>0.49059999999999998</v>
      </c>
      <c r="G454" s="2">
        <v>0.59340000000000004</v>
      </c>
      <c r="H454" s="14">
        <f t="shared" si="37"/>
        <v>0</v>
      </c>
      <c r="I454" s="5">
        <v>65000000</v>
      </c>
      <c r="J454">
        <v>1</v>
      </c>
      <c r="K454" s="6">
        <v>7.8299999999999995E-2</v>
      </c>
      <c r="L454" s="2">
        <v>0</v>
      </c>
      <c r="M454" t="str">
        <f t="shared" si="42"/>
        <v>SUB</v>
      </c>
      <c r="N454" t="s">
        <v>78</v>
      </c>
      <c r="O454" s="47" t="str">
        <f>VLOOKUP(Table1[[#This Row],[SCHEMATIC TYPE]],'SCHEMATIC Lookup'!$B$1:$C$5,2)</f>
        <v>Sub. Tranche of Senior</v>
      </c>
      <c r="P454" s="5" t="s">
        <v>79</v>
      </c>
      <c r="Q454" t="s">
        <v>79</v>
      </c>
      <c r="R454" t="s">
        <v>79</v>
      </c>
      <c r="S454" t="s">
        <v>79</v>
      </c>
      <c r="T454" t="s">
        <v>79</v>
      </c>
      <c r="U454" s="12" t="s">
        <v>232</v>
      </c>
      <c r="V454" s="12" t="s">
        <v>230</v>
      </c>
      <c r="W454" t="s">
        <v>100</v>
      </c>
      <c r="X454" s="2">
        <f t="shared" si="38"/>
        <v>0.49059999999999998</v>
      </c>
      <c r="Y454" s="5">
        <f t="shared" si="39"/>
        <v>65000000</v>
      </c>
      <c r="Z454" s="5">
        <f t="shared" si="40"/>
        <v>65000000</v>
      </c>
    </row>
    <row r="455" spans="1:26" x14ac:dyDescent="0.25">
      <c r="A455">
        <v>15690</v>
      </c>
      <c r="B455">
        <v>193</v>
      </c>
      <c r="C455">
        <v>2018</v>
      </c>
      <c r="D455" t="s">
        <v>74</v>
      </c>
      <c r="E455" t="s">
        <v>69</v>
      </c>
      <c r="F455" s="2">
        <v>0.64</v>
      </c>
      <c r="G455" s="2">
        <v>0.77</v>
      </c>
      <c r="H455" s="14">
        <f t="shared" ref="H455:H470" si="43">(G455=F455)*1</f>
        <v>0</v>
      </c>
      <c r="I455" s="5">
        <v>14495516</v>
      </c>
      <c r="J455">
        <v>6</v>
      </c>
      <c r="K455" s="6">
        <v>7.4999999999999997E-2</v>
      </c>
      <c r="L455" s="2">
        <v>0</v>
      </c>
      <c r="M455" t="str">
        <f t="shared" si="42"/>
        <v>SUB</v>
      </c>
      <c r="N455" t="s">
        <v>75</v>
      </c>
      <c r="O455" s="13" t="str">
        <f>VLOOKUP(Table1[[#This Row],[SCHEMATIC TYPE]],'SCHEMATIC Lookup'!$B$1:$C$5,2)</f>
        <v>Mezzanine Loan</v>
      </c>
      <c r="P455" s="5">
        <v>136000000</v>
      </c>
      <c r="Q455" t="s">
        <v>88</v>
      </c>
      <c r="R455" t="s">
        <v>82</v>
      </c>
      <c r="S455" t="s">
        <v>71</v>
      </c>
      <c r="T455" t="s">
        <v>88</v>
      </c>
      <c r="U455" s="12" t="s">
        <v>235</v>
      </c>
      <c r="V455" s="12" t="s">
        <v>231</v>
      </c>
      <c r="W455">
        <v>60</v>
      </c>
      <c r="X455" s="2">
        <f t="shared" ref="X455:X470" si="44">IF(F455=0,L455*G455,F455)</f>
        <v>0.64</v>
      </c>
      <c r="Y455" s="5">
        <f t="shared" ref="Y455:Y470" si="45">IF(AND(F455=0,X455&gt;0),I455*(1-L455),I455)</f>
        <v>14495516</v>
      </c>
      <c r="Z455" s="5">
        <f t="shared" ref="Z455:Z470" si="46">IF(AND(L455&gt;0,F455&lt;&gt;0),I455/((G455-F455)/G455),I455)</f>
        <v>14495516</v>
      </c>
    </row>
    <row r="456" spans="1:26" x14ac:dyDescent="0.25">
      <c r="A456">
        <v>15700</v>
      </c>
      <c r="B456">
        <v>193</v>
      </c>
      <c r="C456">
        <v>2018</v>
      </c>
      <c r="D456" t="s">
        <v>74</v>
      </c>
      <c r="E456" t="s">
        <v>77</v>
      </c>
      <c r="F456" s="2">
        <v>0.58499999999999996</v>
      </c>
      <c r="G456" s="2">
        <v>0.75600000000000001</v>
      </c>
      <c r="H456" s="14">
        <f t="shared" si="43"/>
        <v>0</v>
      </c>
      <c r="I456" s="5">
        <v>35000000</v>
      </c>
      <c r="J456">
        <v>2</v>
      </c>
      <c r="K456" s="6">
        <v>7.7499999999999999E-2</v>
      </c>
      <c r="L456" s="2">
        <v>0</v>
      </c>
      <c r="M456" t="str">
        <f t="shared" si="42"/>
        <v>SUB</v>
      </c>
      <c r="N456" t="s">
        <v>75</v>
      </c>
      <c r="O456" s="13" t="str">
        <f>VLOOKUP(Table1[[#This Row],[SCHEMATIC TYPE]],'SCHEMATIC Lookup'!$B$1:$C$5,2)</f>
        <v>Mezzanine Loan</v>
      </c>
      <c r="P456" s="5">
        <v>205000000</v>
      </c>
      <c r="Q456" t="s">
        <v>19</v>
      </c>
      <c r="R456" t="s">
        <v>82</v>
      </c>
      <c r="S456" t="s">
        <v>19</v>
      </c>
      <c r="T456" t="s">
        <v>19</v>
      </c>
      <c r="U456" s="12" t="s">
        <v>230</v>
      </c>
      <c r="V456" s="12" t="s">
        <v>231</v>
      </c>
      <c r="W456">
        <v>60</v>
      </c>
      <c r="X456" s="2">
        <f t="shared" si="44"/>
        <v>0.58499999999999996</v>
      </c>
      <c r="Y456" s="5">
        <f t="shared" si="45"/>
        <v>35000000</v>
      </c>
      <c r="Z456" s="5">
        <f t="shared" si="46"/>
        <v>35000000</v>
      </c>
    </row>
    <row r="457" spans="1:26" x14ac:dyDescent="0.25">
      <c r="A457">
        <v>15710</v>
      </c>
      <c r="B457">
        <v>193</v>
      </c>
      <c r="C457">
        <v>2018</v>
      </c>
      <c r="D457" t="s">
        <v>74</v>
      </c>
      <c r="E457" t="s">
        <v>69</v>
      </c>
      <c r="F457" s="2">
        <v>0.63</v>
      </c>
      <c r="G457" s="2">
        <v>0.72799999999999998</v>
      </c>
      <c r="H457" s="14">
        <f t="shared" si="43"/>
        <v>0</v>
      </c>
      <c r="I457" s="5">
        <v>74700000</v>
      </c>
      <c r="J457">
        <v>1</v>
      </c>
      <c r="K457" s="6">
        <v>4.7E-2</v>
      </c>
      <c r="L457" s="2">
        <v>0</v>
      </c>
      <c r="M457" t="str">
        <f t="shared" si="42"/>
        <v>SUB</v>
      </c>
      <c r="N457" t="s">
        <v>75</v>
      </c>
      <c r="O457" s="13" t="str">
        <f>VLOOKUP(Table1[[#This Row],[SCHEMATIC TYPE]],'SCHEMATIC Lookup'!$B$1:$C$5,2)</f>
        <v>Mezzanine Loan</v>
      </c>
      <c r="P457" s="5">
        <v>747250000</v>
      </c>
      <c r="Q457" t="s">
        <v>71</v>
      </c>
      <c r="R457" t="s">
        <v>73</v>
      </c>
      <c r="S457" t="s">
        <v>71</v>
      </c>
      <c r="T457" t="s">
        <v>71</v>
      </c>
      <c r="U457" s="12" t="s">
        <v>235</v>
      </c>
      <c r="V457" s="12" t="s">
        <v>233</v>
      </c>
      <c r="W457">
        <v>36</v>
      </c>
      <c r="X457" s="2">
        <f t="shared" si="44"/>
        <v>0.63</v>
      </c>
      <c r="Y457" s="5">
        <f t="shared" si="45"/>
        <v>74700000</v>
      </c>
      <c r="Z457" s="5">
        <f t="shared" si="46"/>
        <v>74700000</v>
      </c>
    </row>
    <row r="458" spans="1:26" x14ac:dyDescent="0.25">
      <c r="A458">
        <v>15720</v>
      </c>
      <c r="B458">
        <v>193</v>
      </c>
      <c r="C458">
        <v>2018</v>
      </c>
      <c r="D458" t="s">
        <v>74</v>
      </c>
      <c r="E458" t="s">
        <v>69</v>
      </c>
      <c r="F458" s="2">
        <v>0.56230031948881787</v>
      </c>
      <c r="G458" s="2">
        <v>0.70287539936102239</v>
      </c>
      <c r="H458" s="14">
        <f t="shared" si="43"/>
        <v>0</v>
      </c>
      <c r="I458" s="5">
        <v>22000000</v>
      </c>
      <c r="J458">
        <v>6</v>
      </c>
      <c r="K458" s="6">
        <v>0.06</v>
      </c>
      <c r="L458" s="2">
        <v>0</v>
      </c>
      <c r="M458" t="str">
        <f t="shared" si="42"/>
        <v>SUB</v>
      </c>
      <c r="N458" t="s">
        <v>75</v>
      </c>
      <c r="O458" s="13" t="str">
        <f>VLOOKUP(Table1[[#This Row],[SCHEMATIC TYPE]],'SCHEMATIC Lookup'!$B$1:$C$5,2)</f>
        <v>Mezzanine Loan</v>
      </c>
      <c r="P458" s="5">
        <v>164500000</v>
      </c>
      <c r="Q458" t="s">
        <v>88</v>
      </c>
      <c r="R458" t="s">
        <v>82</v>
      </c>
      <c r="S458" t="s">
        <v>71</v>
      </c>
      <c r="T458" t="s">
        <v>88</v>
      </c>
      <c r="U458" s="12" t="s">
        <v>230</v>
      </c>
      <c r="V458" s="12" t="s">
        <v>233</v>
      </c>
      <c r="W458">
        <v>48</v>
      </c>
      <c r="X458" s="2">
        <f t="shared" si="44"/>
        <v>0.56230031948881787</v>
      </c>
      <c r="Y458" s="5">
        <f t="shared" si="45"/>
        <v>22000000</v>
      </c>
      <c r="Z458" s="5">
        <f t="shared" si="46"/>
        <v>22000000</v>
      </c>
    </row>
    <row r="459" spans="1:26" x14ac:dyDescent="0.25">
      <c r="A459">
        <v>15730</v>
      </c>
      <c r="B459">
        <v>193</v>
      </c>
      <c r="C459">
        <v>2018</v>
      </c>
      <c r="D459" t="s">
        <v>74</v>
      </c>
      <c r="E459" t="s">
        <v>69</v>
      </c>
      <c r="F459" s="2">
        <v>0.62164445774003907</v>
      </c>
      <c r="G459" s="2">
        <v>0.7462069071848465</v>
      </c>
      <c r="H459" s="14">
        <f t="shared" si="43"/>
        <v>0</v>
      </c>
      <c r="I459" s="5">
        <v>20865910</v>
      </c>
      <c r="J459">
        <v>1</v>
      </c>
      <c r="K459" s="6">
        <v>6.5000000000000002E-2</v>
      </c>
      <c r="L459" s="2">
        <v>0</v>
      </c>
      <c r="M459" t="str">
        <f t="shared" si="42"/>
        <v>SUB</v>
      </c>
      <c r="N459" t="s">
        <v>75</v>
      </c>
      <c r="O459" s="13" t="str">
        <f>VLOOKUP(Table1[[#This Row],[SCHEMATIC TYPE]],'SCHEMATIC Lookup'!$B$1:$C$5,2)</f>
        <v>Mezzanine Loan</v>
      </c>
      <c r="P459" s="5">
        <v>218600000</v>
      </c>
      <c r="Q459" t="s">
        <v>88</v>
      </c>
      <c r="R459" t="s">
        <v>82</v>
      </c>
      <c r="S459" t="s">
        <v>71</v>
      </c>
      <c r="T459" t="s">
        <v>88</v>
      </c>
      <c r="U459" s="12" t="s">
        <v>235</v>
      </c>
      <c r="V459" s="12" t="s">
        <v>233</v>
      </c>
      <c r="W459">
        <v>24</v>
      </c>
      <c r="X459" s="2">
        <f t="shared" si="44"/>
        <v>0.62164445774003907</v>
      </c>
      <c r="Y459" s="5">
        <f t="shared" si="45"/>
        <v>20865910</v>
      </c>
      <c r="Z459" s="5">
        <f t="shared" si="46"/>
        <v>20865910</v>
      </c>
    </row>
    <row r="460" spans="1:26" x14ac:dyDescent="0.25">
      <c r="A460">
        <v>15740</v>
      </c>
      <c r="B460">
        <v>193</v>
      </c>
      <c r="C460">
        <v>2019</v>
      </c>
      <c r="D460" t="s">
        <v>74</v>
      </c>
      <c r="E460" t="s">
        <v>69</v>
      </c>
      <c r="F460" s="2">
        <v>0.54819369302325582</v>
      </c>
      <c r="G460" s="2">
        <v>0.68772857674418608</v>
      </c>
      <c r="H460" s="14">
        <f t="shared" si="43"/>
        <v>0</v>
      </c>
      <c r="I460" s="5">
        <v>60000000</v>
      </c>
      <c r="J460">
        <v>3</v>
      </c>
      <c r="K460" s="6">
        <v>5.0999999999999997E-2</v>
      </c>
      <c r="L460" s="2">
        <v>0</v>
      </c>
      <c r="M460" t="str">
        <f t="shared" si="42"/>
        <v>SUB</v>
      </c>
      <c r="N460" t="s">
        <v>75</v>
      </c>
      <c r="O460" s="13" t="str">
        <f>VLOOKUP(Table1[[#This Row],[SCHEMATIC TYPE]],'SCHEMATIC Lookup'!$B$1:$C$5,2)</f>
        <v>Mezzanine Loan</v>
      </c>
      <c r="P460" s="5">
        <v>430000000</v>
      </c>
      <c r="Q460" t="s">
        <v>19</v>
      </c>
      <c r="R460" t="s">
        <v>82</v>
      </c>
      <c r="S460" t="s">
        <v>19</v>
      </c>
      <c r="T460" t="s">
        <v>19</v>
      </c>
      <c r="U460" s="12" t="s">
        <v>236</v>
      </c>
      <c r="V460" s="12" t="s">
        <v>234</v>
      </c>
      <c r="W460">
        <v>36</v>
      </c>
      <c r="X460" s="2">
        <f t="shared" si="44"/>
        <v>0.54819369302325582</v>
      </c>
      <c r="Y460" s="5">
        <f t="shared" si="45"/>
        <v>60000000</v>
      </c>
      <c r="Z460" s="5">
        <f t="shared" si="46"/>
        <v>60000000</v>
      </c>
    </row>
    <row r="461" spans="1:26" x14ac:dyDescent="0.25">
      <c r="A461">
        <v>15750</v>
      </c>
      <c r="B461">
        <v>193</v>
      </c>
      <c r="C461">
        <v>2018</v>
      </c>
      <c r="D461" t="s">
        <v>74</v>
      </c>
      <c r="E461" t="s">
        <v>69</v>
      </c>
      <c r="F461" s="2">
        <v>0.44562211981566818</v>
      </c>
      <c r="G461" s="2">
        <v>0.61382488479262676</v>
      </c>
      <c r="H461" s="14">
        <f t="shared" si="43"/>
        <v>0</v>
      </c>
      <c r="I461" s="5">
        <v>36500000</v>
      </c>
      <c r="J461">
        <v>1</v>
      </c>
      <c r="K461" s="6">
        <v>4.8000000000000001E-2</v>
      </c>
      <c r="L461" s="2">
        <v>0</v>
      </c>
      <c r="M461" t="str">
        <f t="shared" si="42"/>
        <v>SUB</v>
      </c>
      <c r="N461" t="s">
        <v>75</v>
      </c>
      <c r="O461" s="13" t="str">
        <f>VLOOKUP(Table1[[#This Row],[SCHEMATIC TYPE]],'SCHEMATIC Lookup'!$B$1:$C$5,2)</f>
        <v>Mezzanine Loan</v>
      </c>
      <c r="P461" s="5">
        <v>217000000</v>
      </c>
      <c r="Q461" t="s">
        <v>88</v>
      </c>
      <c r="R461" t="s">
        <v>73</v>
      </c>
      <c r="S461" t="s">
        <v>71</v>
      </c>
      <c r="T461" t="s">
        <v>88</v>
      </c>
      <c r="U461" s="12" t="s">
        <v>232</v>
      </c>
      <c r="V461" s="12" t="s">
        <v>235</v>
      </c>
      <c r="W461">
        <v>36</v>
      </c>
      <c r="X461" s="2">
        <f t="shared" si="44"/>
        <v>0.44562211981566818</v>
      </c>
      <c r="Y461" s="5">
        <f t="shared" si="45"/>
        <v>36500000</v>
      </c>
      <c r="Z461" s="5">
        <f t="shared" si="46"/>
        <v>36500000</v>
      </c>
    </row>
    <row r="462" spans="1:26" x14ac:dyDescent="0.25">
      <c r="A462">
        <v>15760</v>
      </c>
      <c r="B462">
        <v>193</v>
      </c>
      <c r="C462">
        <v>2019</v>
      </c>
      <c r="D462" t="s">
        <v>74</v>
      </c>
      <c r="E462" t="s">
        <v>69</v>
      </c>
      <c r="F462" s="2">
        <v>0.62704918032786883</v>
      </c>
      <c r="G462" s="2">
        <v>0.69672131147540983</v>
      </c>
      <c r="H462" s="14">
        <f t="shared" si="43"/>
        <v>0</v>
      </c>
      <c r="I462" s="5">
        <v>42500000</v>
      </c>
      <c r="J462">
        <v>5</v>
      </c>
      <c r="K462" s="6">
        <v>6.25E-2</v>
      </c>
      <c r="L462" s="2">
        <v>0</v>
      </c>
      <c r="M462" t="str">
        <f t="shared" si="42"/>
        <v>SUB</v>
      </c>
      <c r="N462" t="s">
        <v>75</v>
      </c>
      <c r="O462" s="13" t="str">
        <f>VLOOKUP(Table1[[#This Row],[SCHEMATIC TYPE]],'SCHEMATIC Lookup'!$B$1:$C$5,2)</f>
        <v>Mezzanine Loan</v>
      </c>
      <c r="P462" s="5">
        <v>630000000</v>
      </c>
      <c r="Q462" t="s">
        <v>19</v>
      </c>
      <c r="R462" t="s">
        <v>82</v>
      </c>
      <c r="S462" t="s">
        <v>19</v>
      </c>
      <c r="T462" t="s">
        <v>19</v>
      </c>
      <c r="U462" s="12" t="s">
        <v>235</v>
      </c>
      <c r="V462" s="12" t="s">
        <v>234</v>
      </c>
      <c r="W462">
        <v>24</v>
      </c>
      <c r="X462" s="2">
        <f t="shared" si="44"/>
        <v>0.62704918032786883</v>
      </c>
      <c r="Y462" s="5">
        <f t="shared" si="45"/>
        <v>42500000</v>
      </c>
      <c r="Z462" s="5">
        <f t="shared" si="46"/>
        <v>42500000</v>
      </c>
    </row>
    <row r="463" spans="1:26" x14ac:dyDescent="0.25">
      <c r="A463">
        <v>15770</v>
      </c>
      <c r="B463">
        <v>193</v>
      </c>
      <c r="C463">
        <v>2019</v>
      </c>
      <c r="D463" t="s">
        <v>74</v>
      </c>
      <c r="E463" t="s">
        <v>77</v>
      </c>
      <c r="F463" s="2">
        <v>0.58434399117971336</v>
      </c>
      <c r="G463" s="2">
        <v>0.80485115766262405</v>
      </c>
      <c r="H463" s="14">
        <f t="shared" si="43"/>
        <v>0</v>
      </c>
      <c r="I463" s="5">
        <v>100000000</v>
      </c>
      <c r="J463">
        <v>2</v>
      </c>
      <c r="K463" s="6">
        <v>8.3000000000000004E-2</v>
      </c>
      <c r="L463" s="2">
        <v>0</v>
      </c>
      <c r="M463" t="str">
        <f t="shared" si="42"/>
        <v>SUB</v>
      </c>
      <c r="N463" t="s">
        <v>75</v>
      </c>
      <c r="O463" s="13" t="str">
        <f>VLOOKUP(Table1[[#This Row],[SCHEMATIC TYPE]],'SCHEMATIC Lookup'!$B$1:$C$5,2)</f>
        <v>Mezzanine Loan</v>
      </c>
      <c r="P463" s="5">
        <v>462800000</v>
      </c>
      <c r="Q463" t="s">
        <v>19</v>
      </c>
      <c r="R463" t="s">
        <v>73</v>
      </c>
      <c r="S463" t="s">
        <v>19</v>
      </c>
      <c r="T463" t="s">
        <v>19</v>
      </c>
      <c r="U463" s="12" t="s">
        <v>230</v>
      </c>
      <c r="V463" s="12" t="s">
        <v>237</v>
      </c>
      <c r="W463">
        <v>60</v>
      </c>
      <c r="X463" s="2">
        <f t="shared" si="44"/>
        <v>0.58434399117971336</v>
      </c>
      <c r="Y463" s="5">
        <f t="shared" si="45"/>
        <v>100000000</v>
      </c>
      <c r="Z463" s="5">
        <f t="shared" si="46"/>
        <v>100000000</v>
      </c>
    </row>
    <row r="464" spans="1:26" x14ac:dyDescent="0.25">
      <c r="A464">
        <v>15780</v>
      </c>
      <c r="B464">
        <v>193</v>
      </c>
      <c r="C464">
        <v>2017</v>
      </c>
      <c r="D464" t="s">
        <v>74</v>
      </c>
      <c r="E464" t="s">
        <v>77</v>
      </c>
      <c r="F464" s="2">
        <v>0.49199999999999999</v>
      </c>
      <c r="G464" s="2">
        <v>0.66800000000000004</v>
      </c>
      <c r="H464" s="14">
        <f t="shared" si="43"/>
        <v>0</v>
      </c>
      <c r="I464" s="5">
        <v>15000000</v>
      </c>
      <c r="J464">
        <v>5</v>
      </c>
      <c r="K464" s="6">
        <v>0.09</v>
      </c>
      <c r="L464" s="2">
        <v>0</v>
      </c>
      <c r="M464" t="str">
        <f t="shared" si="42"/>
        <v>SUB</v>
      </c>
      <c r="N464" t="s">
        <v>75</v>
      </c>
      <c r="O464" s="13" t="str">
        <f>VLOOKUP(Table1[[#This Row],[SCHEMATIC TYPE]],'SCHEMATIC Lookup'!$B$1:$C$5,2)</f>
        <v>Mezzanine Loan</v>
      </c>
      <c r="P464" s="5">
        <v>462800000</v>
      </c>
      <c r="Q464" t="s">
        <v>71</v>
      </c>
      <c r="R464" t="s">
        <v>73</v>
      </c>
      <c r="S464" t="s">
        <v>71</v>
      </c>
      <c r="T464" t="s">
        <v>71</v>
      </c>
      <c r="U464" s="12" t="s">
        <v>232</v>
      </c>
      <c r="V464" s="12" t="s">
        <v>234</v>
      </c>
      <c r="W464">
        <v>60</v>
      </c>
      <c r="X464" s="2">
        <f t="shared" si="44"/>
        <v>0.49199999999999999</v>
      </c>
      <c r="Y464" s="5">
        <f t="shared" si="45"/>
        <v>15000000</v>
      </c>
      <c r="Z464" s="5">
        <f t="shared" si="46"/>
        <v>15000000</v>
      </c>
    </row>
    <row r="465" spans="1:26" x14ac:dyDescent="0.25">
      <c r="A465">
        <v>15790</v>
      </c>
      <c r="B465">
        <v>193</v>
      </c>
      <c r="C465">
        <v>2017</v>
      </c>
      <c r="D465" t="s">
        <v>74</v>
      </c>
      <c r="E465" t="s">
        <v>77</v>
      </c>
      <c r="F465" s="2">
        <v>0.65700000000000003</v>
      </c>
      <c r="G465" s="2">
        <v>0.65700000000000003</v>
      </c>
      <c r="H465" s="14">
        <f t="shared" si="43"/>
        <v>1</v>
      </c>
      <c r="I465" s="5">
        <v>50000000</v>
      </c>
      <c r="J465">
        <v>1</v>
      </c>
      <c r="K465" s="6">
        <v>6.3500000000000001E-2</v>
      </c>
      <c r="L465" s="2">
        <v>0</v>
      </c>
      <c r="M465" t="str">
        <f t="shared" si="42"/>
        <v>BAD</v>
      </c>
      <c r="N465" t="s">
        <v>75</v>
      </c>
      <c r="O465" s="13" t="str">
        <f>VLOOKUP(Table1[[#This Row],[SCHEMATIC TYPE]],'SCHEMATIC Lookup'!$B$1:$C$5,2)</f>
        <v>Mezzanine Loan</v>
      </c>
      <c r="P465" s="5">
        <v>525000000</v>
      </c>
      <c r="Q465" t="s">
        <v>19</v>
      </c>
      <c r="R465" t="s">
        <v>82</v>
      </c>
      <c r="S465" t="s">
        <v>19</v>
      </c>
      <c r="T465" t="s">
        <v>19</v>
      </c>
      <c r="U465" s="12" t="s">
        <v>103</v>
      </c>
      <c r="V465" s="12" t="s">
        <v>103</v>
      </c>
      <c r="W465">
        <v>126</v>
      </c>
      <c r="X465" s="2">
        <f t="shared" si="44"/>
        <v>0.65700000000000003</v>
      </c>
      <c r="Y465" s="5">
        <f t="shared" si="45"/>
        <v>50000000</v>
      </c>
      <c r="Z465" s="5">
        <f t="shared" si="46"/>
        <v>50000000</v>
      </c>
    </row>
    <row r="466" spans="1:26" x14ac:dyDescent="0.25">
      <c r="A466">
        <v>15800</v>
      </c>
      <c r="B466">
        <v>212</v>
      </c>
      <c r="C466">
        <v>2019</v>
      </c>
      <c r="D466" t="s">
        <v>74</v>
      </c>
      <c r="E466" t="s">
        <v>77</v>
      </c>
      <c r="F466" s="2">
        <v>0.64</v>
      </c>
      <c r="G466" s="2">
        <v>0.75</v>
      </c>
      <c r="H466" s="14">
        <f t="shared" si="43"/>
        <v>0</v>
      </c>
      <c r="I466" s="5">
        <v>85000000</v>
      </c>
      <c r="J466">
        <v>1</v>
      </c>
      <c r="K466" s="48">
        <v>5.7500000000000002E-2</v>
      </c>
      <c r="L466" s="2">
        <v>0</v>
      </c>
      <c r="M466" t="str">
        <f t="shared" si="42"/>
        <v>SUB</v>
      </c>
      <c r="N466" t="s">
        <v>75</v>
      </c>
      <c r="O466" s="13" t="str">
        <f>VLOOKUP(Table1[[#This Row],[SCHEMATIC TYPE]],'SCHEMATIC Lookup'!$B$1:$C$5,2)</f>
        <v>Mezzanine Loan</v>
      </c>
      <c r="P466" s="5">
        <v>790000000</v>
      </c>
      <c r="Q466" t="s">
        <v>19</v>
      </c>
      <c r="R466" t="s">
        <v>82</v>
      </c>
      <c r="S466" t="s">
        <v>19</v>
      </c>
      <c r="T466" t="s">
        <v>19</v>
      </c>
      <c r="U466" s="12" t="s">
        <v>235</v>
      </c>
      <c r="V466" s="12" t="s">
        <v>231</v>
      </c>
      <c r="W466">
        <v>120</v>
      </c>
      <c r="X466" s="2">
        <f t="shared" si="44"/>
        <v>0.64</v>
      </c>
      <c r="Y466" s="5">
        <f t="shared" si="45"/>
        <v>85000000</v>
      </c>
      <c r="Z466" s="5">
        <f t="shared" si="46"/>
        <v>85000000</v>
      </c>
    </row>
    <row r="467" spans="1:26" x14ac:dyDescent="0.25">
      <c r="A467">
        <v>15810</v>
      </c>
      <c r="B467">
        <v>193</v>
      </c>
      <c r="C467">
        <v>2017</v>
      </c>
      <c r="D467" t="s">
        <v>74</v>
      </c>
      <c r="E467" t="s">
        <v>77</v>
      </c>
      <c r="F467" s="2">
        <v>0.65100000000000002</v>
      </c>
      <c r="G467" s="2">
        <v>0.77100000000000002</v>
      </c>
      <c r="H467" s="14">
        <f t="shared" si="43"/>
        <v>0</v>
      </c>
      <c r="I467" s="5">
        <v>25000000</v>
      </c>
      <c r="J467">
        <v>1</v>
      </c>
      <c r="K467" s="6">
        <v>7.6300000000000007E-2</v>
      </c>
      <c r="L467" s="2">
        <v>0</v>
      </c>
      <c r="M467" t="str">
        <f t="shared" ref="M467:M470" si="47">IF(AND(H467=0,OR(F467&gt;0,L467&gt;0)),"SUB",IF(AND(H467=0,F467=0),"SENIOR","BAD"))&amp;IF(L467&gt;0,"L","")</f>
        <v>SUB</v>
      </c>
      <c r="N467" t="s">
        <v>75</v>
      </c>
      <c r="O467" s="13" t="str">
        <f>VLOOKUP(Table1[[#This Row],[SCHEMATIC TYPE]],'SCHEMATIC Lookup'!$B$1:$C$5,2)</f>
        <v>Mezzanine Loan</v>
      </c>
      <c r="P467" s="5">
        <v>223000000</v>
      </c>
      <c r="Q467" t="s">
        <v>19</v>
      </c>
      <c r="R467" t="s">
        <v>82</v>
      </c>
      <c r="S467" t="s">
        <v>19</v>
      </c>
      <c r="T467" t="s">
        <v>19</v>
      </c>
      <c r="U467" s="12" t="s">
        <v>239</v>
      </c>
      <c r="V467" s="12" t="s">
        <v>231</v>
      </c>
      <c r="W467" s="11">
        <v>60</v>
      </c>
      <c r="X467" s="2">
        <f t="shared" si="44"/>
        <v>0.65100000000000002</v>
      </c>
      <c r="Y467" s="5">
        <f t="shared" si="45"/>
        <v>25000000</v>
      </c>
      <c r="Z467" s="5">
        <f t="shared" si="46"/>
        <v>25000000</v>
      </c>
    </row>
    <row r="468" spans="1:26" x14ac:dyDescent="0.25">
      <c r="A468">
        <v>15820</v>
      </c>
      <c r="B468">
        <v>193</v>
      </c>
      <c r="C468">
        <v>2020</v>
      </c>
      <c r="D468" t="s">
        <v>74</v>
      </c>
      <c r="E468" t="s">
        <v>69</v>
      </c>
      <c r="F468" s="2">
        <v>0.55300000000000005</v>
      </c>
      <c r="G468" s="2">
        <v>0.59</v>
      </c>
      <c r="H468" s="14">
        <f t="shared" si="43"/>
        <v>0</v>
      </c>
      <c r="I468" s="5">
        <v>25300030</v>
      </c>
      <c r="J468">
        <v>6</v>
      </c>
      <c r="K468" s="6">
        <v>5.7500000000000002E-2</v>
      </c>
      <c r="L468" s="2">
        <v>0</v>
      </c>
      <c r="M468" t="str">
        <f t="shared" si="47"/>
        <v>SUB</v>
      </c>
      <c r="N468" t="s">
        <v>75</v>
      </c>
      <c r="O468" s="13" t="str">
        <f>VLOOKUP(Table1[[#This Row],[SCHEMATIC TYPE]],'SCHEMATIC Lookup'!$B$1:$C$5,2)</f>
        <v>Mezzanine Loan</v>
      </c>
      <c r="P468" s="5">
        <v>742000000</v>
      </c>
      <c r="Q468" t="s">
        <v>88</v>
      </c>
      <c r="R468" t="s">
        <v>82</v>
      </c>
      <c r="S468" t="s">
        <v>71</v>
      </c>
      <c r="T468" t="s">
        <v>88</v>
      </c>
      <c r="U468" s="12" t="s">
        <v>230</v>
      </c>
      <c r="V468" s="12" t="s">
        <v>230</v>
      </c>
      <c r="W468" s="11">
        <v>24</v>
      </c>
      <c r="X468" s="2">
        <f t="shared" si="44"/>
        <v>0.55300000000000005</v>
      </c>
      <c r="Y468" s="5">
        <f t="shared" si="45"/>
        <v>25300030</v>
      </c>
      <c r="Z468" s="5">
        <f t="shared" si="46"/>
        <v>25300030</v>
      </c>
    </row>
    <row r="469" spans="1:26" x14ac:dyDescent="0.25">
      <c r="A469">
        <v>15830</v>
      </c>
      <c r="B469">
        <v>183</v>
      </c>
      <c r="C469">
        <v>2020</v>
      </c>
      <c r="D469" t="s">
        <v>96</v>
      </c>
      <c r="E469" t="s">
        <v>69</v>
      </c>
      <c r="F469" s="2">
        <v>0</v>
      </c>
      <c r="G469" s="2">
        <v>0.72449936872811982</v>
      </c>
      <c r="H469" s="14">
        <f t="shared" si="43"/>
        <v>0</v>
      </c>
      <c r="I469" s="5">
        <v>100613000</v>
      </c>
      <c r="J469">
        <v>2</v>
      </c>
      <c r="K469" s="6">
        <v>2.2499999999999999E-2</v>
      </c>
      <c r="L469" s="2">
        <v>0</v>
      </c>
      <c r="M469" t="str">
        <f t="shared" si="47"/>
        <v>SENIOR</v>
      </c>
      <c r="N469" t="s">
        <v>90</v>
      </c>
      <c r="O469" s="13" t="str">
        <f>VLOOKUP(Table1[[#This Row],[SCHEMATIC TYPE]],'SCHEMATIC Lookup'!$B$1:$C$5,2)</f>
        <v>Senior Whole Loan</v>
      </c>
      <c r="P469" s="5">
        <v>138115533</v>
      </c>
      <c r="Q469" t="s">
        <v>88</v>
      </c>
      <c r="R469" t="s">
        <v>82</v>
      </c>
      <c r="S469" t="s">
        <v>71</v>
      </c>
      <c r="T469" t="s">
        <v>88</v>
      </c>
      <c r="U469" s="12" t="s">
        <v>238</v>
      </c>
      <c r="V469" s="12" t="s">
        <v>233</v>
      </c>
      <c r="W469">
        <v>48</v>
      </c>
      <c r="X469" s="2">
        <f t="shared" si="44"/>
        <v>0</v>
      </c>
      <c r="Y469" s="5">
        <f t="shared" si="45"/>
        <v>100613000</v>
      </c>
      <c r="Z469" s="5">
        <f t="shared" si="46"/>
        <v>100613000</v>
      </c>
    </row>
    <row r="470" spans="1:26" x14ac:dyDescent="0.25">
      <c r="A470">
        <v>15840</v>
      </c>
      <c r="B470">
        <v>183</v>
      </c>
      <c r="C470">
        <v>2020</v>
      </c>
      <c r="D470" t="s">
        <v>96</v>
      </c>
      <c r="E470" t="s">
        <v>69</v>
      </c>
      <c r="F470" s="2">
        <v>0</v>
      </c>
      <c r="G470" s="2">
        <v>0.53723292962363911</v>
      </c>
      <c r="H470" s="14">
        <f t="shared" si="43"/>
        <v>0</v>
      </c>
      <c r="I470" s="5">
        <v>178875000</v>
      </c>
      <c r="J470">
        <v>2</v>
      </c>
      <c r="K470" s="6">
        <v>5.0999999999999997E-2</v>
      </c>
      <c r="L470" s="2">
        <v>0</v>
      </c>
      <c r="M470" t="str">
        <f t="shared" si="47"/>
        <v>SENIOR</v>
      </c>
      <c r="N470" t="s">
        <v>90</v>
      </c>
      <c r="O470" s="13" t="str">
        <f>VLOOKUP(Table1[[#This Row],[SCHEMATIC TYPE]],'SCHEMATIC Lookup'!$B$1:$C$5,2)</f>
        <v>Senior Whole Loan</v>
      </c>
      <c r="P470" s="5">
        <v>291067000</v>
      </c>
      <c r="Q470" t="s">
        <v>88</v>
      </c>
      <c r="R470" t="s">
        <v>82</v>
      </c>
      <c r="S470" t="s">
        <v>71</v>
      </c>
      <c r="T470" t="s">
        <v>88</v>
      </c>
      <c r="U470" s="12" t="s">
        <v>238</v>
      </c>
      <c r="V470" s="12" t="s">
        <v>240</v>
      </c>
      <c r="W470">
        <v>36</v>
      </c>
      <c r="X470" s="2">
        <f t="shared" si="44"/>
        <v>0</v>
      </c>
      <c r="Y470" s="5">
        <f t="shared" si="45"/>
        <v>178875000</v>
      </c>
      <c r="Z470" s="5">
        <f t="shared" si="46"/>
        <v>178875000</v>
      </c>
    </row>
    <row r="471" spans="1:26" x14ac:dyDescent="0.25">
      <c r="A471">
        <v>15850</v>
      </c>
      <c r="B471" s="13">
        <v>219</v>
      </c>
      <c r="C471">
        <v>2020</v>
      </c>
      <c r="D471" t="s">
        <v>74</v>
      </c>
      <c r="E471" t="s">
        <v>77</v>
      </c>
      <c r="F471" s="2">
        <v>0.75</v>
      </c>
      <c r="G471" s="2">
        <v>0.88</v>
      </c>
      <c r="H471" s="14">
        <f>(G471=F471)*1</f>
        <v>0</v>
      </c>
      <c r="I471" s="5">
        <v>11260000</v>
      </c>
      <c r="J471">
        <v>2</v>
      </c>
      <c r="K471" s="6">
        <v>0.126</v>
      </c>
      <c r="L471" s="2">
        <v>0</v>
      </c>
      <c r="M471" t="str">
        <f t="shared" ref="M471:M474" si="48">IF(AND(H471=0,OR(F471&gt;0,L471&gt;0)),"SUB",IF(AND(H471=0,F471=0),"SENIOR","BAD"))&amp;IF(L471&gt;0,"L","")</f>
        <v>SUB</v>
      </c>
      <c r="N471" t="s">
        <v>75</v>
      </c>
      <c r="O471" s="13" t="str">
        <f>VLOOKUP(Table1[[#This Row],[SCHEMATIC TYPE]],'SCHEMATIC Lookup'!$B$1:$C$5,2)</f>
        <v>Mezzanine Loan</v>
      </c>
      <c r="P471" s="5">
        <v>86615384.615384609</v>
      </c>
      <c r="Q471" t="s">
        <v>71</v>
      </c>
      <c r="R471" s="5" t="s">
        <v>80</v>
      </c>
      <c r="S471" t="s">
        <v>71</v>
      </c>
      <c r="T471" t="s">
        <v>71</v>
      </c>
      <c r="U471" s="12" t="s">
        <v>239</v>
      </c>
      <c r="V471" s="12" t="s">
        <v>237</v>
      </c>
      <c r="W471" s="11">
        <v>42</v>
      </c>
      <c r="X471" s="2">
        <f t="shared" ref="X471:X474" si="49">IF(F471=0,L471*G471,F471)</f>
        <v>0.75</v>
      </c>
      <c r="Y471" s="5">
        <f t="shared" ref="Y471:Y474" si="50">IF(AND(F471=0,X471&gt;0),I471*(1-L471),I471)</f>
        <v>11260000</v>
      </c>
      <c r="Z471" s="5">
        <f t="shared" ref="Z471:Z474" si="51">IF(AND(L471&gt;0,F471&lt;&gt;0),I471/((G471-F471)/G471),I471)</f>
        <v>11260000</v>
      </c>
    </row>
    <row r="472" spans="1:26" x14ac:dyDescent="0.25">
      <c r="A472">
        <v>15860</v>
      </c>
      <c r="B472" s="13">
        <v>219</v>
      </c>
      <c r="C472">
        <v>2020</v>
      </c>
      <c r="D472" t="s">
        <v>74</v>
      </c>
      <c r="E472" t="s">
        <v>77</v>
      </c>
      <c r="F472" s="2">
        <v>0.81200000000000006</v>
      </c>
      <c r="G472" s="2">
        <v>0.874</v>
      </c>
      <c r="H472" s="14">
        <f>(G472=F472)*1</f>
        <v>0</v>
      </c>
      <c r="I472" s="5">
        <v>12400000</v>
      </c>
      <c r="J472">
        <v>4</v>
      </c>
      <c r="K472" s="6">
        <v>0.09</v>
      </c>
      <c r="L472" s="2">
        <v>0</v>
      </c>
      <c r="M472" t="str">
        <f t="shared" si="48"/>
        <v>SUB</v>
      </c>
      <c r="N472" t="s">
        <v>75</v>
      </c>
      <c r="O472" s="13" t="str">
        <f>VLOOKUP(Table1[[#This Row],[SCHEMATIC TYPE]],'SCHEMATIC Lookup'!$B$1:$C$5,2)</f>
        <v>Mezzanine Loan</v>
      </c>
      <c r="P472" s="5">
        <v>200000000.00000018</v>
      </c>
      <c r="Q472" t="s">
        <v>19</v>
      </c>
      <c r="R472" s="5" t="s">
        <v>82</v>
      </c>
      <c r="S472" t="s">
        <v>19</v>
      </c>
      <c r="T472" t="s">
        <v>19</v>
      </c>
      <c r="U472" s="12" t="s">
        <v>239</v>
      </c>
      <c r="V472" s="12" t="s">
        <v>237</v>
      </c>
      <c r="W472" s="11">
        <v>60</v>
      </c>
      <c r="X472" s="2">
        <f t="shared" si="49"/>
        <v>0.81200000000000006</v>
      </c>
      <c r="Y472" s="5">
        <f t="shared" si="50"/>
        <v>12400000</v>
      </c>
      <c r="Z472" s="5">
        <f t="shared" si="51"/>
        <v>12400000</v>
      </c>
    </row>
    <row r="473" spans="1:26" x14ac:dyDescent="0.25">
      <c r="A473">
        <v>15870</v>
      </c>
      <c r="B473" s="13">
        <v>220</v>
      </c>
      <c r="C473">
        <v>2020</v>
      </c>
      <c r="D473" t="s">
        <v>96</v>
      </c>
      <c r="E473" t="s">
        <v>69</v>
      </c>
      <c r="F473" s="2">
        <v>0</v>
      </c>
      <c r="G473" s="2">
        <v>0.63066536203522505</v>
      </c>
      <c r="H473" s="14">
        <f>(G473=F473)*1</f>
        <v>0</v>
      </c>
      <c r="I473" s="5">
        <v>32227000</v>
      </c>
      <c r="J473">
        <v>4</v>
      </c>
      <c r="K473" s="6">
        <v>5.5E-2</v>
      </c>
      <c r="L473" s="2">
        <v>0</v>
      </c>
      <c r="M473" t="str">
        <f t="shared" si="48"/>
        <v>SENIOR</v>
      </c>
      <c r="N473" t="s">
        <v>90</v>
      </c>
      <c r="O473" s="13" t="str">
        <f>VLOOKUP(Table1[[#This Row],[SCHEMATIC TYPE]],'SCHEMATIC Lookup'!$B$1:$C$5,2)</f>
        <v>Senior Whole Loan</v>
      </c>
      <c r="P473" s="5">
        <v>51100000</v>
      </c>
      <c r="Q473" t="s">
        <v>71</v>
      </c>
      <c r="R473" s="5" t="s">
        <v>80</v>
      </c>
      <c r="S473" t="s">
        <v>71</v>
      </c>
      <c r="T473" t="s">
        <v>71</v>
      </c>
      <c r="U473" s="12" t="s">
        <v>238</v>
      </c>
      <c r="V473" s="12" t="s">
        <v>235</v>
      </c>
      <c r="W473" s="11">
        <v>24</v>
      </c>
      <c r="X473" s="2">
        <f t="shared" si="49"/>
        <v>0</v>
      </c>
      <c r="Y473" s="5">
        <f t="shared" si="50"/>
        <v>32227000</v>
      </c>
      <c r="Z473" s="5">
        <f t="shared" si="51"/>
        <v>32227000</v>
      </c>
    </row>
    <row r="474" spans="1:26" x14ac:dyDescent="0.25">
      <c r="A474">
        <v>15880</v>
      </c>
      <c r="B474" s="13">
        <v>183</v>
      </c>
      <c r="C474">
        <v>2020</v>
      </c>
      <c r="D474" t="s">
        <v>96</v>
      </c>
      <c r="E474" t="s">
        <v>69</v>
      </c>
      <c r="F474" s="2">
        <v>0</v>
      </c>
      <c r="G474" s="2">
        <v>0.28999999999999998</v>
      </c>
      <c r="H474" s="14">
        <f>(G474=F474)*1</f>
        <v>0</v>
      </c>
      <c r="I474" s="5">
        <v>66394632</v>
      </c>
      <c r="J474">
        <v>2</v>
      </c>
      <c r="K474" s="6">
        <v>3.5499999999999997E-2</v>
      </c>
      <c r="L474" s="2">
        <v>0</v>
      </c>
      <c r="M474" t="str">
        <f t="shared" si="48"/>
        <v>SENIOR</v>
      </c>
      <c r="N474" t="s">
        <v>90</v>
      </c>
      <c r="O474" s="47" t="str">
        <f>VLOOKUP(Table1[[#This Row],[SCHEMATIC TYPE]],'SCHEMATIC Lookup'!$B$1:$C$5,2)</f>
        <v>Senior Whole Loan</v>
      </c>
      <c r="P474" s="5">
        <v>229992000</v>
      </c>
      <c r="Q474" t="s">
        <v>88</v>
      </c>
      <c r="R474" s="5" t="s">
        <v>82</v>
      </c>
      <c r="S474" t="s">
        <v>88</v>
      </c>
      <c r="T474" t="s">
        <v>88</v>
      </c>
      <c r="U474" s="12" t="s">
        <v>238</v>
      </c>
      <c r="V474" s="12" t="s">
        <v>238</v>
      </c>
      <c r="W474" s="11">
        <v>48</v>
      </c>
      <c r="X474" s="2">
        <f t="shared" si="49"/>
        <v>0</v>
      </c>
      <c r="Y474" s="5">
        <f t="shared" si="50"/>
        <v>66394632</v>
      </c>
      <c r="Z474" s="5">
        <f t="shared" si="51"/>
        <v>66394632</v>
      </c>
    </row>
  </sheetData>
  <autoFilter ref="A1" xr:uid="{F1019A98-38FF-4A9B-894D-598DD6C9D4A8}"/>
  <pageMargins left="0.7" right="0.7" top="0.75" bottom="0.75" header="0.3" footer="0.3"/>
  <legacy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0.xml>��< ? x m l   v e r s i o n = " 1 . 0 "   e n c o d i n g = " U T F - 1 6 " ? > < G e m i n i   x m l n s = " h t t p : / / g e m i n i / p i v o t c u s t o m i z a t i o n / S h o w I m p l i c i t M e a s u r e s " > < C u s t o m C o n t e n t > < ! [ C D A T A [ F a l s e ] ] > < / C u s t o m C o n t e n t > < / G e m i n i > 
</file>

<file path=customXml/item11.xml>��< ? x m l   v e r s i o n = " 1 . 0 "   e n c o d i n g = " U T F - 1 6 " ? > < G e m i n i   x m l n s = " h t t p : / / g e m i n i / p i v o t c u s t o m i z a t i o n / S h o w H i d d e n " > < C u s t o m C o n t e n t > < ! [ C D A T A [ T r u e ] ] > < / C u s t o m C o n t e n t > < / G e m i n i > 
</file>

<file path=customXml/item12.xml>��< ? x m l   v e r s i o n = " 1 . 0 "   e n c o d i n g = " U T F - 1 6 " ? > < G e m i n i   x m l n s = " h t t p : / / g e m i n i / p i v o t c u s t o m i z a t i o n / T a b l e X M L _ T a b l e 1 " > < C u s t o m C o n t e n t > < ! [ C D A T A [ < T a b l e W i d g e t G r i d S e r i a l i z a t i o n   x m l n s : x s i = " h t t p : / / w w w . w 3 . o r g / 2 0 0 1 / X M L S c h e m a - i n s t a n c e "   x m l n s : x s d = " h t t p : / / w w w . w 3 . o r g / 2 0 0 1 / X M L S c h e m a " > < C o l u m n S u g g e s t e d T y p e   / > < C o l u m n F o r m a t   / > < C o l u m n A c c u r a c y   / > < C o l u m n C u r r e n c y S y m b o l   / > < C o l u m n P o s i t i v e P a t t e r n   / > < C o l u m n N e g a t i v e P a t t e r n   / > < C o l u m n W i d t h s > < i t e m > < k e y > < s t r i n g > G - L   I D < / s t r i n g > < / k e y > < v a l u e > < i n t > 7 2 < / i n t > < / v a l u e > < / i t e m > < i t e m > < k e y > < s t r i n g > V i n Y e a r < / s t r i n g > < / k e y > < v a l u e > < i n t > 8 3 < / i n t > < / v a l u e > < / i t e m > < i t e m > < k e y > < s t r i n g > L o a n T y p e < / s t r i n g > < / k e y > < v a l u e > < i n t > 9 4 < / i n t > < / v a l u e > < / i t e m > < i t e m > < k e y > < s t r i n g > P m t   T y p e < / s t r i n g > < / k e y > < v a l u e > < i n t > 9 3 < / i n t > < / v a l u e > < / i t e m > < i t e m > < k e y > < s t r i n g > L o w e r L T V 1 < / s t r i n g > < / k e y > < v a l u e > < i n t > 1 0 2 < / i n t > < / v a l u e > < / i t e m > < i t e m > < k e y > < s t r i n g > U p p e r A t t a c h < / s t r i n g > < / k e y > < v a l u e > < i n t > 1 1 4 < / i n t > < / v a l u e > < / i t e m > < i t e m > < k e y > < s t r i n g > C a p S t a c k F l a g < / s t r i n g > < / k e y > < v a l u e > < i n t > 1 1 6 < / i n t > < / v a l u e > < / i t e m > < i t e m > < k e y > < s t r i n g > R e p o r t e d   P r i n c i p a l < / s t r i n g > < / k e y > < v a l u e > < i n t > 1 5 1 < / i n t > < / v a l u e > < / i t e m > < i t e m > < k e y > < s t r i n g > P r o p T y p e < / s t r i n g > < / k e y > < v a l u e > < i n t > 9 4 < / i n t > < / v a l u e > < / i t e m > < i t e m > < k e y > < s t r i n g > I n t e r e s t   R a t e < / s t r i n g > < / k e y > < v a l u e > < i n t > 1 1 6 < / i n t > < / v a l u e > < / i t e m > < i t e m > < k e y > < s t r i n g > A d v a n c e R a t e < / s t r i n g > < / k e y > < v a l u e > < i n t > 1 1 7 < / i n t > < / v a l u e > < / i t e m > < i t e m > < k e y > < s t r i n g > S U B   F l a g < / s t r i n g > < / k e y > < v a l u e > < i n t > 8 8 < / i n t > < / v a l u e > < / i t e m > < i t e m > < k e y > < s t r i n g > S C H E M A T I C   T Y P E < / s t r i n g > < / k e y > < v a l u e > < i n t > 1 3 8 < / i n t > < / v a l u e > < / i t e m > < i t e m > < k e y > < s t r i n g > C o l l a t e r a l V a l u e < / s t r i n g > < / k e y > < v a l u e > < i n t > 1 3 1 < / i n t > < / v a l u e > < / i t e m > < i t e m > < k e y > < s t r i n g > S t r a t e g y < / s t r i n g > < / k e y > < v a l u e > < i n t > 8 7 < / i n t > < / v a l u e > < / i t e m > < i t e m > < k e y > < s t r i n g > P u r p o s e < / s t r i n g > < / k e y > < v a l u e > < i n t > 8 7 < / i n t > < / v a l u e > < / i t e m > < i t e m > < k e y > < s t r i n g > G - L   r e c l a s s   s t r a t e g y < / s t r i n g > < / k e y > < v a l u e > < i n t > 1 5 4 < / i n t > < / v a l u e > < / i t e m > < i t e m > < k e y > < s t r i n g > G - L   S u b S t r a t e g y < / s t r i n g > < / k e y > < v a l u e > < i n t > 1 3 3 < / i n t > < / v a l u e > < / i t e m > < i t e m > < k e y > < s t r i n g > L o w e r A t t a c h L a b e l < / s t r i n g > < / k e y > < v a l u e > < i n t > 1 4 7 < / i n t > < / v a l u e > < / i t e m > < i t e m > < k e y > < s t r i n g > U p p e r A t t a c h L a b e l < / s t r i n g > < / k e y > < v a l u e > < i n t > 1 4 7 < / i n t > < / v a l u e > < / i t e m > < i t e m > < k e y > < s t r i n g > T e r m < / s t r i n g > < / k e y > < v a l u e > < i n t > 6 7 < / i n t > < / v a l u e > < / i t e m > < i t e m > < k e y > < s t r i n g > L o w e r A t t a c h < / s t r i n g > < / k e y > < v a l u e > < i n t > 1 1 4 < / i n t > < / v a l u e > < / i t e m > < i t e m > < k e y > < s t r i n g > P r i n c i p a l   N A V < / s t r i n g > < / k e y > < v a l u e > < i n t > 1 2 0 < / i n t > < / v a l u e > < / i t e m > < i t e m > < k e y > < s t r i n g > P r i n c i p a l   G A V < / s t r i n g > < / k e y > < v a l u e > < i n t > 1 1 9 < / i n t > < / v a l u e > < / i t e m > < i t e m > < k e y > < s t r i n g > L o a n   T y p e   a s   r e p o r t e d < / s t r i n g > < / k e y > < v a l u e > < i n t > 9 7 < / i n t > < / v a l u e > < / i t e m > < i t e m > < k e y > < s t r i n g > M a n a g e r C o d e < / s t r i n g > < / k e y > < v a l u e > < i n t > 1 2 2 < / i n t > < / v a l u e > < / i t e m > < / C o l u m n W i d t h s > < C o l u m n D i s p l a y I n d e x > < i t e m > < k e y > < s t r i n g > G - L   I D < / s t r i n g > < / k e y > < v a l u e > < i n t > 0 < / i n t > < / v a l u e > < / i t e m > < i t e m > < k e y > < s t r i n g > V i n Y e a r < / s t r i n g > < / k e y > < v a l u e > < i n t > 1 < / i n t > < / v a l u e > < / i t e m > < i t e m > < k e y > < s t r i n g > L o a n T y p e < / s t r i n g > < / k e y > < v a l u e > < i n t > 2 4 < / i n t > < / v a l u e > < / i t e m > < i t e m > < k e y > < s t r i n g > P m t   T y p e < / s t r i n g > < / k e y > < v a l u e > < i n t > 3 < / i n t > < / v a l u e > < / i t e m > < i t e m > < k e y > < s t r i n g > L o w e r L T V 1 < / s t r i n g > < / k e y > < v a l u e > < i n t > 4 < / i n t > < / v a l u e > < / i t e m > < i t e m > < k e y > < s t r i n g > U p p e r A t t a c h < / s t r i n g > < / k e y > < v a l u e > < i n t > 5 < / i n t > < / v a l u e > < / i t e m > < i t e m > < k e y > < s t r i n g > C a p S t a c k F l a g < / s t r i n g > < / k e y > < v a l u e > < i n t > 6 < / i n t > < / v a l u e > < / i t e m > < i t e m > < k e y > < s t r i n g > R e p o r t e d   P r i n c i p a l < / s t r i n g > < / k e y > < v a l u e > < i n t > 7 < / i n t > < / v a l u e > < / i t e m > < i t e m > < k e y > < s t r i n g > P r o p T y p e < / s t r i n g > < / k e y > < v a l u e > < i n t > 8 < / i n t > < / v a l u e > < / i t e m > < i t e m > < k e y > < s t r i n g > I n t e r e s t   R a t e < / s t r i n g > < / k e y > < v a l u e > < i n t > 9 < / i n t > < / v a l u e > < / i t e m > < i t e m > < k e y > < s t r i n g > A d v a n c e R a t e < / s t r i n g > < / k e y > < v a l u e > < i n t > 1 0 < / i n t > < / v a l u e > < / i t e m > < i t e m > < k e y > < s t r i n g > S U B   F l a g < / s t r i n g > < / k e y > < v a l u e > < i n t > 1 1 < / i n t > < / v a l u e > < / i t e m > < i t e m > < k e y > < s t r i n g > S C H E M A T I C   T Y P E < / s t r i n g > < / k e y > < v a l u e > < i n t > 1 2 < / i n t > < / v a l u e > < / i t e m > < i t e m > < k e y > < s t r i n g > C o l l a t e r a l V a l u e < / s t r i n g > < / k e y > < v a l u e > < i n t > 1 3 < / i n t > < / v a l u e > < / i t e m > < i t e m > < k e y > < s t r i n g > S t r a t e g y < / s t r i n g > < / k e y > < v a l u e > < i n t > 1 4 < / i n t > < / v a l u e > < / i t e m > < i t e m > < k e y > < s t r i n g > P u r p o s e < / s t r i n g > < / k e y > < v a l u e > < i n t > 1 5 < / i n t > < / v a l u e > < / i t e m > < i t e m > < k e y > < s t r i n g > G - L   r e c l a s s   s t r a t e g y < / s t r i n g > < / k e y > < v a l u e > < i n t > 1 6 < / i n t > < / v a l u e > < / i t e m > < i t e m > < k e y > < s t r i n g > G - L   S u b S t r a t e g y < / s t r i n g > < / k e y > < v a l u e > < i n t > 1 7 < / i n t > < / v a l u e > < / i t e m > < i t e m > < k e y > < s t r i n g > L o w e r A t t a c h L a b e l < / s t r i n g > < / k e y > < v a l u e > < i n t > 1 8 < / i n t > < / v a l u e > < / i t e m > < i t e m > < k e y > < s t r i n g > U p p e r A t t a c h L a b e l < / s t r i n g > < / k e y > < v a l u e > < i n t > 1 9 < / i n t > < / v a l u e > < / i t e m > < i t e m > < k e y > < s t r i n g > T e r m < / s t r i n g > < / k e y > < v a l u e > < i n t > 2 0 < / i n t > < / v a l u e > < / i t e m > < i t e m > < k e y > < s t r i n g > L o w e r A t t a c h < / s t r i n g > < / k e y > < v a l u e > < i n t > 2 1 < / i n t > < / v a l u e > < / i t e m > < i t e m > < k e y > < s t r i n g > P r i n c i p a l   N A V < / s t r i n g > < / k e y > < v a l u e > < i n t > 2 2 < / i n t > < / v a l u e > < / i t e m > < i t e m > < k e y > < s t r i n g > P r i n c i p a l   G A V < / s t r i n g > < / k e y > < v a l u e > < i n t > 2 3 < / i n t > < / v a l u e > < / i t e m > < i t e m > < k e y > < s t r i n g > L o a n   T y p e   a s   r e p o r t e d < / s t r i n g > < / k e y > < v a l u e > < i n t > 2 < / i n t > < / v a l u e > < / i t e m > < i t e m > < k e y > < s t r i n g > M a n a g e r C o d e < / s t r i n g > < / k e y > < v a l u e > < i n t > 2 5 < / 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L i n k e d T a b l e U p d a t e M o d e " > < C u s t o m C o n t e n t > < ! [ C D A T A [ T r u e ] ] > < / C u s t o m C o n t e n t > < / G e m i n i > 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 2 0 2 0 - 0 9 - 1 4 T 1 4 : 1 6 : 3 3 . 8 2 9 1 7 7 7 - 0 4 : 0 0 < / L a s t P r o c e s s e d T i m e > < / D a t a M o d e l i n g S a n d b o x . S e r i a l i z e d S a n d b o x E r r o r C a c h e > ] ] > < / C u s t o m C o n t e n t > < / G e m i n i > 
</file>

<file path=customXml/item15.xml>��< ? x m l   v e r s i o n = " 1 . 0 "   e n c o d i n g = " U T F - 1 6 " ? > < G e m i n i   x m l n s = " h t t p : / / g e m i n i / p i v o t c u s t o m i z a t i o n / T a b l e X M L _ T a b l e 2 " > < C u s t o m C o n t e n t > < ! [ C D A T A [ < T a b l e W i d g e t G r i d S e r i a l i z a t i o n   x m l n s : x s i = " h t t p : / / w w w . w 3 . o r g / 2 0 0 1 / X M L S c h e m a - i n s t a n c e "   x m l n s : x s d = " h t t p : / / w w w . w 3 . o r g / 2 0 0 1 / X M L S c h e m a " > < C o l u m n S u g g e s t e d T y p e   / > < C o l u m n F o r m a t   / > < C o l u m n A c c u r a c y   / > < C o l u m n C u r r e n c y S y m b o l   / > < C o l u m n P o s i t i v e P a t t e r n   / > < C o l u m n N e g a t i v e P a t t e r n   / > < C o l u m n W i d t h s > < i t e m > < k e y > < s t r i n g > M a n a g e r C o d e < / s t r i n g > < / k e y > < v a l u e > < i n t > 1 2 2 < / i n t > < / v a l u e > < / i t e m > < i t e m > < k e y > < s t r i n g > E n d P r i n c i p a l < / s t r i n g > < / k e y > < v a l u e > < i n t > 1 1 3 < / i n t > < / v a l u e > < / i t e m > < i t e m > < k e y > < s t r i n g > S t a r t P r i n c i p a l < / s t r i n g > < / k e y > < v a l u e > < i n t > 1 1 9 < / i n t > < / v a l u e > < / i t e m > < i t e m > < k e y > < s t r i n g > E n d V a l u e < / s t r i n g > < / k e y > < v a l u e > < i n t > 9 4 < / i n t > < / v a l u e > < / i t e m > < i t e m > < k e y > < s t r i n g > S t a r t V a l u e < / s t r i n g > < / k e y > < v a l u e > < i n t > 1 0 0 < / i n t > < / v a l u e > < / i t e m > < i t e m > < k e y > < s t r i n g > P r i n c i p a l R e p a i d < / s t r i n g > < / k e y > < v a l u e > < i n t > 1 3 3 < / i n t > < / v a l u e > < / i t e m > < i t e m > < k e y > < s t r i n g > E x p e n s e s < / s t r i n g > < / k e y > < v a l u e > < i n t > 9 4 < / i n t > < / v a l u e > < / i t e m > < i t e m > < k e y > < s t r i n g > O t h e r I n c o m e < / s t r i n g > < / k e y > < v a l u e > < i n t > 1 1 8 < / i n t > < / v a l u e > < / i t e m > < i t e m > < k e y > < s t r i n g > A c c r I n t e r e s t < / s t r i n g > < / k e y > < v a l u e > < i n t > 1 1 1 < / i n t > < / v a l u e > < / i t e m > < i t e m > < k e y > < s t r i n g > C a s h I n t e r e s t < / s t r i n g > < / k e y > < v a l u e > < i n t > 1 1 4 < / i n t > < / v a l u e > < / i t e m > < i t e m > < k e y > < s t r i n g > R e t u r n E n d V a l u e < / s t r i n g > < / k e y > < v a l u e > < i n t > 1 3 6 < / i n t > < / v a l u e > < / i t e m > < i t e m > < k e y > < s t r i n g > R e t u r n S t a r t V a l u e < / s t r i n g > < / k e y > < v a l u e > < i n t > 1 4 2 < / i n t > < / v a l u e > < / i t e m > < i t e m > < k e y > < s t r i n g > L o a n I D < / s t r i n g > < / k e y > < v a l u e > < i n t > 7 8 < / i n t > < / v a l u e > < / i t e m > < i t e m > < k e y > < s t r i n g > R e t u r n D a t e < / s t r i n g > < / k e y > < v a l u e > < i n t > 1 0 7 < / i n t > < / v a l u e > < / i t e m > < i t e m > < k e y > < s t r i n g > N L o a n s < / s t r i n g > < / k e y > < v a l u e > < i n t > 8 1 < / i n t > < / v a l u e > < / i t e m > < i t e m > < k e y > < s t r i n g > M o n t h < / s t r i n g > < / k e y > < v a l u e > < i n t > 7 7 < / i n t > < / v a l u e > < / i t e m > < i t e m > < k e y > < s t r i n g > Y e a r < / s t r i n g > < / k e y > < v a l u e > < i n t > 6 2 < / i n t > < / v a l u e > < / i t e m > < i t e m > < k e y > < s t r i n g > S t a r t N A V < / s t r i n g > < / k e y > < v a l u e > < i n t > 9 2 < / i n t > < / v a l u e > < / i t e m > < i t e m > < k e y > < s t r i n g > E n d N A V < / s t r i n g > < / k e y > < v a l u e > < i n t > 8 6 < / i n t > < / v a l u e > < / i t e m > < i t e m > < k e y > < s t r i n g > P r i n c i p a l F u n d e d < / s t r i n g > < / k e y > < v a l u e > < i n t > 1 3 7 < / i n t > < / v a l u e > < / i t e m > < / C o l u m n W i d t h s > < C o l u m n D i s p l a y I n d e x > < i t e m > < k e y > < s t r i n g > M a n a g e r C o d e < / s t r i n g > < / k e y > < v a l u e > < i n t > 1 9 < / i n t > < / v a l u e > < / i t e m > < i t e m > < k e y > < s t r i n g > E n d P r i n c i p a l < / s t r i n g > < / k e y > < v a l u e > < i n t > 1 5 < / i n t > < / v a l u e > < / i t e m > < i t e m > < k e y > < s t r i n g > S t a r t P r i n c i p a l < / s t r i n g > < / k e y > < v a l u e > < i n t > 1 4 < / i n t > < / v a l u e > < / i t e m > < i t e m > < k e y > < s t r i n g > E n d V a l u e < / s t r i n g > < / k e y > < v a l u e > < i n t > 1 3 < / i n t > < / v a l u e > < / i t e m > < i t e m > < k e y > < s t r i n g > S t a r t V a l u e < / s t r i n g > < / k e y > < v a l u e > < i n t > 1 2 < / i n t > < / v a l u e > < / i t e m > < i t e m > < k e y > < s t r i n g > P r i n c i p a l R e p a i d < / s t r i n g > < / k e y > < v a l u e > < i n t > 1 1 < / i n t > < / v a l u e > < / i t e m > < i t e m > < k e y > < s t r i n g > E x p e n s e s < / s t r i n g > < / k e y > < v a l u e > < i n t > 1 0 < / i n t > < / v a l u e > < / i t e m > < i t e m > < k e y > < s t r i n g > O t h e r I n c o m e < / s t r i n g > < / k e y > < v a l u e > < i n t > 9 < / i n t > < / v a l u e > < / i t e m > < i t e m > < k e y > < s t r i n g > A c c r I n t e r e s t < / s t r i n g > < / k e y > < v a l u e > < i n t > 8 < / i n t > < / v a l u e > < / i t e m > < i t e m > < k e y > < s t r i n g > C a s h I n t e r e s t < / s t r i n g > < / k e y > < v a l u e > < i n t > 7 < / i n t > < / v a l u e > < / i t e m > < i t e m > < k e y > < s t r i n g > R e t u r n E n d V a l u e < / s t r i n g > < / k e y > < v a l u e > < i n t > 6 < / i n t > < / v a l u e > < / i t e m > < i t e m > < k e y > < s t r i n g > R e t u r n S t a r t V a l u e < / s t r i n g > < / k e y > < v a l u e > < i n t > 5 < / i n t > < / v a l u e > < / i t e m > < i t e m > < k e y > < s t r i n g > L o a n I D < / s t r i n g > < / k e y > < v a l u e > < i n t > 4 < / i n t > < / v a l u e > < / i t e m > < i t e m > < k e y > < s t r i n g > R e t u r n D a t e < / s t r i n g > < / k e y > < v a l u e > < i n t > 3 < / i n t > < / v a l u e > < / i t e m > < i t e m > < k e y > < s t r i n g > N L o a n s < / s t r i n g > < / k e y > < v a l u e > < i n t > 2 < / i n t > < / v a l u e > < / i t e m > < i t e m > < k e y > < s t r i n g > M o n t h < / s t r i n g > < / k e y > < v a l u e > < i n t > 1 < / i n t > < / v a l u e > < / i t e m > < i t e m > < k e y > < s t r i n g > Y e a r < / s t r i n g > < / k e y > < v a l u e > < i n t > 0 < / i n t > < / v a l u e > < / i t e m > < i t e m > < k e y > < s t r i n g > S t a r t N A V < / s t r i n g > < / k e y > < v a l u e > < i n t > 1 6 < / i n t > < / v a l u e > < / i t e m > < i t e m > < k e y > < s t r i n g > E n d N A V < / s t r i n g > < / k e y > < v a l u e > < i n t > 1 7 < / i n t > < / v a l u e > < / i t e m > < i t e m > < k e y > < s t r i n g > P r i n c i p a l F u n d e d < / s t r i n g > < / k e y > < v a l u e > < i n t > 1 8 < / 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 C o l u m n s \ N L o a n s < / K e y > < / a : K e y > < a : V a l u e   i : t y p e = " T a b l e W i d g e t B a s e V i e w S t a t e " / > < / a : K e y V a l u e O f D i a g r a m O b j e c t K e y a n y T y p e z b w N T n L X > < a : K e y V a l u e O f D i a g r a m O b j e c t K e y a n y T y p e z b w N T n L X > < a : K e y > < K e y > C o l u m n s \ R e t u r n D a t e < / K e y > < / a : K e y > < a : V a l u e   i : t y p e = " T a b l e W i d g e t B a s e V i e w S t a t e " / > < / a : K e y V a l u e O f D i a g r a m O b j e c t K e y a n y T y p e z b w N T n L X > < a : K e y V a l u e O f D i a g r a m O b j e c t K e y a n y T y p e z b w N T n L X > < a : K e y > < K e y > C o l u m n s \ L o a n I D < / K e y > < / a : K e y > < a : V a l u e   i : t y p e = " T a b l e W i d g e t B a s e V i e w S t a t e " / > < / a : K e y V a l u e O f D i a g r a m O b j e c t K e y a n y T y p e z b w N T n L X > < a : K e y V a l u e O f D i a g r a m O b j e c t K e y a n y T y p e z b w N T n L X > < a : K e y > < K e y > C o l u m n s \ R e t u r n S t a r t V a l u e < / K e y > < / a : K e y > < a : V a l u e   i : t y p e = " T a b l e W i d g e t B a s e V i e w S t a t e " / > < / a : K e y V a l u e O f D i a g r a m O b j e c t K e y a n y T y p e z b w N T n L X > < a : K e y V a l u e O f D i a g r a m O b j e c t K e y a n y T y p e z b w N T n L X > < a : K e y > < K e y > C o l u m n s \ R e t u r n E n d V a l u e < / K e y > < / a : K e y > < a : V a l u e   i : t y p e = " T a b l e W i d g e t B a s e V i e w S t a t e " / > < / a : K e y V a l u e O f D i a g r a m O b j e c t K e y a n y T y p e z b w N T n L X > < a : K e y V a l u e O f D i a g r a m O b j e c t K e y a n y T y p e z b w N T n L X > < a : K e y > < K e y > C o l u m n s \ C a s h I n t e r e s t < / K e y > < / a : K e y > < a : V a l u e   i : t y p e = " T a b l e W i d g e t B a s e V i e w S t a t e " / > < / a : K e y V a l u e O f D i a g r a m O b j e c t K e y a n y T y p e z b w N T n L X > < a : K e y V a l u e O f D i a g r a m O b j e c t K e y a n y T y p e z b w N T n L X > < a : K e y > < K e y > C o l u m n s \ A c c r I n t e r e s t < / K e y > < / a : K e y > < a : V a l u e   i : t y p e = " T a b l e W i d g e t B a s e V i e w S t a t e " / > < / a : K e y V a l u e O f D i a g r a m O b j e c t K e y a n y T y p e z b w N T n L X > < a : K e y V a l u e O f D i a g r a m O b j e c t K e y a n y T y p e z b w N T n L X > < a : K e y > < K e y > C o l u m n s \ O t h e r I n c o m e < / K e y > < / a : K e y > < a : V a l u e   i : t y p e = " T a b l e W i d g e t B a s e V i e w S t a t e " / > < / a : K e y V a l u e O f D i a g r a m O b j e c t K e y a n y T y p e z b w N T n L X > < a : K e y V a l u e O f D i a g r a m O b j e c t K e y a n y T y p e z b w N T n L X > < a : K e y > < K e y > C o l u m n s \ E x p e n s e s < / K e y > < / a : K e y > < a : V a l u e   i : t y p e = " T a b l e W i d g e t B a s e V i e w S t a t e " / > < / a : K e y V a l u e O f D i a g r a m O b j e c t K e y a n y T y p e z b w N T n L X > < a : K e y V a l u e O f D i a g r a m O b j e c t K e y a n y T y p e z b w N T n L X > < a : K e y > < K e y > C o l u m n s \ P r i n c i p a l F u n d e d < / K e y > < / a : K e y > < a : V a l u e   i : t y p e = " T a b l e W i d g e t B a s e V i e w S t a t e " / > < / a : K e y V a l u e O f D i a g r a m O b j e c t K e y a n y T y p e z b w N T n L X > < a : K e y V a l u e O f D i a g r a m O b j e c t K e y a n y T y p e z b w N T n L X > < a : K e y > < K e y > C o l u m n s \ P r i n c i p a l R e p a i d < / K e y > < / a : K e y > < a : V a l u e   i : t y p e = " T a b l e W i d g e t B a s e V i e w S t a t e " / > < / a : K e y V a l u e O f D i a g r a m O b j e c t K e y a n y T y p e z b w N T n L X > < a : K e y V a l u e O f D i a g r a m O b j e c t K e y a n y T y p e z b w N T n L X > < a : K e y > < K e y > C o l u m n s \ S t a r t V a l u e < / K e y > < / a : K e y > < a : V a l u e   i : t y p e = " T a b l e W i d g e t B a s e V i e w S t a t e " / > < / a : K e y V a l u e O f D i a g r a m O b j e c t K e y a n y T y p e z b w N T n L X > < a : K e y V a l u e O f D i a g r a m O b j e c t K e y a n y T y p e z b w N T n L X > < a : K e y > < K e y > C o l u m n s \ E n d V a l u e < / K e y > < / a : K e y > < a : V a l u e   i : t y p e = " T a b l e W i d g e t B a s e V i e w S t a t e " / > < / a : K e y V a l u e O f D i a g r a m O b j e c t K e y a n y T y p e z b w N T n L X > < a : K e y V a l u e O f D i a g r a m O b j e c t K e y a n y T y p e z b w N T n L X > < a : K e y > < K e y > C o l u m n s \ S t a r t N A V < / K e y > < / a : K e y > < a : V a l u e   i : t y p e = " T a b l e W i d g e t B a s e V i e w S t a t e " / > < / a : K e y V a l u e O f D i a g r a m O b j e c t K e y a n y T y p e z b w N T n L X > < a : K e y V a l u e O f D i a g r a m O b j e c t K e y a n y T y p e z b w N T n L X > < a : K e y > < K e y > C o l u m n s \ E n d N A V < / K e y > < / a : K e y > < a : V a l u e   i : t y p e = " T a b l e W i d g e t B a s e V i e w S t a t e " / > < / a : K e y V a l u e O f D i a g r a m O b j e c t K e y a n y T y p e z b w N T n L X > < a : K e y V a l u e O f D i a g r a m O b j e c t K e y a n y T y p e z b w N T n L X > < a : K e y > < K e y > C o l u m n s \ S t a r t P r i n c i p a l < / K e y > < / a : K e y > < a : V a l u e   i : t y p e = " T a b l e W i d g e t B a s e V i e w S t a t e " / > < / a : K e y V a l u e O f D i a g r a m O b j e c t K e y a n y T y p e z b w N T n L X > < a : K e y V a l u e O f D i a g r a m O b j e c t K e y a n y T y p e z b w N T n L X > < a : K e y > < K e y > C o l u m n s \ E n d P r i n c i p a l < / K e y > < / a : K e y > < a : V a l u e   i : t y p e = " T a b l e W i d g e t B a s e V i e w S t a t e " / > < / a : K e y V a l u e O f D i a g r a m O b j e c t K e y a n y T y p e z b w N T n L X > < a : K e y V a l u e O f D i a g r a m O b j e c t K e y a n y T y p e z b w N T n L X > < a : K e y > < K e y > C o l u m n s \ M a n a g e r C o d e 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 C o l u m n s \ G - L   I D < / K e y > < / a : K e y > < a : V a l u e   i : t y p e = " T a b l e W i d g e t B a s e V i e w S t a t e " / > < / a : K e y V a l u e O f D i a g r a m O b j e c t K e y a n y T y p e z b w N T n L X > < a : K e y V a l u e O f D i a g r a m O b j e c t K e y a n y T y p e z b w N T n L X > < a : K e y > < K e y > C o l u m n s \ M a n a g e r C o d e < / K e y > < / a : K e y > < a : V a l u e   i : t y p e = " T a b l e W i d g e t B a s e V i e w S t a t e " / > < / a : K e y V a l u e O f D i a g r a m O b j e c t K e y a n y T y p e z b w N T n L X > < a : K e y V a l u e O f D i a g r a m O b j e c t K e y a n y T y p e z b w N T n L X > < a : K e y > < K e y > C o l u m n s \ V i n Y e a r < / K e y > < / a : K e y > < a : V a l u e   i : t y p e = " T a b l e W i d g e t B a s e V i e w S t a t e " / > < / a : K e y V a l u e O f D i a g r a m O b j e c t K e y a n y T y p e z b w N T n L X > < a : K e y V a l u e O f D i a g r a m O b j e c t K e y a n y T y p e z b w N T n L X > < a : K e y > < K e y > C o l u m n s \ L o a n   T y p e   a s   r e p o r t e d < / K e y > < / a : K e y > < a : V a l u e   i : t y p e = " T a b l e W i d g e t B a s e V i e w S t a t e " / > < / a : K e y V a l u e O f D i a g r a m O b j e c t K e y a n y T y p e z b w N T n L X > < a : K e y V a l u e O f D i a g r a m O b j e c t K e y a n y T y p e z b w N T n L X > < a : K e y > < K e y > C o l u m n s \ P m t   T y p e < / K e y > < / a : K e y > < a : V a l u e   i : t y p e = " T a b l e W i d g e t B a s e V i e w S t a t e " / > < / a : K e y V a l u e O f D i a g r a m O b j e c t K e y a n y T y p e z b w N T n L X > < a : K e y V a l u e O f D i a g r a m O b j e c t K e y a n y T y p e z b w N T n L X > < a : K e y > < K e y > C o l u m n s \ L o w e r L T V 1 < / K e y > < / a : K e y > < a : V a l u e   i : t y p e = " T a b l e W i d g e t B a s e V i e w S t a t e " / > < / a : K e y V a l u e O f D i a g r a m O b j e c t K e y a n y T y p e z b w N T n L X > < a : K e y V a l u e O f D i a g r a m O b j e c t K e y a n y T y p e z b w N T n L X > < a : K e y > < K e y > C o l u m n s \ U p p e r A t t a c h < / K e y > < / a : K e y > < a : V a l u e   i : t y p e = " T a b l e W i d g e t B a s e V i e w S t a t e " / > < / a : K e y V a l u e O f D i a g r a m O b j e c t K e y a n y T y p e z b w N T n L X > < a : K e y V a l u e O f D i a g r a m O b j e c t K e y a n y T y p e z b w N T n L X > < a : K e y > < K e y > C o l u m n s \ C a p S t a c k F l a g < / K e y > < / a : K e y > < a : V a l u e   i : t y p e = " T a b l e W i d g e t B a s e V i e w S t a t e " / > < / a : K e y V a l u e O f D i a g r a m O b j e c t K e y a n y T y p e z b w N T n L X > < a : K e y V a l u e O f D i a g r a m O b j e c t K e y a n y T y p e z b w N T n L X > < a : K e y > < K e y > C o l u m n s \ R e p o r t e d   P r i n c i p a l < / K e y > < / a : K e y > < a : V a l u e   i : t y p e = " T a b l e W i d g e t B a s e V i e w S t a t e " / > < / a : K e y V a l u e O f D i a g r a m O b j e c t K e y a n y T y p e z b w N T n L X > < a : K e y V a l u e O f D i a g r a m O b j e c t K e y a n y T y p e z b w N T n L X > < a : K e y > < K e y > C o l u m n s \ P r o p T y p e < / K e y > < / a : K e y > < a : V a l u e   i : t y p e = " T a b l e W i d g e t B a s e V i e w S t a t e " / > < / a : K e y V a l u e O f D i a g r a m O b j e c t K e y a n y T y p e z b w N T n L X > < a : K e y V a l u e O f D i a g r a m O b j e c t K e y a n y T y p e z b w N T n L X > < a : K e y > < K e y > C o l u m n s \ I n t e r e s t   R a t e < / K e y > < / a : K e y > < a : V a l u e   i : t y p e = " T a b l e W i d g e t B a s e V i e w S t a t e " / > < / a : K e y V a l u e O f D i a g r a m O b j e c t K e y a n y T y p e z b w N T n L X > < a : K e y V a l u e O f D i a g r a m O b j e c t K e y a n y T y p e z b w N T n L X > < a : K e y > < K e y > C o l u m n s \ A d v a n c e R a t e < / K e y > < / a : K e y > < a : V a l u e   i : t y p e = " T a b l e W i d g e t B a s e V i e w S t a t e " / > < / a : K e y V a l u e O f D i a g r a m O b j e c t K e y a n y T y p e z b w N T n L X > < a : K e y V a l u e O f D i a g r a m O b j e c t K e y a n y T y p e z b w N T n L X > < a : K e y > < K e y > C o l u m n s \ S U B   F l a g < / K e y > < / a : K e y > < a : V a l u e   i : t y p e = " T a b l e W i d g e t B a s e V i e w S t a t e " / > < / a : K e y V a l u e O f D i a g r a m O b j e c t K e y a n y T y p e z b w N T n L X > < a : K e y V a l u e O f D i a g r a m O b j e c t K e y a n y T y p e z b w N T n L X > < a : K e y > < K e y > C o l u m n s \ S C H E M A T I C   T Y P E < / K e y > < / a : K e y > < a : V a l u e   i : t y p e = " T a b l e W i d g e t B a s e V i e w S t a t e " / > < / a : K e y V a l u e O f D i a g r a m O b j e c t K e y a n y T y p e z b w N T n L X > < a : K e y V a l u e O f D i a g r a m O b j e c t K e y a n y T y p e z b w N T n L X > < a : K e y > < K e y > C o l u m n s \ L o a n T y p e < / K e y > < / a : K e y > < a : V a l u e   i : t y p e = " T a b l e W i d g e t B a s e V i e w S t a t e " / > < / a : K e y V a l u e O f D i a g r a m O b j e c t K e y a n y T y p e z b w N T n L X > < a : K e y V a l u e O f D i a g r a m O b j e c t K e y a n y T y p e z b w N T n L X > < a : K e y > < K e y > C o l u m n s \ C o l l a t e r a l V a l u e < / K e y > < / a : K e y > < a : V a l u e   i : t y p e = " T a b l e W i d g e t B a s e V i e w S t a t e " / > < / a : K e y V a l u e O f D i a g r a m O b j e c t K e y a n y T y p e z b w N T n L X > < a : K e y V a l u e O f D i a g r a m O b j e c t K e y a n y T y p e z b w N T n L X > < a : K e y > < K e y > C o l u m n s \ S t r a t e g y < / K e y > < / a : K e y > < a : V a l u e   i : t y p e = " T a b l e W i d g e t B a s e V i e w S t a t e " / > < / a : K e y V a l u e O f D i a g r a m O b j e c t K e y a n y T y p e z b w N T n L X > < a : K e y V a l u e O f D i a g r a m O b j e c t K e y a n y T y p e z b w N T n L X > < a : K e y > < K e y > C o l u m n s \ P u r p o s e < / K e y > < / a : K e y > < a : V a l u e   i : t y p e = " T a b l e W i d g e t B a s e V i e w S t a t e " / > < / a : K e y V a l u e O f D i a g r a m O b j e c t K e y a n y T y p e z b w N T n L X > < a : K e y V a l u e O f D i a g r a m O b j e c t K e y a n y T y p e z b w N T n L X > < a : K e y > < K e y > C o l u m n s \ G - L   r e c l a s s   s t r a t e g y < / K e y > < / a : K e y > < a : V a l u e   i : t y p e = " T a b l e W i d g e t B a s e V i e w S t a t e " / > < / a : K e y V a l u e O f D i a g r a m O b j e c t K e y a n y T y p e z b w N T n L X > < a : K e y V a l u e O f D i a g r a m O b j e c t K e y a n y T y p e z b w N T n L X > < a : K e y > < K e y > C o l u m n s \ G - L   S u b S t r a t e g y < / K e y > < / a : K e y > < a : V a l u e   i : t y p e = " T a b l e W i d g e t B a s e V i e w S t a t e " / > < / a : K e y V a l u e O f D i a g r a m O b j e c t K e y a n y T y p e z b w N T n L X > < a : K e y V a l u e O f D i a g r a m O b j e c t K e y a n y T y p e z b w N T n L X > < a : K e y > < K e y > C o l u m n s \ L o w e r A t t a c h L a b e l < / K e y > < / a : K e y > < a : V a l u e   i : t y p e = " T a b l e W i d g e t B a s e V i e w S t a t e " / > < / a : K e y V a l u e O f D i a g r a m O b j e c t K e y a n y T y p e z b w N T n L X > < a : K e y V a l u e O f D i a g r a m O b j e c t K e y a n y T y p e z b w N T n L X > < a : K e y > < K e y > C o l u m n s \ U p p e r A t t a c h L a b e l < / K e y > < / a : K e y > < a : V a l u e   i : t y p e = " T a b l e W i d g e t B a s e V i e w S t a t e " / > < / a : K e y V a l u e O f D i a g r a m O b j e c t K e y a n y T y p e z b w N T n L X > < a : K e y V a l u e O f D i a g r a m O b j e c t K e y a n y T y p e z b w N T n L X > < a : K e y > < K e y > C o l u m n s \ T e r m < / K e y > < / a : K e y > < a : V a l u e   i : t y p e = " T a b l e W i d g e t B a s e V i e w S t a t e " / > < / a : K e y V a l u e O f D i a g r a m O b j e c t K e y a n y T y p e z b w N T n L X > < a : K e y V a l u e O f D i a g r a m O b j e c t K e y a n y T y p e z b w N T n L X > < a : K e y > < K e y > C o l u m n s \ L o w e r A t t a c h < / K e y > < / a : K e y > < a : V a l u e   i : t y p e = " T a b l e W i d g e t B a s e V i e w S t a t e " / > < / a : K e y V a l u e O f D i a g r a m O b j e c t K e y a n y T y p e z b w N T n L X > < a : K e y V a l u e O f D i a g r a m O b j e c t K e y a n y T y p e z b w N T n L X > < a : K e y > < K e y > C o l u m n s \ P r i n c i p a l   N A V < / K e y > < / a : K e y > < a : V a l u e   i : t y p e = " T a b l e W i d g e t B a s e V i e w S t a t e " / > < / a : K e y V a l u e O f D i a g r a m O b j e c t K e y a n y T y p e z b w N T n L X > < a : K e y V a l u e O f D i a g r a m O b j e c t K e y a n y T y p e z b w N T n L X > < a : K e y > < K e y > C o l u m n s \ P r i n c i p a l   G A V < / 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7.xml>��< ? x m l   v e r s i o n = " 1 . 0 "   e n c o d i n g = " U T F - 1 6 " ? > < G e m i n i   x m l n s = " h t t p : / / g e m i n i / p i v o t c u s t o m i z a t i o n / P o w e r P i v o t V e r s i o n " > < C u s t o m C o n t e n t > < ! [ C D A T A [ 2 0 1 5 . 1 3 0 . 8 0 0 . 1 3 3 8 ] ] > < / C u s t o m C o n t e n t > < / G e m i n i > 
</file>

<file path=customXml/item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 T a g s \ T a b l e s \ & l t ; T a b l e s \ T a b l e 1 & g t ; < / K e y > < / D i a g r a m O b j e c t K e y > < D i a g r a m O b j e c t K e y > < K e y > D y n a m i c   T a g s \ T a b l e s \ & l t ; T a b l e s \ T a b l e 2 & g t ; < / K e y > < / D i a g r a m O b j e c t K e y > < D i a g r a m O b j e c t K e y > < K e y > T a b l e s \ T a b l e 1 < / K e y > < / D i a g r a m O b j e c t K e y > < D i a g r a m O b j e c t K e y > < K e y > T a b l e s \ T a b l e 1 \ C o l u m n s \ G - L   I D < / K e y > < / D i a g r a m O b j e c t K e y > < D i a g r a m O b j e c t K e y > < K e y > T a b l e s \ T a b l e 1 \ C o l u m n s \ V i n Y e a r < / K e y > < / D i a g r a m O b j e c t K e y > < D i a g r a m O b j e c t K e y > < K e y > T a b l e s \ T a b l e 1 \ C o l u m n s \ P m t   T y p e < / K e y > < / D i a g r a m O b j e c t K e y > < D i a g r a m O b j e c t K e y > < K e y > T a b l e s \ T a b l e 1 \ C o l u m n s \ L o w e r L T V 1 < / K e y > < / D i a g r a m O b j e c t K e y > < D i a g r a m O b j e c t K e y > < K e y > T a b l e s \ T a b l e 1 \ C o l u m n s \ U p p e r A t t a c h < / K e y > < / D i a g r a m O b j e c t K e y > < D i a g r a m O b j e c t K e y > < K e y > T a b l e s \ T a b l e 1 \ C o l u m n s \ C a p S t a c k F l a g < / K e y > < / D i a g r a m O b j e c t K e y > < D i a g r a m O b j e c t K e y > < K e y > T a b l e s \ T a b l e 1 \ C o l u m n s \ R e p o r t e d   P r i n c i p a l < / K e y > < / D i a g r a m O b j e c t K e y > < D i a g r a m O b j e c t K e y > < K e y > T a b l e s \ T a b l e 1 \ C o l u m n s \ P r o p T y p e < / K e y > < / D i a g r a m O b j e c t K e y > < D i a g r a m O b j e c t K e y > < K e y > T a b l e s \ T a b l e 1 \ C o l u m n s \ I n t e r e s t   R a t e < / K e y > < / D i a g r a m O b j e c t K e y > < D i a g r a m O b j e c t K e y > < K e y > T a b l e s \ T a b l e 1 \ C o l u m n s \ A d v a n c e R a t e < / K e y > < / D i a g r a m O b j e c t K e y > < D i a g r a m O b j e c t K e y > < K e y > T a b l e s \ T a b l e 1 \ C o l u m n s \ S U B   F l a g < / K e y > < / D i a g r a m O b j e c t K e y > < D i a g r a m O b j e c t K e y > < K e y > T a b l e s \ T a b l e 1 \ C o l u m n s \ S C H E M A T I C   T Y P E < / K e y > < / D i a g r a m O b j e c t K e y > < D i a g r a m O b j e c t K e y > < K e y > T a b l e s \ T a b l e 1 \ C o l u m n s \ C o l l a t e r a l V a l u e < / K e y > < / D i a g r a m O b j e c t K e y > < D i a g r a m O b j e c t K e y > < K e y > T a b l e s \ T a b l e 1 \ C o l u m n s \ S t r a t e g y < / K e y > < / D i a g r a m O b j e c t K e y > < D i a g r a m O b j e c t K e y > < K e y > T a b l e s \ T a b l e 1 \ C o l u m n s \ P u r p o s e < / K e y > < / D i a g r a m O b j e c t K e y > < D i a g r a m O b j e c t K e y > < K e y > T a b l e s \ T a b l e 1 \ C o l u m n s \ G - L   r e c l a s s   s t r a t e g y < / K e y > < / D i a g r a m O b j e c t K e y > < D i a g r a m O b j e c t K e y > < K e y > T a b l e s \ T a b l e 1 \ C o l u m n s \ G - L   S u b S t r a t e g y < / K e y > < / D i a g r a m O b j e c t K e y > < D i a g r a m O b j e c t K e y > < K e y > T a b l e s \ T a b l e 1 \ C o l u m n s \ L o w e r A t t a c h L a b e l < / K e y > < / D i a g r a m O b j e c t K e y > < D i a g r a m O b j e c t K e y > < K e y > T a b l e s \ T a b l e 1 \ C o l u m n s \ U p p e r A t t a c h L a b e l < / K e y > < / D i a g r a m O b j e c t K e y > < D i a g r a m O b j e c t K e y > < K e y > T a b l e s \ T a b l e 1 \ C o l u m n s \ T e r m < / K e y > < / D i a g r a m O b j e c t K e y > < D i a g r a m O b j e c t K e y > < K e y > T a b l e s \ T a b l e 1 \ C o l u m n s \ L o w e r A t t a c h < / K e y > < / D i a g r a m O b j e c t K e y > < D i a g r a m O b j e c t K e y > < K e y > T a b l e s \ T a b l e 1 \ C o l u m n s \ P r i n c i p a l   N A V < / K e y > < / D i a g r a m O b j e c t K e y > < D i a g r a m O b j e c t K e y > < K e y > T a b l e s \ T a b l e 1 \ C o l u m n s \ P r i n c i p a l   G A V < / K e y > < / D i a g r a m O b j e c t K e y > < D i a g r a m O b j e c t K e y > < K e y > T a b l e s \ T a b l e 2 < / K e y > < / D i a g r a m O b j e c t K e y > < D i a g r a m O b j e c t K e y > < K e y > T a b l e s \ T a b l e 2 \ C o l u m n s \ Y e a r < / K e y > < / D i a g r a m O b j e c t K e y > < D i a g r a m O b j e c t K e y > < K e y > T a b l e s \ T a b l e 2 \ C o l u m n s \ M o n t h < / K e y > < / D i a g r a m O b j e c t K e y > < D i a g r a m O b j e c t K e y > < K e y > T a b l e s \ T a b l e 2 \ C o l u m n s \ N L o a n s < / K e y > < / D i a g r a m O b j e c t K e y > < D i a g r a m O b j e c t K e y > < K e y > T a b l e s \ T a b l e 2 \ C o l u m n s \ R e t u r n D a t e < / K e y > < / D i a g r a m O b j e c t K e y > < D i a g r a m O b j e c t K e y > < K e y > T a b l e s \ T a b l e 2 \ C o l u m n s \ L o a n I D < / K e y > < / D i a g r a m O b j e c t K e y > < D i a g r a m O b j e c t K e y > < K e y > T a b l e s \ T a b l e 2 \ C o l u m n s \ R e t u r n S t a r t V a l u e < / K e y > < / D i a g r a m O b j e c t K e y > < D i a g r a m O b j e c t K e y > < K e y > T a b l e s \ T a b l e 2 \ C o l u m n s \ R e t u r n E n d V a l u e < / K e y > < / D i a g r a m O b j e c t K e y > < D i a g r a m O b j e c t K e y > < K e y > T a b l e s \ T a b l e 2 \ C o l u m n s \ C a s h I n t e r e s t < / K e y > < / D i a g r a m O b j e c t K e y > < D i a g r a m O b j e c t K e y > < K e y > T a b l e s \ T a b l e 2 \ C o l u m n s \ A c c r I n t e r e s t < / K e y > < / D i a g r a m O b j e c t K e y > < D i a g r a m O b j e c t K e y > < K e y > T a b l e s \ T a b l e 2 \ C o l u m n s \ O t h e r I n c o m e < / K e y > < / D i a g r a m O b j e c t K e y > < D i a g r a m O b j e c t K e y > < K e y > T a b l e s \ T a b l e 2 \ C o l u m n s \ E x p e n s e s < / K e y > < / D i a g r a m O b j e c t K e y > < D i a g r a m O b j e c t K e y > < K e y > T a b l e s \ T a b l e 2 \ C o l u m n s \ P r i n c i p a l R e p a i d < / K e y > < / D i a g r a m O b j e c t K e y > < D i a g r a m O b j e c t K e y > < K e y > T a b l e s \ T a b l e 2 \ C o l u m n s \ S t a r t V a l u e < / K e y > < / D i a g r a m O b j e c t K e y > < D i a g r a m O b j e c t K e y > < K e y > T a b l e s \ T a b l e 2 \ C o l u m n s \ E n d V a l u e < / K e y > < / D i a g r a m O b j e c t K e y > < D i a g r a m O b j e c t K e y > < K e y > T a b l e s \ T a b l e 2 \ C o l u m n s \ S t a r t P r i n c i p a l < / K e y > < / D i a g r a m O b j e c t K e y > < D i a g r a m O b j e c t K e y > < K e y > T a b l e s \ T a b l e 2 \ C o l u m n s \ E n d P r i n c i p a l < / K e y > < / D i a g r a m O b j e c t K e y > < D i a g r a m O b j e c t K e y > < K e y > T a b l e s \ T a b l e 2 \ C o l u m n s \ F l a t R e t u r n < / K e y > < / D i a g r a m O b j e c t K e y > < D i a g r a m O b j e c t K e y > < K e y > T a b l e s \ T a b l e 2 \ M e a s u r e s \ S u m   o f   R e t u r n D a t e < / K e y > < / D i a g r a m O b j e c t K e y > < D i a g r a m O b j e c t K e y > < K e y > T a b l e s \ T a b l e 2 \ S u m   o f   R e t u r n D a t e \ A d d i t i o n a l   I n f o \ I m p l i c i t   M e a s u r e < / K e y > < / D i a g r a m O b j e c t K e y > < D i a g r a m O b j e c t K e y > < K e y > T a b l e s \ T a b l e 2 \ M e a s u r e s \ S u m   o f   R e t u r n S t a r t V a l u e < / K e y > < / D i a g r a m O b j e c t K e y > < D i a g r a m O b j e c t K e y > < K e y > T a b l e s \ T a b l e 2 \ S u m   o f   R e t u r n S t a r t V a l u e \ A d d i t i o n a l   I n f o \ I m p l i c i t   M e a s u r e < / K e y > < / D i a g r a m O b j e c t K e y > < D i a g r a m O b j e c t K e y > < K e y > T a b l e s \ T a b l e 2 \ M e a s u r e s \ C o u n t   o f   F l a t R e t u r n < / K e y > < / D i a g r a m O b j e c t K e y > < D i a g r a m O b j e c t K e y > < K e y > T a b l e s \ T a b l e 2 \ C o u n t   o f   F l a t R e t u r n \ A d d i t i o n a l   I n f o \ I m p l i c i t   M e a s u r e < / K e y > < / D i a g r a m O b j e c t K e y > < D i a g r a m O b j e c t K e y > < K e y > T a b l e s \ T a b l e 2 \ M e a s u r e s \ S u m   o f   R e t u r n E n d V a l u e < / K e y > < / D i a g r a m O b j e c t K e y > < D i a g r a m O b j e c t K e y > < K e y > T a b l e s \ T a b l e 2 \ S u m   o f   R e t u r n E n d V a l u e \ A d d i t i o n a l   I n f o \ I m p l i c i t   M e a s u r e < / K e y > < / D i a g r a m O b j e c t K e y > < D i a g r a m O b j e c t K e y > < K e y > T a b l e s \ T a b l e 2 \ M e a s u r e s \ S u m   o f   C a s h I n t e r e s t < / K e y > < / D i a g r a m O b j e c t K e y > < D i a g r a m O b j e c t K e y > < K e y > T a b l e s \ T a b l e 2 \ S u m   o f   C a s h I n t e r e s t \ A d d i t i o n a l   I n f o \ I m p l i c i t   M e a s u r e < / K e y > < / D i a g r a m O b j e c t K e y > < D i a g r a m O b j e c t K e y > < K e y > T a b l e s \ T a b l e 2 \ M e a s u r e s \ S u m   o f   A c c r I n t e r e s t < / K e y > < / D i a g r a m O b j e c t K e y > < D i a g r a m O b j e c t K e y > < K e y > T a b l e s \ T a b l e 2 \ S u m   o f   A c c r I n t e r e s t \ A d d i t i o n a l   I n f o \ I m p l i c i t   M e a s u r e < / K e y > < / D i a g r a m O b j e c t K e y > < D i a g r a m O b j e c t K e y > < K e y > T a b l e s \ T a b l e 2 \ M e a s u r e s \ S u m   o f   O t h e r I n c o m e < / K e y > < / D i a g r a m O b j e c t K e y > < D i a g r a m O b j e c t K e y > < K e y > T a b l e s \ T a b l e 2 \ S u m   o f   O t h e r I n c o m e \ A d d i t i o n a l   I n f o \ I m p l i c i t   M e a s u r e < / K e y > < / D i a g r a m O b j e c t K e y > < D i a g r a m O b j e c t K e y > < K e y > T a b l e s \ T a b l e 2 \ M e a s u r e s \ S u m   o f   E x p e n s e s < / K e y > < / D i a g r a m O b j e c t K e y > < D i a g r a m O b j e c t K e y > < K e y > T a b l e s \ T a b l e 2 \ S u m   o f   E x p e n s e s \ A d d i t i o n a l   I n f o \ I m p l i c i t   M e a s u r e < / K e y > < / D i a g r a m O b j e c t K e y > < D i a g r a m O b j e c t K e y > < K e y > T a b l e s \ T a b l e 2 \ M e a s u r e s \ S u m   o f   P r i n c i p a l R e p a i d < / K e y > < / D i a g r a m O b j e c t K e y > < D i a g r a m O b j e c t K e y > < K e y > T a b l e s \ T a b l e 2 \ S u m   o f   P r i n c i p a l R e p a i d \ A d d i t i o n a l   I n f o \ I m p l i c i t   M e a s u r e < / K e y > < / D i a g r a m O b j e c t K e y > < D i a g r a m O b j e c t K e y > < K e y > R e l a t i o n s h i p s \ & l t ; T a b l e s \ T a b l e 2 \ C o l u m n s \ L o a n I D & g t ; - & l t ; T a b l e s \ T a b l e 1 \ C o l u m n s \ G - L   I D & g t ; < / K e y > < / D i a g r a m O b j e c t K e y > < D i a g r a m O b j e c t K e y > < K e y > R e l a t i o n s h i p s \ & l t ; T a b l e s \ T a b l e 2 \ C o l u m n s \ L o a n I D & g t ; - & l t ; T a b l e s \ T a b l e 1 \ C o l u m n s \ G - L   I D & g t ; \ F K < / K e y > < / D i a g r a m O b j e c t K e y > < D i a g r a m O b j e c t K e y > < K e y > R e l a t i o n s h i p s \ & l t ; T a b l e s \ T a b l e 2 \ C o l u m n s \ L o a n I D & g t ; - & l t ; T a b l e s \ T a b l e 1 \ C o l u m n s \ G - L   I D & g t ; \ P K < / K e y > < / D i a g r a m O b j e c t K e y > < D i a g r a m O b j e c t K e y > < K e y > R e l a t i o n s h i p s \ & l t ; T a b l e s \ T a b l e 2 \ C o l u m n s \ L o a n I D & g t ; - & l t ; T a b l e s \ T a b l e 1 \ C o l u m n s \ G - L   I D & g t ; \ C r o s s F i l t e r < / K e y > < / D i a g r a m O b j e c t K e y > < D i a g r a m O b j e c t K e y > < K e y > T a b l e s \ T a b l e 1 \ C o l u m n s \ L o a n   T y p e   a s   r e p o r t e d < / 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 T a g s \ T a b l e s \ & l t ; T a b l e s \ T a b l e 1 & g t ; < / K e y > < / a : K e y > < a : V a l u e   i : t y p e = " D i a g r a m D i s p l a y T a g V i e w S t a t e " > < I s N o t F i l t e r e d O u t > t r u e < / I s N o t F i l t e r e d O u t > < / a : V a l u e > < / a : K e y V a l u e O f D i a g r a m O b j e c t K e y a n y T y p e z b w N T n L X > < a : K e y V a l u e O f D i a g r a m O b j e c t K e y a n y T y p e z b w N T n L X > < a : K e y > < K e y > D y n a m i c   T a g s \ T a b l e s \ & l t ; T a b l e s \ T a b l e 2 & g t ; < / K e y > < / a : K e y > < a : V a l u e   i : t y p e = " D i a g r a m D i s p l a y T a g V i e w S t a t e " > < I s N o t F i l t e r e d O u t > t r u e < / I s N o t F i l t e r e d O u t > < / a : V a l u e > < / a : K e y V a l u e O f D i a g r a m O b j e c t K e y a n y T y p e z b w N T n L X > < a : K e y V a l u e O f D i a g r a m O b j e c t K e y a n y T y p e z b w N T n L X > < a : K e y > < K e y > T a b l e s \ T a b l e 1 < / K e y > < / a : K e y > < a : V a l u e   i : t y p e = " D i a g r a m D i s p l a y N o d e V i e w S t a t e " > < H e i g h t > 1 5 0 < / H e i g h t > < I s E x p a n d e d > t r u e < / I s E x p a n d e d > < L a y e d O u t > t r u e < / L a y e d O u t > < W i d t h > 2 0 0 < / W i d t h > < / a : V a l u e > < / a : K e y V a l u e O f D i a g r a m O b j e c t K e y a n y T y p e z b w N T n L X > < a : K e y V a l u e O f D i a g r a m O b j e c t K e y a n y T y p e z b w N T n L X > < a : K e y > < K e y > T a b l e s \ T a b l e 1 \ C o l u m n s \ G - L   I D < / K e y > < / a : K e y > < a : V a l u e   i : t y p e = " D i a g r a m D i s p l a y N o d e V i e w S t a t e " > < H e i g h t > 1 5 0 < / H e i g h t > < I s E x p a n d e d > t r u e < / I s E x p a n d e d > < W i d t h > 2 0 0 < / W i d t h > < / a : V a l u e > < / a : K e y V a l u e O f D i a g r a m O b j e c t K e y a n y T y p e z b w N T n L X > < a : K e y V a l u e O f D i a g r a m O b j e c t K e y a n y T y p e z b w N T n L X > < a : K e y > < K e y > T a b l e s \ T a b l e 1 \ C o l u m n s \ V i n Y e a r < / K e y > < / a : K e y > < a : V a l u e   i : t y p e = " D i a g r a m D i s p l a y N o d e V i e w S t a t e " > < H e i g h t > 1 5 0 < / H e i g h t > < I s E x p a n d e d > t r u e < / I s E x p a n d e d > < W i d t h > 2 0 0 < / W i d t h > < / a : V a l u e > < / a : K e y V a l u e O f D i a g r a m O b j e c t K e y a n y T y p e z b w N T n L X > < a : K e y V a l u e O f D i a g r a m O b j e c t K e y a n y T y p e z b w N T n L X > < a : K e y > < K e y > T a b l e s \ T a b l e 1 \ C o l u m n s \ P m t   T y p e < / K e y > < / a : K e y > < a : V a l u e   i : t y p e = " D i a g r a m D i s p l a y N o d e V i e w S t a t e " > < H e i g h t > 1 5 0 < / H e i g h t > < I s E x p a n d e d > t r u e < / I s E x p a n d e d > < W i d t h > 2 0 0 < / W i d t h > < / a : V a l u e > < / a : K e y V a l u e O f D i a g r a m O b j e c t K e y a n y T y p e z b w N T n L X > < a : K e y V a l u e O f D i a g r a m O b j e c t K e y a n y T y p e z b w N T n L X > < a : K e y > < K e y > T a b l e s \ T a b l e 1 \ C o l u m n s \ L o w e r L T V 1 < / K e y > < / a : K e y > < a : V a l u e   i : t y p e = " D i a g r a m D i s p l a y N o d e V i e w S t a t e " > < H e i g h t > 1 5 0 < / H e i g h t > < I s E x p a n d e d > t r u e < / I s E x p a n d e d > < W i d t h > 2 0 0 < / W i d t h > < / a : V a l u e > < / a : K e y V a l u e O f D i a g r a m O b j e c t K e y a n y T y p e z b w N T n L X > < a : K e y V a l u e O f D i a g r a m O b j e c t K e y a n y T y p e z b w N T n L X > < a : K e y > < K e y > T a b l e s \ T a b l e 1 \ C o l u m n s \ U p p e r A t t a c h < / K e y > < / a : K e y > < a : V a l u e   i : t y p e = " D i a g r a m D i s p l a y N o d e V i e w S t a t e " > < H e i g h t > 1 5 0 < / H e i g h t > < I s E x p a n d e d > t r u e < / I s E x p a n d e d > < W i d t h > 2 0 0 < / W i d t h > < / a : V a l u e > < / a : K e y V a l u e O f D i a g r a m O b j e c t K e y a n y T y p e z b w N T n L X > < a : K e y V a l u e O f D i a g r a m O b j e c t K e y a n y T y p e z b w N T n L X > < a : K e y > < K e y > T a b l e s \ T a b l e 1 \ C o l u m n s \ C a p S t a c k F l a g < / K e y > < / a : K e y > < a : V a l u e   i : t y p e = " D i a g r a m D i s p l a y N o d e V i e w S t a t e " > < H e i g h t > 1 5 0 < / H e i g h t > < I s E x p a n d e d > t r u e < / I s E x p a n d e d > < W i d t h > 2 0 0 < / W i d t h > < / a : V a l u e > < / a : K e y V a l u e O f D i a g r a m O b j e c t K e y a n y T y p e z b w N T n L X > < a : K e y V a l u e O f D i a g r a m O b j e c t K e y a n y T y p e z b w N T n L X > < a : K e y > < K e y > T a b l e s \ T a b l e 1 \ C o l u m n s \ R e p o r t e d   P r i n c i p a l < / K e y > < / a : K e y > < a : V a l u e   i : t y p e = " D i a g r a m D i s p l a y N o d e V i e w S t a t e " > < H e i g h t > 1 5 0 < / H e i g h t > < I s E x p a n d e d > t r u e < / I s E x p a n d e d > < W i d t h > 2 0 0 < / W i d t h > < / a : V a l u e > < / a : K e y V a l u e O f D i a g r a m O b j e c t K e y a n y T y p e z b w N T n L X > < a : K e y V a l u e O f D i a g r a m O b j e c t K e y a n y T y p e z b w N T n L X > < a : K e y > < K e y > T a b l e s \ T a b l e 1 \ C o l u m n s \ P r o p T y p e < / K e y > < / a : K e y > < a : V a l u e   i : t y p e = " D i a g r a m D i s p l a y N o d e V i e w S t a t e " > < H e i g h t > 1 5 0 < / H e i g h t > < I s E x p a n d e d > t r u e < / I s E x p a n d e d > < W i d t h > 2 0 0 < / W i d t h > < / a : V a l u e > < / a : K e y V a l u e O f D i a g r a m O b j e c t K e y a n y T y p e z b w N T n L X > < a : K e y V a l u e O f D i a g r a m O b j e c t K e y a n y T y p e z b w N T n L X > < a : K e y > < K e y > T a b l e s \ T a b l e 1 \ C o l u m n s \ I n t e r e s t   R a t e < / K e y > < / a : K e y > < a : V a l u e   i : t y p e = " D i a g r a m D i s p l a y N o d e V i e w S t a t e " > < H e i g h t > 1 5 0 < / H e i g h t > < I s E x p a n d e d > t r u e < / I s E x p a n d e d > < W i d t h > 2 0 0 < / W i d t h > < / a : V a l u e > < / a : K e y V a l u e O f D i a g r a m O b j e c t K e y a n y T y p e z b w N T n L X > < a : K e y V a l u e O f D i a g r a m O b j e c t K e y a n y T y p e z b w N T n L X > < a : K e y > < K e y > T a b l e s \ T a b l e 1 \ C o l u m n s \ A d v a n c e R a t e < / K e y > < / a : K e y > < a : V a l u e   i : t y p e = " D i a g r a m D i s p l a y N o d e V i e w S t a t e " > < H e i g h t > 1 5 0 < / H e i g h t > < I s E x p a n d e d > t r u e < / I s E x p a n d e d > < W i d t h > 2 0 0 < / W i d t h > < / a : V a l u e > < / a : K e y V a l u e O f D i a g r a m O b j e c t K e y a n y T y p e z b w N T n L X > < a : K e y V a l u e O f D i a g r a m O b j e c t K e y a n y T y p e z b w N T n L X > < a : K e y > < K e y > T a b l e s \ T a b l e 1 \ C o l u m n s \ S U B   F l a g < / K e y > < / a : K e y > < a : V a l u e   i : t y p e = " D i a g r a m D i s p l a y N o d e V i e w S t a t e " > < H e i g h t > 1 5 0 < / H e i g h t > < I s E x p a n d e d > t r u e < / I s E x p a n d e d > < W i d t h > 2 0 0 < / W i d t h > < / a : V a l u e > < / a : K e y V a l u e O f D i a g r a m O b j e c t K e y a n y T y p e z b w N T n L X > < a : K e y V a l u e O f D i a g r a m O b j e c t K e y a n y T y p e z b w N T n L X > < a : K e y > < K e y > T a b l e s \ T a b l e 1 \ C o l u m n s \ S C H E M A T I C   T Y P E < / K e y > < / a : K e y > < a : V a l u e   i : t y p e = " D i a g r a m D i s p l a y N o d e V i e w S t a t e " > < H e i g h t > 1 5 0 < / H e i g h t > < I s E x p a n d e d > t r u e < / I s E x p a n d e d > < W i d t h > 2 0 0 < / W i d t h > < / a : V a l u e > < / a : K e y V a l u e O f D i a g r a m O b j e c t K e y a n y T y p e z b w N T n L X > < a : K e y V a l u e O f D i a g r a m O b j e c t K e y a n y T y p e z b w N T n L X > < a : K e y > < K e y > T a b l e s \ T a b l e 1 \ C o l u m n s \ C o l l a t e r a l V a l u e < / K e y > < / a : K e y > < a : V a l u e   i : t y p e = " D i a g r a m D i s p l a y N o d e V i e w S t a t e " > < H e i g h t > 1 5 0 < / H e i g h t > < I s E x p a n d e d > t r u e < / I s E x p a n d e d > < W i d t h > 2 0 0 < / W i d t h > < / a : V a l u e > < / a : K e y V a l u e O f D i a g r a m O b j e c t K e y a n y T y p e z b w N T n L X > < a : K e y V a l u e O f D i a g r a m O b j e c t K e y a n y T y p e z b w N T n L X > < a : K e y > < K e y > T a b l e s \ T a b l e 1 \ C o l u m n s \ S t r a t e g y < / K e y > < / a : K e y > < a : V a l u e   i : t y p e = " D i a g r a m D i s p l a y N o d e V i e w S t a t e " > < H e i g h t > 1 5 0 < / H e i g h t > < I s E x p a n d e d > t r u e < / I s E x p a n d e d > < W i d t h > 2 0 0 < / W i d t h > < / a : V a l u e > < / a : K e y V a l u e O f D i a g r a m O b j e c t K e y a n y T y p e z b w N T n L X > < a : K e y V a l u e O f D i a g r a m O b j e c t K e y a n y T y p e z b w N T n L X > < a : K e y > < K e y > T a b l e s \ T a b l e 1 \ C o l u m n s \ P u r p o s e < / K e y > < / a : K e y > < a : V a l u e   i : t y p e = " D i a g r a m D i s p l a y N o d e V i e w S t a t e " > < H e i g h t > 1 5 0 < / H e i g h t > < I s E x p a n d e d > t r u e < / I s E x p a n d e d > < W i d t h > 2 0 0 < / W i d t h > < / a : V a l u e > < / a : K e y V a l u e O f D i a g r a m O b j e c t K e y a n y T y p e z b w N T n L X > < a : K e y V a l u e O f D i a g r a m O b j e c t K e y a n y T y p e z b w N T n L X > < a : K e y > < K e y > T a b l e s \ T a b l e 1 \ C o l u m n s \ G - L   r e c l a s s   s t r a t e g y < / K e y > < / a : K e y > < a : V a l u e   i : t y p e = " D i a g r a m D i s p l a y N o d e V i e w S t a t e " > < H e i g h t > 1 5 0 < / H e i g h t > < I s E x p a n d e d > t r u e < / I s E x p a n d e d > < W i d t h > 2 0 0 < / W i d t h > < / a : V a l u e > < / a : K e y V a l u e O f D i a g r a m O b j e c t K e y a n y T y p e z b w N T n L X > < a : K e y V a l u e O f D i a g r a m O b j e c t K e y a n y T y p e z b w N T n L X > < a : K e y > < K e y > T a b l e s \ T a b l e 1 \ C o l u m n s \ G - L   S u b S t r a t e g y < / K e y > < / a : K e y > < a : V a l u e   i : t y p e = " D i a g r a m D i s p l a y N o d e V i e w S t a t e " > < H e i g h t > 1 5 0 < / H e i g h t > < I s E x p a n d e d > t r u e < / I s E x p a n d e d > < W i d t h > 2 0 0 < / W i d t h > < / a : V a l u e > < / a : K e y V a l u e O f D i a g r a m O b j e c t K e y a n y T y p e z b w N T n L X > < a : K e y V a l u e O f D i a g r a m O b j e c t K e y a n y T y p e z b w N T n L X > < a : K e y > < K e y > T a b l e s \ T a b l e 1 \ C o l u m n s \ L o w e r A t t a c h L a b e l < / K e y > < / a : K e y > < a : V a l u e   i : t y p e = " D i a g r a m D i s p l a y N o d e V i e w S t a t e " > < H e i g h t > 1 5 0 < / H e i g h t > < I s E x p a n d e d > t r u e < / I s E x p a n d e d > < W i d t h > 2 0 0 < / W i d t h > < / a : V a l u e > < / a : K e y V a l u e O f D i a g r a m O b j e c t K e y a n y T y p e z b w N T n L X > < a : K e y V a l u e O f D i a g r a m O b j e c t K e y a n y T y p e z b w N T n L X > < a : K e y > < K e y > T a b l e s \ T a b l e 1 \ C o l u m n s \ U p p e r A t t a c h L a b e l < / K e y > < / a : K e y > < a : V a l u e   i : t y p e = " D i a g r a m D i s p l a y N o d e V i e w S t a t e " > < H e i g h t > 1 5 0 < / H e i g h t > < I s E x p a n d e d > t r u e < / I s E x p a n d e d > < W i d t h > 2 0 0 < / W i d t h > < / a : V a l u e > < / a : K e y V a l u e O f D i a g r a m O b j e c t K e y a n y T y p e z b w N T n L X > < a : K e y V a l u e O f D i a g r a m O b j e c t K e y a n y T y p e z b w N T n L X > < a : K e y > < K e y > T a b l e s \ T a b l e 1 \ C o l u m n s \ T e r m < / K e y > < / a : K e y > < a : V a l u e   i : t y p e = " D i a g r a m D i s p l a y N o d e V i e w S t a t e " > < H e i g h t > 1 5 0 < / H e i g h t > < I s E x p a n d e d > t r u e < / I s E x p a n d e d > < W i d t h > 2 0 0 < / W i d t h > < / a : V a l u e > < / a : K e y V a l u e O f D i a g r a m O b j e c t K e y a n y T y p e z b w N T n L X > < a : K e y V a l u e O f D i a g r a m O b j e c t K e y a n y T y p e z b w N T n L X > < a : K e y > < K e y > T a b l e s \ T a b l e 1 \ C o l u m n s \ L o w e r A t t a c h < / K e y > < / a : K e y > < a : V a l u e   i : t y p e = " D i a g r a m D i s p l a y N o d e V i e w S t a t e " > < H e i g h t > 1 5 0 < / H e i g h t > < I s E x p a n d e d > t r u e < / I s E x p a n d e d > < W i d t h > 2 0 0 < / W i d t h > < / a : V a l u e > < / a : K e y V a l u e O f D i a g r a m O b j e c t K e y a n y T y p e z b w N T n L X > < a : K e y V a l u e O f D i a g r a m O b j e c t K e y a n y T y p e z b w N T n L X > < a : K e y > < K e y > T a b l e s \ T a b l e 1 \ C o l u m n s \ P r i n c i p a l   N A V < / K e y > < / a : K e y > < a : V a l u e   i : t y p e = " D i a g r a m D i s p l a y N o d e V i e w S t a t e " > < H e i g h t > 1 5 0 < / H e i g h t > < I s E x p a n d e d > t r u e < / I s E x p a n d e d > < W i d t h > 2 0 0 < / W i d t h > < / a : V a l u e > < / a : K e y V a l u e O f D i a g r a m O b j e c t K e y a n y T y p e z b w N T n L X > < a : K e y V a l u e O f D i a g r a m O b j e c t K e y a n y T y p e z b w N T n L X > < a : K e y > < K e y > T a b l e s \ T a b l e 1 \ C o l u m n s \ P r i n c i p a l   G A V < / K e y > < / a : K e y > < a : V a l u e   i : t y p e = " D i a g r a m D i s p l a y N o d e V i e w S t a t e " > < H e i g h t > 1 5 0 < / H e i g h t > < I s E x p a n d e d > t r u e < / I s E x p a n d e d > < W i d t h > 2 0 0 < / W i d t h > < / a : V a l u e > < / a : K e y V a l u e O f D i a g r a m O b j e c t K e y a n y T y p e z b w N T n L X > < a : K e y V a l u e O f D i a g r a m O b j e c t K e y a n y T y p e z b w N T n L X > < a : K e y > < K e y > T a b l e s \ T a b l e 2 < / K e y > < / a : K e y > < a : V a l u e   i : t y p e = " D i a g r a m D i s p l a y N o d e V i e w S t a t e " > < H e i g h t > 1 5 0 < / H e i g h t > < I s E x p a n d e d > t r u e < / I s E x p a n d e d > < L a y e d O u t > t r u e < / L a y e d O u t > < L e f t > 3 2 9 . 9 0 3 8 1 0 5 6 7 6 6 5 8 < / L e f t > < T a b I n d e x > 1 < / T a b I n d e x > < T o p > 1 8 5 . 1 4 5 7 0 1 5 1 6 7 7 1 4 < / T o p > < W i d t h > 2 0 0 < / W i d t h > < / a : V a l u e > < / a : K e y V a l u e O f D i a g r a m O b j e c t K e y a n y T y p e z b w N T n L X > < a : K e y V a l u e O f D i a g r a m O b j e c t K e y a n y T y p e z b w N T n L X > < a : K e y > < K e y > T a b l e s \ T a b l e 2 \ C o l u m n s \ Y e a r < / K e y > < / a : K e y > < a : V a l u e   i : t y p e = " D i a g r a m D i s p l a y N o d e V i e w S t a t e " > < H e i g h t > 1 5 0 < / H e i g h t > < I s E x p a n d e d > t r u e < / I s E x p a n d e d > < W i d t h > 2 0 0 < / W i d t h > < / a : V a l u e > < / a : K e y V a l u e O f D i a g r a m O b j e c t K e y a n y T y p e z b w N T n L X > < a : K e y V a l u e O f D i a g r a m O b j e c t K e y a n y T y p e z b w N T n L X > < a : K e y > < K e y > T a b l e s \ T a b l e 2 \ C o l u m n s \ M o n t h < / K e y > < / a : K e y > < a : V a l u e   i : t y p e = " D i a g r a m D i s p l a y N o d e V i e w S t a t e " > < H e i g h t > 1 5 0 < / H e i g h t > < I s E x p a n d e d > t r u e < / I s E x p a n d e d > < W i d t h > 2 0 0 < / W i d t h > < / a : V a l u e > < / a : K e y V a l u e O f D i a g r a m O b j e c t K e y a n y T y p e z b w N T n L X > < a : K e y V a l u e O f D i a g r a m O b j e c t K e y a n y T y p e z b w N T n L X > < a : K e y > < K e y > T a b l e s \ T a b l e 2 \ C o l u m n s \ N L o a n s < / K e y > < / a : K e y > < a : V a l u e   i : t y p e = " D i a g r a m D i s p l a y N o d e V i e w S t a t e " > < H e i g h t > 1 5 0 < / H e i g h t > < I s E x p a n d e d > t r u e < / I s E x p a n d e d > < W i d t h > 2 0 0 < / W i d t h > < / a : V a l u e > < / a : K e y V a l u e O f D i a g r a m O b j e c t K e y a n y T y p e z b w N T n L X > < a : K e y V a l u e O f D i a g r a m O b j e c t K e y a n y T y p e z b w N T n L X > < a : K e y > < K e y > T a b l e s \ T a b l e 2 \ C o l u m n s \ R e t u r n D a t e < / K e y > < / a : K e y > < a : V a l u e   i : t y p e = " D i a g r a m D i s p l a y N o d e V i e w S t a t e " > < H e i g h t > 1 5 0 < / H e i g h t > < I s E x p a n d e d > t r u e < / I s E x p a n d e d > < W i d t h > 2 0 0 < / W i d t h > < / a : V a l u e > < / a : K e y V a l u e O f D i a g r a m O b j e c t K e y a n y T y p e z b w N T n L X > < a : K e y V a l u e O f D i a g r a m O b j e c t K e y a n y T y p e z b w N T n L X > < a : K e y > < K e y > T a b l e s \ T a b l e 2 \ C o l u m n s \ L o a n I D < / K e y > < / a : K e y > < a : V a l u e   i : t y p e = " D i a g r a m D i s p l a y N o d e V i e w S t a t e " > < H e i g h t > 1 5 0 < / H e i g h t > < I s E x p a n d e d > t r u e < / I s E x p a n d e d > < W i d t h > 2 0 0 < / W i d t h > < / a : V a l u e > < / a : K e y V a l u e O f D i a g r a m O b j e c t K e y a n y T y p e z b w N T n L X > < a : K e y V a l u e O f D i a g r a m O b j e c t K e y a n y T y p e z b w N T n L X > < a : K e y > < K e y > T a b l e s \ T a b l e 2 \ C o l u m n s \ R e t u r n S t a r t V a l u e < / K e y > < / a : K e y > < a : V a l u e   i : t y p e = " D i a g r a m D i s p l a y N o d e V i e w S t a t e " > < H e i g h t > 1 5 0 < / H e i g h t > < I s E x p a n d e d > t r u e < / I s E x p a n d e d > < W i d t h > 2 0 0 < / W i d t h > < / a : V a l u e > < / a : K e y V a l u e O f D i a g r a m O b j e c t K e y a n y T y p e z b w N T n L X > < a : K e y V a l u e O f D i a g r a m O b j e c t K e y a n y T y p e z b w N T n L X > < a : K e y > < K e y > T a b l e s \ T a b l e 2 \ C o l u m n s \ R e t u r n E n d V a l u e < / K e y > < / a : K e y > < a : V a l u e   i : t y p e = " D i a g r a m D i s p l a y N o d e V i e w S t a t e " > < H e i g h t > 1 5 0 < / H e i g h t > < I s E x p a n d e d > t r u e < / I s E x p a n d e d > < W i d t h > 2 0 0 < / W i d t h > < / a : V a l u e > < / a : K e y V a l u e O f D i a g r a m O b j e c t K e y a n y T y p e z b w N T n L X > < a : K e y V a l u e O f D i a g r a m O b j e c t K e y a n y T y p e z b w N T n L X > < a : K e y > < K e y > T a b l e s \ T a b l e 2 \ C o l u m n s \ C a s h I n t e r e s t < / K e y > < / a : K e y > < a : V a l u e   i : t y p e = " D i a g r a m D i s p l a y N o d e V i e w S t a t e " > < H e i g h t > 1 5 0 < / H e i g h t > < I s E x p a n d e d > t r u e < / I s E x p a n d e d > < W i d t h > 2 0 0 < / W i d t h > < / a : V a l u e > < / a : K e y V a l u e O f D i a g r a m O b j e c t K e y a n y T y p e z b w N T n L X > < a : K e y V a l u e O f D i a g r a m O b j e c t K e y a n y T y p e z b w N T n L X > < a : K e y > < K e y > T a b l e s \ T a b l e 2 \ C o l u m n s \ A c c r I n t e r e s t < / K e y > < / a : K e y > < a : V a l u e   i : t y p e = " D i a g r a m D i s p l a y N o d e V i e w S t a t e " > < H e i g h t > 1 5 0 < / H e i g h t > < I s E x p a n d e d > t r u e < / I s E x p a n d e d > < W i d t h > 2 0 0 < / W i d t h > < / a : V a l u e > < / a : K e y V a l u e O f D i a g r a m O b j e c t K e y a n y T y p e z b w N T n L X > < a : K e y V a l u e O f D i a g r a m O b j e c t K e y a n y T y p e z b w N T n L X > < a : K e y > < K e y > T a b l e s \ T a b l e 2 \ C o l u m n s \ O t h e r I n c o m e < / K e y > < / a : K e y > < a : V a l u e   i : t y p e = " D i a g r a m D i s p l a y N o d e V i e w S t a t e " > < H e i g h t > 1 5 0 < / H e i g h t > < I s E x p a n d e d > t r u e < / I s E x p a n d e d > < W i d t h > 2 0 0 < / W i d t h > < / a : V a l u e > < / a : K e y V a l u e O f D i a g r a m O b j e c t K e y a n y T y p e z b w N T n L X > < a : K e y V a l u e O f D i a g r a m O b j e c t K e y a n y T y p e z b w N T n L X > < a : K e y > < K e y > T a b l e s \ T a b l e 2 \ C o l u m n s \ E x p e n s e s < / K e y > < / a : K e y > < a : V a l u e   i : t y p e = " D i a g r a m D i s p l a y N o d e V i e w S t a t e " > < H e i g h t > 1 5 0 < / H e i g h t > < I s E x p a n d e d > t r u e < / I s E x p a n d e d > < W i d t h > 2 0 0 < / W i d t h > < / a : V a l u e > < / a : K e y V a l u e O f D i a g r a m O b j e c t K e y a n y T y p e z b w N T n L X > < a : K e y V a l u e O f D i a g r a m O b j e c t K e y a n y T y p e z b w N T n L X > < a : K e y > < K e y > T a b l e s \ T a b l e 2 \ C o l u m n s \ P r i n c i p a l R e p a i d < / K e y > < / a : K e y > < a : V a l u e   i : t y p e = " D i a g r a m D i s p l a y N o d e V i e w S t a t e " > < H e i g h t > 1 5 0 < / H e i g h t > < I s E x p a n d e d > t r u e < / I s E x p a n d e d > < W i d t h > 2 0 0 < / W i d t h > < / a : V a l u e > < / a : K e y V a l u e O f D i a g r a m O b j e c t K e y a n y T y p e z b w N T n L X > < a : K e y V a l u e O f D i a g r a m O b j e c t K e y a n y T y p e z b w N T n L X > < a : K e y > < K e y > T a b l e s \ T a b l e 2 \ C o l u m n s \ S t a r t V a l u e < / K e y > < / a : K e y > < a : V a l u e   i : t y p e = " D i a g r a m D i s p l a y N o d e V i e w S t a t e " > < H e i g h t > 1 5 0 < / H e i g h t > < I s E x p a n d e d > t r u e < / I s E x p a n d e d > < W i d t h > 2 0 0 < / W i d t h > < / a : V a l u e > < / a : K e y V a l u e O f D i a g r a m O b j e c t K e y a n y T y p e z b w N T n L X > < a : K e y V a l u e O f D i a g r a m O b j e c t K e y a n y T y p e z b w N T n L X > < a : K e y > < K e y > T a b l e s \ T a b l e 2 \ C o l u m n s \ E n d V a l u e < / K e y > < / a : K e y > < a : V a l u e   i : t y p e = " D i a g r a m D i s p l a y N o d e V i e w S t a t e " > < H e i g h t > 1 5 0 < / H e i g h t > < I s E x p a n d e d > t r u e < / I s E x p a n d e d > < W i d t h > 2 0 0 < / W i d t h > < / a : V a l u e > < / a : K e y V a l u e O f D i a g r a m O b j e c t K e y a n y T y p e z b w N T n L X > < a : K e y V a l u e O f D i a g r a m O b j e c t K e y a n y T y p e z b w N T n L X > < a : K e y > < K e y > T a b l e s \ T a b l e 2 \ C o l u m n s \ S t a r t P r i n c i p a l < / K e y > < / a : K e y > < a : V a l u e   i : t y p e = " D i a g r a m D i s p l a y N o d e V i e w S t a t e " > < H e i g h t > 1 5 0 < / H e i g h t > < I s E x p a n d e d > t r u e < / I s E x p a n d e d > < W i d t h > 2 0 0 < / W i d t h > < / a : V a l u e > < / a : K e y V a l u e O f D i a g r a m O b j e c t K e y a n y T y p e z b w N T n L X > < a : K e y V a l u e O f D i a g r a m O b j e c t K e y a n y T y p e z b w N T n L X > < a : K e y > < K e y > T a b l e s \ T a b l e 2 \ C o l u m n s \ E n d P r i n c i p a l < / K e y > < / a : K e y > < a : V a l u e   i : t y p e = " D i a g r a m D i s p l a y N o d e V i e w S t a t e " > < H e i g h t > 1 5 0 < / H e i g h t > < I s E x p a n d e d > t r u e < / I s E x p a n d e d > < W i d t h > 2 0 0 < / W i d t h > < / a : V a l u e > < / a : K e y V a l u e O f D i a g r a m O b j e c t K e y a n y T y p e z b w N T n L X > < a : K e y V a l u e O f D i a g r a m O b j e c t K e y a n y T y p e z b w N T n L X > < a : K e y > < K e y > T a b l e s \ T a b l e 2 \ C o l u m n s \ F l a t R e t u r n < / K e y > < / a : K e y > < a : V a l u e   i : t y p e = " D i a g r a m D i s p l a y N o d e V i e w S t a t e " > < H e i g h t > 1 5 0 < / H e i g h t > < I s E x p a n d e d > t r u e < / I s E x p a n d e d > < W i d t h > 2 0 0 < / W i d t h > < / a : V a l u e > < / a : K e y V a l u e O f D i a g r a m O b j e c t K e y a n y T y p e z b w N T n L X > < a : K e y V a l u e O f D i a g r a m O b j e c t K e y a n y T y p e z b w N T n L X > < a : K e y > < K e y > T a b l e s \ T a b l e 2 \ M e a s u r e s \ S u m   o f   R e t u r n D a t e < / K e y > < / a : K e y > < a : V a l u e   i : t y p e = " D i a g r a m D i s p l a y N o d e V i e w S t a t e " > < H e i g h t > 1 5 0 < / H e i g h t > < I s E x p a n d e d > t r u e < / I s E x p a n d e d > < W i d t h > 2 0 0 < / W i d t h > < / a : V a l u e > < / a : K e y V a l u e O f D i a g r a m O b j e c t K e y a n y T y p e z b w N T n L X > < a : K e y V a l u e O f D i a g r a m O b j e c t K e y a n y T y p e z b w N T n L X > < a : K e y > < K e y > T a b l e s \ T a b l e 2 \ S u m   o f   R e t u r n D a t e \ A d d i t i o n a l   I n f o \ I m p l i c i t   M e a s u r e < / K e y > < / a : K e y > < a : V a l u e   i : t y p e = " D i a g r a m D i s p l a y V i e w S t a t e I D i a g r a m T a g A d d i t i o n a l I n f o " / > < / a : K e y V a l u e O f D i a g r a m O b j e c t K e y a n y T y p e z b w N T n L X > < a : K e y V a l u e O f D i a g r a m O b j e c t K e y a n y T y p e z b w N T n L X > < a : K e y > < K e y > T a b l e s \ T a b l e 2 \ M e a s u r e s \ S u m   o f   R e t u r n S t a r t V a l u e < / K e y > < / a : K e y > < a : V a l u e   i : t y p e = " D i a g r a m D i s p l a y N o d e V i e w S t a t e " > < H e i g h t > 1 5 0 < / H e i g h t > < I s E x p a n d e d > t r u e < / I s E x p a n d e d > < W i d t h > 2 0 0 < / W i d t h > < / a : V a l u e > < / a : K e y V a l u e O f D i a g r a m O b j e c t K e y a n y T y p e z b w N T n L X > < a : K e y V a l u e O f D i a g r a m O b j e c t K e y a n y T y p e z b w N T n L X > < a : K e y > < K e y > T a b l e s \ T a b l e 2 \ S u m   o f   R e t u r n S t a r t V a l u e \ A d d i t i o n a l   I n f o \ I m p l i c i t   M e a s u r e < / K e y > < / a : K e y > < a : V a l u e   i : t y p e = " D i a g r a m D i s p l a y V i e w S t a t e I D i a g r a m T a g A d d i t i o n a l I n f o " / > < / a : K e y V a l u e O f D i a g r a m O b j e c t K e y a n y T y p e z b w N T n L X > < a : K e y V a l u e O f D i a g r a m O b j e c t K e y a n y T y p e z b w N T n L X > < a : K e y > < K e y > T a b l e s \ T a b l e 2 \ M e a s u r e s \ C o u n t   o f   F l a t R e t u r n < / K e y > < / a : K e y > < a : V a l u e   i : t y p e = " D i a g r a m D i s p l a y N o d e V i e w S t a t e " > < H e i g h t > 1 5 0 < / H e i g h t > < I s E x p a n d e d > t r u e < / I s E x p a n d e d > < W i d t h > 2 0 0 < / W i d t h > < / a : V a l u e > < / a : K e y V a l u e O f D i a g r a m O b j e c t K e y a n y T y p e z b w N T n L X > < a : K e y V a l u e O f D i a g r a m O b j e c t K e y a n y T y p e z b w N T n L X > < a : K e y > < K e y > T a b l e s \ T a b l e 2 \ C o u n t   o f   F l a t R e t u r n \ A d d i t i o n a l   I n f o \ I m p l i c i t   M e a s u r e < / K e y > < / a : K e y > < a : V a l u e   i : t y p e = " D i a g r a m D i s p l a y V i e w S t a t e I D i a g r a m T a g A d d i t i o n a l I n f o " / > < / a : K e y V a l u e O f D i a g r a m O b j e c t K e y a n y T y p e z b w N T n L X > < a : K e y V a l u e O f D i a g r a m O b j e c t K e y a n y T y p e z b w N T n L X > < a : K e y > < K e y > T a b l e s \ T a b l e 2 \ M e a s u r e s \ S u m   o f   R e t u r n E n d V a l u e < / K e y > < / a : K e y > < a : V a l u e   i : t y p e = " D i a g r a m D i s p l a y N o d e V i e w S t a t e " > < H e i g h t > 1 5 0 < / H e i g h t > < I s E x p a n d e d > t r u e < / I s E x p a n d e d > < W i d t h > 2 0 0 < / W i d t h > < / a : V a l u e > < / a : K e y V a l u e O f D i a g r a m O b j e c t K e y a n y T y p e z b w N T n L X > < a : K e y V a l u e O f D i a g r a m O b j e c t K e y a n y T y p e z b w N T n L X > < a : K e y > < K e y > T a b l e s \ T a b l e 2 \ S u m   o f   R e t u r n E n d V a l u e \ A d d i t i o n a l   I n f o \ I m p l i c i t   M e a s u r e < / K e y > < / a : K e y > < a : V a l u e   i : t y p e = " D i a g r a m D i s p l a y V i e w S t a t e I D i a g r a m T a g A d d i t i o n a l I n f o " / > < / a : K e y V a l u e O f D i a g r a m O b j e c t K e y a n y T y p e z b w N T n L X > < a : K e y V a l u e O f D i a g r a m O b j e c t K e y a n y T y p e z b w N T n L X > < a : K e y > < K e y > T a b l e s \ T a b l e 2 \ M e a s u r e s \ S u m   o f   C a s h I n t e r e s t < / K e y > < / a : K e y > < a : V a l u e   i : t y p e = " D i a g r a m D i s p l a y N o d e V i e w S t a t e " > < H e i g h t > 1 5 0 < / H e i g h t > < I s E x p a n d e d > t r u e < / I s E x p a n d e d > < W i d t h > 2 0 0 < / W i d t h > < / a : V a l u e > < / a : K e y V a l u e O f D i a g r a m O b j e c t K e y a n y T y p e z b w N T n L X > < a : K e y V a l u e O f D i a g r a m O b j e c t K e y a n y T y p e z b w N T n L X > < a : K e y > < K e y > T a b l e s \ T a b l e 2 \ S u m   o f   C a s h I n t e r e s t \ A d d i t i o n a l   I n f o \ I m p l i c i t   M e a s u r e < / K e y > < / a : K e y > < a : V a l u e   i : t y p e = " D i a g r a m D i s p l a y V i e w S t a t e I D i a g r a m T a g A d d i t i o n a l I n f o " / > < / a : K e y V a l u e O f D i a g r a m O b j e c t K e y a n y T y p e z b w N T n L X > < a : K e y V a l u e O f D i a g r a m O b j e c t K e y a n y T y p e z b w N T n L X > < a : K e y > < K e y > T a b l e s \ T a b l e 2 \ M e a s u r e s \ S u m   o f   A c c r I n t e r e s t < / K e y > < / a : K e y > < a : V a l u e   i : t y p e = " D i a g r a m D i s p l a y N o d e V i e w S t a t e " > < H e i g h t > 1 5 0 < / H e i g h t > < I s E x p a n d e d > t r u e < / I s E x p a n d e d > < W i d t h > 2 0 0 < / W i d t h > < / a : V a l u e > < / a : K e y V a l u e O f D i a g r a m O b j e c t K e y a n y T y p e z b w N T n L X > < a : K e y V a l u e O f D i a g r a m O b j e c t K e y a n y T y p e z b w N T n L X > < a : K e y > < K e y > T a b l e s \ T a b l e 2 \ S u m   o f   A c c r I n t e r e s t \ A d d i t i o n a l   I n f o \ I m p l i c i t   M e a s u r e < / K e y > < / a : K e y > < a : V a l u e   i : t y p e = " D i a g r a m D i s p l a y V i e w S t a t e I D i a g r a m T a g A d d i t i o n a l I n f o " / > < / a : K e y V a l u e O f D i a g r a m O b j e c t K e y a n y T y p e z b w N T n L X > < a : K e y V a l u e O f D i a g r a m O b j e c t K e y a n y T y p e z b w N T n L X > < a : K e y > < K e y > T a b l e s \ T a b l e 2 \ M e a s u r e s \ S u m   o f   O t h e r I n c o m e < / K e y > < / a : K e y > < a : V a l u e   i : t y p e = " D i a g r a m D i s p l a y N o d e V i e w S t a t e " > < H e i g h t > 1 5 0 < / H e i g h t > < I s E x p a n d e d > t r u e < / I s E x p a n d e d > < W i d t h > 2 0 0 < / W i d t h > < / a : V a l u e > < / a : K e y V a l u e O f D i a g r a m O b j e c t K e y a n y T y p e z b w N T n L X > < a : K e y V a l u e O f D i a g r a m O b j e c t K e y a n y T y p e z b w N T n L X > < a : K e y > < K e y > T a b l e s \ T a b l e 2 \ S u m   o f   O t h e r I n c o m e \ A d d i t i o n a l   I n f o \ I m p l i c i t   M e a s u r e < / K e y > < / a : K e y > < a : V a l u e   i : t y p e = " D i a g r a m D i s p l a y V i e w S t a t e I D i a g r a m T a g A d d i t i o n a l I n f o " / > < / a : K e y V a l u e O f D i a g r a m O b j e c t K e y a n y T y p e z b w N T n L X > < a : K e y V a l u e O f D i a g r a m O b j e c t K e y a n y T y p e z b w N T n L X > < a : K e y > < K e y > T a b l e s \ T a b l e 2 \ M e a s u r e s \ S u m   o f   E x p e n s e s < / K e y > < / a : K e y > < a : V a l u e   i : t y p e = " D i a g r a m D i s p l a y N o d e V i e w S t a t e " > < H e i g h t > 1 5 0 < / H e i g h t > < I s E x p a n d e d > t r u e < / I s E x p a n d e d > < W i d t h > 2 0 0 < / W i d t h > < / a : V a l u e > < / a : K e y V a l u e O f D i a g r a m O b j e c t K e y a n y T y p e z b w N T n L X > < a : K e y V a l u e O f D i a g r a m O b j e c t K e y a n y T y p e z b w N T n L X > < a : K e y > < K e y > T a b l e s \ T a b l e 2 \ S u m   o f   E x p e n s e s \ A d d i t i o n a l   I n f o \ I m p l i c i t   M e a s u r e < / K e y > < / a : K e y > < a : V a l u e   i : t y p e = " D i a g r a m D i s p l a y V i e w S t a t e I D i a g r a m T a g A d d i t i o n a l I n f o " / > < / a : K e y V a l u e O f D i a g r a m O b j e c t K e y a n y T y p e z b w N T n L X > < a : K e y V a l u e O f D i a g r a m O b j e c t K e y a n y T y p e z b w N T n L X > < a : K e y > < K e y > T a b l e s \ T a b l e 2 \ M e a s u r e s \ S u m   o f   P r i n c i p a l R e p a i d < / K e y > < / a : K e y > < a : V a l u e   i : t y p e = " D i a g r a m D i s p l a y N o d e V i e w S t a t e " > < H e i g h t > 1 5 0 < / H e i g h t > < I s E x p a n d e d > t r u e < / I s E x p a n d e d > < W i d t h > 2 0 0 < / W i d t h > < / a : V a l u e > < / a : K e y V a l u e O f D i a g r a m O b j e c t K e y a n y T y p e z b w N T n L X > < a : K e y V a l u e O f D i a g r a m O b j e c t K e y a n y T y p e z b w N T n L X > < a : K e y > < K e y > T a b l e s \ T a b l e 2 \ S u m   o f   P r i n c i p a l R e p a i d \ A d d i t i o n a l   I n f o \ I m p l i c i t   M e a s u r e < / K e y > < / a : K e y > < a : V a l u e   i : t y p e = " D i a g r a m D i s p l a y V i e w S t a t e I D i a g r a m T a g A d d i t i o n a l I n f o " / > < / a : K e y V a l u e O f D i a g r a m O b j e c t K e y a n y T y p e z b w N T n L X > < a : K e y V a l u e O f D i a g r a m O b j e c t K e y a n y T y p e z b w N T n L X > < a : K e y > < K e y > R e l a t i o n s h i p s \ & l t ; T a b l e s \ T a b l e 2 \ C o l u m n s \ L o a n I D & g t ; - & l t ; T a b l e s \ T a b l e 1 \ C o l u m n s \ G - L   I D & g t ; < / K e y > < / a : K e y > < a : V a l u e   i : t y p e = " D i a g r a m D i s p l a y L i n k V i e w S t a t e " > < A u t o m a t i o n P r o p e r t y H e l p e r T e x t > E n d   p o i n t   1 :   ( 3 1 3 . 9 0 3 8 1 0 5 6 7 6 6 6 , 2 6 0 . 1 4 5 7 0 2 ) .   E n d   p o i n t   2 :   ( 2 1 6 , 7 5 )   < / A u t o m a t i o n P r o p e r t y H e l p e r T e x t > < L a y e d O u t > t r u e < / L a y e d O u t > < P o i n t s   x m l n s : b = " h t t p : / / s c h e m a s . d a t a c o n t r a c t . o r g / 2 0 0 4 / 0 7 / S y s t e m . W i n d o w s " > < b : P o i n t > < b : _ x > 3 1 3 . 9 0 3 8 1 0 5 6 7 6 6 5 8 < / b : _ x > < b : _ y > 2 6 0 . 1 4 5 7 0 2 < / b : _ y > < / b : P o i n t > < b : P o i n t > < b : _ x > 2 6 6 . 9 5 1 9 0 5 1 1 8 6 5 4 7 4 < / b : _ x > < b : _ y > 2 6 0 . 1 4 5 7 0 2 < / b : _ y > < / b : P o i n t > < b : P o i n t > < b : _ x > 2 6 4 . 9 5 1 9 0 5 1 1 8 6 5 4 7 4 < / b : _ x > < b : _ y > 2 5 8 . 1 4 5 7 0 2 < / b : _ y > < / b : P o i n t > < b : P o i n t > < b : _ x > 2 6 4 . 9 5 1 9 0 5 1 1 8 6 5 4 7 4 < / b : _ x > < b : _ y > 7 7 < / b : _ y > < / b : P o i n t > < b : P o i n t > < b : _ x > 2 6 2 . 9 5 1 9 0 5 1 1 8 6 5 4 7 4 < / b : _ x > < b : _ y > 7 5 < / b : _ y > < / b : P o i n t > < b : P o i n t > < b : _ x > 2 1 5 . 9 9 9 9 9 9 9 9 9 9 9 9 9 4 < / b : _ x > < b : _ y > 7 5 < / b : _ y > < / b : P o i n t > < / P o i n t s > < / a : V a l u e > < / a : K e y V a l u e O f D i a g r a m O b j e c t K e y a n y T y p e z b w N T n L X > < a : K e y V a l u e O f D i a g r a m O b j e c t K e y a n y T y p e z b w N T n L X > < a : K e y > < K e y > R e l a t i o n s h i p s \ & l t ; T a b l e s \ T a b l e 2 \ C o l u m n s \ L o a n I D & g t ; - & l t ; T a b l e s \ T a b l e 1 \ C o l u m n s \ G - L   I D & g t ; \ F K < / K e y > < / a : K e y > < a : V a l u e   i : t y p e = " D i a g r a m D i s p l a y L i n k E n d p o i n t V i e w S t a t e " > < H e i g h t > 1 6 < / H e i g h t > < L a b e l L o c a t i o n   x m l n s : b = " h t t p : / / s c h e m a s . d a t a c o n t r a c t . o r g / 2 0 0 4 / 0 7 / S y s t e m . W i n d o w s " > < b : _ x > 3 1 3 . 9 0 3 8 1 0 5 6 7 6 6 5 8 < / b : _ x > < b : _ y > 2 5 2 . 1 4 5 7 0 2 0 0 0 0 0 0 0 3 < / b : _ y > < / L a b e l L o c a t i o n > < L o c a t i o n   x m l n s : b = " h t t p : / / s c h e m a s . d a t a c o n t r a c t . o r g / 2 0 0 4 / 0 7 / S y s t e m . W i n d o w s " > < b : _ x > 3 2 9 . 9 0 3 8 1 0 5 6 7 6 6 5 8 < / b : _ x > < b : _ y > 2 6 0 . 1 4 5 7 0 2 < / b : _ y > < / L o c a t i o n > < S h a p e R o t a t e A n g l e > 1 8 0 < / S h a p e R o t a t e A n g l e > < W i d t h > 1 6 < / W i d t h > < / a : V a l u e > < / a : K e y V a l u e O f D i a g r a m O b j e c t K e y a n y T y p e z b w N T n L X > < a : K e y V a l u e O f D i a g r a m O b j e c t K e y a n y T y p e z b w N T n L X > < a : K e y > < K e y > R e l a t i o n s h i p s \ & l t ; T a b l e s \ T a b l e 2 \ C o l u m n s \ L o a n I D & g t ; - & l t ; T a b l e s \ T a b l e 1 \ C o l u m n s \ G - L   I D & g t ; \ P K < / K e y > < / a : K e y > < a : V a l u e   i : t y p e = " D i a g r a m D i s p l a y L i n k E n d p o i n t V i e w S t a t e " > < H e i g h t > 1 6 < / H e i g h t > < L a b e l L o c a t i o n   x m l n s : b = " h t t p : / / s c h e m a s . d a t a c o n t r a c t . o r g / 2 0 0 4 / 0 7 / S y s t e m . W i n d o w s " > < b : _ x > 1 9 9 . 9 9 9 9 9 9 9 9 9 9 9 9 9 4 < / b : _ x > < b : _ y > 6 7 < / b : _ y > < / L a b e l L o c a t i o n > < L o c a t i o n   x m l n s : b = " h t t p : / / s c h e m a s . d a t a c o n t r a c t . o r g / 2 0 0 4 / 0 7 / S y s t e m . W i n d o w s " > < b : _ x > 1 9 9 . 9 9 9 9 9 9 9 9 9 9 9 9 9 4 < / b : _ x > < b : _ y > 7 5 < / b : _ y > < / L o c a t i o n > < S h a p e R o t a t e A n g l e > 3 6 0 < / S h a p e R o t a t e A n g l e > < W i d t h > 1 6 < / W i d t h > < / a : V a l u e > < / a : K e y V a l u e O f D i a g r a m O b j e c t K e y a n y T y p e z b w N T n L X > < a : K e y V a l u e O f D i a g r a m O b j e c t K e y a n y T y p e z b w N T n L X > < a : K e y > < K e y > R e l a t i o n s h i p s \ & l t ; T a b l e s \ T a b l e 2 \ C o l u m n s \ L o a n I D & g t ; - & l t ; T a b l e s \ T a b l e 1 \ C o l u m n s \ G - L   I D & g t ; \ C r o s s F i l t e r < / K e y > < / a : K e y > < a : V a l u e   i : t y p e = " D i a g r a m D i s p l a y L i n k C r o s s F i l t e r V i e w S t a t e " > < P o i n t s   x m l n s : b = " h t t p : / / s c h e m a s . d a t a c o n t r a c t . o r g / 2 0 0 4 / 0 7 / S y s t e m . W i n d o w s " > < b : P o i n t > < b : _ x > 3 1 3 . 9 0 3 8 1 0 5 6 7 6 6 5 8 < / b : _ x > < b : _ y > 2 6 0 . 1 4 5 7 0 2 < / b : _ y > < / b : P o i n t > < b : P o i n t > < b : _ x > 2 6 6 . 9 5 1 9 0 5 1 1 8 6 5 4 7 4 < / b : _ x > < b : _ y > 2 6 0 . 1 4 5 7 0 2 < / b : _ y > < / b : P o i n t > < b : P o i n t > < b : _ x > 2 6 4 . 9 5 1 9 0 5 1 1 8 6 5 4 7 4 < / b : _ x > < b : _ y > 2 5 8 . 1 4 5 7 0 2 < / b : _ y > < / b : P o i n t > < b : P o i n t > < b : _ x > 2 6 4 . 9 5 1 9 0 5 1 1 8 6 5 4 7 4 < / b : _ x > < b : _ y > 7 7 < / b : _ y > < / b : P o i n t > < b : P o i n t > < b : _ x > 2 6 2 . 9 5 1 9 0 5 1 1 8 6 5 4 7 4 < / b : _ x > < b : _ y > 7 5 < / b : _ y > < / b : P o i n t > < b : P o i n t > < b : _ x > 2 1 5 . 9 9 9 9 9 9 9 9 9 9 9 9 9 4 < / b : _ x > < b : _ y > 7 5 < / b : _ y > < / b : P o i n t > < / P o i n t s > < / a : V a l u e > < / a : K e y V a l u e O f D i a g r a m O b j e c t K e y a n y T y p e z b w N T n L X > < a : K e y V a l u e O f D i a g r a m O b j e c t K e y a n y T y p e z b w N T n L X > < a : K e y > < K e y > T a b l e s \ T a b l e 1 \ C o l u m n s \ L o a n   T y p e   a s   r e p o r t e d < / K e y > < / a : K e y > < a : V a l u e   i : t y p e = " D i a g r a m D i s p l a y N o d e V i e w S t a t e " > < H e i g h t > 1 5 0 < / H e i g h t > < I s E x p a n d e d > t r u e < / I s E x p a n d e d > < W i d t h > 2 0 0 < / W i d t h > < / a : V a l u e > < / a : K e y V a l u e O f D i a g r a m O b j e c t K e y a n y T y p e z b w N T n L X > < / V i e w S t a t e s > < / D i a g r a m M a n a g e r . S e r i a l i z a b l e D i a g r a m > < D i a g r a m M a n a g e r . S e r i a l i z a b l e D i a g r a m > < A d a p t e r   i : t y p e = " M e a s u r e D i a g r a m S a n d b o x A d a p t e r " > < T a b l e N a m e > T a b l e 2 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 R e t u r n D a t e < / K e y > < / D i a g r a m O b j e c t K e y > < D i a g r a m O b j e c t K e y > < K e y > M e a s u r e s \ S u m   o f   R e t u r n D a t e \ T a g I n f o \ F o r m u l a < / K e y > < / D i a g r a m O b j e c t K e y > < D i a g r a m O b j e c t K e y > < K e y > M e a s u r e s \ S u m   o f   R e t u r n D a t e \ T a g I n f o \ V a l u e < / K e y > < / D i a g r a m O b j e c t K e y > < D i a g r a m O b j e c t K e y > < K e y > M e a s u r e s \ S u m   o f   R e t u r n S t a r t V a l u e < / K e y > < / D i a g r a m O b j e c t K e y > < D i a g r a m O b j e c t K e y > < K e y > M e a s u r e s \ S u m   o f   R e t u r n S t a r t V a l u e \ T a g I n f o \ F o r m u l a < / K e y > < / D i a g r a m O b j e c t K e y > < D i a g r a m O b j e c t K e y > < K e y > M e a s u r e s \ S u m   o f   R e t u r n S t a r t V a l u e \ T a g I n f o \ V a l u e < / K e y > < / D i a g r a m O b j e c t K e y > < D i a g r a m O b j e c t K e y > < K e y > M e a s u r e s \ S u m   o f   R e t u r n E n d V a l u e < / K e y > < / D i a g r a m O b j e c t K e y > < D i a g r a m O b j e c t K e y > < K e y > M e a s u r e s \ S u m   o f   R e t u r n E n d V a l u e \ T a g I n f o \ F o r m u l a < / K e y > < / D i a g r a m O b j e c t K e y > < D i a g r a m O b j e c t K e y > < K e y > M e a s u r e s \ S u m   o f   R e t u r n E n d V a l u e \ T a g I n f o \ V a l u e < / K e y > < / D i a g r a m O b j e c t K e y > < D i a g r a m O b j e c t K e y > < K e y > M e a s u r e s \ S u m   o f   C a s h I n t e r e s t < / K e y > < / D i a g r a m O b j e c t K e y > < D i a g r a m O b j e c t K e y > < K e y > M e a s u r e s \ S u m   o f   C a s h I n t e r e s t \ T a g I n f o \ F o r m u l a < / K e y > < / D i a g r a m O b j e c t K e y > < D i a g r a m O b j e c t K e y > < K e y > M e a s u r e s \ S u m   o f   C a s h I n t e r e s t \ T a g I n f o \ V a l u e < / K e y > < / D i a g r a m O b j e c t K e y > < D i a g r a m O b j e c t K e y > < K e y > M e a s u r e s \ S u m   o f   A c c r I n t e r e s t < / K e y > < / D i a g r a m O b j e c t K e y > < D i a g r a m O b j e c t K e y > < K e y > M e a s u r e s \ S u m   o f   A c c r I n t e r e s t \ T a g I n f o \ F o r m u l a < / K e y > < / D i a g r a m O b j e c t K e y > < D i a g r a m O b j e c t K e y > < K e y > M e a s u r e s \ S u m   o f   A c c r I n t e r e s t \ T a g I n f o \ V a l u e < / K e y > < / D i a g r a m O b j e c t K e y > < D i a g r a m O b j e c t K e y > < K e y > M e a s u r e s \ S u m   o f   O t h e r I n c o m e < / K e y > < / D i a g r a m O b j e c t K e y > < D i a g r a m O b j e c t K e y > < K e y > M e a s u r e s \ S u m   o f   O t h e r I n c o m e \ T a g I n f o \ F o r m u l a < / K e y > < / D i a g r a m O b j e c t K e y > < D i a g r a m O b j e c t K e y > < K e y > M e a s u r e s \ S u m   o f   O t h e r I n c o m e \ T a g I n f o \ V a l u e < / K e y > < / D i a g r a m O b j e c t K e y > < D i a g r a m O b j e c t K e y > < K e y > M e a s u r e s \ S u m   o f   E x p e n s e s < / K e y > < / D i a g r a m O b j e c t K e y > < D i a g r a m O b j e c t K e y > < K e y > M e a s u r e s \ S u m   o f   E x p e n s e s \ T a g I n f o \ F o r m u l a < / K e y > < / D i a g r a m O b j e c t K e y > < D i a g r a m O b j e c t K e y > < K e y > M e a s u r e s \ S u m   o f   E x p e n s e s \ T a g I n f o \ V a l u e < / K e y > < / D i a g r a m O b j e c t K e y > < D i a g r a m O b j e c t K e y > < K e y > M e a s u r e s \ S u m   o f   P r i n c i p a l R e p a i d < / K e y > < / D i a g r a m O b j e c t K e y > < D i a g r a m O b j e c t K e y > < K e y > M e a s u r e s \ S u m   o f   P r i n c i p a l R e p a i d \ T a g I n f o \ F o r m u l a < / K e y > < / D i a g r a m O b j e c t K e y > < D i a g r a m O b j e c t K e y > < K e y > M e a s u r e s \ S u m   o f   P r i n c i p a l R e p a i d \ T a g I n f o \ V a l u e < / K e y > < / D i a g r a m O b j e c t K e y > < D i a g r a m O b j e c t K e y > < K e y > M e a s u r e s \ S u m   o f   S t a r t V a l u e < / K e y > < / D i a g r a m O b j e c t K e y > < D i a g r a m O b j e c t K e y > < K e y > M e a s u r e s \ S u m   o f   S t a r t V a l u e \ T a g I n f o \ F o r m u l a < / K e y > < / D i a g r a m O b j e c t K e y > < D i a g r a m O b j e c t K e y > < K e y > M e a s u r e s \ S u m   o f   S t a r t V a l u e \ T a g I n f o \ V a l u e < / K e y > < / D i a g r a m O b j e c t K e y > < D i a g r a m O b j e c t K e y > < K e y > M e a s u r e s \ S u m   o f   E n d V a l u e < / K e y > < / D i a g r a m O b j e c t K e y > < D i a g r a m O b j e c t K e y > < K e y > M e a s u r e s \ S u m   o f   E n d V a l u e \ T a g I n f o \ F o r m u l a < / K e y > < / D i a g r a m O b j e c t K e y > < D i a g r a m O b j e c t K e y > < K e y > M e a s u r e s \ S u m   o f   E n d V a l u e \ T a g I n f o \ V a l u e < / K e y > < / D i a g r a m O b j e c t K e y > < D i a g r a m O b j e c t K e y > < K e y > M e a s u r e s \ S u m   o f   S t a r t P r i n c i p a l < / K e y > < / D i a g r a m O b j e c t K e y > < D i a g r a m O b j e c t K e y > < K e y > M e a s u r e s \ S u m   o f   S t a r t P r i n c i p a l \ T a g I n f o \ F o r m u l a < / K e y > < / D i a g r a m O b j e c t K e y > < D i a g r a m O b j e c t K e y > < K e y > M e a s u r e s \ S u m   o f   S t a r t P r i n c i p a l \ T a g I n f o \ V a l u e < / K e y > < / D i a g r a m O b j e c t K e y > < D i a g r a m O b j e c t K e y > < K e y > M e a s u r e s \ S u m   o f   E n d P r i n c i p a l < / K e y > < / D i a g r a m O b j e c t K e y > < D i a g r a m O b j e c t K e y > < K e y > M e a s u r e s \ S u m   o f   E n d P r i n c i p a l \ T a g I n f o \ F o r m u l a < / K e y > < / D i a g r a m O b j e c t K e y > < D i a g r a m O b j e c t K e y > < K e y > M e a s u r e s \ S u m   o f   E n d P r i n c i p a l \ T a g I n f o \ V a l u e < / K e y > < / D i a g r a m O b j e c t K e y > < D i a g r a m O b j e c t K e y > < K e y > M e a s u r e s \ S u m   o f   S t a r t N A V < / K e y > < / D i a g r a m O b j e c t K e y > < D i a g r a m O b j e c t K e y > < K e y > M e a s u r e s \ S u m   o f   S t a r t N A V \ T a g I n f o \ F o r m u l a < / K e y > < / D i a g r a m O b j e c t K e y > < D i a g r a m O b j e c t K e y > < K e y > M e a s u r e s \ S u m   o f   S t a r t N A V \ T a g I n f o \ V a l u e < / K e y > < / D i a g r a m O b j e c t K e y > < D i a g r a m O b j e c t K e y > < K e y > M e a s u r e s \ S u m   o f   E n d N A V < / K e y > < / D i a g r a m O b j e c t K e y > < D i a g r a m O b j e c t K e y > < K e y > M e a s u r e s \ S u m   o f   E n d N A V \ T a g I n f o \ F o r m u l a < / K e y > < / D i a g r a m O b j e c t K e y > < D i a g r a m O b j e c t K e y > < K e y > M e a s u r e s \ S u m   o f   E n d N A V \ T a g I n f o \ V a l u e < / K e y > < / D i a g r a m O b j e c t K e y > < D i a g r a m O b j e c t K e y > < K e y > M e a s u r e s \ S u m   o f   P r i n c i p a l F u n d e d < / K e y > < / D i a g r a m O b j e c t K e y > < D i a g r a m O b j e c t K e y > < K e y > M e a s u r e s \ S u m   o f   P r i n c i p a l F u n d e d \ T a g I n f o \ F o r m u l a < / K e y > < / D i a g r a m O b j e c t K e y > < D i a g r a m O b j e c t K e y > < K e y > M e a s u r e s \ S u m   o f   P r i n c i p a l F u n d e d \ T a g I n f o \ V a l u e < / K e y > < / D i a g r a m O b j e c t K e y > < D i a g r a m O b j e c t K e y > < K e y > M e a s u r e s \ S u m   o f   L o a n I D < / K e y > < / D i a g r a m O b j e c t K e y > < D i a g r a m O b j e c t K e y > < K e y > M e a s u r e s \ S u m   o f   L o a n I D \ T a g I n f o \ F o r m u l a < / K e y > < / D i a g r a m O b j e c t K e y > < D i a g r a m O b j e c t K e y > < K e y > M e a s u r e s \ S u m   o f   L o a n I D \ T a g I n f o \ V a l u e < / K e y > < / D i a g r a m O b j e c t K e y > < D i a g r a m O b j e c t K e y > < K e y > M e a s u r e s \ D i s t i n c t   C o u n t   o f   L o a n I D < / K e y > < / D i a g r a m O b j e c t K e y > < D i a g r a m O b j e c t K e y > < K e y > M e a s u r e s \ D i s t i n c t   C o u n t   o f   L o a n I D \ T a g I n f o \ F o r m u l a < / K e y > < / D i a g r a m O b j e c t K e y > < D i a g r a m O b j e c t K e y > < K e y > M e a s u r e s \ D i s t i n c t   C o u n t   o f   L o a n I D \ T a g I n f o \ V a l u e < / K e y > < / D i a g r a m O b j e c t K e y > < D i a g r a m O b j e c t K e y > < K e y > M e a s u r e s \ S u m   o f   M a n a g e r C o d e   2 < / K e y > < / D i a g r a m O b j e c t K e y > < D i a g r a m O b j e c t K e y > < K e y > M e a s u r e s \ S u m   o f   M a n a g e r C o d e   2 \ T a g I n f o \ F o r m u l a < / K e y > < / D i a g r a m O b j e c t K e y > < D i a g r a m O b j e c t K e y > < K e y > M e a s u r e s \ S u m   o f   M a n a g e r C o d e   2 \ T a g I n f o \ V a l u e < / K e y > < / D i a g r a m O b j e c t K e y > < D i a g r a m O b j e c t K e y > < K e y > M e a s u r e s \ D i s t i n c t   C o u n t   o f   M a n a g e r C o d e   2 < / K e y > < / D i a g r a m O b j e c t K e y > < D i a g r a m O b j e c t K e y > < K e y > M e a s u r e s \ D i s t i n c t   C o u n t   o f   M a n a g e r C o d e   2 \ T a g I n f o \ F o r m u l a < / K e y > < / D i a g r a m O b j e c t K e y > < D i a g r a m O b j e c t K e y > < K e y > M e a s u r e s \ D i s t i n c t   C o u n t   o f   M a n a g e r C o d e   2 \ T a g I n f o \ V a l u e < / K e y > < / D i a g r a m O b j e c t K e y > < D i a g r a m O b j e c t K e y > < K e y > C o l u m n s \ Y e a r < / K e y > < / D i a g r a m O b j e c t K e y > < D i a g r a m O b j e c t K e y > < K e y > C o l u m n s \ M o n t h < / K e y > < / D i a g r a m O b j e c t K e y > < D i a g r a m O b j e c t K e y > < K e y > C o l u m n s \ N L o a n s < / K e y > < / D i a g r a m O b j e c t K e y > < D i a g r a m O b j e c t K e y > < K e y > C o l u m n s \ R e t u r n D a t e < / K e y > < / D i a g r a m O b j e c t K e y > < D i a g r a m O b j e c t K e y > < K e y > C o l u m n s \ L o a n I D < / K e y > < / D i a g r a m O b j e c t K e y > < D i a g r a m O b j e c t K e y > < K e y > C o l u m n s \ R e t u r n S t a r t V a l u e < / K e y > < / D i a g r a m O b j e c t K e y > < D i a g r a m O b j e c t K e y > < K e y > C o l u m n s \ R e t u r n E n d V a l u e < / K e y > < / D i a g r a m O b j e c t K e y > < D i a g r a m O b j e c t K e y > < K e y > C o l u m n s \ C a s h I n t e r e s t < / K e y > < / D i a g r a m O b j e c t K e y > < D i a g r a m O b j e c t K e y > < K e y > C o l u m n s \ A c c r I n t e r e s t < / K e y > < / D i a g r a m O b j e c t K e y > < D i a g r a m O b j e c t K e y > < K e y > C o l u m n s \ O t h e r I n c o m e < / K e y > < / D i a g r a m O b j e c t K e y > < D i a g r a m O b j e c t K e y > < K e y > C o l u m n s \ E x p e n s e s < / K e y > < / D i a g r a m O b j e c t K e y > < D i a g r a m O b j e c t K e y > < K e y > C o l u m n s \ P r i n c i p a l F u n d e d < / K e y > < / D i a g r a m O b j e c t K e y > < D i a g r a m O b j e c t K e y > < K e y > C o l u m n s \ P r i n c i p a l R e p a i d < / K e y > < / D i a g r a m O b j e c t K e y > < D i a g r a m O b j e c t K e y > < K e y > C o l u m n s \ S t a r t V a l u e < / K e y > < / D i a g r a m O b j e c t K e y > < D i a g r a m O b j e c t K e y > < K e y > C o l u m n s \ E n d V a l u e < / K e y > < / D i a g r a m O b j e c t K e y > < D i a g r a m O b j e c t K e y > < K e y > C o l u m n s \ S t a r t N A V < / K e y > < / D i a g r a m O b j e c t K e y > < D i a g r a m O b j e c t K e y > < K e y > C o l u m n s \ E n d N A V < / K e y > < / D i a g r a m O b j e c t K e y > < D i a g r a m O b j e c t K e y > < K e y > C o l u m n s \ S t a r t P r i n c i p a l < / K e y > < / D i a g r a m O b j e c t K e y > < D i a g r a m O b j e c t K e y > < K e y > C o l u m n s \ E n d P r i n c i p a l < / K e y > < / D i a g r a m O b j e c t K e y > < D i a g r a m O b j e c t K e y > < K e y > C o l u m n s \ M a n a g e r C o d e < / K e y > < / D i a g r a m O b j e c t K e y > < D i a g r a m O b j e c t K e y > < K e y > L i n k s \ & l t ; C o l u m n s \ S u m   o f   R e t u r n D a t e & g t ; - & l t ; M e a s u r e s \ R e t u r n D a t e & g t ; < / K e y > < / D i a g r a m O b j e c t K e y > < D i a g r a m O b j e c t K e y > < K e y > L i n k s \ & l t ; C o l u m n s \ S u m   o f   R e t u r n D a t e & g t ; - & l t ; M e a s u r e s \ R e t u r n D a t e & g t ; \ C O L U M N < / K e y > < / D i a g r a m O b j e c t K e y > < D i a g r a m O b j e c t K e y > < K e y > L i n k s \ & l t ; C o l u m n s \ S u m   o f   R e t u r n D a t e & g t ; - & l t ; M e a s u r e s \ R e t u r n D a t e & g t ; \ M E A S U R E < / K e y > < / D i a g r a m O b j e c t K e y > < D i a g r a m O b j e c t K e y > < K e y > L i n k s \ & l t ; C o l u m n s \ S u m   o f   R e t u r n S t a r t V a l u e & g t ; - & l t ; M e a s u r e s \ R e t u r n S t a r t V a l u e & g t ; < / K e y > < / D i a g r a m O b j e c t K e y > < D i a g r a m O b j e c t K e y > < K e y > L i n k s \ & l t ; C o l u m n s \ S u m   o f   R e t u r n S t a r t V a l u e & g t ; - & l t ; M e a s u r e s \ R e t u r n S t a r t V a l u e & g t ; \ C O L U M N < / K e y > < / D i a g r a m O b j e c t K e y > < D i a g r a m O b j e c t K e y > < K e y > L i n k s \ & l t ; C o l u m n s \ S u m   o f   R e t u r n S t a r t V a l u e & g t ; - & l t ; M e a s u r e s \ R e t u r n S t a r t V a l u e & g t ; \ M E A S U R E < / K e y > < / D i a g r a m O b j e c t K e y > < D i a g r a m O b j e c t K e y > < K e y > L i n k s \ & l t ; C o l u m n s \ S u m   o f   R e t u r n E n d V a l u e & g t ; - & l t ; M e a s u r e s \ R e t u r n E n d V a l u e & g t ; < / K e y > < / D i a g r a m O b j e c t K e y > < D i a g r a m O b j e c t K e y > < K e y > L i n k s \ & l t ; C o l u m n s \ S u m   o f   R e t u r n E n d V a l u e & g t ; - & l t ; M e a s u r e s \ R e t u r n E n d V a l u e & g t ; \ C O L U M N < / K e y > < / D i a g r a m O b j e c t K e y > < D i a g r a m O b j e c t K e y > < K e y > L i n k s \ & l t ; C o l u m n s \ S u m   o f   R e t u r n E n d V a l u e & g t ; - & l t ; M e a s u r e s \ R e t u r n E n d V a l u e & g t ; \ M E A S U R E < / K e y > < / D i a g r a m O b j e c t K e y > < D i a g r a m O b j e c t K e y > < K e y > L i n k s \ & l t ; C o l u m n s \ S u m   o f   C a s h I n t e r e s t & g t ; - & l t ; M e a s u r e s \ C a s h I n t e r e s t & g t ; < / K e y > < / D i a g r a m O b j e c t K e y > < D i a g r a m O b j e c t K e y > < K e y > L i n k s \ & l t ; C o l u m n s \ S u m   o f   C a s h I n t e r e s t & g t ; - & l t ; M e a s u r e s \ C a s h I n t e r e s t & g t ; \ C O L U M N < / K e y > < / D i a g r a m O b j e c t K e y > < D i a g r a m O b j e c t K e y > < K e y > L i n k s \ & l t ; C o l u m n s \ S u m   o f   C a s h I n t e r e s t & g t ; - & l t ; M e a s u r e s \ C a s h I n t e r e s t & g t ; \ M E A S U R E < / K e y > < / D i a g r a m O b j e c t K e y > < D i a g r a m O b j e c t K e y > < K e y > L i n k s \ & l t ; C o l u m n s \ S u m   o f   A c c r I n t e r e s t & g t ; - & l t ; M e a s u r e s \ A c c r I n t e r e s t & g t ; < / K e y > < / D i a g r a m O b j e c t K e y > < D i a g r a m O b j e c t K e y > < K e y > L i n k s \ & l t ; C o l u m n s \ S u m   o f   A c c r I n t e r e s t & g t ; - & l t ; M e a s u r e s \ A c c r I n t e r e s t & g t ; \ C O L U M N < / K e y > < / D i a g r a m O b j e c t K e y > < D i a g r a m O b j e c t K e y > < K e y > L i n k s \ & l t ; C o l u m n s \ S u m   o f   A c c r I n t e r e s t & g t ; - & l t ; M e a s u r e s \ A c c r I n t e r e s t & g t ; \ M E A S U R E < / K e y > < / D i a g r a m O b j e c t K e y > < D i a g r a m O b j e c t K e y > < K e y > L i n k s \ & l t ; C o l u m n s \ S u m   o f   O t h e r I n c o m e & g t ; - & l t ; M e a s u r e s \ O t h e r I n c o m e & g t ; < / K e y > < / D i a g r a m O b j e c t K e y > < D i a g r a m O b j e c t K e y > < K e y > L i n k s \ & l t ; C o l u m n s \ S u m   o f   O t h e r I n c o m e & g t ; - & l t ; M e a s u r e s \ O t h e r I n c o m e & g t ; \ C O L U M N < / K e y > < / D i a g r a m O b j e c t K e y > < D i a g r a m O b j e c t K e y > < K e y > L i n k s \ & l t ; C o l u m n s \ S u m   o f   O t h e r I n c o m e & g t ; - & l t ; M e a s u r e s \ O t h e r I n c o m e & g t ; \ M E A S U R E < / K e y > < / D i a g r a m O b j e c t K e y > < D i a g r a m O b j e c t K e y > < K e y > L i n k s \ & l t ; C o l u m n s \ S u m   o f   E x p e n s e s & g t ; - & l t ; M e a s u r e s \ E x p e n s e s & g t ; < / K e y > < / D i a g r a m O b j e c t K e y > < D i a g r a m O b j e c t K e y > < K e y > L i n k s \ & l t ; C o l u m n s \ S u m   o f   E x p e n s e s & g t ; - & l t ; M e a s u r e s \ E x p e n s e s & g t ; \ C O L U M N < / K e y > < / D i a g r a m O b j e c t K e y > < D i a g r a m O b j e c t K e y > < K e y > L i n k s \ & l t ; C o l u m n s \ S u m   o f   E x p e n s e s & g t ; - & l t ; M e a s u r e s \ E x p e n s e s & g t ; \ M E A S U R E < / K e y > < / D i a g r a m O b j e c t K e y > < D i a g r a m O b j e c t K e y > < K e y > L i n k s \ & l t ; C o l u m n s \ S u m   o f   P r i n c i p a l R e p a i d & g t ; - & l t ; M e a s u r e s \ P r i n c i p a l R e p a i d & g t ; < / K e y > < / D i a g r a m O b j e c t K e y > < D i a g r a m O b j e c t K e y > < K e y > L i n k s \ & l t ; C o l u m n s \ S u m   o f   P r i n c i p a l R e p a i d & g t ; - & l t ; M e a s u r e s \ P r i n c i p a l R e p a i d & g t ; \ C O L U M N < / K e y > < / D i a g r a m O b j e c t K e y > < D i a g r a m O b j e c t K e y > < K e y > L i n k s \ & l t ; C o l u m n s \ S u m   o f   P r i n c i p a l R e p a i d & g t ; - & l t ; M e a s u r e s \ P r i n c i p a l R e p a i d & g t ; \ M E A S U R E < / K e y > < / D i a g r a m O b j e c t K e y > < D i a g r a m O b j e c t K e y > < K e y > L i n k s \ & l t ; C o l u m n s \ S u m   o f   S t a r t V a l u e & g t ; - & l t ; M e a s u r e s \ S t a r t V a l u e & g t ; < / K e y > < / D i a g r a m O b j e c t K e y > < D i a g r a m O b j e c t K e y > < K e y > L i n k s \ & l t ; C o l u m n s \ S u m   o f   S t a r t V a l u e & g t ; - & l t ; M e a s u r e s \ S t a r t V a l u e & g t ; \ C O L U M N < / K e y > < / D i a g r a m O b j e c t K e y > < D i a g r a m O b j e c t K e y > < K e y > L i n k s \ & l t ; C o l u m n s \ S u m   o f   S t a r t V a l u e & g t ; - & l t ; M e a s u r e s \ S t a r t V a l u e & g t ; \ M E A S U R E < / K e y > < / D i a g r a m O b j e c t K e y > < D i a g r a m O b j e c t K e y > < K e y > L i n k s \ & l t ; C o l u m n s \ S u m   o f   E n d V a l u e & g t ; - & l t ; M e a s u r e s \ E n d V a l u e & g t ; < / K e y > < / D i a g r a m O b j e c t K e y > < D i a g r a m O b j e c t K e y > < K e y > L i n k s \ & l t ; C o l u m n s \ S u m   o f   E n d V a l u e & g t ; - & l t ; M e a s u r e s \ E n d V a l u e & g t ; \ C O L U M N < / K e y > < / D i a g r a m O b j e c t K e y > < D i a g r a m O b j e c t K e y > < K e y > L i n k s \ & l t ; C o l u m n s \ S u m   o f   E n d V a l u e & g t ; - & l t ; M e a s u r e s \ E n d V a l u e & g t ; \ M E A S U R E < / K e y > < / D i a g r a m O b j e c t K e y > < D i a g r a m O b j e c t K e y > < K e y > L i n k s \ & l t ; C o l u m n s \ S u m   o f   S t a r t P r i n c i p a l & g t ; - & l t ; M e a s u r e s \ S t a r t P r i n c i p a l & g t ; < / K e y > < / D i a g r a m O b j e c t K e y > < D i a g r a m O b j e c t K e y > < K e y > L i n k s \ & l t ; C o l u m n s \ S u m   o f   S t a r t P r i n c i p a l & g t ; - & l t ; M e a s u r e s \ S t a r t P r i n c i p a l & g t ; \ C O L U M N < / K e y > < / D i a g r a m O b j e c t K e y > < D i a g r a m O b j e c t K e y > < K e y > L i n k s \ & l t ; C o l u m n s \ S u m   o f   S t a r t P r i n c i p a l & g t ; - & l t ; M e a s u r e s \ S t a r t P r i n c i p a l & g t ; \ M E A S U R E < / K e y > < / D i a g r a m O b j e c t K e y > < D i a g r a m O b j e c t K e y > < K e y > L i n k s \ & l t ; C o l u m n s \ S u m   o f   E n d P r i n c i p a l & g t ; - & l t ; M e a s u r e s \ E n d P r i n c i p a l & g t ; < / K e y > < / D i a g r a m O b j e c t K e y > < D i a g r a m O b j e c t K e y > < K e y > L i n k s \ & l t ; C o l u m n s \ S u m   o f   E n d P r i n c i p a l & g t ; - & l t ; M e a s u r e s \ E n d P r i n c i p a l & g t ; \ C O L U M N < / K e y > < / D i a g r a m O b j e c t K e y > < D i a g r a m O b j e c t K e y > < K e y > L i n k s \ & l t ; C o l u m n s \ S u m   o f   E n d P r i n c i p a l & g t ; - & l t ; M e a s u r e s \ E n d P r i n c i p a l & g t ; \ M E A S U R E < / K e y > < / D i a g r a m O b j e c t K e y > < D i a g r a m O b j e c t K e y > < K e y > L i n k s \ & l t ; C o l u m n s \ S u m   o f   S t a r t N A V & g t ; - & l t ; M e a s u r e s \ S t a r t N A V & g t ; < / K e y > < / D i a g r a m O b j e c t K e y > < D i a g r a m O b j e c t K e y > < K e y > L i n k s \ & l t ; C o l u m n s \ S u m   o f   S t a r t N A V & g t ; - & l t ; M e a s u r e s \ S t a r t N A V & g t ; \ C O L U M N < / K e y > < / D i a g r a m O b j e c t K e y > < D i a g r a m O b j e c t K e y > < K e y > L i n k s \ & l t ; C o l u m n s \ S u m   o f   S t a r t N A V & g t ; - & l t ; M e a s u r e s \ S t a r t N A V & g t ; \ M E A S U R E < / K e y > < / D i a g r a m O b j e c t K e y > < D i a g r a m O b j e c t K e y > < K e y > L i n k s \ & l t ; C o l u m n s \ S u m   o f   E n d N A V & g t ; - & l t ; M e a s u r e s \ E n d N A V & g t ; < / K e y > < / D i a g r a m O b j e c t K e y > < D i a g r a m O b j e c t K e y > < K e y > L i n k s \ & l t ; C o l u m n s \ S u m   o f   E n d N A V & g t ; - & l t ; M e a s u r e s \ E n d N A V & g t ; \ C O L U M N < / K e y > < / D i a g r a m O b j e c t K e y > < D i a g r a m O b j e c t K e y > < K e y > L i n k s \ & l t ; C o l u m n s \ S u m   o f   E n d N A V & g t ; - & l t ; M e a s u r e s \ E n d N A V & g t ; \ M E A S U R E < / K e y > < / D i a g r a m O b j e c t K e y > < D i a g r a m O b j e c t K e y > < K e y > L i n k s \ & l t ; C o l u m n s \ S u m   o f   P r i n c i p a l F u n d e d & g t ; - & l t ; M e a s u r e s \ P r i n c i p a l F u n d e d & g t ; < / K e y > < / D i a g r a m O b j e c t K e y > < D i a g r a m O b j e c t K e y > < K e y > L i n k s \ & l t ; C o l u m n s \ S u m   o f   P r i n c i p a l F u n d e d & g t ; - & l t ; M e a s u r e s \ P r i n c i p a l F u n d e d & g t ; \ C O L U M N < / K e y > < / D i a g r a m O b j e c t K e y > < D i a g r a m O b j e c t K e y > < K e y > L i n k s \ & l t ; C o l u m n s \ S u m   o f   P r i n c i p a l F u n d e d & g t ; - & l t ; M e a s u r e s \ P r i n c i p a l F u n d e d & g t ; \ M E A S U R E < / K e y > < / D i a g r a m O b j e c t K e y > < D i a g r a m O b j e c t K e y > < K e y > L i n k s \ & l t ; C o l u m n s \ S u m   o f   L o a n I D & g t ; - & l t ; M e a s u r e s \ L o a n I D & g t ; < / K e y > < / D i a g r a m O b j e c t K e y > < D i a g r a m O b j e c t K e y > < K e y > L i n k s \ & l t ; C o l u m n s \ S u m   o f   L o a n I D & g t ; - & l t ; M e a s u r e s \ L o a n I D & g t ; \ C O L U M N < / K e y > < / D i a g r a m O b j e c t K e y > < D i a g r a m O b j e c t K e y > < K e y > L i n k s \ & l t ; C o l u m n s \ S u m   o f   L o a n I D & g t ; - & l t ; M e a s u r e s \ L o a n I D & g t ; \ M E A S U R E < / K e y > < / D i a g r a m O b j e c t K e y > < D i a g r a m O b j e c t K e y > < K e y > L i n k s \ & l t ; C o l u m n s \ D i s t i n c t   C o u n t   o f   L o a n I D & g t ; - & l t ; M e a s u r e s \ L o a n I D & g t ; < / K e y > < / D i a g r a m O b j e c t K e y > < D i a g r a m O b j e c t K e y > < K e y > L i n k s \ & l t ; C o l u m n s \ D i s t i n c t   C o u n t   o f   L o a n I D & g t ; - & l t ; M e a s u r e s \ L o a n I D & g t ; \ C O L U M N < / K e y > < / D i a g r a m O b j e c t K e y > < D i a g r a m O b j e c t K e y > < K e y > L i n k s \ & l t ; C o l u m n s \ D i s t i n c t   C o u n t   o f   L o a n I D & g t ; - & l t ; M e a s u r e s \ L o a n I D & g t ; \ M E A S U R E < / K e y > < / D i a g r a m O b j e c t K e y > < D i a g r a m O b j e c t K e y > < K e y > L i n k s \ & l t ; C o l u m n s \ S u m   o f   M a n a g e r C o d e   2 & g t ; - & l t ; M e a s u r e s \ M a n a g e r C o d e & g t ; < / K e y > < / D i a g r a m O b j e c t K e y > < D i a g r a m O b j e c t K e y > < K e y > L i n k s \ & l t ; C o l u m n s \ S u m   o f   M a n a g e r C o d e   2 & g t ; - & l t ; M e a s u r e s \ M a n a g e r C o d e & g t ; \ C O L U M N < / K e y > < / D i a g r a m O b j e c t K e y > < D i a g r a m O b j e c t K e y > < K e y > L i n k s \ & l t ; C o l u m n s \ S u m   o f   M a n a g e r C o d e   2 & g t ; - & l t ; M e a s u r e s \ M a n a g e r C o d e & g t ; \ M E A S U R E < / K e y > < / D i a g r a m O b j e c t K e y > < D i a g r a m O b j e c t K e y > < K e y > L i n k s \ & l t ; C o l u m n s \ D i s t i n c t   C o u n t   o f   M a n a g e r C o d e   2 & g t ; - & l t ; M e a s u r e s \ M a n a g e r C o d e & g t ; < / K e y > < / D i a g r a m O b j e c t K e y > < D i a g r a m O b j e c t K e y > < K e y > L i n k s \ & l t ; C o l u m n s \ D i s t i n c t   C o u n t   o f   M a n a g e r C o d e   2 & g t ; - & l t ; M e a s u r e s \ M a n a g e r C o d e & g t ; \ C O L U M N < / K e y > < / D i a g r a m O b j e c t K e y > < D i a g r a m O b j e c t K e y > < K e y > L i n k s \ & l t ; C o l u m n s \ D i s t i n c t   C o u n t   o f   M a n a g e r C o d e   2 & g t ; - & l t ; M e a s u r e s \ M a n a g e r C o d e & g t ; \ M E A S U R E 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 R e t u r n D a t e < / K e y > < / a : K e y > < a : V a l u e   i : t y p e = " M e a s u r e G r i d N o d e V i e w S t a t e " > < C o l u m n > 3 < / C o l u m n > < L a y e d O u t > t r u e < / L a y e d O u t > < W a s U I I n v i s i b l e > t r u e < / W a s U I I n v i s i b l e > < / a : V a l u e > < / a : K e y V a l u e O f D i a g r a m O b j e c t K e y a n y T y p e z b w N T n L X > < a : K e y V a l u e O f D i a g r a m O b j e c t K e y a n y T y p e z b w N T n L X > < a : K e y > < K e y > M e a s u r e s \ S u m   o f   R e t u r n D a t e \ T a g I n f o \ F o r m u l a < / K e y > < / a : K e y > < a : V a l u e   i : t y p e = " M e a s u r e G r i d V i e w S t a t e I D i a g r a m T a g A d d i t i o n a l I n f o " / > < / a : K e y V a l u e O f D i a g r a m O b j e c t K e y a n y T y p e z b w N T n L X > < a : K e y V a l u e O f D i a g r a m O b j e c t K e y a n y T y p e z b w N T n L X > < a : K e y > < K e y > M e a s u r e s \ S u m   o f   R e t u r n D a t e \ T a g I n f o \ V a l u e < / K e y > < / a : K e y > < a : V a l u e   i : t y p e = " M e a s u r e G r i d V i e w S t a t e I D i a g r a m T a g A d d i t i o n a l I n f o " / > < / a : K e y V a l u e O f D i a g r a m O b j e c t K e y a n y T y p e z b w N T n L X > < a : K e y V a l u e O f D i a g r a m O b j e c t K e y a n y T y p e z b w N T n L X > < a : K e y > < K e y > M e a s u r e s \ S u m   o f   R e t u r n S t a r t V a l u e < / K e y > < / a : K e y > < a : V a l u e   i : t y p e = " M e a s u r e G r i d N o d e V i e w S t a t e " > < C o l u m n > 5 < / C o l u m n > < L a y e d O u t > t r u e < / L a y e d O u t > < W a s U I I n v i s i b l e > t r u e < / W a s U I I n v i s i b l e > < / a : V a l u e > < / a : K e y V a l u e O f D i a g r a m O b j e c t K e y a n y T y p e z b w N T n L X > < a : K e y V a l u e O f D i a g r a m O b j e c t K e y a n y T y p e z b w N T n L X > < a : K e y > < K e y > M e a s u r e s \ S u m   o f   R e t u r n S t a r t V a l u e \ T a g I n f o \ F o r m u l a < / K e y > < / a : K e y > < a : V a l u e   i : t y p e = " M e a s u r e G r i d V i e w S t a t e I D i a g r a m T a g A d d i t i o n a l I n f o " / > < / a : K e y V a l u e O f D i a g r a m O b j e c t K e y a n y T y p e z b w N T n L X > < a : K e y V a l u e O f D i a g r a m O b j e c t K e y a n y T y p e z b w N T n L X > < a : K e y > < K e y > M e a s u r e s \ S u m   o f   R e t u r n S t a r t V a l u e \ T a g I n f o \ V a l u e < / K e y > < / a : K e y > < a : V a l u e   i : t y p e = " M e a s u r e G r i d V i e w S t a t e I D i a g r a m T a g A d d i t i o n a l I n f o " / > < / a : K e y V a l u e O f D i a g r a m O b j e c t K e y a n y T y p e z b w N T n L X > < a : K e y V a l u e O f D i a g r a m O b j e c t K e y a n y T y p e z b w N T n L X > < a : K e y > < K e y > M e a s u r e s \ S u m   o f   R e t u r n E n d V a l u e < / K e y > < / a : K e y > < a : V a l u e   i : t y p e = " M e a s u r e G r i d N o d e V i e w S t a t e " > < C o l u m n > 6 < / C o l u m n > < L a y e d O u t > t r u e < / L a y e d O u t > < W a s U I I n v i s i b l e > t r u e < / W a s U I I n v i s i b l e > < / a : V a l u e > < / a : K e y V a l u e O f D i a g r a m O b j e c t K e y a n y T y p e z b w N T n L X > < a : K e y V a l u e O f D i a g r a m O b j e c t K e y a n y T y p e z b w N T n L X > < a : K e y > < K e y > M e a s u r e s \ S u m   o f   R e t u r n E n d V a l u e \ T a g I n f o \ F o r m u l a < / K e y > < / a : K e y > < a : V a l u e   i : t y p e = " M e a s u r e G r i d V i e w S t a t e I D i a g r a m T a g A d d i t i o n a l I n f o " / > < / a : K e y V a l u e O f D i a g r a m O b j e c t K e y a n y T y p e z b w N T n L X > < a : K e y V a l u e O f D i a g r a m O b j e c t K e y a n y T y p e z b w N T n L X > < a : K e y > < K e y > M e a s u r e s \ S u m   o f   R e t u r n E n d V a l u e \ T a g I n f o \ V a l u e < / K e y > < / a : K e y > < a : V a l u e   i : t y p e = " M e a s u r e G r i d V i e w S t a t e I D i a g r a m T a g A d d i t i o n a l I n f o " / > < / a : K e y V a l u e O f D i a g r a m O b j e c t K e y a n y T y p e z b w N T n L X > < a : K e y V a l u e O f D i a g r a m O b j e c t K e y a n y T y p e z b w N T n L X > < a : K e y > < K e y > M e a s u r e s \ S u m   o f   C a s h I n t e r e s t < / K e y > < / a : K e y > < a : V a l u e   i : t y p e = " M e a s u r e G r i d N o d e V i e w S t a t e " > < C o l u m n > 7 < / C o l u m n > < L a y e d O u t > t r u e < / L a y e d O u t > < W a s U I I n v i s i b l e > t r u e < / W a s U I I n v i s i b l e > < / a : V a l u e > < / a : K e y V a l u e O f D i a g r a m O b j e c t K e y a n y T y p e z b w N T n L X > < a : K e y V a l u e O f D i a g r a m O b j e c t K e y a n y T y p e z b w N T n L X > < a : K e y > < K e y > M e a s u r e s \ S u m   o f   C a s h I n t e r e s t \ T a g I n f o \ F o r m u l a < / K e y > < / a : K e y > < a : V a l u e   i : t y p e = " M e a s u r e G r i d V i e w S t a t e I D i a g r a m T a g A d d i t i o n a l I n f o " / > < / a : K e y V a l u e O f D i a g r a m O b j e c t K e y a n y T y p e z b w N T n L X > < a : K e y V a l u e O f D i a g r a m O b j e c t K e y a n y T y p e z b w N T n L X > < a : K e y > < K e y > M e a s u r e s \ S u m   o f   C a s h I n t e r e s t \ T a g I n f o \ V a l u e < / K e y > < / a : K e y > < a : V a l u e   i : t y p e = " M e a s u r e G r i d V i e w S t a t e I D i a g r a m T a g A d d i t i o n a l I n f o " / > < / a : K e y V a l u e O f D i a g r a m O b j e c t K e y a n y T y p e z b w N T n L X > < a : K e y V a l u e O f D i a g r a m O b j e c t K e y a n y T y p e z b w N T n L X > < a : K e y > < K e y > M e a s u r e s \ S u m   o f   A c c r I n t e r e s t < / K e y > < / a : K e y > < a : V a l u e   i : t y p e = " M e a s u r e G r i d N o d e V i e w S t a t e " > < C o l u m n > 8 < / C o l u m n > < L a y e d O u t > t r u e < / L a y e d O u t > < W a s U I I n v i s i b l e > t r u e < / W a s U I I n v i s i b l e > < / a : V a l u e > < / a : K e y V a l u e O f D i a g r a m O b j e c t K e y a n y T y p e z b w N T n L X > < a : K e y V a l u e O f D i a g r a m O b j e c t K e y a n y T y p e z b w N T n L X > < a : K e y > < K e y > M e a s u r e s \ S u m   o f   A c c r I n t e r e s t \ T a g I n f o \ F o r m u l a < / K e y > < / a : K e y > < a : V a l u e   i : t y p e = " M e a s u r e G r i d V i e w S t a t e I D i a g r a m T a g A d d i t i o n a l I n f o " / > < / a : K e y V a l u e O f D i a g r a m O b j e c t K e y a n y T y p e z b w N T n L X > < a : K e y V a l u e O f D i a g r a m O b j e c t K e y a n y T y p e z b w N T n L X > < a : K e y > < K e y > M e a s u r e s \ S u m   o f   A c c r I n t e r e s t \ T a g I n f o \ V a l u e < / K e y > < / a : K e y > < a : V a l u e   i : t y p e = " M e a s u r e G r i d V i e w S t a t e I D i a g r a m T a g A d d i t i o n a l I n f o " / > < / a : K e y V a l u e O f D i a g r a m O b j e c t K e y a n y T y p e z b w N T n L X > < a : K e y V a l u e O f D i a g r a m O b j e c t K e y a n y T y p e z b w N T n L X > < a : K e y > < K e y > M e a s u r e s \ S u m   o f   O t h e r I n c o m e < / K e y > < / a : K e y > < a : V a l u e   i : t y p e = " M e a s u r e G r i d N o d e V i e w S t a t e " > < C o l u m n > 9 < / C o l u m n > < L a y e d O u t > t r u e < / L a y e d O u t > < W a s U I I n v i s i b l e > t r u e < / W a s U I I n v i s i b l e > < / a : V a l u e > < / a : K e y V a l u e O f D i a g r a m O b j e c t K e y a n y T y p e z b w N T n L X > < a : K e y V a l u e O f D i a g r a m O b j e c t K e y a n y T y p e z b w N T n L X > < a : K e y > < K e y > M e a s u r e s \ S u m   o f   O t h e r I n c o m e \ T a g I n f o \ F o r m u l a < / K e y > < / a : K e y > < a : V a l u e   i : t y p e = " M e a s u r e G r i d V i e w S t a t e I D i a g r a m T a g A d d i t i o n a l I n f o " / > < / a : K e y V a l u e O f D i a g r a m O b j e c t K e y a n y T y p e z b w N T n L X > < a : K e y V a l u e O f D i a g r a m O b j e c t K e y a n y T y p e z b w N T n L X > < a : K e y > < K e y > M e a s u r e s \ S u m   o f   O t h e r I n c o m e \ T a g I n f o \ V a l u e < / K e y > < / a : K e y > < a : V a l u e   i : t y p e = " M e a s u r e G r i d V i e w S t a t e I D i a g r a m T a g A d d i t i o n a l I n f o " / > < / a : K e y V a l u e O f D i a g r a m O b j e c t K e y a n y T y p e z b w N T n L X > < a : K e y V a l u e O f D i a g r a m O b j e c t K e y a n y T y p e z b w N T n L X > < a : K e y > < K e y > M e a s u r e s \ S u m   o f   E x p e n s e s < / K e y > < / a : K e y > < a : V a l u e   i : t y p e = " M e a s u r e G r i d N o d e V i e w S t a t e " > < C o l u m n > 1 0 < / C o l u m n > < L a y e d O u t > t r u e < / L a y e d O u t > < W a s U I I n v i s i b l e > t r u e < / W a s U I I n v i s i b l e > < / a : V a l u e > < / a : K e y V a l u e O f D i a g r a m O b j e c t K e y a n y T y p e z b w N T n L X > < a : K e y V a l u e O f D i a g r a m O b j e c t K e y a n y T y p e z b w N T n L X > < a : K e y > < K e y > M e a s u r e s \ S u m   o f   E x p e n s e s \ T a g I n f o \ F o r m u l a < / K e y > < / a : K e y > < a : V a l u e   i : t y p e = " M e a s u r e G r i d V i e w S t a t e I D i a g r a m T a g A d d i t i o n a l I n f o " / > < / a : K e y V a l u e O f D i a g r a m O b j e c t K e y a n y T y p e z b w N T n L X > < a : K e y V a l u e O f D i a g r a m O b j e c t K e y a n y T y p e z b w N T n L X > < a : K e y > < K e y > M e a s u r e s \ S u m   o f   E x p e n s e s \ T a g I n f o \ V a l u e < / K e y > < / a : K e y > < a : V a l u e   i : t y p e = " M e a s u r e G r i d V i e w S t a t e I D i a g r a m T a g A d d i t i o n a l I n f o " / > < / a : K e y V a l u e O f D i a g r a m O b j e c t K e y a n y T y p e z b w N T n L X > < a : K e y V a l u e O f D i a g r a m O b j e c t K e y a n y T y p e z b w N T n L X > < a : K e y > < K e y > M e a s u r e s \ S u m   o f   P r i n c i p a l R e p a i d < / K e y > < / a : K e y > < a : V a l u e   i : t y p e = " M e a s u r e G r i d N o d e V i e w S t a t e " > < C o l u m n > 1 1 < / C o l u m n > < L a y e d O u t > t r u e < / L a y e d O u t > < W a s U I I n v i s i b l e > t r u e < / W a s U I I n v i s i b l e > < / a : V a l u e > < / a : K e y V a l u e O f D i a g r a m O b j e c t K e y a n y T y p e z b w N T n L X > < a : K e y V a l u e O f D i a g r a m O b j e c t K e y a n y T y p e z b w N T n L X > < a : K e y > < K e y > M e a s u r e s \ S u m   o f   P r i n c i p a l R e p a i d \ T a g I n f o \ F o r m u l a < / K e y > < / a : K e y > < a : V a l u e   i : t y p e = " M e a s u r e G r i d V i e w S t a t e I D i a g r a m T a g A d d i t i o n a l I n f o " / > < / a : K e y V a l u e O f D i a g r a m O b j e c t K e y a n y T y p e z b w N T n L X > < a : K e y V a l u e O f D i a g r a m O b j e c t K e y a n y T y p e z b w N T n L X > < a : K e y > < K e y > M e a s u r e s \ S u m   o f   P r i n c i p a l R e p a i d \ T a g I n f o \ V a l u e < / K e y > < / a : K e y > < a : V a l u e   i : t y p e = " M e a s u r e G r i d V i e w S t a t e I D i a g r a m T a g A d d i t i o n a l I n f o " / > < / a : K e y V a l u e O f D i a g r a m O b j e c t K e y a n y T y p e z b w N T n L X > < a : K e y V a l u e O f D i a g r a m O b j e c t K e y a n y T y p e z b w N T n L X > < a : K e y > < K e y > M e a s u r e s \ S u m   o f   S t a r t V a l u e < / K e y > < / a : K e y > < a : V a l u e   i : t y p e = " M e a s u r e G r i d N o d e V i e w S t a t e " > < C o l u m n > 1 2 < / C o l u m n > < L a y e d O u t > t r u e < / L a y e d O u t > < W a s U I I n v i s i b l e > t r u e < / W a s U I I n v i s i b l e > < / a : V a l u e > < / a : K e y V a l u e O f D i a g r a m O b j e c t K e y a n y T y p e z b w N T n L X > < a : K e y V a l u e O f D i a g r a m O b j e c t K e y a n y T y p e z b w N T n L X > < a : K e y > < K e y > M e a s u r e s \ S u m   o f   S t a r t V a l u e \ T a g I n f o \ F o r m u l a < / K e y > < / a : K e y > < a : V a l u e   i : t y p e = " M e a s u r e G r i d V i e w S t a t e I D i a g r a m T a g A d d i t i o n a l I n f o " / > < / a : K e y V a l u e O f D i a g r a m O b j e c t K e y a n y T y p e z b w N T n L X > < a : K e y V a l u e O f D i a g r a m O b j e c t K e y a n y T y p e z b w N T n L X > < a : K e y > < K e y > M e a s u r e s \ S u m   o f   S t a r t V a l u e \ T a g I n f o \ V a l u e < / K e y > < / a : K e y > < a : V a l u e   i : t y p e = " M e a s u r e G r i d V i e w S t a t e I D i a g r a m T a g A d d i t i o n a l I n f o " / > < / a : K e y V a l u e O f D i a g r a m O b j e c t K e y a n y T y p e z b w N T n L X > < a : K e y V a l u e O f D i a g r a m O b j e c t K e y a n y T y p e z b w N T n L X > < a : K e y > < K e y > M e a s u r e s \ S u m   o f   E n d V a l u e < / K e y > < / a : K e y > < a : V a l u e   i : t y p e = " M e a s u r e G r i d N o d e V i e w S t a t e " > < C o l u m n > 1 3 < / C o l u m n > < L a y e d O u t > t r u e < / L a y e d O u t > < W a s U I I n v i s i b l e > t r u e < / W a s U I I n v i s i b l e > < / a : V a l u e > < / a : K e y V a l u e O f D i a g r a m O b j e c t K e y a n y T y p e z b w N T n L X > < a : K e y V a l u e O f D i a g r a m O b j e c t K e y a n y T y p e z b w N T n L X > < a : K e y > < K e y > M e a s u r e s \ S u m   o f   E n d V a l u e \ T a g I n f o \ F o r m u l a < / K e y > < / a : K e y > < a : V a l u e   i : t y p e = " M e a s u r e G r i d V i e w S t a t e I D i a g r a m T a g A d d i t i o n a l I n f o " / > < / a : K e y V a l u e O f D i a g r a m O b j e c t K e y a n y T y p e z b w N T n L X > < a : K e y V a l u e O f D i a g r a m O b j e c t K e y a n y T y p e z b w N T n L X > < a : K e y > < K e y > M e a s u r e s \ S u m   o f   E n d V a l u e \ T a g I n f o \ V a l u e < / K e y > < / a : K e y > < a : V a l u e   i : t y p e = " M e a s u r e G r i d V i e w S t a t e I D i a g r a m T a g A d d i t i o n a l I n f o " / > < / a : K e y V a l u e O f D i a g r a m O b j e c t K e y a n y T y p e z b w N T n L X > < a : K e y V a l u e O f D i a g r a m O b j e c t K e y a n y T y p e z b w N T n L X > < a : K e y > < K e y > M e a s u r e s \ S u m   o f   S t a r t P r i n c i p a l < / K e y > < / a : K e y > < a : V a l u e   i : t y p e = " M e a s u r e G r i d N o d e V i e w S t a t e " > < C o l u m n > 1 4 < / C o l u m n > < L a y e d O u t > t r u e < / L a y e d O u t > < W a s U I I n v i s i b l e > t r u e < / W a s U I I n v i s i b l e > < / a : V a l u e > < / a : K e y V a l u e O f D i a g r a m O b j e c t K e y a n y T y p e z b w N T n L X > < a : K e y V a l u e O f D i a g r a m O b j e c t K e y a n y T y p e z b w N T n L X > < a : K e y > < K e y > M e a s u r e s \ S u m   o f   S t a r t P r i n c i p a l \ T a g I n f o \ F o r m u l a < / K e y > < / a : K e y > < a : V a l u e   i : t y p e = " M e a s u r e G r i d V i e w S t a t e I D i a g r a m T a g A d d i t i o n a l I n f o " / > < / a : K e y V a l u e O f D i a g r a m O b j e c t K e y a n y T y p e z b w N T n L X > < a : K e y V a l u e O f D i a g r a m O b j e c t K e y a n y T y p e z b w N T n L X > < a : K e y > < K e y > M e a s u r e s \ S u m   o f   S t a r t P r i n c i p a l \ T a g I n f o \ V a l u e < / K e y > < / a : K e y > < a : V a l u e   i : t y p e = " M e a s u r e G r i d V i e w S t a t e I D i a g r a m T a g A d d i t i o n a l I n f o " / > < / a : K e y V a l u e O f D i a g r a m O b j e c t K e y a n y T y p e z b w N T n L X > < a : K e y V a l u e O f D i a g r a m O b j e c t K e y a n y T y p e z b w N T n L X > < a : K e y > < K e y > M e a s u r e s \ S u m   o f   E n d P r i n c i p a l < / K e y > < / a : K e y > < a : V a l u e   i : t y p e = " M e a s u r e G r i d N o d e V i e w S t a t e " > < C o l u m n > 1 5 < / C o l u m n > < L a y e d O u t > t r u e < / L a y e d O u t > < W a s U I I n v i s i b l e > t r u e < / W a s U I I n v i s i b l e > < / a : V a l u e > < / a : K e y V a l u e O f D i a g r a m O b j e c t K e y a n y T y p e z b w N T n L X > < a : K e y V a l u e O f D i a g r a m O b j e c t K e y a n y T y p e z b w N T n L X > < a : K e y > < K e y > M e a s u r e s \ S u m   o f   E n d P r i n c i p a l \ T a g I n f o \ F o r m u l a < / K e y > < / a : K e y > < a : V a l u e   i : t y p e = " M e a s u r e G r i d V i e w S t a t e I D i a g r a m T a g A d d i t i o n a l I n f o " / > < / a : K e y V a l u e O f D i a g r a m O b j e c t K e y a n y T y p e z b w N T n L X > < a : K e y V a l u e O f D i a g r a m O b j e c t K e y a n y T y p e z b w N T n L X > < a : K e y > < K e y > M e a s u r e s \ S u m   o f   E n d P r i n c i p a l \ T a g I n f o \ V a l u e < / K e y > < / a : K e y > < a : V a l u e   i : t y p e = " M e a s u r e G r i d V i e w S t a t e I D i a g r a m T a g A d d i t i o n a l I n f o " / > < / a : K e y V a l u e O f D i a g r a m O b j e c t K e y a n y T y p e z b w N T n L X > < a : K e y V a l u e O f D i a g r a m O b j e c t K e y a n y T y p e z b w N T n L X > < a : K e y > < K e y > M e a s u r e s \ S u m   o f   S t a r t N A V < / K e y > < / a : K e y > < a : V a l u e   i : t y p e = " M e a s u r e G r i d N o d e V i e w S t a t e " > < C o l u m n > 1 6 < / C o l u m n > < L a y e d O u t > t r u e < / L a y e d O u t > < W a s U I I n v i s i b l e > t r u e < / W a s U I I n v i s i b l e > < / a : V a l u e > < / a : K e y V a l u e O f D i a g r a m O b j e c t K e y a n y T y p e z b w N T n L X > < a : K e y V a l u e O f D i a g r a m O b j e c t K e y a n y T y p e z b w N T n L X > < a : K e y > < K e y > M e a s u r e s \ S u m   o f   S t a r t N A V \ T a g I n f o \ F o r m u l a < / K e y > < / a : K e y > < a : V a l u e   i : t y p e = " M e a s u r e G r i d V i e w S t a t e I D i a g r a m T a g A d d i t i o n a l I n f o " / > < / a : K e y V a l u e O f D i a g r a m O b j e c t K e y a n y T y p e z b w N T n L X > < a : K e y V a l u e O f D i a g r a m O b j e c t K e y a n y T y p e z b w N T n L X > < a : K e y > < K e y > M e a s u r e s \ S u m   o f   S t a r t N A V \ T a g I n f o \ V a l u e < / K e y > < / a : K e y > < a : V a l u e   i : t y p e = " M e a s u r e G r i d V i e w S t a t e I D i a g r a m T a g A d d i t i o n a l I n f o " / > < / a : K e y V a l u e O f D i a g r a m O b j e c t K e y a n y T y p e z b w N T n L X > < a : K e y V a l u e O f D i a g r a m O b j e c t K e y a n y T y p e z b w N T n L X > < a : K e y > < K e y > M e a s u r e s \ S u m   o f   E n d N A V < / K e y > < / a : K e y > < a : V a l u e   i : t y p e = " M e a s u r e G r i d N o d e V i e w S t a t e " > < C o l u m n > 1 7 < / C o l u m n > < L a y e d O u t > t r u e < / L a y e d O u t > < W a s U I I n v i s i b l e > t r u e < / W a s U I I n v i s i b l e > < / a : V a l u e > < / a : K e y V a l u e O f D i a g r a m O b j e c t K e y a n y T y p e z b w N T n L X > < a : K e y V a l u e O f D i a g r a m O b j e c t K e y a n y T y p e z b w N T n L X > < a : K e y > < K e y > M e a s u r e s \ S u m   o f   E n d N A V \ T a g I n f o \ F o r m u l a < / K e y > < / a : K e y > < a : V a l u e   i : t y p e = " M e a s u r e G r i d V i e w S t a t e I D i a g r a m T a g A d d i t i o n a l I n f o " / > < / a : K e y V a l u e O f D i a g r a m O b j e c t K e y a n y T y p e z b w N T n L X > < a : K e y V a l u e O f D i a g r a m O b j e c t K e y a n y T y p e z b w N T n L X > < a : K e y > < K e y > M e a s u r e s \ S u m   o f   E n d N A V \ T a g I n f o \ V a l u e < / K e y > < / a : K e y > < a : V a l u e   i : t y p e = " M e a s u r e G r i d V i e w S t a t e I D i a g r a m T a g A d d i t i o n a l I n f o " / > < / a : K e y V a l u e O f D i a g r a m O b j e c t K e y a n y T y p e z b w N T n L X > < a : K e y V a l u e O f D i a g r a m O b j e c t K e y a n y T y p e z b w N T n L X > < a : K e y > < K e y > M e a s u r e s \ S u m   o f   P r i n c i p a l F u n d e d < / K e y > < / a : K e y > < a : V a l u e   i : t y p e = " M e a s u r e G r i d N o d e V i e w S t a t e " > < C o l u m n > 1 8 < / C o l u m n > < L a y e d O u t > t r u e < / L a y e d O u t > < W a s U I I n v i s i b l e > t r u e < / W a s U I I n v i s i b l e > < / a : V a l u e > < / a : K e y V a l u e O f D i a g r a m O b j e c t K e y a n y T y p e z b w N T n L X > < a : K e y V a l u e O f D i a g r a m O b j e c t K e y a n y T y p e z b w N T n L X > < a : K e y > < K e y > M e a s u r e s \ S u m   o f   P r i n c i p a l F u n d e d \ T a g I n f o \ F o r m u l a < / K e y > < / a : K e y > < a : V a l u e   i : t y p e = " M e a s u r e G r i d V i e w S t a t e I D i a g r a m T a g A d d i t i o n a l I n f o " / > < / a : K e y V a l u e O f D i a g r a m O b j e c t K e y a n y T y p e z b w N T n L X > < a : K e y V a l u e O f D i a g r a m O b j e c t K e y a n y T y p e z b w N T n L X > < a : K e y > < K e y > M e a s u r e s \ S u m   o f   P r i n c i p a l F u n d e d \ T a g I n f o \ V a l u e < / K e y > < / a : K e y > < a : V a l u e   i : t y p e = " M e a s u r e G r i d V i e w S t a t e I D i a g r a m T a g A d d i t i o n a l I n f o " / > < / a : K e y V a l u e O f D i a g r a m O b j e c t K e y a n y T y p e z b w N T n L X > < a : K e y V a l u e O f D i a g r a m O b j e c t K e y a n y T y p e z b w N T n L X > < a : K e y > < K e y > M e a s u r e s \ S u m   o f   L o a n I D < / K e y > < / a : K e y > < a : V a l u e   i : t y p e = " M e a s u r e G r i d N o d e V i e w S t a t e " > < C o l u m n > 4 < / C o l u m n > < L a y e d O u t > t r u e < / L a y e d O u t > < W a s U I I n v i s i b l e > t r u e < / W a s U I I n v i s i b l e > < / a : V a l u e > < / a : K e y V a l u e O f D i a g r a m O b j e c t K e y a n y T y p e z b w N T n L X > < a : K e y V a l u e O f D i a g r a m O b j e c t K e y a n y T y p e z b w N T n L X > < a : K e y > < K e y > M e a s u r e s \ S u m   o f   L o a n I D \ T a g I n f o \ F o r m u l a < / K e y > < / a : K e y > < a : V a l u e   i : t y p e = " M e a s u r e G r i d V i e w S t a t e I D i a g r a m T a g A d d i t i o n a l I n f o " / > < / a : K e y V a l u e O f D i a g r a m O b j e c t K e y a n y T y p e z b w N T n L X > < a : K e y V a l u e O f D i a g r a m O b j e c t K e y a n y T y p e z b w N T n L X > < a : K e y > < K e y > M e a s u r e s \ S u m   o f   L o a n I D \ T a g I n f o \ V a l u e < / K e y > < / a : K e y > < a : V a l u e   i : t y p e = " M e a s u r e G r i d V i e w S t a t e I D i a g r a m T a g A d d i t i o n a l I n f o " / > < / a : K e y V a l u e O f D i a g r a m O b j e c t K e y a n y T y p e z b w N T n L X > < a : K e y V a l u e O f D i a g r a m O b j e c t K e y a n y T y p e z b w N T n L X > < a : K e y > < K e y > M e a s u r e s \ D i s t i n c t   C o u n t   o f   L o a n I D < / K e y > < / a : K e y > < a : V a l u e   i : t y p e = " M e a s u r e G r i d N o d e V i e w S t a t e " > < C o l u m n > 4 < / C o l u m n > < L a y e d O u t > t r u e < / L a y e d O u t > < W a s U I I n v i s i b l e > t r u e < / W a s U I I n v i s i b l e > < / a : V a l u e > < / a : K e y V a l u e O f D i a g r a m O b j e c t K e y a n y T y p e z b w N T n L X > < a : K e y V a l u e O f D i a g r a m O b j e c t K e y a n y T y p e z b w N T n L X > < a : K e y > < K e y > M e a s u r e s \ D i s t i n c t   C o u n t   o f   L o a n I D \ T a g I n f o \ F o r m u l a < / K e y > < / a : K e y > < a : V a l u e   i : t y p e = " M e a s u r e G r i d V i e w S t a t e I D i a g r a m T a g A d d i t i o n a l I n f o " / > < / a : K e y V a l u e O f D i a g r a m O b j e c t K e y a n y T y p e z b w N T n L X > < a : K e y V a l u e O f D i a g r a m O b j e c t K e y a n y T y p e z b w N T n L X > < a : K e y > < K e y > M e a s u r e s \ D i s t i n c t   C o u n t   o f   L o a n I D \ T a g I n f o \ V a l u e < / K e y > < / a : K e y > < a : V a l u e   i : t y p e = " M e a s u r e G r i d V i e w S t a t e I D i a g r a m T a g A d d i t i o n a l I n f o " / > < / a : K e y V a l u e O f D i a g r a m O b j e c t K e y a n y T y p e z b w N T n L X > < a : K e y V a l u e O f D i a g r a m O b j e c t K e y a n y T y p e z b w N T n L X > < a : K e y > < K e y > M e a s u r e s \ S u m   o f   M a n a g e r C o d e   2 < / K e y > < / a : K e y > < a : V a l u e   i : t y p e = " M e a s u r e G r i d N o d e V i e w S t a t e " > < C o l u m n > 1 9 < / C o l u m n > < L a y e d O u t > t r u e < / L a y e d O u t > < W a s U I I n v i s i b l e > t r u e < / W a s U I I n v i s i b l e > < / a : V a l u e > < / a : K e y V a l u e O f D i a g r a m O b j e c t K e y a n y T y p e z b w N T n L X > < a : K e y V a l u e O f D i a g r a m O b j e c t K e y a n y T y p e z b w N T n L X > < a : K e y > < K e y > M e a s u r e s \ S u m   o f   M a n a g e r C o d e   2 \ T a g I n f o \ F o r m u l a < / K e y > < / a : K e y > < a : V a l u e   i : t y p e = " M e a s u r e G r i d V i e w S t a t e I D i a g r a m T a g A d d i t i o n a l I n f o " / > < / a : K e y V a l u e O f D i a g r a m O b j e c t K e y a n y T y p e z b w N T n L X > < a : K e y V a l u e O f D i a g r a m O b j e c t K e y a n y T y p e z b w N T n L X > < a : K e y > < K e y > M e a s u r e s \ S u m   o f   M a n a g e r C o d e   2 \ T a g I n f o \ V a l u e < / K e y > < / a : K e y > < a : V a l u e   i : t y p e = " M e a s u r e G r i d V i e w S t a t e I D i a g r a m T a g A d d i t i o n a l I n f o " / > < / a : K e y V a l u e O f D i a g r a m O b j e c t K e y a n y T y p e z b w N T n L X > < a : K e y V a l u e O f D i a g r a m O b j e c t K e y a n y T y p e z b w N T n L X > < a : K e y > < K e y > M e a s u r e s \ D i s t i n c t   C o u n t   o f   M a n a g e r C o d e   2 < / K e y > < / a : K e y > < a : V a l u e   i : t y p e = " M e a s u r e G r i d N o d e V i e w S t a t e " > < C o l u m n > 1 9 < / C o l u m n > < L a y e d O u t > t r u e < / L a y e d O u t > < R o w > 1 < / R o w > < W a s U I I n v i s i b l e > t r u e < / W a s U I I n v i s i b l e > < / a : V a l u e > < / a : K e y V a l u e O f D i a g r a m O b j e c t K e y a n y T y p e z b w N T n L X > < a : K e y V a l u e O f D i a g r a m O b j e c t K e y a n y T y p e z b w N T n L X > < a : K e y > < K e y > M e a s u r e s \ D i s t i n c t   C o u n t   o f   M a n a g e r C o d e   2 \ T a g I n f o \ F o r m u l a < / K e y > < / a : K e y > < a : V a l u e   i : t y p e = " M e a s u r e G r i d V i e w S t a t e I D i a g r a m T a g A d d i t i o n a l I n f o " / > < / a : K e y V a l u e O f D i a g r a m O b j e c t K e y a n y T y p e z b w N T n L X > < a : K e y V a l u e O f D i a g r a m O b j e c t K e y a n y T y p e z b w N T n L X > < a : K e y > < K e y > M e a s u r e s \ D i s t i n c t   C o u n t   o f   M a n a g e r C o d e   2 \ T a g I n f o \ V a l u e 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 C o l u m n s \ M o n t h < / K e y > < / a : K e y > < a : V a l u e   i : t y p e = " M e a s u r e G r i d N o d e V i e w S t a t e " > < C o l u m n > 1 < / C o l u m n > < L a y e d O u t > t r u e < / L a y e d O u t > < / a : V a l u e > < / a : K e y V a l u e O f D i a g r a m O b j e c t K e y a n y T y p e z b w N T n L X > < a : K e y V a l u e O f D i a g r a m O b j e c t K e y a n y T y p e z b w N T n L X > < a : K e y > < K e y > C o l u m n s \ N L o a n s < / K e y > < / a : K e y > < a : V a l u e   i : t y p e = " M e a s u r e G r i d N o d e V i e w S t a t e " > < C o l u m n > 2 < / C o l u m n > < L a y e d O u t > t r u e < / L a y e d O u t > < / a : V a l u e > < / a : K e y V a l u e O f D i a g r a m O b j e c t K e y a n y T y p e z b w N T n L X > < a : K e y V a l u e O f D i a g r a m O b j e c t K e y a n y T y p e z b w N T n L X > < a : K e y > < K e y > C o l u m n s \ R e t u r n D a t e < / K e y > < / a : K e y > < a : V a l u e   i : t y p e = " M e a s u r e G r i d N o d e V i e w S t a t e " > < C o l u m n > 3 < / C o l u m n > < L a y e d O u t > t r u e < / L a y e d O u t > < / a : V a l u e > < / a : K e y V a l u e O f D i a g r a m O b j e c t K e y a n y T y p e z b w N T n L X > < a : K e y V a l u e O f D i a g r a m O b j e c t K e y a n y T y p e z b w N T n L X > < a : K e y > < K e y > C o l u m n s \ L o a n I D < / K e y > < / a : K e y > < a : V a l u e   i : t y p e = " M e a s u r e G r i d N o d e V i e w S t a t e " > < C o l u m n > 4 < / C o l u m n > < L a y e d O u t > t r u e < / L a y e d O u t > < / a : V a l u e > < / a : K e y V a l u e O f D i a g r a m O b j e c t K e y a n y T y p e z b w N T n L X > < a : K e y V a l u e O f D i a g r a m O b j e c t K e y a n y T y p e z b w N T n L X > < a : K e y > < K e y > C o l u m n s \ R e t u r n S t a r t V a l u e < / K e y > < / a : K e y > < a : V a l u e   i : t y p e = " M e a s u r e G r i d N o d e V i e w S t a t e " > < C o l u m n > 5 < / C o l u m n > < L a y e d O u t > t r u e < / L a y e d O u t > < / a : V a l u e > < / a : K e y V a l u e O f D i a g r a m O b j e c t K e y a n y T y p e z b w N T n L X > < a : K e y V a l u e O f D i a g r a m O b j e c t K e y a n y T y p e z b w N T n L X > < a : K e y > < K e y > C o l u m n s \ R e t u r n E n d V a l u e < / K e y > < / a : K e y > < a : V a l u e   i : t y p e = " M e a s u r e G r i d N o d e V i e w S t a t e " > < C o l u m n > 6 < / C o l u m n > < L a y e d O u t > t r u e < / L a y e d O u t > < / a : V a l u e > < / a : K e y V a l u e O f D i a g r a m O b j e c t K e y a n y T y p e z b w N T n L X > < a : K e y V a l u e O f D i a g r a m O b j e c t K e y a n y T y p e z b w N T n L X > < a : K e y > < K e y > C o l u m n s \ C a s h I n t e r e s t < / K e y > < / a : K e y > < a : V a l u e   i : t y p e = " M e a s u r e G r i d N o d e V i e w S t a t e " > < C o l u m n > 7 < / C o l u m n > < L a y e d O u t > t r u e < / L a y e d O u t > < / a : V a l u e > < / a : K e y V a l u e O f D i a g r a m O b j e c t K e y a n y T y p e z b w N T n L X > < a : K e y V a l u e O f D i a g r a m O b j e c t K e y a n y T y p e z b w N T n L X > < a : K e y > < K e y > C o l u m n s \ A c c r I n t e r e s t < / K e y > < / a : K e y > < a : V a l u e   i : t y p e = " M e a s u r e G r i d N o d e V i e w S t a t e " > < C o l u m n > 8 < / C o l u m n > < L a y e d O u t > t r u e < / L a y e d O u t > < / a : V a l u e > < / a : K e y V a l u e O f D i a g r a m O b j e c t K e y a n y T y p e z b w N T n L X > < a : K e y V a l u e O f D i a g r a m O b j e c t K e y a n y T y p e z b w N T n L X > < a : K e y > < K e y > C o l u m n s \ O t h e r I n c o m e < / K e y > < / a : K e y > < a : V a l u e   i : t y p e = " M e a s u r e G r i d N o d e V i e w S t a t e " > < C o l u m n > 9 < / C o l u m n > < L a y e d O u t > t r u e < / L a y e d O u t > < / a : V a l u e > < / a : K e y V a l u e O f D i a g r a m O b j e c t K e y a n y T y p e z b w N T n L X > < a : K e y V a l u e O f D i a g r a m O b j e c t K e y a n y T y p e z b w N T n L X > < a : K e y > < K e y > C o l u m n s \ E x p e n s e s < / K e y > < / a : K e y > < a : V a l u e   i : t y p e = " M e a s u r e G r i d N o d e V i e w S t a t e " > < C o l u m n > 1 0 < / C o l u m n > < L a y e d O u t > t r u e < / L a y e d O u t > < / a : V a l u e > < / a : K e y V a l u e O f D i a g r a m O b j e c t K e y a n y T y p e z b w N T n L X > < a : K e y V a l u e O f D i a g r a m O b j e c t K e y a n y T y p e z b w N T n L X > < a : K e y > < K e y > C o l u m n s \ P r i n c i p a l F u n d e d < / K e y > < / a : K e y > < a : V a l u e   i : t y p e = " M e a s u r e G r i d N o d e V i e w S t a t e " > < C o l u m n > 1 8 < / C o l u m n > < L a y e d O u t > t r u e < / L a y e d O u t > < / a : V a l u e > < / a : K e y V a l u e O f D i a g r a m O b j e c t K e y a n y T y p e z b w N T n L X > < a : K e y V a l u e O f D i a g r a m O b j e c t K e y a n y T y p e z b w N T n L X > < a : K e y > < K e y > C o l u m n s \ P r i n c i p a l R e p a i d < / K e y > < / a : K e y > < a : V a l u e   i : t y p e = " M e a s u r e G r i d N o d e V i e w S t a t e " > < C o l u m n > 1 1 < / C o l u m n > < L a y e d O u t > t r u e < / L a y e d O u t > < / a : V a l u e > < / a : K e y V a l u e O f D i a g r a m O b j e c t K e y a n y T y p e z b w N T n L X > < a : K e y V a l u e O f D i a g r a m O b j e c t K e y a n y T y p e z b w N T n L X > < a : K e y > < K e y > C o l u m n s \ S t a r t V a l u e < / K e y > < / a : K e y > < a : V a l u e   i : t y p e = " M e a s u r e G r i d N o d e V i e w S t a t e " > < C o l u m n > 1 2 < / C o l u m n > < L a y e d O u t > t r u e < / L a y e d O u t > < / a : V a l u e > < / a : K e y V a l u e O f D i a g r a m O b j e c t K e y a n y T y p e z b w N T n L X > < a : K e y V a l u e O f D i a g r a m O b j e c t K e y a n y T y p e z b w N T n L X > < a : K e y > < K e y > C o l u m n s \ E n d V a l u e < / K e y > < / a : K e y > < a : V a l u e   i : t y p e = " M e a s u r e G r i d N o d e V i e w S t a t e " > < C o l u m n > 1 3 < / C o l u m n > < L a y e d O u t > t r u e < / L a y e d O u t > < / a : V a l u e > < / a : K e y V a l u e O f D i a g r a m O b j e c t K e y a n y T y p e z b w N T n L X > < a : K e y V a l u e O f D i a g r a m O b j e c t K e y a n y T y p e z b w N T n L X > < a : K e y > < K e y > C o l u m n s \ S t a r t N A V < / K e y > < / a : K e y > < a : V a l u e   i : t y p e = " M e a s u r e G r i d N o d e V i e w S t a t e " > < C o l u m n > 1 6 < / C o l u m n > < L a y e d O u t > t r u e < / L a y e d O u t > < / a : V a l u e > < / a : K e y V a l u e O f D i a g r a m O b j e c t K e y a n y T y p e z b w N T n L X > < a : K e y V a l u e O f D i a g r a m O b j e c t K e y a n y T y p e z b w N T n L X > < a : K e y > < K e y > C o l u m n s \ E n d N A V < / K e y > < / a : K e y > < a : V a l u e   i : t y p e = " M e a s u r e G r i d N o d e V i e w S t a t e " > < C o l u m n > 1 7 < / C o l u m n > < L a y e d O u t > t r u e < / L a y e d O u t > < / a : V a l u e > < / a : K e y V a l u e O f D i a g r a m O b j e c t K e y a n y T y p e z b w N T n L X > < a : K e y V a l u e O f D i a g r a m O b j e c t K e y a n y T y p e z b w N T n L X > < a : K e y > < K e y > C o l u m n s \ S t a r t P r i n c i p a l < / K e y > < / a : K e y > < a : V a l u e   i : t y p e = " M e a s u r e G r i d N o d e V i e w S t a t e " > < C o l u m n > 1 4 < / C o l u m n > < L a y e d O u t > t r u e < / L a y e d O u t > < / a : V a l u e > < / a : K e y V a l u e O f D i a g r a m O b j e c t K e y a n y T y p e z b w N T n L X > < a : K e y V a l u e O f D i a g r a m O b j e c t K e y a n y T y p e z b w N T n L X > < a : K e y > < K e y > C o l u m n s \ E n d P r i n c i p a l < / K e y > < / a : K e y > < a : V a l u e   i : t y p e = " M e a s u r e G r i d N o d e V i e w S t a t e " > < C o l u m n > 1 5 < / C o l u m n > < L a y e d O u t > t r u e < / L a y e d O u t > < / a : V a l u e > < / a : K e y V a l u e O f D i a g r a m O b j e c t K e y a n y T y p e z b w N T n L X > < a : K e y V a l u e O f D i a g r a m O b j e c t K e y a n y T y p e z b w N T n L X > < a : K e y > < K e y > C o l u m n s \ M a n a g e r C o d e < / K e y > < / a : K e y > < a : V a l u e   i : t y p e = " M e a s u r e G r i d N o d e V i e w S t a t e " > < C o l u m n > 1 9 < / C o l u m n > < L a y e d O u t > t r u e < / L a y e d O u t > < / a : V a l u e > < / a : K e y V a l u e O f D i a g r a m O b j e c t K e y a n y T y p e z b w N T n L X > < a : K e y V a l u e O f D i a g r a m O b j e c t K e y a n y T y p e z b w N T n L X > < a : K e y > < K e y > L i n k s \ & l t ; C o l u m n s \ S u m   o f   R e t u r n D a t e & g t ; - & l t ; M e a s u r e s \ R e t u r n D a t e & g t ; < / K e y > < / a : K e y > < a : V a l u e   i : t y p e = " M e a s u r e G r i d V i e w S t a t e I D i a g r a m L i n k " / > < / a : K e y V a l u e O f D i a g r a m O b j e c t K e y a n y T y p e z b w N T n L X > < a : K e y V a l u e O f D i a g r a m O b j e c t K e y a n y T y p e z b w N T n L X > < a : K e y > < K e y > L i n k s \ & l t ; C o l u m n s \ S u m   o f   R e t u r n D a t e & g t ; - & l t ; M e a s u r e s \ R e t u r n D a t e & g t ; \ C O L U M N < / K e y > < / a : K e y > < a : V a l u e   i : t y p e = " M e a s u r e G r i d V i e w S t a t e I D i a g r a m L i n k E n d p o i n t " / > < / a : K e y V a l u e O f D i a g r a m O b j e c t K e y a n y T y p e z b w N T n L X > < a : K e y V a l u e O f D i a g r a m O b j e c t K e y a n y T y p e z b w N T n L X > < a : K e y > < K e y > L i n k s \ & l t ; C o l u m n s \ S u m   o f   R e t u r n D a t e & g t ; - & l t ; M e a s u r e s \ R e t u r n D a t e & g t ; \ M E A S U R E < / K e y > < / a : K e y > < a : V a l u e   i : t y p e = " M e a s u r e G r i d V i e w S t a t e I D i a g r a m L i n k E n d p o i n t " / > < / a : K e y V a l u e O f D i a g r a m O b j e c t K e y a n y T y p e z b w N T n L X > < a : K e y V a l u e O f D i a g r a m O b j e c t K e y a n y T y p e z b w N T n L X > < a : K e y > < K e y > L i n k s \ & l t ; C o l u m n s \ S u m   o f   R e t u r n S t a r t V a l u e & g t ; - & l t ; M e a s u r e s \ R e t u r n S t a r t V a l u e & g t ; < / K e y > < / a : K e y > < a : V a l u e   i : t y p e = " M e a s u r e G r i d V i e w S t a t e I D i a g r a m L i n k " / > < / a : K e y V a l u e O f D i a g r a m O b j e c t K e y a n y T y p e z b w N T n L X > < a : K e y V a l u e O f D i a g r a m O b j e c t K e y a n y T y p e z b w N T n L X > < a : K e y > < K e y > L i n k s \ & l t ; C o l u m n s \ S u m   o f   R e t u r n S t a r t V a l u e & g t ; - & l t ; M e a s u r e s \ R e t u r n S t a r t V a l u e & g t ; \ C O L U M N < / K e y > < / a : K e y > < a : V a l u e   i : t y p e = " M e a s u r e G r i d V i e w S t a t e I D i a g r a m L i n k E n d p o i n t " / > < / a : K e y V a l u e O f D i a g r a m O b j e c t K e y a n y T y p e z b w N T n L X > < a : K e y V a l u e O f D i a g r a m O b j e c t K e y a n y T y p e z b w N T n L X > < a : K e y > < K e y > L i n k s \ & l t ; C o l u m n s \ S u m   o f   R e t u r n S t a r t V a l u e & g t ; - & l t ; M e a s u r e s \ R e t u r n S t a r t V a l u e & g t ; \ M E A S U R E < / K e y > < / a : K e y > < a : V a l u e   i : t y p e = " M e a s u r e G r i d V i e w S t a t e I D i a g r a m L i n k E n d p o i n t " / > < / a : K e y V a l u e O f D i a g r a m O b j e c t K e y a n y T y p e z b w N T n L X > < a : K e y V a l u e O f D i a g r a m O b j e c t K e y a n y T y p e z b w N T n L X > < a : K e y > < K e y > L i n k s \ & l t ; C o l u m n s \ S u m   o f   R e t u r n E n d V a l u e & g t ; - & l t ; M e a s u r e s \ R e t u r n E n d V a l u e & g t ; < / K e y > < / a : K e y > < a : V a l u e   i : t y p e = " M e a s u r e G r i d V i e w S t a t e I D i a g r a m L i n k " / > < / a : K e y V a l u e O f D i a g r a m O b j e c t K e y a n y T y p e z b w N T n L X > < a : K e y V a l u e O f D i a g r a m O b j e c t K e y a n y T y p e z b w N T n L X > < a : K e y > < K e y > L i n k s \ & l t ; C o l u m n s \ S u m   o f   R e t u r n E n d V a l u e & g t ; - & l t ; M e a s u r e s \ R e t u r n E n d V a l u e & g t ; \ C O L U M N < / K e y > < / a : K e y > < a : V a l u e   i : t y p e = " M e a s u r e G r i d V i e w S t a t e I D i a g r a m L i n k E n d p o i n t " / > < / a : K e y V a l u e O f D i a g r a m O b j e c t K e y a n y T y p e z b w N T n L X > < a : K e y V a l u e O f D i a g r a m O b j e c t K e y a n y T y p e z b w N T n L X > < a : K e y > < K e y > L i n k s \ & l t ; C o l u m n s \ S u m   o f   R e t u r n E n d V a l u e & g t ; - & l t ; M e a s u r e s \ R e t u r n E n d V a l u e & g t ; \ M E A S U R E < / K e y > < / a : K e y > < a : V a l u e   i : t y p e = " M e a s u r e G r i d V i e w S t a t e I D i a g r a m L i n k E n d p o i n t " / > < / a : K e y V a l u e O f D i a g r a m O b j e c t K e y a n y T y p e z b w N T n L X > < a : K e y V a l u e O f D i a g r a m O b j e c t K e y a n y T y p e z b w N T n L X > < a : K e y > < K e y > L i n k s \ & l t ; C o l u m n s \ S u m   o f   C a s h I n t e r e s t & g t ; - & l t ; M e a s u r e s \ C a s h I n t e r e s t & g t ; < / K e y > < / a : K e y > < a : V a l u e   i : t y p e = " M e a s u r e G r i d V i e w S t a t e I D i a g r a m L i n k " / > < / a : K e y V a l u e O f D i a g r a m O b j e c t K e y a n y T y p e z b w N T n L X > < a : K e y V a l u e O f D i a g r a m O b j e c t K e y a n y T y p e z b w N T n L X > < a : K e y > < K e y > L i n k s \ & l t ; C o l u m n s \ S u m   o f   C a s h I n t e r e s t & g t ; - & l t ; M e a s u r e s \ C a s h I n t e r e s t & g t ; \ C O L U M N < / K e y > < / a : K e y > < a : V a l u e   i : t y p e = " M e a s u r e G r i d V i e w S t a t e I D i a g r a m L i n k E n d p o i n t " / > < / a : K e y V a l u e O f D i a g r a m O b j e c t K e y a n y T y p e z b w N T n L X > < a : K e y V a l u e O f D i a g r a m O b j e c t K e y a n y T y p e z b w N T n L X > < a : K e y > < K e y > L i n k s \ & l t ; C o l u m n s \ S u m   o f   C a s h I n t e r e s t & g t ; - & l t ; M e a s u r e s \ C a s h I n t e r e s t & g t ; \ M E A S U R E < / K e y > < / a : K e y > < a : V a l u e   i : t y p e = " M e a s u r e G r i d V i e w S t a t e I D i a g r a m L i n k E n d p o i n t " / > < / a : K e y V a l u e O f D i a g r a m O b j e c t K e y a n y T y p e z b w N T n L X > < a : K e y V a l u e O f D i a g r a m O b j e c t K e y a n y T y p e z b w N T n L X > < a : K e y > < K e y > L i n k s \ & l t ; C o l u m n s \ S u m   o f   A c c r I n t e r e s t & g t ; - & l t ; M e a s u r e s \ A c c r I n t e r e s t & g t ; < / K e y > < / a : K e y > < a : V a l u e   i : t y p e = " M e a s u r e G r i d V i e w S t a t e I D i a g r a m L i n k " / > < / a : K e y V a l u e O f D i a g r a m O b j e c t K e y a n y T y p e z b w N T n L X > < a : K e y V a l u e O f D i a g r a m O b j e c t K e y a n y T y p e z b w N T n L X > < a : K e y > < K e y > L i n k s \ & l t ; C o l u m n s \ S u m   o f   A c c r I n t e r e s t & g t ; - & l t ; M e a s u r e s \ A c c r I n t e r e s t & g t ; \ C O L U M N < / K e y > < / a : K e y > < a : V a l u e   i : t y p e = " M e a s u r e G r i d V i e w S t a t e I D i a g r a m L i n k E n d p o i n t " / > < / a : K e y V a l u e O f D i a g r a m O b j e c t K e y a n y T y p e z b w N T n L X > < a : K e y V a l u e O f D i a g r a m O b j e c t K e y a n y T y p e z b w N T n L X > < a : K e y > < K e y > L i n k s \ & l t ; C o l u m n s \ S u m   o f   A c c r I n t e r e s t & g t ; - & l t ; M e a s u r e s \ A c c r I n t e r e s t & g t ; \ M E A S U R E < / K e y > < / a : K e y > < a : V a l u e   i : t y p e = " M e a s u r e G r i d V i e w S t a t e I D i a g r a m L i n k E n d p o i n t " / > < / a : K e y V a l u e O f D i a g r a m O b j e c t K e y a n y T y p e z b w N T n L X > < a : K e y V a l u e O f D i a g r a m O b j e c t K e y a n y T y p e z b w N T n L X > < a : K e y > < K e y > L i n k s \ & l t ; C o l u m n s \ S u m   o f   O t h e r I n c o m e & g t ; - & l t ; M e a s u r e s \ O t h e r I n c o m e & g t ; < / K e y > < / a : K e y > < a : V a l u e   i : t y p e = " M e a s u r e G r i d V i e w S t a t e I D i a g r a m L i n k " / > < / a : K e y V a l u e O f D i a g r a m O b j e c t K e y a n y T y p e z b w N T n L X > < a : K e y V a l u e O f D i a g r a m O b j e c t K e y a n y T y p e z b w N T n L X > < a : K e y > < K e y > L i n k s \ & l t ; C o l u m n s \ S u m   o f   O t h e r I n c o m e & g t ; - & l t ; M e a s u r e s \ O t h e r I n c o m e & g t ; \ C O L U M N < / K e y > < / a : K e y > < a : V a l u e   i : t y p e = " M e a s u r e G r i d V i e w S t a t e I D i a g r a m L i n k E n d p o i n t " / > < / a : K e y V a l u e O f D i a g r a m O b j e c t K e y a n y T y p e z b w N T n L X > < a : K e y V a l u e O f D i a g r a m O b j e c t K e y a n y T y p e z b w N T n L X > < a : K e y > < K e y > L i n k s \ & l t ; C o l u m n s \ S u m   o f   O t h e r I n c o m e & g t ; - & l t ; M e a s u r e s \ O t h e r I n c o m e & g t ; \ M E A S U R E < / K e y > < / a : K e y > < a : V a l u e   i : t y p e = " M e a s u r e G r i d V i e w S t a t e I D i a g r a m L i n k E n d p o i n t " / > < / a : K e y V a l u e O f D i a g r a m O b j e c t K e y a n y T y p e z b w N T n L X > < a : K e y V a l u e O f D i a g r a m O b j e c t K e y a n y T y p e z b w N T n L X > < a : K e y > < K e y > L i n k s \ & l t ; C o l u m n s \ S u m   o f   E x p e n s e s & g t ; - & l t ; M e a s u r e s \ E x p e n s e s & g t ; < / K e y > < / a : K e y > < a : V a l u e   i : t y p e = " M e a s u r e G r i d V i e w S t a t e I D i a g r a m L i n k " / > < / a : K e y V a l u e O f D i a g r a m O b j e c t K e y a n y T y p e z b w N T n L X > < a : K e y V a l u e O f D i a g r a m O b j e c t K e y a n y T y p e z b w N T n L X > < a : K e y > < K e y > L i n k s \ & l t ; C o l u m n s \ S u m   o f   E x p e n s e s & g t ; - & l t ; M e a s u r e s \ E x p e n s e s & g t ; \ C O L U M N < / K e y > < / a : K e y > < a : V a l u e   i : t y p e = " M e a s u r e G r i d V i e w S t a t e I D i a g r a m L i n k E n d p o i n t " / > < / a : K e y V a l u e O f D i a g r a m O b j e c t K e y a n y T y p e z b w N T n L X > < a : K e y V a l u e O f D i a g r a m O b j e c t K e y a n y T y p e z b w N T n L X > < a : K e y > < K e y > L i n k s \ & l t ; C o l u m n s \ S u m   o f   E x p e n s e s & g t ; - & l t ; M e a s u r e s \ E x p e n s e s & g t ; \ M E A S U R E < / K e y > < / a : K e y > < a : V a l u e   i : t y p e = " M e a s u r e G r i d V i e w S t a t e I D i a g r a m L i n k E n d p o i n t " / > < / a : K e y V a l u e O f D i a g r a m O b j e c t K e y a n y T y p e z b w N T n L X > < a : K e y V a l u e O f D i a g r a m O b j e c t K e y a n y T y p e z b w N T n L X > < a : K e y > < K e y > L i n k s \ & l t ; C o l u m n s \ S u m   o f   P r i n c i p a l R e p a i d & g t ; - & l t ; M e a s u r e s \ P r i n c i p a l R e p a i d & g t ; < / K e y > < / a : K e y > < a : V a l u e   i : t y p e = " M e a s u r e G r i d V i e w S t a t e I D i a g r a m L i n k " / > < / a : K e y V a l u e O f D i a g r a m O b j e c t K e y a n y T y p e z b w N T n L X > < a : K e y V a l u e O f D i a g r a m O b j e c t K e y a n y T y p e z b w N T n L X > < a : K e y > < K e y > L i n k s \ & l t ; C o l u m n s \ S u m   o f   P r i n c i p a l R e p a i d & g t ; - & l t ; M e a s u r e s \ P r i n c i p a l R e p a i d & g t ; \ C O L U M N < / K e y > < / a : K e y > < a : V a l u e   i : t y p e = " M e a s u r e G r i d V i e w S t a t e I D i a g r a m L i n k E n d p o i n t " / > < / a : K e y V a l u e O f D i a g r a m O b j e c t K e y a n y T y p e z b w N T n L X > < a : K e y V a l u e O f D i a g r a m O b j e c t K e y a n y T y p e z b w N T n L X > < a : K e y > < K e y > L i n k s \ & l t ; C o l u m n s \ S u m   o f   P r i n c i p a l R e p a i d & g t ; - & l t ; M e a s u r e s \ P r i n c i p a l R e p a i d & g t ; \ M E A S U R E < / K e y > < / a : K e y > < a : V a l u e   i : t y p e = " M e a s u r e G r i d V i e w S t a t e I D i a g r a m L i n k E n d p o i n t " / > < / a : K e y V a l u e O f D i a g r a m O b j e c t K e y a n y T y p e z b w N T n L X > < a : K e y V a l u e O f D i a g r a m O b j e c t K e y a n y T y p e z b w N T n L X > < a : K e y > < K e y > L i n k s \ & l t ; C o l u m n s \ S u m   o f   S t a r t V a l u e & g t ; - & l t ; M e a s u r e s \ S t a r t V a l u e & g t ; < / K e y > < / a : K e y > < a : V a l u e   i : t y p e = " M e a s u r e G r i d V i e w S t a t e I D i a g r a m L i n k " / > < / a : K e y V a l u e O f D i a g r a m O b j e c t K e y a n y T y p e z b w N T n L X > < a : K e y V a l u e O f D i a g r a m O b j e c t K e y a n y T y p e z b w N T n L X > < a : K e y > < K e y > L i n k s \ & l t ; C o l u m n s \ S u m   o f   S t a r t V a l u e & g t ; - & l t ; M e a s u r e s \ S t a r t V a l u e & g t ; \ C O L U M N < / K e y > < / a : K e y > < a : V a l u e   i : t y p e = " M e a s u r e G r i d V i e w S t a t e I D i a g r a m L i n k E n d p o i n t " / > < / a : K e y V a l u e O f D i a g r a m O b j e c t K e y a n y T y p e z b w N T n L X > < a : K e y V a l u e O f D i a g r a m O b j e c t K e y a n y T y p e z b w N T n L X > < a : K e y > < K e y > L i n k s \ & l t ; C o l u m n s \ S u m   o f   S t a r t V a l u e & g t ; - & l t ; M e a s u r e s \ S t a r t V a l u e & g t ; \ M E A S U R E < / K e y > < / a : K e y > < a : V a l u e   i : t y p e = " M e a s u r e G r i d V i e w S t a t e I D i a g r a m L i n k E n d p o i n t " / > < / a : K e y V a l u e O f D i a g r a m O b j e c t K e y a n y T y p e z b w N T n L X > < a : K e y V a l u e O f D i a g r a m O b j e c t K e y a n y T y p e z b w N T n L X > < a : K e y > < K e y > L i n k s \ & l t ; C o l u m n s \ S u m   o f   E n d V a l u e & g t ; - & l t ; M e a s u r e s \ E n d V a l u e & g t ; < / K e y > < / a : K e y > < a : V a l u e   i : t y p e = " M e a s u r e G r i d V i e w S t a t e I D i a g r a m L i n k " / > < / a : K e y V a l u e O f D i a g r a m O b j e c t K e y a n y T y p e z b w N T n L X > < a : K e y V a l u e O f D i a g r a m O b j e c t K e y a n y T y p e z b w N T n L X > < a : K e y > < K e y > L i n k s \ & l t ; C o l u m n s \ S u m   o f   E n d V a l u e & g t ; - & l t ; M e a s u r e s \ E n d V a l u e & g t ; \ C O L U M N < / K e y > < / a : K e y > < a : V a l u e   i : t y p e = " M e a s u r e G r i d V i e w S t a t e I D i a g r a m L i n k E n d p o i n t " / > < / a : K e y V a l u e O f D i a g r a m O b j e c t K e y a n y T y p e z b w N T n L X > < a : K e y V a l u e O f D i a g r a m O b j e c t K e y a n y T y p e z b w N T n L X > < a : K e y > < K e y > L i n k s \ & l t ; C o l u m n s \ S u m   o f   E n d V a l u e & g t ; - & l t ; M e a s u r e s \ E n d V a l u e & g t ; \ M E A S U R E < / K e y > < / a : K e y > < a : V a l u e   i : t y p e = " M e a s u r e G r i d V i e w S t a t e I D i a g r a m L i n k E n d p o i n t " / > < / a : K e y V a l u e O f D i a g r a m O b j e c t K e y a n y T y p e z b w N T n L X > < a : K e y V a l u e O f D i a g r a m O b j e c t K e y a n y T y p e z b w N T n L X > < a : K e y > < K e y > L i n k s \ & l t ; C o l u m n s \ S u m   o f   S t a r t P r i n c i p a l & g t ; - & l t ; M e a s u r e s \ S t a r t P r i n c i p a l & g t ; < / K e y > < / a : K e y > < a : V a l u e   i : t y p e = " M e a s u r e G r i d V i e w S t a t e I D i a g r a m L i n k " / > < / a : K e y V a l u e O f D i a g r a m O b j e c t K e y a n y T y p e z b w N T n L X > < a : K e y V a l u e O f D i a g r a m O b j e c t K e y a n y T y p e z b w N T n L X > < a : K e y > < K e y > L i n k s \ & l t ; C o l u m n s \ S u m   o f   S t a r t P r i n c i p a l & g t ; - & l t ; M e a s u r e s \ S t a r t P r i n c i p a l & g t ; \ C O L U M N < / K e y > < / a : K e y > < a : V a l u e   i : t y p e = " M e a s u r e G r i d V i e w S t a t e I D i a g r a m L i n k E n d p o i n t " / > < / a : K e y V a l u e O f D i a g r a m O b j e c t K e y a n y T y p e z b w N T n L X > < a : K e y V a l u e O f D i a g r a m O b j e c t K e y a n y T y p e z b w N T n L X > < a : K e y > < K e y > L i n k s \ & l t ; C o l u m n s \ S u m   o f   S t a r t P r i n c i p a l & g t ; - & l t ; M e a s u r e s \ S t a r t P r i n c i p a l & g t ; \ M E A S U R E < / K e y > < / a : K e y > < a : V a l u e   i : t y p e = " M e a s u r e G r i d V i e w S t a t e I D i a g r a m L i n k E n d p o i n t " / > < / a : K e y V a l u e O f D i a g r a m O b j e c t K e y a n y T y p e z b w N T n L X > < a : K e y V a l u e O f D i a g r a m O b j e c t K e y a n y T y p e z b w N T n L X > < a : K e y > < K e y > L i n k s \ & l t ; C o l u m n s \ S u m   o f   E n d P r i n c i p a l & g t ; - & l t ; M e a s u r e s \ E n d P r i n c i p a l & g t ; < / K e y > < / a : K e y > < a : V a l u e   i : t y p e = " M e a s u r e G r i d V i e w S t a t e I D i a g r a m L i n k " / > < / a : K e y V a l u e O f D i a g r a m O b j e c t K e y a n y T y p e z b w N T n L X > < a : K e y V a l u e O f D i a g r a m O b j e c t K e y a n y T y p e z b w N T n L X > < a : K e y > < K e y > L i n k s \ & l t ; C o l u m n s \ S u m   o f   E n d P r i n c i p a l & g t ; - & l t ; M e a s u r e s \ E n d P r i n c i p a l & g t ; \ C O L U M N < / K e y > < / a : K e y > < a : V a l u e   i : t y p e = " M e a s u r e G r i d V i e w S t a t e I D i a g r a m L i n k E n d p o i n t " / > < / a : K e y V a l u e O f D i a g r a m O b j e c t K e y a n y T y p e z b w N T n L X > < a : K e y V a l u e O f D i a g r a m O b j e c t K e y a n y T y p e z b w N T n L X > < a : K e y > < K e y > L i n k s \ & l t ; C o l u m n s \ S u m   o f   E n d P r i n c i p a l & g t ; - & l t ; M e a s u r e s \ E n d P r i n c i p a l & g t ; \ M E A S U R E < / K e y > < / a : K e y > < a : V a l u e   i : t y p e = " M e a s u r e G r i d V i e w S t a t e I D i a g r a m L i n k E n d p o i n t " / > < / a : K e y V a l u e O f D i a g r a m O b j e c t K e y a n y T y p e z b w N T n L X > < a : K e y V a l u e O f D i a g r a m O b j e c t K e y a n y T y p e z b w N T n L X > < a : K e y > < K e y > L i n k s \ & l t ; C o l u m n s \ S u m   o f   S t a r t N A V & g t ; - & l t ; M e a s u r e s \ S t a r t N A V & g t ; < / K e y > < / a : K e y > < a : V a l u e   i : t y p e = " M e a s u r e G r i d V i e w S t a t e I D i a g r a m L i n k " / > < / a : K e y V a l u e O f D i a g r a m O b j e c t K e y a n y T y p e z b w N T n L X > < a : K e y V a l u e O f D i a g r a m O b j e c t K e y a n y T y p e z b w N T n L X > < a : K e y > < K e y > L i n k s \ & l t ; C o l u m n s \ S u m   o f   S t a r t N A V & g t ; - & l t ; M e a s u r e s \ S t a r t N A V & g t ; \ C O L U M N < / K e y > < / a : K e y > < a : V a l u e   i : t y p e = " M e a s u r e G r i d V i e w S t a t e I D i a g r a m L i n k E n d p o i n t " / > < / a : K e y V a l u e O f D i a g r a m O b j e c t K e y a n y T y p e z b w N T n L X > < a : K e y V a l u e O f D i a g r a m O b j e c t K e y a n y T y p e z b w N T n L X > < a : K e y > < K e y > L i n k s \ & l t ; C o l u m n s \ S u m   o f   S t a r t N A V & g t ; - & l t ; M e a s u r e s \ S t a r t N A V & g t ; \ M E A S U R E < / K e y > < / a : K e y > < a : V a l u e   i : t y p e = " M e a s u r e G r i d V i e w S t a t e I D i a g r a m L i n k E n d p o i n t " / > < / a : K e y V a l u e O f D i a g r a m O b j e c t K e y a n y T y p e z b w N T n L X > < a : K e y V a l u e O f D i a g r a m O b j e c t K e y a n y T y p e z b w N T n L X > < a : K e y > < K e y > L i n k s \ & l t ; C o l u m n s \ S u m   o f   E n d N A V & g t ; - & l t ; M e a s u r e s \ E n d N A V & g t ; < / K e y > < / a : K e y > < a : V a l u e   i : t y p e = " M e a s u r e G r i d V i e w S t a t e I D i a g r a m L i n k " / > < / a : K e y V a l u e O f D i a g r a m O b j e c t K e y a n y T y p e z b w N T n L X > < a : K e y V a l u e O f D i a g r a m O b j e c t K e y a n y T y p e z b w N T n L X > < a : K e y > < K e y > L i n k s \ & l t ; C o l u m n s \ S u m   o f   E n d N A V & g t ; - & l t ; M e a s u r e s \ E n d N A V & g t ; \ C O L U M N < / K e y > < / a : K e y > < a : V a l u e   i : t y p e = " M e a s u r e G r i d V i e w S t a t e I D i a g r a m L i n k E n d p o i n t " / > < / a : K e y V a l u e O f D i a g r a m O b j e c t K e y a n y T y p e z b w N T n L X > < a : K e y V a l u e O f D i a g r a m O b j e c t K e y a n y T y p e z b w N T n L X > < a : K e y > < K e y > L i n k s \ & l t ; C o l u m n s \ S u m   o f   E n d N A V & g t ; - & l t ; M e a s u r e s \ E n d N A V & g t ; \ M E A S U R E < / K e y > < / a : K e y > < a : V a l u e   i : t y p e = " M e a s u r e G r i d V i e w S t a t e I D i a g r a m L i n k E n d p o i n t " / > < / a : K e y V a l u e O f D i a g r a m O b j e c t K e y a n y T y p e z b w N T n L X > < a : K e y V a l u e O f D i a g r a m O b j e c t K e y a n y T y p e z b w N T n L X > < a : K e y > < K e y > L i n k s \ & l t ; C o l u m n s \ S u m   o f   P r i n c i p a l F u n d e d & g t ; - & l t ; M e a s u r e s \ P r i n c i p a l F u n d e d & g t ; < / K e y > < / a : K e y > < a : V a l u e   i : t y p e = " M e a s u r e G r i d V i e w S t a t e I D i a g r a m L i n k " / > < / a : K e y V a l u e O f D i a g r a m O b j e c t K e y a n y T y p e z b w N T n L X > < a : K e y V a l u e O f D i a g r a m O b j e c t K e y a n y T y p e z b w N T n L X > < a : K e y > < K e y > L i n k s \ & l t ; C o l u m n s \ S u m   o f   P r i n c i p a l F u n d e d & g t ; - & l t ; M e a s u r e s \ P r i n c i p a l F u n d e d & g t ; \ C O L U M N < / K e y > < / a : K e y > < a : V a l u e   i : t y p e = " M e a s u r e G r i d V i e w S t a t e I D i a g r a m L i n k E n d p o i n t " / > < / a : K e y V a l u e O f D i a g r a m O b j e c t K e y a n y T y p e z b w N T n L X > < a : K e y V a l u e O f D i a g r a m O b j e c t K e y a n y T y p e z b w N T n L X > < a : K e y > < K e y > L i n k s \ & l t ; C o l u m n s \ S u m   o f   P r i n c i p a l F u n d e d & g t ; - & l t ; M e a s u r e s \ P r i n c i p a l F u n d e d & g t ; \ M E A S U R E < / K e y > < / a : K e y > < a : V a l u e   i : t y p e = " M e a s u r e G r i d V i e w S t a t e I D i a g r a m L i n k E n d p o i n t " / > < / a : K e y V a l u e O f D i a g r a m O b j e c t K e y a n y T y p e z b w N T n L X > < a : K e y V a l u e O f D i a g r a m O b j e c t K e y a n y T y p e z b w N T n L X > < a : K e y > < K e y > L i n k s \ & l t ; C o l u m n s \ S u m   o f   L o a n I D & g t ; - & l t ; M e a s u r e s \ L o a n I D & g t ; < / K e y > < / a : K e y > < a : V a l u e   i : t y p e = " M e a s u r e G r i d V i e w S t a t e I D i a g r a m L i n k " / > < / a : K e y V a l u e O f D i a g r a m O b j e c t K e y a n y T y p e z b w N T n L X > < a : K e y V a l u e O f D i a g r a m O b j e c t K e y a n y T y p e z b w N T n L X > < a : K e y > < K e y > L i n k s \ & l t ; C o l u m n s \ S u m   o f   L o a n I D & g t ; - & l t ; M e a s u r e s \ L o a n I D & g t ; \ C O L U M N < / K e y > < / a : K e y > < a : V a l u e   i : t y p e = " M e a s u r e G r i d V i e w S t a t e I D i a g r a m L i n k E n d p o i n t " / > < / a : K e y V a l u e O f D i a g r a m O b j e c t K e y a n y T y p e z b w N T n L X > < a : K e y V a l u e O f D i a g r a m O b j e c t K e y a n y T y p e z b w N T n L X > < a : K e y > < K e y > L i n k s \ & l t ; C o l u m n s \ S u m   o f   L o a n I D & g t ; - & l t ; M e a s u r e s \ L o a n I D & g t ; \ M E A S U R E < / K e y > < / a : K e y > < a : V a l u e   i : t y p e = " M e a s u r e G r i d V i e w S t a t e I D i a g r a m L i n k E n d p o i n t " / > < / a : K e y V a l u e O f D i a g r a m O b j e c t K e y a n y T y p e z b w N T n L X > < a : K e y V a l u e O f D i a g r a m O b j e c t K e y a n y T y p e z b w N T n L X > < a : K e y > < K e y > L i n k s \ & l t ; C o l u m n s \ D i s t i n c t   C o u n t   o f   L o a n I D & g t ; - & l t ; M e a s u r e s \ L o a n I D & g t ; < / K e y > < / a : K e y > < a : V a l u e   i : t y p e = " M e a s u r e G r i d V i e w S t a t e I D i a g r a m L i n k " / > < / a : K e y V a l u e O f D i a g r a m O b j e c t K e y a n y T y p e z b w N T n L X > < a : K e y V a l u e O f D i a g r a m O b j e c t K e y a n y T y p e z b w N T n L X > < a : K e y > < K e y > L i n k s \ & l t ; C o l u m n s \ D i s t i n c t   C o u n t   o f   L o a n I D & g t ; - & l t ; M e a s u r e s \ L o a n I D & g t ; \ C O L U M N < / K e y > < / a : K e y > < a : V a l u e   i : t y p e = " M e a s u r e G r i d V i e w S t a t e I D i a g r a m L i n k E n d p o i n t " / > < / a : K e y V a l u e O f D i a g r a m O b j e c t K e y a n y T y p e z b w N T n L X > < a : K e y V a l u e O f D i a g r a m O b j e c t K e y a n y T y p e z b w N T n L X > < a : K e y > < K e y > L i n k s \ & l t ; C o l u m n s \ D i s t i n c t   C o u n t   o f   L o a n I D & g t ; - & l t ; M e a s u r e s \ L o a n I D & g t ; \ M E A S U R E < / K e y > < / a : K e y > < a : V a l u e   i : t y p e = " M e a s u r e G r i d V i e w S t a t e I D i a g r a m L i n k E n d p o i n t " / > < / a : K e y V a l u e O f D i a g r a m O b j e c t K e y a n y T y p e z b w N T n L X > < a : K e y V a l u e O f D i a g r a m O b j e c t K e y a n y T y p e z b w N T n L X > < a : K e y > < K e y > L i n k s \ & l t ; C o l u m n s \ S u m   o f   M a n a g e r C o d e   2 & g t ; - & l t ; M e a s u r e s \ M a n a g e r C o d e & g t ; < / K e y > < / a : K e y > < a : V a l u e   i : t y p e = " M e a s u r e G r i d V i e w S t a t e I D i a g r a m L i n k " / > < / a : K e y V a l u e O f D i a g r a m O b j e c t K e y a n y T y p e z b w N T n L X > < a : K e y V a l u e O f D i a g r a m O b j e c t K e y a n y T y p e z b w N T n L X > < a : K e y > < K e y > L i n k s \ & l t ; C o l u m n s \ S u m   o f   M a n a g e r C o d e   2 & g t ; - & l t ; M e a s u r e s \ M a n a g e r C o d e & g t ; \ C O L U M N < / K e y > < / a : K e y > < a : V a l u e   i : t y p e = " M e a s u r e G r i d V i e w S t a t e I D i a g r a m L i n k E n d p o i n t " / > < / a : K e y V a l u e O f D i a g r a m O b j e c t K e y a n y T y p e z b w N T n L X > < a : K e y V a l u e O f D i a g r a m O b j e c t K e y a n y T y p e z b w N T n L X > < a : K e y > < K e y > L i n k s \ & l t ; C o l u m n s \ S u m   o f   M a n a g e r C o d e   2 & g t ; - & l t ; M e a s u r e s \ M a n a g e r C o d e & g t ; \ M E A S U R E < / K e y > < / a : K e y > < a : V a l u e   i : t y p e = " M e a s u r e G r i d V i e w S t a t e I D i a g r a m L i n k E n d p o i n t " / > < / a : K e y V a l u e O f D i a g r a m O b j e c t K e y a n y T y p e z b w N T n L X > < a : K e y V a l u e O f D i a g r a m O b j e c t K e y a n y T y p e z b w N T n L X > < a : K e y > < K e y > L i n k s \ & l t ; C o l u m n s \ D i s t i n c t   C o u n t   o f   M a n a g e r C o d e   2 & g t ; - & l t ; M e a s u r e s \ M a n a g e r C o d e & g t ; < / K e y > < / a : K e y > < a : V a l u e   i : t y p e = " M e a s u r e G r i d V i e w S t a t e I D i a g r a m L i n k " / > < / a : K e y V a l u e O f D i a g r a m O b j e c t K e y a n y T y p e z b w N T n L X > < a : K e y V a l u e O f D i a g r a m O b j e c t K e y a n y T y p e z b w N T n L X > < a : K e y > < K e y > L i n k s \ & l t ; C o l u m n s \ D i s t i n c t   C o u n t   o f   M a n a g e r C o d e   2 & g t ; - & l t ; M e a s u r e s \ M a n a g e r C o d e & g t ; \ C O L U M N < / K e y > < / a : K e y > < a : V a l u e   i : t y p e = " M e a s u r e G r i d V i e w S t a t e I D i a g r a m L i n k E n d p o i n t " / > < / a : K e y V a l u e O f D i a g r a m O b j e c t K e y a n y T y p e z b w N T n L X > < a : K e y V a l u e O f D i a g r a m O b j e c t K e y a n y T y p e z b w N T n L X > < a : K e y > < K e y > L i n k s \ & l t ; C o l u m n s \ D i s t i n c t   C o u n t   o f   M a n a g e r C o d e   2 & g t ; - & l t ; M e a s u r e s \ M a n a g e r C o d e & g t ; \ M E A S U R E < / K e y > < / a : K e y > < a : V a l u e   i : t y p e = " M e a s u r e G r i d V i e w S t a t e I D i a g r a m L i n k E n d p o i n t " / > < / a : K e y V a l u e O f D i a g r a m O b j e c t K e y a n y T y p e z b w N T n L X > < / V i e w S t a t e s > < / D i a g r a m M a n a g e r . S e r i a l i z a b l e D i a g r a m > < D i a g r a m M a n a g e r . S e r i a l i z a b l e D i a g r a m > < A d a p t e r   i : t y p e = " M e a s u r e D i a g r a m S a n d b o x A d a p t e r " > < T a b l e N a m e > T a b l e 1 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 M a n a g e r C o d e < / K e y > < / D i a g r a m O b j e c t K e y > < D i a g r a m O b j e c t K e y > < K e y > M e a s u r e s \ S u m   o f   M a n a g e r C o d e \ T a g I n f o \ F o r m u l a < / K e y > < / D i a g r a m O b j e c t K e y > < D i a g r a m O b j e c t K e y > < K e y > M e a s u r e s \ S u m   o f   M a n a g e r C o d e \ T a g I n f o \ V a l u e < / K e y > < / D i a g r a m O b j e c t K e y > < D i a g r a m O b j e c t K e y > < K e y > M e a s u r e s \ D i s t i n c t   C o u n t   o f   M a n a g e r C o d e < / K e y > < / D i a g r a m O b j e c t K e y > < D i a g r a m O b j e c t K e y > < K e y > M e a s u r e s \ D i s t i n c t   C o u n t   o f   M a n a g e r C o d e \ T a g I n f o \ F o r m u l a < / K e y > < / D i a g r a m O b j e c t K e y > < D i a g r a m O b j e c t K e y > < K e y > M e a s u r e s \ D i s t i n c t   C o u n t   o f   M a n a g e r C o d e \ T a g I n f o \ V a l u e < / K e y > < / D i a g r a m O b j e c t K e y > < D i a g r a m O b j e c t K e y > < K e y > C o l u m n s \ G - L   I D < / K e y > < / D i a g r a m O b j e c t K e y > < D i a g r a m O b j e c t K e y > < K e y > C o l u m n s \ M a n a g e r C o d e < / K e y > < / D i a g r a m O b j e c t K e y > < D i a g r a m O b j e c t K e y > < K e y > C o l u m n s \ V i n Y e a r < / K e y > < / D i a g r a m O b j e c t K e y > < D i a g r a m O b j e c t K e y > < K e y > C o l u m n s \ L o a n   T y p e   a s   r e p o r t e d < / K e y > < / D i a g r a m O b j e c t K e y > < D i a g r a m O b j e c t K e y > < K e y > C o l u m n s \ P m t   T y p e < / K e y > < / D i a g r a m O b j e c t K e y > < D i a g r a m O b j e c t K e y > < K e y > C o l u m n s \ L o w e r L T V 1 < / K e y > < / D i a g r a m O b j e c t K e y > < D i a g r a m O b j e c t K e y > < K e y > C o l u m n s \ U p p e r A t t a c h < / K e y > < / D i a g r a m O b j e c t K e y > < D i a g r a m O b j e c t K e y > < K e y > C o l u m n s \ C a p S t a c k F l a g < / K e y > < / D i a g r a m O b j e c t K e y > < D i a g r a m O b j e c t K e y > < K e y > C o l u m n s \ R e p o r t e d   P r i n c i p a l < / K e y > < / D i a g r a m O b j e c t K e y > < D i a g r a m O b j e c t K e y > < K e y > C o l u m n s \ P r o p T y p e < / K e y > < / D i a g r a m O b j e c t K e y > < D i a g r a m O b j e c t K e y > < K e y > C o l u m n s \ I n t e r e s t   R a t e < / K e y > < / D i a g r a m O b j e c t K e y > < D i a g r a m O b j e c t K e y > < K e y > C o l u m n s \ A d v a n c e R a t e < / K e y > < / D i a g r a m O b j e c t K e y > < D i a g r a m O b j e c t K e y > < K e y > C o l u m n s \ S U B   F l a g < / K e y > < / D i a g r a m O b j e c t K e y > < D i a g r a m O b j e c t K e y > < K e y > C o l u m n s \ S C H E M A T I C   T Y P E < / K e y > < / D i a g r a m O b j e c t K e y > < D i a g r a m O b j e c t K e y > < K e y > C o l u m n s \ L o a n T y p e < / K e y > < / D i a g r a m O b j e c t K e y > < D i a g r a m O b j e c t K e y > < K e y > C o l u m n s \ C o l l a t e r a l V a l u e < / K e y > < / D i a g r a m O b j e c t K e y > < D i a g r a m O b j e c t K e y > < K e y > C o l u m n s \ S t r a t e g y < / K e y > < / D i a g r a m O b j e c t K e y > < D i a g r a m O b j e c t K e y > < K e y > C o l u m n s \ P u r p o s e < / K e y > < / D i a g r a m O b j e c t K e y > < D i a g r a m O b j e c t K e y > < K e y > C o l u m n s \ G - L   r e c l a s s   s t r a t e g y < / K e y > < / D i a g r a m O b j e c t K e y > < D i a g r a m O b j e c t K e y > < K e y > C o l u m n s \ G - L   S u b S t r a t e g y < / K e y > < / D i a g r a m O b j e c t K e y > < D i a g r a m O b j e c t K e y > < K e y > C o l u m n s \ L o w e r A t t a c h L a b e l < / K e y > < / D i a g r a m O b j e c t K e y > < D i a g r a m O b j e c t K e y > < K e y > C o l u m n s \ U p p e r A t t a c h L a b e l < / K e y > < / D i a g r a m O b j e c t K e y > < D i a g r a m O b j e c t K e y > < K e y > C o l u m n s \ T e r m < / K e y > < / D i a g r a m O b j e c t K e y > < D i a g r a m O b j e c t K e y > < K e y > C o l u m n s \ L o w e r A t t a c h < / K e y > < / D i a g r a m O b j e c t K e y > < D i a g r a m O b j e c t K e y > < K e y > C o l u m n s \ P r i n c i p a l   N A V < / K e y > < / D i a g r a m O b j e c t K e y > < D i a g r a m O b j e c t K e y > < K e y > C o l u m n s \ P r i n c i p a l   G A V < / K e y > < / D i a g r a m O b j e c t K e y > < D i a g r a m O b j e c t K e y > < K e y > L i n k s \ & l t ; C o l u m n s \ S u m   o f   M a n a g e r C o d e & g t ; - & l t ; M e a s u r e s \ M a n a g e r C o d e & g t ; < / K e y > < / D i a g r a m O b j e c t K e y > < D i a g r a m O b j e c t K e y > < K e y > L i n k s \ & l t ; C o l u m n s \ S u m   o f   M a n a g e r C o d e & g t ; - & l t ; M e a s u r e s \ M a n a g e r C o d e & g t ; \ C O L U M N < / K e y > < / D i a g r a m O b j e c t K e y > < D i a g r a m O b j e c t K e y > < K e y > L i n k s \ & l t ; C o l u m n s \ S u m   o f   M a n a g e r C o d e & g t ; - & l t ; M e a s u r e s \ M a n a g e r C o d e & g t ; \ M E A S U R E < / K e y > < / D i a g r a m O b j e c t K e y > < D i a g r a m O b j e c t K e y > < K e y > L i n k s \ & l t ; C o l u m n s \ D i s t i n c t   C o u n t   o f   M a n a g e r C o d e & g t ; - & l t ; M e a s u r e s \ M a n a g e r C o d e & g t ; < / K e y > < / D i a g r a m O b j e c t K e y > < D i a g r a m O b j e c t K e y > < K e y > L i n k s \ & l t ; C o l u m n s \ D i s t i n c t   C o u n t   o f   M a n a g e r C o d e & g t ; - & l t ; M e a s u r e s \ M a n a g e r C o d e & g t ; \ C O L U M N < / K e y > < / D i a g r a m O b j e c t K e y > < D i a g r a m O b j e c t K e y > < K e y > L i n k s \ & l t ; C o l u m n s \ D i s t i n c t   C o u n t   o f   M a n a g e r C o d e & g t ; - & l t ; M e a s u r e s \ M a n a g e r C o d e & g t ; \ M E A S U R E 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 M a n a g e r C o d e < / K e y > < / a : K e y > < a : V a l u e   i : t y p e = " M e a s u r e G r i d N o d e V i e w S t a t e " > < C o l u m n > 2 5 < / C o l u m n > < L a y e d O u t > t r u e < / L a y e d O u t > < W a s U I I n v i s i b l e > t r u e < / W a s U I I n v i s i b l e > < / a : V a l u e > < / a : K e y V a l u e O f D i a g r a m O b j e c t K e y a n y T y p e z b w N T n L X > < a : K e y V a l u e O f D i a g r a m O b j e c t K e y a n y T y p e z b w N T n L X > < a : K e y > < K e y > M e a s u r e s \ S u m   o f   M a n a g e r C o d e \ T a g I n f o \ F o r m u l a < / K e y > < / a : K e y > < a : V a l u e   i : t y p e = " M e a s u r e G r i d V i e w S t a t e I D i a g r a m T a g A d d i t i o n a l I n f o " / > < / a : K e y V a l u e O f D i a g r a m O b j e c t K e y a n y T y p e z b w N T n L X > < a : K e y V a l u e O f D i a g r a m O b j e c t K e y a n y T y p e z b w N T n L X > < a : K e y > < K e y > M e a s u r e s \ S u m   o f   M a n a g e r C o d e \ T a g I n f o \ V a l u e < / K e y > < / a : K e y > < a : V a l u e   i : t y p e = " M e a s u r e G r i d V i e w S t a t e I D i a g r a m T a g A d d i t i o n a l I n f o " / > < / a : K e y V a l u e O f D i a g r a m O b j e c t K e y a n y T y p e z b w N T n L X > < a : K e y V a l u e O f D i a g r a m O b j e c t K e y a n y T y p e z b w N T n L X > < a : K e y > < K e y > M e a s u r e s \ D i s t i n c t   C o u n t   o f   M a n a g e r C o d e < / K e y > < / a : K e y > < a : V a l u e   i : t y p e = " M e a s u r e G r i d N o d e V i e w S t a t e " > < C o l u m n > 2 5 < / C o l u m n > < L a y e d O u t > t r u e < / L a y e d O u t > < R o w > 1 < / R o w > < W a s U I I n v i s i b l e > t r u e < / W a s U I I n v i s i b l e > < / a : V a l u e > < / a : K e y V a l u e O f D i a g r a m O b j e c t K e y a n y T y p e z b w N T n L X > < a : K e y V a l u e O f D i a g r a m O b j e c t K e y a n y T y p e z b w N T n L X > < a : K e y > < K e y > M e a s u r e s \ D i s t i n c t   C o u n t   o f   M a n a g e r C o d e \ T a g I n f o \ F o r m u l a < / K e y > < / a : K e y > < a : V a l u e   i : t y p e = " M e a s u r e G r i d V i e w S t a t e I D i a g r a m T a g A d d i t i o n a l I n f o " / > < / a : K e y V a l u e O f D i a g r a m O b j e c t K e y a n y T y p e z b w N T n L X > < a : K e y V a l u e O f D i a g r a m O b j e c t K e y a n y T y p e z b w N T n L X > < a : K e y > < K e y > M e a s u r e s \ D i s t i n c t   C o u n t   o f   M a n a g e r C o d e \ T a g I n f o \ V a l u e < / K e y > < / a : K e y > < a : V a l u e   i : t y p e = " M e a s u r e G r i d V i e w S t a t e I D i a g r a m T a g A d d i t i o n a l I n f o " / > < / a : K e y V a l u e O f D i a g r a m O b j e c t K e y a n y T y p e z b w N T n L X > < a : K e y V a l u e O f D i a g r a m O b j e c t K e y a n y T y p e z b w N T n L X > < a : K e y > < K e y > C o l u m n s \ G - L   I D < / K e y > < / a : K e y > < a : V a l u e   i : t y p e = " M e a s u r e G r i d N o d e V i e w S t a t e " > < L a y e d O u t > t r u e < / L a y e d O u t > < / a : V a l u e > < / a : K e y V a l u e O f D i a g r a m O b j e c t K e y a n y T y p e z b w N T n L X > < a : K e y V a l u e O f D i a g r a m O b j e c t K e y a n y T y p e z b w N T n L X > < a : K e y > < K e y > C o l u m n s \ M a n a g e r C o d e < / K e y > < / a : K e y > < a : V a l u e   i : t y p e = " M e a s u r e G r i d N o d e V i e w S t a t e " > < C o l u m n > 2 5 < / C o l u m n > < L a y e d O u t > t r u e < / L a y e d O u t > < / a : V a l u e > < / a : K e y V a l u e O f D i a g r a m O b j e c t K e y a n y T y p e z b w N T n L X > < a : K e y V a l u e O f D i a g r a m O b j e c t K e y a n y T y p e z b w N T n L X > < a : K e y > < K e y > C o l u m n s \ V i n Y e a r < / K e y > < / a : K e y > < a : V a l u e   i : t y p e = " M e a s u r e G r i d N o d e V i e w S t a t e " > < C o l u m n > 1 < / C o l u m n > < L a y e d O u t > t r u e < / L a y e d O u t > < / a : V a l u e > < / a : K e y V a l u e O f D i a g r a m O b j e c t K e y a n y T y p e z b w N T n L X > < a : K e y V a l u e O f D i a g r a m O b j e c t K e y a n y T y p e z b w N T n L X > < a : K e y > < K e y > C o l u m n s \ L o a n   T y p e   a s   r e p o r t e d < / K e y > < / a : K e y > < a : V a l u e   i : t y p e = " M e a s u r e G r i d N o d e V i e w S t a t e " > < C o l u m n > 2 < / C o l u m n > < L a y e d O u t > t r u e < / L a y e d O u t > < / a : V a l u e > < / a : K e y V a l u e O f D i a g r a m O b j e c t K e y a n y T y p e z b w N T n L X > < a : K e y V a l u e O f D i a g r a m O b j e c t K e y a n y T y p e z b w N T n L X > < a : K e y > < K e y > C o l u m n s \ P m t   T y p e < / K e y > < / a : K e y > < a : V a l u e   i : t y p e = " M e a s u r e G r i d N o d e V i e w S t a t e " > < C o l u m n > 3 < / C o l u m n > < L a y e d O u t > t r u e < / L a y e d O u t > < / a : V a l u e > < / a : K e y V a l u e O f D i a g r a m O b j e c t K e y a n y T y p e z b w N T n L X > < a : K e y V a l u e O f D i a g r a m O b j e c t K e y a n y T y p e z b w N T n L X > < a : K e y > < K e y > C o l u m n s \ L o w e r L T V 1 < / K e y > < / a : K e y > < a : V a l u e   i : t y p e = " M e a s u r e G r i d N o d e V i e w S t a t e " > < C o l u m n > 4 < / C o l u m n > < L a y e d O u t > t r u e < / L a y e d O u t > < / a : V a l u e > < / a : K e y V a l u e O f D i a g r a m O b j e c t K e y a n y T y p e z b w N T n L X > < a : K e y V a l u e O f D i a g r a m O b j e c t K e y a n y T y p e z b w N T n L X > < a : K e y > < K e y > C o l u m n s \ U p p e r A t t a c h < / K e y > < / a : K e y > < a : V a l u e   i : t y p e = " M e a s u r e G r i d N o d e V i e w S t a t e " > < C o l u m n > 5 < / C o l u m n > < L a y e d O u t > t r u e < / L a y e d O u t > < / a : V a l u e > < / a : K e y V a l u e O f D i a g r a m O b j e c t K e y a n y T y p e z b w N T n L X > < a : K e y V a l u e O f D i a g r a m O b j e c t K e y a n y T y p e z b w N T n L X > < a : K e y > < K e y > C o l u m n s \ C a p S t a c k F l a g < / K e y > < / a : K e y > < a : V a l u e   i : t y p e = " M e a s u r e G r i d N o d e V i e w S t a t e " > < C o l u m n > 6 < / C o l u m n > < L a y e d O u t > t r u e < / L a y e d O u t > < / a : V a l u e > < / a : K e y V a l u e O f D i a g r a m O b j e c t K e y a n y T y p e z b w N T n L X > < a : K e y V a l u e O f D i a g r a m O b j e c t K e y a n y T y p e z b w N T n L X > < a : K e y > < K e y > C o l u m n s \ R e p o r t e d   P r i n c i p a l < / K e y > < / a : K e y > < a : V a l u e   i : t y p e = " M e a s u r e G r i d N o d e V i e w S t a t e " > < C o l u m n > 7 < / C o l u m n > < L a y e d O u t > t r u e < / L a y e d O u t > < / a : V a l u e > < / a : K e y V a l u e O f D i a g r a m O b j e c t K e y a n y T y p e z b w N T n L X > < a : K e y V a l u e O f D i a g r a m O b j e c t K e y a n y T y p e z b w N T n L X > < a : K e y > < K e y > C o l u m n s \ P r o p T y p e < / K e y > < / a : K e y > < a : V a l u e   i : t y p e = " M e a s u r e G r i d N o d e V i e w S t a t e " > < C o l u m n > 8 < / C o l u m n > < L a y e d O u t > t r u e < / L a y e d O u t > < / a : V a l u e > < / a : K e y V a l u e O f D i a g r a m O b j e c t K e y a n y T y p e z b w N T n L X > < a : K e y V a l u e O f D i a g r a m O b j e c t K e y a n y T y p e z b w N T n L X > < a : K e y > < K e y > C o l u m n s \ I n t e r e s t   R a t e < / K e y > < / a : K e y > < a : V a l u e   i : t y p e = " M e a s u r e G r i d N o d e V i e w S t a t e " > < C o l u m n > 9 < / C o l u m n > < L a y e d O u t > t r u e < / L a y e d O u t > < / a : V a l u e > < / a : K e y V a l u e O f D i a g r a m O b j e c t K e y a n y T y p e z b w N T n L X > < a : K e y V a l u e O f D i a g r a m O b j e c t K e y a n y T y p e z b w N T n L X > < a : K e y > < K e y > C o l u m n s \ A d v a n c e R a t e < / K e y > < / a : K e y > < a : V a l u e   i : t y p e = " M e a s u r e G r i d N o d e V i e w S t a t e " > < C o l u m n > 1 0 < / C o l u m n > < L a y e d O u t > t r u e < / L a y e d O u t > < / a : V a l u e > < / a : K e y V a l u e O f D i a g r a m O b j e c t K e y a n y T y p e z b w N T n L X > < a : K e y V a l u e O f D i a g r a m O b j e c t K e y a n y T y p e z b w N T n L X > < a : K e y > < K e y > C o l u m n s \ S U B   F l a g < / K e y > < / a : K e y > < a : V a l u e   i : t y p e = " M e a s u r e G r i d N o d e V i e w S t a t e " > < C o l u m n > 1 1 < / C o l u m n > < L a y e d O u t > t r u e < / L a y e d O u t > < / a : V a l u e > < / a : K e y V a l u e O f D i a g r a m O b j e c t K e y a n y T y p e z b w N T n L X > < a : K e y V a l u e O f D i a g r a m O b j e c t K e y a n y T y p e z b w N T n L X > < a : K e y > < K e y > C o l u m n s \ S C H E M A T I C   T Y P E < / K e y > < / a : K e y > < a : V a l u e   i : t y p e = " M e a s u r e G r i d N o d e V i e w S t a t e " > < C o l u m n > 1 2 < / C o l u m n > < L a y e d O u t > t r u e < / L a y e d O u t > < / a : V a l u e > < / a : K e y V a l u e O f D i a g r a m O b j e c t K e y a n y T y p e z b w N T n L X > < a : K e y V a l u e O f D i a g r a m O b j e c t K e y a n y T y p e z b w N T n L X > < a : K e y > < K e y > C o l u m n s \ L o a n T y p e < / K e y > < / a : K e y > < a : V a l u e   i : t y p e = " M e a s u r e G r i d N o d e V i e w S t a t e " > < C o l u m n > 2 4 < / C o l u m n > < L a y e d O u t > t r u e < / L a y e d O u t > < / a : V a l u e > < / a : K e y V a l u e O f D i a g r a m O b j e c t K e y a n y T y p e z b w N T n L X > < a : K e y V a l u e O f D i a g r a m O b j e c t K e y a n y T y p e z b w N T n L X > < a : K e y > < K e y > C o l u m n s \ C o l l a t e r a l V a l u e < / K e y > < / a : K e y > < a : V a l u e   i : t y p e = " M e a s u r e G r i d N o d e V i e w S t a t e " > < C o l u m n > 1 3 < / C o l u m n > < L a y e d O u t > t r u e < / L a y e d O u t > < / a : V a l u e > < / a : K e y V a l u e O f D i a g r a m O b j e c t K e y a n y T y p e z b w N T n L X > < a : K e y V a l u e O f D i a g r a m O b j e c t K e y a n y T y p e z b w N T n L X > < a : K e y > < K e y > C o l u m n s \ S t r a t e g y < / K e y > < / a : K e y > < a : V a l u e   i : t y p e = " M e a s u r e G r i d N o d e V i e w S t a t e " > < C o l u m n > 1 4 < / C o l u m n > < L a y e d O u t > t r u e < / L a y e d O u t > < / a : V a l u e > < / a : K e y V a l u e O f D i a g r a m O b j e c t K e y a n y T y p e z b w N T n L X > < a : K e y V a l u e O f D i a g r a m O b j e c t K e y a n y T y p e z b w N T n L X > < a : K e y > < K e y > C o l u m n s \ P u r p o s e < / K e y > < / a : K e y > < a : V a l u e   i : t y p e = " M e a s u r e G r i d N o d e V i e w S t a t e " > < C o l u m n > 1 5 < / C o l u m n > < L a y e d O u t > t r u e < / L a y e d O u t > < / a : V a l u e > < / a : K e y V a l u e O f D i a g r a m O b j e c t K e y a n y T y p e z b w N T n L X > < a : K e y V a l u e O f D i a g r a m O b j e c t K e y a n y T y p e z b w N T n L X > < a : K e y > < K e y > C o l u m n s \ G - L   r e c l a s s   s t r a t e g y < / K e y > < / a : K e y > < a : V a l u e   i : t y p e = " M e a s u r e G r i d N o d e V i e w S t a t e " > < C o l u m n > 1 6 < / C o l u m n > < L a y e d O u t > t r u e < / L a y e d O u t > < / a : V a l u e > < / a : K e y V a l u e O f D i a g r a m O b j e c t K e y a n y T y p e z b w N T n L X > < a : K e y V a l u e O f D i a g r a m O b j e c t K e y a n y T y p e z b w N T n L X > < a : K e y > < K e y > C o l u m n s \ G - L   S u b S t r a t e g y < / K e y > < / a : K e y > < a : V a l u e   i : t y p e = " M e a s u r e G r i d N o d e V i e w S t a t e " > < C o l u m n > 1 7 < / C o l u m n > < L a y e d O u t > t r u e < / L a y e d O u t > < / a : V a l u e > < / a : K e y V a l u e O f D i a g r a m O b j e c t K e y a n y T y p e z b w N T n L X > < a : K e y V a l u e O f D i a g r a m O b j e c t K e y a n y T y p e z b w N T n L X > < a : K e y > < K e y > C o l u m n s \ L o w e r A t t a c h L a b e l < / K e y > < / a : K e y > < a : V a l u e   i : t y p e = " M e a s u r e G r i d N o d e V i e w S t a t e " > < C o l u m n > 1 8 < / C o l u m n > < L a y e d O u t > t r u e < / L a y e d O u t > < / a : V a l u e > < / a : K e y V a l u e O f D i a g r a m O b j e c t K e y a n y T y p e z b w N T n L X > < a : K e y V a l u e O f D i a g r a m O b j e c t K e y a n y T y p e z b w N T n L X > < a : K e y > < K e y > C o l u m n s \ U p p e r A t t a c h L a b e l < / K e y > < / a : K e y > < a : V a l u e   i : t y p e = " M e a s u r e G r i d N o d e V i e w S t a t e " > < C o l u m n > 1 9 < / C o l u m n > < L a y e d O u t > t r u e < / L a y e d O u t > < / a : V a l u e > < / a : K e y V a l u e O f D i a g r a m O b j e c t K e y a n y T y p e z b w N T n L X > < a : K e y V a l u e O f D i a g r a m O b j e c t K e y a n y T y p e z b w N T n L X > < a : K e y > < K e y > C o l u m n s \ T e r m < / K e y > < / a : K e y > < a : V a l u e   i : t y p e = " M e a s u r e G r i d N o d e V i e w S t a t e " > < C o l u m n > 2 0 < / C o l u m n > < L a y e d O u t > t r u e < / L a y e d O u t > < / a : V a l u e > < / a : K e y V a l u e O f D i a g r a m O b j e c t K e y a n y T y p e z b w N T n L X > < a : K e y V a l u e O f D i a g r a m O b j e c t K e y a n y T y p e z b w N T n L X > < a : K e y > < K e y > C o l u m n s \ L o w e r A t t a c h < / K e y > < / a : K e y > < a : V a l u e   i : t y p e = " M e a s u r e G r i d N o d e V i e w S t a t e " > < C o l u m n > 2 1 < / C o l u m n > < L a y e d O u t > t r u e < / L a y e d O u t > < / a : V a l u e > < / a : K e y V a l u e O f D i a g r a m O b j e c t K e y a n y T y p e z b w N T n L X > < a : K e y V a l u e O f D i a g r a m O b j e c t K e y a n y T y p e z b w N T n L X > < a : K e y > < K e y > C o l u m n s \ P r i n c i p a l   N A V < / K e y > < / a : K e y > < a : V a l u e   i : t y p e = " M e a s u r e G r i d N o d e V i e w S t a t e " > < C o l u m n > 2 2 < / C o l u m n > < L a y e d O u t > t r u e < / L a y e d O u t > < / a : V a l u e > < / a : K e y V a l u e O f D i a g r a m O b j e c t K e y a n y T y p e z b w N T n L X > < a : K e y V a l u e O f D i a g r a m O b j e c t K e y a n y T y p e z b w N T n L X > < a : K e y > < K e y > C o l u m n s \ P r i n c i p a l   G A V < / K e y > < / a : K e y > < a : V a l u e   i : t y p e = " M e a s u r e G r i d N o d e V i e w S t a t e " > < C o l u m n > 2 3 < / C o l u m n > < L a y e d O u t > t r u e < / L a y e d O u t > < / a : V a l u e > < / a : K e y V a l u e O f D i a g r a m O b j e c t K e y a n y T y p e z b w N T n L X > < a : K e y V a l u e O f D i a g r a m O b j e c t K e y a n y T y p e z b w N T n L X > < a : K e y > < K e y > L i n k s \ & l t ; C o l u m n s \ S u m   o f   M a n a g e r C o d e & g t ; - & l t ; M e a s u r e s \ M a n a g e r C o d e & g t ; < / K e y > < / a : K e y > < a : V a l u e   i : t y p e = " M e a s u r e G r i d V i e w S t a t e I D i a g r a m L i n k " / > < / a : K e y V a l u e O f D i a g r a m O b j e c t K e y a n y T y p e z b w N T n L X > < a : K e y V a l u e O f D i a g r a m O b j e c t K e y a n y T y p e z b w N T n L X > < a : K e y > < K e y > L i n k s \ & l t ; C o l u m n s \ S u m   o f   M a n a g e r C o d e & g t ; - & l t ; M e a s u r e s \ M a n a g e r C o d e & g t ; \ C O L U M N < / K e y > < / a : K e y > < a : V a l u e   i : t y p e = " M e a s u r e G r i d V i e w S t a t e I D i a g r a m L i n k E n d p o i n t " / > < / a : K e y V a l u e O f D i a g r a m O b j e c t K e y a n y T y p e z b w N T n L X > < a : K e y V a l u e O f D i a g r a m O b j e c t K e y a n y T y p e z b w N T n L X > < a : K e y > < K e y > L i n k s \ & l t ; C o l u m n s \ S u m   o f   M a n a g e r C o d e & g t ; - & l t ; M e a s u r e s \ M a n a g e r C o d e & g t ; \ M E A S U R E < / K e y > < / a : K e y > < a : V a l u e   i : t y p e = " M e a s u r e G r i d V i e w S t a t e I D i a g r a m L i n k E n d p o i n t " / > < / a : K e y V a l u e O f D i a g r a m O b j e c t K e y a n y T y p e z b w N T n L X > < a : K e y V a l u e O f D i a g r a m O b j e c t K e y a n y T y p e z b w N T n L X > < a : K e y > < K e y > L i n k s \ & l t ; C o l u m n s \ D i s t i n c t   C o u n t   o f   M a n a g e r C o d e & g t ; - & l t ; M e a s u r e s \ M a n a g e r C o d e & g t ; < / K e y > < / a : K e y > < a : V a l u e   i : t y p e = " M e a s u r e G r i d V i e w S t a t e I D i a g r a m L i n k " / > < / a : K e y V a l u e O f D i a g r a m O b j e c t K e y a n y T y p e z b w N T n L X > < a : K e y V a l u e O f D i a g r a m O b j e c t K e y a n y T y p e z b w N T n L X > < a : K e y > < K e y > L i n k s \ & l t ; C o l u m n s \ D i s t i n c t   C o u n t   o f   M a n a g e r C o d e & g t ; - & l t ; M e a s u r e s \ M a n a g e r C o d e & g t ; \ C O L U M N < / K e y > < / a : K e y > < a : V a l u e   i : t y p e = " M e a s u r e G r i d V i e w S t a t e I D i a g r a m L i n k E n d p o i n t " / > < / a : K e y V a l u e O f D i a g r a m O b j e c t K e y a n y T y p e z b w N T n L X > < a : K e y V a l u e O f D i a g r a m O b j e c t K e y a n y T y p e z b w N T n L X > < a : K e y > < K e y > L i n k s \ & l t ; C o l u m n s \ D i s t i n c t   C o u n t   o f   M a n a g e r C o d e & g t ; - & l t ; M e a s u r e s \ M a n a g e r C o d e & g t ; \ M E A S U R E < / K e y > < / a : K e y > < a : V a l u e   i : t y p e = " M e a s u r e G r i d V i e w S t a t e I D i a g r a m L i n k E n d p o i n t " / > < / a : K e y V a l u e O f D i a g r a m O b j e c t K e y a n y T y p e z b w N T n L X > < / V i e w S t a t e s > < / D i a g r a m M a n a g e r . S e r i a l i z a b l e D i a g r a m > < / A r r a y O f D i a g r a m M a n a g e r . S e r i a l i z a b l e D i a g r a m > ] ] > < / C u s t o m C o n t e n t > < / G e m i n i > 
</file>

<file path=customXml/item3.xml>��< ? x m l   v e r s i o n = " 1 . 0 "   e n c o d i n g = " U T F - 1 6 " ? > < G e m i n i   x m l n s = " h t t p : / / g e m i n i / p i v o t c u s t o m i z a t i o n / T a b l e O r d e r " > < C u s t o m C o n t e n t > < ! [ C D A T A [ T a b l e 1 , T a b l e 2 ] ] > < / C u s t o m C o n t e n t > < / G e m i n i > 
</file>

<file path=customXml/item4.xml>��< ? x m l   v e r s i o n = " 1 . 0 "   e n c o d i n g = " U T F - 1 6 " ? > < G e m i n i   x m l n s = " h t t p : / / g e m i n i / p i v o t c u s t o m i z a t i o n / R e l a t i o n s h i p A u t o D e t e c t i o n E n a b l e d " > < C u s t o m C o n t e n t > < ! [ C D A T A [ T r u e ] ] > < / C u s t o m C o n t e n t > < / G e m i n i > 
</file>

<file path=customXml/item5.xml>��< ? x m l   v e r s i o n = " 1 . 0 "   e n c o d i n g = " U T F - 1 6 " ? > < G e m i n i   x m l n s = " h t t p : / / g e m i n i / p i v o t c u s t o m i z a t i o n / C l i e n t W i n d o w X M L " > < C u s t o m C o n t e n t > < ! [ C D A T A [ T a b l e 1 ] ] > < / C u s t o m C o n t e n t > < / G e m i n i > 
</file>

<file path=customXml/item6.xml>��< ? x m l   v e r s i o n = " 1 . 0 "   e n c o d i n g = " U T F - 1 6 " ? > < G e m i n i   x m l n s = " h t t p : / / g e m i n i / p i v o t c u s t o m i z a t i o n / I s S a n d b o x E m b e d d e d " > < C u s t o m C o n t e n t > < ! [ C D A T A [ y e s ] ] > < / C u s t o m C o n t e n t > < / G e m i n i > 
</file>

<file path=customXml/item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 T a b l e 1 < / K e y > < V a l u e   x m l n s : a = " h t t p : / / s c h e m a s . d a t a c o n t r a c t . o r g / 2 0 0 4 / 0 7 / M i c r o s o f t . A n a l y s i s S e r v i c e s . C o m m o n " > < a : H a s F o c u s > f a l s e < / a : H a s F o c u s > < a : S i z e A t D p i 9 6 > 1 1 3 < / a : S i z e A t D p i 9 6 > < a : V i s i b l e > t r u e < / a : V i s i b l e > < / V a l u e > < / K e y V a l u e O f s t r i n g S a n d b o x E d i t o r . M e a s u r e G r i d S t a t e S c d E 3 5 R y > < K e y V a l u e O f s t r i n g S a n d b o x E d i t o r . M e a s u r e G r i d S t a t e S c d E 3 5 R y > < K e y > T a b l e 2 < / 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8.xml>��< ? x m l   v e r s i o n = " 1 . 0 "   e n c o d i n g = " U T F - 1 6 " ? > < G e m i n i   x m l n s = " h t t p : / / g e m i n i / p i v o t c u s t o m i z a t i o n / S a n d b o x N o n E m p t y " > < C u s t o m C o n t e n t > < ! [ C D A T A [ 1 ] ] > < / 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EF1E0451-3EE5-46E9-9262-D5B7C78E390A}">
  <ds:schemaRefs/>
</ds:datastoreItem>
</file>

<file path=customXml/itemProps10.xml><?xml version="1.0" encoding="utf-8"?>
<ds:datastoreItem xmlns:ds="http://schemas.openxmlformats.org/officeDocument/2006/customXml" ds:itemID="{3F518A9B-206E-40CF-BD27-4505FDDD508E}">
  <ds:schemaRefs/>
</ds:datastoreItem>
</file>

<file path=customXml/itemProps11.xml><?xml version="1.0" encoding="utf-8"?>
<ds:datastoreItem xmlns:ds="http://schemas.openxmlformats.org/officeDocument/2006/customXml" ds:itemID="{8E0DAC44-BD2E-48C5-8292-B6A76151815E}">
  <ds:schemaRefs/>
</ds:datastoreItem>
</file>

<file path=customXml/itemProps12.xml><?xml version="1.0" encoding="utf-8"?>
<ds:datastoreItem xmlns:ds="http://schemas.openxmlformats.org/officeDocument/2006/customXml" ds:itemID="{E15CC641-5A07-453B-B95B-2B55A20AA989}">
  <ds:schemaRefs/>
</ds:datastoreItem>
</file>

<file path=customXml/itemProps13.xml><?xml version="1.0" encoding="utf-8"?>
<ds:datastoreItem xmlns:ds="http://schemas.openxmlformats.org/officeDocument/2006/customXml" ds:itemID="{8CF47AA5-76A2-4297-B474-2CA684230534}">
  <ds:schemaRefs/>
</ds:datastoreItem>
</file>

<file path=customXml/itemProps14.xml><?xml version="1.0" encoding="utf-8"?>
<ds:datastoreItem xmlns:ds="http://schemas.openxmlformats.org/officeDocument/2006/customXml" ds:itemID="{A8B80061-EED8-4293-92F5-3CC9973EFA33}">
  <ds:schemaRefs/>
</ds:datastoreItem>
</file>

<file path=customXml/itemProps15.xml><?xml version="1.0" encoding="utf-8"?>
<ds:datastoreItem xmlns:ds="http://schemas.openxmlformats.org/officeDocument/2006/customXml" ds:itemID="{32A92D60-78B7-4E7D-9649-C4927607D2B4}">
  <ds:schemaRefs/>
</ds:datastoreItem>
</file>

<file path=customXml/itemProps16.xml><?xml version="1.0" encoding="utf-8"?>
<ds:datastoreItem xmlns:ds="http://schemas.openxmlformats.org/officeDocument/2006/customXml" ds:itemID="{32317445-7A34-42B4-9CA6-AAEC73B87E46}">
  <ds:schemaRefs/>
</ds:datastoreItem>
</file>

<file path=customXml/itemProps17.xml><?xml version="1.0" encoding="utf-8"?>
<ds:datastoreItem xmlns:ds="http://schemas.openxmlformats.org/officeDocument/2006/customXml" ds:itemID="{718D7070-2FD7-4687-9EE4-5D7FFB4C6FEC}">
  <ds:schemaRefs/>
</ds:datastoreItem>
</file>

<file path=customXml/itemProps2.xml><?xml version="1.0" encoding="utf-8"?>
<ds:datastoreItem xmlns:ds="http://schemas.openxmlformats.org/officeDocument/2006/customXml" ds:itemID="{65143419-99AF-46B4-87EE-F341052BC15E}">
  <ds:schemaRefs/>
</ds:datastoreItem>
</file>

<file path=customXml/itemProps3.xml><?xml version="1.0" encoding="utf-8"?>
<ds:datastoreItem xmlns:ds="http://schemas.openxmlformats.org/officeDocument/2006/customXml" ds:itemID="{3B1A4389-FCA4-4E47-84B6-82F002658117}">
  <ds:schemaRefs/>
</ds:datastoreItem>
</file>

<file path=customXml/itemProps4.xml><?xml version="1.0" encoding="utf-8"?>
<ds:datastoreItem xmlns:ds="http://schemas.openxmlformats.org/officeDocument/2006/customXml" ds:itemID="{A8DB48DA-C47F-4818-A415-1D060DFD2C78}">
  <ds:schemaRefs/>
</ds:datastoreItem>
</file>

<file path=customXml/itemProps5.xml><?xml version="1.0" encoding="utf-8"?>
<ds:datastoreItem xmlns:ds="http://schemas.openxmlformats.org/officeDocument/2006/customXml" ds:itemID="{6BCBEAE2-FF25-4E5C-852F-16136EECA32F}">
  <ds:schemaRefs/>
</ds:datastoreItem>
</file>

<file path=customXml/itemProps6.xml><?xml version="1.0" encoding="utf-8"?>
<ds:datastoreItem xmlns:ds="http://schemas.openxmlformats.org/officeDocument/2006/customXml" ds:itemID="{408DDD01-4F5B-48F7-A32D-D42CFDDD327A}">
  <ds:schemaRefs/>
</ds:datastoreItem>
</file>

<file path=customXml/itemProps7.xml><?xml version="1.0" encoding="utf-8"?>
<ds:datastoreItem xmlns:ds="http://schemas.openxmlformats.org/officeDocument/2006/customXml" ds:itemID="{089AE3B8-F367-443E-A807-026839352AD9}">
  <ds:schemaRefs/>
</ds:datastoreItem>
</file>

<file path=customXml/itemProps8.xml><?xml version="1.0" encoding="utf-8"?>
<ds:datastoreItem xmlns:ds="http://schemas.openxmlformats.org/officeDocument/2006/customXml" ds:itemID="{62C8BC6D-9C58-44EC-93AC-5816D93E6DA1}">
  <ds:schemaRefs/>
</ds:datastoreItem>
</file>

<file path=customXml/itemProps9.xml><?xml version="1.0" encoding="utf-8"?>
<ds:datastoreItem xmlns:ds="http://schemas.openxmlformats.org/officeDocument/2006/customXml" ds:itemID="{5372AAEC-673D-4878-B04D-F6DBDBDA4A2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READ ME FIRST!</vt:lpstr>
      <vt:lpstr>Selector</vt:lpstr>
      <vt:lpstr>Months</vt:lpstr>
      <vt:lpstr>Quarters</vt:lpstr>
      <vt:lpstr>Results PT</vt:lpstr>
      <vt:lpstr>Count PT</vt:lpstr>
      <vt:lpstr>loan level results</vt:lpstr>
      <vt:lpstr>Calculator</vt:lpstr>
      <vt:lpstr>Loan Info</vt:lpstr>
      <vt:lpstr>SCHEMATIC Lookup</vt:lpstr>
      <vt:lpstr>SlicerCapture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Giliberto</dc:creator>
  <cp:lastModifiedBy>cloudconvert_19</cp:lastModifiedBy>
  <dcterms:created xsi:type="dcterms:W3CDTF">2020-06-18T17:25:46Z</dcterms:created>
  <dcterms:modified xsi:type="dcterms:W3CDTF">2021-02-11T18:24:53Z</dcterms:modified>
</cp:coreProperties>
</file>